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omments1.xml" ContentType="application/vnd.openxmlformats-officedocument.spreadsheetml.comments+xml"/>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omments2.xml" ContentType="application/vnd.openxmlformats-officedocument.spreadsheetml.comments+xml"/>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customProperty13.bin" ContentType="application/vnd.openxmlformats-officedocument.spreadsheetml.customProperty"/>
  <Override PartName="/xl/drawings/drawing2.xml" ContentType="application/vnd.openxmlformats-officedocument.drawing+xml"/>
  <Override PartName="/xl/embeddings/oleObject9.bin" ContentType="application/vnd.openxmlformats-officedocument.oleObject"/>
  <Override PartName="/xl/embeddings/oleObject10.bin" ContentType="application/vnd.openxmlformats-officedocument.oleObject"/>
  <Override PartName="/xl/customProperty14.bin" ContentType="application/vnd.openxmlformats-officedocument.spreadsheetml.customProperty"/>
  <Override PartName="/xl/customProperty15.bin" ContentType="application/vnd.openxmlformats-officedocument.spreadsheetml.customProperty"/>
  <Override PartName="/xl/drawings/drawing3.xml" ContentType="application/vnd.openxmlformats-officedocument.drawing+xml"/>
  <Override PartName="/xl/embeddings/oleObject11.bin" ContentType="application/vnd.openxmlformats-officedocument.oleObject"/>
  <Override PartName="/xl/comments3.xml" ContentType="application/vnd.openxmlformats-officedocument.spreadsheetml.comments+xml"/>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omments4.xml" ContentType="application/vnd.openxmlformats-officedocument.spreadsheetml.comments+xml"/>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drawings/drawing4.xml" ContentType="application/vnd.openxmlformats-officedocument.drawing+xml"/>
  <Override PartName="/xl/customProperty26.bin" ContentType="application/vnd.openxmlformats-officedocument.spreadsheetml.customProperty"/>
  <Override PartName="/xl/customProperty27.bin" ContentType="application/vnd.openxmlformats-officedocument.spreadsheetml.customProperty"/>
  <Override PartName="/xl/comments5.xml" ContentType="application/vnd.openxmlformats-officedocument.spreadsheetml.comments+xml"/>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ustomProperty33.bin" ContentType="application/vnd.openxmlformats-officedocument.spreadsheetml.customProperty"/>
  <Override PartName="/xl/customProperty34.bin" ContentType="application/vnd.openxmlformats-officedocument.spreadsheetml.customProperty"/>
  <Override PartName="/xl/customProperty35.bin" ContentType="application/vnd.openxmlformats-officedocument.spreadsheetml.customProperty"/>
  <Override PartName="/xl/comments6.xml" ContentType="application/vnd.openxmlformats-officedocument.spreadsheetml.comments+xml"/>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customProperty39.bin" ContentType="application/vnd.openxmlformats-officedocument.spreadsheetml.customProperty"/>
  <Override PartName="/xl/customProperty40.bin" ContentType="application/vnd.openxmlformats-officedocument.spreadsheetml.customProperty"/>
  <Override PartName="/xl/customProperty41.bin" ContentType="application/vnd.openxmlformats-officedocument.spreadsheetml.customProperty"/>
  <Override PartName="/xl/comments7.xml" ContentType="application/vnd.openxmlformats-officedocument.spreadsheetml.comments+xml"/>
  <Override PartName="/xl/customProperty42.bin" ContentType="application/vnd.openxmlformats-officedocument.spreadsheetml.customProperty"/>
  <Override PartName="/xl/comments8.xml" ContentType="application/vnd.openxmlformats-officedocument.spreadsheetml.comments+xml"/>
  <Override PartName="/xl/customProperty43.bin" ContentType="application/vnd.openxmlformats-officedocument.spreadsheetml.customProperty"/>
  <Override PartName="/xl/comments9.xml" ContentType="application/vnd.openxmlformats-officedocument.spreadsheetml.comments+xml"/>
  <Override PartName="/xl/customProperty44.bin" ContentType="application/vnd.openxmlformats-officedocument.spreadsheetml.customProperty"/>
  <Override PartName="/xl/customProperty45.bin" ContentType="application/vnd.openxmlformats-officedocument.spreadsheetml.customProperty"/>
  <Override PartName="/xl/customProperty46.bin" ContentType="application/vnd.openxmlformats-officedocument.spreadsheetml.customProperty"/>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customProperty57.bin" ContentType="application/vnd.openxmlformats-officedocument.spreadsheetml.customProperty"/>
  <Override PartName="/xl/customProperty58.bin" ContentType="application/vnd.openxmlformats-officedocument.spreadsheetml.customProperty"/>
  <Override PartName="/xl/customProperty59.bin" ContentType="application/vnd.openxmlformats-officedocument.spreadsheetml.customProperty"/>
  <Override PartName="/xl/customProperty60.bin" ContentType="application/vnd.openxmlformats-officedocument.spreadsheetml.customProperty"/>
  <Override PartName="/xl/customProperty61.bin" ContentType="application/vnd.openxmlformats-officedocument.spreadsheetml.customProperty"/>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ustomProperty62.bin" ContentType="application/vnd.openxmlformats-officedocument.spreadsheetml.customProperty"/>
  <Override PartName="/xl/customProperty63.bin" ContentType="application/vnd.openxmlformats-officedocument.spreadsheetml.customProperty"/>
  <Override PartName="/xl/customProperty64.bin" ContentType="application/vnd.openxmlformats-officedocument.spreadsheetml.customProperty"/>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customProperty65.bin" ContentType="application/vnd.openxmlformats-officedocument.spreadsheetml.customProperty"/>
  <Override PartName="/xl/customProperty66.bin" ContentType="application/vnd.openxmlformats-officedocument.spreadsheetml.customProperty"/>
  <Override PartName="/xl/customProperty67.bin" ContentType="application/vnd.openxmlformats-officedocument.spreadsheetml.customProperty"/>
  <Override PartName="/xl/customProperty68.bin" ContentType="application/vnd.openxmlformats-officedocument.spreadsheetml.customProperty"/>
  <Override PartName="/xl/customProperty69.bin" ContentType="application/vnd.openxmlformats-officedocument.spreadsheetml.customProperty"/>
  <Override PartName="/xl/customProperty70.bin" ContentType="application/vnd.openxmlformats-officedocument.spreadsheetml.customProperty"/>
  <Override PartName="/xl/customProperty71.bin" ContentType="application/vnd.openxmlformats-officedocument.spreadsheetml.customProperty"/>
  <Override PartName="/xl/customProperty72.bin" ContentType="application/vnd.openxmlformats-officedocument.spreadsheetml.customProperty"/>
  <Override PartName="/xl/customProperty73.bin" ContentType="application/vnd.openxmlformats-officedocument.spreadsheetml.customProperty"/>
  <Override PartName="/xl/customProperty74.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Y:\ASC Forecast Modeling\Scenario Analysis\2025.10 565 Tx Only 925 In\AP1\w565 and 925 in redaction\"/>
    </mc:Choice>
  </mc:AlternateContent>
  <xr:revisionPtr revIDLastSave="0" documentId="13_ncr:1_{1C9679E8-A770-425E-BB80-7D5A76027371}" xr6:coauthVersionLast="47" xr6:coauthVersionMax="47" xr10:uidLastSave="{00000000-0000-0000-0000-000000000000}"/>
  <workbookProtection workbookAlgorithmName="SHA-512" workbookHashValue="mSnuxq2pf5c/d+9fomUWQfJ7N2gSpal74WdCUEjvef5+dMg1Jq6jhORD4aSGN/dqhYZSaZfn0BdfoexpVs1Fng==" workbookSaltValue="78C+1NXzSjiNwour0E1hvw==" workbookSpinCount="100000" lockStructure="1"/>
  <bookViews>
    <workbookView xWindow="-120" yWindow="-120" windowWidth="25440" windowHeight="15270" tabRatio="693" firstSheet="34" activeTab="39" xr2:uid="{00000000-000D-0000-FFFF-FFFF00000000}"/>
  </bookViews>
  <sheets>
    <sheet name="Revisions_2026-28" sheetId="89" state="hidden" r:id="rId1"/>
    <sheet name="TOC" sheetId="81" r:id="rId2"/>
    <sheet name="Sch 1- Rate Base " sheetId="13" r:id="rId3"/>
    <sheet name="1.1 Intangible Assets Summary" sheetId="144" state="hidden" r:id="rId4"/>
    <sheet name="1.1a Intangible Detail" sheetId="123" state="hidden" r:id="rId5"/>
    <sheet name="1.1b Intangible Soft. 303100" sheetId="124" state="hidden" r:id="rId6"/>
    <sheet name="Intangible Reserve 1.1c" sheetId="125" state="hidden" r:id="rId7"/>
    <sheet name="1.3 Common Plt Summary" sheetId="126" state="hidden" r:id="rId8"/>
    <sheet name="1.3a Common Plant" sheetId="127" state="hidden" r:id="rId9"/>
    <sheet name="1.3b Common Plt Acc. Depr" sheetId="128" state="hidden" r:id="rId10"/>
    <sheet name="1.3c Common Amort Exp" sheetId="129" state="hidden" r:id="rId11"/>
    <sheet name="1.4 Reg Assets" sheetId="130" state="hidden" r:id="rId12"/>
    <sheet name="1.5 Misc. Def. Debits" sheetId="131" state="hidden" r:id="rId13"/>
    <sheet name="1.6 Misc. Def. Credits" sheetId="132" state="hidden" r:id="rId14"/>
    <sheet name="1.7 Reg Liabilities" sheetId="133" state="hidden" r:id="rId15"/>
    <sheet name="Sch 1A - Cash Working Capital" sheetId="32" r:id="rId16"/>
    <sheet name="Sch 2 -Rate of Return" sheetId="36" r:id="rId17"/>
    <sheet name="2.1 Authorized ROR" sheetId="145" state="hidden" r:id="rId18"/>
    <sheet name="Sch 3 - Expenses" sheetId="26" r:id="rId19"/>
    <sheet name="3.1 908 Detail" sheetId="134" state="hidden" r:id="rId20"/>
    <sheet name="3.2 557 Detail" sheetId="135" state="hidden" r:id="rId21"/>
    <sheet name="Sch 3A - Taxes" sheetId="31" r:id="rId22"/>
    <sheet name="3B.2 Revenue" sheetId="137" state="hidden" r:id="rId23"/>
    <sheet name="3b.1 Other Exp. Support" sheetId="136" state="hidden" r:id="rId24"/>
    <sheet name="4.1 NLSL SUMMARY - Lg WA 1" sheetId="138" state="hidden" r:id="rId25"/>
    <sheet name="SUMMARY - Lg ID 1" sheetId="139" state="hidden" r:id="rId26"/>
    <sheet name="A-RHWM_Ratios" sheetId="82" state="hidden" r:id="rId27"/>
    <sheet name="Sch 3B - Other Items" sheetId="27" r:id="rId28"/>
    <sheet name="Sch 4 - Average System Cost" sheetId="7" r:id="rId29"/>
    <sheet name="4.2 Dist Losses" sheetId="140" r:id="rId30"/>
    <sheet name="3-YEAR PP &amp; OSS Worksheet" sheetId="37" r:id="rId31"/>
    <sheet name="Load Forecast" sheetId="69" r:id="rId32"/>
    <sheet name="Distribution Loss Calc" sheetId="68" r:id="rId33"/>
    <sheet name="Salaries" sheetId="33" r:id="rId34"/>
    <sheet name="Ratios" sheetId="35" r:id="rId35"/>
    <sheet name="New Resources - Individual" sheetId="76" r:id="rId36"/>
    <sheet name="New Resources - Group" sheetId="70" r:id="rId37"/>
    <sheet name="Materiality - Individual" sheetId="79" r:id="rId38"/>
    <sheet name="Materiality -  Group" sheetId="80" r:id="rId39"/>
    <sheet name="NLSL_Base_New-Calc" sheetId="77" r:id="rId40"/>
    <sheet name="Wind_Resources_Costs" sheetId="84" state="hidden" r:id="rId41"/>
    <sheet name="Above-RHWM_Base_Calc" sheetId="83" state="hidden" r:id="rId42"/>
    <sheet name="Tiered Rates" sheetId="78" state="hidden" r:id="rId43"/>
    <sheet name="110-111" sheetId="91" state="hidden" r:id="rId44"/>
    <sheet name="112-113" sheetId="92" state="hidden" r:id="rId45"/>
    <sheet name="FERC 114-117" sheetId="93" state="hidden" r:id="rId46"/>
    <sheet name="200-201" sheetId="94" state="hidden" r:id="rId47"/>
    <sheet name="202-203" sheetId="95" state="hidden" r:id="rId48"/>
    <sheet name="204-207" sheetId="96" state="hidden" r:id="rId49"/>
    <sheet name="219" sheetId="97" state="hidden" r:id="rId50"/>
    <sheet name="219-1" sheetId="98" state="hidden" r:id="rId51"/>
    <sheet name="232" sheetId="99" state="hidden" r:id="rId52"/>
    <sheet name="233" sheetId="100" state="hidden" r:id="rId53"/>
    <sheet name="233-1" sheetId="101" state="hidden" r:id="rId54"/>
    <sheet name="256-257" sheetId="102" state="hidden" r:id="rId55"/>
    <sheet name="262-263" sheetId="103" state="hidden" r:id="rId56"/>
    <sheet name="269" sheetId="105" state="hidden" r:id="rId57"/>
    <sheet name="278" sheetId="106" state="hidden" r:id="rId58"/>
    <sheet name="FERC 300b Op Revenues" sheetId="107" state="hidden" r:id="rId59"/>
    <sheet name="300b-1" sheetId="108" state="hidden" r:id="rId60"/>
    <sheet name="310-311" sheetId="109" state="hidden" r:id="rId61"/>
    <sheet name="310-311 Pivot" sheetId="110" state="hidden" r:id="rId62"/>
    <sheet name="320-323" sheetId="112" state="hidden" r:id="rId63"/>
    <sheet name="326-327" sheetId="113" state="hidden" r:id="rId64"/>
    <sheet name="326-327 Pivot" sheetId="114" state="hidden" r:id="rId65"/>
    <sheet name="326-327-1" sheetId="115" state="hidden" r:id="rId66"/>
    <sheet name="336" sheetId="141" state="hidden" r:id="rId67"/>
    <sheet name="354" sheetId="118" state="hidden" r:id="rId68"/>
    <sheet name="FERC 401a Elec Energy Acct" sheetId="119" state="hidden" r:id="rId69"/>
    <sheet name="401a-1" sheetId="120" state="hidden" r:id="rId70"/>
    <sheet name="402" sheetId="143" state="hidden" r:id="rId71"/>
    <sheet name="Export" sheetId="121" state="hidden" r:id="rId72"/>
    <sheet name="ForecastImport" sheetId="85" state="hidden" r:id="rId73"/>
    <sheet name="DataImport" sheetId="90" state="hidden" r:id="rId74"/>
  </sheets>
  <externalReferences>
    <externalReference r:id="rId75"/>
    <externalReference r:id="rId76"/>
    <externalReference r:id="rId77"/>
    <externalReference r:id="rId78"/>
    <externalReference r:id="rId79"/>
    <externalReference r:id="rId80"/>
    <externalReference r:id="rId81"/>
    <externalReference r:id="rId82"/>
  </externalReferences>
  <definedNames>
    <definedName name="_56F9DC9755BA473782653E2940F9FormId">"79XIZPe22EO4S40ETtyQHR6SSzqw2MZMgX2hLKkxMm5UNkJBVThJMThQWTFKRURLNzJTNDU4VExQNSQlQCN0PWcu"</definedName>
    <definedName name="_56F9DC9755BA473782653E2940F9ResponseSheet">"Form1"</definedName>
    <definedName name="_56F9DC9755BA473782653E2940F9SourceDocId">"{e50dfd7f-ac2f-40a5-b514-1bf91148ed70}"</definedName>
    <definedName name="_xlnm._FilterDatabase" localSheetId="5" hidden="1">'1.1b Intangible Soft. 303100'!$A$3:$K$166</definedName>
    <definedName name="_xlnm._FilterDatabase" localSheetId="11" hidden="1">'1.4 Reg Assets'!$A$6:$L$51</definedName>
    <definedName name="_xlnm._FilterDatabase" localSheetId="14" hidden="1">'1.7 Reg Liabilities'!$A$5:$J$31</definedName>
    <definedName name="_xlnm._FilterDatabase" localSheetId="20" hidden="1">'3.2 557 Detail'!$A$5:$Q$32</definedName>
    <definedName name="_xlnm._FilterDatabase" localSheetId="60" hidden="1">'310-311'!$A$1:$Q$99</definedName>
    <definedName name="_xlnm._FilterDatabase" localSheetId="63" hidden="1">'326-327'!$A$1:$T$115</definedName>
    <definedName name="_xlnm._FilterDatabase" localSheetId="22" hidden="1">'3B.2 Revenue'!$A$4:$I$48</definedName>
    <definedName name="_PTD1">'[1]Sch 1- Rate Base '!$P$1:$P$3</definedName>
    <definedName name="_PTD2">'[1]Sch 1- Rate Base '!$P$1:$P$3</definedName>
    <definedName name="_PTD3">'[1]Sch 1- Rate Base '!$P$1:$P$3</definedName>
    <definedName name="_WNP2" localSheetId="17">#REF!</definedName>
    <definedName name="_WNP2">#REF!</definedName>
    <definedName name="Alt_Load_Switch" localSheetId="17">#REF!</definedName>
    <definedName name="Alt_Load_Switch">#REF!</definedName>
    <definedName name="BlockSales" localSheetId="17">#REF!</definedName>
    <definedName name="BlockSales">#REF!</definedName>
    <definedName name="CompleAugHLH" localSheetId="17">#REF!</definedName>
    <definedName name="CompleAugHLH">#REF!</definedName>
    <definedName name="CompleAugLLH" localSheetId="17">#REF!</definedName>
    <definedName name="CompleAugLLH">#REF!</definedName>
    <definedName name="contr_time_period_default" localSheetId="17">[2]Start!#REF!</definedName>
    <definedName name="contr_time_period_default">[2]Start!#REF!</definedName>
    <definedName name="DIST" localSheetId="3">'[1]Sch 1- Rate Base '!$Q$1:$Q$3</definedName>
    <definedName name="DIST" localSheetId="4">'[1]Sch 1- Rate Base '!$Q$1:$Q$3</definedName>
    <definedName name="DIST" localSheetId="5">'[1]Sch 1- Rate Base '!$Q$1:$Q$3</definedName>
    <definedName name="DIST" localSheetId="7">'[1]Sch 1- Rate Base '!$Q$1:$Q$3</definedName>
    <definedName name="DIST" localSheetId="8">'[1]Sch 1- Rate Base '!$Q$1:$Q$3</definedName>
    <definedName name="DIST" localSheetId="9">'[1]Sch 1- Rate Base '!$Q$1:$Q$3</definedName>
    <definedName name="DIST" localSheetId="10">'[1]Sch 1- Rate Base '!$Q$1:$Q$3</definedName>
    <definedName name="DIST" localSheetId="11">'[1]Sch 1- Rate Base '!$Q$1:$Q$3</definedName>
    <definedName name="DIST" localSheetId="12">'[1]Sch 1- Rate Base '!$Q$1:$Q$3</definedName>
    <definedName name="DIST" localSheetId="13">'[1]Sch 1- Rate Base '!$Q$1:$Q$3</definedName>
    <definedName name="DIST" localSheetId="14">'[1]Sch 1- Rate Base '!$Q$1:$Q$3</definedName>
    <definedName name="DIST" localSheetId="17">#REF!</definedName>
    <definedName name="DIST" localSheetId="19">'[1]Sch 1- Rate Base '!$Q$1:$Q$3</definedName>
    <definedName name="DIST" localSheetId="20">'[1]Sch 1- Rate Base '!$Q$1:$Q$3</definedName>
    <definedName name="DIST" localSheetId="66">#REF!</definedName>
    <definedName name="DIST" localSheetId="23">'[1]Sch 1- Rate Base '!$Q$1:$Q$3</definedName>
    <definedName name="DIST" localSheetId="22">'[1]Sch 1- Rate Base '!$Q$1:$Q$3</definedName>
    <definedName name="DIST" localSheetId="24">'[1]Sch 1- Rate Base '!$Q$1:$Q$3</definedName>
    <definedName name="DIST" localSheetId="29">'[1]Sch 1- Rate Base '!$Q$1:$Q$3</definedName>
    <definedName name="DIST" localSheetId="6">'[1]Sch 1- Rate Base '!$Q$1:$Q$3</definedName>
    <definedName name="DIST" localSheetId="25">'[1]Sch 1- Rate Base '!$Q$1:$Q$3</definedName>
    <definedName name="DIST">'Sch 1- Rate Base '!$Q$1:$Q$3</definedName>
    <definedName name="DIST1">'[1]Sch 1- Rate Base '!$Q$1:$Q$3</definedName>
    <definedName name="DIST2">'[1]Sch 1- Rate Base '!$Q$1:$Q$3</definedName>
    <definedName name="DIST3">'[1]Sch 1- Rate Base '!$Q$1:$Q$3</definedName>
    <definedName name="DSIHLH" localSheetId="17">#REF!</definedName>
    <definedName name="DSIHLH">#REF!</definedName>
    <definedName name="DSILLH" localSheetId="17">#REF!</definedName>
    <definedName name="DSILLH">#REF!</definedName>
    <definedName name="FedGenSliceHLH" localSheetId="17">#REF!</definedName>
    <definedName name="FedGenSliceHLH">#REF!</definedName>
    <definedName name="FedGenSliceLLH" localSheetId="17">#REF!</definedName>
    <definedName name="FedGenSliceLLH">#REF!</definedName>
    <definedName name="FirmConHLH" localSheetId="17">#REF!</definedName>
    <definedName name="FirmConHLH">#REF!</definedName>
    <definedName name="FirmConLLH" localSheetId="17">#REF!</definedName>
    <definedName name="FirmConLLH">#REF!</definedName>
    <definedName name="FPSPFHLH" localSheetId="17">#REF!</definedName>
    <definedName name="FPSPFHLH">#REF!</definedName>
    <definedName name="FPSPFLLH" localSheetId="17">#REF!</definedName>
    <definedName name="FPSPFLLH">#REF!</definedName>
    <definedName name="HydroGenHossHLH" localSheetId="17">#REF!</definedName>
    <definedName name="HydroGenHossHLH">#REF!</definedName>
    <definedName name="HydroGenHOSSLLH" localSheetId="17">#REF!</definedName>
    <definedName name="HydroGenHOSSLLH">#REF!</definedName>
    <definedName name="ine" localSheetId="17">#REF!</definedName>
    <definedName name="ine">#REF!</definedName>
    <definedName name="INFL">[3]FINANCIAL!$C$54</definedName>
    <definedName name="IOUHLH" localSheetId="17">#REF!</definedName>
    <definedName name="IOUHLH">#REF!</definedName>
    <definedName name="IOULLH" localSheetId="17">#REF!</definedName>
    <definedName name="IOULLH">#REF!</definedName>
    <definedName name="Logo">"Picture 6"</definedName>
    <definedName name="months">[4]Data!$H$2</definedName>
    <definedName name="NRHLH" localSheetId="17">#REF!</definedName>
    <definedName name="NRHLH">#REF!</definedName>
    <definedName name="NRLLH" localSheetId="17">#REF!</definedName>
    <definedName name="NRLLH">#REF!</definedName>
    <definedName name="OthResourceHLH" localSheetId="17">#REF!</definedName>
    <definedName name="OthResourceHLH">#REF!</definedName>
    <definedName name="OthResourceLLH" localSheetId="17">#REF!</definedName>
    <definedName name="OthResourceLLH">#REF!</definedName>
    <definedName name="PFHLH" localSheetId="17">#REF!</definedName>
    <definedName name="PFHLH">#REF!</definedName>
    <definedName name="PFHLHAftSlice" localSheetId="17">#REF!</definedName>
    <definedName name="PFHLHAftSlice">#REF!</definedName>
    <definedName name="PFLLH" localSheetId="17">#REF!</definedName>
    <definedName name="PFLLH">#REF!</definedName>
    <definedName name="PFLLHAftSlice" localSheetId="17">#REF!</definedName>
    <definedName name="PFLLHAftSlice">#REF!</definedName>
    <definedName name="PreHLH" localSheetId="17">#REF!</definedName>
    <definedName name="PreHLH">#REF!</definedName>
    <definedName name="PreLLH" localSheetId="17">#REF!</definedName>
    <definedName name="PreLLH">#REF!</definedName>
    <definedName name="_xlnm.Print_Area" localSheetId="30">'3-YEAR PP &amp; OSS Worksheet'!$A$1:$K$75</definedName>
    <definedName name="_xlnm.Print_Area" localSheetId="41">'Above-RHWM_Base_Calc'!$A$4:$AA$50</definedName>
    <definedName name="_xlnm.Print_Area" localSheetId="26">'A-RHWM_Ratios'!$A$1:$G$88</definedName>
    <definedName name="_xlnm.Print_Area" localSheetId="31">'Load Forecast'!$A$1:$G$28</definedName>
    <definedName name="_xlnm.Print_Area" localSheetId="36">'New Resources - Group'!$B$1:$H$131</definedName>
    <definedName name="_xlnm.Print_Area" localSheetId="35">'New Resources - Individual'!$B$1:$H$131</definedName>
    <definedName name="_xlnm.Print_Area" localSheetId="39">'NLSL_Base_New-Calc'!$A$4:$J$50</definedName>
    <definedName name="_xlnm.Print_Area" localSheetId="34">Ratios!$A$1:$G$88</definedName>
    <definedName name="_xlnm.Print_Area" localSheetId="33">Salaries!$A$1:$D$41</definedName>
    <definedName name="_xlnm.Print_Area" localSheetId="2">'Sch 1- Rate Base '!$A$1:$J$163</definedName>
    <definedName name="_xlnm.Print_Area" localSheetId="16">'Sch 2 -Rate of Return'!$A$1:$H$128</definedName>
    <definedName name="_xlnm.Print_Area" localSheetId="18">'Sch 3 - Expenses'!$A$1:$J$101</definedName>
    <definedName name="_xlnm.Print_Area" localSheetId="21">'Sch 3A - Taxes'!$A$1:$I$33</definedName>
    <definedName name="_xlnm.Print_Area" localSheetId="27">'Sch 3B - Other Items'!$A$1:$J$42</definedName>
    <definedName name="_xlnm.Print_Area" localSheetId="28">'Sch 4 - Average System Cost'!$A$1:$F$49</definedName>
    <definedName name="_xlnm.Print_Titles" localSheetId="26">'A-RHWM_Ratios'!$1:$9</definedName>
    <definedName name="_xlnm.Print_Titles" localSheetId="34">Ratios!$1:$9</definedName>
    <definedName name="_xlnm.Print_Titles" localSheetId="2">'Sch 1- Rate Base '!$1:$14</definedName>
    <definedName name="_xlnm.Print_Titles" localSheetId="16">'Sch 2 -Rate of Return'!$1:$9</definedName>
    <definedName name="_xlnm.Print_Titles" localSheetId="18">'Sch 3 - Expenses'!$1:$13</definedName>
    <definedName name="_xlnm.Print_Titles" localSheetId="21">'Sch 3A - Taxes'!$1:$14</definedName>
    <definedName name="_xlnm.Print_Titles" localSheetId="28">'Sch 4 - Average System Cost'!$1:$9</definedName>
    <definedName name="PROD" localSheetId="3">'[1]Sch 1- Rate Base '!$R$1:$R$3</definedName>
    <definedName name="PROD" localSheetId="4">'[1]Sch 1- Rate Base '!$R$1:$R$3</definedName>
    <definedName name="PROD" localSheetId="5">'[1]Sch 1- Rate Base '!$R$1:$R$3</definedName>
    <definedName name="PROD" localSheetId="7">'[1]Sch 1- Rate Base '!$R$1:$R$3</definedName>
    <definedName name="PROD" localSheetId="8">'[1]Sch 1- Rate Base '!$R$1:$R$3</definedName>
    <definedName name="PROD" localSheetId="9">'[1]Sch 1- Rate Base '!$R$1:$R$3</definedName>
    <definedName name="PROD" localSheetId="10">'[1]Sch 1- Rate Base '!$R$1:$R$3</definedName>
    <definedName name="PROD" localSheetId="11">'[1]Sch 1- Rate Base '!$R$1:$R$3</definedName>
    <definedName name="PROD" localSheetId="12">'[1]Sch 1- Rate Base '!$R$1:$R$3</definedName>
    <definedName name="PROD" localSheetId="13">'[1]Sch 1- Rate Base '!$R$1:$R$3</definedName>
    <definedName name="PROD" localSheetId="14">'[1]Sch 1- Rate Base '!$R$1:$R$3</definedName>
    <definedName name="PROD" localSheetId="17">#REF!</definedName>
    <definedName name="PROD" localSheetId="19">'[1]Sch 1- Rate Base '!$R$1:$R$3</definedName>
    <definedName name="PROD" localSheetId="20">'[1]Sch 1- Rate Base '!$R$1:$R$3</definedName>
    <definedName name="PROD" localSheetId="66">#REF!</definedName>
    <definedName name="PROD" localSheetId="23">'[1]Sch 1- Rate Base '!$R$1:$R$3</definedName>
    <definedName name="PROD" localSheetId="22">'[1]Sch 1- Rate Base '!$R$1:$R$3</definedName>
    <definedName name="PROD" localSheetId="24">'[1]Sch 1- Rate Base '!$R$1:$R$3</definedName>
    <definedName name="PROD" localSheetId="29">'[1]Sch 1- Rate Base '!$R$1:$R$3</definedName>
    <definedName name="PROD" localSheetId="6">'[1]Sch 1- Rate Base '!$R$1:$R$3</definedName>
    <definedName name="PROD" localSheetId="25">'[1]Sch 1- Rate Base '!$R$1:$R$3</definedName>
    <definedName name="PROD">'Sch 1- Rate Base '!$R$1:$R$3</definedName>
    <definedName name="PROD1">'[1]Sch 1- Rate Base '!$R$1:$R$3</definedName>
    <definedName name="PROD2">'[1]Sch 1- Rate Base '!$R$1:$R$3</definedName>
    <definedName name="PROD3">'[1]Sch 1- Rate Base '!$R$1:$R$3</definedName>
    <definedName name="PTD" localSheetId="3">'[1]Sch 1- Rate Base '!$P$1:$P$3</definedName>
    <definedName name="PTD" localSheetId="4">'[1]Sch 1- Rate Base '!$P$1:$P$3</definedName>
    <definedName name="PTD" localSheetId="5">'[1]Sch 1- Rate Base '!$P$1:$P$3</definedName>
    <definedName name="PTD" localSheetId="7">'[1]Sch 1- Rate Base '!$P$1:$P$3</definedName>
    <definedName name="PTD" localSheetId="8">'[1]Sch 1- Rate Base '!$P$1:$P$3</definedName>
    <definedName name="PTD" localSheetId="9">'[1]Sch 1- Rate Base '!$P$1:$P$3</definedName>
    <definedName name="PTD" localSheetId="10">'[1]Sch 1- Rate Base '!$P$1:$P$3</definedName>
    <definedName name="PTD" localSheetId="11">'[1]Sch 1- Rate Base '!$P$1:$P$3</definedName>
    <definedName name="PTD" localSheetId="12">'[1]Sch 1- Rate Base '!$P$1:$P$3</definedName>
    <definedName name="PTD" localSheetId="13">'[1]Sch 1- Rate Base '!$P$1:$P$3</definedName>
    <definedName name="PTD" localSheetId="14">'[1]Sch 1- Rate Base '!$P$1:$P$3</definedName>
    <definedName name="PTD" localSheetId="17">#REF!</definedName>
    <definedName name="PTD" localSheetId="19">'[1]Sch 1- Rate Base '!$P$1:$P$3</definedName>
    <definedName name="PTD" localSheetId="20">'[1]Sch 1- Rate Base '!$P$1:$P$3</definedName>
    <definedName name="PTD" localSheetId="66">#REF!</definedName>
    <definedName name="PTD" localSheetId="23">'[1]Sch 1- Rate Base '!$P$1:$P$3</definedName>
    <definedName name="PTD" localSheetId="22">'[1]Sch 1- Rate Base '!$P$1:$P$3</definedName>
    <definedName name="PTD" localSheetId="24">'[1]Sch 1- Rate Base '!$P$1:$P$3</definedName>
    <definedName name="PTD" localSheetId="29">'[1]Sch 1- Rate Base '!$P$1:$P$3</definedName>
    <definedName name="PTD" localSheetId="6">'[1]Sch 1- Rate Base '!$P$1:$P$3</definedName>
    <definedName name="PTD" localSheetId="25">'[1]Sch 1- Rate Base '!$P$1:$P$3</definedName>
    <definedName name="PTD">'Sch 1- Rate Base '!$P$1:$P$3</definedName>
    <definedName name="Ratio" localSheetId="3">[1]Ratios!$D$77:$G$87</definedName>
    <definedName name="Ratio" localSheetId="4">[1]Ratios!$D$77:$G$87</definedName>
    <definedName name="Ratio" localSheetId="5">[1]Ratios!$D$77:$G$87</definedName>
    <definedName name="Ratio" localSheetId="7">[1]Ratios!$D$77:$G$87</definedName>
    <definedName name="Ratio" localSheetId="8">[1]Ratios!$D$77:$G$87</definedName>
    <definedName name="Ratio" localSheetId="9">[1]Ratios!$D$77:$G$87</definedName>
    <definedName name="Ratio" localSheetId="10">[1]Ratios!$D$77:$G$87</definedName>
    <definedName name="Ratio" localSheetId="11">[1]Ratios!$D$77:$G$87</definedName>
    <definedName name="Ratio" localSheetId="12">[1]Ratios!$D$77:$G$87</definedName>
    <definedName name="Ratio" localSheetId="13">[1]Ratios!$D$77:$G$87</definedName>
    <definedName name="Ratio" localSheetId="14">[1]Ratios!$D$77:$G$87</definedName>
    <definedName name="Ratio" localSheetId="17">#REF!</definedName>
    <definedName name="Ratio" localSheetId="19">[1]Ratios!$D$77:$G$87</definedName>
    <definedName name="Ratio" localSheetId="20">[1]Ratios!$D$77:$G$87</definedName>
    <definedName name="Ratio" localSheetId="66">#REF!</definedName>
    <definedName name="Ratio" localSheetId="23">[1]Ratios!$D$77:$G$87</definedName>
    <definedName name="Ratio" localSheetId="22">[1]Ratios!$D$77:$G$87</definedName>
    <definedName name="Ratio" localSheetId="24">[1]Ratios!$D$77:$G$87</definedName>
    <definedName name="Ratio" localSheetId="29">[1]Ratios!$D$77:$G$87</definedName>
    <definedName name="Ratio" localSheetId="26">'A-RHWM_Ratios'!$D$77:$G$87</definedName>
    <definedName name="Ratio" localSheetId="6">[1]Ratios!$D$77:$G$87</definedName>
    <definedName name="Ratio" localSheetId="25">[1]Ratios!$D$77:$G$87</definedName>
    <definedName name="Ratio">Ratios!$D$77:$G$87</definedName>
    <definedName name="RATIO1">[1]Ratios!$D$77:$G$87</definedName>
    <definedName name="RATIO2">[1]Ratios!$D$77:$G$87</definedName>
    <definedName name="RATIO3">[1]Ratios!$D$77:$G$87</definedName>
    <definedName name="rbcalc">[4]Data!$H$3</definedName>
    <definedName name="rbcalc_heading">[4]Data!$H$5</definedName>
    <definedName name="retail_access_mitigation">[5]Input!#REF!</definedName>
    <definedName name="Sandpoint" localSheetId="17">#REF!</definedName>
    <definedName name="Sandpoint">#REF!</definedName>
    <definedName name="SlicetoPurchHLH" localSheetId="17">#REF!</definedName>
    <definedName name="SlicetoPurchHLH">#REF!</definedName>
    <definedName name="SlicetoPurchLLH" localSheetId="17">#REF!</definedName>
    <definedName name="SlicetoPurchLLH">#REF!</definedName>
    <definedName name="SpillHLH" localSheetId="17">#REF!</definedName>
    <definedName name="SpillHLH">#REF!</definedName>
    <definedName name="SpillLLH" localSheetId="17">#REF!</definedName>
    <definedName name="SpillLLH">#REF!</definedName>
    <definedName name="start_acct_exec" localSheetId="17">[2]Start!#REF!</definedName>
    <definedName name="start_acct_exec">[2]Start!#REF!</definedName>
    <definedName name="start_block_request_hlh" localSheetId="17">[2]Start!#REF!</definedName>
    <definedName name="start_block_request_hlh">[2]Start!#REF!</definedName>
    <definedName name="start_block_request_llh" localSheetId="17">[2]Start!#REF!</definedName>
    <definedName name="start_block_request_llh">[2]Start!#REF!</definedName>
    <definedName name="start_chkBillingMonths" localSheetId="17">[2]Start!#REF!</definedName>
    <definedName name="start_chkBillingMonths">[2]Start!#REF!</definedName>
    <definedName name="start_chkIndexPricing">[2]Start!#REF!</definedName>
    <definedName name="start_chkRAInsurance">[2]Start!#REF!</definedName>
    <definedName name="start_chkRAReMarketing">[2]Start!#REF!</definedName>
    <definedName name="start_chkRenewable">[2]Start!#REF!</definedName>
    <definedName name="start_cmbProdType">[2]Start!#REF!</definedName>
    <definedName name="start_ContractPeriod">[2]Start!#REF!</definedName>
    <definedName name="start_ContractPeriod_rounded">[2]Start!#REF!</definedName>
    <definedName name="start_Customer">[2]Start!#REF!</definedName>
    <definedName name="Start_Date">[2]Revenue!#REF!</definedName>
    <definedName name="start_EndDate">[2]Start!#REF!</definedName>
    <definedName name="start_rowcount">[2]Start!#REF!</definedName>
    <definedName name="start_StartDate">[2]Start!#REF!</definedName>
    <definedName name="start_startrow">[2]Start!#REF!</definedName>
    <definedName name="start_startrow_b">[2]Start!#REF!</definedName>
    <definedName name="start_stoprow">[2]Start!#REF!</definedName>
    <definedName name="start_stoprow_b">[2]Start!#REF!</definedName>
    <definedName name="start_stoprowA">[2]Start!#REF!</definedName>
    <definedName name="start_str_block_stpl_on_elect">[2]Start!#REF!</definedName>
    <definedName name="start_str_indexpricing">[2]Start!#REF!</definedName>
    <definedName name="start_str_res_hlh_nrg">[2]Start!#REF!</definedName>
    <definedName name="start_str_vlf1">[2]Start!#REF!</definedName>
    <definedName name="start_str_vlf2">[2]Start!#REF!</definedName>
    <definedName name="start_strDates">[2]Start!#REF!</definedName>
    <definedName name="start_strLDD">[2]Start!#REF!</definedName>
    <definedName name="start_strMaxDemHLHBlk">[2]Start!#REF!</definedName>
    <definedName name="start_strMaxLLHBlk">[2]Start!#REF!</definedName>
    <definedName name="start_strMinDemHLHBlk">[2]Start!#REF!</definedName>
    <definedName name="start_strMinLLHBlk">[2]Start!#REF!</definedName>
    <definedName name="start_strRenewRes">[2]Start!#REF!</definedName>
    <definedName name="start_strRetailAccessMitigationI">[2]Start!#REF!</definedName>
    <definedName name="SurSalHLH" localSheetId="17">#REF!</definedName>
    <definedName name="SurSalHLH">#REF!</definedName>
    <definedName name="SurSalLLH" localSheetId="17">#REF!</definedName>
    <definedName name="SurSalLLH">#REF!</definedName>
    <definedName name="SysObliHLH" localSheetId="17">#REF!</definedName>
    <definedName name="SysObliHLH">#REF!</definedName>
    <definedName name="SysObliLLH" localSheetId="17">#REF!</definedName>
    <definedName name="SysObliLLH">#REF!</definedName>
    <definedName name="TableName">"Dummy"</definedName>
    <definedName name="test">[6]Revenue!$B$4:$C$4</definedName>
    <definedName name="test2">[6]Revenue!#REF!</definedName>
    <definedName name="tp_heading">[4]Data!$H$4</definedName>
    <definedName name="USBRHLH" localSheetId="17">#REF!</definedName>
    <definedName name="USBRHLH">#REF!</definedName>
    <definedName name="USBRLLH" localSheetId="17">#REF!</definedName>
    <definedName name="USBRLLH">#REF!</definedName>
    <definedName name="WNP2Slice" localSheetId="17">#REF!</definedName>
    <definedName name="WNP2Slice">#REF!</definedName>
    <definedName name="Z_285F855B_A32E_43F7_B525_AA4B62B54FC8_.wvu.Rows" localSheetId="17" hidden="1">'2.1 Authorized ROR'!$11:$11,'2.1 Authorized ROR'!$13:$13,'2.1 Authorized ROR'!$27:$27,'2.1 Authorized ROR'!$29:$29</definedName>
    <definedName name="Z_B69DA886_FE85_4C59_8B58_ABA4417CDF00_.wvu.Rows" localSheetId="17" hidden="1">'2.1 Authorized ROR'!$11:$11,'2.1 Authorized ROR'!$13:$13,'2.1 Authorized ROR'!$27:$27,'2.1 Authorized ROR'!$29:$29</definedName>
    <definedName name="Z_F444BC6B_8DE2_48B3_8E29_1A56547ED03E_.wvu.Rows" localSheetId="17" hidden="1">'2.1 Authorized ROR'!$11:$11,'2.1 Authorized ROR'!$13:$13,'2.1 Authorized ROR'!$27:$27,'2.1 Authorized ROR'!$29:$29</definedName>
  </definedNames>
  <calcPr calcId="191029"/>
  <pivotCaches>
    <pivotCache cacheId="0" r:id="rId83"/>
    <pivotCache cacheId="1" r:id="rId84"/>
    <pivotCache cacheId="2" r:id="rId85"/>
    <pivotCache cacheId="3" r:id="rId86"/>
    <pivotCache cacheId="4" r:id="rId87"/>
    <pivotCache cacheId="5" r:id="rId8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27" l="1"/>
  <c r="M34" i="27"/>
  <c r="N93" i="26"/>
  <c r="M93" i="26"/>
  <c r="N92" i="26"/>
  <c r="M92" i="26"/>
  <c r="N83" i="26"/>
  <c r="M83" i="26"/>
  <c r="N82" i="26"/>
  <c r="M82" i="26"/>
  <c r="N91" i="13" l="1"/>
  <c r="M91" i="13"/>
  <c r="N71" i="13"/>
  <c r="M71" i="13"/>
  <c r="N66" i="13"/>
  <c r="M66" i="13"/>
  <c r="N18" i="13"/>
  <c r="M18" i="13"/>
  <c r="I20" i="131"/>
  <c r="I16" i="131"/>
  <c r="I14" i="131"/>
  <c r="I9" i="131"/>
  <c r="I8" i="131"/>
  <c r="H47" i="130"/>
  <c r="H42" i="130"/>
  <c r="H41" i="130"/>
  <c r="H39" i="130"/>
  <c r="H37" i="130"/>
  <c r="H35" i="130"/>
  <c r="H32" i="130"/>
  <c r="H29" i="130"/>
  <c r="H24" i="130"/>
  <c r="H18" i="130"/>
  <c r="I17" i="140"/>
  <c r="G13" i="140"/>
  <c r="G17" i="140" s="1"/>
  <c r="G75" i="36" l="1"/>
  <c r="G78" i="36"/>
  <c r="E66" i="126" l="1"/>
  <c r="G17" i="13" l="1"/>
  <c r="G47" i="13"/>
  <c r="D29" i="33"/>
  <c r="D28" i="33"/>
  <c r="G48" i="137"/>
  <c r="H47" i="137"/>
  <c r="G20" i="27" l="1"/>
  <c r="G19" i="27"/>
  <c r="G61" i="26" l="1"/>
  <c r="F45" i="7"/>
  <c r="E70" i="37"/>
  <c r="E69" i="37"/>
  <c r="G69" i="37"/>
  <c r="F69" i="37"/>
  <c r="J25" i="77" l="1"/>
  <c r="J15" i="77"/>
  <c r="D27" i="33" l="1"/>
  <c r="D26" i="33"/>
  <c r="D20" i="33"/>
  <c r="D21" i="33"/>
  <c r="D22" i="33"/>
  <c r="D19" i="33"/>
  <c r="D18" i="33"/>
  <c r="D17" i="33"/>
  <c r="D16" i="33"/>
  <c r="J42" i="135" l="1"/>
  <c r="D31" i="144"/>
  <c r="D30" i="144"/>
  <c r="D33" i="144" l="1"/>
  <c r="I24" i="144"/>
  <c r="N69" i="26"/>
  <c r="L69" i="26"/>
  <c r="D39" i="7"/>
  <c r="G22" i="27" l="1"/>
  <c r="N92" i="13"/>
  <c r="G257" i="136"/>
  <c r="G286" i="136"/>
  <c r="G277" i="136"/>
  <c r="I262" i="136"/>
  <c r="I264" i="136"/>
  <c r="I266" i="136"/>
  <c r="I267" i="136"/>
  <c r="I268" i="136"/>
  <c r="I271" i="136"/>
  <c r="I273" i="136"/>
  <c r="F17" i="31" l="1"/>
  <c r="L104" i="103"/>
  <c r="F23" i="31"/>
  <c r="F28" i="31"/>
  <c r="F27" i="31"/>
  <c r="F26" i="31"/>
  <c r="F25" i="31"/>
  <c r="F24" i="31"/>
  <c r="F22" i="31"/>
  <c r="F16" i="31"/>
  <c r="L99" i="103"/>
  <c r="L98" i="103"/>
  <c r="L97" i="103"/>
  <c r="L96" i="103"/>
  <c r="L95" i="103"/>
  <c r="L94" i="103"/>
  <c r="L93" i="103"/>
  <c r="L92" i="103"/>
  <c r="L91" i="103"/>
  <c r="L90" i="103"/>
  <c r="L101" i="103" l="1"/>
  <c r="L102" i="103" s="1"/>
  <c r="J52" i="26" l="1"/>
  <c r="D10" i="145"/>
  <c r="D15" i="145" s="1"/>
  <c r="D11" i="145"/>
  <c r="D12" i="145"/>
  <c r="D13" i="145"/>
  <c r="D14" i="145"/>
  <c r="B15" i="145"/>
  <c r="D26" i="145"/>
  <c r="D31" i="145" s="1"/>
  <c r="D27" i="145"/>
  <c r="D28" i="145"/>
  <c r="D29" i="145"/>
  <c r="D30" i="145"/>
  <c r="B31" i="145"/>
  <c r="G12" i="144"/>
  <c r="F12" i="144"/>
  <c r="D12" i="144"/>
  <c r="H23" i="144"/>
  <c r="G100" i="123"/>
  <c r="H12" i="144" s="1"/>
  <c r="G92" i="123"/>
  <c r="G87" i="123"/>
  <c r="G81" i="123"/>
  <c r="F8" i="144" s="1"/>
  <c r="J152" i="124"/>
  <c r="G88" i="123" s="1"/>
  <c r="G11" i="144" s="1"/>
  <c r="I152" i="124"/>
  <c r="G93" i="123" s="1"/>
  <c r="F11" i="144" s="1"/>
  <c r="L5" i="124"/>
  <c r="M5" i="124" s="1"/>
  <c r="L6" i="124"/>
  <c r="M6" i="124" s="1"/>
  <c r="L7" i="124"/>
  <c r="M7" i="124" s="1"/>
  <c r="L8" i="124"/>
  <c r="M8" i="124" s="1"/>
  <c r="L9" i="124"/>
  <c r="M9" i="124" s="1"/>
  <c r="L10" i="124"/>
  <c r="M10" i="124" s="1"/>
  <c r="L11" i="124"/>
  <c r="M11" i="124" s="1"/>
  <c r="L12" i="124"/>
  <c r="M12" i="124" s="1"/>
  <c r="L13" i="124"/>
  <c r="M13" i="124" s="1"/>
  <c r="L14" i="124"/>
  <c r="M14" i="124" s="1"/>
  <c r="L15" i="124"/>
  <c r="M15" i="124" s="1"/>
  <c r="L16" i="124"/>
  <c r="M16" i="124" s="1"/>
  <c r="L17" i="124"/>
  <c r="M17" i="124" s="1"/>
  <c r="L18" i="124"/>
  <c r="M18" i="124" s="1"/>
  <c r="L19" i="124"/>
  <c r="M19" i="124" s="1"/>
  <c r="L20" i="124"/>
  <c r="M20" i="124" s="1"/>
  <c r="L21" i="124"/>
  <c r="M21" i="124" s="1"/>
  <c r="L22" i="124"/>
  <c r="M22" i="124" s="1"/>
  <c r="L23" i="124"/>
  <c r="M23" i="124" s="1"/>
  <c r="L24" i="124"/>
  <c r="M24" i="124" s="1"/>
  <c r="L25" i="124"/>
  <c r="M25" i="124" s="1"/>
  <c r="L26" i="124"/>
  <c r="M26" i="124" s="1"/>
  <c r="L27" i="124"/>
  <c r="M27" i="124" s="1"/>
  <c r="L28" i="124"/>
  <c r="M28" i="124" s="1"/>
  <c r="L29" i="124"/>
  <c r="M29" i="124" s="1"/>
  <c r="L30" i="124"/>
  <c r="M30" i="124" s="1"/>
  <c r="L31" i="124"/>
  <c r="M31" i="124" s="1"/>
  <c r="L32" i="124"/>
  <c r="M32" i="124" s="1"/>
  <c r="L33" i="124"/>
  <c r="M33" i="124" s="1"/>
  <c r="L34" i="124"/>
  <c r="M34" i="124" s="1"/>
  <c r="L35" i="124"/>
  <c r="M35" i="124" s="1"/>
  <c r="L36" i="124"/>
  <c r="M36" i="124" s="1"/>
  <c r="L37" i="124"/>
  <c r="M37" i="124" s="1"/>
  <c r="L38" i="124"/>
  <c r="M38" i="124" s="1"/>
  <c r="L39" i="124"/>
  <c r="M39" i="124" s="1"/>
  <c r="L40" i="124"/>
  <c r="M40" i="124" s="1"/>
  <c r="L41" i="124"/>
  <c r="M41" i="124" s="1"/>
  <c r="L42" i="124"/>
  <c r="M42" i="124" s="1"/>
  <c r="L43" i="124"/>
  <c r="M43" i="124" s="1"/>
  <c r="L44" i="124"/>
  <c r="M44" i="124" s="1"/>
  <c r="L45" i="124"/>
  <c r="M45" i="124" s="1"/>
  <c r="L46" i="124"/>
  <c r="M46" i="124" s="1"/>
  <c r="L47" i="124"/>
  <c r="M47" i="124" s="1"/>
  <c r="L48" i="124"/>
  <c r="M48" i="124" s="1"/>
  <c r="L49" i="124"/>
  <c r="M49" i="124" s="1"/>
  <c r="L50" i="124"/>
  <c r="M50" i="124" s="1"/>
  <c r="L51" i="124"/>
  <c r="M51" i="124" s="1"/>
  <c r="L52" i="124"/>
  <c r="M52" i="124" s="1"/>
  <c r="L53" i="124"/>
  <c r="M53" i="124" s="1"/>
  <c r="L54" i="124"/>
  <c r="M54" i="124" s="1"/>
  <c r="L55" i="124"/>
  <c r="M55" i="124" s="1"/>
  <c r="L56" i="124"/>
  <c r="M56" i="124" s="1"/>
  <c r="L57" i="124"/>
  <c r="M57" i="124" s="1"/>
  <c r="L58" i="124"/>
  <c r="M58" i="124" s="1"/>
  <c r="L59" i="124"/>
  <c r="M59" i="124" s="1"/>
  <c r="L60" i="124"/>
  <c r="M60" i="124" s="1"/>
  <c r="L61" i="124"/>
  <c r="M61" i="124" s="1"/>
  <c r="L62" i="124"/>
  <c r="M62" i="124" s="1"/>
  <c r="L63" i="124"/>
  <c r="M63" i="124" s="1"/>
  <c r="L64" i="124"/>
  <c r="M64" i="124" s="1"/>
  <c r="L65" i="124"/>
  <c r="M65" i="124" s="1"/>
  <c r="L66" i="124"/>
  <c r="M66" i="124" s="1"/>
  <c r="L67" i="124"/>
  <c r="M67" i="124" s="1"/>
  <c r="L68" i="124"/>
  <c r="M68" i="124" s="1"/>
  <c r="L69" i="124"/>
  <c r="M69" i="124" s="1"/>
  <c r="L70" i="124"/>
  <c r="M70" i="124" s="1"/>
  <c r="L71" i="124"/>
  <c r="M71" i="124" s="1"/>
  <c r="L72" i="124"/>
  <c r="M72" i="124" s="1"/>
  <c r="L73" i="124"/>
  <c r="M73" i="124" s="1"/>
  <c r="L74" i="124"/>
  <c r="M74" i="124" s="1"/>
  <c r="L75" i="124"/>
  <c r="M75" i="124" s="1"/>
  <c r="L76" i="124"/>
  <c r="M76" i="124" s="1"/>
  <c r="L77" i="124"/>
  <c r="M77" i="124" s="1"/>
  <c r="L78" i="124"/>
  <c r="M78" i="124" s="1"/>
  <c r="L79" i="124"/>
  <c r="M79" i="124" s="1"/>
  <c r="L80" i="124"/>
  <c r="M80" i="124" s="1"/>
  <c r="L81" i="124"/>
  <c r="M81" i="124" s="1"/>
  <c r="L82" i="124"/>
  <c r="M82" i="124" s="1"/>
  <c r="L83" i="124"/>
  <c r="M83" i="124" s="1"/>
  <c r="L84" i="124"/>
  <c r="M84" i="124" s="1"/>
  <c r="L85" i="124"/>
  <c r="M85" i="124" s="1"/>
  <c r="L86" i="124"/>
  <c r="M86" i="124" s="1"/>
  <c r="L87" i="124"/>
  <c r="M87" i="124" s="1"/>
  <c r="L88" i="124"/>
  <c r="M88" i="124" s="1"/>
  <c r="L89" i="124"/>
  <c r="M89" i="124" s="1"/>
  <c r="L90" i="124"/>
  <c r="M90" i="124" s="1"/>
  <c r="L91" i="124"/>
  <c r="M91" i="124" s="1"/>
  <c r="L92" i="124"/>
  <c r="M92" i="124" s="1"/>
  <c r="L93" i="124"/>
  <c r="M93" i="124" s="1"/>
  <c r="L94" i="124"/>
  <c r="M94" i="124" s="1"/>
  <c r="L95" i="124"/>
  <c r="M95" i="124" s="1"/>
  <c r="L96" i="124"/>
  <c r="M96" i="124" s="1"/>
  <c r="L97" i="124"/>
  <c r="M97" i="124" s="1"/>
  <c r="L98" i="124"/>
  <c r="M98" i="124" s="1"/>
  <c r="L99" i="124"/>
  <c r="M99" i="124" s="1"/>
  <c r="L100" i="124"/>
  <c r="M100" i="124" s="1"/>
  <c r="L101" i="124"/>
  <c r="M101" i="124" s="1"/>
  <c r="L102" i="124"/>
  <c r="M102" i="124" s="1"/>
  <c r="L103" i="124"/>
  <c r="M103" i="124" s="1"/>
  <c r="L104" i="124"/>
  <c r="M104" i="124" s="1"/>
  <c r="L105" i="124"/>
  <c r="M105" i="124" s="1"/>
  <c r="L106" i="124"/>
  <c r="M106" i="124" s="1"/>
  <c r="L107" i="124"/>
  <c r="M107" i="124" s="1"/>
  <c r="L108" i="124"/>
  <c r="M108" i="124" s="1"/>
  <c r="L109" i="124"/>
  <c r="M109" i="124" s="1"/>
  <c r="L110" i="124"/>
  <c r="M110" i="124" s="1"/>
  <c r="L111" i="124"/>
  <c r="M111" i="124" s="1"/>
  <c r="L112" i="124"/>
  <c r="M112" i="124" s="1"/>
  <c r="L113" i="124"/>
  <c r="M113" i="124" s="1"/>
  <c r="L114" i="124"/>
  <c r="M114" i="124" s="1"/>
  <c r="L115" i="124"/>
  <c r="M115" i="124" s="1"/>
  <c r="L116" i="124"/>
  <c r="M116" i="124" s="1"/>
  <c r="L117" i="124"/>
  <c r="M117" i="124" s="1"/>
  <c r="L118" i="124"/>
  <c r="M118" i="124" s="1"/>
  <c r="L119" i="124"/>
  <c r="M119" i="124" s="1"/>
  <c r="L120" i="124"/>
  <c r="M120" i="124" s="1"/>
  <c r="L121" i="124"/>
  <c r="M121" i="124" s="1"/>
  <c r="L122" i="124"/>
  <c r="M122" i="124" s="1"/>
  <c r="L123" i="124"/>
  <c r="M123" i="124" s="1"/>
  <c r="L124" i="124"/>
  <c r="M124" i="124" s="1"/>
  <c r="L125" i="124"/>
  <c r="M125" i="124" s="1"/>
  <c r="L126" i="124"/>
  <c r="M126" i="124" s="1"/>
  <c r="L127" i="124"/>
  <c r="M127" i="124" s="1"/>
  <c r="L128" i="124"/>
  <c r="M128" i="124" s="1"/>
  <c r="L129" i="124"/>
  <c r="M129" i="124" s="1"/>
  <c r="L130" i="124"/>
  <c r="M130" i="124" s="1"/>
  <c r="L131" i="124"/>
  <c r="M131" i="124" s="1"/>
  <c r="L132" i="124"/>
  <c r="M132" i="124" s="1"/>
  <c r="L133" i="124"/>
  <c r="M133" i="124" s="1"/>
  <c r="L134" i="124"/>
  <c r="M134" i="124" s="1"/>
  <c r="L135" i="124"/>
  <c r="M135" i="124" s="1"/>
  <c r="L136" i="124"/>
  <c r="M136" i="124" s="1"/>
  <c r="L137" i="124"/>
  <c r="M137" i="124" s="1"/>
  <c r="L138" i="124"/>
  <c r="M138" i="124" s="1"/>
  <c r="L139" i="124"/>
  <c r="M139" i="124" s="1"/>
  <c r="L140" i="124"/>
  <c r="M140" i="124" s="1"/>
  <c r="L141" i="124"/>
  <c r="M141" i="124" s="1"/>
  <c r="L142" i="124"/>
  <c r="M142" i="124" s="1"/>
  <c r="L143" i="124"/>
  <c r="M143" i="124" s="1"/>
  <c r="L144" i="124"/>
  <c r="M144" i="124" s="1"/>
  <c r="L145" i="124"/>
  <c r="M145" i="124" s="1"/>
  <c r="L146" i="124"/>
  <c r="M146" i="124" s="1"/>
  <c r="L147" i="124"/>
  <c r="M147" i="124" s="1"/>
  <c r="L148" i="124"/>
  <c r="M148" i="124" s="1"/>
  <c r="L149" i="124"/>
  <c r="M149" i="124" s="1"/>
  <c r="L150" i="124"/>
  <c r="M150" i="124" s="1"/>
  <c r="L4" i="124"/>
  <c r="M4" i="124" s="1"/>
  <c r="E152" i="124"/>
  <c r="K151" i="124"/>
  <c r="L151" i="124" s="1"/>
  <c r="M151" i="124" s="1"/>
  <c r="H8" i="144"/>
  <c r="I9" i="144"/>
  <c r="J9" i="144"/>
  <c r="D10" i="144"/>
  <c r="F10" i="144"/>
  <c r="G10" i="144"/>
  <c r="H10" i="144"/>
  <c r="D11" i="144"/>
  <c r="I15" i="144"/>
  <c r="J15" i="144"/>
  <c r="I18" i="144"/>
  <c r="J18" i="144"/>
  <c r="I19" i="144"/>
  <c r="J19" i="144"/>
  <c r="D20" i="144"/>
  <c r="F20" i="144"/>
  <c r="G20" i="144"/>
  <c r="I21" i="144"/>
  <c r="J21" i="144"/>
  <c r="D22" i="144"/>
  <c r="F22" i="144"/>
  <c r="G22" i="144"/>
  <c r="H22" i="144"/>
  <c r="F23" i="144"/>
  <c r="G23" i="144"/>
  <c r="J24" i="144"/>
  <c r="D32" i="144"/>
  <c r="K157" i="124"/>
  <c r="J157" i="124"/>
  <c r="I157" i="124"/>
  <c r="K156" i="124"/>
  <c r="J156" i="124"/>
  <c r="I156" i="124"/>
  <c r="E157" i="124"/>
  <c r="E156" i="124"/>
  <c r="G14" i="144" l="1"/>
  <c r="K152" i="124"/>
  <c r="G99" i="123" s="1"/>
  <c r="H11" i="144" s="1"/>
  <c r="H16" i="144" s="1"/>
  <c r="F25" i="144"/>
  <c r="J22" i="144"/>
  <c r="G25" i="144"/>
  <c r="I12" i="144"/>
  <c r="J12" i="144"/>
  <c r="J20" i="144"/>
  <c r="I20" i="144"/>
  <c r="H30" i="144"/>
  <c r="G30" i="144"/>
  <c r="F30" i="144"/>
  <c r="H25" i="144"/>
  <c r="H27" i="144"/>
  <c r="G27" i="144"/>
  <c r="J10" i="144"/>
  <c r="I10" i="144"/>
  <c r="F27" i="144"/>
  <c r="H14" i="144" l="1"/>
  <c r="J11" i="144"/>
  <c r="I11" i="144"/>
  <c r="I35" i="77" l="1"/>
  <c r="I34" i="77"/>
  <c r="H35" i="77"/>
  <c r="H34" i="77"/>
  <c r="H33" i="77"/>
  <c r="G35" i="77"/>
  <c r="G34" i="77"/>
  <c r="G33" i="77"/>
  <c r="F35" i="77"/>
  <c r="F34" i="77"/>
  <c r="F33" i="77"/>
  <c r="E35" i="77"/>
  <c r="E34" i="77"/>
  <c r="E33" i="77"/>
  <c r="D35" i="77"/>
  <c r="D34" i="77"/>
  <c r="D33" i="77"/>
  <c r="I17" i="77" l="1"/>
  <c r="H17" i="77"/>
  <c r="G17" i="77"/>
  <c r="F17" i="77"/>
  <c r="E17" i="77"/>
  <c r="D17" i="77"/>
  <c r="I15" i="77"/>
  <c r="H15" i="77"/>
  <c r="G15" i="77"/>
  <c r="F15" i="77"/>
  <c r="E15" i="77"/>
  <c r="D15" i="77"/>
  <c r="H41" i="143"/>
  <c r="G41" i="143"/>
  <c r="F41" i="143"/>
  <c r="E41" i="143"/>
  <c r="D41" i="143"/>
  <c r="C41" i="143"/>
  <c r="H40" i="143"/>
  <c r="G40" i="143"/>
  <c r="F40" i="143"/>
  <c r="E40" i="143"/>
  <c r="D40" i="143"/>
  <c r="C40" i="143"/>
  <c r="J17" i="77" l="1"/>
  <c r="J53" i="26"/>
  <c r="J36" i="134"/>
  <c r="M57" i="134"/>
  <c r="L57" i="134"/>
  <c r="K57" i="134"/>
  <c r="J37" i="134"/>
  <c r="L17" i="134" l="1"/>
  <c r="M17" i="134"/>
  <c r="N17" i="134"/>
  <c r="O17" i="134"/>
  <c r="P17" i="134"/>
  <c r="Q17" i="134"/>
  <c r="I17" i="134"/>
  <c r="J17" i="134"/>
  <c r="H17" i="134"/>
  <c r="G98" i="123" l="1"/>
  <c r="G95" i="123"/>
  <c r="G82" i="123"/>
  <c r="G8" i="144" s="1"/>
  <c r="K30" i="139"/>
  <c r="D57" i="138"/>
  <c r="E57" i="138" s="1"/>
  <c r="C57" i="138"/>
  <c r="I56" i="138"/>
  <c r="I57" i="138" s="1"/>
  <c r="H56" i="138"/>
  <c r="H57" i="138" s="1"/>
  <c r="D56" i="138"/>
  <c r="E56" i="138" s="1"/>
  <c r="C56" i="138"/>
  <c r="G16" i="144" l="1"/>
  <c r="D13" i="144"/>
  <c r="F13" i="144"/>
  <c r="J57" i="138"/>
  <c r="K57" i="138" s="1"/>
  <c r="G57" i="138"/>
  <c r="F57" i="138"/>
  <c r="F56" i="138"/>
  <c r="G56" i="138"/>
  <c r="J56" i="138"/>
  <c r="K56" i="138" s="1"/>
  <c r="I13" i="144" l="1"/>
  <c r="F16" i="144"/>
  <c r="F14" i="144"/>
  <c r="D14" i="144"/>
  <c r="J13" i="144"/>
  <c r="F132" i="136"/>
  <c r="E256" i="136"/>
  <c r="I14" i="144" l="1"/>
  <c r="J14" i="144"/>
  <c r="L148" i="13"/>
  <c r="I15" i="131" l="1"/>
  <c r="F15" i="130"/>
  <c r="H30" i="130"/>
  <c r="H38" i="130"/>
  <c r="G18" i="131"/>
  <c r="G19" i="131"/>
  <c r="H40" i="130"/>
  <c r="F33" i="130"/>
  <c r="F14" i="130"/>
  <c r="F28" i="130"/>
  <c r="H43" i="130"/>
  <c r="H44" i="130"/>
  <c r="F45" i="130"/>
  <c r="H34" i="130"/>
  <c r="H31" i="130"/>
  <c r="H46" i="130"/>
  <c r="H11" i="130"/>
  <c r="F12" i="130"/>
  <c r="H13" i="130"/>
  <c r="H15" i="130"/>
  <c r="H16" i="130"/>
  <c r="G26" i="133"/>
  <c r="G25" i="133"/>
  <c r="G23" i="133"/>
  <c r="G24" i="133"/>
  <c r="G22" i="133"/>
  <c r="G17" i="133"/>
  <c r="G21" i="133"/>
  <c r="G27" i="133"/>
  <c r="M24" i="106"/>
  <c r="G20" i="133"/>
  <c r="G18" i="133"/>
  <c r="I10" i="131"/>
  <c r="G17" i="131"/>
  <c r="G11" i="131"/>
  <c r="I13" i="131"/>
  <c r="I12" i="131"/>
  <c r="G17" i="132" l="1"/>
  <c r="G16" i="132"/>
  <c r="G15" i="132"/>
  <c r="G13" i="132"/>
  <c r="E292" i="136" l="1"/>
  <c r="E260" i="136"/>
  <c r="I296" i="136"/>
  <c r="I295" i="136"/>
  <c r="I294" i="136"/>
  <c r="H52" i="137"/>
  <c r="L34" i="27" s="1"/>
  <c r="H8" i="137"/>
  <c r="H9" i="137"/>
  <c r="H10" i="137"/>
  <c r="H11" i="137"/>
  <c r="H12" i="137"/>
  <c r="H13" i="137"/>
  <c r="H43" i="137"/>
  <c r="H44" i="137"/>
  <c r="H45" i="137"/>
  <c r="H46" i="137"/>
  <c r="H38" i="137"/>
  <c r="H39" i="137"/>
  <c r="H40" i="137"/>
  <c r="H41" i="137"/>
  <c r="H42" i="137"/>
  <c r="H35" i="137"/>
  <c r="H36" i="137"/>
  <c r="H37" i="137"/>
  <c r="H31" i="137"/>
  <c r="H32" i="137"/>
  <c r="H33" i="137"/>
  <c r="H34" i="137"/>
  <c r="H30" i="137"/>
  <c r="H29" i="137"/>
  <c r="H28" i="137"/>
  <c r="H27" i="137"/>
  <c r="H26" i="137"/>
  <c r="H21" i="137"/>
  <c r="H5" i="137"/>
  <c r="H6" i="137"/>
  <c r="H7" i="137"/>
  <c r="H14" i="137"/>
  <c r="H15" i="137"/>
  <c r="H16" i="137"/>
  <c r="H17" i="137"/>
  <c r="H18" i="137"/>
  <c r="H19" i="137"/>
  <c r="H20" i="137"/>
  <c r="H22" i="137"/>
  <c r="H23" i="137"/>
  <c r="H24" i="137"/>
  <c r="K24" i="137" s="1"/>
  <c r="H25" i="137"/>
  <c r="D65" i="126"/>
  <c r="D9" i="126"/>
  <c r="D10" i="126"/>
  <c r="H54" i="137" l="1"/>
  <c r="H48" i="137"/>
  <c r="I83" i="127"/>
  <c r="D24" i="126" l="1"/>
  <c r="E128" i="128" l="1"/>
  <c r="G128" i="128"/>
  <c r="F128" i="128"/>
  <c r="Q17" i="127"/>
  <c r="D11" i="126" l="1"/>
  <c r="D12" i="126"/>
  <c r="D13" i="126"/>
  <c r="D14" i="126"/>
  <c r="D15" i="126"/>
  <c r="D16" i="126"/>
  <c r="D17" i="126"/>
  <c r="D18" i="126"/>
  <c r="D19" i="126"/>
  <c r="D22" i="126" l="1"/>
  <c r="G300" i="136"/>
  <c r="E299" i="136"/>
  <c r="E298" i="136"/>
  <c r="E297" i="136"/>
  <c r="E291" i="136"/>
  <c r="G290" i="136"/>
  <c r="E289" i="136"/>
  <c r="E288" i="136"/>
  <c r="E287" i="136"/>
  <c r="G285" i="136"/>
  <c r="G284" i="136"/>
  <c r="G283" i="136"/>
  <c r="H279" i="136"/>
  <c r="G276" i="136"/>
  <c r="G275" i="136"/>
  <c r="E274" i="136"/>
  <c r="E272" i="136"/>
  <c r="G261" i="136"/>
  <c r="E259" i="136"/>
  <c r="G258" i="136"/>
  <c r="G52" i="26"/>
  <c r="G93" i="26" l="1"/>
  <c r="G92" i="26"/>
  <c r="G91" i="26"/>
  <c r="G96" i="26"/>
  <c r="G89" i="26"/>
  <c r="G90" i="26"/>
  <c r="G88" i="26"/>
  <c r="G86" i="26"/>
  <c r="G84" i="26"/>
  <c r="G6" i="140" l="1"/>
  <c r="G8" i="140"/>
  <c r="G9" i="140"/>
  <c r="B11" i="140"/>
  <c r="C11" i="140"/>
  <c r="D11" i="140"/>
  <c r="G11" i="140"/>
  <c r="G15" i="140"/>
  <c r="B17" i="140"/>
  <c r="C17" i="140"/>
  <c r="D17" i="140"/>
  <c r="E17" i="140"/>
  <c r="F17" i="140"/>
  <c r="L30" i="139"/>
  <c r="E48" i="137"/>
  <c r="F48" i="137"/>
  <c r="H53" i="137"/>
  <c r="I8" i="136"/>
  <c r="L8" i="136"/>
  <c r="I9" i="136"/>
  <c r="L9" i="136"/>
  <c r="I10" i="136"/>
  <c r="L10" i="136"/>
  <c r="I11" i="136"/>
  <c r="L11" i="136"/>
  <c r="I12" i="136"/>
  <c r="L12" i="136"/>
  <c r="I13" i="136"/>
  <c r="L13" i="136"/>
  <c r="D14" i="136"/>
  <c r="D17" i="136" s="1"/>
  <c r="E14" i="136"/>
  <c r="E17" i="136" s="1"/>
  <c r="F14" i="136"/>
  <c r="F17" i="136" s="1"/>
  <c r="G14" i="136"/>
  <c r="G17" i="136" s="1"/>
  <c r="H14" i="136"/>
  <c r="H17" i="136" s="1"/>
  <c r="H28" i="136" s="1"/>
  <c r="J14" i="136"/>
  <c r="J17" i="136" s="1"/>
  <c r="K14" i="136"/>
  <c r="K17" i="136" s="1"/>
  <c r="F20" i="136"/>
  <c r="I20" i="136"/>
  <c r="L20" i="136"/>
  <c r="F21" i="136"/>
  <c r="I21" i="136"/>
  <c r="L21" i="136"/>
  <c r="F22" i="136"/>
  <c r="I22" i="136"/>
  <c r="L22" i="136"/>
  <c r="F23" i="136"/>
  <c r="I23" i="136"/>
  <c r="L23" i="136"/>
  <c r="F24" i="136"/>
  <c r="I24" i="136"/>
  <c r="L24" i="136"/>
  <c r="F25" i="136"/>
  <c r="I25" i="136"/>
  <c r="L25" i="136"/>
  <c r="F26" i="136"/>
  <c r="I26" i="136"/>
  <c r="L26" i="136"/>
  <c r="D27" i="136"/>
  <c r="E27" i="136"/>
  <c r="G27" i="136"/>
  <c r="H27" i="136"/>
  <c r="J27" i="136"/>
  <c r="K27" i="136"/>
  <c r="D47" i="136"/>
  <c r="E47" i="136"/>
  <c r="F47" i="136"/>
  <c r="G47" i="136"/>
  <c r="H47" i="136"/>
  <c r="I47" i="136"/>
  <c r="J47" i="136"/>
  <c r="K47" i="136"/>
  <c r="L47" i="136"/>
  <c r="D65" i="136"/>
  <c r="E65" i="136"/>
  <c r="F65" i="136"/>
  <c r="G65" i="136"/>
  <c r="H65" i="136"/>
  <c r="I65" i="136"/>
  <c r="J65" i="136"/>
  <c r="K65" i="136"/>
  <c r="L65" i="136"/>
  <c r="D80" i="136"/>
  <c r="E80" i="136"/>
  <c r="F80" i="136"/>
  <c r="G80" i="136"/>
  <c r="H80" i="136"/>
  <c r="I80" i="136"/>
  <c r="J80" i="136"/>
  <c r="K80" i="136"/>
  <c r="L80" i="136"/>
  <c r="D86" i="136"/>
  <c r="E86" i="136"/>
  <c r="F86" i="136"/>
  <c r="G86" i="136"/>
  <c r="H86" i="136"/>
  <c r="I86" i="136"/>
  <c r="J86" i="136"/>
  <c r="K86" i="136"/>
  <c r="L86" i="136"/>
  <c r="D108" i="136"/>
  <c r="E108" i="136"/>
  <c r="F108" i="136"/>
  <c r="F134" i="136" s="1"/>
  <c r="G108" i="136"/>
  <c r="H108" i="136"/>
  <c r="I108" i="136"/>
  <c r="J108" i="136"/>
  <c r="K108" i="136"/>
  <c r="L108" i="136"/>
  <c r="L134" i="136" s="1"/>
  <c r="D132" i="136"/>
  <c r="E132" i="136"/>
  <c r="G132" i="136"/>
  <c r="H132" i="136"/>
  <c r="I132" i="136"/>
  <c r="J132" i="136"/>
  <c r="K132" i="136"/>
  <c r="L132" i="136"/>
  <c r="D160" i="136"/>
  <c r="D167" i="136" s="1"/>
  <c r="E160" i="136"/>
  <c r="E167" i="136" s="1"/>
  <c r="F160" i="136"/>
  <c r="F167" i="136" s="1"/>
  <c r="G160" i="136"/>
  <c r="G167" i="136" s="1"/>
  <c r="H160" i="136"/>
  <c r="H167" i="136" s="1"/>
  <c r="I160" i="136"/>
  <c r="I167" i="136" s="1"/>
  <c r="J160" i="136"/>
  <c r="J167" i="136" s="1"/>
  <c r="K160" i="136"/>
  <c r="K167" i="136" s="1"/>
  <c r="L160" i="136"/>
  <c r="L167" i="136" s="1"/>
  <c r="D175" i="136"/>
  <c r="E175" i="136"/>
  <c r="F175" i="136"/>
  <c r="G175" i="136"/>
  <c r="H175" i="136"/>
  <c r="I175" i="136"/>
  <c r="J175" i="136"/>
  <c r="K175" i="136"/>
  <c r="L175" i="136"/>
  <c r="D181" i="136"/>
  <c r="E181" i="136"/>
  <c r="F181" i="136"/>
  <c r="G181" i="136"/>
  <c r="H181" i="136"/>
  <c r="I181" i="136"/>
  <c r="J181" i="136"/>
  <c r="K181" i="136"/>
  <c r="L181" i="136"/>
  <c r="D187" i="136"/>
  <c r="E187" i="136"/>
  <c r="F187" i="136"/>
  <c r="G187" i="136"/>
  <c r="H187" i="136"/>
  <c r="I187" i="136"/>
  <c r="J187" i="136"/>
  <c r="K187" i="136"/>
  <c r="L187" i="136"/>
  <c r="D202" i="136"/>
  <c r="D235" i="136" s="1"/>
  <c r="E202" i="136"/>
  <c r="E235" i="136" s="1"/>
  <c r="F202" i="136"/>
  <c r="F235" i="136" s="1"/>
  <c r="G202" i="136"/>
  <c r="H202" i="136"/>
  <c r="H235" i="136" s="1"/>
  <c r="I202" i="136"/>
  <c r="I235" i="136" s="1"/>
  <c r="J202" i="136"/>
  <c r="J235" i="136" s="1"/>
  <c r="K202" i="136"/>
  <c r="K235" i="136" s="1"/>
  <c r="L202" i="136"/>
  <c r="L235" i="136" s="1"/>
  <c r="D233" i="136"/>
  <c r="E233" i="136"/>
  <c r="F233" i="136"/>
  <c r="G233" i="136"/>
  <c r="H233" i="136"/>
  <c r="I233" i="136"/>
  <c r="J233" i="136"/>
  <c r="K233" i="136"/>
  <c r="L233" i="136"/>
  <c r="G235" i="136"/>
  <c r="I302" i="136"/>
  <c r="H34" i="135"/>
  <c r="I34" i="135"/>
  <c r="J34" i="135"/>
  <c r="L34" i="135"/>
  <c r="M34" i="135"/>
  <c r="N34" i="135"/>
  <c r="O34" i="135"/>
  <c r="P34" i="135"/>
  <c r="J36" i="135"/>
  <c r="G30" i="32" s="1"/>
  <c r="C20" i="32" s="1"/>
  <c r="J28" i="134"/>
  <c r="J29" i="134"/>
  <c r="J30" i="134"/>
  <c r="J34" i="134"/>
  <c r="G46" i="134"/>
  <c r="G50" i="134" s="1"/>
  <c r="G6" i="133"/>
  <c r="G7" i="133"/>
  <c r="E8" i="133"/>
  <c r="E28" i="133" s="1"/>
  <c r="L149" i="13" s="1"/>
  <c r="G9" i="133"/>
  <c r="G10" i="133"/>
  <c r="G11" i="133"/>
  <c r="G12" i="133"/>
  <c r="G13" i="133"/>
  <c r="G14" i="133"/>
  <c r="G15" i="133"/>
  <c r="G16" i="133"/>
  <c r="D28" i="133"/>
  <c r="D29" i="133" s="1"/>
  <c r="F28" i="133"/>
  <c r="M149" i="13" s="1"/>
  <c r="G8" i="132"/>
  <c r="E19" i="132"/>
  <c r="G9" i="132"/>
  <c r="G10" i="132"/>
  <c r="G11" i="132"/>
  <c r="G12" i="132"/>
  <c r="G18" i="132"/>
  <c r="D19" i="132"/>
  <c r="F19" i="132"/>
  <c r="M148" i="13" s="1"/>
  <c r="N8" i="131"/>
  <c r="N10" i="131"/>
  <c r="N11" i="131"/>
  <c r="N12" i="131"/>
  <c r="N15" i="131"/>
  <c r="N17" i="131"/>
  <c r="N18" i="131"/>
  <c r="N19" i="131"/>
  <c r="N20" i="131"/>
  <c r="F21" i="131"/>
  <c r="F22" i="131" s="1"/>
  <c r="H7" i="130"/>
  <c r="H8" i="130"/>
  <c r="H9" i="130"/>
  <c r="H10" i="130"/>
  <c r="F17" i="130"/>
  <c r="H19" i="130"/>
  <c r="H20" i="130"/>
  <c r="H21" i="130"/>
  <c r="H22" i="130"/>
  <c r="H23" i="130"/>
  <c r="H25" i="130"/>
  <c r="H26" i="130"/>
  <c r="H27" i="130"/>
  <c r="E48" i="130"/>
  <c r="E49" i="130"/>
  <c r="D12" i="129"/>
  <c r="E12" i="129"/>
  <c r="I12" i="129"/>
  <c r="J12" i="129"/>
  <c r="L12" i="129"/>
  <c r="M12" i="129"/>
  <c r="O12" i="129"/>
  <c r="P12" i="129"/>
  <c r="D17" i="129"/>
  <c r="E17" i="129"/>
  <c r="H17" i="129"/>
  <c r="H50" i="129" s="1"/>
  <c r="J17" i="129"/>
  <c r="K17" i="129"/>
  <c r="M17" i="129"/>
  <c r="D25" i="129"/>
  <c r="E25" i="129"/>
  <c r="F25" i="129"/>
  <c r="G25" i="129"/>
  <c r="I25" i="129"/>
  <c r="J25" i="129"/>
  <c r="L25" i="129"/>
  <c r="M25" i="129"/>
  <c r="O25" i="129"/>
  <c r="P25" i="129"/>
  <c r="D38" i="129"/>
  <c r="E38" i="129"/>
  <c r="F38" i="129"/>
  <c r="G38" i="129"/>
  <c r="H38" i="129"/>
  <c r="I38" i="129"/>
  <c r="J38" i="129"/>
  <c r="K38" i="129"/>
  <c r="L38" i="129"/>
  <c r="M38" i="129"/>
  <c r="N38" i="129"/>
  <c r="O38" i="129"/>
  <c r="P38" i="129"/>
  <c r="D48" i="129"/>
  <c r="D50" i="129" s="1"/>
  <c r="E48" i="129"/>
  <c r="E50" i="129" s="1"/>
  <c r="F48" i="129"/>
  <c r="F50" i="129" s="1"/>
  <c r="G48" i="129"/>
  <c r="G50" i="129" s="1"/>
  <c r="I48" i="129"/>
  <c r="I50" i="129" s="1"/>
  <c r="J48" i="129"/>
  <c r="J50" i="129" s="1"/>
  <c r="L48" i="129"/>
  <c r="M48" i="129"/>
  <c r="O48" i="129"/>
  <c r="P48" i="129"/>
  <c r="P50" i="129" s="1"/>
  <c r="K50" i="129"/>
  <c r="L50" i="129"/>
  <c r="M50" i="129"/>
  <c r="N50" i="129"/>
  <c r="O50" i="129"/>
  <c r="D73" i="129"/>
  <c r="E73" i="129"/>
  <c r="H73" i="129"/>
  <c r="I73" i="129"/>
  <c r="J73" i="129"/>
  <c r="K73" i="129"/>
  <c r="L73" i="129"/>
  <c r="M73" i="129"/>
  <c r="N73" i="129"/>
  <c r="O73" i="129"/>
  <c r="P73" i="129"/>
  <c r="D79" i="129"/>
  <c r="E79" i="129"/>
  <c r="H79" i="129"/>
  <c r="I79" i="129"/>
  <c r="J79" i="129"/>
  <c r="K79" i="129"/>
  <c r="L79" i="129"/>
  <c r="M79" i="129"/>
  <c r="N79" i="129"/>
  <c r="O79" i="129"/>
  <c r="P79" i="129"/>
  <c r="D85" i="129"/>
  <c r="E85" i="129"/>
  <c r="H85" i="129"/>
  <c r="I85" i="129"/>
  <c r="J85" i="129"/>
  <c r="K85" i="129"/>
  <c r="L85" i="129"/>
  <c r="M85" i="129"/>
  <c r="N85" i="129"/>
  <c r="O85" i="129"/>
  <c r="P85" i="129"/>
  <c r="D90" i="129"/>
  <c r="F90" i="129"/>
  <c r="G90" i="129"/>
  <c r="D97" i="129"/>
  <c r="F97" i="129"/>
  <c r="G97" i="129"/>
  <c r="D112" i="129"/>
  <c r="D114" i="129" s="1"/>
  <c r="E112" i="129"/>
  <c r="E114" i="129" s="1"/>
  <c r="F112" i="129"/>
  <c r="F114" i="129" s="1"/>
  <c r="G112" i="129"/>
  <c r="G114" i="129" s="1"/>
  <c r="H112" i="129"/>
  <c r="H114" i="129" s="1"/>
  <c r="I112" i="129"/>
  <c r="I114" i="129" s="1"/>
  <c r="J112" i="129"/>
  <c r="J114" i="129" s="1"/>
  <c r="K112" i="129"/>
  <c r="L112" i="129"/>
  <c r="M112" i="129"/>
  <c r="N112" i="129"/>
  <c r="O112" i="129"/>
  <c r="O114" i="129" s="1"/>
  <c r="P112" i="129"/>
  <c r="P114" i="129" s="1"/>
  <c r="K114" i="129"/>
  <c r="L114" i="129"/>
  <c r="M114" i="129"/>
  <c r="N114" i="129"/>
  <c r="M126" i="129"/>
  <c r="M127" i="129"/>
  <c r="M128" i="129"/>
  <c r="M130" i="129"/>
  <c r="M129" i="129" s="1"/>
  <c r="M133" i="129"/>
  <c r="M134" i="129"/>
  <c r="M135" i="129"/>
  <c r="M136" i="129"/>
  <c r="M137" i="129" s="1"/>
  <c r="D16" i="128"/>
  <c r="E16" i="128"/>
  <c r="H16" i="128"/>
  <c r="I16" i="128"/>
  <c r="J16" i="128"/>
  <c r="K16" i="128"/>
  <c r="L16" i="128"/>
  <c r="M16" i="128"/>
  <c r="N16" i="128"/>
  <c r="O16" i="128"/>
  <c r="P16" i="128"/>
  <c r="D22" i="128"/>
  <c r="E22" i="128"/>
  <c r="H22" i="128"/>
  <c r="I22" i="128"/>
  <c r="J22" i="128"/>
  <c r="K22" i="128"/>
  <c r="L22" i="128"/>
  <c r="M22" i="128"/>
  <c r="N22" i="128"/>
  <c r="O22" i="128"/>
  <c r="P22" i="128"/>
  <c r="D28" i="128"/>
  <c r="E28" i="128"/>
  <c r="H28" i="128"/>
  <c r="I28" i="128"/>
  <c r="J28" i="128"/>
  <c r="K28" i="128"/>
  <c r="L28" i="128"/>
  <c r="M28" i="128"/>
  <c r="N28" i="128"/>
  <c r="O28" i="128"/>
  <c r="P28" i="128"/>
  <c r="D33" i="128"/>
  <c r="F33" i="128"/>
  <c r="G33" i="128"/>
  <c r="D40" i="128"/>
  <c r="F40" i="128"/>
  <c r="G40" i="128"/>
  <c r="D55" i="128"/>
  <c r="D57" i="128" s="1"/>
  <c r="E55" i="128"/>
  <c r="E57" i="128" s="1"/>
  <c r="F55" i="128"/>
  <c r="F57" i="128" s="1"/>
  <c r="G55" i="128"/>
  <c r="G57" i="128" s="1"/>
  <c r="H55" i="128"/>
  <c r="I55" i="128"/>
  <c r="J55" i="128"/>
  <c r="J57" i="128" s="1"/>
  <c r="K55" i="128"/>
  <c r="K57" i="128" s="1"/>
  <c r="L55" i="128"/>
  <c r="L57" i="128" s="1"/>
  <c r="M55" i="128"/>
  <c r="M57" i="128" s="1"/>
  <c r="N55" i="128"/>
  <c r="N57" i="128" s="1"/>
  <c r="O55" i="128"/>
  <c r="O57" i="128" s="1"/>
  <c r="P55" i="128"/>
  <c r="P57" i="128" s="1"/>
  <c r="H57" i="128"/>
  <c r="I57" i="128"/>
  <c r="D59" i="128"/>
  <c r="D128" i="128" s="1"/>
  <c r="E59" i="128"/>
  <c r="E130" i="128" s="1"/>
  <c r="F59" i="128"/>
  <c r="D52" i="126" s="1"/>
  <c r="D66" i="126" s="1"/>
  <c r="G59" i="128"/>
  <c r="G130" i="128" s="1"/>
  <c r="D84" i="128"/>
  <c r="E84" i="128"/>
  <c r="I84" i="128"/>
  <c r="J84" i="128"/>
  <c r="L84" i="128"/>
  <c r="M84" i="128"/>
  <c r="O84" i="128"/>
  <c r="P84" i="128"/>
  <c r="D89" i="128"/>
  <c r="E89" i="128"/>
  <c r="H89" i="128"/>
  <c r="J89" i="128"/>
  <c r="K89" i="128"/>
  <c r="M89" i="128"/>
  <c r="D97" i="128"/>
  <c r="E97" i="128"/>
  <c r="F97" i="128"/>
  <c r="G97" i="128"/>
  <c r="I97" i="128"/>
  <c r="J97" i="128"/>
  <c r="L97" i="128"/>
  <c r="M97" i="128"/>
  <c r="O97" i="128"/>
  <c r="P97" i="128"/>
  <c r="D110" i="128"/>
  <c r="E110" i="128"/>
  <c r="F110" i="128"/>
  <c r="G110" i="128"/>
  <c r="H110" i="128"/>
  <c r="I110" i="128"/>
  <c r="J110" i="128"/>
  <c r="K110" i="128"/>
  <c r="L110" i="128"/>
  <c r="M110" i="128"/>
  <c r="O110" i="128"/>
  <c r="P110" i="128"/>
  <c r="D124" i="128"/>
  <c r="E124" i="128"/>
  <c r="E126" i="128" s="1"/>
  <c r="F124" i="128"/>
  <c r="G124" i="128"/>
  <c r="H124" i="128"/>
  <c r="I124" i="128"/>
  <c r="J124" i="128"/>
  <c r="K124" i="128"/>
  <c r="L124" i="128"/>
  <c r="L126" i="128" s="1"/>
  <c r="M124" i="128"/>
  <c r="M126" i="128" s="1"/>
  <c r="N124" i="128"/>
  <c r="N126" i="128" s="1"/>
  <c r="O124" i="128"/>
  <c r="O126" i="128" s="1"/>
  <c r="P124" i="128"/>
  <c r="P126" i="128" s="1"/>
  <c r="F126" i="128"/>
  <c r="G126" i="128"/>
  <c r="H126" i="128"/>
  <c r="D130" i="128"/>
  <c r="E16" i="127"/>
  <c r="F16" i="127"/>
  <c r="G16" i="127"/>
  <c r="H16" i="127"/>
  <c r="I16" i="127"/>
  <c r="J16" i="127"/>
  <c r="K16" i="127"/>
  <c r="L16" i="127"/>
  <c r="M16" i="127"/>
  <c r="N16" i="127"/>
  <c r="O16" i="127"/>
  <c r="P16" i="127"/>
  <c r="I17" i="127"/>
  <c r="M17" i="127"/>
  <c r="P17" i="127"/>
  <c r="E25" i="127"/>
  <c r="F25" i="127"/>
  <c r="G25" i="127"/>
  <c r="H25" i="127"/>
  <c r="I25" i="127"/>
  <c r="J25" i="127"/>
  <c r="K25" i="127"/>
  <c r="L25" i="127"/>
  <c r="M25" i="127"/>
  <c r="N25" i="127"/>
  <c r="O25" i="127"/>
  <c r="P25" i="127"/>
  <c r="I26" i="127"/>
  <c r="M26" i="127"/>
  <c r="P26" i="127"/>
  <c r="Q26" i="127"/>
  <c r="E34" i="127"/>
  <c r="F34" i="127"/>
  <c r="G34" i="127"/>
  <c r="H34" i="127"/>
  <c r="I34" i="127"/>
  <c r="J34" i="127"/>
  <c r="K34" i="127"/>
  <c r="L34" i="127"/>
  <c r="L81" i="127" s="1"/>
  <c r="M34" i="127"/>
  <c r="M81" i="127" s="1"/>
  <c r="N34" i="127"/>
  <c r="N81" i="127" s="1"/>
  <c r="O34" i="127"/>
  <c r="O81" i="127" s="1"/>
  <c r="P34" i="127"/>
  <c r="P81" i="127" s="1"/>
  <c r="I35" i="127"/>
  <c r="M35" i="127"/>
  <c r="P35" i="127"/>
  <c r="Q35" i="127"/>
  <c r="I44" i="127"/>
  <c r="M44" i="127"/>
  <c r="P44" i="127"/>
  <c r="Q44" i="127"/>
  <c r="Q81" i="127" s="1"/>
  <c r="E52" i="127"/>
  <c r="F52" i="127"/>
  <c r="F81" i="127" s="1"/>
  <c r="G52" i="127"/>
  <c r="H52" i="127"/>
  <c r="I52" i="127"/>
  <c r="J52" i="127"/>
  <c r="K52" i="127"/>
  <c r="L52" i="127"/>
  <c r="M52" i="127"/>
  <c r="N52" i="127"/>
  <c r="O52" i="127"/>
  <c r="P52" i="127"/>
  <c r="I53" i="127"/>
  <c r="M53" i="127"/>
  <c r="P53" i="127"/>
  <c r="Q53" i="127"/>
  <c r="E61" i="127"/>
  <c r="F61" i="127"/>
  <c r="G61" i="127"/>
  <c r="H61" i="127"/>
  <c r="I61" i="127"/>
  <c r="J61" i="127"/>
  <c r="K61" i="127"/>
  <c r="L61" i="127"/>
  <c r="M61" i="127"/>
  <c r="N61" i="127"/>
  <c r="O61" i="127"/>
  <c r="P61" i="127"/>
  <c r="I62" i="127"/>
  <c r="M62" i="127"/>
  <c r="P62" i="127"/>
  <c r="Q62" i="127"/>
  <c r="E70" i="127"/>
  <c r="F70" i="127"/>
  <c r="G70" i="127"/>
  <c r="H70" i="127"/>
  <c r="I70" i="127"/>
  <c r="J70" i="127"/>
  <c r="K70" i="127"/>
  <c r="L70" i="127"/>
  <c r="M70" i="127"/>
  <c r="N70" i="127"/>
  <c r="O70" i="127"/>
  <c r="P70" i="127"/>
  <c r="I71" i="127"/>
  <c r="M71" i="127"/>
  <c r="P71" i="127"/>
  <c r="Q71" i="127"/>
  <c r="E79" i="127"/>
  <c r="F79" i="127"/>
  <c r="G79" i="127"/>
  <c r="H79" i="127"/>
  <c r="I79" i="127"/>
  <c r="J79" i="127"/>
  <c r="K79" i="127"/>
  <c r="L79" i="127"/>
  <c r="M79" i="127"/>
  <c r="N79" i="127"/>
  <c r="O79" i="127"/>
  <c r="P79" i="127"/>
  <c r="I80" i="127"/>
  <c r="M80" i="127"/>
  <c r="P80" i="127"/>
  <c r="Q80" i="127"/>
  <c r="E81" i="127"/>
  <c r="G81" i="127"/>
  <c r="H81" i="127"/>
  <c r="I81" i="127"/>
  <c r="J81" i="127"/>
  <c r="K81" i="127"/>
  <c r="E108" i="127"/>
  <c r="F108" i="127"/>
  <c r="G108" i="127"/>
  <c r="H108" i="127"/>
  <c r="I108" i="127"/>
  <c r="J108" i="127"/>
  <c r="K108" i="127"/>
  <c r="L108" i="127"/>
  <c r="M108" i="127"/>
  <c r="N108" i="127"/>
  <c r="O108" i="127"/>
  <c r="P108" i="127"/>
  <c r="E109" i="127"/>
  <c r="I109" i="127"/>
  <c r="M109" i="127"/>
  <c r="P109" i="127"/>
  <c r="Q109" i="127"/>
  <c r="E118" i="127"/>
  <c r="F118" i="127"/>
  <c r="G118" i="127"/>
  <c r="H118" i="127"/>
  <c r="I118" i="127"/>
  <c r="J118" i="127"/>
  <c r="K118" i="127"/>
  <c r="L118" i="127"/>
  <c r="M118" i="127"/>
  <c r="N118" i="127"/>
  <c r="O118" i="127"/>
  <c r="P118" i="127"/>
  <c r="E119" i="127"/>
  <c r="I119" i="127"/>
  <c r="M119" i="127"/>
  <c r="P119" i="127"/>
  <c r="Q119" i="127"/>
  <c r="E128" i="127"/>
  <c r="F128" i="127"/>
  <c r="G128" i="127"/>
  <c r="H128" i="127"/>
  <c r="I128" i="127"/>
  <c r="J128" i="127"/>
  <c r="K128" i="127"/>
  <c r="L128" i="127"/>
  <c r="M128" i="127"/>
  <c r="N128" i="127"/>
  <c r="O128" i="127"/>
  <c r="P128" i="127"/>
  <c r="E129" i="127"/>
  <c r="I129" i="127"/>
  <c r="M129" i="127"/>
  <c r="P129" i="127"/>
  <c r="Q129" i="127"/>
  <c r="E138" i="127"/>
  <c r="F138" i="127"/>
  <c r="G138" i="127"/>
  <c r="H138" i="127"/>
  <c r="I138" i="127"/>
  <c r="J138" i="127"/>
  <c r="K138" i="127"/>
  <c r="L138" i="127"/>
  <c r="M138" i="127"/>
  <c r="N138" i="127"/>
  <c r="O138" i="127"/>
  <c r="P138" i="127"/>
  <c r="E139" i="127"/>
  <c r="I139" i="127"/>
  <c r="M139" i="127"/>
  <c r="P139" i="127"/>
  <c r="Q139" i="127"/>
  <c r="E148" i="127"/>
  <c r="F148" i="127"/>
  <c r="G148" i="127"/>
  <c r="H148" i="127"/>
  <c r="I148" i="127"/>
  <c r="J148" i="127"/>
  <c r="K148" i="127"/>
  <c r="L148" i="127"/>
  <c r="M148" i="127"/>
  <c r="N148" i="127"/>
  <c r="O148" i="127"/>
  <c r="P148" i="127"/>
  <c r="E149" i="127"/>
  <c r="I149" i="127"/>
  <c r="M149" i="127"/>
  <c r="P149" i="127"/>
  <c r="Q149" i="127"/>
  <c r="E158" i="127"/>
  <c r="F158" i="127"/>
  <c r="G158" i="127"/>
  <c r="H158" i="127"/>
  <c r="I158" i="127"/>
  <c r="J158" i="127"/>
  <c r="K158" i="127"/>
  <c r="L158" i="127"/>
  <c r="M158" i="127"/>
  <c r="N158" i="127"/>
  <c r="O158" i="127"/>
  <c r="P158" i="127"/>
  <c r="E159" i="127"/>
  <c r="I159" i="127"/>
  <c r="M159" i="127"/>
  <c r="P159" i="127"/>
  <c r="Q159" i="127"/>
  <c r="E167" i="127"/>
  <c r="F167" i="127"/>
  <c r="G167" i="127"/>
  <c r="H167" i="127"/>
  <c r="I167" i="127"/>
  <c r="J167" i="127"/>
  <c r="K167" i="127"/>
  <c r="L167" i="127"/>
  <c r="M167" i="127"/>
  <c r="N167" i="127"/>
  <c r="O167" i="127"/>
  <c r="P167" i="127"/>
  <c r="E168" i="127"/>
  <c r="I168" i="127"/>
  <c r="E177" i="127"/>
  <c r="F177" i="127"/>
  <c r="G177" i="127"/>
  <c r="H177" i="127"/>
  <c r="I177" i="127"/>
  <c r="J177" i="127"/>
  <c r="K177" i="127"/>
  <c r="L177" i="127"/>
  <c r="M177" i="127"/>
  <c r="N177" i="127"/>
  <c r="O177" i="127"/>
  <c r="P177" i="127"/>
  <c r="E178" i="127"/>
  <c r="I178" i="127"/>
  <c r="M178" i="127"/>
  <c r="P178" i="127"/>
  <c r="Q178" i="127"/>
  <c r="E187" i="127"/>
  <c r="F187" i="127"/>
  <c r="G187" i="127"/>
  <c r="H187" i="127"/>
  <c r="I187" i="127"/>
  <c r="J187" i="127"/>
  <c r="K187" i="127"/>
  <c r="L187" i="127"/>
  <c r="M187" i="127"/>
  <c r="N187" i="127"/>
  <c r="O187" i="127"/>
  <c r="P187" i="127"/>
  <c r="E188" i="127"/>
  <c r="I188" i="127"/>
  <c r="M188" i="127"/>
  <c r="P188" i="127"/>
  <c r="Q188" i="127"/>
  <c r="E197" i="127"/>
  <c r="F197" i="127"/>
  <c r="G197" i="127"/>
  <c r="H197" i="127"/>
  <c r="I197" i="127"/>
  <c r="J197" i="127"/>
  <c r="K197" i="127"/>
  <c r="L197" i="127"/>
  <c r="M197" i="127"/>
  <c r="N197" i="127"/>
  <c r="O197" i="127"/>
  <c r="P197" i="127"/>
  <c r="E198" i="127"/>
  <c r="I198" i="127"/>
  <c r="M198" i="127"/>
  <c r="P198" i="127"/>
  <c r="Q198" i="127"/>
  <c r="Q210" i="127" s="1"/>
  <c r="E207" i="127"/>
  <c r="F207" i="127"/>
  <c r="G207" i="127"/>
  <c r="H207" i="127"/>
  <c r="I207" i="127"/>
  <c r="J207" i="127"/>
  <c r="K207" i="127"/>
  <c r="L207" i="127"/>
  <c r="M207" i="127"/>
  <c r="N207" i="127"/>
  <c r="O207" i="127"/>
  <c r="P207" i="127"/>
  <c r="E208" i="127"/>
  <c r="I208" i="127"/>
  <c r="M208" i="127"/>
  <c r="P208" i="127"/>
  <c r="Q208" i="127"/>
  <c r="I210" i="127"/>
  <c r="E211" i="127"/>
  <c r="I211" i="127"/>
  <c r="M211" i="127"/>
  <c r="P211" i="127"/>
  <c r="K20" i="126"/>
  <c r="G24" i="126"/>
  <c r="L71" i="13" s="1"/>
  <c r="G26" i="126"/>
  <c r="K26" i="126" s="1"/>
  <c r="H26" i="126"/>
  <c r="I26" i="126"/>
  <c r="G27" i="126"/>
  <c r="K27" i="126" s="1"/>
  <c r="H27" i="126"/>
  <c r="I27" i="126"/>
  <c r="D28" i="126"/>
  <c r="D36" i="126"/>
  <c r="D37" i="126"/>
  <c r="D38" i="126"/>
  <c r="D39" i="126"/>
  <c r="D40" i="126"/>
  <c r="D41" i="126"/>
  <c r="D42" i="126"/>
  <c r="D43" i="126"/>
  <c r="D44" i="126"/>
  <c r="D45" i="126"/>
  <c r="D46" i="126"/>
  <c r="E6" i="125"/>
  <c r="F6" i="125"/>
  <c r="F40" i="125" s="1"/>
  <c r="F43" i="125" s="1"/>
  <c r="E11" i="125"/>
  <c r="F11" i="125"/>
  <c r="E27" i="125"/>
  <c r="F27" i="125"/>
  <c r="E35" i="125"/>
  <c r="E36" i="125" s="1"/>
  <c r="F35" i="125"/>
  <c r="F41" i="125"/>
  <c r="F46" i="125"/>
  <c r="F51" i="125"/>
  <c r="F55" i="125"/>
  <c r="D13" i="123"/>
  <c r="D32" i="123"/>
  <c r="D45" i="123"/>
  <c r="E153" i="124" s="1"/>
  <c r="E154" i="124" s="1"/>
  <c r="D69" i="123"/>
  <c r="G84" i="123"/>
  <c r="D8" i="144" s="1"/>
  <c r="G107" i="123"/>
  <c r="L17" i="13"/>
  <c r="L65" i="13"/>
  <c r="G153" i="13"/>
  <c r="G154" i="13"/>
  <c r="G155" i="13"/>
  <c r="G152" i="13"/>
  <c r="G151" i="13"/>
  <c r="G150" i="13"/>
  <c r="G149" i="13"/>
  <c r="G148" i="13"/>
  <c r="G147" i="13"/>
  <c r="G140" i="13"/>
  <c r="G141" i="13"/>
  <c r="G142" i="13"/>
  <c r="G139" i="13"/>
  <c r="G120" i="13"/>
  <c r="G121" i="13"/>
  <c r="G122" i="13"/>
  <c r="G123" i="13"/>
  <c r="G124" i="13"/>
  <c r="G125" i="13"/>
  <c r="G126" i="13"/>
  <c r="G127" i="13"/>
  <c r="G128" i="13"/>
  <c r="G129" i="13"/>
  <c r="G130" i="13"/>
  <c r="G131" i="13"/>
  <c r="G132" i="13"/>
  <c r="G119" i="13"/>
  <c r="G112" i="13"/>
  <c r="G111" i="13"/>
  <c r="G109" i="13"/>
  <c r="G110" i="13"/>
  <c r="G108" i="13"/>
  <c r="G106" i="13"/>
  <c r="G105" i="13"/>
  <c r="G104" i="13"/>
  <c r="G107" i="13"/>
  <c r="G103" i="13"/>
  <c r="G97" i="13"/>
  <c r="G96" i="13"/>
  <c r="N96" i="13" s="1"/>
  <c r="G92" i="13"/>
  <c r="G90" i="13"/>
  <c r="G89" i="13"/>
  <c r="G88" i="13"/>
  <c r="G87" i="13"/>
  <c r="G63" i="13"/>
  <c r="G62" i="13"/>
  <c r="G61" i="13"/>
  <c r="G60" i="13"/>
  <c r="G58" i="13"/>
  <c r="G59" i="13"/>
  <c r="G67" i="13"/>
  <c r="G68" i="13"/>
  <c r="G69" i="13"/>
  <c r="G70" i="13"/>
  <c r="G72" i="13"/>
  <c r="G73" i="13"/>
  <c r="G57" i="13"/>
  <c r="H47" i="125" l="1"/>
  <c r="D23" i="144"/>
  <c r="F36" i="125"/>
  <c r="D75" i="123"/>
  <c r="J8" i="144"/>
  <c r="I8" i="144"/>
  <c r="D16" i="144"/>
  <c r="H134" i="136"/>
  <c r="G134" i="136"/>
  <c r="F27" i="136"/>
  <c r="G28" i="136"/>
  <c r="E28" i="136"/>
  <c r="E134" i="136"/>
  <c r="E237" i="136" s="1"/>
  <c r="D28" i="136"/>
  <c r="E209" i="127"/>
  <c r="F209" i="127"/>
  <c r="N28" i="134"/>
  <c r="J32" i="134" s="1"/>
  <c r="G28" i="133"/>
  <c r="E50" i="130"/>
  <c r="G19" i="132"/>
  <c r="N148" i="13" s="1"/>
  <c r="H55" i="137"/>
  <c r="I28" i="126"/>
  <c r="H28" i="126"/>
  <c r="G28" i="126"/>
  <c r="L93" i="26"/>
  <c r="L92" i="26"/>
  <c r="D126" i="128"/>
  <c r="K126" i="128"/>
  <c r="J126" i="128"/>
  <c r="I126" i="128"/>
  <c r="F130" i="128"/>
  <c r="G22" i="140"/>
  <c r="F42" i="7" s="1"/>
  <c r="L27" i="136"/>
  <c r="F28" i="136"/>
  <c r="K134" i="136"/>
  <c r="K237" i="136" s="1"/>
  <c r="J134" i="136"/>
  <c r="J237" i="136" s="1"/>
  <c r="I134" i="136"/>
  <c r="I237" i="136" s="1"/>
  <c r="L237" i="136"/>
  <c r="K28" i="136"/>
  <c r="I27" i="136"/>
  <c r="D49" i="126"/>
  <c r="P209" i="127"/>
  <c r="O209" i="127"/>
  <c r="I9" i="126"/>
  <c r="K9" i="126" s="1"/>
  <c r="G91" i="13"/>
  <c r="G71" i="13"/>
  <c r="G65" i="13"/>
  <c r="G237" i="136"/>
  <c r="L14" i="136"/>
  <c r="L17" i="136" s="1"/>
  <c r="L28" i="136" s="1"/>
  <c r="L239" i="136" s="1"/>
  <c r="F237" i="136"/>
  <c r="I14" i="136"/>
  <c r="I17" i="136" s="1"/>
  <c r="I28" i="136" s="1"/>
  <c r="J28" i="136"/>
  <c r="D134" i="136"/>
  <c r="D237" i="136" s="1"/>
  <c r="N209" i="127"/>
  <c r="M209" i="127"/>
  <c r="L209" i="127"/>
  <c r="K209" i="127"/>
  <c r="J209" i="127"/>
  <c r="I209" i="127"/>
  <c r="H209" i="127"/>
  <c r="G209" i="127"/>
  <c r="H237" i="136"/>
  <c r="N29" i="134"/>
  <c r="J33" i="134" s="1"/>
  <c r="I24" i="126"/>
  <c r="H24" i="126"/>
  <c r="L82" i="26"/>
  <c r="D25" i="144" l="1"/>
  <c r="J23" i="144"/>
  <c r="D27" i="144"/>
  <c r="J16" i="144"/>
  <c r="F17" i="144"/>
  <c r="I16" i="144"/>
  <c r="H17" i="144"/>
  <c r="G17" i="144"/>
  <c r="I239" i="136"/>
  <c r="J39" i="134"/>
  <c r="J40" i="134" s="1"/>
  <c r="N149" i="13"/>
  <c r="G29" i="133"/>
  <c r="D20" i="132"/>
  <c r="K28" i="126"/>
  <c r="F239" i="136"/>
  <c r="K24" i="126"/>
  <c r="D58" i="126"/>
  <c r="D30" i="126" s="1"/>
  <c r="F28" i="144" l="1"/>
  <c r="F31" i="144" s="1"/>
  <c r="F32" i="144" s="1"/>
  <c r="G28" i="144"/>
  <c r="G31" i="144" s="1"/>
  <c r="G32" i="144" s="1"/>
  <c r="H28" i="144"/>
  <c r="H31" i="144" s="1"/>
  <c r="H32" i="144" s="1"/>
  <c r="G66" i="13"/>
  <c r="J17" i="144"/>
  <c r="D59" i="126"/>
  <c r="D54" i="126"/>
  <c r="G13" i="126"/>
  <c r="G17" i="126"/>
  <c r="I13" i="126"/>
  <c r="I17" i="126"/>
  <c r="H17" i="126"/>
  <c r="H13" i="126"/>
  <c r="I30" i="126" l="1"/>
  <c r="K30" i="126" s="1"/>
  <c r="K17" i="126"/>
  <c r="G14" i="126"/>
  <c r="G11" i="126"/>
  <c r="G15" i="126"/>
  <c r="G21" i="126"/>
  <c r="G18" i="126"/>
  <c r="G10" i="126"/>
  <c r="G19" i="126"/>
  <c r="G16" i="126"/>
  <c r="I10" i="126"/>
  <c r="I14" i="126"/>
  <c r="I15" i="126"/>
  <c r="I21" i="126"/>
  <c r="I18" i="126"/>
  <c r="I16" i="126"/>
  <c r="I19" i="126"/>
  <c r="I11" i="126"/>
  <c r="H18" i="126"/>
  <c r="H10" i="126"/>
  <c r="H14" i="126"/>
  <c r="H21" i="126"/>
  <c r="H15" i="126"/>
  <c r="H11" i="126"/>
  <c r="H16" i="126"/>
  <c r="H19" i="126"/>
  <c r="K13" i="126"/>
  <c r="K16" i="126" l="1"/>
  <c r="K19" i="126"/>
  <c r="K10" i="126"/>
  <c r="K15" i="126"/>
  <c r="K18" i="126"/>
  <c r="K21" i="126"/>
  <c r="K11" i="126"/>
  <c r="K14" i="126"/>
  <c r="G101" i="123"/>
  <c r="G90" i="123"/>
  <c r="G96" i="123"/>
  <c r="G103" i="123" l="1"/>
  <c r="G105" i="123" s="1"/>
  <c r="G12" i="126" l="1"/>
  <c r="G106" i="123"/>
  <c r="G108" i="123"/>
  <c r="L18" i="13"/>
  <c r="F56" i="125"/>
  <c r="F58" i="125" s="1"/>
  <c r="F52" i="125"/>
  <c r="F53" i="125" s="1"/>
  <c r="F47" i="125"/>
  <c r="F49" i="125" s="1"/>
  <c r="H12" i="126" l="1"/>
  <c r="I12" i="126"/>
  <c r="F60" i="125"/>
  <c r="F62" i="125" s="1"/>
  <c r="F63" i="125" s="1"/>
  <c r="L83" i="26" l="1"/>
  <c r="N13" i="131"/>
  <c r="K12" i="126"/>
  <c r="L66" i="13"/>
  <c r="I22" i="126" l="1"/>
  <c r="H22" i="126"/>
  <c r="G22" i="126" l="1"/>
  <c r="K22" i="126" l="1"/>
  <c r="L91" i="13"/>
  <c r="G48" i="13"/>
  <c r="G23" i="13"/>
  <c r="N115" i="109" l="1"/>
  <c r="O115" i="109"/>
  <c r="P115" i="109"/>
  <c r="Q115" i="109"/>
  <c r="M115" i="109"/>
  <c r="D27" i="37"/>
  <c r="G30" i="27"/>
  <c r="G31" i="27"/>
  <c r="G32" i="27"/>
  <c r="G33" i="27"/>
  <c r="G34" i="27"/>
  <c r="G35" i="27"/>
  <c r="G29" i="27"/>
  <c r="G21" i="27"/>
  <c r="G16" i="27"/>
  <c r="G18" i="27"/>
  <c r="G17" i="27"/>
  <c r="G15" i="27"/>
  <c r="G74" i="26"/>
  <c r="G72" i="26"/>
  <c r="G71" i="26"/>
  <c r="G70" i="26"/>
  <c r="G69" i="26"/>
  <c r="G68" i="26"/>
  <c r="G67" i="26"/>
  <c r="G66" i="26"/>
  <c r="H66" i="26" s="1"/>
  <c r="G65" i="26"/>
  <c r="G64" i="26"/>
  <c r="G63" i="26"/>
  <c r="G62" i="26"/>
  <c r="G60" i="26"/>
  <c r="G59" i="26"/>
  <c r="H67" i="26"/>
  <c r="I67" i="26"/>
  <c r="J67" i="26"/>
  <c r="H69" i="26"/>
  <c r="I69" i="26"/>
  <c r="J69" i="26"/>
  <c r="H70" i="26"/>
  <c r="I70" i="26"/>
  <c r="J70" i="26"/>
  <c r="H71" i="26"/>
  <c r="I71" i="26"/>
  <c r="J71" i="26"/>
  <c r="G54" i="26"/>
  <c r="G53" i="26"/>
  <c r="G51" i="26"/>
  <c r="G50" i="26"/>
  <c r="G39" i="26"/>
  <c r="G33" i="26"/>
  <c r="G32" i="26"/>
  <c r="G27" i="26"/>
  <c r="H27" i="26" s="1"/>
  <c r="G16" i="26"/>
  <c r="H16" i="26" s="1"/>
  <c r="I16" i="26"/>
  <c r="J16" i="26"/>
  <c r="H20" i="26"/>
  <c r="I20" i="26"/>
  <c r="J20" i="26"/>
  <c r="H21" i="26"/>
  <c r="I21" i="26"/>
  <c r="J21" i="26"/>
  <c r="H22" i="26"/>
  <c r="I22" i="26"/>
  <c r="J22" i="26"/>
  <c r="E32" i="37"/>
  <c r="D32" i="37"/>
  <c r="E29" i="37"/>
  <c r="D29" i="37"/>
  <c r="E28" i="37"/>
  <c r="D28" i="37"/>
  <c r="E27" i="37"/>
  <c r="E18" i="37"/>
  <c r="D18" i="37"/>
  <c r="E17" i="37"/>
  <c r="E16" i="37"/>
  <c r="D17" i="37"/>
  <c r="D16" i="37"/>
  <c r="E15" i="37"/>
  <c r="D15" i="37"/>
  <c r="E14" i="37"/>
  <c r="D14" i="37"/>
  <c r="E13" i="37"/>
  <c r="D13" i="37"/>
  <c r="E12" i="37"/>
  <c r="D12" i="37"/>
  <c r="E11" i="37"/>
  <c r="D11" i="37"/>
  <c r="J66" i="26" l="1"/>
  <c r="I66" i="26"/>
  <c r="I27" i="26"/>
  <c r="J27" i="26"/>
  <c r="G16" i="13" l="1"/>
  <c r="A1" i="121" l="1"/>
  <c r="A2" i="121"/>
  <c r="A3" i="121"/>
  <c r="D5" i="121"/>
  <c r="E5" i="121"/>
  <c r="D6" i="121"/>
  <c r="E6" i="121"/>
  <c r="H10" i="121" s="1"/>
  <c r="I10" i="121" s="1"/>
  <c r="D7" i="121"/>
  <c r="E7" i="121"/>
  <c r="C16" i="121"/>
  <c r="D16" i="121"/>
  <c r="E16" i="121"/>
  <c r="F16" i="121"/>
  <c r="G16" i="121"/>
  <c r="H16" i="121"/>
  <c r="I16" i="121"/>
  <c r="J16" i="121"/>
  <c r="C17" i="121"/>
  <c r="D17" i="121"/>
  <c r="E17" i="121"/>
  <c r="F17" i="121"/>
  <c r="G17" i="121"/>
  <c r="H17" i="121"/>
  <c r="I17" i="121"/>
  <c r="J17" i="121"/>
  <c r="C18" i="121"/>
  <c r="D18" i="121"/>
  <c r="E18" i="121"/>
  <c r="F18" i="121"/>
  <c r="G18" i="121"/>
  <c r="H18" i="121"/>
  <c r="I18" i="121"/>
  <c r="J18" i="121"/>
  <c r="G19" i="121"/>
  <c r="H19" i="121"/>
  <c r="I19" i="121"/>
  <c r="J19" i="121"/>
  <c r="C22" i="121"/>
  <c r="D22" i="121"/>
  <c r="E22" i="121"/>
  <c r="F22" i="121"/>
  <c r="G22" i="121"/>
  <c r="H22" i="121"/>
  <c r="I22" i="121"/>
  <c r="J22" i="121"/>
  <c r="C23" i="121"/>
  <c r="D23" i="121"/>
  <c r="E23" i="121"/>
  <c r="F23" i="121"/>
  <c r="G23" i="121"/>
  <c r="H23" i="121"/>
  <c r="I23" i="121"/>
  <c r="J23" i="121"/>
  <c r="C24" i="121"/>
  <c r="D24" i="121"/>
  <c r="E24" i="121"/>
  <c r="F24" i="121"/>
  <c r="G24" i="121"/>
  <c r="H24" i="121"/>
  <c r="I24" i="121"/>
  <c r="J24" i="121"/>
  <c r="C25" i="121"/>
  <c r="D25" i="121"/>
  <c r="E25" i="121"/>
  <c r="F25" i="121"/>
  <c r="G25" i="121"/>
  <c r="H25" i="121"/>
  <c r="I25" i="121"/>
  <c r="J25" i="121"/>
  <c r="G26" i="121"/>
  <c r="H26" i="121"/>
  <c r="I26" i="121"/>
  <c r="J26" i="121"/>
  <c r="C29" i="121"/>
  <c r="D29" i="121"/>
  <c r="E29" i="121"/>
  <c r="F29" i="121"/>
  <c r="G29" i="121"/>
  <c r="H29" i="121"/>
  <c r="I29" i="121"/>
  <c r="J29" i="121"/>
  <c r="C33" i="121"/>
  <c r="D33" i="121"/>
  <c r="E33" i="121"/>
  <c r="F33" i="121"/>
  <c r="G33" i="121"/>
  <c r="H33" i="121"/>
  <c r="I33" i="121"/>
  <c r="J33" i="121"/>
  <c r="C37" i="121"/>
  <c r="D37" i="121"/>
  <c r="E37" i="121"/>
  <c r="G37" i="121"/>
  <c r="H37" i="121"/>
  <c r="I37" i="121"/>
  <c r="J37" i="121"/>
  <c r="C38" i="121"/>
  <c r="D38" i="121"/>
  <c r="E38" i="121"/>
  <c r="G38" i="121"/>
  <c r="H38" i="121"/>
  <c r="I38" i="121"/>
  <c r="J38" i="121"/>
  <c r="C39" i="121"/>
  <c r="D39" i="121"/>
  <c r="E39" i="121"/>
  <c r="G39" i="121"/>
  <c r="H39" i="121"/>
  <c r="I39" i="121"/>
  <c r="J39" i="121"/>
  <c r="C40" i="121"/>
  <c r="D40" i="121"/>
  <c r="E40" i="121"/>
  <c r="G40" i="121"/>
  <c r="H40" i="121"/>
  <c r="I40" i="121"/>
  <c r="J40" i="121"/>
  <c r="C41" i="121"/>
  <c r="D41" i="121"/>
  <c r="E41" i="121"/>
  <c r="G41" i="121"/>
  <c r="H41" i="121"/>
  <c r="I41" i="121"/>
  <c r="J41" i="121"/>
  <c r="C42" i="121"/>
  <c r="D42" i="121"/>
  <c r="E42" i="121"/>
  <c r="G42" i="121"/>
  <c r="H42" i="121"/>
  <c r="I42" i="121"/>
  <c r="J42" i="121"/>
  <c r="C43" i="121"/>
  <c r="D43" i="121"/>
  <c r="E43" i="121"/>
  <c r="G43" i="121"/>
  <c r="H43" i="121"/>
  <c r="I43" i="121"/>
  <c r="J43" i="121"/>
  <c r="C44" i="121"/>
  <c r="D44" i="121"/>
  <c r="E44" i="121"/>
  <c r="G44" i="121"/>
  <c r="H44" i="121"/>
  <c r="I44" i="121"/>
  <c r="J44" i="121"/>
  <c r="C45" i="121"/>
  <c r="D45" i="121"/>
  <c r="E45" i="121"/>
  <c r="G45" i="121"/>
  <c r="H45" i="121"/>
  <c r="I45" i="121"/>
  <c r="J45" i="121"/>
  <c r="C46" i="121"/>
  <c r="D46" i="121"/>
  <c r="E46" i="121"/>
  <c r="G46" i="121"/>
  <c r="H46" i="121"/>
  <c r="I46" i="121"/>
  <c r="J46" i="121"/>
  <c r="C47" i="121"/>
  <c r="D47" i="121"/>
  <c r="E47" i="121"/>
  <c r="F47" i="121"/>
  <c r="G47" i="121"/>
  <c r="H47" i="121"/>
  <c r="I47" i="121"/>
  <c r="J47" i="121"/>
  <c r="C48" i="121"/>
  <c r="D48" i="121"/>
  <c r="E48" i="121"/>
  <c r="G48" i="121"/>
  <c r="H48" i="121"/>
  <c r="I48" i="121"/>
  <c r="J48" i="121"/>
  <c r="G50" i="121"/>
  <c r="H50" i="121"/>
  <c r="I50" i="121"/>
  <c r="J50" i="121"/>
  <c r="G52" i="121"/>
  <c r="H52" i="121"/>
  <c r="I52" i="121"/>
  <c r="J52" i="121"/>
  <c r="C57" i="121"/>
  <c r="D57" i="121"/>
  <c r="E57" i="121"/>
  <c r="G57" i="121"/>
  <c r="H57" i="121"/>
  <c r="I57" i="121"/>
  <c r="J57" i="121"/>
  <c r="C58" i="121"/>
  <c r="D58" i="121"/>
  <c r="E58" i="121"/>
  <c r="G58" i="121"/>
  <c r="H58" i="121"/>
  <c r="I58" i="121"/>
  <c r="J58" i="121"/>
  <c r="C59" i="121"/>
  <c r="D59" i="121"/>
  <c r="E59" i="121"/>
  <c r="G59" i="121"/>
  <c r="H59" i="121"/>
  <c r="I59" i="121"/>
  <c r="J59" i="121"/>
  <c r="C60" i="121"/>
  <c r="D60" i="121"/>
  <c r="E60" i="121"/>
  <c r="G60" i="121"/>
  <c r="H60" i="121"/>
  <c r="I60" i="121"/>
  <c r="J60" i="121"/>
  <c r="C61" i="121"/>
  <c r="D61" i="121"/>
  <c r="E61" i="121"/>
  <c r="G61" i="121"/>
  <c r="H61" i="121"/>
  <c r="I61" i="121"/>
  <c r="J61" i="121"/>
  <c r="C62" i="121"/>
  <c r="D62" i="121"/>
  <c r="E62" i="121"/>
  <c r="G62" i="121"/>
  <c r="H62" i="121"/>
  <c r="I62" i="121"/>
  <c r="J62" i="121"/>
  <c r="C63" i="121"/>
  <c r="D63" i="121"/>
  <c r="E63" i="121"/>
  <c r="G63" i="121"/>
  <c r="H63" i="121"/>
  <c r="I63" i="121"/>
  <c r="J63" i="121"/>
  <c r="C64" i="121"/>
  <c r="D64" i="121"/>
  <c r="E64" i="121"/>
  <c r="F64" i="121"/>
  <c r="G64" i="121"/>
  <c r="H64" i="121"/>
  <c r="I64" i="121"/>
  <c r="J64" i="121"/>
  <c r="C65" i="121"/>
  <c r="D65" i="121"/>
  <c r="E65" i="121"/>
  <c r="F65" i="121"/>
  <c r="G65" i="121"/>
  <c r="H65" i="121"/>
  <c r="I65" i="121"/>
  <c r="J65" i="121"/>
  <c r="C66" i="121"/>
  <c r="D66" i="121"/>
  <c r="E66" i="121"/>
  <c r="F66" i="121"/>
  <c r="G66" i="121"/>
  <c r="H66" i="121"/>
  <c r="I66" i="121"/>
  <c r="J66" i="121"/>
  <c r="C67" i="121"/>
  <c r="D67" i="121"/>
  <c r="E67" i="121"/>
  <c r="G67" i="121"/>
  <c r="H67" i="121"/>
  <c r="I67" i="121"/>
  <c r="J67" i="121"/>
  <c r="C68" i="121"/>
  <c r="D68" i="121"/>
  <c r="E68" i="121"/>
  <c r="G68" i="121"/>
  <c r="H68" i="121"/>
  <c r="I68" i="121"/>
  <c r="J68" i="121"/>
  <c r="C69" i="121"/>
  <c r="D69" i="121"/>
  <c r="E69" i="121"/>
  <c r="F69" i="121"/>
  <c r="G69" i="121"/>
  <c r="H69" i="121"/>
  <c r="I69" i="121"/>
  <c r="J69" i="121"/>
  <c r="C70" i="121"/>
  <c r="D70" i="121"/>
  <c r="E70" i="121"/>
  <c r="F70" i="121"/>
  <c r="G70" i="121"/>
  <c r="H70" i="121"/>
  <c r="I70" i="121"/>
  <c r="J70" i="121"/>
  <c r="C71" i="121"/>
  <c r="D71" i="121"/>
  <c r="E71" i="121"/>
  <c r="F71" i="121"/>
  <c r="G71" i="121"/>
  <c r="H71" i="121"/>
  <c r="I71" i="121"/>
  <c r="J71" i="121"/>
  <c r="C72" i="121"/>
  <c r="D72" i="121"/>
  <c r="E72" i="121"/>
  <c r="F72" i="121"/>
  <c r="G72" i="121"/>
  <c r="H72" i="121"/>
  <c r="I72" i="121"/>
  <c r="J72" i="121"/>
  <c r="C73" i="121"/>
  <c r="D73" i="121"/>
  <c r="E73" i="121"/>
  <c r="F73" i="121"/>
  <c r="G73" i="121"/>
  <c r="H73" i="121"/>
  <c r="I73" i="121"/>
  <c r="J73" i="121"/>
  <c r="E75" i="121"/>
  <c r="F75" i="121"/>
  <c r="G75" i="121"/>
  <c r="H75" i="121"/>
  <c r="I75" i="121"/>
  <c r="J75" i="121"/>
  <c r="G77" i="121"/>
  <c r="G79" i="121"/>
  <c r="G84" i="121"/>
  <c r="H84" i="121"/>
  <c r="I84" i="121"/>
  <c r="J84" i="121"/>
  <c r="G85" i="121"/>
  <c r="H85" i="121"/>
  <c r="C87" i="121"/>
  <c r="D87" i="121"/>
  <c r="E87" i="121"/>
  <c r="G87" i="121"/>
  <c r="H87" i="121"/>
  <c r="I87" i="121"/>
  <c r="J87" i="121"/>
  <c r="C88" i="121"/>
  <c r="D88" i="121"/>
  <c r="E88" i="121"/>
  <c r="G88" i="121"/>
  <c r="H88" i="121"/>
  <c r="I88" i="121"/>
  <c r="J88" i="121"/>
  <c r="C89" i="121"/>
  <c r="D89" i="121"/>
  <c r="E89" i="121"/>
  <c r="G89" i="121"/>
  <c r="H89" i="121"/>
  <c r="I89" i="121"/>
  <c r="J89" i="121"/>
  <c r="C90" i="121"/>
  <c r="D90" i="121"/>
  <c r="E90" i="121"/>
  <c r="G90" i="121"/>
  <c r="H90" i="121"/>
  <c r="I90" i="121"/>
  <c r="J90" i="121"/>
  <c r="C91" i="121"/>
  <c r="D91" i="121"/>
  <c r="E91" i="121"/>
  <c r="G91" i="121"/>
  <c r="H91" i="121"/>
  <c r="I91" i="121"/>
  <c r="J91" i="121"/>
  <c r="C92" i="121"/>
  <c r="D92" i="121"/>
  <c r="E92" i="121"/>
  <c r="F92" i="121"/>
  <c r="G92" i="121"/>
  <c r="H92" i="121"/>
  <c r="I92" i="121"/>
  <c r="J92" i="121"/>
  <c r="G93" i="121"/>
  <c r="H93" i="121"/>
  <c r="I93" i="121"/>
  <c r="J93" i="121"/>
  <c r="C96" i="121"/>
  <c r="D96" i="121"/>
  <c r="E96" i="121"/>
  <c r="F96" i="121"/>
  <c r="G96" i="121"/>
  <c r="H96" i="121"/>
  <c r="I96" i="121"/>
  <c r="J96" i="121"/>
  <c r="C97" i="121"/>
  <c r="D97" i="121"/>
  <c r="E97" i="121"/>
  <c r="G97" i="121"/>
  <c r="H97" i="121"/>
  <c r="I97" i="121"/>
  <c r="J97" i="121"/>
  <c r="C98" i="121"/>
  <c r="D98" i="121"/>
  <c r="E98" i="121"/>
  <c r="G98" i="121"/>
  <c r="H98" i="121"/>
  <c r="I98" i="121"/>
  <c r="J98" i="121"/>
  <c r="C99" i="121"/>
  <c r="D99" i="121"/>
  <c r="E99" i="121"/>
  <c r="G99" i="121"/>
  <c r="H99" i="121"/>
  <c r="I99" i="121"/>
  <c r="J99" i="121"/>
  <c r="G100" i="121"/>
  <c r="H100" i="121"/>
  <c r="I100" i="121"/>
  <c r="J100" i="121"/>
  <c r="C103" i="121"/>
  <c r="D103" i="121"/>
  <c r="E103" i="121"/>
  <c r="G103" i="121"/>
  <c r="H103" i="121"/>
  <c r="I103" i="121"/>
  <c r="J103" i="121"/>
  <c r="C104" i="121"/>
  <c r="D104" i="121"/>
  <c r="E104" i="121"/>
  <c r="G104" i="121"/>
  <c r="H104" i="121"/>
  <c r="I104" i="121"/>
  <c r="J104" i="121"/>
  <c r="C105" i="121"/>
  <c r="D105" i="121"/>
  <c r="E105" i="121"/>
  <c r="G105" i="121"/>
  <c r="H105" i="121"/>
  <c r="I105" i="121"/>
  <c r="J105" i="121"/>
  <c r="C106" i="121"/>
  <c r="D106" i="121"/>
  <c r="E106" i="121"/>
  <c r="G106" i="121"/>
  <c r="H106" i="121"/>
  <c r="I106" i="121"/>
  <c r="J106" i="121"/>
  <c r="C107" i="121"/>
  <c r="D107" i="121"/>
  <c r="E107" i="121"/>
  <c r="G107" i="121"/>
  <c r="H107" i="121"/>
  <c r="I107" i="121"/>
  <c r="J107" i="121"/>
  <c r="C108" i="121"/>
  <c r="D108" i="121"/>
  <c r="E108" i="121"/>
  <c r="G108" i="121"/>
  <c r="H108" i="121"/>
  <c r="I108" i="121"/>
  <c r="J108" i="121"/>
  <c r="C109" i="121"/>
  <c r="D109" i="121"/>
  <c r="E109" i="121"/>
  <c r="G109" i="121"/>
  <c r="H109" i="121"/>
  <c r="I109" i="121"/>
  <c r="J109" i="121"/>
  <c r="C110" i="121"/>
  <c r="D110" i="121"/>
  <c r="E110" i="121"/>
  <c r="G110" i="121"/>
  <c r="H110" i="121"/>
  <c r="I110" i="121"/>
  <c r="J110" i="121"/>
  <c r="C111" i="121"/>
  <c r="D111" i="121"/>
  <c r="E111" i="121"/>
  <c r="G111" i="121"/>
  <c r="H111" i="121"/>
  <c r="I111" i="121"/>
  <c r="J111" i="121"/>
  <c r="C112" i="121"/>
  <c r="D112" i="121"/>
  <c r="E112" i="121"/>
  <c r="G112" i="121"/>
  <c r="H112" i="121"/>
  <c r="I112" i="121"/>
  <c r="J112" i="121"/>
  <c r="C113" i="121"/>
  <c r="D113" i="121"/>
  <c r="E113" i="121"/>
  <c r="G113" i="121"/>
  <c r="H113" i="121"/>
  <c r="I113" i="121"/>
  <c r="J113" i="121"/>
  <c r="C114" i="121"/>
  <c r="D114" i="121"/>
  <c r="E114" i="121"/>
  <c r="G114" i="121"/>
  <c r="H114" i="121"/>
  <c r="I114" i="121"/>
  <c r="J114" i="121"/>
  <c r="C115" i="121"/>
  <c r="D115" i="121"/>
  <c r="E115" i="121"/>
  <c r="G115" i="121"/>
  <c r="H115" i="121"/>
  <c r="I115" i="121"/>
  <c r="J115" i="121"/>
  <c r="C119" i="121"/>
  <c r="D119" i="121"/>
  <c r="E119" i="121"/>
  <c r="G119" i="121"/>
  <c r="H119" i="121"/>
  <c r="I119" i="121"/>
  <c r="J119" i="121"/>
  <c r="C120" i="121"/>
  <c r="D120" i="121"/>
  <c r="E120" i="121"/>
  <c r="F120" i="121"/>
  <c r="G120" i="121"/>
  <c r="H120" i="121"/>
  <c r="I120" i="121"/>
  <c r="J120" i="121"/>
  <c r="C121" i="121"/>
  <c r="D121" i="121"/>
  <c r="E121" i="121"/>
  <c r="F121" i="121"/>
  <c r="G121" i="121"/>
  <c r="H121" i="121"/>
  <c r="I121" i="121"/>
  <c r="J121" i="121"/>
  <c r="C122" i="121"/>
  <c r="D122" i="121"/>
  <c r="E122" i="121"/>
  <c r="F122" i="121"/>
  <c r="G122" i="121"/>
  <c r="H122" i="121"/>
  <c r="I122" i="121"/>
  <c r="J122" i="121"/>
  <c r="C123" i="121"/>
  <c r="D123" i="121"/>
  <c r="E123" i="121"/>
  <c r="G123" i="121"/>
  <c r="H123" i="121"/>
  <c r="I123" i="121"/>
  <c r="J123" i="121"/>
  <c r="C124" i="121"/>
  <c r="D124" i="121"/>
  <c r="E124" i="121"/>
  <c r="G124" i="121"/>
  <c r="H124" i="121"/>
  <c r="I124" i="121"/>
  <c r="J124" i="121"/>
  <c r="C125" i="121"/>
  <c r="D125" i="121"/>
  <c r="E125" i="121"/>
  <c r="G125" i="121"/>
  <c r="H125" i="121"/>
  <c r="I125" i="121"/>
  <c r="J125" i="121"/>
  <c r="C126" i="121"/>
  <c r="D126" i="121"/>
  <c r="E126" i="121"/>
  <c r="G126" i="121"/>
  <c r="H126" i="121"/>
  <c r="I126" i="121"/>
  <c r="J126" i="121"/>
  <c r="C127" i="121"/>
  <c r="D127" i="121"/>
  <c r="E127" i="121"/>
  <c r="G127" i="121"/>
  <c r="H127" i="121"/>
  <c r="I127" i="121"/>
  <c r="J127" i="121"/>
  <c r="C128" i="121"/>
  <c r="D128" i="121"/>
  <c r="E128" i="121"/>
  <c r="F128" i="121"/>
  <c r="G128" i="121"/>
  <c r="H128" i="121"/>
  <c r="I128" i="121"/>
  <c r="J128" i="121"/>
  <c r="C129" i="121"/>
  <c r="D129" i="121"/>
  <c r="E129" i="121"/>
  <c r="G129" i="121"/>
  <c r="H129" i="121"/>
  <c r="I129" i="121"/>
  <c r="J129" i="121"/>
  <c r="C130" i="121"/>
  <c r="D130" i="121"/>
  <c r="E130" i="121"/>
  <c r="G130" i="121"/>
  <c r="H130" i="121"/>
  <c r="I130" i="121"/>
  <c r="J130" i="121"/>
  <c r="C131" i="121"/>
  <c r="D131" i="121"/>
  <c r="E131" i="121"/>
  <c r="G131" i="121"/>
  <c r="H131" i="121"/>
  <c r="I131" i="121"/>
  <c r="J131" i="121"/>
  <c r="C132" i="121"/>
  <c r="D132" i="121"/>
  <c r="E132" i="121"/>
  <c r="G132" i="121"/>
  <c r="H132" i="121"/>
  <c r="I132" i="121"/>
  <c r="J132" i="121"/>
  <c r="G133" i="121"/>
  <c r="H133" i="121"/>
  <c r="I133" i="121"/>
  <c r="J133" i="121"/>
  <c r="G135" i="121"/>
  <c r="H135" i="121"/>
  <c r="I135" i="121"/>
  <c r="J135" i="121"/>
  <c r="C139" i="121"/>
  <c r="D139" i="121"/>
  <c r="E139" i="121"/>
  <c r="G139" i="121"/>
  <c r="H139" i="121"/>
  <c r="I139" i="121"/>
  <c r="J139" i="121"/>
  <c r="C140" i="121"/>
  <c r="D140" i="121"/>
  <c r="E140" i="121"/>
  <c r="G140" i="121"/>
  <c r="H140" i="121"/>
  <c r="I140" i="121"/>
  <c r="J140" i="121"/>
  <c r="C141" i="121"/>
  <c r="D141" i="121"/>
  <c r="E141" i="121"/>
  <c r="G141" i="121"/>
  <c r="H141" i="121"/>
  <c r="I141" i="121"/>
  <c r="J141" i="121"/>
  <c r="C142" i="121"/>
  <c r="D142" i="121"/>
  <c r="E142" i="121"/>
  <c r="G142" i="121"/>
  <c r="H142" i="121"/>
  <c r="I142" i="121"/>
  <c r="J142" i="121"/>
  <c r="G143" i="121"/>
  <c r="H143" i="121"/>
  <c r="I143" i="121"/>
  <c r="J143" i="121"/>
  <c r="C145" i="121"/>
  <c r="D145" i="121"/>
  <c r="E145" i="121"/>
  <c r="G145" i="121"/>
  <c r="H145" i="121"/>
  <c r="I145" i="121"/>
  <c r="J145" i="121"/>
  <c r="C146" i="121"/>
  <c r="D146" i="121"/>
  <c r="E146" i="121"/>
  <c r="G146" i="121"/>
  <c r="H146" i="121"/>
  <c r="I146" i="121"/>
  <c r="J146" i="121"/>
  <c r="C147" i="121"/>
  <c r="D147" i="121"/>
  <c r="E147" i="121"/>
  <c r="G147" i="121"/>
  <c r="H147" i="121"/>
  <c r="I147" i="121"/>
  <c r="J147" i="121"/>
  <c r="C148" i="121"/>
  <c r="D148" i="121"/>
  <c r="E148" i="121"/>
  <c r="F148" i="121"/>
  <c r="G148" i="121"/>
  <c r="H148" i="121"/>
  <c r="I148" i="121"/>
  <c r="J148" i="121"/>
  <c r="C149" i="121"/>
  <c r="D149" i="121"/>
  <c r="E149" i="121"/>
  <c r="F149" i="121"/>
  <c r="G149" i="121"/>
  <c r="H149" i="121"/>
  <c r="I149" i="121"/>
  <c r="J149" i="121"/>
  <c r="C150" i="121"/>
  <c r="D150" i="121"/>
  <c r="E150" i="121"/>
  <c r="G150" i="121"/>
  <c r="H150" i="121"/>
  <c r="I150" i="121"/>
  <c r="J150" i="121"/>
  <c r="C151" i="121"/>
  <c r="D151" i="121"/>
  <c r="E151" i="121"/>
  <c r="G151" i="121"/>
  <c r="H151" i="121"/>
  <c r="I151" i="121"/>
  <c r="J151" i="121"/>
  <c r="C152" i="121"/>
  <c r="D152" i="121"/>
  <c r="E152" i="121"/>
  <c r="G152" i="121"/>
  <c r="H152" i="121"/>
  <c r="I152" i="121"/>
  <c r="J152" i="121"/>
  <c r="C153" i="121"/>
  <c r="D153" i="121"/>
  <c r="E153" i="121"/>
  <c r="G153" i="121"/>
  <c r="H153" i="121"/>
  <c r="I153" i="121"/>
  <c r="J153" i="121"/>
  <c r="C154" i="121"/>
  <c r="D154" i="121"/>
  <c r="E154" i="121"/>
  <c r="G154" i="121"/>
  <c r="H154" i="121"/>
  <c r="I154" i="121"/>
  <c r="J154" i="121"/>
  <c r="C155" i="121"/>
  <c r="D155" i="121"/>
  <c r="E155" i="121"/>
  <c r="G155" i="121"/>
  <c r="H155" i="121"/>
  <c r="I155" i="121"/>
  <c r="J155" i="121"/>
  <c r="G156" i="121"/>
  <c r="H156" i="121"/>
  <c r="I156" i="121"/>
  <c r="J156" i="121"/>
  <c r="G158" i="121"/>
  <c r="H158" i="121"/>
  <c r="I158" i="121"/>
  <c r="J158" i="121"/>
  <c r="G161" i="121"/>
  <c r="H161" i="121"/>
  <c r="I161" i="121"/>
  <c r="J161" i="121"/>
  <c r="G165" i="121"/>
  <c r="H165" i="121"/>
  <c r="I165" i="121"/>
  <c r="J165" i="121"/>
  <c r="G167" i="121"/>
  <c r="H167" i="121"/>
  <c r="I167" i="121"/>
  <c r="J167" i="121"/>
  <c r="C176" i="121"/>
  <c r="D176" i="121"/>
  <c r="E176" i="121"/>
  <c r="G176" i="121"/>
  <c r="H176" i="121"/>
  <c r="I176" i="121"/>
  <c r="J176" i="121"/>
  <c r="C177" i="121"/>
  <c r="D177" i="121"/>
  <c r="E177" i="121"/>
  <c r="G177" i="121"/>
  <c r="H177" i="121"/>
  <c r="I177" i="121"/>
  <c r="J177" i="121"/>
  <c r="C178" i="121"/>
  <c r="D178" i="121"/>
  <c r="E178" i="121"/>
  <c r="G178" i="121"/>
  <c r="H178" i="121"/>
  <c r="I178" i="121"/>
  <c r="J178" i="121"/>
  <c r="C180" i="121"/>
  <c r="D180" i="121"/>
  <c r="E180" i="121"/>
  <c r="G180" i="121"/>
  <c r="H180" i="121"/>
  <c r="I180" i="121"/>
  <c r="J180" i="121"/>
  <c r="C181" i="121"/>
  <c r="D181" i="121"/>
  <c r="E181" i="121"/>
  <c r="G181" i="121"/>
  <c r="H181" i="121"/>
  <c r="I181" i="121"/>
  <c r="J181" i="121"/>
  <c r="C182" i="121"/>
  <c r="D182" i="121"/>
  <c r="E182" i="121"/>
  <c r="G182" i="121"/>
  <c r="H182" i="121"/>
  <c r="I182" i="121"/>
  <c r="J182" i="121"/>
  <c r="C184" i="121"/>
  <c r="D184" i="121"/>
  <c r="E184" i="121"/>
  <c r="G184" i="121"/>
  <c r="H184" i="121"/>
  <c r="I184" i="121"/>
  <c r="J184" i="121"/>
  <c r="C185" i="121"/>
  <c r="D185" i="121"/>
  <c r="E185" i="121"/>
  <c r="G185" i="121"/>
  <c r="H185" i="121"/>
  <c r="I185" i="121"/>
  <c r="J185" i="121"/>
  <c r="C187" i="121"/>
  <c r="D187" i="121"/>
  <c r="E187" i="121"/>
  <c r="G187" i="121"/>
  <c r="H187" i="121"/>
  <c r="I187" i="121"/>
  <c r="J187" i="121"/>
  <c r="C188" i="121"/>
  <c r="D188" i="121"/>
  <c r="E188" i="121"/>
  <c r="G188" i="121"/>
  <c r="H188" i="121"/>
  <c r="I188" i="121"/>
  <c r="J188" i="121"/>
  <c r="C189" i="121"/>
  <c r="D189" i="121"/>
  <c r="E189" i="121"/>
  <c r="G189" i="121"/>
  <c r="H189" i="121"/>
  <c r="I189" i="121"/>
  <c r="J189" i="121"/>
  <c r="C191" i="121"/>
  <c r="D191" i="121"/>
  <c r="E191" i="121"/>
  <c r="G191" i="121"/>
  <c r="H191" i="121"/>
  <c r="I191" i="121"/>
  <c r="J191" i="121"/>
  <c r="C192" i="121"/>
  <c r="D192" i="121"/>
  <c r="E192" i="121"/>
  <c r="G192" i="121"/>
  <c r="H192" i="121"/>
  <c r="I192" i="121"/>
  <c r="J192" i="121"/>
  <c r="C193" i="121"/>
  <c r="D193" i="121"/>
  <c r="E193" i="121"/>
  <c r="G193" i="121"/>
  <c r="H193" i="121"/>
  <c r="I193" i="121"/>
  <c r="J193" i="121"/>
  <c r="C194" i="121"/>
  <c r="D194" i="121"/>
  <c r="E194" i="121"/>
  <c r="G194" i="121"/>
  <c r="H194" i="121"/>
  <c r="I194" i="121"/>
  <c r="J194" i="121"/>
  <c r="C195" i="121"/>
  <c r="D195" i="121"/>
  <c r="E195" i="121"/>
  <c r="F195" i="121"/>
  <c r="G195" i="121"/>
  <c r="H195" i="121"/>
  <c r="I195" i="121"/>
  <c r="J195" i="121"/>
  <c r="G196" i="121"/>
  <c r="H196" i="121"/>
  <c r="I196" i="121"/>
  <c r="J196" i="121"/>
  <c r="C199" i="121"/>
  <c r="D199" i="121"/>
  <c r="E199" i="121"/>
  <c r="G199" i="121"/>
  <c r="H199" i="121"/>
  <c r="I199" i="121"/>
  <c r="J199" i="121"/>
  <c r="C200" i="121"/>
  <c r="D200" i="121"/>
  <c r="E200" i="121"/>
  <c r="G200" i="121"/>
  <c r="H200" i="121"/>
  <c r="I200" i="121"/>
  <c r="J200" i="121"/>
  <c r="C201" i="121"/>
  <c r="D201" i="121"/>
  <c r="E201" i="121"/>
  <c r="G201" i="121"/>
  <c r="H201" i="121"/>
  <c r="I201" i="121"/>
  <c r="J201" i="121"/>
  <c r="G202" i="121"/>
  <c r="H202" i="121"/>
  <c r="I202" i="121"/>
  <c r="J202" i="121"/>
  <c r="C205" i="121"/>
  <c r="D205" i="121"/>
  <c r="E205" i="121"/>
  <c r="G205" i="121"/>
  <c r="H205" i="121"/>
  <c r="I205" i="121"/>
  <c r="J205" i="121"/>
  <c r="C206" i="121"/>
  <c r="D206" i="121"/>
  <c r="E206" i="121"/>
  <c r="G206" i="121"/>
  <c r="H206" i="121"/>
  <c r="I206" i="121"/>
  <c r="J206" i="121"/>
  <c r="G207" i="121"/>
  <c r="H207" i="121"/>
  <c r="I207" i="121"/>
  <c r="J207" i="121"/>
  <c r="C210" i="121"/>
  <c r="D210" i="121"/>
  <c r="E210" i="121"/>
  <c r="G210" i="121"/>
  <c r="H210" i="121"/>
  <c r="I210" i="121"/>
  <c r="J210" i="121"/>
  <c r="C211" i="121"/>
  <c r="D211" i="121"/>
  <c r="E211" i="121"/>
  <c r="G211" i="121"/>
  <c r="H211" i="121"/>
  <c r="I211" i="121"/>
  <c r="J211" i="121"/>
  <c r="C212" i="121"/>
  <c r="D212" i="121"/>
  <c r="E212" i="121"/>
  <c r="F212" i="121"/>
  <c r="G212" i="121"/>
  <c r="H212" i="121"/>
  <c r="I212" i="121"/>
  <c r="J212" i="121"/>
  <c r="C213" i="121"/>
  <c r="D213" i="121"/>
  <c r="E213" i="121"/>
  <c r="F213" i="121"/>
  <c r="G213" i="121"/>
  <c r="H213" i="121"/>
  <c r="I213" i="121"/>
  <c r="J213" i="121"/>
  <c r="C214" i="121"/>
  <c r="D214" i="121"/>
  <c r="E214" i="121"/>
  <c r="G214" i="121"/>
  <c r="H214" i="121"/>
  <c r="I214" i="121"/>
  <c r="J214" i="121"/>
  <c r="G215" i="121"/>
  <c r="H215" i="121"/>
  <c r="I215" i="121"/>
  <c r="J215" i="121"/>
  <c r="C219" i="121"/>
  <c r="D219" i="121"/>
  <c r="E219" i="121"/>
  <c r="G219" i="121"/>
  <c r="H219" i="121"/>
  <c r="I219" i="121"/>
  <c r="J219" i="121"/>
  <c r="C220" i="121"/>
  <c r="D220" i="121"/>
  <c r="E220" i="121"/>
  <c r="G220" i="121"/>
  <c r="H220" i="121"/>
  <c r="I220" i="121"/>
  <c r="J220" i="121"/>
  <c r="C221" i="121"/>
  <c r="D221" i="121"/>
  <c r="E221" i="121"/>
  <c r="G221" i="121"/>
  <c r="H221" i="121"/>
  <c r="I221" i="121"/>
  <c r="J221" i="121"/>
  <c r="C222" i="121"/>
  <c r="D222" i="121"/>
  <c r="E222" i="121"/>
  <c r="G222" i="121"/>
  <c r="H222" i="121"/>
  <c r="I222" i="121"/>
  <c r="J222" i="121"/>
  <c r="C223" i="121"/>
  <c r="D223" i="121"/>
  <c r="E223" i="121"/>
  <c r="G223" i="121"/>
  <c r="H223" i="121"/>
  <c r="I223" i="121"/>
  <c r="J223" i="121"/>
  <c r="C224" i="121"/>
  <c r="D224" i="121"/>
  <c r="E224" i="121"/>
  <c r="G224" i="121"/>
  <c r="H224" i="121"/>
  <c r="I224" i="121"/>
  <c r="J224" i="121"/>
  <c r="C225" i="121"/>
  <c r="D225" i="121"/>
  <c r="E225" i="121"/>
  <c r="G225" i="121"/>
  <c r="H225" i="121"/>
  <c r="I225" i="121"/>
  <c r="J225" i="121"/>
  <c r="C226" i="121"/>
  <c r="D226" i="121"/>
  <c r="E226" i="121"/>
  <c r="G226" i="121"/>
  <c r="H226" i="121"/>
  <c r="I226" i="121"/>
  <c r="J226" i="121"/>
  <c r="C227" i="121"/>
  <c r="D227" i="121"/>
  <c r="E227" i="121"/>
  <c r="G227" i="121"/>
  <c r="H227" i="121"/>
  <c r="I227" i="121"/>
  <c r="J227" i="121"/>
  <c r="C228" i="121"/>
  <c r="D228" i="121"/>
  <c r="E228" i="121"/>
  <c r="G228" i="121"/>
  <c r="H228" i="121"/>
  <c r="I228" i="121"/>
  <c r="J228" i="121"/>
  <c r="C229" i="121"/>
  <c r="D229" i="121"/>
  <c r="E229" i="121"/>
  <c r="F229" i="121"/>
  <c r="G229" i="121"/>
  <c r="H229" i="121"/>
  <c r="I229" i="121"/>
  <c r="J229" i="121"/>
  <c r="C230" i="121"/>
  <c r="D230" i="121"/>
  <c r="E230" i="121"/>
  <c r="F230" i="121"/>
  <c r="G230" i="121"/>
  <c r="H230" i="121"/>
  <c r="I230" i="121"/>
  <c r="J230" i="121"/>
  <c r="C231" i="121"/>
  <c r="D231" i="121"/>
  <c r="E231" i="121"/>
  <c r="G231" i="121"/>
  <c r="H231" i="121"/>
  <c r="I231" i="121"/>
  <c r="J231" i="121"/>
  <c r="C232" i="121"/>
  <c r="D232" i="121"/>
  <c r="E232" i="121"/>
  <c r="G232" i="121"/>
  <c r="H232" i="121"/>
  <c r="I232" i="121"/>
  <c r="J232" i="121"/>
  <c r="C234" i="121"/>
  <c r="D234" i="121"/>
  <c r="E234" i="121"/>
  <c r="G234" i="121"/>
  <c r="H234" i="121"/>
  <c r="I234" i="121"/>
  <c r="J234" i="121"/>
  <c r="G235" i="121"/>
  <c r="G237" i="121"/>
  <c r="H237" i="121"/>
  <c r="I237" i="121"/>
  <c r="J237" i="121"/>
  <c r="C241" i="121"/>
  <c r="D241" i="121"/>
  <c r="E241" i="121"/>
  <c r="F241" i="121"/>
  <c r="G241" i="121"/>
  <c r="H241" i="121"/>
  <c r="I241" i="121"/>
  <c r="J241" i="121"/>
  <c r="C242" i="121"/>
  <c r="D242" i="121"/>
  <c r="E242" i="121"/>
  <c r="F242" i="121"/>
  <c r="G242" i="121"/>
  <c r="H242" i="121"/>
  <c r="I242" i="121"/>
  <c r="J242" i="121"/>
  <c r="C243" i="121"/>
  <c r="D243" i="121"/>
  <c r="E243" i="121"/>
  <c r="F243" i="121"/>
  <c r="G243" i="121"/>
  <c r="H243" i="121"/>
  <c r="I243" i="121"/>
  <c r="J243" i="121"/>
  <c r="C244" i="121"/>
  <c r="D244" i="121"/>
  <c r="E244" i="121"/>
  <c r="G244" i="121"/>
  <c r="H244" i="121"/>
  <c r="I244" i="121"/>
  <c r="J244" i="121"/>
  <c r="C245" i="121"/>
  <c r="D245" i="121"/>
  <c r="E245" i="121"/>
  <c r="G245" i="121"/>
  <c r="H245" i="121"/>
  <c r="I245" i="121"/>
  <c r="J245" i="121"/>
  <c r="C246" i="121"/>
  <c r="D246" i="121"/>
  <c r="E246" i="121"/>
  <c r="G246" i="121"/>
  <c r="H246" i="121"/>
  <c r="I246" i="121"/>
  <c r="J246" i="121"/>
  <c r="C247" i="121"/>
  <c r="D247" i="121"/>
  <c r="E247" i="121"/>
  <c r="G247" i="121"/>
  <c r="H247" i="121"/>
  <c r="I247" i="121"/>
  <c r="J247" i="121"/>
  <c r="C248" i="121"/>
  <c r="D248" i="121"/>
  <c r="E248" i="121"/>
  <c r="G248" i="121"/>
  <c r="H248" i="121"/>
  <c r="I248" i="121"/>
  <c r="J248" i="121"/>
  <c r="C249" i="121"/>
  <c r="D249" i="121"/>
  <c r="E249" i="121"/>
  <c r="G249" i="121"/>
  <c r="H249" i="121"/>
  <c r="I249" i="121"/>
  <c r="J249" i="121"/>
  <c r="C250" i="121"/>
  <c r="D250" i="121"/>
  <c r="E250" i="121"/>
  <c r="G250" i="121"/>
  <c r="H250" i="121"/>
  <c r="I250" i="121"/>
  <c r="J250" i="121"/>
  <c r="C251" i="121"/>
  <c r="D251" i="121"/>
  <c r="E251" i="121"/>
  <c r="G251" i="121"/>
  <c r="H251" i="121"/>
  <c r="I251" i="121"/>
  <c r="J251" i="121"/>
  <c r="C252" i="121"/>
  <c r="D252" i="121"/>
  <c r="E252" i="121"/>
  <c r="G252" i="121"/>
  <c r="H252" i="121"/>
  <c r="I252" i="121"/>
  <c r="J252" i="121"/>
  <c r="C253" i="121"/>
  <c r="D253" i="121"/>
  <c r="E253" i="121"/>
  <c r="G253" i="121"/>
  <c r="H253" i="121"/>
  <c r="I253" i="121"/>
  <c r="J253" i="121"/>
  <c r="C254" i="121"/>
  <c r="D254" i="121"/>
  <c r="E254" i="121"/>
  <c r="G254" i="121"/>
  <c r="H254" i="121"/>
  <c r="I254" i="121"/>
  <c r="J254" i="121"/>
  <c r="C255" i="121"/>
  <c r="D255" i="121"/>
  <c r="E255" i="121"/>
  <c r="G255" i="121"/>
  <c r="H255" i="121"/>
  <c r="I255" i="121"/>
  <c r="J255" i="121"/>
  <c r="C256" i="121"/>
  <c r="D256" i="121"/>
  <c r="E256" i="121"/>
  <c r="G256" i="121"/>
  <c r="H256" i="121"/>
  <c r="I256" i="121"/>
  <c r="J256" i="121"/>
  <c r="G257" i="121"/>
  <c r="H257" i="121"/>
  <c r="I257" i="121"/>
  <c r="J257" i="121"/>
  <c r="G260" i="121"/>
  <c r="H260" i="121"/>
  <c r="I260" i="121"/>
  <c r="J260" i="121"/>
  <c r="C268" i="121"/>
  <c r="D268" i="121"/>
  <c r="E268" i="121"/>
  <c r="G268" i="121"/>
  <c r="H268" i="121"/>
  <c r="I268" i="121"/>
  <c r="J268" i="121"/>
  <c r="C269" i="121"/>
  <c r="D269" i="121"/>
  <c r="E269" i="121"/>
  <c r="G269" i="121"/>
  <c r="H269" i="121"/>
  <c r="I269" i="121"/>
  <c r="J269" i="121"/>
  <c r="C270" i="121"/>
  <c r="D270" i="121"/>
  <c r="E270" i="121"/>
  <c r="G270" i="121"/>
  <c r="H270" i="121"/>
  <c r="I270" i="121"/>
  <c r="J270" i="121"/>
  <c r="G271" i="121"/>
  <c r="H271" i="121"/>
  <c r="I271" i="121"/>
  <c r="J271" i="121"/>
  <c r="C274" i="121"/>
  <c r="D274" i="121"/>
  <c r="E274" i="121"/>
  <c r="G274" i="121"/>
  <c r="H274" i="121"/>
  <c r="I274" i="121"/>
  <c r="J274" i="121"/>
  <c r="C275" i="121"/>
  <c r="D275" i="121"/>
  <c r="E275" i="121"/>
  <c r="G275" i="121"/>
  <c r="H275" i="121"/>
  <c r="I275" i="121"/>
  <c r="J275" i="121"/>
  <c r="C276" i="121"/>
  <c r="D276" i="121"/>
  <c r="E276" i="121"/>
  <c r="G276" i="121"/>
  <c r="H276" i="121"/>
  <c r="I276" i="121"/>
  <c r="J276" i="121"/>
  <c r="C277" i="121"/>
  <c r="D277" i="121"/>
  <c r="E277" i="121"/>
  <c r="G277" i="121"/>
  <c r="H277" i="121"/>
  <c r="I277" i="121"/>
  <c r="J277" i="121"/>
  <c r="C278" i="121"/>
  <c r="D278" i="121"/>
  <c r="E278" i="121"/>
  <c r="G278" i="121"/>
  <c r="H278" i="121"/>
  <c r="I278" i="121"/>
  <c r="J278" i="121"/>
  <c r="C279" i="121"/>
  <c r="D279" i="121"/>
  <c r="E279" i="121"/>
  <c r="G279" i="121"/>
  <c r="H279" i="121"/>
  <c r="I279" i="121"/>
  <c r="J279" i="121"/>
  <c r="C280" i="121"/>
  <c r="D280" i="121"/>
  <c r="E280" i="121"/>
  <c r="G280" i="121"/>
  <c r="H280" i="121"/>
  <c r="I280" i="121"/>
  <c r="J280" i="121"/>
  <c r="G281" i="121"/>
  <c r="H281" i="121"/>
  <c r="I281" i="121"/>
  <c r="J281" i="121"/>
  <c r="G283" i="121"/>
  <c r="H283" i="121"/>
  <c r="I283" i="121"/>
  <c r="J283" i="121"/>
  <c r="C291" i="121"/>
  <c r="D291" i="121"/>
  <c r="E291" i="121"/>
  <c r="F291" i="121"/>
  <c r="G291" i="121"/>
  <c r="H291" i="121"/>
  <c r="I291" i="121"/>
  <c r="J291" i="121"/>
  <c r="C292" i="121"/>
  <c r="D292" i="121"/>
  <c r="E292" i="121"/>
  <c r="F292" i="121"/>
  <c r="G292" i="121"/>
  <c r="H292" i="121"/>
  <c r="I292" i="121"/>
  <c r="J292" i="121"/>
  <c r="C293" i="121"/>
  <c r="D293" i="121"/>
  <c r="E293" i="121"/>
  <c r="F293" i="121"/>
  <c r="G293" i="121"/>
  <c r="H293" i="121"/>
  <c r="I293" i="121"/>
  <c r="J293" i="121"/>
  <c r="C294" i="121"/>
  <c r="D294" i="121"/>
  <c r="E294" i="121"/>
  <c r="F294" i="121"/>
  <c r="G294" i="121"/>
  <c r="H294" i="121"/>
  <c r="I294" i="121"/>
  <c r="J294" i="121"/>
  <c r="C295" i="121"/>
  <c r="D295" i="121"/>
  <c r="E295" i="121"/>
  <c r="F295" i="121"/>
  <c r="G295" i="121"/>
  <c r="H295" i="121"/>
  <c r="I295" i="121"/>
  <c r="J295" i="121"/>
  <c r="C296" i="121"/>
  <c r="D296" i="121"/>
  <c r="E296" i="121"/>
  <c r="F296" i="121"/>
  <c r="G296" i="121"/>
  <c r="H296" i="121"/>
  <c r="I296" i="121"/>
  <c r="J296" i="121"/>
  <c r="C297" i="121"/>
  <c r="D297" i="121"/>
  <c r="E297" i="121"/>
  <c r="F297" i="121"/>
  <c r="G297" i="121"/>
  <c r="H297" i="121"/>
  <c r="I297" i="121"/>
  <c r="J297" i="121"/>
  <c r="G298" i="121"/>
  <c r="H298" i="121"/>
  <c r="I298" i="121"/>
  <c r="J298" i="121"/>
  <c r="C301" i="121"/>
  <c r="D301" i="121"/>
  <c r="E301" i="121"/>
  <c r="F301" i="121"/>
  <c r="G301" i="121"/>
  <c r="H301" i="121"/>
  <c r="I301" i="121"/>
  <c r="J301" i="121"/>
  <c r="G302" i="121"/>
  <c r="H302" i="121"/>
  <c r="I302" i="121"/>
  <c r="J302" i="121"/>
  <c r="C305" i="121"/>
  <c r="D305" i="121"/>
  <c r="E305" i="121"/>
  <c r="F305" i="121"/>
  <c r="G305" i="121"/>
  <c r="H305" i="121"/>
  <c r="I305" i="121"/>
  <c r="J305" i="121"/>
  <c r="C306" i="121"/>
  <c r="D306" i="121"/>
  <c r="E306" i="121"/>
  <c r="F306" i="121"/>
  <c r="G306" i="121"/>
  <c r="H306" i="121"/>
  <c r="I306" i="121"/>
  <c r="J306" i="121"/>
  <c r="C307" i="121"/>
  <c r="D307" i="121"/>
  <c r="E307" i="121"/>
  <c r="F307" i="121"/>
  <c r="G307" i="121"/>
  <c r="H307" i="121"/>
  <c r="I307" i="121"/>
  <c r="J307" i="121"/>
  <c r="C308" i="121"/>
  <c r="D308" i="121"/>
  <c r="E308" i="121"/>
  <c r="F308" i="121"/>
  <c r="G308" i="121"/>
  <c r="H308" i="121"/>
  <c r="I308" i="121"/>
  <c r="J308" i="121"/>
  <c r="C309" i="121"/>
  <c r="D309" i="121"/>
  <c r="E309" i="121"/>
  <c r="F309" i="121"/>
  <c r="G309" i="121"/>
  <c r="H309" i="121"/>
  <c r="I309" i="121"/>
  <c r="J309" i="121"/>
  <c r="C310" i="121"/>
  <c r="D310" i="121"/>
  <c r="E310" i="121"/>
  <c r="F310" i="121"/>
  <c r="G310" i="121"/>
  <c r="H310" i="121"/>
  <c r="I310" i="121"/>
  <c r="J310" i="121"/>
  <c r="C311" i="121"/>
  <c r="D311" i="121"/>
  <c r="E311" i="121"/>
  <c r="F311" i="121"/>
  <c r="G311" i="121"/>
  <c r="H311" i="121"/>
  <c r="I311" i="121"/>
  <c r="J311" i="121"/>
  <c r="G313" i="121"/>
  <c r="H313" i="121"/>
  <c r="I313" i="121"/>
  <c r="J313" i="121"/>
  <c r="G315" i="121"/>
  <c r="H315" i="121"/>
  <c r="I315" i="121"/>
  <c r="J315" i="121"/>
  <c r="G321" i="121"/>
  <c r="H321" i="121"/>
  <c r="I321" i="121"/>
  <c r="J321" i="121"/>
  <c r="G322" i="121"/>
  <c r="H322" i="121"/>
  <c r="I322" i="121"/>
  <c r="J322" i="121"/>
  <c r="G325" i="121"/>
  <c r="H325" i="121"/>
  <c r="I325" i="121"/>
  <c r="J325" i="121"/>
  <c r="G328" i="121"/>
  <c r="H328" i="121"/>
  <c r="I328" i="121"/>
  <c r="J328" i="121"/>
  <c r="G331" i="121"/>
  <c r="H331" i="121"/>
  <c r="I331" i="121"/>
  <c r="J331" i="121"/>
  <c r="G334" i="121"/>
  <c r="H334" i="121"/>
  <c r="I334" i="121"/>
  <c r="J334" i="121"/>
  <c r="H339" i="121"/>
  <c r="H340" i="121"/>
  <c r="H341" i="121"/>
  <c r="H342" i="121"/>
  <c r="H343" i="121"/>
  <c r="H346" i="121"/>
  <c r="H347" i="121"/>
  <c r="J347" i="121"/>
  <c r="H348" i="121"/>
  <c r="H349" i="121"/>
  <c r="H350" i="121"/>
  <c r="J350" i="121"/>
  <c r="H351" i="121"/>
  <c r="H353" i="121"/>
  <c r="E365" i="121"/>
  <c r="G365" i="121"/>
  <c r="H365" i="121"/>
  <c r="I365" i="121"/>
  <c r="J365" i="121"/>
  <c r="E366" i="121"/>
  <c r="G366" i="121"/>
  <c r="H366" i="121"/>
  <c r="I366" i="121"/>
  <c r="J366" i="121"/>
  <c r="E367" i="121"/>
  <c r="G367" i="121"/>
  <c r="H367" i="121"/>
  <c r="I367" i="121"/>
  <c r="J367" i="121"/>
  <c r="E368" i="121"/>
  <c r="G368" i="121"/>
  <c r="H368" i="121"/>
  <c r="I368" i="121"/>
  <c r="J368" i="121"/>
  <c r="E369" i="121"/>
  <c r="G369" i="121"/>
  <c r="H369" i="121"/>
  <c r="I369" i="121"/>
  <c r="J369" i="121"/>
  <c r="E370" i="121"/>
  <c r="G370" i="121"/>
  <c r="H370" i="121"/>
  <c r="I370" i="121"/>
  <c r="J370" i="121"/>
  <c r="E371" i="121"/>
  <c r="G371" i="121"/>
  <c r="H371" i="121"/>
  <c r="I371" i="121"/>
  <c r="J371" i="121"/>
  <c r="G373" i="121"/>
  <c r="H373" i="121"/>
  <c r="I373" i="121"/>
  <c r="J373" i="121"/>
  <c r="G374" i="121"/>
  <c r="H374" i="121"/>
  <c r="I374" i="121"/>
  <c r="J374" i="121"/>
  <c r="D380" i="121"/>
  <c r="E380" i="121"/>
  <c r="F380" i="121"/>
  <c r="G380" i="121"/>
  <c r="D381" i="121"/>
  <c r="E381" i="121"/>
  <c r="F381" i="121"/>
  <c r="G381" i="121"/>
  <c r="D382" i="121"/>
  <c r="E382" i="121"/>
  <c r="F382" i="121"/>
  <c r="G382" i="121"/>
  <c r="D383" i="121"/>
  <c r="E383" i="121"/>
  <c r="F383" i="121"/>
  <c r="G383" i="121"/>
  <c r="D384" i="121"/>
  <c r="E384" i="121"/>
  <c r="F384" i="121"/>
  <c r="G384" i="121"/>
  <c r="D385" i="121"/>
  <c r="E385" i="121"/>
  <c r="F385" i="121"/>
  <c r="G385" i="121"/>
  <c r="D386" i="121"/>
  <c r="E386" i="121"/>
  <c r="F386" i="121"/>
  <c r="G386" i="121"/>
  <c r="D387" i="121"/>
  <c r="E387" i="121"/>
  <c r="F387" i="121"/>
  <c r="G387" i="121"/>
  <c r="D388" i="121"/>
  <c r="E388" i="121"/>
  <c r="F388" i="121"/>
  <c r="G388" i="121"/>
  <c r="D389" i="121"/>
  <c r="E389" i="121"/>
  <c r="F389" i="121"/>
  <c r="G389" i="121"/>
  <c r="K2" i="118"/>
  <c r="K3" i="118"/>
  <c r="K4" i="118"/>
  <c r="K5" i="118"/>
  <c r="K6" i="118"/>
  <c r="K7" i="118"/>
  <c r="K8" i="118"/>
  <c r="K9" i="118"/>
  <c r="K10" i="118"/>
  <c r="K11" i="118"/>
  <c r="I12" i="118"/>
  <c r="K12" i="118"/>
  <c r="K13" i="118"/>
  <c r="K14" i="118"/>
  <c r="K15" i="118"/>
  <c r="K16" i="118"/>
  <c r="K17" i="118"/>
  <c r="K18" i="118"/>
  <c r="I19" i="118"/>
  <c r="K19" i="118"/>
  <c r="K20" i="118"/>
  <c r="K21" i="118"/>
  <c r="K22" i="118"/>
  <c r="K23" i="118"/>
  <c r="K24" i="118"/>
  <c r="K25" i="118"/>
  <c r="K26" i="118"/>
  <c r="K27" i="118"/>
  <c r="K28" i="118"/>
  <c r="I29" i="118"/>
  <c r="K29" i="118"/>
  <c r="K30" i="118"/>
  <c r="K31" i="118"/>
  <c r="K32" i="118"/>
  <c r="K33" i="118"/>
  <c r="K34" i="118"/>
  <c r="K35" i="118"/>
  <c r="K36" i="118"/>
  <c r="K37" i="118"/>
  <c r="K38" i="118"/>
  <c r="K39" i="118"/>
  <c r="K40" i="118"/>
  <c r="K41" i="118"/>
  <c r="I42" i="118"/>
  <c r="K42" i="118"/>
  <c r="K43" i="118"/>
  <c r="K44" i="118"/>
  <c r="K45" i="118"/>
  <c r="K46" i="118"/>
  <c r="K47" i="118"/>
  <c r="K48" i="118"/>
  <c r="K49" i="118"/>
  <c r="K50" i="118"/>
  <c r="I51" i="118"/>
  <c r="K51" i="118" s="1"/>
  <c r="K52" i="118"/>
  <c r="K53" i="118"/>
  <c r="K54" i="118"/>
  <c r="K55" i="118"/>
  <c r="K56" i="118"/>
  <c r="K57" i="118"/>
  <c r="K58" i="118"/>
  <c r="K59" i="118"/>
  <c r="K60" i="118"/>
  <c r="K61" i="118"/>
  <c r="K62" i="118"/>
  <c r="I63" i="118"/>
  <c r="K63" i="118"/>
  <c r="K64" i="118"/>
  <c r="K65" i="118"/>
  <c r="I66" i="118"/>
  <c r="K66" i="118" s="1"/>
  <c r="J66" i="118"/>
  <c r="K67" i="118"/>
  <c r="K68" i="118"/>
  <c r="K69" i="118"/>
  <c r="K70" i="118"/>
  <c r="K71" i="118"/>
  <c r="I72" i="118"/>
  <c r="J72" i="118"/>
  <c r="K72" i="118"/>
  <c r="K73" i="118"/>
  <c r="K74" i="118"/>
  <c r="K75" i="118"/>
  <c r="K76" i="118"/>
  <c r="I77" i="118"/>
  <c r="J77" i="118"/>
  <c r="K77" i="118" s="1"/>
  <c r="K78" i="118"/>
  <c r="K79" i="118"/>
  <c r="K80" i="118"/>
  <c r="K81" i="118"/>
  <c r="K82" i="118"/>
  <c r="K83" i="118"/>
  <c r="K96" i="118" s="1"/>
  <c r="K84" i="118"/>
  <c r="K85" i="118"/>
  <c r="K86" i="118"/>
  <c r="K87" i="118"/>
  <c r="K88" i="118"/>
  <c r="K89" i="118"/>
  <c r="K90" i="118"/>
  <c r="K91" i="118"/>
  <c r="K92" i="118"/>
  <c r="K93" i="118"/>
  <c r="K94" i="118"/>
  <c r="K95" i="118"/>
  <c r="I96" i="118"/>
  <c r="J96" i="118"/>
  <c r="T2" i="113"/>
  <c r="T3" i="113"/>
  <c r="T115" i="113" s="1"/>
  <c r="T4" i="113"/>
  <c r="T5" i="113"/>
  <c r="T6" i="113"/>
  <c r="T7" i="113"/>
  <c r="T8" i="113"/>
  <c r="T9" i="113"/>
  <c r="T10" i="113"/>
  <c r="T11" i="113"/>
  <c r="T12" i="113"/>
  <c r="T13" i="113"/>
  <c r="T14" i="113"/>
  <c r="T15" i="113"/>
  <c r="T16" i="113"/>
  <c r="T17" i="113"/>
  <c r="T18" i="113"/>
  <c r="T19" i="113"/>
  <c r="T20" i="113"/>
  <c r="T21" i="113"/>
  <c r="T22" i="113"/>
  <c r="T23" i="113"/>
  <c r="T24" i="113"/>
  <c r="T25" i="113"/>
  <c r="T26" i="113"/>
  <c r="T27" i="113"/>
  <c r="T28" i="113"/>
  <c r="T29" i="113"/>
  <c r="T30" i="113"/>
  <c r="T31" i="113"/>
  <c r="T32" i="113"/>
  <c r="T33" i="113"/>
  <c r="T34" i="113"/>
  <c r="T35" i="113"/>
  <c r="T36" i="113"/>
  <c r="T37" i="113"/>
  <c r="T38" i="113"/>
  <c r="T39" i="113"/>
  <c r="T40" i="113"/>
  <c r="T41" i="113"/>
  <c r="T42" i="113"/>
  <c r="T43" i="113"/>
  <c r="T44" i="113"/>
  <c r="T45" i="113"/>
  <c r="T46" i="113"/>
  <c r="T47" i="113"/>
  <c r="T48" i="113"/>
  <c r="T49" i="113"/>
  <c r="T50" i="113"/>
  <c r="T51" i="113"/>
  <c r="T52" i="113"/>
  <c r="T53" i="113"/>
  <c r="T54" i="113"/>
  <c r="T55" i="113"/>
  <c r="T56" i="113"/>
  <c r="T57" i="113"/>
  <c r="T58" i="113"/>
  <c r="T59" i="113"/>
  <c r="T60" i="113"/>
  <c r="T61" i="113"/>
  <c r="T62" i="113"/>
  <c r="T63" i="113"/>
  <c r="T64" i="113"/>
  <c r="T65" i="113"/>
  <c r="T66" i="113"/>
  <c r="T67" i="113"/>
  <c r="T68" i="113"/>
  <c r="T69" i="113"/>
  <c r="T70" i="113"/>
  <c r="T71" i="113"/>
  <c r="T72" i="113"/>
  <c r="T73" i="113"/>
  <c r="T74" i="113"/>
  <c r="T75" i="113"/>
  <c r="T76" i="113"/>
  <c r="T77" i="113"/>
  <c r="T78" i="113"/>
  <c r="T79" i="113"/>
  <c r="T80" i="113"/>
  <c r="T81" i="113"/>
  <c r="T82" i="113"/>
  <c r="T83" i="113"/>
  <c r="T84" i="113"/>
  <c r="T85" i="113"/>
  <c r="T86" i="113"/>
  <c r="T87" i="113"/>
  <c r="T88" i="113"/>
  <c r="T89" i="113"/>
  <c r="T90" i="113"/>
  <c r="T91" i="113"/>
  <c r="T92" i="113"/>
  <c r="T93" i="113"/>
  <c r="T94" i="113"/>
  <c r="T95" i="113"/>
  <c r="T96" i="113"/>
  <c r="T97" i="113"/>
  <c r="T98" i="113"/>
  <c r="T99" i="113"/>
  <c r="T100" i="113"/>
  <c r="T101" i="113"/>
  <c r="T102" i="113"/>
  <c r="T103" i="113"/>
  <c r="T104" i="113"/>
  <c r="T105" i="113"/>
  <c r="T106" i="113"/>
  <c r="T107" i="113"/>
  <c r="T108" i="113"/>
  <c r="T109" i="113"/>
  <c r="T110" i="113"/>
  <c r="T111" i="113"/>
  <c r="T112" i="113"/>
  <c r="T113" i="113"/>
  <c r="T114" i="113"/>
  <c r="N115" i="113"/>
  <c r="O115" i="113"/>
  <c r="P115" i="113"/>
  <c r="Q115" i="113"/>
  <c r="R115" i="113"/>
  <c r="S115" i="113"/>
  <c r="H14" i="112"/>
  <c r="I14" i="112"/>
  <c r="H21" i="112"/>
  <c r="G18" i="26" s="1"/>
  <c r="I21" i="112"/>
  <c r="H51" i="112"/>
  <c r="G24" i="26" s="1"/>
  <c r="I51" i="112"/>
  <c r="H59" i="112"/>
  <c r="G25" i="26" s="1"/>
  <c r="I59" i="112"/>
  <c r="H60" i="112"/>
  <c r="I60" i="112"/>
  <c r="H68" i="112"/>
  <c r="I68" i="112"/>
  <c r="L70" i="112"/>
  <c r="L71" i="112"/>
  <c r="L72" i="112"/>
  <c r="L73" i="112"/>
  <c r="H74" i="112"/>
  <c r="I74" i="112"/>
  <c r="H81" i="112"/>
  <c r="I81" i="112"/>
  <c r="H101" i="112"/>
  <c r="G40" i="26" s="1"/>
  <c r="I101" i="112"/>
  <c r="H113" i="112"/>
  <c r="G41" i="26" s="1"/>
  <c r="I113" i="112"/>
  <c r="H114" i="112"/>
  <c r="I114" i="112"/>
  <c r="H146" i="112"/>
  <c r="I146" i="112"/>
  <c r="I158" i="112" s="1"/>
  <c r="H157" i="112"/>
  <c r="G46" i="26" s="1"/>
  <c r="I157" i="112"/>
  <c r="H196" i="112"/>
  <c r="I196" i="112"/>
  <c r="H199" i="112"/>
  <c r="I199" i="112"/>
  <c r="Q2" i="109"/>
  <c r="Q3" i="109"/>
  <c r="Q4" i="109"/>
  <c r="Q5" i="109"/>
  <c r="Q6" i="109"/>
  <c r="Q7" i="109"/>
  <c r="Q8" i="109"/>
  <c r="Q9" i="109"/>
  <c r="Q10" i="109"/>
  <c r="Q11" i="109"/>
  <c r="Q12" i="109"/>
  <c r="Q13" i="109"/>
  <c r="Q14" i="109"/>
  <c r="Q15" i="109"/>
  <c r="Q16" i="109"/>
  <c r="Q17" i="109"/>
  <c r="Q18" i="109"/>
  <c r="Q19" i="109"/>
  <c r="Q20" i="109"/>
  <c r="Q21" i="109"/>
  <c r="Q22" i="109"/>
  <c r="Q23" i="109"/>
  <c r="Q24" i="109"/>
  <c r="Q25" i="109"/>
  <c r="Q26" i="109"/>
  <c r="Q27" i="109"/>
  <c r="Q28" i="109"/>
  <c r="Q29" i="109"/>
  <c r="Q30" i="109"/>
  <c r="Q31" i="109"/>
  <c r="Q32" i="109"/>
  <c r="Q33" i="109"/>
  <c r="Q34" i="109"/>
  <c r="Q35" i="109"/>
  <c r="Q36" i="109"/>
  <c r="Q37" i="109"/>
  <c r="Q38" i="109"/>
  <c r="Q39" i="109"/>
  <c r="Q40" i="109"/>
  <c r="Q41" i="109"/>
  <c r="Q42" i="109"/>
  <c r="Q43" i="109"/>
  <c r="Q44" i="109"/>
  <c r="Q45" i="109"/>
  <c r="Q46" i="109"/>
  <c r="Q47" i="109"/>
  <c r="Q48" i="109"/>
  <c r="Q49" i="109"/>
  <c r="Q50" i="109"/>
  <c r="Q51" i="109"/>
  <c r="Q52" i="109"/>
  <c r="Q53" i="109"/>
  <c r="Q54" i="109"/>
  <c r="Q55" i="109"/>
  <c r="Q56" i="109"/>
  <c r="Q57" i="109"/>
  <c r="Q58" i="109"/>
  <c r="Q59" i="109"/>
  <c r="Q60" i="109"/>
  <c r="Q61" i="109"/>
  <c r="Q62" i="109"/>
  <c r="Q63" i="109"/>
  <c r="Q64" i="109"/>
  <c r="Q65" i="109"/>
  <c r="Q66" i="109"/>
  <c r="Q67" i="109"/>
  <c r="Q68" i="109"/>
  <c r="Q69" i="109"/>
  <c r="Q70" i="109"/>
  <c r="Q71" i="109"/>
  <c r="Q72" i="109"/>
  <c r="Q73" i="109"/>
  <c r="Q74" i="109"/>
  <c r="Q75" i="109"/>
  <c r="Q76" i="109"/>
  <c r="Q77" i="109"/>
  <c r="Q78" i="109"/>
  <c r="Q79" i="109"/>
  <c r="Q80" i="109"/>
  <c r="Q81" i="109"/>
  <c r="Q82" i="109"/>
  <c r="Q83" i="109"/>
  <c r="Q84" i="109"/>
  <c r="Q85" i="109"/>
  <c r="Q86" i="109"/>
  <c r="Q87" i="109"/>
  <c r="Q88" i="109"/>
  <c r="Q89" i="109"/>
  <c r="Q90" i="109"/>
  <c r="Q91" i="109"/>
  <c r="Q92" i="109"/>
  <c r="Q93" i="109"/>
  <c r="Q94" i="109"/>
  <c r="Q95" i="109"/>
  <c r="Q96" i="109"/>
  <c r="Q97" i="109"/>
  <c r="Q98" i="109"/>
  <c r="Q99" i="109"/>
  <c r="Q100" i="109"/>
  <c r="Q101" i="109"/>
  <c r="Q102" i="109"/>
  <c r="Q103" i="109"/>
  <c r="Q104" i="109"/>
  <c r="Q105" i="109"/>
  <c r="Q106" i="109"/>
  <c r="Q107" i="109"/>
  <c r="Q108" i="109"/>
  <c r="Q109" i="109"/>
  <c r="Q110" i="109"/>
  <c r="Q111" i="109"/>
  <c r="Q112" i="109"/>
  <c r="Q113" i="109"/>
  <c r="Q114" i="109"/>
  <c r="I11" i="107"/>
  <c r="J11" i="107"/>
  <c r="K11" i="107"/>
  <c r="L11" i="107"/>
  <c r="M11" i="107"/>
  <c r="M13" i="107" s="1"/>
  <c r="M15" i="107" s="1"/>
  <c r="M28" i="107" s="1"/>
  <c r="N11" i="107"/>
  <c r="N13" i="107" s="1"/>
  <c r="N15" i="107" s="1"/>
  <c r="N28" i="107" s="1"/>
  <c r="I13" i="107"/>
  <c r="I15" i="107" s="1"/>
  <c r="I28" i="107" s="1"/>
  <c r="J13" i="107"/>
  <c r="J15" i="107" s="1"/>
  <c r="J28" i="107" s="1"/>
  <c r="K13" i="107"/>
  <c r="K15" i="107" s="1"/>
  <c r="K28" i="107" s="1"/>
  <c r="L13" i="107"/>
  <c r="L15" i="107" s="1"/>
  <c r="L28" i="107" s="1"/>
  <c r="I27" i="107"/>
  <c r="J27" i="107"/>
  <c r="M2" i="106"/>
  <c r="M3" i="106"/>
  <c r="M4" i="106"/>
  <c r="M5" i="106"/>
  <c r="M6" i="106"/>
  <c r="M7" i="106"/>
  <c r="M8" i="106"/>
  <c r="M9" i="106"/>
  <c r="M10" i="106"/>
  <c r="M11" i="106"/>
  <c r="M12" i="106"/>
  <c r="M13" i="106"/>
  <c r="M14" i="106"/>
  <c r="M15" i="106"/>
  <c r="M16" i="106"/>
  <c r="M17" i="106"/>
  <c r="M18" i="106"/>
  <c r="M19" i="106"/>
  <c r="M20" i="106"/>
  <c r="M21" i="106"/>
  <c r="M22" i="106"/>
  <c r="M23" i="106"/>
  <c r="M2" i="105"/>
  <c r="I3" i="105"/>
  <c r="M3" i="105"/>
  <c r="I4" i="105"/>
  <c r="M4" i="105"/>
  <c r="M48" i="105" s="1"/>
  <c r="I5" i="105"/>
  <c r="M5" i="105"/>
  <c r="I6" i="105"/>
  <c r="M6" i="105"/>
  <c r="I7" i="105"/>
  <c r="M7" i="105"/>
  <c r="I8" i="105"/>
  <c r="M8" i="105"/>
  <c r="I9" i="105"/>
  <c r="M9" i="105"/>
  <c r="I10" i="105"/>
  <c r="M10" i="105"/>
  <c r="I11" i="105"/>
  <c r="M11" i="105"/>
  <c r="I12" i="105"/>
  <c r="M12" i="105"/>
  <c r="M13" i="105"/>
  <c r="M14" i="105"/>
  <c r="M15" i="105"/>
  <c r="M16" i="105"/>
  <c r="M17" i="105"/>
  <c r="M18" i="105"/>
  <c r="M19" i="105"/>
  <c r="M20" i="105"/>
  <c r="M21" i="105"/>
  <c r="H48" i="105"/>
  <c r="K48" i="105"/>
  <c r="L48" i="105"/>
  <c r="I9" i="103"/>
  <c r="J9" i="103"/>
  <c r="K9" i="103"/>
  <c r="L9" i="103"/>
  <c r="M9" i="103"/>
  <c r="N9" i="103"/>
  <c r="O9" i="103"/>
  <c r="P9" i="103"/>
  <c r="Q9" i="103"/>
  <c r="R9" i="103"/>
  <c r="S9" i="103"/>
  <c r="I24" i="103"/>
  <c r="J24" i="103"/>
  <c r="K24" i="103"/>
  <c r="L24" i="103"/>
  <c r="M24" i="103"/>
  <c r="N24" i="103"/>
  <c r="O24" i="103"/>
  <c r="P24" i="103"/>
  <c r="Q24" i="103"/>
  <c r="R24" i="103"/>
  <c r="S24" i="103"/>
  <c r="I39" i="103"/>
  <c r="J39" i="103"/>
  <c r="K39" i="103"/>
  <c r="L39" i="103"/>
  <c r="M39" i="103"/>
  <c r="N39" i="103"/>
  <c r="O39" i="103"/>
  <c r="P39" i="103"/>
  <c r="Q39" i="103"/>
  <c r="R39" i="103"/>
  <c r="S39" i="103"/>
  <c r="I54" i="103"/>
  <c r="J54" i="103"/>
  <c r="K54" i="103"/>
  <c r="L54" i="103"/>
  <c r="M54" i="103"/>
  <c r="N54" i="103"/>
  <c r="O54" i="103"/>
  <c r="P54" i="103"/>
  <c r="Q54" i="103"/>
  <c r="R54" i="103"/>
  <c r="S54" i="103"/>
  <c r="I67" i="103"/>
  <c r="J67" i="103"/>
  <c r="K67" i="103"/>
  <c r="L67" i="103"/>
  <c r="M67" i="103"/>
  <c r="N67" i="103"/>
  <c r="O67" i="103"/>
  <c r="P67" i="103"/>
  <c r="Q67" i="103"/>
  <c r="R67" i="103"/>
  <c r="S67" i="103"/>
  <c r="I73" i="103"/>
  <c r="J73" i="103"/>
  <c r="K73" i="103"/>
  <c r="L73" i="103"/>
  <c r="M73" i="103"/>
  <c r="N73" i="103"/>
  <c r="O73" i="103"/>
  <c r="P73" i="103"/>
  <c r="Q73" i="103"/>
  <c r="R73" i="103"/>
  <c r="S73" i="103"/>
  <c r="I77" i="103"/>
  <c r="J77" i="103"/>
  <c r="K77" i="103"/>
  <c r="L77" i="103"/>
  <c r="M77" i="103"/>
  <c r="N77" i="103"/>
  <c r="O77" i="103"/>
  <c r="P77" i="103"/>
  <c r="Q77" i="103"/>
  <c r="R77" i="103"/>
  <c r="R87" i="103" s="1"/>
  <c r="S77" i="103"/>
  <c r="I4" i="101"/>
  <c r="M4" i="101"/>
  <c r="J2" i="100"/>
  <c r="N2" i="100"/>
  <c r="Q2" i="100"/>
  <c r="J3" i="100"/>
  <c r="N3" i="100"/>
  <c r="Q3" i="100" s="1"/>
  <c r="J4" i="100"/>
  <c r="Q4" i="100"/>
  <c r="J5" i="100"/>
  <c r="Q5" i="100"/>
  <c r="J6" i="100"/>
  <c r="Q6" i="100"/>
  <c r="J7" i="100"/>
  <c r="N7" i="100"/>
  <c r="Q7" i="100" s="1"/>
  <c r="J8" i="100"/>
  <c r="Q8" i="100"/>
  <c r="J9" i="100"/>
  <c r="N9" i="100"/>
  <c r="Q9" i="100" s="1"/>
  <c r="J10" i="100"/>
  <c r="N10" i="100"/>
  <c r="Q10" i="100"/>
  <c r="J11" i="100"/>
  <c r="N11" i="100"/>
  <c r="Q11" i="100"/>
  <c r="J12" i="100"/>
  <c r="N12" i="100"/>
  <c r="Q12" i="100"/>
  <c r="J13" i="100"/>
  <c r="N13" i="100"/>
  <c r="Q13" i="100"/>
  <c r="J14" i="100"/>
  <c r="N14" i="100"/>
  <c r="Q14" i="100"/>
  <c r="J15" i="100"/>
  <c r="N15" i="100"/>
  <c r="J16" i="100"/>
  <c r="N16" i="100"/>
  <c r="N17" i="100"/>
  <c r="N18" i="100"/>
  <c r="N19" i="100"/>
  <c r="N20" i="100"/>
  <c r="N21" i="100"/>
  <c r="N22" i="100"/>
  <c r="N23" i="100"/>
  <c r="L2" i="99"/>
  <c r="L45" i="99" s="1"/>
  <c r="L3" i="99"/>
  <c r="L4" i="99"/>
  <c r="L5" i="99"/>
  <c r="L6" i="99"/>
  <c r="L7" i="99"/>
  <c r="L8" i="99"/>
  <c r="L9" i="99"/>
  <c r="L10" i="99"/>
  <c r="L11" i="99"/>
  <c r="L12" i="99"/>
  <c r="L13" i="99"/>
  <c r="L14" i="99"/>
  <c r="L15" i="99"/>
  <c r="L16" i="99"/>
  <c r="L17" i="99"/>
  <c r="L18" i="99"/>
  <c r="L19" i="99"/>
  <c r="L20" i="99"/>
  <c r="L21" i="99"/>
  <c r="L22" i="99"/>
  <c r="L23" i="99"/>
  <c r="L24" i="99"/>
  <c r="L25" i="99"/>
  <c r="L26" i="99"/>
  <c r="L27" i="99"/>
  <c r="L28" i="99"/>
  <c r="L29" i="99"/>
  <c r="L30" i="99"/>
  <c r="L31" i="99"/>
  <c r="L32" i="99"/>
  <c r="L33" i="99"/>
  <c r="L34" i="99"/>
  <c r="L35" i="99"/>
  <c r="L36" i="99"/>
  <c r="L37" i="99"/>
  <c r="L38" i="99"/>
  <c r="L39" i="99"/>
  <c r="L40" i="99"/>
  <c r="L41" i="99"/>
  <c r="L42" i="99"/>
  <c r="L43" i="99"/>
  <c r="L44" i="99"/>
  <c r="H45" i="99"/>
  <c r="I45" i="99"/>
  <c r="K45" i="99"/>
  <c r="I16" i="98"/>
  <c r="J16" i="98"/>
  <c r="I34" i="98"/>
  <c r="J34" i="98"/>
  <c r="I11" i="97"/>
  <c r="J11" i="97"/>
  <c r="I16" i="97"/>
  <c r="J16" i="97"/>
  <c r="I30" i="97"/>
  <c r="J30" i="97"/>
  <c r="M4" i="96"/>
  <c r="M5" i="96"/>
  <c r="G18" i="13" s="1"/>
  <c r="H6" i="96"/>
  <c r="M6" i="96" s="1"/>
  <c r="I6" i="96"/>
  <c r="J6" i="96"/>
  <c r="L6" i="96"/>
  <c r="M9" i="96"/>
  <c r="M10" i="96"/>
  <c r="M11" i="96"/>
  <c r="M12" i="96"/>
  <c r="M13" i="96"/>
  <c r="M14" i="96"/>
  <c r="M15" i="96"/>
  <c r="M16" i="96"/>
  <c r="H17" i="96"/>
  <c r="I17" i="96"/>
  <c r="J17" i="96"/>
  <c r="K17" i="96"/>
  <c r="L17" i="96"/>
  <c r="M28" i="96"/>
  <c r="M29" i="96"/>
  <c r="M30" i="96"/>
  <c r="M31" i="96"/>
  <c r="M32" i="96"/>
  <c r="M33" i="96"/>
  <c r="M34" i="96"/>
  <c r="M35" i="96"/>
  <c r="H36" i="96"/>
  <c r="I36" i="96"/>
  <c r="J36" i="96"/>
  <c r="K36" i="96"/>
  <c r="L36" i="96"/>
  <c r="M38" i="96"/>
  <c r="M39" i="96"/>
  <c r="M40" i="96"/>
  <c r="M41" i="96"/>
  <c r="M42" i="96"/>
  <c r="M43" i="96"/>
  <c r="M44" i="96"/>
  <c r="M45" i="96"/>
  <c r="H46" i="96"/>
  <c r="H47" i="96" s="1"/>
  <c r="I46" i="96"/>
  <c r="J46" i="96"/>
  <c r="K46" i="96"/>
  <c r="L46" i="96"/>
  <c r="I47" i="96"/>
  <c r="J47" i="96"/>
  <c r="K47" i="96"/>
  <c r="L47" i="96"/>
  <c r="M49" i="96"/>
  <c r="M50" i="96"/>
  <c r="M51" i="96"/>
  <c r="M52" i="96"/>
  <c r="M53" i="96"/>
  <c r="M54" i="96"/>
  <c r="M55" i="96"/>
  <c r="M56" i="96"/>
  <c r="M57" i="96"/>
  <c r="M58" i="96"/>
  <c r="H59" i="96"/>
  <c r="I59" i="96"/>
  <c r="J59" i="96"/>
  <c r="K59" i="96"/>
  <c r="L59" i="96"/>
  <c r="M61" i="96"/>
  <c r="M62" i="96"/>
  <c r="M63" i="96"/>
  <c r="M64" i="96"/>
  <c r="M65" i="96"/>
  <c r="M66" i="96"/>
  <c r="M67" i="96"/>
  <c r="M68" i="96"/>
  <c r="M69" i="96"/>
  <c r="M70" i="96"/>
  <c r="M71" i="96"/>
  <c r="M72" i="96"/>
  <c r="M73" i="96"/>
  <c r="M74" i="96"/>
  <c r="M75" i="96"/>
  <c r="H76" i="96"/>
  <c r="I76" i="96"/>
  <c r="J76" i="96"/>
  <c r="K76" i="96"/>
  <c r="L76" i="96"/>
  <c r="M87" i="96"/>
  <c r="M88" i="96"/>
  <c r="G38" i="13" s="1"/>
  <c r="M89" i="96"/>
  <c r="G39" i="13" s="1"/>
  <c r="M90" i="96"/>
  <c r="G40" i="13" s="1"/>
  <c r="M91" i="96"/>
  <c r="G41" i="13" s="1"/>
  <c r="M92" i="96"/>
  <c r="G42" i="13" s="1"/>
  <c r="M93" i="96"/>
  <c r="G43" i="13" s="1"/>
  <c r="M94" i="96"/>
  <c r="G44" i="13" s="1"/>
  <c r="M95" i="96"/>
  <c r="G45" i="13" s="1"/>
  <c r="M96" i="96"/>
  <c r="G46" i="13" s="1"/>
  <c r="H97" i="96"/>
  <c r="H100" i="96" s="1"/>
  <c r="I97" i="96"/>
  <c r="I100" i="96" s="1"/>
  <c r="J97" i="96"/>
  <c r="J100" i="96" s="1"/>
  <c r="K97" i="96"/>
  <c r="K100" i="96" s="1"/>
  <c r="L97" i="96"/>
  <c r="L100" i="96" s="1"/>
  <c r="I9" i="94"/>
  <c r="J9" i="94"/>
  <c r="K9" i="94"/>
  <c r="R9" i="94"/>
  <c r="I14" i="94"/>
  <c r="J14" i="94"/>
  <c r="K14" i="94"/>
  <c r="R14" i="94"/>
  <c r="I23" i="94"/>
  <c r="I34" i="94" s="1"/>
  <c r="J23" i="94"/>
  <c r="K23" i="94"/>
  <c r="R23" i="94"/>
  <c r="J34" i="94"/>
  <c r="K34" i="94"/>
  <c r="M34" i="94"/>
  <c r="O34" i="94"/>
  <c r="Q34" i="94"/>
  <c r="R34" i="94"/>
  <c r="J17" i="92"/>
  <c r="K17" i="92"/>
  <c r="J25" i="92"/>
  <c r="K25" i="92"/>
  <c r="J36" i="92"/>
  <c r="K36" i="92"/>
  <c r="K86" i="91"/>
  <c r="L86" i="91"/>
  <c r="I87" i="103" l="1"/>
  <c r="J87" i="103"/>
  <c r="S87" i="103"/>
  <c r="O90" i="103"/>
  <c r="O91" i="103"/>
  <c r="O92" i="103"/>
  <c r="O93" i="103"/>
  <c r="O94" i="103"/>
  <c r="O95" i="103"/>
  <c r="O96" i="103"/>
  <c r="O98" i="103"/>
  <c r="O97" i="103"/>
  <c r="O87" i="103"/>
  <c r="N87" i="103"/>
  <c r="Q87" i="103"/>
  <c r="P87" i="103"/>
  <c r="M87" i="103"/>
  <c r="L87" i="103"/>
  <c r="K87" i="103"/>
  <c r="M17" i="96"/>
  <c r="M36" i="96"/>
  <c r="M46" i="96"/>
  <c r="G22" i="13"/>
  <c r="M76" i="96"/>
  <c r="G33" i="13"/>
  <c r="G24" i="13"/>
  <c r="M59" i="96"/>
  <c r="G29" i="13"/>
  <c r="G25" i="13"/>
  <c r="M97" i="96"/>
  <c r="M100" i="96" s="1"/>
  <c r="G37" i="13"/>
  <c r="D25" i="35" s="1"/>
  <c r="H18" i="26"/>
  <c r="I18" i="26"/>
  <c r="J18" i="26"/>
  <c r="I22" i="112"/>
  <c r="I82" i="112" s="1"/>
  <c r="L74" i="112"/>
  <c r="G29" i="26"/>
  <c r="H22" i="112"/>
  <c r="H82" i="112" s="1"/>
  <c r="G17" i="26"/>
  <c r="H25" i="26"/>
  <c r="I25" i="26"/>
  <c r="J25" i="26"/>
  <c r="H24" i="26"/>
  <c r="I24" i="26"/>
  <c r="J24" i="26"/>
  <c r="I75" i="112"/>
  <c r="H158" i="112"/>
  <c r="G45" i="26"/>
  <c r="H75" i="112"/>
  <c r="G28" i="26"/>
  <c r="I97" i="118"/>
  <c r="K97" i="118" s="1"/>
  <c r="O100" i="103" l="1"/>
  <c r="M47" i="96"/>
  <c r="H17" i="26"/>
  <c r="I17" i="26"/>
  <c r="J17" i="26"/>
  <c r="H29" i="26"/>
  <c r="J29" i="26"/>
  <c r="I29" i="26"/>
  <c r="I28" i="26"/>
  <c r="H28" i="26"/>
  <c r="J28" i="26"/>
  <c r="G29" i="78"/>
  <c r="G28" i="78"/>
  <c r="G7" i="78"/>
  <c r="B3" i="70"/>
  <c r="H16" i="13" l="1"/>
  <c r="I16" i="13"/>
  <c r="D3" i="90" l="1"/>
  <c r="D4" i="90"/>
  <c r="D5" i="90"/>
  <c r="D6" i="90"/>
  <c r="D7" i="90"/>
  <c r="D8" i="90"/>
  <c r="D9" i="90"/>
  <c r="D10" i="90"/>
  <c r="D11" i="90"/>
  <c r="D12" i="90"/>
  <c r="D13" i="90"/>
  <c r="D14" i="90"/>
  <c r="D15" i="90"/>
  <c r="D16" i="90"/>
  <c r="D17" i="90"/>
  <c r="D18" i="90"/>
  <c r="D19" i="90"/>
  <c r="D20" i="90"/>
  <c r="D21" i="90"/>
  <c r="D22" i="90"/>
  <c r="D23" i="90"/>
  <c r="D24" i="90"/>
  <c r="D25" i="90"/>
  <c r="D26" i="90"/>
  <c r="D27" i="90"/>
  <c r="D28" i="90"/>
  <c r="D29" i="90"/>
  <c r="D30" i="90"/>
  <c r="D31" i="90"/>
  <c r="D32" i="90"/>
  <c r="D33" i="90"/>
  <c r="D34" i="90"/>
  <c r="D35" i="90"/>
  <c r="D36" i="90"/>
  <c r="D37" i="90"/>
  <c r="D38" i="90"/>
  <c r="D39" i="90"/>
  <c r="D40" i="90"/>
  <c r="D41" i="90"/>
  <c r="D42" i="90"/>
  <c r="D43" i="90"/>
  <c r="D44" i="90"/>
  <c r="D45" i="90"/>
  <c r="D46" i="90"/>
  <c r="D47" i="90"/>
  <c r="D48" i="90"/>
  <c r="D49" i="90"/>
  <c r="D50" i="90"/>
  <c r="D51" i="90"/>
  <c r="D52" i="90"/>
  <c r="D53" i="90"/>
  <c r="D54" i="90"/>
  <c r="D55" i="90"/>
  <c r="D56" i="90"/>
  <c r="D57" i="90"/>
  <c r="D58" i="90"/>
  <c r="D59" i="90"/>
  <c r="D60" i="90"/>
  <c r="D61" i="90"/>
  <c r="D62" i="90"/>
  <c r="D63" i="90"/>
  <c r="D64" i="90"/>
  <c r="D65" i="90"/>
  <c r="D66" i="90"/>
  <c r="D67" i="90"/>
  <c r="D68" i="90"/>
  <c r="D69" i="90"/>
  <c r="D70" i="90"/>
  <c r="D71" i="90"/>
  <c r="D72" i="90"/>
  <c r="D73" i="90"/>
  <c r="D74" i="90"/>
  <c r="D75" i="90"/>
  <c r="D76" i="90"/>
  <c r="D77" i="90"/>
  <c r="D78" i="90"/>
  <c r="D79" i="90"/>
  <c r="D80" i="90"/>
  <c r="D81" i="90"/>
  <c r="D82" i="90"/>
  <c r="D83" i="90"/>
  <c r="D84" i="90"/>
  <c r="D85" i="90"/>
  <c r="D86" i="90"/>
  <c r="D87" i="90"/>
  <c r="D88" i="90"/>
  <c r="D89" i="90"/>
  <c r="D90" i="90"/>
  <c r="D91" i="90"/>
  <c r="D92" i="90"/>
  <c r="D93" i="90"/>
  <c r="D94" i="90"/>
  <c r="D95" i="90"/>
  <c r="D96" i="90"/>
  <c r="D97" i="90"/>
  <c r="D98" i="90"/>
  <c r="D99" i="90"/>
  <c r="D100" i="90"/>
  <c r="D101" i="90"/>
  <c r="D102" i="90"/>
  <c r="D103" i="90"/>
  <c r="D104" i="90"/>
  <c r="D105" i="90"/>
  <c r="D106" i="90"/>
  <c r="D107" i="90"/>
  <c r="D108" i="90"/>
  <c r="D109" i="90"/>
  <c r="D110" i="90"/>
  <c r="D111" i="90"/>
  <c r="D112" i="90"/>
  <c r="D113" i="90"/>
  <c r="D114" i="90"/>
  <c r="D115" i="90"/>
  <c r="D116" i="90"/>
  <c r="D117" i="90"/>
  <c r="D118" i="90"/>
  <c r="D119" i="90"/>
  <c r="D120" i="90"/>
  <c r="D121" i="90"/>
  <c r="D122" i="90"/>
  <c r="D123" i="90"/>
  <c r="D124" i="90"/>
  <c r="D125" i="90"/>
  <c r="D126" i="90"/>
  <c r="D127" i="90"/>
  <c r="D128" i="90"/>
  <c r="D129" i="90"/>
  <c r="D130" i="90"/>
  <c r="D131" i="90"/>
  <c r="D132" i="90"/>
  <c r="D133" i="90"/>
  <c r="D134" i="90"/>
  <c r="D135" i="90"/>
  <c r="D136" i="90"/>
  <c r="D137" i="90"/>
  <c r="D138" i="90"/>
  <c r="D139" i="90"/>
  <c r="D140" i="90"/>
  <c r="D141" i="90"/>
  <c r="D142" i="90"/>
  <c r="D143" i="90"/>
  <c r="D144" i="90"/>
  <c r="D145" i="90"/>
  <c r="D146" i="90"/>
  <c r="D147" i="90"/>
  <c r="D148" i="90"/>
  <c r="D149" i="90"/>
  <c r="D150" i="90"/>
  <c r="D151" i="90"/>
  <c r="D152" i="90"/>
  <c r="D153" i="90"/>
  <c r="D154" i="90"/>
  <c r="D155" i="90"/>
  <c r="D156" i="90"/>
  <c r="D157" i="90"/>
  <c r="D158" i="90"/>
  <c r="D159" i="90"/>
  <c r="D160" i="90"/>
  <c r="D161" i="90"/>
  <c r="D162" i="90"/>
  <c r="D163" i="90"/>
  <c r="D164" i="90"/>
  <c r="D165" i="90"/>
  <c r="D166" i="90"/>
  <c r="D167" i="90"/>
  <c r="D168" i="90"/>
  <c r="D169" i="90"/>
  <c r="D170" i="90"/>
  <c r="D171" i="90"/>
  <c r="D172" i="90"/>
  <c r="D173" i="90"/>
  <c r="D174" i="90"/>
  <c r="D175" i="90"/>
  <c r="D176" i="90"/>
  <c r="D177" i="90"/>
  <c r="D178" i="90"/>
  <c r="D179" i="90"/>
  <c r="D180" i="90"/>
  <c r="D181" i="90"/>
  <c r="D182" i="90"/>
  <c r="D183" i="90"/>
  <c r="D184" i="90"/>
  <c r="D185" i="90"/>
  <c r="D2" i="90"/>
  <c r="H182" i="90" l="1"/>
  <c r="F182" i="90"/>
  <c r="E182" i="90"/>
  <c r="H181" i="90"/>
  <c r="F181" i="90"/>
  <c r="E181" i="90"/>
  <c r="H180" i="90"/>
  <c r="G180" i="90"/>
  <c r="F180" i="90"/>
  <c r="E180" i="90"/>
  <c r="H179" i="90"/>
  <c r="F179" i="90"/>
  <c r="E179" i="90"/>
  <c r="H178" i="90"/>
  <c r="F178" i="90"/>
  <c r="E178" i="90"/>
  <c r="H177" i="90"/>
  <c r="G177" i="90"/>
  <c r="F177" i="90"/>
  <c r="E177" i="90"/>
  <c r="H176" i="90"/>
  <c r="F176" i="90"/>
  <c r="E176" i="90"/>
  <c r="H175" i="90"/>
  <c r="G175" i="90"/>
  <c r="H174" i="90"/>
  <c r="G174" i="90"/>
  <c r="F174" i="90"/>
  <c r="E174" i="90"/>
  <c r="I173" i="90"/>
  <c r="H173" i="90"/>
  <c r="E172" i="90"/>
  <c r="G171" i="90"/>
  <c r="F171" i="90"/>
  <c r="E171" i="90"/>
  <c r="H170" i="90"/>
  <c r="G170" i="90"/>
  <c r="F170" i="90"/>
  <c r="E170" i="90"/>
  <c r="E169" i="90"/>
  <c r="F168" i="90"/>
  <c r="E168" i="90"/>
  <c r="E167" i="90"/>
  <c r="F163" i="90"/>
  <c r="E163" i="90"/>
  <c r="H160" i="90"/>
  <c r="H159" i="90"/>
  <c r="G159" i="90"/>
  <c r="H158" i="90"/>
  <c r="F158" i="90"/>
  <c r="H157" i="90"/>
  <c r="H156" i="90"/>
  <c r="G156" i="90"/>
  <c r="F156" i="90"/>
  <c r="E156" i="90"/>
  <c r="H155" i="90"/>
  <c r="E155" i="90"/>
  <c r="H154" i="90"/>
  <c r="F154" i="90"/>
  <c r="E154" i="90"/>
  <c r="I153" i="90"/>
  <c r="H153" i="90"/>
  <c r="G153" i="90"/>
  <c r="F153" i="90"/>
  <c r="E153" i="90"/>
  <c r="H152" i="90"/>
  <c r="H151" i="90"/>
  <c r="H150" i="90"/>
  <c r="H149" i="90"/>
  <c r="H148" i="90"/>
  <c r="H147" i="90"/>
  <c r="H146" i="90"/>
  <c r="H145" i="90"/>
  <c r="H144" i="90"/>
  <c r="H143" i="90"/>
  <c r="H142" i="90"/>
  <c r="H141" i="90"/>
  <c r="H140" i="90"/>
  <c r="H139" i="90"/>
  <c r="H138" i="90"/>
  <c r="H134" i="90"/>
  <c r="H133" i="90"/>
  <c r="H132" i="90"/>
  <c r="H129" i="90"/>
  <c r="H128" i="90"/>
  <c r="H127" i="90"/>
  <c r="H126" i="90"/>
  <c r="H125" i="90"/>
  <c r="H124" i="90"/>
  <c r="H123" i="90"/>
  <c r="H122" i="90"/>
  <c r="H121" i="90"/>
  <c r="H120" i="90"/>
  <c r="H118" i="90"/>
  <c r="H117" i="90"/>
  <c r="H115" i="90"/>
  <c r="H114" i="90"/>
  <c r="H113" i="90"/>
  <c r="H112" i="90"/>
  <c r="H110" i="90"/>
  <c r="H109" i="90"/>
  <c r="H108" i="90"/>
  <c r="H107" i="90"/>
  <c r="H106" i="90"/>
  <c r="H105" i="90"/>
  <c r="H104" i="90"/>
  <c r="H103" i="90"/>
  <c r="H102" i="90"/>
  <c r="H101" i="90"/>
  <c r="H100" i="90"/>
  <c r="H99" i="90"/>
  <c r="H98" i="90"/>
  <c r="H97" i="90"/>
  <c r="H96" i="90"/>
  <c r="H95" i="90"/>
  <c r="G95" i="90"/>
  <c r="F95" i="90"/>
  <c r="E95" i="90"/>
  <c r="H94" i="90"/>
  <c r="G94" i="90"/>
  <c r="F94" i="90"/>
  <c r="E94" i="90"/>
  <c r="H93" i="90"/>
  <c r="H92" i="90"/>
  <c r="H91" i="90"/>
  <c r="H90" i="90"/>
  <c r="H89" i="90"/>
  <c r="H88" i="90"/>
  <c r="H85" i="90"/>
  <c r="H84" i="90"/>
  <c r="H83" i="90"/>
  <c r="H82" i="90"/>
  <c r="H81" i="90"/>
  <c r="H80" i="90"/>
  <c r="H79" i="90"/>
  <c r="H78" i="90"/>
  <c r="H77" i="90"/>
  <c r="H76" i="90"/>
  <c r="H75" i="90"/>
  <c r="H73" i="90"/>
  <c r="H72" i="90"/>
  <c r="H71" i="90"/>
  <c r="H70" i="90"/>
  <c r="H69" i="90"/>
  <c r="H65" i="90"/>
  <c r="H64" i="90"/>
  <c r="H63" i="90"/>
  <c r="H62" i="90"/>
  <c r="H61" i="90"/>
  <c r="H60" i="90"/>
  <c r="H59" i="90"/>
  <c r="H58" i="90"/>
  <c r="H57" i="90"/>
  <c r="H56" i="90"/>
  <c r="H55" i="90"/>
  <c r="H54" i="90"/>
  <c r="H53" i="90"/>
  <c r="H52" i="90"/>
  <c r="H51" i="90"/>
  <c r="H50" i="90"/>
  <c r="H49" i="90"/>
  <c r="H46" i="90"/>
  <c r="H45" i="90"/>
  <c r="H44" i="90"/>
  <c r="H43" i="90"/>
  <c r="H42" i="90"/>
  <c r="L41" i="90"/>
  <c r="K41" i="90"/>
  <c r="H41" i="90"/>
  <c r="G41" i="90"/>
  <c r="F41" i="90"/>
  <c r="E41" i="90"/>
  <c r="H40" i="90"/>
  <c r="G40" i="90"/>
  <c r="F40" i="90"/>
  <c r="H34" i="90"/>
  <c r="H33" i="90"/>
  <c r="H29" i="90"/>
  <c r="H27" i="90"/>
  <c r="H26" i="90"/>
  <c r="H25" i="90"/>
  <c r="H24" i="90"/>
  <c r="H23" i="90"/>
  <c r="H22" i="90"/>
  <c r="H20" i="90"/>
  <c r="H19" i="90"/>
  <c r="H18" i="90"/>
  <c r="H17" i="90"/>
  <c r="H16" i="90"/>
  <c r="H15" i="90"/>
  <c r="H14" i="90"/>
  <c r="H13" i="90"/>
  <c r="H12" i="90"/>
  <c r="H11" i="90"/>
  <c r="D389" i="85"/>
  <c r="D388" i="85"/>
  <c r="D387" i="85"/>
  <c r="D386" i="85"/>
  <c r="D385" i="85"/>
  <c r="D384" i="85"/>
  <c r="G383" i="85"/>
  <c r="F383" i="85"/>
  <c r="E383" i="85"/>
  <c r="D383" i="85"/>
  <c r="G382" i="85"/>
  <c r="F382" i="85"/>
  <c r="E382" i="85"/>
  <c r="D382" i="85"/>
  <c r="G381" i="85"/>
  <c r="F381" i="85"/>
  <c r="E381" i="85"/>
  <c r="D381" i="85"/>
  <c r="G380" i="85"/>
  <c r="F380" i="85"/>
  <c r="E380" i="85"/>
  <c r="D380" i="85"/>
  <c r="E371" i="85"/>
  <c r="G182" i="90" s="1"/>
  <c r="E370" i="85"/>
  <c r="G181" i="90" s="1"/>
  <c r="E369" i="85"/>
  <c r="E368" i="85"/>
  <c r="G179" i="90" s="1"/>
  <c r="E367" i="85"/>
  <c r="G178" i="90" s="1"/>
  <c r="E366" i="85"/>
  <c r="E365" i="85"/>
  <c r="G176" i="90" s="1"/>
  <c r="J350" i="85"/>
  <c r="J347" i="85"/>
  <c r="H346" i="85"/>
  <c r="J321" i="85"/>
  <c r="I321" i="85"/>
  <c r="H321" i="85"/>
  <c r="G321" i="85"/>
  <c r="G311" i="85"/>
  <c r="I175" i="90" s="1"/>
  <c r="F311" i="85"/>
  <c r="E311" i="85"/>
  <c r="D311" i="85"/>
  <c r="F175" i="90" s="1"/>
  <c r="C311" i="85"/>
  <c r="E175" i="90" s="1"/>
  <c r="G310" i="85"/>
  <c r="I174" i="90" s="1"/>
  <c r="F310" i="85"/>
  <c r="E310" i="85"/>
  <c r="D310" i="85"/>
  <c r="C310" i="85"/>
  <c r="G309" i="85"/>
  <c r="F309" i="85"/>
  <c r="E309" i="85"/>
  <c r="G173" i="90" s="1"/>
  <c r="D309" i="85"/>
  <c r="F173" i="90" s="1"/>
  <c r="C309" i="85"/>
  <c r="E173" i="90" s="1"/>
  <c r="G308" i="85"/>
  <c r="I172" i="90" s="1"/>
  <c r="F308" i="85"/>
  <c r="H172" i="90" s="1"/>
  <c r="E308" i="85"/>
  <c r="G172" i="90" s="1"/>
  <c r="D308" i="85"/>
  <c r="F172" i="90" s="1"/>
  <c r="C308" i="85"/>
  <c r="G307" i="85"/>
  <c r="I171" i="90" s="1"/>
  <c r="F307" i="85"/>
  <c r="H171" i="90" s="1"/>
  <c r="E307" i="85"/>
  <c r="D307" i="85"/>
  <c r="C307" i="85"/>
  <c r="G306" i="85"/>
  <c r="I170" i="90" s="1"/>
  <c r="F306" i="85"/>
  <c r="E306" i="85"/>
  <c r="D306" i="85"/>
  <c r="C306" i="85"/>
  <c r="G305" i="85"/>
  <c r="I169" i="90" s="1"/>
  <c r="F305" i="85"/>
  <c r="H169" i="90" s="1"/>
  <c r="E305" i="85"/>
  <c r="G169" i="90" s="1"/>
  <c r="D305" i="85"/>
  <c r="F169" i="90" s="1"/>
  <c r="C305" i="85"/>
  <c r="F301" i="85"/>
  <c r="H168" i="90" s="1"/>
  <c r="E301" i="85"/>
  <c r="G168" i="90" s="1"/>
  <c r="D301" i="85"/>
  <c r="C301" i="85"/>
  <c r="G297" i="85"/>
  <c r="I167" i="90" s="1"/>
  <c r="F297" i="85"/>
  <c r="H167" i="90" s="1"/>
  <c r="E297" i="85"/>
  <c r="G167" i="90" s="1"/>
  <c r="D297" i="85"/>
  <c r="F167" i="90" s="1"/>
  <c r="C297" i="85"/>
  <c r="G296" i="85"/>
  <c r="I166" i="90" s="1"/>
  <c r="F296" i="85"/>
  <c r="H166" i="90" s="1"/>
  <c r="E296" i="85"/>
  <c r="G166" i="90" s="1"/>
  <c r="D296" i="85"/>
  <c r="F166" i="90" s="1"/>
  <c r="C296" i="85"/>
  <c r="E166" i="90" s="1"/>
  <c r="G295" i="85"/>
  <c r="I165" i="90" s="1"/>
  <c r="F295" i="85"/>
  <c r="H165" i="90" s="1"/>
  <c r="E295" i="85"/>
  <c r="G165" i="90" s="1"/>
  <c r="D295" i="85"/>
  <c r="F165" i="90" s="1"/>
  <c r="C295" i="85"/>
  <c r="E165" i="90" s="1"/>
  <c r="G294" i="85"/>
  <c r="I164" i="90" s="1"/>
  <c r="F294" i="85"/>
  <c r="H164" i="90" s="1"/>
  <c r="E294" i="85"/>
  <c r="G164" i="90" s="1"/>
  <c r="D294" i="85"/>
  <c r="F164" i="90" s="1"/>
  <c r="C294" i="85"/>
  <c r="E164" i="90" s="1"/>
  <c r="G293" i="85"/>
  <c r="I163" i="90" s="1"/>
  <c r="F293" i="85"/>
  <c r="H163" i="90" s="1"/>
  <c r="E293" i="85"/>
  <c r="G163" i="90" s="1"/>
  <c r="D293" i="85"/>
  <c r="C293" i="85"/>
  <c r="G292" i="85"/>
  <c r="I162" i="90" s="1"/>
  <c r="F292" i="85"/>
  <c r="H162" i="90" s="1"/>
  <c r="E292" i="85"/>
  <c r="G162" i="90" s="1"/>
  <c r="D292" i="85"/>
  <c r="F162" i="90" s="1"/>
  <c r="C292" i="85"/>
  <c r="E162" i="90" s="1"/>
  <c r="G291" i="85"/>
  <c r="I161" i="90" s="1"/>
  <c r="F291" i="85"/>
  <c r="H161" i="90" s="1"/>
  <c r="E291" i="85"/>
  <c r="G161" i="90" s="1"/>
  <c r="D291" i="85"/>
  <c r="F161" i="90" s="1"/>
  <c r="C291" i="85"/>
  <c r="E161" i="90" s="1"/>
  <c r="G280" i="85"/>
  <c r="I160" i="90" s="1"/>
  <c r="E280" i="85"/>
  <c r="G160" i="90" s="1"/>
  <c r="D280" i="85"/>
  <c r="F160" i="90" s="1"/>
  <c r="C280" i="85"/>
  <c r="E160" i="90" s="1"/>
  <c r="G279" i="85"/>
  <c r="I159" i="90" s="1"/>
  <c r="E279" i="85"/>
  <c r="D279" i="85"/>
  <c r="F159" i="90" s="1"/>
  <c r="C279" i="85"/>
  <c r="E159" i="90" s="1"/>
  <c r="G278" i="85"/>
  <c r="I158" i="90" s="1"/>
  <c r="E278" i="85"/>
  <c r="G158" i="90" s="1"/>
  <c r="D278" i="85"/>
  <c r="C278" i="85"/>
  <c r="E158" i="90" s="1"/>
  <c r="G277" i="85"/>
  <c r="I157" i="90" s="1"/>
  <c r="E277" i="85"/>
  <c r="G157" i="90" s="1"/>
  <c r="D277" i="85"/>
  <c r="F157" i="90" s="1"/>
  <c r="C277" i="85"/>
  <c r="E157" i="90" s="1"/>
  <c r="G276" i="85"/>
  <c r="I156" i="90" s="1"/>
  <c r="E276" i="85"/>
  <c r="D276" i="85"/>
  <c r="C276" i="85"/>
  <c r="G275" i="85"/>
  <c r="I155" i="90" s="1"/>
  <c r="E275" i="85"/>
  <c r="G155" i="90" s="1"/>
  <c r="D275" i="85"/>
  <c r="F155" i="90" s="1"/>
  <c r="C275" i="85"/>
  <c r="G274" i="85"/>
  <c r="I154" i="90" s="1"/>
  <c r="E274" i="85"/>
  <c r="G154" i="90" s="1"/>
  <c r="D274" i="85"/>
  <c r="C274" i="85"/>
  <c r="G270" i="85"/>
  <c r="E270" i="85"/>
  <c r="D270" i="85"/>
  <c r="C270" i="85"/>
  <c r="G269" i="85"/>
  <c r="I152" i="90" s="1"/>
  <c r="E269" i="85"/>
  <c r="G152" i="90" s="1"/>
  <c r="D269" i="85"/>
  <c r="F152" i="90" s="1"/>
  <c r="C269" i="85"/>
  <c r="E152" i="90" s="1"/>
  <c r="G268" i="85"/>
  <c r="I151" i="90" s="1"/>
  <c r="E268" i="85"/>
  <c r="G151" i="90" s="1"/>
  <c r="D268" i="85"/>
  <c r="F151" i="90" s="1"/>
  <c r="C268" i="85"/>
  <c r="E151" i="90" s="1"/>
  <c r="G256" i="85"/>
  <c r="I150" i="90" s="1"/>
  <c r="E256" i="85"/>
  <c r="G150" i="90" s="1"/>
  <c r="D256" i="85"/>
  <c r="F150" i="90" s="1"/>
  <c r="C256" i="85"/>
  <c r="E150" i="90" s="1"/>
  <c r="G255" i="85"/>
  <c r="I149" i="90" s="1"/>
  <c r="E255" i="85"/>
  <c r="G149" i="90" s="1"/>
  <c r="D255" i="85"/>
  <c r="F149" i="90" s="1"/>
  <c r="C255" i="85"/>
  <c r="E149" i="90" s="1"/>
  <c r="G254" i="85"/>
  <c r="I148" i="90" s="1"/>
  <c r="E254" i="85"/>
  <c r="G148" i="90" s="1"/>
  <c r="D254" i="85"/>
  <c r="F148" i="90" s="1"/>
  <c r="C254" i="85"/>
  <c r="E148" i="90" s="1"/>
  <c r="G253" i="85"/>
  <c r="I147" i="90" s="1"/>
  <c r="E253" i="85"/>
  <c r="G147" i="90" s="1"/>
  <c r="D253" i="85"/>
  <c r="F147" i="90" s="1"/>
  <c r="C253" i="85"/>
  <c r="E147" i="90" s="1"/>
  <c r="G252" i="85"/>
  <c r="I146" i="90" s="1"/>
  <c r="E252" i="85"/>
  <c r="G146" i="90" s="1"/>
  <c r="D252" i="85"/>
  <c r="F146" i="90" s="1"/>
  <c r="C252" i="85"/>
  <c r="E146" i="90" s="1"/>
  <c r="G251" i="85"/>
  <c r="I145" i="90" s="1"/>
  <c r="E251" i="85"/>
  <c r="G145" i="90" s="1"/>
  <c r="D251" i="85"/>
  <c r="F145" i="90" s="1"/>
  <c r="C251" i="85"/>
  <c r="E145" i="90" s="1"/>
  <c r="G250" i="85"/>
  <c r="I144" i="90" s="1"/>
  <c r="E250" i="85"/>
  <c r="G144" i="90" s="1"/>
  <c r="D250" i="85"/>
  <c r="F144" i="90" s="1"/>
  <c r="C250" i="85"/>
  <c r="E144" i="90" s="1"/>
  <c r="G249" i="85"/>
  <c r="I143" i="90" s="1"/>
  <c r="E249" i="85"/>
  <c r="G143" i="90" s="1"/>
  <c r="D249" i="85"/>
  <c r="F143" i="90" s="1"/>
  <c r="C249" i="85"/>
  <c r="E143" i="90" s="1"/>
  <c r="G248" i="85"/>
  <c r="I142" i="90" s="1"/>
  <c r="E248" i="85"/>
  <c r="G142" i="90" s="1"/>
  <c r="D248" i="85"/>
  <c r="F142" i="90" s="1"/>
  <c r="C248" i="85"/>
  <c r="E142" i="90" s="1"/>
  <c r="G247" i="85"/>
  <c r="I141" i="90" s="1"/>
  <c r="E247" i="85"/>
  <c r="G141" i="90" s="1"/>
  <c r="D247" i="85"/>
  <c r="F141" i="90" s="1"/>
  <c r="C247" i="85"/>
  <c r="E141" i="90" s="1"/>
  <c r="G246" i="85"/>
  <c r="I140" i="90" s="1"/>
  <c r="E246" i="85"/>
  <c r="G140" i="90" s="1"/>
  <c r="D246" i="85"/>
  <c r="F140" i="90" s="1"/>
  <c r="C246" i="85"/>
  <c r="E140" i="90" s="1"/>
  <c r="G245" i="85"/>
  <c r="I139" i="90" s="1"/>
  <c r="E245" i="85"/>
  <c r="G139" i="90" s="1"/>
  <c r="D245" i="85"/>
  <c r="F139" i="90" s="1"/>
  <c r="C245" i="85"/>
  <c r="E139" i="90" s="1"/>
  <c r="G244" i="85"/>
  <c r="I138" i="90" s="1"/>
  <c r="E244" i="85"/>
  <c r="G138" i="90" s="1"/>
  <c r="D244" i="85"/>
  <c r="F138" i="90" s="1"/>
  <c r="C244" i="85"/>
  <c r="E138" i="90" s="1"/>
  <c r="G243" i="85"/>
  <c r="I137" i="90" s="1"/>
  <c r="F243" i="85"/>
  <c r="H137" i="90" s="1"/>
  <c r="E243" i="85"/>
  <c r="G137" i="90" s="1"/>
  <c r="D243" i="85"/>
  <c r="F137" i="90" s="1"/>
  <c r="C243" i="85"/>
  <c r="E137" i="90" s="1"/>
  <c r="G242" i="85"/>
  <c r="I136" i="90" s="1"/>
  <c r="F242" i="85"/>
  <c r="H136" i="90" s="1"/>
  <c r="E242" i="85"/>
  <c r="G136" i="90" s="1"/>
  <c r="D242" i="85"/>
  <c r="F136" i="90" s="1"/>
  <c r="C242" i="85"/>
  <c r="E136" i="90" s="1"/>
  <c r="G241" i="85"/>
  <c r="I135" i="90" s="1"/>
  <c r="F241" i="85"/>
  <c r="H135" i="90" s="1"/>
  <c r="E241" i="85"/>
  <c r="G135" i="90" s="1"/>
  <c r="D241" i="85"/>
  <c r="F135" i="90" s="1"/>
  <c r="C241" i="85"/>
  <c r="E135" i="90" s="1"/>
  <c r="G234" i="85"/>
  <c r="I134" i="90" s="1"/>
  <c r="E234" i="85"/>
  <c r="G134" i="90" s="1"/>
  <c r="D234" i="85"/>
  <c r="F134" i="90" s="1"/>
  <c r="C234" i="85"/>
  <c r="E134" i="90" s="1"/>
  <c r="G232" i="85"/>
  <c r="I133" i="90" s="1"/>
  <c r="E232" i="85"/>
  <c r="G133" i="90" s="1"/>
  <c r="D232" i="85"/>
  <c r="F133" i="90" s="1"/>
  <c r="C232" i="85"/>
  <c r="E133" i="90" s="1"/>
  <c r="G231" i="85"/>
  <c r="I132" i="90" s="1"/>
  <c r="E231" i="85"/>
  <c r="G132" i="90" s="1"/>
  <c r="D231" i="85"/>
  <c r="F132" i="90" s="1"/>
  <c r="C231" i="85"/>
  <c r="E132" i="90" s="1"/>
  <c r="G230" i="85"/>
  <c r="I131" i="90" s="1"/>
  <c r="F230" i="85"/>
  <c r="H131" i="90" s="1"/>
  <c r="E230" i="85"/>
  <c r="G131" i="90" s="1"/>
  <c r="D230" i="85"/>
  <c r="F131" i="90" s="1"/>
  <c r="C230" i="85"/>
  <c r="E131" i="90" s="1"/>
  <c r="G229" i="85"/>
  <c r="I130" i="90" s="1"/>
  <c r="F229" i="85"/>
  <c r="H130" i="90" s="1"/>
  <c r="E229" i="85"/>
  <c r="G130" i="90" s="1"/>
  <c r="D229" i="85"/>
  <c r="F130" i="90" s="1"/>
  <c r="C229" i="85"/>
  <c r="E130" i="90" s="1"/>
  <c r="G228" i="85"/>
  <c r="I129" i="90" s="1"/>
  <c r="E228" i="85"/>
  <c r="G129" i="90" s="1"/>
  <c r="D228" i="85"/>
  <c r="F129" i="90" s="1"/>
  <c r="C228" i="85"/>
  <c r="E129" i="90" s="1"/>
  <c r="G227" i="85"/>
  <c r="I128" i="90" s="1"/>
  <c r="E227" i="85"/>
  <c r="G128" i="90" s="1"/>
  <c r="D227" i="85"/>
  <c r="F128" i="90" s="1"/>
  <c r="C227" i="85"/>
  <c r="E128" i="90" s="1"/>
  <c r="G226" i="85"/>
  <c r="I127" i="90" s="1"/>
  <c r="E226" i="85"/>
  <c r="G127" i="90" s="1"/>
  <c r="D226" i="85"/>
  <c r="F127" i="90" s="1"/>
  <c r="C226" i="85"/>
  <c r="E127" i="90" s="1"/>
  <c r="G225" i="85"/>
  <c r="I126" i="90" s="1"/>
  <c r="E225" i="85"/>
  <c r="G126" i="90" s="1"/>
  <c r="D225" i="85"/>
  <c r="F126" i="90" s="1"/>
  <c r="C225" i="85"/>
  <c r="E126" i="90" s="1"/>
  <c r="G224" i="85"/>
  <c r="I125" i="90" s="1"/>
  <c r="E224" i="85"/>
  <c r="G125" i="90" s="1"/>
  <c r="D224" i="85"/>
  <c r="F125" i="90" s="1"/>
  <c r="C224" i="85"/>
  <c r="E125" i="90" s="1"/>
  <c r="G223" i="85"/>
  <c r="I124" i="90" s="1"/>
  <c r="E223" i="85"/>
  <c r="G124" i="90" s="1"/>
  <c r="D223" i="85"/>
  <c r="F124" i="90" s="1"/>
  <c r="C223" i="85"/>
  <c r="E124" i="90" s="1"/>
  <c r="G222" i="85"/>
  <c r="I123" i="90" s="1"/>
  <c r="E222" i="85"/>
  <c r="G123" i="90" s="1"/>
  <c r="D222" i="85"/>
  <c r="F123" i="90" s="1"/>
  <c r="C222" i="85"/>
  <c r="E123" i="90" s="1"/>
  <c r="G221" i="85"/>
  <c r="I122" i="90" s="1"/>
  <c r="E221" i="85"/>
  <c r="G122" i="90" s="1"/>
  <c r="D221" i="85"/>
  <c r="F122" i="90" s="1"/>
  <c r="C221" i="85"/>
  <c r="E122" i="90" s="1"/>
  <c r="G220" i="85"/>
  <c r="I121" i="90" s="1"/>
  <c r="E220" i="85"/>
  <c r="G121" i="90" s="1"/>
  <c r="D220" i="85"/>
  <c r="F121" i="90" s="1"/>
  <c r="C220" i="85"/>
  <c r="E121" i="90" s="1"/>
  <c r="G219" i="85"/>
  <c r="I120" i="90" s="1"/>
  <c r="E219" i="85"/>
  <c r="G120" i="90" s="1"/>
  <c r="D219" i="85"/>
  <c r="F120" i="90" s="1"/>
  <c r="C219" i="85"/>
  <c r="E120" i="90" s="1"/>
  <c r="G214" i="85"/>
  <c r="I118" i="90" s="1"/>
  <c r="E214" i="85"/>
  <c r="G118" i="90" s="1"/>
  <c r="D214" i="85"/>
  <c r="F118" i="90" s="1"/>
  <c r="C214" i="85"/>
  <c r="E118" i="90" s="1"/>
  <c r="G213" i="85"/>
  <c r="I119" i="90" s="1"/>
  <c r="F213" i="85"/>
  <c r="H119" i="90" s="1"/>
  <c r="E213" i="85"/>
  <c r="G119" i="90" s="1"/>
  <c r="D213" i="85"/>
  <c r="F119" i="90" s="1"/>
  <c r="C213" i="85"/>
  <c r="E119" i="90" s="1"/>
  <c r="G212" i="85"/>
  <c r="I116" i="90" s="1"/>
  <c r="F212" i="85"/>
  <c r="H116" i="90" s="1"/>
  <c r="E212" i="85"/>
  <c r="G116" i="90" s="1"/>
  <c r="D212" i="85"/>
  <c r="F116" i="90" s="1"/>
  <c r="C212" i="85"/>
  <c r="E116" i="90" s="1"/>
  <c r="G211" i="85"/>
  <c r="I117" i="90" s="1"/>
  <c r="E211" i="85"/>
  <c r="G117" i="90" s="1"/>
  <c r="D211" i="85"/>
  <c r="F117" i="90" s="1"/>
  <c r="C211" i="85"/>
  <c r="E117" i="90" s="1"/>
  <c r="G210" i="85"/>
  <c r="I115" i="90" s="1"/>
  <c r="E210" i="85"/>
  <c r="G115" i="90" s="1"/>
  <c r="D210" i="85"/>
  <c r="F115" i="90" s="1"/>
  <c r="C210" i="85"/>
  <c r="E115" i="90" s="1"/>
  <c r="G206" i="85"/>
  <c r="E206" i="85"/>
  <c r="D206" i="85"/>
  <c r="C206" i="85"/>
  <c r="G205" i="85"/>
  <c r="E205" i="85"/>
  <c r="D205" i="85"/>
  <c r="C205" i="85"/>
  <c r="G201" i="85"/>
  <c r="I114" i="90" s="1"/>
  <c r="E201" i="85"/>
  <c r="G114" i="90" s="1"/>
  <c r="D201" i="85"/>
  <c r="F114" i="90" s="1"/>
  <c r="C201" i="85"/>
  <c r="E114" i="90" s="1"/>
  <c r="G200" i="85"/>
  <c r="I113" i="90" s="1"/>
  <c r="E200" i="85"/>
  <c r="G113" i="90" s="1"/>
  <c r="D200" i="85"/>
  <c r="F113" i="90" s="1"/>
  <c r="C200" i="85"/>
  <c r="E113" i="90" s="1"/>
  <c r="G199" i="85"/>
  <c r="I112" i="90" s="1"/>
  <c r="E199" i="85"/>
  <c r="G112" i="90" s="1"/>
  <c r="D199" i="85"/>
  <c r="F112" i="90" s="1"/>
  <c r="C199" i="85"/>
  <c r="E112" i="90" s="1"/>
  <c r="G195" i="85"/>
  <c r="I111" i="90" s="1"/>
  <c r="F195" i="85"/>
  <c r="H111" i="90" s="1"/>
  <c r="E195" i="85"/>
  <c r="G111" i="90" s="1"/>
  <c r="D195" i="85"/>
  <c r="F111" i="90" s="1"/>
  <c r="C195" i="85"/>
  <c r="E111" i="90" s="1"/>
  <c r="G194" i="85"/>
  <c r="I110" i="90" s="1"/>
  <c r="E194" i="85"/>
  <c r="G110" i="90" s="1"/>
  <c r="D194" i="85"/>
  <c r="F110" i="90" s="1"/>
  <c r="C194" i="85"/>
  <c r="E110" i="90" s="1"/>
  <c r="G193" i="85"/>
  <c r="I109" i="90" s="1"/>
  <c r="E193" i="85"/>
  <c r="G109" i="90" s="1"/>
  <c r="D193" i="85"/>
  <c r="F109" i="90" s="1"/>
  <c r="C193" i="85"/>
  <c r="E109" i="90" s="1"/>
  <c r="G192" i="85"/>
  <c r="I108" i="90" s="1"/>
  <c r="E192" i="85"/>
  <c r="G108" i="90" s="1"/>
  <c r="D192" i="85"/>
  <c r="F108" i="90" s="1"/>
  <c r="C192" i="85"/>
  <c r="E108" i="90" s="1"/>
  <c r="E191" i="85"/>
  <c r="G107" i="90" s="1"/>
  <c r="D191" i="85"/>
  <c r="F107" i="90" s="1"/>
  <c r="C191" i="85"/>
  <c r="E107" i="90" s="1"/>
  <c r="G189" i="85"/>
  <c r="I106" i="90" s="1"/>
  <c r="E189" i="85"/>
  <c r="G106" i="90" s="1"/>
  <c r="D189" i="85"/>
  <c r="F106" i="90" s="1"/>
  <c r="C189" i="85"/>
  <c r="E106" i="90" s="1"/>
  <c r="G188" i="85"/>
  <c r="I105" i="90" s="1"/>
  <c r="E188" i="85"/>
  <c r="G105" i="90" s="1"/>
  <c r="D188" i="85"/>
  <c r="F105" i="90" s="1"/>
  <c r="C188" i="85"/>
  <c r="E105" i="90" s="1"/>
  <c r="G187" i="85"/>
  <c r="I104" i="90" s="1"/>
  <c r="E187" i="85"/>
  <c r="G104" i="90" s="1"/>
  <c r="D187" i="85"/>
  <c r="F104" i="90" s="1"/>
  <c r="C187" i="85"/>
  <c r="E104" i="90" s="1"/>
  <c r="G185" i="85"/>
  <c r="I103" i="90" s="1"/>
  <c r="E185" i="85"/>
  <c r="G103" i="90" s="1"/>
  <c r="D185" i="85"/>
  <c r="F103" i="90" s="1"/>
  <c r="C185" i="85"/>
  <c r="E103" i="90" s="1"/>
  <c r="G184" i="85"/>
  <c r="I102" i="90" s="1"/>
  <c r="E184" i="85"/>
  <c r="G102" i="90" s="1"/>
  <c r="D184" i="85"/>
  <c r="F102" i="90" s="1"/>
  <c r="C184" i="85"/>
  <c r="E102" i="90" s="1"/>
  <c r="G182" i="85"/>
  <c r="I101" i="90" s="1"/>
  <c r="E182" i="85"/>
  <c r="G101" i="90" s="1"/>
  <c r="D182" i="85"/>
  <c r="F101" i="90" s="1"/>
  <c r="C182" i="85"/>
  <c r="E101" i="90" s="1"/>
  <c r="G181" i="85"/>
  <c r="I100" i="90" s="1"/>
  <c r="E181" i="85"/>
  <c r="G100" i="90" s="1"/>
  <c r="D181" i="85"/>
  <c r="F100" i="90" s="1"/>
  <c r="C181" i="85"/>
  <c r="E100" i="90" s="1"/>
  <c r="G180" i="85"/>
  <c r="I99" i="90" s="1"/>
  <c r="E180" i="85"/>
  <c r="G99" i="90" s="1"/>
  <c r="D180" i="85"/>
  <c r="F99" i="90" s="1"/>
  <c r="C180" i="85"/>
  <c r="E99" i="90" s="1"/>
  <c r="G178" i="85"/>
  <c r="I98" i="90" s="1"/>
  <c r="E178" i="85"/>
  <c r="G98" i="90" s="1"/>
  <c r="D178" i="85"/>
  <c r="F98" i="90" s="1"/>
  <c r="C178" i="85"/>
  <c r="E98" i="90" s="1"/>
  <c r="G177" i="85"/>
  <c r="I97" i="90" s="1"/>
  <c r="E177" i="85"/>
  <c r="G97" i="90" s="1"/>
  <c r="D177" i="85"/>
  <c r="F97" i="90" s="1"/>
  <c r="C177" i="85"/>
  <c r="E97" i="90" s="1"/>
  <c r="G176" i="85"/>
  <c r="I96" i="90" s="1"/>
  <c r="E176" i="85"/>
  <c r="G96" i="90" s="1"/>
  <c r="D176" i="85"/>
  <c r="F96" i="90" s="1"/>
  <c r="C176" i="85"/>
  <c r="E96" i="90" s="1"/>
  <c r="G155" i="85"/>
  <c r="I93" i="90" s="1"/>
  <c r="E155" i="85"/>
  <c r="G93" i="90" s="1"/>
  <c r="D155" i="85"/>
  <c r="F93" i="90" s="1"/>
  <c r="C155" i="85"/>
  <c r="E93" i="90" s="1"/>
  <c r="G154" i="85"/>
  <c r="I92" i="90" s="1"/>
  <c r="E154" i="85"/>
  <c r="G92" i="90" s="1"/>
  <c r="D154" i="85"/>
  <c r="F92" i="90" s="1"/>
  <c r="C154" i="85"/>
  <c r="E92" i="90" s="1"/>
  <c r="G153" i="85"/>
  <c r="I91" i="90" s="1"/>
  <c r="E153" i="85"/>
  <c r="G91" i="90" s="1"/>
  <c r="D153" i="85"/>
  <c r="F91" i="90" s="1"/>
  <c r="C153" i="85"/>
  <c r="E91" i="90" s="1"/>
  <c r="G152" i="85"/>
  <c r="I90" i="90" s="1"/>
  <c r="E152" i="85"/>
  <c r="G90" i="90" s="1"/>
  <c r="D152" i="85"/>
  <c r="F90" i="90" s="1"/>
  <c r="C152" i="85"/>
  <c r="E90" i="90" s="1"/>
  <c r="G151" i="85"/>
  <c r="I89" i="90" s="1"/>
  <c r="E151" i="85"/>
  <c r="G89" i="90" s="1"/>
  <c r="D151" i="85"/>
  <c r="F89" i="90" s="1"/>
  <c r="C151" i="85"/>
  <c r="E89" i="90" s="1"/>
  <c r="G150" i="85"/>
  <c r="I88" i="90" s="1"/>
  <c r="E150" i="85"/>
  <c r="G88" i="90" s="1"/>
  <c r="D150" i="85"/>
  <c r="F88" i="90" s="1"/>
  <c r="C150" i="85"/>
  <c r="E88" i="90" s="1"/>
  <c r="G149" i="85"/>
  <c r="I87" i="90" s="1"/>
  <c r="F149" i="85"/>
  <c r="H87" i="90" s="1"/>
  <c r="E149" i="85"/>
  <c r="G87" i="90" s="1"/>
  <c r="D149" i="85"/>
  <c r="F87" i="90" s="1"/>
  <c r="C149" i="85"/>
  <c r="E87" i="90" s="1"/>
  <c r="G148" i="85"/>
  <c r="I86" i="90" s="1"/>
  <c r="F148" i="85"/>
  <c r="H86" i="90" s="1"/>
  <c r="E148" i="85"/>
  <c r="G86" i="90" s="1"/>
  <c r="D148" i="85"/>
  <c r="F86" i="90" s="1"/>
  <c r="C148" i="85"/>
  <c r="E86" i="90" s="1"/>
  <c r="G147" i="85"/>
  <c r="I85" i="90" s="1"/>
  <c r="E147" i="85"/>
  <c r="G85" i="90" s="1"/>
  <c r="D147" i="85"/>
  <c r="F85" i="90" s="1"/>
  <c r="C147" i="85"/>
  <c r="E85" i="90" s="1"/>
  <c r="G146" i="85"/>
  <c r="I84" i="90" s="1"/>
  <c r="E146" i="85"/>
  <c r="G84" i="90" s="1"/>
  <c r="D146" i="85"/>
  <c r="F84" i="90" s="1"/>
  <c r="C146" i="85"/>
  <c r="E84" i="90" s="1"/>
  <c r="G145" i="85"/>
  <c r="I83" i="90" s="1"/>
  <c r="E145" i="85"/>
  <c r="G83" i="90" s="1"/>
  <c r="D145" i="85"/>
  <c r="F83" i="90" s="1"/>
  <c r="C145" i="85"/>
  <c r="E83" i="90" s="1"/>
  <c r="G142" i="85"/>
  <c r="I82" i="90" s="1"/>
  <c r="E142" i="85"/>
  <c r="G82" i="90" s="1"/>
  <c r="D142" i="85"/>
  <c r="F82" i="90" s="1"/>
  <c r="C142" i="85"/>
  <c r="E82" i="90" s="1"/>
  <c r="G141" i="85"/>
  <c r="I81" i="90" s="1"/>
  <c r="E141" i="85"/>
  <c r="G81" i="90" s="1"/>
  <c r="D141" i="85"/>
  <c r="F81" i="90" s="1"/>
  <c r="C141" i="85"/>
  <c r="E81" i="90" s="1"/>
  <c r="G140" i="85"/>
  <c r="I80" i="90" s="1"/>
  <c r="E140" i="85"/>
  <c r="G80" i="90" s="1"/>
  <c r="D140" i="85"/>
  <c r="F80" i="90" s="1"/>
  <c r="C140" i="85"/>
  <c r="E80" i="90" s="1"/>
  <c r="G139" i="85"/>
  <c r="I79" i="90" s="1"/>
  <c r="E139" i="85"/>
  <c r="G79" i="90" s="1"/>
  <c r="D139" i="85"/>
  <c r="F79" i="90" s="1"/>
  <c r="C139" i="85"/>
  <c r="E79" i="90" s="1"/>
  <c r="G132" i="85"/>
  <c r="I78" i="90" s="1"/>
  <c r="E132" i="85"/>
  <c r="G78" i="90" s="1"/>
  <c r="D132" i="85"/>
  <c r="F78" i="90" s="1"/>
  <c r="C132" i="85"/>
  <c r="E78" i="90" s="1"/>
  <c r="G131" i="85"/>
  <c r="I77" i="90" s="1"/>
  <c r="E131" i="85"/>
  <c r="G77" i="90" s="1"/>
  <c r="D131" i="85"/>
  <c r="F77" i="90" s="1"/>
  <c r="C131" i="85"/>
  <c r="E77" i="90" s="1"/>
  <c r="G130" i="85"/>
  <c r="I76" i="90" s="1"/>
  <c r="E130" i="85"/>
  <c r="G76" i="90" s="1"/>
  <c r="D130" i="85"/>
  <c r="F76" i="90" s="1"/>
  <c r="C130" i="85"/>
  <c r="E76" i="90" s="1"/>
  <c r="G129" i="85"/>
  <c r="I75" i="90" s="1"/>
  <c r="E129" i="85"/>
  <c r="G75" i="90" s="1"/>
  <c r="D129" i="85"/>
  <c r="F75" i="90" s="1"/>
  <c r="C129" i="85"/>
  <c r="E75" i="90" s="1"/>
  <c r="G128" i="85"/>
  <c r="I74" i="90" s="1"/>
  <c r="F128" i="85"/>
  <c r="H74" i="90" s="1"/>
  <c r="E128" i="85"/>
  <c r="G74" i="90" s="1"/>
  <c r="D128" i="85"/>
  <c r="F74" i="90" s="1"/>
  <c r="C128" i="85"/>
  <c r="E74" i="90" s="1"/>
  <c r="G127" i="85"/>
  <c r="I73" i="90" s="1"/>
  <c r="E127" i="85"/>
  <c r="G73" i="90" s="1"/>
  <c r="D127" i="85"/>
  <c r="F73" i="90" s="1"/>
  <c r="C127" i="85"/>
  <c r="E73" i="90" s="1"/>
  <c r="G126" i="85"/>
  <c r="I72" i="90" s="1"/>
  <c r="E126" i="85"/>
  <c r="G72" i="90" s="1"/>
  <c r="D126" i="85"/>
  <c r="F72" i="90" s="1"/>
  <c r="C126" i="85"/>
  <c r="E72" i="90" s="1"/>
  <c r="G125" i="85"/>
  <c r="I71" i="90" s="1"/>
  <c r="E125" i="85"/>
  <c r="G71" i="90" s="1"/>
  <c r="D125" i="85"/>
  <c r="F71" i="90" s="1"/>
  <c r="C125" i="85"/>
  <c r="E71" i="90" s="1"/>
  <c r="G124" i="85"/>
  <c r="I70" i="90" s="1"/>
  <c r="E124" i="85"/>
  <c r="G70" i="90" s="1"/>
  <c r="D124" i="85"/>
  <c r="F70" i="90" s="1"/>
  <c r="C124" i="85"/>
  <c r="E70" i="90" s="1"/>
  <c r="G123" i="85"/>
  <c r="I69" i="90" s="1"/>
  <c r="E123" i="85"/>
  <c r="G69" i="90" s="1"/>
  <c r="D123" i="85"/>
  <c r="F69" i="90" s="1"/>
  <c r="C123" i="85"/>
  <c r="E69" i="90" s="1"/>
  <c r="G122" i="85"/>
  <c r="I68" i="90" s="1"/>
  <c r="F122" i="85"/>
  <c r="H68" i="90" s="1"/>
  <c r="E122" i="85"/>
  <c r="G68" i="90" s="1"/>
  <c r="D122" i="85"/>
  <c r="F68" i="90" s="1"/>
  <c r="C122" i="85"/>
  <c r="E68" i="90" s="1"/>
  <c r="G121" i="85"/>
  <c r="I67" i="90" s="1"/>
  <c r="F121" i="85"/>
  <c r="H67" i="90" s="1"/>
  <c r="E121" i="85"/>
  <c r="G67" i="90" s="1"/>
  <c r="D121" i="85"/>
  <c r="F67" i="90" s="1"/>
  <c r="C121" i="85"/>
  <c r="E67" i="90" s="1"/>
  <c r="G120" i="85"/>
  <c r="I66" i="90" s="1"/>
  <c r="F120" i="85"/>
  <c r="H66" i="90" s="1"/>
  <c r="E120" i="85"/>
  <c r="G66" i="90" s="1"/>
  <c r="D120" i="85"/>
  <c r="F66" i="90" s="1"/>
  <c r="C120" i="85"/>
  <c r="E66" i="90" s="1"/>
  <c r="G119" i="85"/>
  <c r="I65" i="90" s="1"/>
  <c r="E119" i="85"/>
  <c r="G65" i="90" s="1"/>
  <c r="D119" i="85"/>
  <c r="F65" i="90" s="1"/>
  <c r="C119" i="85"/>
  <c r="E65" i="90" s="1"/>
  <c r="G115" i="85"/>
  <c r="I64" i="90" s="1"/>
  <c r="E115" i="85"/>
  <c r="G64" i="90" s="1"/>
  <c r="D115" i="85"/>
  <c r="F64" i="90" s="1"/>
  <c r="C115" i="85"/>
  <c r="E64" i="90" s="1"/>
  <c r="G114" i="85"/>
  <c r="I63" i="90" s="1"/>
  <c r="E114" i="85"/>
  <c r="G63" i="90" s="1"/>
  <c r="D114" i="85"/>
  <c r="F63" i="90" s="1"/>
  <c r="C114" i="85"/>
  <c r="E63" i="90" s="1"/>
  <c r="G113" i="85"/>
  <c r="I62" i="90" s="1"/>
  <c r="E113" i="85"/>
  <c r="G62" i="90" s="1"/>
  <c r="D113" i="85"/>
  <c r="F62" i="90" s="1"/>
  <c r="C113" i="85"/>
  <c r="E62" i="90" s="1"/>
  <c r="G112" i="85"/>
  <c r="I61" i="90" s="1"/>
  <c r="E112" i="85"/>
  <c r="G61" i="90" s="1"/>
  <c r="D112" i="85"/>
  <c r="F61" i="90" s="1"/>
  <c r="C112" i="85"/>
  <c r="E61" i="90" s="1"/>
  <c r="G111" i="85"/>
  <c r="I60" i="90" s="1"/>
  <c r="E111" i="85"/>
  <c r="G60" i="90" s="1"/>
  <c r="D111" i="85"/>
  <c r="F60" i="90" s="1"/>
  <c r="C111" i="85"/>
  <c r="E60" i="90" s="1"/>
  <c r="G110" i="85"/>
  <c r="I59" i="90" s="1"/>
  <c r="E110" i="85"/>
  <c r="G59" i="90" s="1"/>
  <c r="D110" i="85"/>
  <c r="F59" i="90" s="1"/>
  <c r="C110" i="85"/>
  <c r="E59" i="90" s="1"/>
  <c r="G109" i="85"/>
  <c r="I58" i="90" s="1"/>
  <c r="E109" i="85"/>
  <c r="G58" i="90" s="1"/>
  <c r="D109" i="85"/>
  <c r="F58" i="90" s="1"/>
  <c r="C109" i="85"/>
  <c r="E58" i="90" s="1"/>
  <c r="G108" i="85"/>
  <c r="I57" i="90" s="1"/>
  <c r="E108" i="85"/>
  <c r="G57" i="90" s="1"/>
  <c r="D108" i="85"/>
  <c r="F57" i="90" s="1"/>
  <c r="C108" i="85"/>
  <c r="E57" i="90" s="1"/>
  <c r="G107" i="85"/>
  <c r="I56" i="90" s="1"/>
  <c r="E107" i="85"/>
  <c r="G56" i="90" s="1"/>
  <c r="D107" i="85"/>
  <c r="F56" i="90" s="1"/>
  <c r="C107" i="85"/>
  <c r="E56" i="90" s="1"/>
  <c r="G106" i="85"/>
  <c r="I55" i="90" s="1"/>
  <c r="E106" i="85"/>
  <c r="G55" i="90" s="1"/>
  <c r="D106" i="85"/>
  <c r="F55" i="90" s="1"/>
  <c r="C106" i="85"/>
  <c r="E55" i="90" s="1"/>
  <c r="G105" i="85"/>
  <c r="I54" i="90" s="1"/>
  <c r="E105" i="85"/>
  <c r="G54" i="90" s="1"/>
  <c r="D105" i="85"/>
  <c r="F54" i="90" s="1"/>
  <c r="C105" i="85"/>
  <c r="E54" i="90" s="1"/>
  <c r="G104" i="85"/>
  <c r="I53" i="90" s="1"/>
  <c r="E104" i="85"/>
  <c r="G53" i="90" s="1"/>
  <c r="D104" i="85"/>
  <c r="F53" i="90" s="1"/>
  <c r="C104" i="85"/>
  <c r="E53" i="90" s="1"/>
  <c r="G103" i="85"/>
  <c r="I52" i="90" s="1"/>
  <c r="E103" i="85"/>
  <c r="G52" i="90" s="1"/>
  <c r="D103" i="85"/>
  <c r="F52" i="90" s="1"/>
  <c r="C103" i="85"/>
  <c r="E52" i="90" s="1"/>
  <c r="G99" i="85"/>
  <c r="I51" i="90" s="1"/>
  <c r="E99" i="85"/>
  <c r="G51" i="90" s="1"/>
  <c r="D99" i="85"/>
  <c r="F51" i="90" s="1"/>
  <c r="C99" i="85"/>
  <c r="E51" i="90" s="1"/>
  <c r="G98" i="85"/>
  <c r="I50" i="90" s="1"/>
  <c r="E98" i="85"/>
  <c r="G50" i="90" s="1"/>
  <c r="D98" i="85"/>
  <c r="F50" i="90" s="1"/>
  <c r="C98" i="85"/>
  <c r="E50" i="90" s="1"/>
  <c r="G97" i="85"/>
  <c r="I49" i="90" s="1"/>
  <c r="E97" i="85"/>
  <c r="G49" i="90" s="1"/>
  <c r="D97" i="85"/>
  <c r="F49" i="90" s="1"/>
  <c r="C97" i="85"/>
  <c r="E49" i="90" s="1"/>
  <c r="G96" i="85"/>
  <c r="I48" i="90" s="1"/>
  <c r="F96" i="85"/>
  <c r="H48" i="90" s="1"/>
  <c r="E96" i="85"/>
  <c r="G48" i="90" s="1"/>
  <c r="D96" i="85"/>
  <c r="F48" i="90" s="1"/>
  <c r="C96" i="85"/>
  <c r="E48" i="90" s="1"/>
  <c r="G92" i="85"/>
  <c r="I47" i="90" s="1"/>
  <c r="F92" i="85"/>
  <c r="H47" i="90" s="1"/>
  <c r="E92" i="85"/>
  <c r="G47" i="90" s="1"/>
  <c r="D92" i="85"/>
  <c r="F47" i="90" s="1"/>
  <c r="C92" i="85"/>
  <c r="E47" i="90" s="1"/>
  <c r="G91" i="85"/>
  <c r="I46" i="90" s="1"/>
  <c r="E91" i="85"/>
  <c r="G46" i="90" s="1"/>
  <c r="D91" i="85"/>
  <c r="F46" i="90" s="1"/>
  <c r="C91" i="85"/>
  <c r="E46" i="90" s="1"/>
  <c r="G90" i="85"/>
  <c r="I45" i="90" s="1"/>
  <c r="E90" i="85"/>
  <c r="G45" i="90" s="1"/>
  <c r="D90" i="85"/>
  <c r="F45" i="90" s="1"/>
  <c r="C90" i="85"/>
  <c r="E45" i="90" s="1"/>
  <c r="G89" i="85"/>
  <c r="I44" i="90" s="1"/>
  <c r="E89" i="85"/>
  <c r="G44" i="90" s="1"/>
  <c r="D89" i="85"/>
  <c r="F44" i="90" s="1"/>
  <c r="C89" i="85"/>
  <c r="E44" i="90" s="1"/>
  <c r="G88" i="85"/>
  <c r="I43" i="90" s="1"/>
  <c r="E88" i="85"/>
  <c r="G43" i="90" s="1"/>
  <c r="D88" i="85"/>
  <c r="F43" i="90" s="1"/>
  <c r="C88" i="85"/>
  <c r="E43" i="90" s="1"/>
  <c r="G87" i="85"/>
  <c r="I42" i="90" s="1"/>
  <c r="E87" i="85"/>
  <c r="G42" i="90" s="1"/>
  <c r="D87" i="85"/>
  <c r="F42" i="90" s="1"/>
  <c r="C87" i="85"/>
  <c r="E42" i="90" s="1"/>
  <c r="G85" i="85"/>
  <c r="I41" i="90" s="1"/>
  <c r="G75" i="85"/>
  <c r="F75" i="85"/>
  <c r="E75" i="85"/>
  <c r="G73" i="85"/>
  <c r="I39" i="90" s="1"/>
  <c r="F73" i="85"/>
  <c r="H39" i="90" s="1"/>
  <c r="E73" i="85"/>
  <c r="G39" i="90" s="1"/>
  <c r="D73" i="85"/>
  <c r="F39" i="90" s="1"/>
  <c r="C73" i="85"/>
  <c r="E39" i="90" s="1"/>
  <c r="G72" i="85"/>
  <c r="I38" i="90" s="1"/>
  <c r="F72" i="85"/>
  <c r="H38" i="90" s="1"/>
  <c r="E72" i="85"/>
  <c r="G38" i="90" s="1"/>
  <c r="D72" i="85"/>
  <c r="F38" i="90" s="1"/>
  <c r="C72" i="85"/>
  <c r="E38" i="90" s="1"/>
  <c r="G71" i="85"/>
  <c r="I37" i="90" s="1"/>
  <c r="F71" i="85"/>
  <c r="H37" i="90" s="1"/>
  <c r="E71" i="85"/>
  <c r="G37" i="90" s="1"/>
  <c r="D71" i="85"/>
  <c r="F37" i="90" s="1"/>
  <c r="C71" i="85"/>
  <c r="E37" i="90" s="1"/>
  <c r="G70" i="85"/>
  <c r="I36" i="90" s="1"/>
  <c r="F70" i="85"/>
  <c r="H36" i="90" s="1"/>
  <c r="E70" i="85"/>
  <c r="G36" i="90" s="1"/>
  <c r="D70" i="85"/>
  <c r="F36" i="90" s="1"/>
  <c r="C70" i="85"/>
  <c r="E36" i="90" s="1"/>
  <c r="G69" i="85"/>
  <c r="I35" i="90" s="1"/>
  <c r="F69" i="85"/>
  <c r="H35" i="90" s="1"/>
  <c r="E69" i="85"/>
  <c r="G35" i="90" s="1"/>
  <c r="D69" i="85"/>
  <c r="F35" i="90" s="1"/>
  <c r="C69" i="85"/>
  <c r="E35" i="90" s="1"/>
  <c r="G68" i="85"/>
  <c r="I34" i="90" s="1"/>
  <c r="E68" i="85"/>
  <c r="G34" i="90" s="1"/>
  <c r="D68" i="85"/>
  <c r="F34" i="90" s="1"/>
  <c r="C68" i="85"/>
  <c r="E34" i="90" s="1"/>
  <c r="G67" i="85"/>
  <c r="I33" i="90" s="1"/>
  <c r="E67" i="85"/>
  <c r="G33" i="90" s="1"/>
  <c r="D67" i="85"/>
  <c r="F33" i="90" s="1"/>
  <c r="C67" i="85"/>
  <c r="E33" i="90" s="1"/>
  <c r="G66" i="85"/>
  <c r="I32" i="90" s="1"/>
  <c r="F66" i="85"/>
  <c r="H32" i="90" s="1"/>
  <c r="E66" i="85"/>
  <c r="G32" i="90" s="1"/>
  <c r="D66" i="85"/>
  <c r="F32" i="90" s="1"/>
  <c r="C66" i="85"/>
  <c r="E32" i="90" s="1"/>
  <c r="G65" i="85"/>
  <c r="I31" i="90" s="1"/>
  <c r="F65" i="85"/>
  <c r="H31" i="90" s="1"/>
  <c r="E65" i="85"/>
  <c r="G31" i="90" s="1"/>
  <c r="D65" i="85"/>
  <c r="F31" i="90" s="1"/>
  <c r="C65" i="85"/>
  <c r="E31" i="90" s="1"/>
  <c r="G64" i="85"/>
  <c r="I30" i="90" s="1"/>
  <c r="F64" i="85"/>
  <c r="H30" i="90" s="1"/>
  <c r="E64" i="85"/>
  <c r="G30" i="90" s="1"/>
  <c r="D64" i="85"/>
  <c r="F30" i="90" s="1"/>
  <c r="C64" i="85"/>
  <c r="E30" i="90" s="1"/>
  <c r="G63" i="85"/>
  <c r="I29" i="90" s="1"/>
  <c r="E63" i="85"/>
  <c r="G29" i="90" s="1"/>
  <c r="D63" i="85"/>
  <c r="F29" i="90" s="1"/>
  <c r="C63" i="85"/>
  <c r="E29" i="90" s="1"/>
  <c r="G62" i="85"/>
  <c r="E62" i="85"/>
  <c r="D62" i="85"/>
  <c r="C62" i="85"/>
  <c r="G61" i="85"/>
  <c r="I27" i="90" s="1"/>
  <c r="E61" i="85"/>
  <c r="G27" i="90" s="1"/>
  <c r="D61" i="85"/>
  <c r="F27" i="90" s="1"/>
  <c r="C61" i="85"/>
  <c r="E27" i="90" s="1"/>
  <c r="G60" i="85"/>
  <c r="I26" i="90" s="1"/>
  <c r="E60" i="85"/>
  <c r="G26" i="90" s="1"/>
  <c r="D60" i="85"/>
  <c r="F26" i="90" s="1"/>
  <c r="C60" i="85"/>
  <c r="E26" i="90" s="1"/>
  <c r="G59" i="85"/>
  <c r="I25" i="90" s="1"/>
  <c r="E59" i="85"/>
  <c r="G25" i="90" s="1"/>
  <c r="D59" i="85"/>
  <c r="F25" i="90" s="1"/>
  <c r="C59" i="85"/>
  <c r="E25" i="90" s="1"/>
  <c r="G58" i="85"/>
  <c r="I24" i="90" s="1"/>
  <c r="E58" i="85"/>
  <c r="G24" i="90" s="1"/>
  <c r="D58" i="85"/>
  <c r="F24" i="90" s="1"/>
  <c r="C58" i="85"/>
  <c r="E24" i="90" s="1"/>
  <c r="G57" i="85"/>
  <c r="I23" i="90" s="1"/>
  <c r="E57" i="85"/>
  <c r="G23" i="90" s="1"/>
  <c r="D57" i="85"/>
  <c r="F23" i="90" s="1"/>
  <c r="C57" i="85"/>
  <c r="E23" i="90" s="1"/>
  <c r="G48" i="85"/>
  <c r="I22" i="90" s="1"/>
  <c r="E48" i="85"/>
  <c r="G22" i="90" s="1"/>
  <c r="D48" i="85"/>
  <c r="F22" i="90" s="1"/>
  <c r="C48" i="85"/>
  <c r="E22" i="90" s="1"/>
  <c r="G47" i="85"/>
  <c r="I21" i="90" s="1"/>
  <c r="F47" i="85"/>
  <c r="H21" i="90" s="1"/>
  <c r="E47" i="85"/>
  <c r="G21" i="90" s="1"/>
  <c r="D47" i="85"/>
  <c r="F21" i="90" s="1"/>
  <c r="C47" i="85"/>
  <c r="E21" i="90" s="1"/>
  <c r="G46" i="85"/>
  <c r="I20" i="90" s="1"/>
  <c r="E46" i="85"/>
  <c r="G20" i="90" s="1"/>
  <c r="D46" i="85"/>
  <c r="F20" i="90" s="1"/>
  <c r="C46" i="85"/>
  <c r="E20" i="90" s="1"/>
  <c r="G45" i="85"/>
  <c r="I19" i="90" s="1"/>
  <c r="E45" i="85"/>
  <c r="G19" i="90" s="1"/>
  <c r="D45" i="85"/>
  <c r="F19" i="90" s="1"/>
  <c r="C45" i="85"/>
  <c r="E19" i="90" s="1"/>
  <c r="G44" i="85"/>
  <c r="I18" i="90" s="1"/>
  <c r="E44" i="85"/>
  <c r="G18" i="90" s="1"/>
  <c r="D44" i="85"/>
  <c r="F18" i="90" s="1"/>
  <c r="C44" i="85"/>
  <c r="E18" i="90" s="1"/>
  <c r="G43" i="85"/>
  <c r="I17" i="90" s="1"/>
  <c r="E43" i="85"/>
  <c r="G17" i="90" s="1"/>
  <c r="D43" i="85"/>
  <c r="F17" i="90" s="1"/>
  <c r="C43" i="85"/>
  <c r="E17" i="90" s="1"/>
  <c r="G42" i="85"/>
  <c r="I16" i="90" s="1"/>
  <c r="E42" i="85"/>
  <c r="G16" i="90" s="1"/>
  <c r="D42" i="85"/>
  <c r="F16" i="90" s="1"/>
  <c r="C42" i="85"/>
  <c r="E16" i="90" s="1"/>
  <c r="G41" i="85"/>
  <c r="I15" i="90" s="1"/>
  <c r="E41" i="85"/>
  <c r="G15" i="90" s="1"/>
  <c r="D41" i="85"/>
  <c r="F15" i="90" s="1"/>
  <c r="C41" i="85"/>
  <c r="E15" i="90" s="1"/>
  <c r="G40" i="85"/>
  <c r="I14" i="90" s="1"/>
  <c r="E40" i="85"/>
  <c r="G14" i="90" s="1"/>
  <c r="D40" i="85"/>
  <c r="F14" i="90" s="1"/>
  <c r="C40" i="85"/>
  <c r="E14" i="90" s="1"/>
  <c r="G39" i="85"/>
  <c r="I13" i="90" s="1"/>
  <c r="E39" i="85"/>
  <c r="G13" i="90" s="1"/>
  <c r="D39" i="85"/>
  <c r="F13" i="90" s="1"/>
  <c r="C39" i="85"/>
  <c r="E13" i="90" s="1"/>
  <c r="G38" i="85"/>
  <c r="I12" i="90" s="1"/>
  <c r="E38" i="85"/>
  <c r="G12" i="90" s="1"/>
  <c r="D38" i="85"/>
  <c r="F12" i="90" s="1"/>
  <c r="C38" i="85"/>
  <c r="E12" i="90" s="1"/>
  <c r="G37" i="85"/>
  <c r="I11" i="90" s="1"/>
  <c r="E37" i="85"/>
  <c r="G11" i="90" s="1"/>
  <c r="D37" i="85"/>
  <c r="F11" i="90" s="1"/>
  <c r="C37" i="85"/>
  <c r="E11" i="90" s="1"/>
  <c r="G33" i="85"/>
  <c r="I28" i="90" s="1"/>
  <c r="F33" i="85"/>
  <c r="H28" i="90" s="1"/>
  <c r="E33" i="85"/>
  <c r="G28" i="90" s="1"/>
  <c r="D33" i="85"/>
  <c r="F28" i="90" s="1"/>
  <c r="C33" i="85"/>
  <c r="E28" i="90" s="1"/>
  <c r="G29" i="85"/>
  <c r="I9" i="90" s="1"/>
  <c r="F29" i="85"/>
  <c r="H9" i="90" s="1"/>
  <c r="E29" i="85"/>
  <c r="G9" i="90" s="1"/>
  <c r="D29" i="85"/>
  <c r="F9" i="90" s="1"/>
  <c r="C29" i="85"/>
  <c r="E9" i="90" s="1"/>
  <c r="G25" i="85"/>
  <c r="I8" i="90" s="1"/>
  <c r="F25" i="85"/>
  <c r="H8" i="90" s="1"/>
  <c r="E25" i="85"/>
  <c r="G8" i="90" s="1"/>
  <c r="D25" i="85"/>
  <c r="F8" i="90" s="1"/>
  <c r="C25" i="85"/>
  <c r="E8" i="90" s="1"/>
  <c r="G24" i="85"/>
  <c r="I7" i="90" s="1"/>
  <c r="F24" i="85"/>
  <c r="H7" i="90" s="1"/>
  <c r="E24" i="85"/>
  <c r="G7" i="90" s="1"/>
  <c r="D24" i="85"/>
  <c r="F7" i="90" s="1"/>
  <c r="C24" i="85"/>
  <c r="E7" i="90" s="1"/>
  <c r="G23" i="85"/>
  <c r="I6" i="90" s="1"/>
  <c r="F23" i="85"/>
  <c r="H6" i="90" s="1"/>
  <c r="E23" i="85"/>
  <c r="G6" i="90" s="1"/>
  <c r="D23" i="85"/>
  <c r="F6" i="90" s="1"/>
  <c r="C23" i="85"/>
  <c r="E6" i="90" s="1"/>
  <c r="G22" i="85"/>
  <c r="I5" i="90" s="1"/>
  <c r="F22" i="85"/>
  <c r="H5" i="90" s="1"/>
  <c r="E22" i="85"/>
  <c r="G5" i="90" s="1"/>
  <c r="D22" i="85"/>
  <c r="F5" i="90" s="1"/>
  <c r="C22" i="85"/>
  <c r="E5" i="90" s="1"/>
  <c r="G18" i="85"/>
  <c r="I4" i="90" s="1"/>
  <c r="F18" i="85"/>
  <c r="H4" i="90" s="1"/>
  <c r="E18" i="85"/>
  <c r="G4" i="90" s="1"/>
  <c r="D18" i="85"/>
  <c r="F4" i="90" s="1"/>
  <c r="C18" i="85"/>
  <c r="E4" i="90" s="1"/>
  <c r="G17" i="85"/>
  <c r="I3" i="90" s="1"/>
  <c r="F17" i="85"/>
  <c r="H3" i="90" s="1"/>
  <c r="E17" i="85"/>
  <c r="G3" i="90" s="1"/>
  <c r="D17" i="85"/>
  <c r="F3" i="90" s="1"/>
  <c r="C17" i="85"/>
  <c r="E3" i="90" s="1"/>
  <c r="G16" i="85"/>
  <c r="I2" i="90" s="1"/>
  <c r="F16" i="85"/>
  <c r="H2" i="90" s="1"/>
  <c r="E16" i="85"/>
  <c r="G2" i="90" s="1"/>
  <c r="D16" i="85"/>
  <c r="F2" i="90" s="1"/>
  <c r="C16" i="85"/>
  <c r="E2" i="90" s="1"/>
  <c r="E7" i="85"/>
  <c r="D7" i="85"/>
  <c r="E6" i="85"/>
  <c r="H10" i="85" s="1"/>
  <c r="I10" i="85" s="1"/>
  <c r="D6" i="85"/>
  <c r="E5" i="85"/>
  <c r="D5" i="85"/>
  <c r="A3" i="85"/>
  <c r="A2" i="85"/>
  <c r="A1" i="85"/>
  <c r="E10" i="90" l="1"/>
  <c r="F10" i="90"/>
  <c r="G10" i="90"/>
  <c r="H10" i="90"/>
  <c r="I10" i="90"/>
  <c r="F7" i="78"/>
  <c r="E7" i="78"/>
  <c r="E4" i="76" l="1"/>
  <c r="E4" i="70"/>
  <c r="C37" i="77" l="1"/>
  <c r="C15" i="77"/>
  <c r="E376" i="80" l="1"/>
  <c r="E375" i="80"/>
  <c r="E374" i="80"/>
  <c r="E373" i="80"/>
  <c r="E372" i="80"/>
  <c r="E371" i="80"/>
  <c r="E370" i="80"/>
  <c r="E376" i="79" l="1"/>
  <c r="E375" i="79"/>
  <c r="E374" i="79"/>
  <c r="E373" i="79"/>
  <c r="E372" i="79"/>
  <c r="E371" i="79"/>
  <c r="E370" i="79"/>
  <c r="K429" i="80" l="1"/>
  <c r="K425" i="80"/>
  <c r="K424" i="80"/>
  <c r="K429" i="79"/>
  <c r="K425" i="79"/>
  <c r="K424" i="79"/>
  <c r="K376" i="80"/>
  <c r="K375" i="80"/>
  <c r="K374" i="80"/>
  <c r="K373" i="80"/>
  <c r="K372" i="80"/>
  <c r="K371" i="80"/>
  <c r="K370" i="80"/>
  <c r="K376" i="79"/>
  <c r="K375" i="79"/>
  <c r="K374" i="79"/>
  <c r="K373" i="79"/>
  <c r="K372" i="79"/>
  <c r="K371" i="79"/>
  <c r="K370" i="79"/>
  <c r="G85" i="80" l="1"/>
  <c r="G85" i="79"/>
  <c r="F9" i="70" l="1"/>
  <c r="B16" i="69" l="1"/>
  <c r="G5" i="69" l="1"/>
  <c r="G6" i="69" s="1"/>
  <c r="G7" i="69" s="1"/>
  <c r="F5" i="69"/>
  <c r="F6" i="69" s="1"/>
  <c r="F7" i="69" s="1"/>
  <c r="E5" i="69"/>
  <c r="E6" i="69" s="1"/>
  <c r="E7" i="69" s="1"/>
  <c r="D5" i="69"/>
  <c r="D20" i="77"/>
  <c r="D24" i="77" s="1"/>
  <c r="C20" i="77"/>
  <c r="C24" i="77" s="1"/>
  <c r="AD41" i="84" l="1"/>
  <c r="D41" i="84"/>
  <c r="O60" i="76"/>
  <c r="N60" i="76"/>
  <c r="M60" i="76"/>
  <c r="O53" i="76"/>
  <c r="N53" i="76"/>
  <c r="M53" i="76"/>
  <c r="F109" i="36" l="1"/>
  <c r="H30" i="32" l="1"/>
  <c r="H85" i="85" s="1"/>
  <c r="J41" i="90" s="1"/>
  <c r="H85" i="80" l="1"/>
  <c r="H85" i="79"/>
  <c r="Y4" i="76"/>
  <c r="X4" i="76"/>
  <c r="W4" i="76"/>
  <c r="V4" i="76"/>
  <c r="U4" i="76"/>
  <c r="T4" i="76"/>
  <c r="S4" i="76"/>
  <c r="R4" i="76"/>
  <c r="Q4" i="76"/>
  <c r="P4" i="76"/>
  <c r="O4" i="76"/>
  <c r="N4" i="76"/>
  <c r="M4" i="76"/>
  <c r="L4" i="76"/>
  <c r="K4" i="76"/>
  <c r="J4" i="76"/>
  <c r="I4" i="76"/>
  <c r="H4" i="76"/>
  <c r="G4" i="76"/>
  <c r="F4" i="76"/>
  <c r="B1" i="70" l="1"/>
  <c r="B9" i="84"/>
  <c r="Y60" i="76" l="1"/>
  <c r="X60" i="76"/>
  <c r="W60" i="76"/>
  <c r="V60" i="76"/>
  <c r="U60" i="76"/>
  <c r="T60" i="76"/>
  <c r="S60" i="76"/>
  <c r="R60" i="76"/>
  <c r="Q60" i="76"/>
  <c r="P60" i="76"/>
  <c r="Y53" i="76"/>
  <c r="X53" i="76"/>
  <c r="W53" i="76"/>
  <c r="V53" i="76"/>
  <c r="U53" i="76"/>
  <c r="T53" i="76"/>
  <c r="S53" i="76"/>
  <c r="R53" i="76"/>
  <c r="Q53" i="76"/>
  <c r="P53" i="76"/>
  <c r="Y43" i="76"/>
  <c r="X43" i="76"/>
  <c r="W43" i="76"/>
  <c r="V43" i="76"/>
  <c r="U43" i="76"/>
  <c r="T43" i="76"/>
  <c r="S43" i="76"/>
  <c r="R43" i="76"/>
  <c r="Q43" i="76"/>
  <c r="P43" i="76"/>
  <c r="O43" i="76"/>
  <c r="N43" i="76"/>
  <c r="M43" i="76"/>
  <c r="Y33" i="76"/>
  <c r="X33" i="76"/>
  <c r="W33" i="76"/>
  <c r="V33" i="76"/>
  <c r="U33" i="76"/>
  <c r="T33" i="76"/>
  <c r="S33" i="76"/>
  <c r="R33" i="76"/>
  <c r="Q33" i="76"/>
  <c r="P33" i="76"/>
  <c r="O33" i="76"/>
  <c r="N33" i="76"/>
  <c r="M33" i="76"/>
  <c r="Y26" i="76"/>
  <c r="X26" i="76"/>
  <c r="W26" i="76"/>
  <c r="V26" i="76"/>
  <c r="U26" i="76"/>
  <c r="T26" i="76"/>
  <c r="S26" i="76"/>
  <c r="R26" i="76"/>
  <c r="Q26" i="76"/>
  <c r="P26" i="76"/>
  <c r="O26" i="76"/>
  <c r="N26" i="76"/>
  <c r="M26" i="76"/>
  <c r="Y20" i="76"/>
  <c r="X20" i="76"/>
  <c r="W20" i="76"/>
  <c r="V20" i="76"/>
  <c r="U20" i="76"/>
  <c r="T20" i="76"/>
  <c r="S20" i="76"/>
  <c r="R20" i="76"/>
  <c r="Q20" i="76"/>
  <c r="P20" i="76"/>
  <c r="O20" i="76"/>
  <c r="N20" i="76"/>
  <c r="M20" i="76"/>
  <c r="Y13" i="76"/>
  <c r="X13" i="76"/>
  <c r="W13" i="76"/>
  <c r="V13" i="76"/>
  <c r="U13" i="76"/>
  <c r="T13" i="76"/>
  <c r="S13" i="76"/>
  <c r="R13" i="76"/>
  <c r="Q13" i="76"/>
  <c r="P13" i="76"/>
  <c r="O13" i="76"/>
  <c r="N13" i="76"/>
  <c r="M13" i="76"/>
  <c r="C56" i="82" l="1"/>
  <c r="C55" i="82"/>
  <c r="C72" i="82"/>
  <c r="C71" i="82"/>
  <c r="C70" i="82"/>
  <c r="C69" i="82"/>
  <c r="C35" i="82"/>
  <c r="C72" i="35" l="1"/>
  <c r="C71" i="35"/>
  <c r="C70" i="35"/>
  <c r="C69" i="35"/>
  <c r="C35" i="35"/>
  <c r="AD42" i="84" l="1"/>
  <c r="AA42" i="84"/>
  <c r="K42" i="84"/>
  <c r="H42" i="84"/>
  <c r="G42" i="84"/>
  <c r="D42" i="84"/>
  <c r="AC41" i="84"/>
  <c r="AC42" i="84" s="1"/>
  <c r="AB41" i="84"/>
  <c r="AB42" i="84" s="1"/>
  <c r="AA41" i="84"/>
  <c r="Z41" i="84"/>
  <c r="Z42" i="84" s="1"/>
  <c r="Y41" i="84"/>
  <c r="Y42" i="84" s="1"/>
  <c r="X41" i="84"/>
  <c r="X42" i="84" s="1"/>
  <c r="W41" i="84"/>
  <c r="W42" i="84" s="1"/>
  <c r="V41" i="84"/>
  <c r="V42" i="84" s="1"/>
  <c r="U41" i="84"/>
  <c r="U42" i="84" s="1"/>
  <c r="T41" i="84"/>
  <c r="T42" i="84" s="1"/>
  <c r="S41" i="84"/>
  <c r="S42" i="84" s="1"/>
  <c r="R41" i="84"/>
  <c r="R42" i="84" s="1"/>
  <c r="Q41" i="84"/>
  <c r="Q42" i="84" s="1"/>
  <c r="P41" i="84"/>
  <c r="P42" i="84" s="1"/>
  <c r="O41" i="84"/>
  <c r="O42" i="84" s="1"/>
  <c r="N41" i="84"/>
  <c r="N42" i="84" s="1"/>
  <c r="M41" i="84"/>
  <c r="M42" i="84" s="1"/>
  <c r="L41" i="84"/>
  <c r="L42" i="84" s="1"/>
  <c r="K41" i="84"/>
  <c r="J41" i="84"/>
  <c r="J42" i="84" s="1"/>
  <c r="I41" i="84"/>
  <c r="I42" i="84" s="1"/>
  <c r="H41" i="84"/>
  <c r="G41" i="84"/>
  <c r="F41" i="84"/>
  <c r="F42" i="84" s="1"/>
  <c r="E41" i="84"/>
  <c r="E42" i="84" s="1"/>
  <c r="X29" i="84"/>
  <c r="Q29" i="84"/>
  <c r="D29" i="84"/>
  <c r="AD28" i="84"/>
  <c r="AD29" i="84" s="1"/>
  <c r="AC28" i="84"/>
  <c r="AC29" i="84" s="1"/>
  <c r="AB28" i="84"/>
  <c r="AB29" i="84" s="1"/>
  <c r="AA28" i="84"/>
  <c r="AA29" i="84" s="1"/>
  <c r="Z28" i="84"/>
  <c r="Z29" i="84" s="1"/>
  <c r="Y28" i="84"/>
  <c r="Y29" i="84" s="1"/>
  <c r="X28" i="84"/>
  <c r="W28" i="84"/>
  <c r="W29" i="84" s="1"/>
  <c r="V28" i="84"/>
  <c r="V29" i="84" s="1"/>
  <c r="U28" i="84"/>
  <c r="U29" i="84" s="1"/>
  <c r="T28" i="84"/>
  <c r="T29" i="84" s="1"/>
  <c r="S28" i="84"/>
  <c r="S29" i="84" s="1"/>
  <c r="R28" i="84"/>
  <c r="R29" i="84" s="1"/>
  <c r="Q28" i="84"/>
  <c r="P28" i="84"/>
  <c r="P29" i="84" s="1"/>
  <c r="O28" i="84"/>
  <c r="O29" i="84" s="1"/>
  <c r="N28" i="84"/>
  <c r="N29" i="84" s="1"/>
  <c r="M28" i="84"/>
  <c r="M29" i="84" s="1"/>
  <c r="L28" i="84"/>
  <c r="L29" i="84" s="1"/>
  <c r="K28" i="84"/>
  <c r="K29" i="84" s="1"/>
  <c r="J28" i="84"/>
  <c r="J29" i="84" s="1"/>
  <c r="I28" i="84"/>
  <c r="I29" i="84" s="1"/>
  <c r="H28" i="84"/>
  <c r="H29" i="84" s="1"/>
  <c r="G28" i="84"/>
  <c r="G29" i="84" s="1"/>
  <c r="F28" i="84"/>
  <c r="F29" i="84" s="1"/>
  <c r="E28" i="84"/>
  <c r="E29" i="84" s="1"/>
  <c r="D28" i="84"/>
  <c r="C41" i="84"/>
  <c r="C42" i="84" s="1"/>
  <c r="C28" i="84"/>
  <c r="B34" i="83"/>
  <c r="B33" i="83"/>
  <c r="B29" i="83"/>
  <c r="B18" i="83"/>
  <c r="B15" i="83"/>
  <c r="C9" i="84"/>
  <c r="AE40" i="84"/>
  <c r="AE39" i="84"/>
  <c r="AE38" i="84"/>
  <c r="AE37" i="84"/>
  <c r="AE36" i="84"/>
  <c r="AE35" i="84"/>
  <c r="AE34" i="84"/>
  <c r="AE32" i="84"/>
  <c r="B29" i="77" s="1"/>
  <c r="AE31" i="84"/>
  <c r="B18" i="77" s="1"/>
  <c r="AE27" i="84"/>
  <c r="AE26" i="84"/>
  <c r="AE25" i="84"/>
  <c r="AE24" i="84"/>
  <c r="AE22" i="84"/>
  <c r="B15" i="77" s="1"/>
  <c r="AE17" i="84"/>
  <c r="AE41" i="84" l="1"/>
  <c r="AE42" i="84" s="1"/>
  <c r="B33" i="77"/>
  <c r="B34" i="77"/>
  <c r="B17" i="83"/>
  <c r="C29" i="84"/>
  <c r="AE28" i="84"/>
  <c r="AE29" i="84" l="1"/>
  <c r="B17" i="77"/>
  <c r="B29" i="78"/>
  <c r="H189" i="85" l="1"/>
  <c r="J106" i="90" s="1"/>
  <c r="H188" i="85"/>
  <c r="J105" i="90" s="1"/>
  <c r="H187" i="85"/>
  <c r="J104" i="90" s="1"/>
  <c r="F29" i="78" l="1"/>
  <c r="E29" i="78"/>
  <c r="D29" i="78"/>
  <c r="C29" i="78"/>
  <c r="F28" i="78"/>
  <c r="E28" i="78"/>
  <c r="D28" i="78"/>
  <c r="C28" i="78"/>
  <c r="J212" i="85" l="1"/>
  <c r="L116" i="90" s="1"/>
  <c r="I52" i="26"/>
  <c r="I212" i="85" s="1"/>
  <c r="K116" i="90" s="1"/>
  <c r="H212" i="85"/>
  <c r="J116" i="90" s="1"/>
  <c r="B9" i="69" l="1"/>
  <c r="B11" i="69" l="1"/>
  <c r="C11" i="69" s="1"/>
  <c r="G11" i="69"/>
  <c r="F11" i="69"/>
  <c r="E11" i="69"/>
  <c r="D11" i="69"/>
  <c r="D42" i="7"/>
  <c r="H349" i="85" s="1"/>
  <c r="H348" i="79" l="1"/>
  <c r="H348" i="80"/>
  <c r="B5" i="69"/>
  <c r="K43" i="7"/>
  <c r="J43" i="7"/>
  <c r="K40" i="7"/>
  <c r="I40" i="7"/>
  <c r="K39" i="7"/>
  <c r="J39" i="7"/>
  <c r="J41" i="7" s="1"/>
  <c r="I39" i="7"/>
  <c r="H39" i="7"/>
  <c r="P348" i="80" l="1"/>
  <c r="EF348" i="80"/>
  <c r="DP348" i="80"/>
  <c r="CJ348" i="80"/>
  <c r="BT348" i="80"/>
  <c r="BD348" i="80"/>
  <c r="AN348" i="80"/>
  <c r="EN348" i="80"/>
  <c r="CR348" i="80"/>
  <c r="AV348" i="80"/>
  <c r="FL348" i="80"/>
  <c r="EV348" i="80"/>
  <c r="CZ348" i="80"/>
  <c r="X348" i="80"/>
  <c r="DX348" i="80"/>
  <c r="CB348" i="80"/>
  <c r="FD348" i="80"/>
  <c r="DH348" i="80"/>
  <c r="BL348" i="80"/>
  <c r="AF348" i="80"/>
  <c r="FL348" i="79"/>
  <c r="EV348" i="79"/>
  <c r="EF348" i="79"/>
  <c r="DP348" i="79"/>
  <c r="CZ348" i="79"/>
  <c r="CJ348" i="79"/>
  <c r="BT348" i="79"/>
  <c r="BD348" i="79"/>
  <c r="AN348" i="79"/>
  <c r="X348" i="79"/>
  <c r="P348" i="79"/>
  <c r="FD348" i="79"/>
  <c r="EN348" i="79"/>
  <c r="DX348" i="79"/>
  <c r="DH348" i="79"/>
  <c r="CR348" i="79"/>
  <c r="CB348" i="79"/>
  <c r="BL348" i="79"/>
  <c r="AV348" i="79"/>
  <c r="AF348" i="79"/>
  <c r="K41" i="7"/>
  <c r="H41" i="7"/>
  <c r="H42" i="7"/>
  <c r="K42" i="7"/>
  <c r="J42" i="7"/>
  <c r="J44" i="7" s="1"/>
  <c r="I42" i="7"/>
  <c r="I41" i="7"/>
  <c r="AA37" i="83"/>
  <c r="AA35" i="83"/>
  <c r="AA34" i="83"/>
  <c r="AA33" i="83"/>
  <c r="AA29" i="83"/>
  <c r="AA21" i="83"/>
  <c r="Z20" i="83"/>
  <c r="Z24" i="83" s="1"/>
  <c r="Y20" i="83"/>
  <c r="Y24" i="83" s="1"/>
  <c r="X20" i="83"/>
  <c r="X24" i="83" s="1"/>
  <c r="W20" i="83"/>
  <c r="W24" i="83" s="1"/>
  <c r="V20" i="83"/>
  <c r="V24" i="83" s="1"/>
  <c r="U20" i="83"/>
  <c r="U24" i="83" s="1"/>
  <c r="T20" i="83"/>
  <c r="T24" i="83" s="1"/>
  <c r="S20" i="83"/>
  <c r="S24" i="83" s="1"/>
  <c r="R20" i="83"/>
  <c r="R24" i="83" s="1"/>
  <c r="Q20" i="83"/>
  <c r="Q24" i="83" s="1"/>
  <c r="P20" i="83"/>
  <c r="P24" i="83" s="1"/>
  <c r="O20" i="83"/>
  <c r="O24" i="83" s="1"/>
  <c r="N20" i="83"/>
  <c r="N24" i="83" s="1"/>
  <c r="M20" i="83"/>
  <c r="M24" i="83" s="1"/>
  <c r="L20" i="83"/>
  <c r="L24" i="83" s="1"/>
  <c r="K20" i="83"/>
  <c r="K24" i="83" s="1"/>
  <c r="J20" i="83"/>
  <c r="J24" i="83" s="1"/>
  <c r="I20" i="83"/>
  <c r="I24" i="83" s="1"/>
  <c r="H20" i="83"/>
  <c r="H24" i="83" s="1"/>
  <c r="G20" i="83"/>
  <c r="G24" i="83" s="1"/>
  <c r="F20" i="83"/>
  <c r="F24" i="83" s="1"/>
  <c r="E20" i="83"/>
  <c r="E24" i="83" s="1"/>
  <c r="D20" i="83"/>
  <c r="D24" i="83" s="1"/>
  <c r="C20" i="83"/>
  <c r="B20" i="83"/>
  <c r="B24" i="83" s="1"/>
  <c r="AA18" i="83"/>
  <c r="AA17" i="83"/>
  <c r="AA15" i="83"/>
  <c r="AA45" i="83" s="1"/>
  <c r="Z11" i="83"/>
  <c r="Y11" i="83"/>
  <c r="X11" i="83"/>
  <c r="W11" i="83"/>
  <c r="V11" i="83"/>
  <c r="U11" i="83"/>
  <c r="T11" i="83"/>
  <c r="S11" i="83"/>
  <c r="R11" i="83"/>
  <c r="Q11" i="83"/>
  <c r="P11" i="83"/>
  <c r="O11" i="83"/>
  <c r="N11" i="83"/>
  <c r="M11" i="83"/>
  <c r="L11" i="83"/>
  <c r="K11" i="83"/>
  <c r="J11" i="83"/>
  <c r="I11" i="83"/>
  <c r="H11" i="83"/>
  <c r="G11" i="83"/>
  <c r="F11" i="83"/>
  <c r="E11" i="83"/>
  <c r="D11" i="83"/>
  <c r="C11" i="83"/>
  <c r="B11" i="83"/>
  <c r="B8" i="83"/>
  <c r="A8" i="83"/>
  <c r="A7" i="83"/>
  <c r="H87" i="82"/>
  <c r="K87" i="82" s="1"/>
  <c r="K86" i="82"/>
  <c r="H86" i="82"/>
  <c r="H85" i="82"/>
  <c r="K85" i="82" s="1"/>
  <c r="H84" i="82"/>
  <c r="K84" i="82" s="1"/>
  <c r="H83" i="82"/>
  <c r="K83" i="82" s="1"/>
  <c r="H82" i="82"/>
  <c r="K82" i="82" s="1"/>
  <c r="H81" i="82"/>
  <c r="K81" i="82" s="1"/>
  <c r="H80" i="82"/>
  <c r="K80" i="82" s="1"/>
  <c r="H79" i="82"/>
  <c r="K79" i="82" s="1"/>
  <c r="H78" i="82"/>
  <c r="K78" i="82" s="1"/>
  <c r="R64" i="82"/>
  <c r="Q64" i="82"/>
  <c r="D56" i="82"/>
  <c r="D55" i="82"/>
  <c r="D54" i="82"/>
  <c r="D45" i="82"/>
  <c r="D44" i="82"/>
  <c r="D43" i="82"/>
  <c r="D42" i="82"/>
  <c r="D36" i="82"/>
  <c r="D35" i="82"/>
  <c r="D34" i="82"/>
  <c r="D33" i="82"/>
  <c r="D71" i="82" s="1"/>
  <c r="D32" i="82"/>
  <c r="D31" i="82"/>
  <c r="D30" i="82"/>
  <c r="D29" i="82"/>
  <c r="D28" i="82"/>
  <c r="D27" i="82"/>
  <c r="D70" i="82" s="1"/>
  <c r="D26" i="82"/>
  <c r="D25" i="82"/>
  <c r="C7" i="82"/>
  <c r="C6" i="82"/>
  <c r="C5" i="82"/>
  <c r="S64" i="82" l="1"/>
  <c r="H44" i="7"/>
  <c r="R6" i="82"/>
  <c r="AA20" i="83"/>
  <c r="R44" i="82"/>
  <c r="Q44" i="82" s="1"/>
  <c r="R45" i="82"/>
  <c r="Q45" i="82" s="1"/>
  <c r="R42" i="82"/>
  <c r="Q42" i="82" s="1"/>
  <c r="K44" i="7"/>
  <c r="Q43" i="82"/>
  <c r="I44" i="7"/>
  <c r="C24" i="83"/>
  <c r="D37" i="82"/>
  <c r="D72" i="82"/>
  <c r="D46" i="82"/>
  <c r="D69" i="82"/>
  <c r="G70" i="37"/>
  <c r="B2" i="78"/>
  <c r="B4" i="78" s="1"/>
  <c r="C4" i="78" s="1"/>
  <c r="D4" i="78" s="1"/>
  <c r="E4" i="78" s="1"/>
  <c r="F4" i="78" s="1"/>
  <c r="G4" i="78" s="1"/>
  <c r="M81" i="70"/>
  <c r="BR193" i="80" s="1"/>
  <c r="M80" i="70"/>
  <c r="L81" i="70"/>
  <c r="L80" i="70"/>
  <c r="K81" i="70"/>
  <c r="K80" i="70"/>
  <c r="J81" i="70"/>
  <c r="AT193" i="80" s="1"/>
  <c r="J80" i="70"/>
  <c r="H81" i="70"/>
  <c r="H80" i="70"/>
  <c r="F81" i="70"/>
  <c r="F80" i="70"/>
  <c r="I81" i="70"/>
  <c r="I80" i="70"/>
  <c r="G81" i="70"/>
  <c r="G80" i="70"/>
  <c r="H176" i="85"/>
  <c r="J96" i="90" s="1"/>
  <c r="H177" i="85"/>
  <c r="J97" i="90" s="1"/>
  <c r="H180" i="85"/>
  <c r="J99" i="90" s="1"/>
  <c r="H182" i="85"/>
  <c r="J101" i="90" s="1"/>
  <c r="H188" i="80"/>
  <c r="H32" i="26"/>
  <c r="H192" i="85" s="1"/>
  <c r="J108" i="90" s="1"/>
  <c r="H33" i="26"/>
  <c r="H34" i="26"/>
  <c r="H194" i="85" s="1"/>
  <c r="J110" i="90" s="1"/>
  <c r="H35" i="26"/>
  <c r="H39" i="26"/>
  <c r="H199" i="85" s="1"/>
  <c r="J112" i="90" s="1"/>
  <c r="H40" i="26"/>
  <c r="H41" i="26"/>
  <c r="H201" i="85" s="1"/>
  <c r="J114" i="90" s="1"/>
  <c r="H45" i="26"/>
  <c r="H205" i="85" s="1"/>
  <c r="H46" i="26"/>
  <c r="H206" i="85" s="1"/>
  <c r="H50" i="26"/>
  <c r="H51" i="26"/>
  <c r="H53" i="26"/>
  <c r="H54" i="26"/>
  <c r="D42" i="35"/>
  <c r="D43" i="35"/>
  <c r="Q43" i="35" s="1"/>
  <c r="D44" i="35"/>
  <c r="D45" i="35"/>
  <c r="D54" i="35"/>
  <c r="D55" i="35"/>
  <c r="D56" i="35"/>
  <c r="D26" i="35"/>
  <c r="D69" i="35" s="1"/>
  <c r="D27" i="35"/>
  <c r="D70" i="35" s="1"/>
  <c r="D28" i="35"/>
  <c r="D29" i="35"/>
  <c r="D30" i="35"/>
  <c r="D31" i="35"/>
  <c r="D32" i="35"/>
  <c r="D33" i="35"/>
  <c r="D71" i="35" s="1"/>
  <c r="D34" i="35"/>
  <c r="D72" i="35" s="1"/>
  <c r="D35" i="35"/>
  <c r="D36" i="35"/>
  <c r="H226" i="85"/>
  <c r="J127" i="90" s="1"/>
  <c r="H230" i="85"/>
  <c r="J131" i="90" s="1"/>
  <c r="H72" i="26"/>
  <c r="H81" i="26"/>
  <c r="H241" i="85" s="1"/>
  <c r="J135" i="90" s="1"/>
  <c r="H82" i="26"/>
  <c r="H83" i="26"/>
  <c r="H84" i="26"/>
  <c r="H244" i="85" s="1"/>
  <c r="J138" i="90" s="1"/>
  <c r="H85" i="26"/>
  <c r="H86" i="26"/>
  <c r="H246" i="85" s="1"/>
  <c r="J140" i="90" s="1"/>
  <c r="H87" i="26"/>
  <c r="H88" i="26"/>
  <c r="H248" i="80" s="1"/>
  <c r="H89" i="26"/>
  <c r="H249" i="85" s="1"/>
  <c r="J143" i="90" s="1"/>
  <c r="H90" i="26"/>
  <c r="H250" i="85" s="1"/>
  <c r="J144" i="90" s="1"/>
  <c r="H92" i="26"/>
  <c r="H93" i="26"/>
  <c r="H253" i="85" s="1"/>
  <c r="J147" i="90" s="1"/>
  <c r="H94" i="26"/>
  <c r="H254" i="85" s="1"/>
  <c r="J148" i="90" s="1"/>
  <c r="H95" i="26"/>
  <c r="H255" i="85" s="1"/>
  <c r="J149" i="90" s="1"/>
  <c r="H18" i="13"/>
  <c r="H22" i="13"/>
  <c r="H22" i="85" s="1"/>
  <c r="J5" i="90" s="1"/>
  <c r="H23" i="13"/>
  <c r="H23" i="85" s="1"/>
  <c r="J6" i="90" s="1"/>
  <c r="H24" i="13"/>
  <c r="H25" i="13"/>
  <c r="H25" i="85" s="1"/>
  <c r="J8" i="90" s="1"/>
  <c r="H29" i="13"/>
  <c r="H33" i="13"/>
  <c r="H33" i="85" s="1"/>
  <c r="H66" i="13"/>
  <c r="H66" i="85" s="1"/>
  <c r="J32" i="90" s="1"/>
  <c r="H67" i="13"/>
  <c r="H67" i="85" s="1"/>
  <c r="J33" i="90" s="1"/>
  <c r="H68" i="13"/>
  <c r="H68" i="85" s="1"/>
  <c r="J34" i="90" s="1"/>
  <c r="H69" i="13"/>
  <c r="H69" i="85" s="1"/>
  <c r="J35" i="90" s="1"/>
  <c r="H70" i="13"/>
  <c r="H70" i="85" s="1"/>
  <c r="J36" i="90" s="1"/>
  <c r="H71" i="13"/>
  <c r="H72" i="13"/>
  <c r="H72" i="85" s="1"/>
  <c r="J38" i="90" s="1"/>
  <c r="H75" i="13"/>
  <c r="H75" i="85" s="1"/>
  <c r="H87" i="13"/>
  <c r="H87" i="85" s="1"/>
  <c r="J42" i="90" s="1"/>
  <c r="H89" i="13"/>
  <c r="H89" i="85" s="1"/>
  <c r="J44" i="90" s="1"/>
  <c r="H90" i="13"/>
  <c r="H90" i="85" s="1"/>
  <c r="J45" i="90" s="1"/>
  <c r="H91" i="13"/>
  <c r="H92" i="13"/>
  <c r="H92" i="85" s="1"/>
  <c r="J47" i="90" s="1"/>
  <c r="H96" i="13"/>
  <c r="H97" i="13"/>
  <c r="H97" i="85" s="1"/>
  <c r="J49" i="90" s="1"/>
  <c r="H98" i="13"/>
  <c r="H98" i="85" s="1"/>
  <c r="J50" i="90" s="1"/>
  <c r="H99" i="13"/>
  <c r="H99" i="85" s="1"/>
  <c r="J51" i="90" s="1"/>
  <c r="H103" i="13"/>
  <c r="H104" i="13"/>
  <c r="H104" i="85" s="1"/>
  <c r="J53" i="90" s="1"/>
  <c r="H106" i="13"/>
  <c r="H106" i="85" s="1"/>
  <c r="J55" i="90" s="1"/>
  <c r="H107" i="13"/>
  <c r="H107" i="85" s="1"/>
  <c r="J56" i="90" s="1"/>
  <c r="H108" i="13"/>
  <c r="H109" i="13"/>
  <c r="H109" i="85" s="1"/>
  <c r="J58" i="90" s="1"/>
  <c r="H112" i="13"/>
  <c r="H114" i="13"/>
  <c r="H114" i="85" s="1"/>
  <c r="J63" i="90" s="1"/>
  <c r="H113" i="13"/>
  <c r="H113" i="85" s="1"/>
  <c r="J62" i="90" s="1"/>
  <c r="H115" i="13"/>
  <c r="H115" i="85" s="1"/>
  <c r="J64" i="90" s="1"/>
  <c r="H120" i="13"/>
  <c r="H120" i="85" s="1"/>
  <c r="J66" i="90" s="1"/>
  <c r="H121" i="13"/>
  <c r="H121" i="85" s="1"/>
  <c r="J67" i="90" s="1"/>
  <c r="H123" i="13"/>
  <c r="H123" i="85" s="1"/>
  <c r="J69" i="90" s="1"/>
  <c r="H124" i="13"/>
  <c r="H124" i="85" s="1"/>
  <c r="J70" i="90" s="1"/>
  <c r="H125" i="13"/>
  <c r="H125" i="85" s="1"/>
  <c r="J71" i="90" s="1"/>
  <c r="H126" i="13"/>
  <c r="H126" i="85" s="1"/>
  <c r="J72" i="90" s="1"/>
  <c r="H129" i="13"/>
  <c r="H130" i="13"/>
  <c r="H132" i="13"/>
  <c r="H147" i="13"/>
  <c r="H148" i="13"/>
  <c r="H148" i="85" s="1"/>
  <c r="J86" i="90" s="1"/>
  <c r="H149" i="13"/>
  <c r="H149" i="85" s="1"/>
  <c r="J87" i="90" s="1"/>
  <c r="H150" i="13"/>
  <c r="H151" i="13"/>
  <c r="H151" i="85" s="1"/>
  <c r="J89" i="90" s="1"/>
  <c r="H153" i="13"/>
  <c r="H153" i="85" s="1"/>
  <c r="J91" i="90" s="1"/>
  <c r="H154" i="13"/>
  <c r="H154" i="85" s="1"/>
  <c r="J92" i="90" s="1"/>
  <c r="H155" i="13"/>
  <c r="H155" i="85" s="1"/>
  <c r="J93" i="90" s="1"/>
  <c r="H139" i="13"/>
  <c r="H139" i="85" s="1"/>
  <c r="J79" i="90" s="1"/>
  <c r="H140" i="13"/>
  <c r="H141" i="13"/>
  <c r="H141" i="85" s="1"/>
  <c r="J81" i="90" s="1"/>
  <c r="H142" i="13"/>
  <c r="H142" i="85" s="1"/>
  <c r="J82" i="90" s="1"/>
  <c r="G16" i="31"/>
  <c r="H268" i="85" s="1"/>
  <c r="J151" i="90" s="1"/>
  <c r="G18" i="31"/>
  <c r="G24" i="31"/>
  <c r="H276" i="85" s="1"/>
  <c r="J156" i="90" s="1"/>
  <c r="G25" i="31"/>
  <c r="G26" i="31"/>
  <c r="H278" i="85" s="1"/>
  <c r="J158" i="90" s="1"/>
  <c r="G27" i="31"/>
  <c r="H279" i="85" s="1"/>
  <c r="J159" i="90" s="1"/>
  <c r="G28" i="31"/>
  <c r="H29" i="27"/>
  <c r="H30" i="27"/>
  <c r="H306" i="85" s="1"/>
  <c r="J170" i="90" s="1"/>
  <c r="H31" i="27"/>
  <c r="H33" i="27"/>
  <c r="H309" i="85" s="1"/>
  <c r="J173" i="90" s="1"/>
  <c r="H34" i="27"/>
  <c r="H35" i="27"/>
  <c r="H311" i="85" s="1"/>
  <c r="J175" i="90" s="1"/>
  <c r="H17" i="27"/>
  <c r="H18" i="27"/>
  <c r="H294" i="85" s="1"/>
  <c r="J164" i="90" s="1"/>
  <c r="H19" i="27"/>
  <c r="H20" i="27"/>
  <c r="H296" i="85" s="1"/>
  <c r="J166" i="90" s="1"/>
  <c r="H21" i="27"/>
  <c r="H297" i="85" s="1"/>
  <c r="J167" i="90" s="1"/>
  <c r="I176" i="85"/>
  <c r="K96" i="90" s="1"/>
  <c r="I178" i="85"/>
  <c r="K98" i="90" s="1"/>
  <c r="I181" i="85"/>
  <c r="K100" i="90" s="1"/>
  <c r="I184" i="85"/>
  <c r="K102" i="90" s="1"/>
  <c r="I187" i="85"/>
  <c r="K104" i="90" s="1"/>
  <c r="I188" i="85"/>
  <c r="K105" i="90" s="1"/>
  <c r="I32" i="26"/>
  <c r="I192" i="85" s="1"/>
  <c r="K108" i="90" s="1"/>
  <c r="I33" i="26"/>
  <c r="I193" i="85" s="1"/>
  <c r="K109" i="90" s="1"/>
  <c r="I34" i="26"/>
  <c r="I35" i="26"/>
  <c r="I195" i="85" s="1"/>
  <c r="K111" i="90" s="1"/>
  <c r="I39" i="26"/>
  <c r="I40" i="26"/>
  <c r="I200" i="85" s="1"/>
  <c r="K113" i="90" s="1"/>
  <c r="I41" i="26"/>
  <c r="I201" i="85" s="1"/>
  <c r="K114" i="90" s="1"/>
  <c r="I45" i="26"/>
  <c r="I205" i="85" s="1"/>
  <c r="I46" i="26"/>
  <c r="I50" i="26"/>
  <c r="I210" i="85" s="1"/>
  <c r="K115" i="90" s="1"/>
  <c r="I51" i="26"/>
  <c r="I53" i="26"/>
  <c r="I213" i="85" s="1"/>
  <c r="K119" i="90" s="1"/>
  <c r="I54" i="26"/>
  <c r="I226" i="85"/>
  <c r="K127" i="90" s="1"/>
  <c r="I227" i="85"/>
  <c r="K128" i="90" s="1"/>
  <c r="I229" i="85"/>
  <c r="K130" i="90" s="1"/>
  <c r="I230" i="85"/>
  <c r="K131" i="90" s="1"/>
  <c r="I72" i="26"/>
  <c r="I232" i="85" s="1"/>
  <c r="K133" i="90" s="1"/>
  <c r="I81" i="26"/>
  <c r="I82" i="26"/>
  <c r="I242" i="85" s="1"/>
  <c r="K136" i="90" s="1"/>
  <c r="I83" i="26"/>
  <c r="I243" i="85" s="1"/>
  <c r="K137" i="90" s="1"/>
  <c r="I84" i="26"/>
  <c r="I244" i="85" s="1"/>
  <c r="K138" i="90" s="1"/>
  <c r="I85" i="26"/>
  <c r="I86" i="26"/>
  <c r="I87" i="26"/>
  <c r="I88" i="26"/>
  <c r="I248" i="85" s="1"/>
  <c r="K142" i="90" s="1"/>
  <c r="I89" i="26"/>
  <c r="I90" i="26"/>
  <c r="I250" i="85" s="1"/>
  <c r="K144" i="90" s="1"/>
  <c r="I92" i="26"/>
  <c r="I93" i="26"/>
  <c r="I253" i="85" s="1"/>
  <c r="K147" i="90" s="1"/>
  <c r="I94" i="26"/>
  <c r="I254" i="85" s="1"/>
  <c r="K148" i="90" s="1"/>
  <c r="I95" i="26"/>
  <c r="I255" i="85" s="1"/>
  <c r="K149" i="90" s="1"/>
  <c r="I18" i="13"/>
  <c r="I22" i="13"/>
  <c r="I23" i="13"/>
  <c r="I24" i="13"/>
  <c r="I24" i="85" s="1"/>
  <c r="K7" i="90" s="1"/>
  <c r="I25" i="13"/>
  <c r="I25" i="85" s="1"/>
  <c r="K8" i="90" s="1"/>
  <c r="I29" i="13"/>
  <c r="I29" i="85" s="1"/>
  <c r="K9" i="90" s="1"/>
  <c r="I33" i="13"/>
  <c r="I33" i="85" s="1"/>
  <c r="I66" i="13"/>
  <c r="I67" i="13"/>
  <c r="I67" i="85" s="1"/>
  <c r="K33" i="90" s="1"/>
  <c r="I68" i="13"/>
  <c r="I68" i="85" s="1"/>
  <c r="K34" i="90" s="1"/>
  <c r="I69" i="13"/>
  <c r="I69" i="85" s="1"/>
  <c r="K35" i="90" s="1"/>
  <c r="I70" i="13"/>
  <c r="I70" i="85" s="1"/>
  <c r="K36" i="90" s="1"/>
  <c r="I71" i="13"/>
  <c r="I72" i="13"/>
  <c r="I75" i="13"/>
  <c r="I75" i="85" s="1"/>
  <c r="I87" i="13"/>
  <c r="I87" i="85" s="1"/>
  <c r="K42" i="90" s="1"/>
  <c r="I89" i="13"/>
  <c r="I89" i="85" s="1"/>
  <c r="K44" i="90" s="1"/>
  <c r="I90" i="13"/>
  <c r="I90" i="85" s="1"/>
  <c r="K45" i="90" s="1"/>
  <c r="I91" i="13"/>
  <c r="I92" i="13"/>
  <c r="I96" i="13"/>
  <c r="I97" i="13"/>
  <c r="I97" i="85" s="1"/>
  <c r="K49" i="90" s="1"/>
  <c r="I98" i="13"/>
  <c r="I98" i="85" s="1"/>
  <c r="K50" i="90" s="1"/>
  <c r="I99" i="13"/>
  <c r="I99" i="85" s="1"/>
  <c r="K51" i="90" s="1"/>
  <c r="I103" i="13"/>
  <c r="I104" i="13"/>
  <c r="I106" i="13"/>
  <c r="I106" i="85" s="1"/>
  <c r="K55" i="90" s="1"/>
  <c r="I107" i="13"/>
  <c r="I107" i="85" s="1"/>
  <c r="K56" i="90" s="1"/>
  <c r="I108" i="13"/>
  <c r="I108" i="85" s="1"/>
  <c r="K57" i="90" s="1"/>
  <c r="I109" i="13"/>
  <c r="I109" i="85" s="1"/>
  <c r="K58" i="90" s="1"/>
  <c r="I112" i="13"/>
  <c r="I114" i="13"/>
  <c r="I113" i="13"/>
  <c r="I115" i="13"/>
  <c r="I115" i="85" s="1"/>
  <c r="K64" i="90" s="1"/>
  <c r="I120" i="13"/>
  <c r="I120" i="85" s="1"/>
  <c r="K66" i="90" s="1"/>
  <c r="I121" i="13"/>
  <c r="I121" i="85" s="1"/>
  <c r="K67" i="90" s="1"/>
  <c r="I123" i="13"/>
  <c r="I123" i="85" s="1"/>
  <c r="K69" i="90" s="1"/>
  <c r="I124" i="13"/>
  <c r="I124" i="85" s="1"/>
  <c r="K70" i="90" s="1"/>
  <c r="I125" i="13"/>
  <c r="I125" i="85" s="1"/>
  <c r="K71" i="90" s="1"/>
  <c r="I126" i="13"/>
  <c r="I129" i="13"/>
  <c r="I130" i="13"/>
  <c r="I132" i="13"/>
  <c r="I147" i="13"/>
  <c r="I147" i="85" s="1"/>
  <c r="K85" i="90" s="1"/>
  <c r="I148" i="13"/>
  <c r="I148" i="85" s="1"/>
  <c r="K86" i="90" s="1"/>
  <c r="I149" i="13"/>
  <c r="I149" i="85" s="1"/>
  <c r="K87" i="90" s="1"/>
  <c r="I150" i="13"/>
  <c r="I151" i="13"/>
  <c r="I153" i="13"/>
  <c r="I153" i="85" s="1"/>
  <c r="K91" i="90" s="1"/>
  <c r="I154" i="13"/>
  <c r="I154" i="85" s="1"/>
  <c r="K92" i="90" s="1"/>
  <c r="I155" i="13"/>
  <c r="I155" i="85" s="1"/>
  <c r="K93" i="90" s="1"/>
  <c r="I139" i="13"/>
  <c r="I140" i="13"/>
  <c r="I141" i="13"/>
  <c r="I142" i="13"/>
  <c r="I142" i="85" s="1"/>
  <c r="K82" i="90" s="1"/>
  <c r="H16" i="31"/>
  <c r="I268" i="85" s="1"/>
  <c r="K151" i="90" s="1"/>
  <c r="H18" i="31"/>
  <c r="I270" i="85" s="1"/>
  <c r="K153" i="90" s="1"/>
  <c r="H24" i="31"/>
  <c r="H25" i="31"/>
  <c r="H26" i="31"/>
  <c r="H27" i="31"/>
  <c r="I279" i="85" s="1"/>
  <c r="K159" i="90" s="1"/>
  <c r="H28" i="31"/>
  <c r="I280" i="85" s="1"/>
  <c r="K160" i="90" s="1"/>
  <c r="I29" i="27"/>
  <c r="I305" i="85" s="1"/>
  <c r="K169" i="90" s="1"/>
  <c r="I30" i="27"/>
  <c r="I306" i="85" s="1"/>
  <c r="K170" i="90" s="1"/>
  <c r="I31" i="27"/>
  <c r="I33" i="27"/>
  <c r="I34" i="27"/>
  <c r="I310" i="85" s="1"/>
  <c r="K174" i="90" s="1"/>
  <c r="I35" i="27"/>
  <c r="I311" i="85" s="1"/>
  <c r="K175" i="90" s="1"/>
  <c r="I17" i="27"/>
  <c r="I18" i="27"/>
  <c r="I19" i="27"/>
  <c r="I295" i="85" s="1"/>
  <c r="K165" i="90" s="1"/>
  <c r="I20" i="27"/>
  <c r="I296" i="85" s="1"/>
  <c r="K166" i="90" s="1"/>
  <c r="I21" i="27"/>
  <c r="I297" i="85" s="1"/>
  <c r="K167" i="90" s="1"/>
  <c r="F65" i="70"/>
  <c r="G65" i="70"/>
  <c r="I65" i="70"/>
  <c r="F70" i="70"/>
  <c r="G70" i="70"/>
  <c r="I70" i="70"/>
  <c r="F79" i="70"/>
  <c r="F77" i="70"/>
  <c r="G79" i="70"/>
  <c r="G77" i="70"/>
  <c r="I79" i="70"/>
  <c r="I77" i="70"/>
  <c r="H79" i="70"/>
  <c r="H77" i="70"/>
  <c r="J79" i="70"/>
  <c r="J77" i="70"/>
  <c r="K79" i="70"/>
  <c r="K77" i="70"/>
  <c r="L79" i="70"/>
  <c r="L77" i="70"/>
  <c r="M79" i="70"/>
  <c r="M77" i="70"/>
  <c r="H65" i="70"/>
  <c r="J65" i="70"/>
  <c r="K65" i="70"/>
  <c r="L65" i="70"/>
  <c r="M65" i="70"/>
  <c r="F67" i="70"/>
  <c r="G67" i="70"/>
  <c r="I67" i="70"/>
  <c r="H67" i="70"/>
  <c r="J67" i="70"/>
  <c r="K67" i="70"/>
  <c r="L67" i="70"/>
  <c r="M67" i="70"/>
  <c r="F69" i="70"/>
  <c r="G69" i="70"/>
  <c r="I69" i="70"/>
  <c r="H69" i="70"/>
  <c r="J69" i="70"/>
  <c r="K69" i="70"/>
  <c r="L69" i="70"/>
  <c r="M69" i="70"/>
  <c r="F71" i="70"/>
  <c r="G71" i="70"/>
  <c r="I71" i="70"/>
  <c r="H71" i="70"/>
  <c r="J71" i="70"/>
  <c r="K71" i="70"/>
  <c r="L71" i="70"/>
  <c r="M71" i="70"/>
  <c r="J20" i="70"/>
  <c r="J33" i="70"/>
  <c r="J43" i="70"/>
  <c r="J60" i="70"/>
  <c r="K20" i="70"/>
  <c r="K33" i="70"/>
  <c r="K43" i="70"/>
  <c r="K60" i="70"/>
  <c r="L20" i="70"/>
  <c r="L33" i="70"/>
  <c r="L43" i="70"/>
  <c r="L60" i="70"/>
  <c r="M20" i="70"/>
  <c r="M33" i="70"/>
  <c r="M43" i="70"/>
  <c r="M60" i="70"/>
  <c r="F19" i="70"/>
  <c r="F32" i="70"/>
  <c r="F42" i="70"/>
  <c r="F59" i="70"/>
  <c r="G19" i="70"/>
  <c r="G32" i="70"/>
  <c r="G42" i="70"/>
  <c r="G59" i="70"/>
  <c r="I19" i="70"/>
  <c r="I32" i="70"/>
  <c r="I42" i="70"/>
  <c r="I59" i="70"/>
  <c r="H19" i="70"/>
  <c r="H32" i="70"/>
  <c r="H42" i="70"/>
  <c r="H59" i="70"/>
  <c r="J19" i="70"/>
  <c r="J32" i="70"/>
  <c r="J42" i="70"/>
  <c r="J59" i="70"/>
  <c r="K19" i="70"/>
  <c r="K32" i="70"/>
  <c r="K42" i="70"/>
  <c r="K59" i="70"/>
  <c r="L19" i="70"/>
  <c r="L32" i="70"/>
  <c r="L42" i="70"/>
  <c r="L59" i="70"/>
  <c r="M19" i="70"/>
  <c r="M32" i="70"/>
  <c r="M42" i="70"/>
  <c r="M59" i="70"/>
  <c r="F73" i="70"/>
  <c r="G73" i="70"/>
  <c r="I73" i="70"/>
  <c r="H73" i="70"/>
  <c r="J73" i="70"/>
  <c r="K73" i="70"/>
  <c r="L73" i="70"/>
  <c r="M73" i="70"/>
  <c r="F8" i="70"/>
  <c r="G8" i="70"/>
  <c r="I8" i="70"/>
  <c r="AL22" i="80" s="1"/>
  <c r="H8" i="70"/>
  <c r="J8" i="70"/>
  <c r="K8" i="70"/>
  <c r="L8" i="70"/>
  <c r="M8" i="70"/>
  <c r="F17" i="70"/>
  <c r="G17" i="70"/>
  <c r="I17" i="70"/>
  <c r="H17" i="70"/>
  <c r="J17" i="70"/>
  <c r="K17" i="70"/>
  <c r="L17" i="70"/>
  <c r="M17" i="70"/>
  <c r="F48" i="70"/>
  <c r="G48" i="70"/>
  <c r="I48" i="70"/>
  <c r="H48" i="70"/>
  <c r="J48" i="70"/>
  <c r="AT25" i="80" s="1"/>
  <c r="K48" i="70"/>
  <c r="BB25" i="80" s="1"/>
  <c r="L48" i="70"/>
  <c r="M48" i="70"/>
  <c r="F57" i="70"/>
  <c r="G57" i="70"/>
  <c r="I57" i="70"/>
  <c r="AL248" i="80" s="1"/>
  <c r="H57" i="70"/>
  <c r="J57" i="70"/>
  <c r="K57" i="70"/>
  <c r="L57" i="70"/>
  <c r="M57" i="70"/>
  <c r="F35" i="70"/>
  <c r="N24" i="80" s="1"/>
  <c r="G35" i="70"/>
  <c r="I35" i="70"/>
  <c r="H35" i="70"/>
  <c r="J35" i="70"/>
  <c r="K35" i="70"/>
  <c r="L35" i="70"/>
  <c r="M35" i="70"/>
  <c r="F45" i="70"/>
  <c r="F46" i="70"/>
  <c r="G45" i="70"/>
  <c r="G46" i="70"/>
  <c r="I45" i="70"/>
  <c r="I46" i="70"/>
  <c r="H45" i="70"/>
  <c r="H46" i="70"/>
  <c r="J45" i="70"/>
  <c r="J46" i="70"/>
  <c r="K45" i="70"/>
  <c r="K46" i="70"/>
  <c r="L45" i="70"/>
  <c r="L46" i="70"/>
  <c r="M45" i="70"/>
  <c r="M46" i="70"/>
  <c r="F49" i="70"/>
  <c r="G9" i="70"/>
  <c r="G49" i="70"/>
  <c r="I9" i="70"/>
  <c r="I49" i="70"/>
  <c r="H9" i="70"/>
  <c r="H49" i="70"/>
  <c r="J9" i="70"/>
  <c r="J49" i="70"/>
  <c r="K9" i="70"/>
  <c r="K49" i="70"/>
  <c r="L9" i="70"/>
  <c r="L49" i="70"/>
  <c r="M9" i="70"/>
  <c r="M49" i="70"/>
  <c r="F22" i="70"/>
  <c r="G22" i="70"/>
  <c r="I22" i="70"/>
  <c r="H22" i="70"/>
  <c r="J22" i="70"/>
  <c r="K22" i="70"/>
  <c r="L22" i="70"/>
  <c r="M22" i="70"/>
  <c r="F83" i="70"/>
  <c r="G83" i="70"/>
  <c r="I83" i="70"/>
  <c r="AL29" i="80" s="1"/>
  <c r="H83" i="70"/>
  <c r="J83" i="70"/>
  <c r="K83" i="70"/>
  <c r="L83" i="70"/>
  <c r="M83" i="70"/>
  <c r="F14" i="70"/>
  <c r="G14" i="70"/>
  <c r="I14" i="70"/>
  <c r="H14" i="70"/>
  <c r="J14" i="70"/>
  <c r="K14" i="70"/>
  <c r="L14" i="70"/>
  <c r="M14" i="70"/>
  <c r="F15" i="70"/>
  <c r="G15" i="70"/>
  <c r="I15" i="70"/>
  <c r="H15" i="70"/>
  <c r="J15" i="70"/>
  <c r="K15" i="70"/>
  <c r="L15" i="70"/>
  <c r="M15" i="70"/>
  <c r="F38" i="70"/>
  <c r="G38" i="70"/>
  <c r="V184" i="80" s="1"/>
  <c r="I38" i="70"/>
  <c r="H38" i="70"/>
  <c r="J38" i="70"/>
  <c r="K38" i="70"/>
  <c r="L38" i="70"/>
  <c r="M38" i="70"/>
  <c r="F39" i="70"/>
  <c r="G39" i="70"/>
  <c r="I39" i="70"/>
  <c r="H39" i="70"/>
  <c r="J39" i="70"/>
  <c r="AT185" i="80" s="1"/>
  <c r="K39" i="70"/>
  <c r="L39" i="70"/>
  <c r="M39" i="70"/>
  <c r="F54" i="70"/>
  <c r="G54" i="70"/>
  <c r="I54" i="70"/>
  <c r="H54" i="70"/>
  <c r="J54" i="70"/>
  <c r="K54" i="70"/>
  <c r="L54" i="70"/>
  <c r="M54" i="70"/>
  <c r="F55" i="70"/>
  <c r="G55" i="70"/>
  <c r="I55" i="70"/>
  <c r="H55" i="70"/>
  <c r="J55" i="70"/>
  <c r="K55" i="70"/>
  <c r="L55" i="70"/>
  <c r="M55" i="70"/>
  <c r="F27" i="70"/>
  <c r="G27" i="70"/>
  <c r="I27" i="70"/>
  <c r="H27" i="70"/>
  <c r="J27" i="70"/>
  <c r="K27" i="70"/>
  <c r="L27" i="70"/>
  <c r="M27" i="70"/>
  <c r="F28" i="70"/>
  <c r="G28" i="70"/>
  <c r="I28" i="70"/>
  <c r="H28" i="70"/>
  <c r="J28" i="70"/>
  <c r="K28" i="70"/>
  <c r="L28" i="70"/>
  <c r="M28" i="70"/>
  <c r="J13" i="70"/>
  <c r="K13" i="70"/>
  <c r="L13" i="70"/>
  <c r="M13" i="70"/>
  <c r="J53" i="70"/>
  <c r="K53" i="70"/>
  <c r="L53" i="70"/>
  <c r="BJ187" i="80" s="1"/>
  <c r="M53" i="70"/>
  <c r="F16" i="70"/>
  <c r="F29" i="70"/>
  <c r="F40" i="70"/>
  <c r="F56" i="70"/>
  <c r="F89" i="70"/>
  <c r="G16" i="70"/>
  <c r="G29" i="70"/>
  <c r="G40" i="70"/>
  <c r="G56" i="70"/>
  <c r="G89" i="70"/>
  <c r="I16" i="70"/>
  <c r="I29" i="70"/>
  <c r="I40" i="70"/>
  <c r="I56" i="70"/>
  <c r="I89" i="70"/>
  <c r="H16" i="70"/>
  <c r="H29" i="70"/>
  <c r="H40" i="70"/>
  <c r="H56" i="70"/>
  <c r="H89" i="70"/>
  <c r="J16" i="70"/>
  <c r="J29" i="70"/>
  <c r="J40" i="70"/>
  <c r="J56" i="70"/>
  <c r="J89" i="70"/>
  <c r="K16" i="70"/>
  <c r="K29" i="70"/>
  <c r="K40" i="70"/>
  <c r="K56" i="70"/>
  <c r="K89" i="70"/>
  <c r="L16" i="70"/>
  <c r="L29" i="70"/>
  <c r="L40" i="70"/>
  <c r="L56" i="70"/>
  <c r="L89" i="70"/>
  <c r="M16" i="70"/>
  <c r="M29" i="70"/>
  <c r="M40" i="70"/>
  <c r="M56" i="70"/>
  <c r="M89" i="70"/>
  <c r="F62" i="70"/>
  <c r="F94" i="70"/>
  <c r="G62" i="70"/>
  <c r="G94" i="70"/>
  <c r="I62" i="70"/>
  <c r="I94" i="70"/>
  <c r="H62" i="70"/>
  <c r="H94" i="70"/>
  <c r="J62" i="70"/>
  <c r="J94" i="70"/>
  <c r="K62" i="70"/>
  <c r="K94" i="70"/>
  <c r="L62" i="70"/>
  <c r="L94" i="70"/>
  <c r="M62" i="70"/>
  <c r="M94" i="70"/>
  <c r="F76" i="70"/>
  <c r="F78" i="70"/>
  <c r="F64" i="70"/>
  <c r="F66" i="70"/>
  <c r="F68" i="70"/>
  <c r="F72" i="70"/>
  <c r="G76" i="70"/>
  <c r="G78" i="70"/>
  <c r="G64" i="70"/>
  <c r="G66" i="70"/>
  <c r="G68" i="70"/>
  <c r="G72" i="70"/>
  <c r="I76" i="70"/>
  <c r="I78" i="70"/>
  <c r="I64" i="70"/>
  <c r="I66" i="70"/>
  <c r="I68" i="70"/>
  <c r="I72" i="70"/>
  <c r="H76" i="70"/>
  <c r="H78" i="70"/>
  <c r="H64" i="70"/>
  <c r="H66" i="70"/>
  <c r="H68" i="70"/>
  <c r="H70" i="70"/>
  <c r="H72" i="70"/>
  <c r="J76" i="70"/>
  <c r="J78" i="70"/>
  <c r="J64" i="70"/>
  <c r="J66" i="70"/>
  <c r="J68" i="70"/>
  <c r="J70" i="70"/>
  <c r="J72" i="70"/>
  <c r="K76" i="70"/>
  <c r="K78" i="70"/>
  <c r="K64" i="70"/>
  <c r="K66" i="70"/>
  <c r="K68" i="70"/>
  <c r="K70" i="70"/>
  <c r="K72" i="70"/>
  <c r="L76" i="70"/>
  <c r="L78" i="70"/>
  <c r="L64" i="70"/>
  <c r="L66" i="70"/>
  <c r="L68" i="70"/>
  <c r="L70" i="70"/>
  <c r="L72" i="70"/>
  <c r="M76" i="70"/>
  <c r="M78" i="70"/>
  <c r="M64" i="70"/>
  <c r="M66" i="70"/>
  <c r="M68" i="70"/>
  <c r="M70" i="70"/>
  <c r="M72" i="70"/>
  <c r="F10" i="70"/>
  <c r="F24" i="70"/>
  <c r="F36" i="70"/>
  <c r="F50" i="70"/>
  <c r="F84" i="70"/>
  <c r="J26" i="70"/>
  <c r="K26" i="70"/>
  <c r="L26" i="70"/>
  <c r="M26" i="70"/>
  <c r="F86" i="70"/>
  <c r="H86" i="70"/>
  <c r="J86" i="70"/>
  <c r="K86" i="70"/>
  <c r="L86" i="70"/>
  <c r="M86" i="70"/>
  <c r="F87" i="70"/>
  <c r="H87" i="70"/>
  <c r="J87" i="70"/>
  <c r="K87" i="70"/>
  <c r="L87" i="70"/>
  <c r="M87" i="70"/>
  <c r="F88" i="70"/>
  <c r="H88" i="70"/>
  <c r="J88" i="70"/>
  <c r="K88" i="70"/>
  <c r="L88" i="70"/>
  <c r="M88" i="70"/>
  <c r="F30" i="70"/>
  <c r="H30" i="70"/>
  <c r="J30" i="70"/>
  <c r="K30" i="70"/>
  <c r="L30" i="70"/>
  <c r="M30" i="70"/>
  <c r="F90" i="70"/>
  <c r="H90" i="70"/>
  <c r="J90" i="70"/>
  <c r="K90" i="70"/>
  <c r="L90" i="70"/>
  <c r="M90" i="70"/>
  <c r="F23" i="70"/>
  <c r="H23" i="70"/>
  <c r="J23" i="70"/>
  <c r="K23" i="70"/>
  <c r="L23" i="70"/>
  <c r="M23" i="70"/>
  <c r="H10" i="70"/>
  <c r="H24" i="70"/>
  <c r="H36" i="70"/>
  <c r="H50" i="70"/>
  <c r="H84" i="70"/>
  <c r="J10" i="70"/>
  <c r="J24" i="70"/>
  <c r="J36" i="70"/>
  <c r="J50" i="70"/>
  <c r="J84" i="70"/>
  <c r="K10" i="70"/>
  <c r="K24" i="70"/>
  <c r="K36" i="70"/>
  <c r="K50" i="70"/>
  <c r="K84" i="70"/>
  <c r="L10" i="70"/>
  <c r="L24" i="70"/>
  <c r="L36" i="70"/>
  <c r="L50" i="70"/>
  <c r="L84" i="70"/>
  <c r="M10" i="70"/>
  <c r="M24" i="70"/>
  <c r="M36" i="70"/>
  <c r="M50" i="70"/>
  <c r="M84" i="70"/>
  <c r="F11" i="70"/>
  <c r="F51" i="70"/>
  <c r="H11" i="70"/>
  <c r="H51" i="70"/>
  <c r="J11" i="70"/>
  <c r="J51" i="70"/>
  <c r="K11" i="70"/>
  <c r="K51" i="70"/>
  <c r="L11" i="70"/>
  <c r="L51" i="70"/>
  <c r="M11" i="70"/>
  <c r="M51" i="70"/>
  <c r="F91" i="70"/>
  <c r="H91" i="70"/>
  <c r="J91" i="70"/>
  <c r="K91" i="70"/>
  <c r="L91" i="70"/>
  <c r="M91" i="70"/>
  <c r="I86" i="70"/>
  <c r="I87" i="70"/>
  <c r="I88" i="70"/>
  <c r="I30" i="70"/>
  <c r="I90" i="70"/>
  <c r="I23" i="70"/>
  <c r="I10" i="70"/>
  <c r="I24" i="70"/>
  <c r="I36" i="70"/>
  <c r="I50" i="70"/>
  <c r="I84" i="70"/>
  <c r="I11" i="70"/>
  <c r="I51" i="70"/>
  <c r="I91" i="70"/>
  <c r="G86" i="70"/>
  <c r="G87" i="70"/>
  <c r="G88" i="70"/>
  <c r="G30" i="70"/>
  <c r="G90" i="70"/>
  <c r="G23" i="70"/>
  <c r="G10" i="70"/>
  <c r="G24" i="70"/>
  <c r="G36" i="70"/>
  <c r="G50" i="70"/>
  <c r="G84" i="70"/>
  <c r="G11" i="70"/>
  <c r="G51" i="70"/>
  <c r="G91" i="70"/>
  <c r="F18" i="70"/>
  <c r="F31" i="70"/>
  <c r="F41" i="70"/>
  <c r="F58" i="70"/>
  <c r="G18" i="70"/>
  <c r="G31" i="70"/>
  <c r="G41" i="70"/>
  <c r="G58" i="70"/>
  <c r="I18" i="70"/>
  <c r="I31" i="70"/>
  <c r="I41" i="70"/>
  <c r="I58" i="70"/>
  <c r="H18" i="70"/>
  <c r="H31" i="70"/>
  <c r="H41" i="70"/>
  <c r="H58" i="70"/>
  <c r="J18" i="70"/>
  <c r="J31" i="70"/>
  <c r="J41" i="70"/>
  <c r="J58" i="70"/>
  <c r="K18" i="70"/>
  <c r="K31" i="70"/>
  <c r="K41" i="70"/>
  <c r="K58" i="70"/>
  <c r="L18" i="70"/>
  <c r="L31" i="70"/>
  <c r="L41" i="70"/>
  <c r="L58" i="70"/>
  <c r="M18" i="70"/>
  <c r="M31" i="70"/>
  <c r="M41" i="70"/>
  <c r="M58" i="70"/>
  <c r="Y13" i="70"/>
  <c r="Y14" i="70"/>
  <c r="Y15" i="70"/>
  <c r="Y26" i="70"/>
  <c r="Y27" i="70"/>
  <c r="Y28" i="70"/>
  <c r="Y38" i="70"/>
  <c r="Y39" i="70"/>
  <c r="Y54" i="70"/>
  <c r="Y55" i="70"/>
  <c r="Y76" i="70"/>
  <c r="Y78" i="70"/>
  <c r="Y64" i="70"/>
  <c r="Y66" i="70"/>
  <c r="Y68" i="70"/>
  <c r="Y70" i="70"/>
  <c r="Y72" i="70"/>
  <c r="Y79" i="70"/>
  <c r="Y77" i="70"/>
  <c r="Y65" i="70"/>
  <c r="Y67" i="70"/>
  <c r="Y69" i="70"/>
  <c r="Y71" i="70"/>
  <c r="Y73" i="70"/>
  <c r="Y20" i="70"/>
  <c r="Y33" i="70"/>
  <c r="Y43" i="70"/>
  <c r="Y60" i="70"/>
  <c r="Y19" i="70"/>
  <c r="Y32" i="70"/>
  <c r="Y42" i="70"/>
  <c r="Y59" i="70"/>
  <c r="Y80" i="70"/>
  <c r="Y81" i="70"/>
  <c r="Y86" i="70"/>
  <c r="Y87" i="70"/>
  <c r="Y88" i="70"/>
  <c r="Y8" i="70"/>
  <c r="Y22" i="70"/>
  <c r="Y35" i="70"/>
  <c r="Y48" i="70"/>
  <c r="Y83" i="70"/>
  <c r="Y16" i="70"/>
  <c r="Y29" i="70"/>
  <c r="Y40" i="70"/>
  <c r="Y56" i="70"/>
  <c r="Y89" i="70"/>
  <c r="Y17" i="70"/>
  <c r="Y30" i="70"/>
  <c r="Y45" i="70"/>
  <c r="Y46" i="70"/>
  <c r="Y57" i="70"/>
  <c r="Y90" i="70"/>
  <c r="Y9" i="70"/>
  <c r="Y49" i="70"/>
  <c r="Y10" i="70"/>
  <c r="Y24" i="70"/>
  <c r="Y36" i="70"/>
  <c r="Y50" i="70"/>
  <c r="Y84" i="70"/>
  <c r="Y11" i="70"/>
  <c r="Y51" i="70"/>
  <c r="Y62" i="70"/>
  <c r="Y94" i="70"/>
  <c r="Y91" i="70"/>
  <c r="Y18" i="70"/>
  <c r="Y31" i="70"/>
  <c r="Y41" i="70"/>
  <c r="Y58" i="70"/>
  <c r="X13" i="70"/>
  <c r="X14" i="70"/>
  <c r="X15" i="70"/>
  <c r="X26" i="70"/>
  <c r="X27" i="70"/>
  <c r="X28" i="70"/>
  <c r="X38" i="70"/>
  <c r="X39" i="70"/>
  <c r="X54" i="70"/>
  <c r="X55" i="70"/>
  <c r="X76" i="70"/>
  <c r="X78" i="70"/>
  <c r="X64" i="70"/>
  <c r="X66" i="70"/>
  <c r="X68" i="70"/>
  <c r="X70" i="70"/>
  <c r="X72" i="70"/>
  <c r="X79" i="70"/>
  <c r="X77" i="70"/>
  <c r="X65" i="70"/>
  <c r="X67" i="70"/>
  <c r="X69" i="70"/>
  <c r="X71" i="70"/>
  <c r="X73" i="70"/>
  <c r="X20" i="70"/>
  <c r="X33" i="70"/>
  <c r="X43" i="70"/>
  <c r="X60" i="70"/>
  <c r="X19" i="70"/>
  <c r="X32" i="70"/>
  <c r="X42" i="70"/>
  <c r="X59" i="70"/>
  <c r="X80" i="70"/>
  <c r="X81" i="70"/>
  <c r="X86" i="70"/>
  <c r="X87" i="70"/>
  <c r="X88" i="70"/>
  <c r="X8" i="70"/>
  <c r="X22" i="70"/>
  <c r="X35" i="70"/>
  <c r="X48" i="70"/>
  <c r="X83" i="70"/>
  <c r="X16" i="70"/>
  <c r="X29" i="70"/>
  <c r="X40" i="70"/>
  <c r="X56" i="70"/>
  <c r="X89" i="70"/>
  <c r="X17" i="70"/>
  <c r="X30" i="70"/>
  <c r="X45" i="70"/>
  <c r="X46" i="70"/>
  <c r="X57" i="70"/>
  <c r="X90" i="70"/>
  <c r="X9" i="70"/>
  <c r="X49" i="70"/>
  <c r="X10" i="70"/>
  <c r="X24" i="70"/>
  <c r="X36" i="70"/>
  <c r="X50" i="70"/>
  <c r="X84" i="70"/>
  <c r="X11" i="70"/>
  <c r="X51" i="70"/>
  <c r="X62" i="70"/>
  <c r="X94" i="70"/>
  <c r="X91" i="70"/>
  <c r="X18" i="70"/>
  <c r="X31" i="70"/>
  <c r="X41" i="70"/>
  <c r="X58" i="70"/>
  <c r="W13" i="70"/>
  <c r="W14" i="70"/>
  <c r="W15" i="70"/>
  <c r="W26" i="70"/>
  <c r="W27" i="70"/>
  <c r="W28" i="70"/>
  <c r="W38" i="70"/>
  <c r="W39" i="70"/>
  <c r="W54" i="70"/>
  <c r="W55" i="70"/>
  <c r="W76" i="70"/>
  <c r="W78" i="70"/>
  <c r="W64" i="70"/>
  <c r="W66" i="70"/>
  <c r="W68" i="70"/>
  <c r="W70" i="70"/>
  <c r="W72" i="70"/>
  <c r="W79" i="70"/>
  <c r="W77" i="70"/>
  <c r="W65" i="70"/>
  <c r="W67" i="70"/>
  <c r="W69" i="70"/>
  <c r="W71" i="70"/>
  <c r="W73" i="70"/>
  <c r="W20" i="70"/>
  <c r="W33" i="70"/>
  <c r="W43" i="70"/>
  <c r="W60" i="70"/>
  <c r="W19" i="70"/>
  <c r="W32" i="70"/>
  <c r="W42" i="70"/>
  <c r="W59" i="70"/>
  <c r="W80" i="70"/>
  <c r="W81" i="70"/>
  <c r="W86" i="70"/>
  <c r="W87" i="70"/>
  <c r="W88" i="70"/>
  <c r="W8" i="70"/>
  <c r="W22" i="70"/>
  <c r="W35" i="70"/>
  <c r="W48" i="70"/>
  <c r="W83" i="70"/>
  <c r="W16" i="70"/>
  <c r="W29" i="70"/>
  <c r="W40" i="70"/>
  <c r="W56" i="70"/>
  <c r="W89" i="70"/>
  <c r="W17" i="70"/>
  <c r="W30" i="70"/>
  <c r="W45" i="70"/>
  <c r="W46" i="70"/>
  <c r="ET247" i="80" s="1"/>
  <c r="W57" i="70"/>
  <c r="W90" i="70"/>
  <c r="W9" i="70"/>
  <c r="W49" i="70"/>
  <c r="W10" i="70"/>
  <c r="W24" i="70"/>
  <c r="W36" i="70"/>
  <c r="W50" i="70"/>
  <c r="W84" i="70"/>
  <c r="W11" i="70"/>
  <c r="W51" i="70"/>
  <c r="W62" i="70"/>
  <c r="W94" i="70"/>
  <c r="W91" i="70"/>
  <c r="W18" i="70"/>
  <c r="W31" i="70"/>
  <c r="W41" i="70"/>
  <c r="W58" i="70"/>
  <c r="V13" i="70"/>
  <c r="V14" i="70"/>
  <c r="V15" i="70"/>
  <c r="V26" i="70"/>
  <c r="V27" i="70"/>
  <c r="V28" i="70"/>
  <c r="V38" i="70"/>
  <c r="V39" i="70"/>
  <c r="V54" i="70"/>
  <c r="V55" i="70"/>
  <c r="V76" i="70"/>
  <c r="V78" i="70"/>
  <c r="V64" i="70"/>
  <c r="V66" i="70"/>
  <c r="V68" i="70"/>
  <c r="V70" i="70"/>
  <c r="V72" i="70"/>
  <c r="V79" i="70"/>
  <c r="V77" i="70"/>
  <c r="V65" i="70"/>
  <c r="V67" i="70"/>
  <c r="V69" i="70"/>
  <c r="V71" i="70"/>
  <c r="V73" i="70"/>
  <c r="V20" i="70"/>
  <c r="V33" i="70"/>
  <c r="V43" i="70"/>
  <c r="V60" i="70"/>
  <c r="V19" i="70"/>
  <c r="V32" i="70"/>
  <c r="V42" i="70"/>
  <c r="V59" i="70"/>
  <c r="V80" i="70"/>
  <c r="V81" i="70"/>
  <c r="V86" i="70"/>
  <c r="V87" i="70"/>
  <c r="V88" i="70"/>
  <c r="V8" i="70"/>
  <c r="V22" i="70"/>
  <c r="V35" i="70"/>
  <c r="V48" i="70"/>
  <c r="V83" i="70"/>
  <c r="V16" i="70"/>
  <c r="V29" i="70"/>
  <c r="V40" i="70"/>
  <c r="V56" i="70"/>
  <c r="V89" i="70"/>
  <c r="V17" i="70"/>
  <c r="V30" i="70"/>
  <c r="V45" i="70"/>
  <c r="V46" i="70"/>
  <c r="V57" i="70"/>
  <c r="V90" i="70"/>
  <c r="V9" i="70"/>
  <c r="V49" i="70"/>
  <c r="V10" i="70"/>
  <c r="V24" i="70"/>
  <c r="V36" i="70"/>
  <c r="V50" i="70"/>
  <c r="V84" i="70"/>
  <c r="V11" i="70"/>
  <c r="V51" i="70"/>
  <c r="V62" i="70"/>
  <c r="V94" i="70"/>
  <c r="V91" i="70"/>
  <c r="V18" i="70"/>
  <c r="V31" i="70"/>
  <c r="V41" i="70"/>
  <c r="V58" i="70"/>
  <c r="U13" i="70"/>
  <c r="U14" i="70"/>
  <c r="U15" i="70"/>
  <c r="U26" i="70"/>
  <c r="U27" i="70"/>
  <c r="U28" i="70"/>
  <c r="U38" i="70"/>
  <c r="ED184" i="80" s="1"/>
  <c r="U39" i="70"/>
  <c r="U53" i="70"/>
  <c r="U54" i="70"/>
  <c r="U55" i="70"/>
  <c r="U76" i="70"/>
  <c r="U78" i="70"/>
  <c r="U64" i="70"/>
  <c r="U66" i="70"/>
  <c r="U68" i="70"/>
  <c r="U70" i="70"/>
  <c r="U72" i="70"/>
  <c r="U79" i="70"/>
  <c r="U77" i="70"/>
  <c r="U65" i="70"/>
  <c r="U67" i="70"/>
  <c r="U69" i="70"/>
  <c r="U71" i="70"/>
  <c r="U73" i="70"/>
  <c r="U20" i="70"/>
  <c r="U33" i="70"/>
  <c r="U43" i="70"/>
  <c r="U60" i="70"/>
  <c r="U19" i="70"/>
  <c r="U32" i="70"/>
  <c r="U42" i="70"/>
  <c r="U59" i="70"/>
  <c r="U80" i="70"/>
  <c r="U81" i="70"/>
  <c r="U86" i="70"/>
  <c r="U87" i="70"/>
  <c r="U88" i="70"/>
  <c r="U8" i="70"/>
  <c r="U22" i="70"/>
  <c r="U35" i="70"/>
  <c r="U48" i="70"/>
  <c r="U83" i="70"/>
  <c r="U16" i="70"/>
  <c r="U29" i="70"/>
  <c r="U40" i="70"/>
  <c r="U56" i="70"/>
  <c r="U89" i="70"/>
  <c r="U17" i="70"/>
  <c r="U30" i="70"/>
  <c r="U45" i="70"/>
  <c r="U46" i="70"/>
  <c r="U57" i="70"/>
  <c r="U90" i="70"/>
  <c r="U9" i="70"/>
  <c r="U49" i="70"/>
  <c r="U10" i="70"/>
  <c r="U24" i="70"/>
  <c r="U36" i="70"/>
  <c r="U50" i="70"/>
  <c r="U84" i="70"/>
  <c r="U11" i="70"/>
  <c r="U51" i="70"/>
  <c r="U62" i="70"/>
  <c r="U94" i="70"/>
  <c r="U91" i="70"/>
  <c r="U18" i="70"/>
  <c r="U31" i="70"/>
  <c r="U41" i="70"/>
  <c r="U58" i="70"/>
  <c r="T13" i="70"/>
  <c r="T14" i="70"/>
  <c r="T15" i="70"/>
  <c r="T26" i="70"/>
  <c r="T27" i="70"/>
  <c r="T28" i="70"/>
  <c r="T38" i="70"/>
  <c r="T39" i="70"/>
  <c r="T53" i="70"/>
  <c r="T54" i="70"/>
  <c r="T55" i="70"/>
  <c r="T76" i="70"/>
  <c r="T78" i="70"/>
  <c r="T64" i="70"/>
  <c r="T66" i="70"/>
  <c r="T68" i="70"/>
  <c r="T70" i="70"/>
  <c r="T72" i="70"/>
  <c r="T79" i="70"/>
  <c r="T77" i="70"/>
  <c r="T65" i="70"/>
  <c r="T67" i="70"/>
  <c r="T69" i="70"/>
  <c r="T71" i="70"/>
  <c r="T73" i="70"/>
  <c r="T20" i="70"/>
  <c r="T33" i="70"/>
  <c r="T43" i="70"/>
  <c r="T60" i="70"/>
  <c r="T19" i="70"/>
  <c r="T32" i="70"/>
  <c r="T42" i="70"/>
  <c r="T59" i="70"/>
  <c r="T80" i="70"/>
  <c r="T81" i="70"/>
  <c r="T86" i="70"/>
  <c r="T87" i="70"/>
  <c r="T88" i="70"/>
  <c r="T8" i="70"/>
  <c r="T22" i="70"/>
  <c r="T35" i="70"/>
  <c r="T48" i="70"/>
  <c r="T83" i="70"/>
  <c r="T16" i="70"/>
  <c r="T29" i="70"/>
  <c r="T40" i="70"/>
  <c r="T56" i="70"/>
  <c r="T89" i="70"/>
  <c r="T17" i="70"/>
  <c r="T30" i="70"/>
  <c r="T45" i="70"/>
  <c r="T46" i="70"/>
  <c r="T57" i="70"/>
  <c r="T90" i="70"/>
  <c r="T9" i="70"/>
  <c r="T49" i="70"/>
  <c r="T10" i="70"/>
  <c r="T24" i="70"/>
  <c r="T36" i="70"/>
  <c r="T50" i="70"/>
  <c r="T84" i="70"/>
  <c r="T11" i="70"/>
  <c r="T51" i="70"/>
  <c r="T62" i="70"/>
  <c r="T94" i="70"/>
  <c r="T91" i="70"/>
  <c r="T18" i="70"/>
  <c r="T31" i="70"/>
  <c r="T41" i="70"/>
  <c r="T58" i="70"/>
  <c r="S13" i="70"/>
  <c r="S14" i="70"/>
  <c r="S15" i="70"/>
  <c r="S26" i="70"/>
  <c r="S27" i="70"/>
  <c r="S28" i="70"/>
  <c r="S38" i="70"/>
  <c r="S39" i="70"/>
  <c r="S53" i="70"/>
  <c r="S54" i="70"/>
  <c r="S55" i="70"/>
  <c r="S76" i="70"/>
  <c r="S78" i="70"/>
  <c r="S64" i="70"/>
  <c r="S66" i="70"/>
  <c r="S68" i="70"/>
  <c r="S70" i="70"/>
  <c r="S72" i="70"/>
  <c r="S79" i="70"/>
  <c r="S77" i="70"/>
  <c r="S65" i="70"/>
  <c r="S67" i="70"/>
  <c r="S69" i="70"/>
  <c r="S71" i="70"/>
  <c r="S73" i="70"/>
  <c r="S20" i="70"/>
  <c r="S33" i="70"/>
  <c r="S43" i="70"/>
  <c r="S60" i="70"/>
  <c r="S19" i="70"/>
  <c r="S32" i="70"/>
  <c r="S42" i="70"/>
  <c r="S59" i="70"/>
  <c r="S80" i="70"/>
  <c r="S81" i="70"/>
  <c r="S86" i="70"/>
  <c r="S87" i="70"/>
  <c r="S88" i="70"/>
  <c r="S8" i="70"/>
  <c r="S22" i="70"/>
  <c r="S35" i="70"/>
  <c r="S48" i="70"/>
  <c r="S83" i="70"/>
  <c r="S16" i="70"/>
  <c r="S29" i="70"/>
  <c r="S40" i="70"/>
  <c r="S56" i="70"/>
  <c r="S89" i="70"/>
  <c r="S17" i="70"/>
  <c r="S30" i="70"/>
  <c r="S45" i="70"/>
  <c r="S46" i="70"/>
  <c r="S57" i="70"/>
  <c r="S90" i="70"/>
  <c r="S9" i="70"/>
  <c r="S49" i="70"/>
  <c r="S10" i="70"/>
  <c r="S24" i="70"/>
  <c r="S36" i="70"/>
  <c r="S50" i="70"/>
  <c r="S84" i="70"/>
  <c r="S11" i="70"/>
  <c r="S51" i="70"/>
  <c r="S62" i="70"/>
  <c r="S94" i="70"/>
  <c r="S91" i="70"/>
  <c r="S18" i="70"/>
  <c r="S31" i="70"/>
  <c r="S41" i="70"/>
  <c r="S58" i="70"/>
  <c r="R13" i="70"/>
  <c r="R14" i="70"/>
  <c r="R15" i="70"/>
  <c r="R26" i="70"/>
  <c r="R27" i="70"/>
  <c r="R28" i="70"/>
  <c r="R38" i="70"/>
  <c r="R39" i="70"/>
  <c r="R53" i="70"/>
  <c r="R54" i="70"/>
  <c r="R55" i="70"/>
  <c r="R76" i="70"/>
  <c r="R78" i="70"/>
  <c r="R64" i="70"/>
  <c r="R66" i="70"/>
  <c r="R68" i="70"/>
  <c r="R70" i="70"/>
  <c r="R72" i="70"/>
  <c r="R79" i="70"/>
  <c r="R77" i="70"/>
  <c r="R65" i="70"/>
  <c r="R67" i="70"/>
  <c r="R69" i="70"/>
  <c r="R71" i="70"/>
  <c r="R73" i="70"/>
  <c r="R20" i="70"/>
  <c r="R33" i="70"/>
  <c r="R43" i="70"/>
  <c r="R60" i="70"/>
  <c r="R19" i="70"/>
  <c r="R32" i="70"/>
  <c r="R42" i="70"/>
  <c r="R59" i="70"/>
  <c r="R80" i="70"/>
  <c r="R81" i="70"/>
  <c r="R86" i="70"/>
  <c r="R87" i="70"/>
  <c r="R88" i="70"/>
  <c r="R8" i="70"/>
  <c r="R22" i="70"/>
  <c r="R35" i="70"/>
  <c r="R48" i="70"/>
  <c r="R83" i="70"/>
  <c r="R16" i="70"/>
  <c r="R29" i="70"/>
  <c r="R40" i="70"/>
  <c r="R56" i="70"/>
  <c r="R89" i="70"/>
  <c r="R17" i="70"/>
  <c r="R30" i="70"/>
  <c r="R45" i="70"/>
  <c r="R46" i="70"/>
  <c r="R57" i="70"/>
  <c r="R90" i="70"/>
  <c r="R9" i="70"/>
  <c r="R49" i="70"/>
  <c r="R10" i="70"/>
  <c r="R24" i="70"/>
  <c r="R36" i="70"/>
  <c r="R50" i="70"/>
  <c r="R84" i="70"/>
  <c r="R11" i="70"/>
  <c r="R51" i="70"/>
  <c r="R62" i="70"/>
  <c r="R94" i="70"/>
  <c r="R91" i="70"/>
  <c r="R18" i="70"/>
  <c r="R31" i="70"/>
  <c r="R41" i="70"/>
  <c r="R58" i="70"/>
  <c r="Q13" i="70"/>
  <c r="Q14" i="70"/>
  <c r="Q15" i="70"/>
  <c r="Q26" i="70"/>
  <c r="Q27" i="70"/>
  <c r="Q28" i="70"/>
  <c r="Q38" i="70"/>
  <c r="Q39" i="70"/>
  <c r="Q53" i="70"/>
  <c r="Q54" i="70"/>
  <c r="Q55" i="70"/>
  <c r="Q76" i="70"/>
  <c r="Q78" i="70"/>
  <c r="Q64" i="70"/>
  <c r="Q66" i="70"/>
  <c r="Q68" i="70"/>
  <c r="Q70" i="70"/>
  <c r="Q72" i="70"/>
  <c r="Q79" i="70"/>
  <c r="Q77" i="70"/>
  <c r="Q65" i="70"/>
  <c r="Q67" i="70"/>
  <c r="Q69" i="70"/>
  <c r="Q71" i="70"/>
  <c r="Q73" i="70"/>
  <c r="Q20" i="70"/>
  <c r="Q33" i="70"/>
  <c r="Q43" i="70"/>
  <c r="Q60" i="70"/>
  <c r="Q19" i="70"/>
  <c r="Q32" i="70"/>
  <c r="Q42" i="70"/>
  <c r="Q59" i="70"/>
  <c r="Q80" i="70"/>
  <c r="Q81" i="70"/>
  <c r="Q86" i="70"/>
  <c r="Q87" i="70"/>
  <c r="Q88" i="70"/>
  <c r="Q8" i="70"/>
  <c r="Q22" i="70"/>
  <c r="Q35" i="70"/>
  <c r="Q48" i="70"/>
  <c r="Q83" i="70"/>
  <c r="Q16" i="70"/>
  <c r="Q29" i="70"/>
  <c r="Q40" i="70"/>
  <c r="Q56" i="70"/>
  <c r="Q89" i="70"/>
  <c r="Q17" i="70"/>
  <c r="Q30" i="70"/>
  <c r="Q45" i="70"/>
  <c r="Q46" i="70"/>
  <c r="Q57" i="70"/>
  <c r="Q90" i="70"/>
  <c r="Q9" i="70"/>
  <c r="Q49" i="70"/>
  <c r="Q10" i="70"/>
  <c r="Q24" i="70"/>
  <c r="Q36" i="70"/>
  <c r="Q50" i="70"/>
  <c r="Q84" i="70"/>
  <c r="Q11" i="70"/>
  <c r="Q51" i="70"/>
  <c r="Q62" i="70"/>
  <c r="Q94" i="70"/>
  <c r="Q91" i="70"/>
  <c r="Q18" i="70"/>
  <c r="Q31" i="70"/>
  <c r="Q41" i="70"/>
  <c r="Q58" i="70"/>
  <c r="P13" i="70"/>
  <c r="P14" i="70"/>
  <c r="P15" i="70"/>
  <c r="P26" i="70"/>
  <c r="P27" i="70"/>
  <c r="P28" i="70"/>
  <c r="P38" i="70"/>
  <c r="P39" i="70"/>
  <c r="P53" i="70"/>
  <c r="P54" i="70"/>
  <c r="P55" i="70"/>
  <c r="P76" i="70"/>
  <c r="P78" i="70"/>
  <c r="P64" i="70"/>
  <c r="P66" i="70"/>
  <c r="P68" i="70"/>
  <c r="P70" i="70"/>
  <c r="P72" i="70"/>
  <c r="P79" i="70"/>
  <c r="P77" i="70"/>
  <c r="P65" i="70"/>
  <c r="P67" i="70"/>
  <c r="P69" i="70"/>
  <c r="P71" i="70"/>
  <c r="P73" i="70"/>
  <c r="P20" i="70"/>
  <c r="P33" i="70"/>
  <c r="P43" i="70"/>
  <c r="P60" i="70"/>
  <c r="P19" i="70"/>
  <c r="P32" i="70"/>
  <c r="P42" i="70"/>
  <c r="P59" i="70"/>
  <c r="P80" i="70"/>
  <c r="P81" i="70"/>
  <c r="CP193" i="80" s="1"/>
  <c r="P86" i="70"/>
  <c r="P87" i="70"/>
  <c r="P88" i="70"/>
  <c r="P8" i="70"/>
  <c r="P22" i="70"/>
  <c r="P35" i="70"/>
  <c r="P48" i="70"/>
  <c r="P83" i="70"/>
  <c r="P16" i="70"/>
  <c r="P29" i="70"/>
  <c r="P40" i="70"/>
  <c r="P56" i="70"/>
  <c r="P89" i="70"/>
  <c r="P17" i="70"/>
  <c r="P30" i="70"/>
  <c r="P45" i="70"/>
  <c r="P46" i="70"/>
  <c r="P57" i="70"/>
  <c r="P90" i="70"/>
  <c r="P9" i="70"/>
  <c r="P49" i="70"/>
  <c r="P10" i="70"/>
  <c r="P24" i="70"/>
  <c r="P36" i="70"/>
  <c r="P50" i="70"/>
  <c r="P84" i="70"/>
  <c r="P11" i="70"/>
  <c r="P51" i="70"/>
  <c r="P62" i="70"/>
  <c r="P94" i="70"/>
  <c r="P91" i="70"/>
  <c r="P18" i="70"/>
  <c r="P31" i="70"/>
  <c r="P41" i="70"/>
  <c r="P58" i="70"/>
  <c r="O13" i="70"/>
  <c r="O14" i="70"/>
  <c r="O15" i="70"/>
  <c r="O26" i="70"/>
  <c r="O27" i="70"/>
  <c r="O28" i="70"/>
  <c r="O38" i="70"/>
  <c r="O39" i="70"/>
  <c r="O53" i="70"/>
  <c r="O54" i="70"/>
  <c r="O55" i="70"/>
  <c r="O76" i="70"/>
  <c r="O78" i="70"/>
  <c r="O64" i="70"/>
  <c r="O66" i="70"/>
  <c r="O68" i="70"/>
  <c r="O70" i="70"/>
  <c r="O72" i="70"/>
  <c r="O79" i="70"/>
  <c r="O77" i="70"/>
  <c r="O65" i="70"/>
  <c r="O67" i="70"/>
  <c r="O69" i="70"/>
  <c r="O71" i="70"/>
  <c r="O73" i="70"/>
  <c r="O20" i="70"/>
  <c r="O33" i="70"/>
  <c r="O43" i="70"/>
  <c r="O60" i="70"/>
  <c r="O19" i="70"/>
  <c r="O32" i="70"/>
  <c r="O42" i="70"/>
  <c r="O59" i="70"/>
  <c r="O80" i="70"/>
  <c r="O81" i="70"/>
  <c r="O86" i="70"/>
  <c r="O87" i="70"/>
  <c r="O88" i="70"/>
  <c r="O8" i="70"/>
  <c r="O22" i="70"/>
  <c r="O35" i="70"/>
  <c r="O48" i="70"/>
  <c r="O83" i="70"/>
  <c r="O16" i="70"/>
  <c r="O29" i="70"/>
  <c r="O40" i="70"/>
  <c r="O56" i="70"/>
  <c r="O89" i="70"/>
  <c r="O17" i="70"/>
  <c r="O30" i="70"/>
  <c r="O45" i="70"/>
  <c r="O46" i="70"/>
  <c r="O57" i="70"/>
  <c r="O90" i="70"/>
  <c r="O9" i="70"/>
  <c r="O49" i="70"/>
  <c r="O10" i="70"/>
  <c r="O24" i="70"/>
  <c r="O36" i="70"/>
  <c r="O50" i="70"/>
  <c r="O84" i="70"/>
  <c r="O11" i="70"/>
  <c r="O51" i="70"/>
  <c r="O62" i="70"/>
  <c r="O94" i="70"/>
  <c r="O91" i="70"/>
  <c r="O18" i="70"/>
  <c r="O31" i="70"/>
  <c r="O41" i="70"/>
  <c r="O58" i="70"/>
  <c r="N13" i="70"/>
  <c r="N14" i="70"/>
  <c r="N15" i="70"/>
  <c r="N26" i="70"/>
  <c r="N27" i="70"/>
  <c r="N28" i="70"/>
  <c r="N38" i="70"/>
  <c r="N39" i="70"/>
  <c r="N53" i="70"/>
  <c r="N54" i="70"/>
  <c r="N55" i="70"/>
  <c r="N76" i="70"/>
  <c r="N78" i="70"/>
  <c r="N64" i="70"/>
  <c r="N66" i="70"/>
  <c r="N68" i="70"/>
  <c r="N70" i="70"/>
  <c r="N72" i="70"/>
  <c r="N79" i="70"/>
  <c r="N77" i="70"/>
  <c r="N65" i="70"/>
  <c r="N67" i="70"/>
  <c r="N69" i="70"/>
  <c r="N71" i="70"/>
  <c r="N73" i="70"/>
  <c r="N20" i="70"/>
  <c r="N33" i="70"/>
  <c r="N43" i="70"/>
  <c r="N60" i="70"/>
  <c r="N19" i="70"/>
  <c r="N32" i="70"/>
  <c r="N42" i="70"/>
  <c r="N59" i="70"/>
  <c r="N80" i="70"/>
  <c r="N81" i="70"/>
  <c r="N86" i="70"/>
  <c r="N87" i="70"/>
  <c r="N88" i="70"/>
  <c r="N8" i="70"/>
  <c r="N22" i="70"/>
  <c r="N35" i="70"/>
  <c r="N48" i="70"/>
  <c r="N83" i="70"/>
  <c r="N16" i="70"/>
  <c r="N29" i="70"/>
  <c r="N40" i="70"/>
  <c r="N56" i="70"/>
  <c r="N89" i="70"/>
  <c r="N17" i="70"/>
  <c r="N30" i="70"/>
  <c r="N45" i="70"/>
  <c r="N46" i="70"/>
  <c r="N57" i="70"/>
  <c r="N90" i="70"/>
  <c r="N9" i="70"/>
  <c r="N49" i="70"/>
  <c r="N10" i="70"/>
  <c r="N24" i="70"/>
  <c r="N36" i="70"/>
  <c r="N50" i="70"/>
  <c r="N84" i="70"/>
  <c r="N11" i="70"/>
  <c r="N51" i="70"/>
  <c r="N62" i="70"/>
  <c r="N94" i="70"/>
  <c r="N91" i="70"/>
  <c r="N18" i="70"/>
  <c r="N31" i="70"/>
  <c r="N41" i="70"/>
  <c r="N58" i="70"/>
  <c r="V23" i="70"/>
  <c r="W23" i="70"/>
  <c r="X23" i="70"/>
  <c r="Y23" i="70"/>
  <c r="R23" i="70"/>
  <c r="S23" i="70"/>
  <c r="T23" i="70"/>
  <c r="U23" i="70"/>
  <c r="Y92" i="70"/>
  <c r="X92" i="70"/>
  <c r="W92" i="70"/>
  <c r="V92" i="70"/>
  <c r="U92" i="70"/>
  <c r="T92" i="70"/>
  <c r="S92" i="70"/>
  <c r="R92" i="70"/>
  <c r="Q92" i="70"/>
  <c r="P92" i="70"/>
  <c r="O92" i="70"/>
  <c r="N92" i="70"/>
  <c r="M92" i="70"/>
  <c r="L92" i="70"/>
  <c r="K92" i="70"/>
  <c r="BB311" i="80" s="1"/>
  <c r="J92" i="70"/>
  <c r="I92" i="70"/>
  <c r="H92" i="70"/>
  <c r="G92" i="70"/>
  <c r="F92" i="70"/>
  <c r="Q23" i="70"/>
  <c r="P23" i="70"/>
  <c r="O23" i="70"/>
  <c r="N23" i="70"/>
  <c r="J90" i="26"/>
  <c r="J250" i="85" s="1"/>
  <c r="L144" i="90" s="1"/>
  <c r="J33" i="13"/>
  <c r="J177" i="85"/>
  <c r="L97" i="90" s="1"/>
  <c r="J181" i="85"/>
  <c r="L100" i="90" s="1"/>
  <c r="J189" i="85"/>
  <c r="L106" i="90" s="1"/>
  <c r="J32" i="26"/>
  <c r="J33" i="26"/>
  <c r="J193" i="85" s="1"/>
  <c r="L109" i="90" s="1"/>
  <c r="J34" i="26"/>
  <c r="J194" i="85" s="1"/>
  <c r="L110" i="90" s="1"/>
  <c r="J35" i="26"/>
  <c r="J39" i="26"/>
  <c r="J199" i="85" s="1"/>
  <c r="L112" i="90" s="1"/>
  <c r="J40" i="26"/>
  <c r="J200" i="85" s="1"/>
  <c r="L113" i="90" s="1"/>
  <c r="J41" i="26"/>
  <c r="J45" i="26"/>
  <c r="J205" i="85" s="1"/>
  <c r="J46" i="26"/>
  <c r="J50" i="26"/>
  <c r="J51" i="26"/>
  <c r="J212" i="80"/>
  <c r="J54" i="26"/>
  <c r="J226" i="85"/>
  <c r="L127" i="90" s="1"/>
  <c r="J229" i="85"/>
  <c r="L130" i="90" s="1"/>
  <c r="J230" i="85"/>
  <c r="L131" i="90" s="1"/>
  <c r="J72" i="26"/>
  <c r="J147" i="13"/>
  <c r="J148" i="13"/>
  <c r="J149" i="13"/>
  <c r="J150" i="13"/>
  <c r="J150" i="85" s="1"/>
  <c r="L88" i="90" s="1"/>
  <c r="J151" i="13"/>
  <c r="J151" i="85" s="1"/>
  <c r="L89" i="90" s="1"/>
  <c r="J153" i="13"/>
  <c r="J154" i="13"/>
  <c r="J155" i="13"/>
  <c r="J139" i="13"/>
  <c r="J140" i="13"/>
  <c r="J140" i="85" s="1"/>
  <c r="L80" i="90" s="1"/>
  <c r="J141" i="13"/>
  <c r="J142" i="13"/>
  <c r="J96" i="13"/>
  <c r="J97" i="13"/>
  <c r="J97" i="85" s="1"/>
  <c r="L49" i="90" s="1"/>
  <c r="J98" i="13"/>
  <c r="J99" i="13"/>
  <c r="J99" i="85" s="1"/>
  <c r="L51" i="90" s="1"/>
  <c r="J66" i="13"/>
  <c r="J67" i="13"/>
  <c r="J68" i="13"/>
  <c r="J68" i="85" s="1"/>
  <c r="L34" i="90" s="1"/>
  <c r="J69" i="13"/>
  <c r="J70" i="13"/>
  <c r="J70" i="85" s="1"/>
  <c r="L36" i="90" s="1"/>
  <c r="J71" i="13"/>
  <c r="J72" i="13"/>
  <c r="J75" i="13"/>
  <c r="J106" i="13"/>
  <c r="J106" i="85" s="1"/>
  <c r="L55" i="90" s="1"/>
  <c r="J112" i="13"/>
  <c r="J112" i="85" s="1"/>
  <c r="L61" i="90" s="1"/>
  <c r="J121" i="13"/>
  <c r="J121" i="85" s="1"/>
  <c r="L67" i="90" s="1"/>
  <c r="J126" i="13"/>
  <c r="J29" i="13"/>
  <c r="J20" i="27"/>
  <c r="J23" i="13"/>
  <c r="J23" i="85" s="1"/>
  <c r="L6" i="90" s="1"/>
  <c r="J120" i="13"/>
  <c r="J113" i="13"/>
  <c r="J113" i="85" s="1"/>
  <c r="L62" i="90" s="1"/>
  <c r="J22" i="13"/>
  <c r="J129" i="13"/>
  <c r="J21" i="27"/>
  <c r="J130" i="13"/>
  <c r="J90" i="13"/>
  <c r="J90" i="85" s="1"/>
  <c r="L45" i="90" s="1"/>
  <c r="J92" i="13"/>
  <c r="J92" i="85" s="1"/>
  <c r="L47" i="90" s="1"/>
  <c r="J103" i="13"/>
  <c r="J103" i="85" s="1"/>
  <c r="L52" i="90" s="1"/>
  <c r="J109" i="13"/>
  <c r="J115" i="13"/>
  <c r="J115" i="85" s="1"/>
  <c r="L64" i="90" s="1"/>
  <c r="J125" i="13"/>
  <c r="J125" i="80" s="1"/>
  <c r="J24" i="13"/>
  <c r="J24" i="85" s="1"/>
  <c r="L7" i="90" s="1"/>
  <c r="J83" i="26"/>
  <c r="J243" i="85" s="1"/>
  <c r="L137" i="90" s="1"/>
  <c r="J85" i="26"/>
  <c r="J87" i="26"/>
  <c r="J89" i="26"/>
  <c r="J249" i="85" s="1"/>
  <c r="L143" i="90" s="1"/>
  <c r="J95" i="26"/>
  <c r="I25" i="31"/>
  <c r="J277" i="85" s="1"/>
  <c r="L157" i="90" s="1"/>
  <c r="J29" i="27"/>
  <c r="J31" i="27"/>
  <c r="J18" i="13"/>
  <c r="J18" i="80" s="1"/>
  <c r="J412" i="80" s="1"/>
  <c r="J428" i="80" s="1"/>
  <c r="J92" i="26"/>
  <c r="J252" i="85" s="1"/>
  <c r="L146" i="90" s="1"/>
  <c r="J16" i="13"/>
  <c r="J89" i="13"/>
  <c r="J108" i="13"/>
  <c r="J124" i="13"/>
  <c r="J124" i="85" s="1"/>
  <c r="L70" i="90" s="1"/>
  <c r="I26" i="31"/>
  <c r="J33" i="27"/>
  <c r="J309" i="85" s="1"/>
  <c r="L173" i="90" s="1"/>
  <c r="J87" i="13"/>
  <c r="J87" i="85" s="1"/>
  <c r="L42" i="90" s="1"/>
  <c r="J91" i="13"/>
  <c r="J107" i="13"/>
  <c r="J107" i="85" s="1"/>
  <c r="L56" i="90" s="1"/>
  <c r="J114" i="13"/>
  <c r="J123" i="13"/>
  <c r="J123" i="85" s="1"/>
  <c r="L69" i="90" s="1"/>
  <c r="J132" i="13"/>
  <c r="J132" i="85" s="1"/>
  <c r="L78" i="90" s="1"/>
  <c r="J82" i="26"/>
  <c r="J84" i="26"/>
  <c r="J86" i="26"/>
  <c r="J246" i="85" s="1"/>
  <c r="L140" i="90" s="1"/>
  <c r="J88" i="26"/>
  <c r="I18" i="31"/>
  <c r="J30" i="27"/>
  <c r="J306" i="85" s="1"/>
  <c r="L170" i="90" s="1"/>
  <c r="J19" i="27"/>
  <c r="J94" i="26"/>
  <c r="J81" i="26"/>
  <c r="J241" i="85" s="1"/>
  <c r="L135" i="90" s="1"/>
  <c r="J25" i="13"/>
  <c r="J25" i="85" s="1"/>
  <c r="L8" i="90" s="1"/>
  <c r="J104" i="13"/>
  <c r="J104" i="85" s="1"/>
  <c r="L53" i="90" s="1"/>
  <c r="J35" i="27"/>
  <c r="J311" i="85" s="1"/>
  <c r="L175" i="90" s="1"/>
  <c r="J93" i="26"/>
  <c r="I28" i="31"/>
  <c r="J280" i="85" s="1"/>
  <c r="L160" i="90" s="1"/>
  <c r="I27" i="31"/>
  <c r="I24" i="31"/>
  <c r="J276" i="85" s="1"/>
  <c r="L156" i="90" s="1"/>
  <c r="I16" i="31"/>
  <c r="J18" i="27"/>
  <c r="J17" i="27"/>
  <c r="J96" i="26"/>
  <c r="J256" i="85" s="1"/>
  <c r="L150" i="90" s="1"/>
  <c r="J34" i="27"/>
  <c r="J310" i="85" s="1"/>
  <c r="L174" i="90" s="1"/>
  <c r="E29" i="80"/>
  <c r="G29" i="80"/>
  <c r="E29" i="79"/>
  <c r="G29" i="79"/>
  <c r="G30" i="79" s="1"/>
  <c r="FJ29" i="79"/>
  <c r="FB29" i="79"/>
  <c r="ET29" i="79"/>
  <c r="EL29" i="79"/>
  <c r="ED29" i="79"/>
  <c r="DV29" i="79"/>
  <c r="DN29" i="79"/>
  <c r="DF29" i="79"/>
  <c r="CX29" i="79"/>
  <c r="CP29" i="79"/>
  <c r="CH29" i="79"/>
  <c r="BZ29" i="79"/>
  <c r="BR29" i="79"/>
  <c r="BJ29" i="79"/>
  <c r="BB29" i="79"/>
  <c r="AT29" i="79"/>
  <c r="AL29" i="79"/>
  <c r="AD29" i="79"/>
  <c r="V29" i="79"/>
  <c r="N29" i="79"/>
  <c r="J37" i="77"/>
  <c r="B4" i="69"/>
  <c r="F11" i="77"/>
  <c r="E11" i="77"/>
  <c r="C11" i="77"/>
  <c r="D11" i="77"/>
  <c r="G11" i="77"/>
  <c r="H11" i="77"/>
  <c r="I11" i="77"/>
  <c r="I145" i="13"/>
  <c r="I146" i="13"/>
  <c r="G30" i="13"/>
  <c r="G34" i="13"/>
  <c r="D33" i="33"/>
  <c r="D34" i="33"/>
  <c r="D35" i="33"/>
  <c r="D36" i="33"/>
  <c r="D37" i="33"/>
  <c r="D38" i="33"/>
  <c r="D39" i="33"/>
  <c r="K6" i="37"/>
  <c r="K5" i="37"/>
  <c r="F7" i="7"/>
  <c r="F6" i="7"/>
  <c r="I7" i="27"/>
  <c r="I6" i="27"/>
  <c r="I7" i="31"/>
  <c r="I6" i="31"/>
  <c r="I7" i="26"/>
  <c r="I6" i="26"/>
  <c r="H7" i="36"/>
  <c r="H6" i="36"/>
  <c r="F7" i="32"/>
  <c r="F6" i="32"/>
  <c r="D1" i="78"/>
  <c r="D22" i="69"/>
  <c r="D21" i="69"/>
  <c r="D20" i="69"/>
  <c r="C7" i="33"/>
  <c r="C6" i="33"/>
  <c r="C5" i="33"/>
  <c r="B1" i="76"/>
  <c r="C7" i="79"/>
  <c r="C6" i="79"/>
  <c r="C5" i="79"/>
  <c r="D21" i="37"/>
  <c r="H145" i="13"/>
  <c r="H146" i="13"/>
  <c r="D36" i="37"/>
  <c r="G25" i="27" s="1"/>
  <c r="G301" i="80" s="1"/>
  <c r="G302" i="80" s="1"/>
  <c r="G22" i="80"/>
  <c r="G398" i="80" s="1"/>
  <c r="G23" i="80"/>
  <c r="G399" i="80" s="1"/>
  <c r="G24" i="80"/>
  <c r="G400" i="80" s="1"/>
  <c r="G25" i="80"/>
  <c r="G401" i="80" s="1"/>
  <c r="G33" i="80"/>
  <c r="CI33" i="80" s="1"/>
  <c r="CI404" i="80" s="1"/>
  <c r="G38" i="80"/>
  <c r="G383" i="80" s="1"/>
  <c r="G434" i="80" s="1"/>
  <c r="E38" i="80"/>
  <c r="E383" i="80" s="1"/>
  <c r="G39" i="80"/>
  <c r="G384" i="80" s="1"/>
  <c r="G435" i="80" s="1"/>
  <c r="E39" i="80"/>
  <c r="E384" i="80" s="1"/>
  <c r="G45" i="80"/>
  <c r="G390" i="80" s="1"/>
  <c r="G436" i="80" s="1"/>
  <c r="E45" i="80"/>
  <c r="E390" i="80" s="1"/>
  <c r="G46" i="80"/>
  <c r="G391" i="80" s="1"/>
  <c r="G437" i="80" s="1"/>
  <c r="E46" i="80"/>
  <c r="C7" i="80"/>
  <c r="C6" i="80"/>
  <c r="C5" i="80"/>
  <c r="B8" i="77"/>
  <c r="A8" i="77"/>
  <c r="A7" i="77"/>
  <c r="B11" i="77"/>
  <c r="B20" i="77"/>
  <c r="B24" i="77" s="1"/>
  <c r="B118" i="36"/>
  <c r="J29" i="77"/>
  <c r="E58" i="80"/>
  <c r="K58" i="80" s="1"/>
  <c r="J60" i="13"/>
  <c r="J60" i="85" s="1"/>
  <c r="L26" i="90" s="1"/>
  <c r="E61" i="80"/>
  <c r="K61" i="80" s="1"/>
  <c r="G470" i="80"/>
  <c r="G478" i="80"/>
  <c r="G484" i="80"/>
  <c r="E191" i="80"/>
  <c r="E176" i="80"/>
  <c r="K176" i="80" s="1"/>
  <c r="G176" i="80"/>
  <c r="E177" i="80"/>
  <c r="K177" i="80" s="1"/>
  <c r="G177" i="80"/>
  <c r="E178" i="80"/>
  <c r="K178" i="80" s="1"/>
  <c r="G178" i="80"/>
  <c r="E180" i="80"/>
  <c r="G180" i="80"/>
  <c r="E181" i="80"/>
  <c r="G181" i="80"/>
  <c r="E182" i="80"/>
  <c r="G182" i="80"/>
  <c r="E184" i="80"/>
  <c r="K184" i="80" s="1"/>
  <c r="G184" i="80"/>
  <c r="E185" i="80"/>
  <c r="K185" i="80" s="1"/>
  <c r="G185" i="80"/>
  <c r="E187" i="80"/>
  <c r="K187" i="80" s="1"/>
  <c r="G187" i="80"/>
  <c r="Y53" i="70"/>
  <c r="FJ187" i="80" s="1"/>
  <c r="X53" i="70"/>
  <c r="FB187" i="80" s="1"/>
  <c r="E188" i="80"/>
  <c r="K188" i="80" s="1"/>
  <c r="G188" i="80"/>
  <c r="E189" i="80"/>
  <c r="G189" i="80"/>
  <c r="H189" i="80"/>
  <c r="E192" i="80"/>
  <c r="K192" i="80" s="1"/>
  <c r="G192" i="80"/>
  <c r="E193" i="80"/>
  <c r="K193" i="80" s="1"/>
  <c r="G193" i="80"/>
  <c r="E194" i="80"/>
  <c r="G194" i="80"/>
  <c r="AU194" i="80" s="1"/>
  <c r="E195" i="80"/>
  <c r="G195" i="80"/>
  <c r="AU195" i="80" s="1"/>
  <c r="E199" i="80"/>
  <c r="G199" i="80"/>
  <c r="E200" i="80"/>
  <c r="G200" i="80"/>
  <c r="E201" i="80"/>
  <c r="G201" i="80"/>
  <c r="E205" i="80"/>
  <c r="K205" i="80" s="1"/>
  <c r="G205" i="80"/>
  <c r="FK205" i="80" s="1"/>
  <c r="E206" i="80"/>
  <c r="K206" i="80" s="1"/>
  <c r="G206" i="80"/>
  <c r="CY206" i="80" s="1"/>
  <c r="E210" i="80"/>
  <c r="G210" i="80"/>
  <c r="CA210" i="80" s="1"/>
  <c r="E211" i="80"/>
  <c r="K211" i="80" s="1"/>
  <c r="G211" i="80"/>
  <c r="E212" i="80"/>
  <c r="G212" i="80"/>
  <c r="AU212" i="80" s="1"/>
  <c r="H212" i="80"/>
  <c r="E213" i="80"/>
  <c r="G213" i="80"/>
  <c r="FK213" i="80" s="1"/>
  <c r="E214" i="80"/>
  <c r="G214" i="80"/>
  <c r="O214" i="80" s="1"/>
  <c r="E219" i="80"/>
  <c r="E22" i="80"/>
  <c r="E23" i="80"/>
  <c r="E24" i="80"/>
  <c r="K24" i="80" s="1"/>
  <c r="E25" i="80"/>
  <c r="E33" i="80"/>
  <c r="K33" i="80" s="1"/>
  <c r="G219" i="80"/>
  <c r="K219" i="80"/>
  <c r="E220" i="80"/>
  <c r="K220" i="80" s="1"/>
  <c r="G220" i="80"/>
  <c r="W220" i="80" s="1"/>
  <c r="E222" i="80"/>
  <c r="K222" i="80" s="1"/>
  <c r="G222" i="80"/>
  <c r="BC222" i="80" s="1"/>
  <c r="E223" i="80"/>
  <c r="K223" i="80" s="1"/>
  <c r="G16" i="80"/>
  <c r="FC16" i="80" s="1"/>
  <c r="FC410" i="80" s="1"/>
  <c r="G17" i="80"/>
  <c r="G411" i="80" s="1"/>
  <c r="G18" i="80"/>
  <c r="G37" i="80"/>
  <c r="G382" i="80" s="1"/>
  <c r="G40" i="80"/>
  <c r="G385" i="80" s="1"/>
  <c r="G41" i="80"/>
  <c r="G386" i="80" s="1"/>
  <c r="G42" i="80"/>
  <c r="G387" i="80" s="1"/>
  <c r="G43" i="80"/>
  <c r="G388" i="80" s="1"/>
  <c r="G44" i="80"/>
  <c r="G389" i="80" s="1"/>
  <c r="G47" i="80"/>
  <c r="G392" i="80" s="1"/>
  <c r="G48" i="80"/>
  <c r="G393" i="80" s="1"/>
  <c r="E16" i="80"/>
  <c r="E17" i="80"/>
  <c r="E18" i="80"/>
  <c r="E37" i="80"/>
  <c r="E382" i="80" s="1"/>
  <c r="K382" i="80" s="1"/>
  <c r="E40" i="80"/>
  <c r="E385" i="80" s="1"/>
  <c r="K385" i="80" s="1"/>
  <c r="E41" i="80"/>
  <c r="E386" i="80" s="1"/>
  <c r="K386" i="80" s="1"/>
  <c r="E42" i="80"/>
  <c r="E43" i="80"/>
  <c r="E44" i="80"/>
  <c r="E389" i="80" s="1"/>
  <c r="K389" i="80" s="1"/>
  <c r="E47" i="80"/>
  <c r="E392" i="80" s="1"/>
  <c r="K392" i="80" s="1"/>
  <c r="E48" i="80"/>
  <c r="E393" i="80" s="1"/>
  <c r="K393" i="80" s="1"/>
  <c r="G223" i="80"/>
  <c r="E224" i="80"/>
  <c r="G224" i="80"/>
  <c r="FK224" i="80" s="1"/>
  <c r="E225" i="80"/>
  <c r="K225" i="80" s="1"/>
  <c r="G225" i="80"/>
  <c r="E226" i="80"/>
  <c r="G226" i="80"/>
  <c r="EM226" i="80" s="1"/>
  <c r="E227" i="80"/>
  <c r="K227" i="80" s="1"/>
  <c r="G227" i="80"/>
  <c r="FK227" i="80" s="1"/>
  <c r="E229" i="80"/>
  <c r="G229" i="80"/>
  <c r="DO229" i="80" s="1"/>
  <c r="E230" i="80"/>
  <c r="G230" i="80"/>
  <c r="DW230" i="80" s="1"/>
  <c r="E231" i="80"/>
  <c r="G231" i="80"/>
  <c r="FK231" i="80" s="1"/>
  <c r="E232" i="80"/>
  <c r="G232" i="80"/>
  <c r="DO232" i="80" s="1"/>
  <c r="E234" i="80"/>
  <c r="K234" i="80" s="1"/>
  <c r="G234" i="80"/>
  <c r="DO234" i="80" s="1"/>
  <c r="E221" i="80"/>
  <c r="K221" i="80" s="1"/>
  <c r="G221" i="80"/>
  <c r="E228" i="80"/>
  <c r="K228" i="80" s="1"/>
  <c r="G228" i="80"/>
  <c r="E241" i="80"/>
  <c r="G241" i="80"/>
  <c r="FK241" i="80" s="1"/>
  <c r="E242" i="80"/>
  <c r="G242" i="80"/>
  <c r="FK242" i="80" s="1"/>
  <c r="E243" i="80"/>
  <c r="K243" i="80" s="1"/>
  <c r="G243" i="80"/>
  <c r="DO243" i="80" s="1"/>
  <c r="E244" i="80"/>
  <c r="G244" i="80"/>
  <c r="E245" i="80"/>
  <c r="K245" i="80" s="1"/>
  <c r="G245" i="80"/>
  <c r="E246" i="80"/>
  <c r="K246" i="80" s="1"/>
  <c r="G246" i="80"/>
  <c r="E247" i="80"/>
  <c r="K247" i="80" s="1"/>
  <c r="G247" i="80"/>
  <c r="E248" i="80"/>
  <c r="K248" i="80" s="1"/>
  <c r="G248" i="80"/>
  <c r="E249" i="80"/>
  <c r="K249" i="80" s="1"/>
  <c r="G249" i="80"/>
  <c r="E250" i="80"/>
  <c r="K250" i="80" s="1"/>
  <c r="G250" i="80"/>
  <c r="FK250" i="80" s="1"/>
  <c r="E251" i="80"/>
  <c r="G251" i="80"/>
  <c r="E252" i="80"/>
  <c r="G252" i="80"/>
  <c r="E253" i="80"/>
  <c r="G253" i="80"/>
  <c r="E254" i="80"/>
  <c r="G254" i="80"/>
  <c r="BK254" i="80" s="1"/>
  <c r="E255" i="80"/>
  <c r="G255" i="80"/>
  <c r="E256" i="80"/>
  <c r="G256" i="80"/>
  <c r="BS256" i="80" s="1"/>
  <c r="E87" i="80"/>
  <c r="G87" i="80"/>
  <c r="FK87" i="80" s="1"/>
  <c r="E88" i="80"/>
  <c r="K88" i="80" s="1"/>
  <c r="G88" i="80"/>
  <c r="E89" i="80"/>
  <c r="G89" i="80"/>
  <c r="FC89" i="80" s="1"/>
  <c r="E90" i="80"/>
  <c r="K90" i="80" s="1"/>
  <c r="G90" i="80"/>
  <c r="E91" i="80"/>
  <c r="K91" i="80" s="1"/>
  <c r="G91" i="80"/>
  <c r="CA91" i="80" s="1"/>
  <c r="E92" i="80"/>
  <c r="G92" i="80"/>
  <c r="E96" i="80"/>
  <c r="G96" i="80"/>
  <c r="EE96" i="80" s="1"/>
  <c r="E97" i="80"/>
  <c r="G97" i="80"/>
  <c r="CI97" i="80" s="1"/>
  <c r="E98" i="80"/>
  <c r="G98" i="80"/>
  <c r="FK98" i="80" s="1"/>
  <c r="E99" i="80"/>
  <c r="G99" i="80"/>
  <c r="CA99" i="80" s="1"/>
  <c r="E103" i="80"/>
  <c r="K103" i="80" s="1"/>
  <c r="G103" i="80"/>
  <c r="E104" i="80"/>
  <c r="G104" i="80"/>
  <c r="FC104" i="80" s="1"/>
  <c r="E105" i="80"/>
  <c r="K105" i="80" s="1"/>
  <c r="G105" i="80"/>
  <c r="E106" i="80"/>
  <c r="G106" i="80"/>
  <c r="E107" i="80"/>
  <c r="G107" i="80"/>
  <c r="CY107" i="80" s="1"/>
  <c r="E108" i="80"/>
  <c r="K108" i="80" s="1"/>
  <c r="G108" i="80"/>
  <c r="E109" i="80"/>
  <c r="G109" i="80"/>
  <c r="FK109" i="80" s="1"/>
  <c r="E110" i="80"/>
  <c r="G110" i="80"/>
  <c r="CQ110" i="80" s="1"/>
  <c r="E111" i="80"/>
  <c r="G111" i="80"/>
  <c r="AM111" i="80" s="1"/>
  <c r="E112" i="80"/>
  <c r="G112" i="80"/>
  <c r="CI112" i="80" s="1"/>
  <c r="E114" i="80"/>
  <c r="G114" i="80"/>
  <c r="FK114" i="80" s="1"/>
  <c r="E113" i="80"/>
  <c r="G113" i="80"/>
  <c r="FC113" i="80" s="1"/>
  <c r="E115" i="80"/>
  <c r="G115" i="80"/>
  <c r="CQ115" i="80" s="1"/>
  <c r="E119" i="80"/>
  <c r="K119" i="80" s="1"/>
  <c r="G119" i="80"/>
  <c r="FK119" i="80" s="1"/>
  <c r="E120" i="80"/>
  <c r="K120" i="80" s="1"/>
  <c r="G120" i="80"/>
  <c r="CY120" i="80" s="1"/>
  <c r="E121" i="80"/>
  <c r="G121" i="80"/>
  <c r="EE121" i="80" s="1"/>
  <c r="E122" i="80"/>
  <c r="G122" i="80"/>
  <c r="EM122" i="80" s="1"/>
  <c r="E123" i="80"/>
  <c r="G123" i="80"/>
  <c r="E124" i="80"/>
  <c r="K124" i="80" s="1"/>
  <c r="G124" i="80"/>
  <c r="E125" i="80"/>
  <c r="K125" i="80" s="1"/>
  <c r="G125" i="80"/>
  <c r="E126" i="80"/>
  <c r="K126" i="80" s="1"/>
  <c r="G126" i="80"/>
  <c r="FK126" i="80" s="1"/>
  <c r="E127" i="80"/>
  <c r="K127" i="80" s="1"/>
  <c r="G127" i="80"/>
  <c r="EE127" i="80" s="1"/>
  <c r="E128" i="80"/>
  <c r="G128" i="80"/>
  <c r="E129" i="80"/>
  <c r="K129" i="80" s="1"/>
  <c r="G129" i="80"/>
  <c r="FK129" i="80" s="1"/>
  <c r="E130" i="80"/>
  <c r="G130" i="80"/>
  <c r="AM130" i="80" s="1"/>
  <c r="E131" i="80"/>
  <c r="K131" i="80" s="1"/>
  <c r="G131" i="80"/>
  <c r="EM131" i="80" s="1"/>
  <c r="E132" i="80"/>
  <c r="G132" i="80"/>
  <c r="AE132" i="80" s="1"/>
  <c r="K37" i="80"/>
  <c r="E57" i="80"/>
  <c r="G57" i="80"/>
  <c r="EM57" i="80" s="1"/>
  <c r="G58" i="80"/>
  <c r="FK58" i="80" s="1"/>
  <c r="G59" i="80"/>
  <c r="FC59" i="80" s="1"/>
  <c r="E60" i="80"/>
  <c r="K60" i="80" s="1"/>
  <c r="G60" i="80"/>
  <c r="AU60" i="80" s="1"/>
  <c r="G61" i="80"/>
  <c r="FK61" i="80" s="1"/>
  <c r="E62" i="80"/>
  <c r="K62" i="80" s="1"/>
  <c r="G62" i="80"/>
  <c r="E63" i="80"/>
  <c r="K63" i="80" s="1"/>
  <c r="G63" i="80"/>
  <c r="BC63" i="80" s="1"/>
  <c r="E64" i="80"/>
  <c r="G64" i="80"/>
  <c r="AU64" i="80" s="1"/>
  <c r="E65" i="80"/>
  <c r="G65" i="80"/>
  <c r="FK65" i="80" s="1"/>
  <c r="E66" i="80"/>
  <c r="G66" i="80"/>
  <c r="FK66" i="80" s="1"/>
  <c r="E67" i="80"/>
  <c r="G67" i="80"/>
  <c r="BS67" i="80" s="1"/>
  <c r="E68" i="80"/>
  <c r="G68" i="80"/>
  <c r="FK68" i="80" s="1"/>
  <c r="E69" i="80"/>
  <c r="G69" i="80"/>
  <c r="EU69" i="80" s="1"/>
  <c r="E70" i="80"/>
  <c r="G70" i="80"/>
  <c r="EE70" i="80" s="1"/>
  <c r="E71" i="80"/>
  <c r="G71" i="80"/>
  <c r="BK71" i="80" s="1"/>
  <c r="E72" i="80"/>
  <c r="G72" i="80"/>
  <c r="EU72" i="80" s="1"/>
  <c r="G73" i="80"/>
  <c r="FK73" i="80" s="1"/>
  <c r="E147" i="80"/>
  <c r="K147" i="80" s="1"/>
  <c r="G147" i="80"/>
  <c r="FC147" i="80" s="1"/>
  <c r="E148" i="80"/>
  <c r="K148" i="80" s="1"/>
  <c r="G148" i="80"/>
  <c r="CA148" i="80" s="1"/>
  <c r="E149" i="80"/>
  <c r="G149" i="80"/>
  <c r="EE149" i="80" s="1"/>
  <c r="E150" i="80"/>
  <c r="K150" i="80" s="1"/>
  <c r="G150" i="80"/>
  <c r="CQ150" i="80" s="1"/>
  <c r="E151" i="80"/>
  <c r="K151" i="80" s="1"/>
  <c r="G151" i="80"/>
  <c r="FK151" i="80" s="1"/>
  <c r="E152" i="80"/>
  <c r="K152" i="80" s="1"/>
  <c r="G152" i="80"/>
  <c r="E153" i="80"/>
  <c r="K153" i="80" s="1"/>
  <c r="G153" i="80"/>
  <c r="BS153" i="80" s="1"/>
  <c r="E154" i="80"/>
  <c r="K154" i="80" s="1"/>
  <c r="G154" i="80"/>
  <c r="CA154" i="80" s="1"/>
  <c r="E155" i="80"/>
  <c r="G155" i="80"/>
  <c r="O155" i="80" s="1"/>
  <c r="E139" i="80"/>
  <c r="G139" i="80"/>
  <c r="AM139" i="80" s="1"/>
  <c r="E140" i="80"/>
  <c r="G140" i="80"/>
  <c r="O140" i="80" s="1"/>
  <c r="E141" i="80"/>
  <c r="G141" i="80"/>
  <c r="E142" i="80"/>
  <c r="G142" i="80"/>
  <c r="G486" i="80"/>
  <c r="G489" i="80"/>
  <c r="G493" i="80"/>
  <c r="E301" i="80"/>
  <c r="K301" i="80" s="1"/>
  <c r="E305" i="80"/>
  <c r="K305" i="80" s="1"/>
  <c r="G305" i="80"/>
  <c r="FK305" i="80" s="1"/>
  <c r="E306" i="80"/>
  <c r="K306" i="80" s="1"/>
  <c r="G306" i="80"/>
  <c r="FK306" i="80" s="1"/>
  <c r="E307" i="80"/>
  <c r="G307" i="80"/>
  <c r="E308" i="80"/>
  <c r="K308" i="80" s="1"/>
  <c r="G308" i="80"/>
  <c r="E309" i="80"/>
  <c r="K309" i="80" s="1"/>
  <c r="G309" i="80"/>
  <c r="FK309" i="80" s="1"/>
  <c r="E310" i="80"/>
  <c r="K310" i="80" s="1"/>
  <c r="G310" i="80"/>
  <c r="E311" i="80"/>
  <c r="K311" i="80" s="1"/>
  <c r="G311" i="80"/>
  <c r="E291" i="80"/>
  <c r="G291" i="80"/>
  <c r="E292" i="80"/>
  <c r="K292" i="80" s="1"/>
  <c r="G292" i="80"/>
  <c r="E293" i="80"/>
  <c r="G293" i="80"/>
  <c r="EU293" i="80" s="1"/>
  <c r="K293" i="80"/>
  <c r="E294" i="80"/>
  <c r="G294" i="80"/>
  <c r="FK294" i="80" s="1"/>
  <c r="E295" i="80"/>
  <c r="G295" i="80"/>
  <c r="DW295" i="80" s="1"/>
  <c r="E296" i="80"/>
  <c r="G296" i="80"/>
  <c r="AM296" i="80" s="1"/>
  <c r="E297" i="80"/>
  <c r="K297" i="80" s="1"/>
  <c r="G297" i="80"/>
  <c r="CY297" i="80" s="1"/>
  <c r="E268" i="80"/>
  <c r="G268" i="80"/>
  <c r="BK268" i="80" s="1"/>
  <c r="E269" i="80"/>
  <c r="K269" i="80" s="1"/>
  <c r="G269" i="80"/>
  <c r="FK269" i="80" s="1"/>
  <c r="E270" i="80"/>
  <c r="G270" i="80"/>
  <c r="BS270" i="80" s="1"/>
  <c r="E274" i="80"/>
  <c r="K274" i="80" s="1"/>
  <c r="G274" i="80"/>
  <c r="E275" i="80"/>
  <c r="G275" i="80"/>
  <c r="EU275" i="80" s="1"/>
  <c r="E276" i="80"/>
  <c r="K276" i="80" s="1"/>
  <c r="G276" i="80"/>
  <c r="AM276" i="80" s="1"/>
  <c r="E277" i="80"/>
  <c r="G277" i="80"/>
  <c r="CI277" i="80" s="1"/>
  <c r="E278" i="80"/>
  <c r="K278" i="80" s="1"/>
  <c r="G278" i="80"/>
  <c r="BK278" i="80" s="1"/>
  <c r="E279" i="80"/>
  <c r="G279" i="80"/>
  <c r="EU279" i="80" s="1"/>
  <c r="E280" i="80"/>
  <c r="K280" i="80" s="1"/>
  <c r="G280" i="80"/>
  <c r="BK280" i="80" s="1"/>
  <c r="H345" i="80"/>
  <c r="W53" i="70"/>
  <c r="ET187" i="80" s="1"/>
  <c r="FC120" i="80"/>
  <c r="FC127" i="80"/>
  <c r="FC67" i="80"/>
  <c r="FC305" i="80"/>
  <c r="FE305" i="80" s="1"/>
  <c r="FC308" i="80"/>
  <c r="V53" i="70"/>
  <c r="EL187" i="80" s="1"/>
  <c r="ET245" i="80"/>
  <c r="EU245" i="80" s="1"/>
  <c r="EU98" i="80"/>
  <c r="EU120" i="80"/>
  <c r="EW120" i="80" s="1"/>
  <c r="EU59" i="80"/>
  <c r="EU67" i="80"/>
  <c r="EU308" i="80"/>
  <c r="EU294" i="80"/>
  <c r="EL248" i="80"/>
  <c r="EM96" i="80"/>
  <c r="EM107" i="80"/>
  <c r="EM67" i="80"/>
  <c r="EM152" i="80"/>
  <c r="EM305" i="80"/>
  <c r="EM291" i="80"/>
  <c r="EE229" i="80"/>
  <c r="EE120" i="80"/>
  <c r="EE59" i="80"/>
  <c r="EE305" i="80"/>
  <c r="EE275" i="80"/>
  <c r="DW113" i="80"/>
  <c r="DW119" i="80"/>
  <c r="DW120" i="80"/>
  <c r="DX120" i="80" s="1"/>
  <c r="DW305" i="80"/>
  <c r="DW308" i="80"/>
  <c r="DW269" i="80"/>
  <c r="DO222" i="80"/>
  <c r="DO104" i="80"/>
  <c r="DO110" i="80"/>
  <c r="DO111" i="80"/>
  <c r="DO120" i="80"/>
  <c r="DO59" i="80"/>
  <c r="DO305" i="80"/>
  <c r="DO308" i="80"/>
  <c r="DO269" i="80"/>
  <c r="DO270" i="80"/>
  <c r="DO275" i="80"/>
  <c r="DG120" i="80"/>
  <c r="DG59" i="80"/>
  <c r="DG67" i="80"/>
  <c r="DG305" i="80"/>
  <c r="DG308" i="80"/>
  <c r="DG295" i="80"/>
  <c r="DG269" i="80"/>
  <c r="CX22" i="80"/>
  <c r="CY241" i="80"/>
  <c r="CY256" i="80"/>
  <c r="CY98" i="80"/>
  <c r="CY59" i="80"/>
  <c r="CY305" i="80"/>
  <c r="CZ305" i="80" s="1"/>
  <c r="CY308" i="80"/>
  <c r="CY269" i="80"/>
  <c r="CY275" i="80"/>
  <c r="CQ256" i="80"/>
  <c r="CQ68" i="80"/>
  <c r="CQ305" i="80"/>
  <c r="CQ307" i="80"/>
  <c r="CQ308" i="80"/>
  <c r="CQ296" i="80"/>
  <c r="CI210" i="80"/>
  <c r="CI219" i="80"/>
  <c r="CI111" i="80"/>
  <c r="CI120" i="80"/>
  <c r="CI486" i="80"/>
  <c r="CI305" i="80"/>
  <c r="CK305" i="80" s="1"/>
  <c r="CJ305" i="80"/>
  <c r="CI308" i="80"/>
  <c r="CI269" i="80"/>
  <c r="CA87" i="80"/>
  <c r="CA308" i="80"/>
  <c r="BS222" i="80"/>
  <c r="BS107" i="80"/>
  <c r="BS120" i="80"/>
  <c r="BS130" i="80"/>
  <c r="BS58" i="80"/>
  <c r="BT58" i="80" s="1"/>
  <c r="BS59" i="80"/>
  <c r="BS155" i="80"/>
  <c r="BS305" i="80"/>
  <c r="BT305" i="80" s="1"/>
  <c r="BS307" i="80"/>
  <c r="BS308" i="80"/>
  <c r="BS292" i="80"/>
  <c r="BS269" i="80"/>
  <c r="BS275" i="80"/>
  <c r="BK195" i="80"/>
  <c r="BK250" i="80"/>
  <c r="BK87" i="80"/>
  <c r="BK98" i="80"/>
  <c r="BK120" i="80"/>
  <c r="BK127" i="80"/>
  <c r="BK59" i="80"/>
  <c r="BK147" i="80"/>
  <c r="BK149" i="80"/>
  <c r="BK139" i="80"/>
  <c r="BK307" i="80"/>
  <c r="BK308" i="80"/>
  <c r="BK292" i="80"/>
  <c r="BK269" i="80"/>
  <c r="BC195" i="80"/>
  <c r="BC229" i="80"/>
  <c r="BC242" i="80"/>
  <c r="BC250" i="80"/>
  <c r="BC87" i="80"/>
  <c r="BC59" i="80"/>
  <c r="BC486" i="80"/>
  <c r="BC305" i="80"/>
  <c r="BE305" i="80" s="1"/>
  <c r="BC307" i="80"/>
  <c r="BC308" i="80"/>
  <c r="BC291" i="80"/>
  <c r="BC292" i="80"/>
  <c r="BC275" i="80"/>
  <c r="BC277" i="80"/>
  <c r="J140" i="76"/>
  <c r="I20" i="70"/>
  <c r="J149" i="76"/>
  <c r="J33" i="76" s="1"/>
  <c r="I13" i="70"/>
  <c r="AU210" i="80"/>
  <c r="AU149" i="80"/>
  <c r="AU155" i="80"/>
  <c r="AU305" i="80"/>
  <c r="AU307" i="80"/>
  <c r="AU308" i="80"/>
  <c r="AU292" i="80"/>
  <c r="AU269" i="80"/>
  <c r="AU278" i="80"/>
  <c r="I140" i="76"/>
  <c r="I149" i="76"/>
  <c r="I150" i="76" s="1"/>
  <c r="H26" i="70" s="1"/>
  <c r="H33" i="70"/>
  <c r="AL192" i="80"/>
  <c r="AL193" i="80"/>
  <c r="AM250" i="80"/>
  <c r="AM87" i="80"/>
  <c r="AM120" i="80"/>
  <c r="AM122" i="80"/>
  <c r="AM123" i="80"/>
  <c r="AM59" i="80"/>
  <c r="AM305" i="80"/>
  <c r="AM307" i="80"/>
  <c r="AM308" i="80"/>
  <c r="AM292" i="80"/>
  <c r="AM294" i="80"/>
  <c r="AM295" i="80"/>
  <c r="AM275" i="80"/>
  <c r="G140" i="76"/>
  <c r="AE16" i="80"/>
  <c r="AE410" i="80" s="1"/>
  <c r="AE229" i="80"/>
  <c r="AE242" i="80"/>
  <c r="AE87" i="80"/>
  <c r="AE130" i="80"/>
  <c r="AE57" i="80"/>
  <c r="AE58" i="80"/>
  <c r="AE155" i="80"/>
  <c r="AE486" i="80"/>
  <c r="AE305" i="80"/>
  <c r="AE307" i="80"/>
  <c r="AE308" i="80"/>
  <c r="AE291" i="80"/>
  <c r="AE292" i="80"/>
  <c r="AE269" i="80"/>
  <c r="F140" i="76"/>
  <c r="V199" i="80"/>
  <c r="W219" i="80"/>
  <c r="W222" i="80"/>
  <c r="W229" i="80"/>
  <c r="W250" i="80"/>
  <c r="W59" i="80"/>
  <c r="W149" i="80"/>
  <c r="W139" i="80"/>
  <c r="W486" i="80"/>
  <c r="W305" i="80"/>
  <c r="X305" i="80" s="1"/>
  <c r="W307" i="80"/>
  <c r="W308" i="80"/>
  <c r="W291" i="80"/>
  <c r="W292" i="80"/>
  <c r="W275" i="80"/>
  <c r="W277" i="80"/>
  <c r="O242" i="80"/>
  <c r="O87" i="80"/>
  <c r="O67" i="80"/>
  <c r="O486" i="80"/>
  <c r="O305" i="80"/>
  <c r="Q305" i="80" s="1"/>
  <c r="P305" i="80"/>
  <c r="O306" i="80"/>
  <c r="O308" i="80"/>
  <c r="O292" i="80"/>
  <c r="O280" i="80"/>
  <c r="G470" i="79"/>
  <c r="G478" i="79"/>
  <c r="DW478" i="79" s="1"/>
  <c r="G484" i="79"/>
  <c r="E191" i="79"/>
  <c r="K191" i="79" s="1"/>
  <c r="E176" i="79"/>
  <c r="K176" i="79" s="1"/>
  <c r="G176" i="79"/>
  <c r="E177" i="79"/>
  <c r="G177" i="79"/>
  <c r="FJ177" i="79"/>
  <c r="E178" i="79"/>
  <c r="K178" i="79" s="1"/>
  <c r="G178" i="79"/>
  <c r="FJ178" i="79"/>
  <c r="E180" i="79"/>
  <c r="K180" i="79" s="1"/>
  <c r="G180" i="79"/>
  <c r="E181" i="79"/>
  <c r="K181" i="79" s="1"/>
  <c r="G181" i="79"/>
  <c r="FJ181" i="79"/>
  <c r="E182" i="79"/>
  <c r="K182" i="79" s="1"/>
  <c r="G182" i="79"/>
  <c r="FJ182" i="79"/>
  <c r="E184" i="79"/>
  <c r="G184" i="79"/>
  <c r="FJ184" i="79"/>
  <c r="E185" i="79"/>
  <c r="K185" i="79" s="1"/>
  <c r="G185" i="79"/>
  <c r="FJ185" i="79"/>
  <c r="E187" i="79"/>
  <c r="K187" i="79" s="1"/>
  <c r="G187" i="79"/>
  <c r="E188" i="79"/>
  <c r="K188" i="79" s="1"/>
  <c r="G188" i="79"/>
  <c r="FJ188" i="79"/>
  <c r="H188" i="79"/>
  <c r="E189" i="79"/>
  <c r="K189" i="79" s="1"/>
  <c r="G189" i="79"/>
  <c r="FJ189" i="79"/>
  <c r="H189" i="79"/>
  <c r="E192" i="79"/>
  <c r="G192" i="79"/>
  <c r="FJ192" i="79"/>
  <c r="E193" i="79"/>
  <c r="K193" i="79" s="1"/>
  <c r="G193" i="79"/>
  <c r="FJ193" i="79"/>
  <c r="E194" i="79"/>
  <c r="G194" i="79"/>
  <c r="FK194" i="79" s="1"/>
  <c r="E195" i="79"/>
  <c r="G195" i="79"/>
  <c r="CQ195" i="79" s="1"/>
  <c r="E199" i="79"/>
  <c r="K199" i="79" s="1"/>
  <c r="G199" i="79"/>
  <c r="FJ199" i="79"/>
  <c r="E200" i="79"/>
  <c r="K200" i="79" s="1"/>
  <c r="G200" i="79"/>
  <c r="FJ200" i="79"/>
  <c r="E201" i="79"/>
  <c r="K201" i="79" s="1"/>
  <c r="G201" i="79"/>
  <c r="FJ201" i="79"/>
  <c r="E205" i="79"/>
  <c r="K205" i="79" s="1"/>
  <c r="G205" i="79"/>
  <c r="EM205" i="79" s="1"/>
  <c r="E206" i="79"/>
  <c r="K206" i="79" s="1"/>
  <c r="G206" i="79"/>
  <c r="DO206" i="79" s="1"/>
  <c r="E210" i="79"/>
  <c r="G210" i="79"/>
  <c r="CA210" i="79" s="1"/>
  <c r="E211" i="79"/>
  <c r="G211" i="79"/>
  <c r="FK211" i="79" s="1"/>
  <c r="E212" i="79"/>
  <c r="G212" i="79"/>
  <c r="BK212" i="79" s="1"/>
  <c r="H212" i="79"/>
  <c r="E213" i="79"/>
  <c r="G213" i="79"/>
  <c r="BC213" i="79" s="1"/>
  <c r="E214" i="79"/>
  <c r="G214" i="79"/>
  <c r="EM214" i="79" s="1"/>
  <c r="E219" i="79"/>
  <c r="G22" i="79"/>
  <c r="G23" i="79"/>
  <c r="G399" i="79" s="1"/>
  <c r="G24" i="79"/>
  <c r="G400" i="79" s="1"/>
  <c r="G25" i="79"/>
  <c r="G33" i="79"/>
  <c r="AM33" i="79" s="1"/>
  <c r="E22" i="79"/>
  <c r="K22" i="79" s="1"/>
  <c r="FJ22" i="79"/>
  <c r="E23" i="79"/>
  <c r="FJ23" i="79"/>
  <c r="E24" i="79"/>
  <c r="FJ24" i="79"/>
  <c r="E25" i="79"/>
  <c r="FJ25" i="79"/>
  <c r="E33" i="79"/>
  <c r="K33" i="79" s="1"/>
  <c r="G219" i="79"/>
  <c r="FK219" i="79" s="1"/>
  <c r="K219" i="79"/>
  <c r="E220" i="79"/>
  <c r="K220" i="79" s="1"/>
  <c r="G220" i="79"/>
  <c r="FK220" i="79" s="1"/>
  <c r="E222" i="79"/>
  <c r="K222" i="79" s="1"/>
  <c r="G222" i="79"/>
  <c r="EE222" i="79" s="1"/>
  <c r="E223" i="79"/>
  <c r="K223" i="79" s="1"/>
  <c r="G16" i="79"/>
  <c r="FC16" i="79" s="1"/>
  <c r="FC410" i="79" s="1"/>
  <c r="G17" i="79"/>
  <c r="BS17" i="79" s="1"/>
  <c r="BS411" i="79" s="1"/>
  <c r="G18" i="79"/>
  <c r="CI18" i="79" s="1"/>
  <c r="CI412" i="79" s="1"/>
  <c r="G37" i="79"/>
  <c r="G382" i="79" s="1"/>
  <c r="G38" i="79"/>
  <c r="G39" i="79"/>
  <c r="G40" i="79"/>
  <c r="G385" i="79" s="1"/>
  <c r="G41" i="79"/>
  <c r="G386" i="79" s="1"/>
  <c r="G42" i="79"/>
  <c r="G387" i="79" s="1"/>
  <c r="G43" i="79"/>
  <c r="G388" i="79" s="1"/>
  <c r="G44" i="79"/>
  <c r="G389" i="79" s="1"/>
  <c r="G45" i="79"/>
  <c r="G46" i="79"/>
  <c r="G47" i="79"/>
  <c r="G392" i="79" s="1"/>
  <c r="G48" i="79"/>
  <c r="G393" i="79" s="1"/>
  <c r="E16" i="79"/>
  <c r="E17" i="79"/>
  <c r="E18" i="79"/>
  <c r="E37" i="79"/>
  <c r="E382" i="79" s="1"/>
  <c r="K382" i="79" s="1"/>
  <c r="E38" i="79"/>
  <c r="K38" i="79" s="1"/>
  <c r="E39" i="79"/>
  <c r="K39" i="79" s="1"/>
  <c r="E40" i="79"/>
  <c r="E385" i="79" s="1"/>
  <c r="K385" i="79" s="1"/>
  <c r="E41" i="79"/>
  <c r="E42" i="79"/>
  <c r="E43" i="79"/>
  <c r="E388" i="79" s="1"/>
  <c r="K388" i="79" s="1"/>
  <c r="E44" i="79"/>
  <c r="E389" i="79" s="1"/>
  <c r="K389" i="79" s="1"/>
  <c r="E45" i="79"/>
  <c r="E46" i="79"/>
  <c r="K46" i="79" s="1"/>
  <c r="E47" i="79"/>
  <c r="E392" i="79" s="1"/>
  <c r="K392" i="79" s="1"/>
  <c r="E48" i="79"/>
  <c r="E393" i="79" s="1"/>
  <c r="K393" i="79" s="1"/>
  <c r="G223" i="79"/>
  <c r="E224" i="79"/>
  <c r="G224" i="79"/>
  <c r="CQ224" i="79" s="1"/>
  <c r="E225" i="79"/>
  <c r="G225" i="79"/>
  <c r="DG225" i="79" s="1"/>
  <c r="E226" i="79"/>
  <c r="G226" i="79"/>
  <c r="CQ226" i="79" s="1"/>
  <c r="E227" i="79"/>
  <c r="G227" i="79"/>
  <c r="FK227" i="79" s="1"/>
  <c r="E229" i="79"/>
  <c r="G229" i="79"/>
  <c r="EM229" i="79" s="1"/>
  <c r="E230" i="79"/>
  <c r="G230" i="79"/>
  <c r="AM230" i="79" s="1"/>
  <c r="E231" i="79"/>
  <c r="G231" i="79"/>
  <c r="FK231" i="79" s="1"/>
  <c r="E232" i="79"/>
  <c r="G232" i="79"/>
  <c r="DO232" i="79" s="1"/>
  <c r="E234" i="79"/>
  <c r="G234" i="79"/>
  <c r="W234" i="79" s="1"/>
  <c r="E221" i="79"/>
  <c r="G221" i="79"/>
  <c r="FK221" i="79" s="1"/>
  <c r="E228" i="79"/>
  <c r="G228" i="79"/>
  <c r="DG228" i="79" s="1"/>
  <c r="E241" i="79"/>
  <c r="G241" i="79"/>
  <c r="DG241" i="79" s="1"/>
  <c r="E242" i="79"/>
  <c r="G242" i="79"/>
  <c r="E243" i="79"/>
  <c r="G243" i="79"/>
  <c r="AU243" i="79" s="1"/>
  <c r="E244" i="79"/>
  <c r="K244" i="79" s="1"/>
  <c r="G244" i="79"/>
  <c r="FJ244" i="79"/>
  <c r="E245" i="79"/>
  <c r="K245" i="79" s="1"/>
  <c r="G245" i="79"/>
  <c r="FJ245" i="79"/>
  <c r="E246" i="79"/>
  <c r="G246" i="79"/>
  <c r="FJ246" i="79"/>
  <c r="E247" i="79"/>
  <c r="K247" i="79" s="1"/>
  <c r="G247" i="79"/>
  <c r="FJ247" i="79"/>
  <c r="E248" i="79"/>
  <c r="K248" i="79" s="1"/>
  <c r="G248" i="79"/>
  <c r="FJ248" i="79"/>
  <c r="E249" i="79"/>
  <c r="K249" i="79" s="1"/>
  <c r="G249" i="79"/>
  <c r="FJ249" i="79"/>
  <c r="E250" i="79"/>
  <c r="G250" i="79"/>
  <c r="E251" i="79"/>
  <c r="K251" i="79" s="1"/>
  <c r="G251" i="79"/>
  <c r="E252" i="79"/>
  <c r="G252" i="79"/>
  <c r="FK252" i="79" s="1"/>
  <c r="E253" i="79"/>
  <c r="K253" i="79" s="1"/>
  <c r="G253" i="79"/>
  <c r="EU253" i="79" s="1"/>
  <c r="E254" i="79"/>
  <c r="G254" i="79"/>
  <c r="CY254" i="79" s="1"/>
  <c r="E255" i="79"/>
  <c r="G255" i="79"/>
  <c r="FK255" i="79" s="1"/>
  <c r="E256" i="79"/>
  <c r="G256" i="79"/>
  <c r="AU256" i="79" s="1"/>
  <c r="E87" i="79"/>
  <c r="G87" i="79"/>
  <c r="O87" i="79" s="1"/>
  <c r="E88" i="79"/>
  <c r="G88" i="79"/>
  <c r="FK88" i="79" s="1"/>
  <c r="E89" i="79"/>
  <c r="G89" i="79"/>
  <c r="BC89" i="79" s="1"/>
  <c r="E90" i="79"/>
  <c r="G90" i="79"/>
  <c r="FC90" i="79" s="1"/>
  <c r="E91" i="79"/>
  <c r="G91" i="79"/>
  <c r="AU91" i="79" s="1"/>
  <c r="E92" i="79"/>
  <c r="G92" i="79"/>
  <c r="BS92" i="79" s="1"/>
  <c r="E96" i="79"/>
  <c r="K96" i="79" s="1"/>
  <c r="G96" i="79"/>
  <c r="E97" i="79"/>
  <c r="G97" i="79"/>
  <c r="AE97" i="79" s="1"/>
  <c r="E98" i="79"/>
  <c r="G98" i="79"/>
  <c r="CI98" i="79" s="1"/>
  <c r="E99" i="79"/>
  <c r="K99" i="79" s="1"/>
  <c r="G99" i="79"/>
  <c r="EU99" i="79" s="1"/>
  <c r="E103" i="79"/>
  <c r="K103" i="79" s="1"/>
  <c r="G103" i="79"/>
  <c r="E104" i="79"/>
  <c r="K104" i="79" s="1"/>
  <c r="G104" i="79"/>
  <c r="CQ104" i="79" s="1"/>
  <c r="E105" i="79"/>
  <c r="K105" i="79" s="1"/>
  <c r="G105" i="79"/>
  <c r="E106" i="79"/>
  <c r="G106" i="79"/>
  <c r="FK106" i="79" s="1"/>
  <c r="E107" i="79"/>
  <c r="G107" i="79"/>
  <c r="FK107" i="79" s="1"/>
  <c r="E108" i="79"/>
  <c r="K108" i="79" s="1"/>
  <c r="G108" i="79"/>
  <c r="E109" i="79"/>
  <c r="K109" i="79" s="1"/>
  <c r="G109" i="79"/>
  <c r="EM109" i="79" s="1"/>
  <c r="E110" i="79"/>
  <c r="K110" i="79" s="1"/>
  <c r="G110" i="79"/>
  <c r="CY110" i="79" s="1"/>
  <c r="E111" i="79"/>
  <c r="K111" i="79" s="1"/>
  <c r="G111" i="79"/>
  <c r="CQ111" i="79" s="1"/>
  <c r="E112" i="79"/>
  <c r="K112" i="79" s="1"/>
  <c r="G112" i="79"/>
  <c r="EM112" i="79" s="1"/>
  <c r="E114" i="79"/>
  <c r="K114" i="79" s="1"/>
  <c r="G114" i="79"/>
  <c r="E113" i="79"/>
  <c r="K113" i="79" s="1"/>
  <c r="G113" i="79"/>
  <c r="EE113" i="79" s="1"/>
  <c r="E115" i="79"/>
  <c r="K115" i="79" s="1"/>
  <c r="G115" i="79"/>
  <c r="FK115" i="79" s="1"/>
  <c r="E119" i="79"/>
  <c r="K119" i="79" s="1"/>
  <c r="G119" i="79"/>
  <c r="FK119" i="79" s="1"/>
  <c r="E120" i="79"/>
  <c r="K120" i="79" s="1"/>
  <c r="G120" i="79"/>
  <c r="DG120" i="79" s="1"/>
  <c r="E121" i="79"/>
  <c r="K121" i="79" s="1"/>
  <c r="G121" i="79"/>
  <c r="AE121" i="79" s="1"/>
  <c r="E122" i="79"/>
  <c r="G122" i="79"/>
  <c r="E123" i="79"/>
  <c r="G123" i="79"/>
  <c r="DO123" i="79" s="1"/>
  <c r="E124" i="79"/>
  <c r="G124" i="79"/>
  <c r="EE124" i="79" s="1"/>
  <c r="E125" i="79"/>
  <c r="K125" i="79" s="1"/>
  <c r="G125" i="79"/>
  <c r="FK125" i="79" s="1"/>
  <c r="E126" i="79"/>
  <c r="G126" i="79"/>
  <c r="E127" i="79"/>
  <c r="K127" i="79" s="1"/>
  <c r="G127" i="79"/>
  <c r="AU127" i="79" s="1"/>
  <c r="E128" i="79"/>
  <c r="K128" i="79" s="1"/>
  <c r="G128" i="79"/>
  <c r="FK128" i="79" s="1"/>
  <c r="E129" i="79"/>
  <c r="K129" i="79" s="1"/>
  <c r="G129" i="79"/>
  <c r="EE129" i="79" s="1"/>
  <c r="E130" i="79"/>
  <c r="K130" i="79" s="1"/>
  <c r="G130" i="79"/>
  <c r="FK130" i="79" s="1"/>
  <c r="E131" i="79"/>
  <c r="K131" i="79" s="1"/>
  <c r="G131" i="79"/>
  <c r="EU131" i="79" s="1"/>
  <c r="E132" i="79"/>
  <c r="G132" i="79"/>
  <c r="CA132" i="79" s="1"/>
  <c r="E57" i="79"/>
  <c r="K57" i="79" s="1"/>
  <c r="G57" i="79"/>
  <c r="BS57" i="79" s="1"/>
  <c r="E58" i="79"/>
  <c r="G58" i="79"/>
  <c r="CY58" i="79" s="1"/>
  <c r="G59" i="79"/>
  <c r="FK59" i="79" s="1"/>
  <c r="E60" i="79"/>
  <c r="K60" i="79" s="1"/>
  <c r="G60" i="79"/>
  <c r="DW60" i="79" s="1"/>
  <c r="E61" i="79"/>
  <c r="G61" i="79"/>
  <c r="EE61" i="79" s="1"/>
  <c r="E62" i="79"/>
  <c r="K62" i="79" s="1"/>
  <c r="G62" i="79"/>
  <c r="FK62" i="79" s="1"/>
  <c r="E63" i="79"/>
  <c r="K63" i="79" s="1"/>
  <c r="G63" i="79"/>
  <c r="CI63" i="79" s="1"/>
  <c r="E64" i="79"/>
  <c r="G64" i="79"/>
  <c r="EM64" i="79" s="1"/>
  <c r="E65" i="79"/>
  <c r="K65" i="79" s="1"/>
  <c r="G65" i="79"/>
  <c r="CI65" i="79" s="1"/>
  <c r="E66" i="79"/>
  <c r="K66" i="79" s="1"/>
  <c r="G66" i="79"/>
  <c r="DW66" i="79" s="1"/>
  <c r="E67" i="79"/>
  <c r="G67" i="79"/>
  <c r="FK67" i="79" s="1"/>
  <c r="E68" i="79"/>
  <c r="K68" i="79" s="1"/>
  <c r="G68" i="79"/>
  <c r="FK68" i="79" s="1"/>
  <c r="E69" i="79"/>
  <c r="K69" i="79" s="1"/>
  <c r="G69" i="79"/>
  <c r="DW69" i="79" s="1"/>
  <c r="E70" i="79"/>
  <c r="G70" i="79"/>
  <c r="FK70" i="79" s="1"/>
  <c r="E71" i="79"/>
  <c r="G71" i="79"/>
  <c r="E72" i="79"/>
  <c r="K72" i="79" s="1"/>
  <c r="G72" i="79"/>
  <c r="FK72" i="79" s="1"/>
  <c r="E73" i="79"/>
  <c r="G73" i="79"/>
  <c r="E147" i="79"/>
  <c r="K147" i="79" s="1"/>
  <c r="G147" i="79"/>
  <c r="AU147" i="79" s="1"/>
  <c r="E148" i="79"/>
  <c r="K148" i="79" s="1"/>
  <c r="G148" i="79"/>
  <c r="DW148" i="79" s="1"/>
  <c r="E149" i="79"/>
  <c r="K149" i="79" s="1"/>
  <c r="G149" i="79"/>
  <c r="EE149" i="79" s="1"/>
  <c r="E150" i="79"/>
  <c r="K150" i="79" s="1"/>
  <c r="G150" i="79"/>
  <c r="CQ150" i="79" s="1"/>
  <c r="E151" i="79"/>
  <c r="G151" i="79"/>
  <c r="FK151" i="79" s="1"/>
  <c r="E152" i="79"/>
  <c r="K152" i="79" s="1"/>
  <c r="G152" i="79"/>
  <c r="FK152" i="79" s="1"/>
  <c r="E153" i="79"/>
  <c r="K153" i="79" s="1"/>
  <c r="G153" i="79"/>
  <c r="BK153" i="79" s="1"/>
  <c r="E154" i="79"/>
  <c r="K154" i="79" s="1"/>
  <c r="G154" i="79"/>
  <c r="E155" i="79"/>
  <c r="G155" i="79"/>
  <c r="FK155" i="79" s="1"/>
  <c r="E139" i="79"/>
  <c r="K139" i="79" s="1"/>
  <c r="G139" i="79"/>
  <c r="DO139" i="79" s="1"/>
  <c r="E140" i="79"/>
  <c r="K140" i="79" s="1"/>
  <c r="G140" i="79"/>
  <c r="DG140" i="79" s="1"/>
  <c r="E141" i="79"/>
  <c r="G141" i="79"/>
  <c r="EE141" i="79" s="1"/>
  <c r="E142" i="79"/>
  <c r="K142" i="79" s="1"/>
  <c r="G142" i="79"/>
  <c r="AM142" i="79" s="1"/>
  <c r="G486" i="79"/>
  <c r="DG486" i="79" s="1"/>
  <c r="G489" i="79"/>
  <c r="G493" i="79"/>
  <c r="E301" i="79"/>
  <c r="K301" i="79" s="1"/>
  <c r="E305" i="79"/>
  <c r="G305" i="79"/>
  <c r="AU305" i="79" s="1"/>
  <c r="E306" i="79"/>
  <c r="G306" i="79"/>
  <c r="EU306" i="79" s="1"/>
  <c r="E307" i="79"/>
  <c r="G307" i="79"/>
  <c r="E308" i="79"/>
  <c r="G308" i="79"/>
  <c r="AU308" i="79" s="1"/>
  <c r="E309" i="79"/>
  <c r="G309" i="79"/>
  <c r="E310" i="79"/>
  <c r="K310" i="79" s="1"/>
  <c r="G310" i="79"/>
  <c r="FJ310" i="79"/>
  <c r="E311" i="79"/>
  <c r="K311" i="79" s="1"/>
  <c r="G311" i="79"/>
  <c r="FJ311" i="79"/>
  <c r="E291" i="79"/>
  <c r="K291" i="79" s="1"/>
  <c r="G291" i="79"/>
  <c r="AU291" i="79" s="1"/>
  <c r="E292" i="79"/>
  <c r="K292" i="79" s="1"/>
  <c r="G292" i="79"/>
  <c r="EU292" i="79" s="1"/>
  <c r="E293" i="79"/>
  <c r="K293" i="79" s="1"/>
  <c r="G293" i="79"/>
  <c r="DO293" i="79" s="1"/>
  <c r="E294" i="79"/>
  <c r="G294" i="79"/>
  <c r="EM294" i="79" s="1"/>
  <c r="E295" i="79"/>
  <c r="K295" i="79" s="1"/>
  <c r="G295" i="79"/>
  <c r="FK295" i="79" s="1"/>
  <c r="E296" i="79"/>
  <c r="G296" i="79"/>
  <c r="FK296" i="79" s="1"/>
  <c r="E297" i="79"/>
  <c r="K297" i="79" s="1"/>
  <c r="G297" i="79"/>
  <c r="FK297" i="79" s="1"/>
  <c r="E268" i="79"/>
  <c r="G268" i="79"/>
  <c r="CI268" i="79" s="1"/>
  <c r="E269" i="79"/>
  <c r="G269" i="79"/>
  <c r="FK269" i="79" s="1"/>
  <c r="E270" i="79"/>
  <c r="G270" i="79"/>
  <c r="E274" i="79"/>
  <c r="K274" i="79" s="1"/>
  <c r="G274" i="79"/>
  <c r="E275" i="79"/>
  <c r="K275" i="79" s="1"/>
  <c r="G275" i="79"/>
  <c r="EU275" i="79" s="1"/>
  <c r="E276" i="79"/>
  <c r="G276" i="79"/>
  <c r="E277" i="79"/>
  <c r="G277" i="79"/>
  <c r="FK277" i="79" s="1"/>
  <c r="E278" i="79"/>
  <c r="G278" i="79"/>
  <c r="FK278" i="79" s="1"/>
  <c r="K278" i="79"/>
  <c r="E279" i="79"/>
  <c r="K279" i="79" s="1"/>
  <c r="G279" i="79"/>
  <c r="AM279" i="79" s="1"/>
  <c r="E280" i="79"/>
  <c r="K280" i="79" s="1"/>
  <c r="G280" i="79"/>
  <c r="FK280" i="79" s="1"/>
  <c r="H345" i="79"/>
  <c r="FB177" i="79"/>
  <c r="FC177" i="79" s="1"/>
  <c r="FB178" i="79"/>
  <c r="FB181" i="79"/>
  <c r="FB182" i="79"/>
  <c r="FB184" i="79"/>
  <c r="FB185" i="79"/>
  <c r="FB188" i="79"/>
  <c r="FB189" i="79"/>
  <c r="FB192" i="79"/>
  <c r="FB193" i="79"/>
  <c r="FB199" i="79"/>
  <c r="FC199" i="79" s="1"/>
  <c r="FB200" i="79"/>
  <c r="FB201" i="79"/>
  <c r="FB22" i="79"/>
  <c r="FB23" i="79"/>
  <c r="FC23" i="79" s="1"/>
  <c r="FC399" i="79" s="1"/>
  <c r="FB24" i="79"/>
  <c r="FB25" i="79"/>
  <c r="FC242" i="79"/>
  <c r="FB244" i="79"/>
  <c r="FB245" i="79"/>
  <c r="FB246" i="79"/>
  <c r="FB247" i="79"/>
  <c r="FB248" i="79"/>
  <c r="FB249" i="79"/>
  <c r="FC255" i="79"/>
  <c r="FC60" i="79"/>
  <c r="FC72" i="79"/>
  <c r="FC307" i="79"/>
  <c r="FB310" i="79"/>
  <c r="FB311" i="79"/>
  <c r="ET177" i="79"/>
  <c r="ET178" i="79"/>
  <c r="ET181" i="79"/>
  <c r="ET182" i="79"/>
  <c r="ET184" i="79"/>
  <c r="ET185" i="79"/>
  <c r="EU185" i="79" s="1"/>
  <c r="ET188" i="79"/>
  <c r="ET189" i="79"/>
  <c r="ET192" i="79"/>
  <c r="ET193" i="79"/>
  <c r="ET199" i="79"/>
  <c r="EU199" i="79" s="1"/>
  <c r="ET200" i="79"/>
  <c r="ET201" i="79"/>
  <c r="ET22" i="79"/>
  <c r="ET23" i="79"/>
  <c r="ET24" i="79"/>
  <c r="ET25" i="79"/>
  <c r="EU243" i="79"/>
  <c r="ET244" i="79"/>
  <c r="ET245" i="79"/>
  <c r="ET246" i="79"/>
  <c r="ET247" i="79"/>
  <c r="ET248" i="79"/>
  <c r="ET249" i="79"/>
  <c r="EU113" i="79"/>
  <c r="EU128" i="79"/>
  <c r="ET310" i="79"/>
  <c r="ET311" i="79"/>
  <c r="EU295" i="79"/>
  <c r="EU269" i="79"/>
  <c r="EU270" i="79"/>
  <c r="EL177" i="79"/>
  <c r="EM177" i="79" s="1"/>
  <c r="EL178" i="79"/>
  <c r="EL181" i="79"/>
  <c r="EL182" i="79"/>
  <c r="EL184" i="79"/>
  <c r="EL185" i="79"/>
  <c r="EL188" i="79"/>
  <c r="EL189" i="79"/>
  <c r="EL192" i="79"/>
  <c r="EL193" i="79"/>
  <c r="EL199" i="79"/>
  <c r="EM199" i="79" s="1"/>
  <c r="EL200" i="79"/>
  <c r="EL201" i="79"/>
  <c r="EL22" i="79"/>
  <c r="EL23" i="79"/>
  <c r="EL24" i="79"/>
  <c r="EL25" i="79"/>
  <c r="EM243" i="79"/>
  <c r="EL244" i="79"/>
  <c r="EL245" i="79"/>
  <c r="EM245" i="79" s="1"/>
  <c r="EL246" i="79"/>
  <c r="EL247" i="79"/>
  <c r="EL248" i="79"/>
  <c r="EL249" i="79"/>
  <c r="EM128" i="79"/>
  <c r="EM306" i="79"/>
  <c r="EL310" i="79"/>
  <c r="EL311" i="79"/>
  <c r="EM270" i="79"/>
  <c r="ED177" i="79"/>
  <c r="ED178" i="79"/>
  <c r="ED181" i="79"/>
  <c r="ED182" i="79"/>
  <c r="EE182" i="79" s="1"/>
  <c r="ED184" i="79"/>
  <c r="ED185" i="79"/>
  <c r="EE185" i="79" s="1"/>
  <c r="ED188" i="79"/>
  <c r="ED189" i="79"/>
  <c r="ED192" i="79"/>
  <c r="ED193" i="79"/>
  <c r="ED199" i="79"/>
  <c r="ED200" i="79"/>
  <c r="ED201" i="79"/>
  <c r="ED22" i="79"/>
  <c r="ED23" i="79"/>
  <c r="ED24" i="79"/>
  <c r="ED25" i="79"/>
  <c r="EE232" i="79"/>
  <c r="EE234" i="79"/>
  <c r="EE242" i="79"/>
  <c r="ED244" i="79"/>
  <c r="ED245" i="79"/>
  <c r="EE245" i="79" s="1"/>
  <c r="EF245" i="79" s="1"/>
  <c r="ED246" i="79"/>
  <c r="ED247" i="79"/>
  <c r="ED248" i="79"/>
  <c r="EE248" i="79" s="1"/>
  <c r="ED249" i="79"/>
  <c r="EE255" i="79"/>
  <c r="EE256" i="79"/>
  <c r="EE98" i="79"/>
  <c r="EE306" i="79"/>
  <c r="EE307" i="79"/>
  <c r="ED310" i="79"/>
  <c r="ED311" i="79"/>
  <c r="EE293" i="79"/>
  <c r="EE270" i="79"/>
  <c r="DV177" i="79"/>
  <c r="DV178" i="79"/>
  <c r="DV181" i="79"/>
  <c r="DV182" i="79"/>
  <c r="DV184" i="79"/>
  <c r="DV185" i="79"/>
  <c r="DV188" i="79"/>
  <c r="DV189" i="79"/>
  <c r="DV192" i="79"/>
  <c r="DV193" i="79"/>
  <c r="DV199" i="79"/>
  <c r="DW199" i="79" s="1"/>
  <c r="DV200" i="79"/>
  <c r="DV201" i="79"/>
  <c r="DW201" i="79" s="1"/>
  <c r="DV22" i="79"/>
  <c r="DV23" i="79"/>
  <c r="DV24" i="79"/>
  <c r="DV25" i="79"/>
  <c r="DW232" i="79"/>
  <c r="DW242" i="79"/>
  <c r="DV244" i="79"/>
  <c r="DV245" i="79"/>
  <c r="DV246" i="79"/>
  <c r="DV247" i="79"/>
  <c r="DV248" i="79"/>
  <c r="DV249" i="79"/>
  <c r="DW255" i="79"/>
  <c r="DW256" i="79"/>
  <c r="DW72" i="79"/>
  <c r="DW149" i="79"/>
  <c r="DW155" i="79"/>
  <c r="DW307" i="79"/>
  <c r="DV310" i="79"/>
  <c r="DW310" i="79" s="1"/>
  <c r="DV311" i="79"/>
  <c r="DW270" i="79"/>
  <c r="DW278" i="79"/>
  <c r="DN177" i="79"/>
  <c r="DN178" i="79"/>
  <c r="DN181" i="79"/>
  <c r="DN182" i="79"/>
  <c r="DN184" i="79"/>
  <c r="DN185" i="79"/>
  <c r="DN188" i="79"/>
  <c r="DN189" i="79"/>
  <c r="DN192" i="79"/>
  <c r="DN193" i="79"/>
  <c r="DN199" i="79"/>
  <c r="DN200" i="79"/>
  <c r="DN201" i="79"/>
  <c r="DO214" i="79"/>
  <c r="DN22" i="79"/>
  <c r="DN23" i="79"/>
  <c r="DN24" i="79"/>
  <c r="DN25" i="79"/>
  <c r="DO225" i="79"/>
  <c r="DO221" i="79"/>
  <c r="DN244" i="79"/>
  <c r="DN245" i="79"/>
  <c r="DN246" i="79"/>
  <c r="DN247" i="79"/>
  <c r="DN248" i="79"/>
  <c r="DN249" i="79"/>
  <c r="DO307" i="79"/>
  <c r="DO308" i="79"/>
  <c r="DN310" i="79"/>
  <c r="DN311" i="79"/>
  <c r="DO295" i="79"/>
  <c r="DO296" i="79"/>
  <c r="DO270" i="79"/>
  <c r="DF177" i="79"/>
  <c r="DF178" i="79"/>
  <c r="DF181" i="79"/>
  <c r="DF182" i="79"/>
  <c r="DF184" i="79"/>
  <c r="DF185" i="79"/>
  <c r="DF188" i="79"/>
  <c r="DG188" i="79" s="1"/>
  <c r="DF189" i="79"/>
  <c r="DF192" i="79"/>
  <c r="DF193" i="79"/>
  <c r="DF199" i="79"/>
  <c r="DG199" i="79" s="1"/>
  <c r="DF200" i="79"/>
  <c r="DF201" i="79"/>
  <c r="DG201" i="79" s="1"/>
  <c r="DG205" i="79"/>
  <c r="DF22" i="79"/>
  <c r="DF23" i="79"/>
  <c r="DF24" i="79"/>
  <c r="DF25" i="79"/>
  <c r="DG242" i="79"/>
  <c r="DF244" i="79"/>
  <c r="DF245" i="79"/>
  <c r="DG245" i="79" s="1"/>
  <c r="DF246" i="79"/>
  <c r="DF247" i="79"/>
  <c r="DG247" i="79" s="1"/>
  <c r="DF248" i="79"/>
  <c r="DF249" i="79"/>
  <c r="DG255" i="79"/>
  <c r="DG98" i="79"/>
  <c r="DG113" i="79"/>
  <c r="DG307" i="79"/>
  <c r="DG308" i="79"/>
  <c r="DF310" i="79"/>
  <c r="DF311" i="79"/>
  <c r="DG270" i="79"/>
  <c r="DG276" i="79"/>
  <c r="DG278" i="79"/>
  <c r="CX177" i="79"/>
  <c r="CX178" i="79"/>
  <c r="CX181" i="79"/>
  <c r="CX182" i="79"/>
  <c r="CX184" i="79"/>
  <c r="CX185" i="79"/>
  <c r="CX188" i="79"/>
  <c r="CX189" i="79"/>
  <c r="CX192" i="79"/>
  <c r="CX193" i="79"/>
  <c r="CX199" i="79"/>
  <c r="CX200" i="79"/>
  <c r="CX201" i="79"/>
  <c r="CY210" i="79"/>
  <c r="CX22" i="79"/>
  <c r="CX23" i="79"/>
  <c r="CX24" i="79"/>
  <c r="CX25" i="79"/>
  <c r="CY234" i="79"/>
  <c r="CY243" i="79"/>
  <c r="CX244" i="79"/>
  <c r="CX245" i="79"/>
  <c r="CY245" i="79" s="1"/>
  <c r="DA245" i="79" s="1"/>
  <c r="CX246" i="79"/>
  <c r="CX247" i="79"/>
  <c r="CX248" i="79"/>
  <c r="CX249" i="79"/>
  <c r="CY128" i="79"/>
  <c r="CY60" i="79"/>
  <c r="CY306" i="79"/>
  <c r="CY307" i="79"/>
  <c r="CX310" i="79"/>
  <c r="CX311" i="79"/>
  <c r="CY291" i="79"/>
  <c r="CY270" i="79"/>
  <c r="CP177" i="79"/>
  <c r="CQ177" i="79" s="1"/>
  <c r="CP178" i="79"/>
  <c r="CP181" i="79"/>
  <c r="CP182" i="79"/>
  <c r="CQ182" i="79" s="1"/>
  <c r="CP184" i="79"/>
  <c r="CP185" i="79"/>
  <c r="CQ185" i="79" s="1"/>
  <c r="CP188" i="79"/>
  <c r="CQ188" i="79" s="1"/>
  <c r="CP189" i="79"/>
  <c r="CP192" i="79"/>
  <c r="CP193" i="79"/>
  <c r="CP199" i="79"/>
  <c r="CQ199" i="79" s="1"/>
  <c r="CP200" i="79"/>
  <c r="CP201" i="79"/>
  <c r="CP22" i="79"/>
  <c r="CP23" i="79"/>
  <c r="CP24" i="79"/>
  <c r="CP25" i="79"/>
  <c r="CP244" i="79"/>
  <c r="CP245" i="79"/>
  <c r="CQ245" i="79" s="1"/>
  <c r="CP246" i="79"/>
  <c r="CP247" i="79"/>
  <c r="CP248" i="79"/>
  <c r="CP249" i="79"/>
  <c r="CQ60" i="79"/>
  <c r="CQ69" i="79"/>
  <c r="CQ72" i="79"/>
  <c r="CS72" i="79" s="1"/>
  <c r="CQ486" i="79"/>
  <c r="CQ307" i="79"/>
  <c r="CP310" i="79"/>
  <c r="CQ310" i="79" s="1"/>
  <c r="CP311" i="79"/>
  <c r="CQ311" i="79" s="1"/>
  <c r="CQ291" i="79"/>
  <c r="CQ270" i="79"/>
  <c r="CQ277" i="79"/>
  <c r="CH177" i="79"/>
  <c r="CI177" i="79" s="1"/>
  <c r="CH178" i="79"/>
  <c r="CH181" i="79"/>
  <c r="CH182" i="79"/>
  <c r="CI182" i="79" s="1"/>
  <c r="CH184" i="79"/>
  <c r="CH185" i="79"/>
  <c r="CH188" i="79"/>
  <c r="CH189" i="79"/>
  <c r="CH192" i="79"/>
  <c r="CH193" i="79"/>
  <c r="CI195" i="79"/>
  <c r="CH199" i="79"/>
  <c r="CH200" i="79"/>
  <c r="CH201" i="79"/>
  <c r="CI201" i="79" s="1"/>
  <c r="CI205" i="79"/>
  <c r="CI210" i="79"/>
  <c r="CH22" i="79"/>
  <c r="CH23" i="79"/>
  <c r="CI23" i="79" s="1"/>
  <c r="CI399" i="79" s="1"/>
  <c r="CH24" i="79"/>
  <c r="CH25" i="79"/>
  <c r="CH244" i="79"/>
  <c r="CH245" i="79"/>
  <c r="CH246" i="79"/>
  <c r="CH247" i="79"/>
  <c r="CH248" i="79"/>
  <c r="CH249" i="79"/>
  <c r="CI107" i="79"/>
  <c r="CI128" i="79"/>
  <c r="CI140" i="79"/>
  <c r="CI486" i="79"/>
  <c r="CI307" i="79"/>
  <c r="CH310" i="79"/>
  <c r="CH311" i="79"/>
  <c r="CI270" i="79"/>
  <c r="BZ177" i="79"/>
  <c r="BZ178" i="79"/>
  <c r="BZ181" i="79"/>
  <c r="BZ182" i="79"/>
  <c r="BZ184" i="79"/>
  <c r="BZ185" i="79"/>
  <c r="BZ188" i="79"/>
  <c r="BZ189" i="79"/>
  <c r="BZ192" i="79"/>
  <c r="BZ193" i="79"/>
  <c r="BZ199" i="79"/>
  <c r="BZ200" i="79"/>
  <c r="BZ201" i="79"/>
  <c r="BZ22" i="79"/>
  <c r="BZ23" i="79"/>
  <c r="CA23" i="79" s="1"/>
  <c r="CA399" i="79" s="1"/>
  <c r="BZ24" i="79"/>
  <c r="BZ25" i="79"/>
  <c r="CA234" i="79"/>
  <c r="CA243" i="79"/>
  <c r="BZ244" i="79"/>
  <c r="BZ245" i="79"/>
  <c r="CA245" i="79" s="1"/>
  <c r="CB245" i="79" s="1"/>
  <c r="BZ246" i="79"/>
  <c r="BZ247" i="79"/>
  <c r="BZ248" i="79"/>
  <c r="BZ249" i="79"/>
  <c r="CA128" i="79"/>
  <c r="CA60" i="79"/>
  <c r="CA307" i="79"/>
  <c r="BZ310" i="79"/>
  <c r="BZ311" i="79"/>
  <c r="CA270" i="79"/>
  <c r="BR177" i="79"/>
  <c r="BS177" i="79" s="1"/>
  <c r="BR178" i="79"/>
  <c r="BR181" i="79"/>
  <c r="BR182" i="79"/>
  <c r="BR184" i="79"/>
  <c r="BR185" i="79"/>
  <c r="BR188" i="79"/>
  <c r="BS188" i="79" s="1"/>
  <c r="BR189" i="79"/>
  <c r="BR192" i="79"/>
  <c r="BR193" i="79"/>
  <c r="BR199" i="79"/>
  <c r="BS199" i="79" s="1"/>
  <c r="BR200" i="79"/>
  <c r="BR201" i="79"/>
  <c r="BS210" i="79"/>
  <c r="BS214" i="79"/>
  <c r="BR22" i="79"/>
  <c r="BR23" i="79"/>
  <c r="BR24" i="79"/>
  <c r="BR25" i="79"/>
  <c r="BS242" i="79"/>
  <c r="BS243" i="79"/>
  <c r="BR244" i="79"/>
  <c r="BR245" i="79"/>
  <c r="BS245" i="79" s="1"/>
  <c r="BR246" i="79"/>
  <c r="BR247" i="79"/>
  <c r="BR248" i="79"/>
  <c r="BR249" i="79"/>
  <c r="BS249" i="79" s="1"/>
  <c r="BS255" i="79"/>
  <c r="BS60" i="79"/>
  <c r="BS72" i="79"/>
  <c r="BT72" i="79" s="1"/>
  <c r="BS307" i="79"/>
  <c r="BR310" i="79"/>
  <c r="BR311" i="79"/>
  <c r="BS270" i="79"/>
  <c r="L140" i="76"/>
  <c r="L20" i="76" s="1"/>
  <c r="L149" i="76"/>
  <c r="L33" i="76" s="1"/>
  <c r="BJ177" i="79"/>
  <c r="BJ178" i="79"/>
  <c r="BJ181" i="79"/>
  <c r="BJ182" i="79"/>
  <c r="BJ184" i="79"/>
  <c r="BJ185" i="79"/>
  <c r="BK185" i="79" s="1"/>
  <c r="BJ188" i="79"/>
  <c r="BK188" i="79" s="1"/>
  <c r="BJ189" i="79"/>
  <c r="BJ192" i="79"/>
  <c r="BJ193" i="79"/>
  <c r="BJ199" i="79"/>
  <c r="BK199" i="79" s="1"/>
  <c r="BJ200" i="79"/>
  <c r="BJ201" i="79"/>
  <c r="BJ22" i="79"/>
  <c r="BJ23" i="79"/>
  <c r="BJ24" i="79"/>
  <c r="BJ25" i="79"/>
  <c r="BK232" i="79"/>
  <c r="BK242" i="79"/>
  <c r="BK243" i="79"/>
  <c r="BJ244" i="79"/>
  <c r="BJ245" i="79"/>
  <c r="BJ246" i="79"/>
  <c r="BJ247" i="79"/>
  <c r="BJ248" i="79"/>
  <c r="BJ249" i="79"/>
  <c r="BK249" i="79" s="1"/>
  <c r="BK255" i="79"/>
  <c r="BK98" i="79"/>
  <c r="BK113" i="79"/>
  <c r="BK307" i="79"/>
  <c r="BK308" i="79"/>
  <c r="BJ310" i="79"/>
  <c r="BK310" i="79" s="1"/>
  <c r="BJ311" i="79"/>
  <c r="BK270" i="79"/>
  <c r="BK279" i="79"/>
  <c r="K140" i="76"/>
  <c r="K20" i="76" s="1"/>
  <c r="K149" i="76"/>
  <c r="K33" i="76" s="1"/>
  <c r="BB177" i="79"/>
  <c r="BC177" i="79" s="1"/>
  <c r="BB178" i="79"/>
  <c r="BB181" i="79"/>
  <c r="BB182" i="79"/>
  <c r="BB184" i="79"/>
  <c r="BB185" i="79"/>
  <c r="BC185" i="79" s="1"/>
  <c r="BB188" i="79"/>
  <c r="BB189" i="79"/>
  <c r="BB192" i="79"/>
  <c r="BB193" i="79"/>
  <c r="BB199" i="79"/>
  <c r="BC199" i="79" s="1"/>
  <c r="BB200" i="79"/>
  <c r="BB201" i="79"/>
  <c r="BB22" i="79"/>
  <c r="BB23" i="79"/>
  <c r="BC23" i="79" s="1"/>
  <c r="BC399" i="79" s="1"/>
  <c r="BB24" i="79"/>
  <c r="BB25" i="79"/>
  <c r="BC16" i="79"/>
  <c r="BC410" i="79" s="1"/>
  <c r="BC232" i="79"/>
  <c r="BC242" i="79"/>
  <c r="BB244" i="79"/>
  <c r="BB245" i="79"/>
  <c r="BB246" i="79"/>
  <c r="BB247" i="79"/>
  <c r="BB248" i="79"/>
  <c r="BB249" i="79"/>
  <c r="BC249" i="79" s="1"/>
  <c r="BC255" i="79"/>
  <c r="BC120" i="79"/>
  <c r="BC128" i="79"/>
  <c r="BC307" i="79"/>
  <c r="BC308" i="79"/>
  <c r="BC309" i="79"/>
  <c r="BB310" i="79"/>
  <c r="BC310" i="79" s="1"/>
  <c r="BB311" i="79"/>
  <c r="BC311" i="79" s="1"/>
  <c r="BC291" i="79"/>
  <c r="BC295" i="79"/>
  <c r="BC296" i="79"/>
  <c r="BC270" i="79"/>
  <c r="AT177" i="79"/>
  <c r="AT178" i="79"/>
  <c r="AT181" i="79"/>
  <c r="AU181" i="79" s="1"/>
  <c r="AT182" i="79"/>
  <c r="AU182" i="79" s="1"/>
  <c r="AV182" i="79" s="1"/>
  <c r="AT184" i="79"/>
  <c r="AT185" i="79"/>
  <c r="AT188" i="79"/>
  <c r="AT189" i="79"/>
  <c r="AT192" i="79"/>
  <c r="AT193" i="79"/>
  <c r="AT199" i="79"/>
  <c r="AT200" i="79"/>
  <c r="AT201" i="79"/>
  <c r="AU210" i="79"/>
  <c r="AU214" i="79"/>
  <c r="AT22" i="79"/>
  <c r="AT23" i="79"/>
  <c r="AT24" i="79"/>
  <c r="AT25" i="79"/>
  <c r="AU242" i="79"/>
  <c r="AT244" i="79"/>
  <c r="AT245" i="79"/>
  <c r="AT246" i="79"/>
  <c r="AT247" i="79"/>
  <c r="AT248" i="79"/>
  <c r="AT249" i="79"/>
  <c r="AU249" i="79" s="1"/>
  <c r="AU255" i="79"/>
  <c r="AU98" i="79"/>
  <c r="AU128" i="79"/>
  <c r="AU60" i="79"/>
  <c r="AU307" i="79"/>
  <c r="AT310" i="79"/>
  <c r="AU310" i="79" s="1"/>
  <c r="AT311" i="79"/>
  <c r="AU295" i="79"/>
  <c r="AU296" i="79"/>
  <c r="AU270" i="79"/>
  <c r="AU276" i="79"/>
  <c r="I122" i="76"/>
  <c r="AL470" i="79" s="1"/>
  <c r="I123" i="76"/>
  <c r="AL473" i="79" s="1"/>
  <c r="AL177" i="79"/>
  <c r="AL178" i="79"/>
  <c r="AL180" i="79"/>
  <c r="AM180" i="79" s="1"/>
  <c r="AL181" i="79"/>
  <c r="AL182" i="79"/>
  <c r="AL184" i="79"/>
  <c r="AL185" i="79"/>
  <c r="AL188" i="79"/>
  <c r="AL189" i="79"/>
  <c r="AL192" i="79"/>
  <c r="AM192" i="79" s="1"/>
  <c r="AL193" i="79"/>
  <c r="AL199" i="79"/>
  <c r="AL200" i="79"/>
  <c r="AL201" i="79"/>
  <c r="AM201" i="79" s="1"/>
  <c r="AM205" i="79"/>
  <c r="AM210" i="79"/>
  <c r="AL22" i="79"/>
  <c r="AL23" i="79"/>
  <c r="AM23" i="79" s="1"/>
  <c r="AM399" i="79" s="1"/>
  <c r="AL24" i="79"/>
  <c r="AL25" i="79"/>
  <c r="AM224" i="79"/>
  <c r="AM242" i="79"/>
  <c r="AL244" i="79"/>
  <c r="AL245" i="79"/>
  <c r="AL246" i="79"/>
  <c r="AL247" i="79"/>
  <c r="AL248" i="79"/>
  <c r="AL249" i="79"/>
  <c r="AM249" i="79" s="1"/>
  <c r="AM255" i="79"/>
  <c r="AM256" i="79"/>
  <c r="AM60" i="79"/>
  <c r="AM307" i="79"/>
  <c r="AM309" i="79"/>
  <c r="AL310" i="79"/>
  <c r="AM310" i="79" s="1"/>
  <c r="AL311" i="79"/>
  <c r="AM311" i="79" s="1"/>
  <c r="AM270" i="79"/>
  <c r="AM276" i="79"/>
  <c r="AM277" i="79"/>
  <c r="AE478" i="79"/>
  <c r="H140" i="76"/>
  <c r="AD177" i="79"/>
  <c r="AD178" i="79"/>
  <c r="AD181" i="79"/>
  <c r="AD182" i="79"/>
  <c r="AE182" i="79" s="1"/>
  <c r="AD184" i="79"/>
  <c r="AD185" i="79"/>
  <c r="AD188" i="79"/>
  <c r="AD189" i="79"/>
  <c r="AD192" i="79"/>
  <c r="AD193" i="79"/>
  <c r="AD199" i="79"/>
  <c r="AD200" i="79"/>
  <c r="AD201" i="79"/>
  <c r="AE201" i="79" s="1"/>
  <c r="AE205" i="79"/>
  <c r="AD22" i="79"/>
  <c r="AD23" i="79"/>
  <c r="AE23" i="79" s="1"/>
  <c r="AE399" i="79" s="1"/>
  <c r="AD24" i="79"/>
  <c r="AE24" i="79" s="1"/>
  <c r="AE400" i="79" s="1"/>
  <c r="AD25" i="79"/>
  <c r="AE225" i="79"/>
  <c r="AE234" i="79"/>
  <c r="AE243" i="79"/>
  <c r="AD244" i="79"/>
  <c r="AD245" i="79"/>
  <c r="AD246" i="79"/>
  <c r="AD247" i="79"/>
  <c r="AD248" i="79"/>
  <c r="AD249" i="79"/>
  <c r="AE92" i="79"/>
  <c r="AE60" i="79"/>
  <c r="AE69" i="79"/>
  <c r="AE140" i="79"/>
  <c r="AE141" i="79"/>
  <c r="AE307" i="79"/>
  <c r="AE308" i="79"/>
  <c r="AD310" i="79"/>
  <c r="AD311" i="79"/>
  <c r="AE294" i="79"/>
  <c r="AE295" i="79"/>
  <c r="AE296" i="79"/>
  <c r="AE270" i="79"/>
  <c r="AE277" i="79"/>
  <c r="G122" i="76"/>
  <c r="V470" i="79" s="1"/>
  <c r="G123" i="76"/>
  <c r="V473" i="79" s="1"/>
  <c r="V177" i="79"/>
  <c r="V178" i="79"/>
  <c r="V181" i="79"/>
  <c r="V182" i="79"/>
  <c r="V184" i="79"/>
  <c r="V185" i="79"/>
  <c r="V188" i="79"/>
  <c r="V189" i="79"/>
  <c r="V192" i="79"/>
  <c r="V193" i="79"/>
  <c r="V199" i="79"/>
  <c r="V200" i="79"/>
  <c r="V201" i="79"/>
  <c r="W201" i="79" s="1"/>
  <c r="W205" i="79"/>
  <c r="W210" i="79"/>
  <c r="V22" i="79"/>
  <c r="V23" i="79"/>
  <c r="V24" i="79"/>
  <c r="V25" i="79"/>
  <c r="W232" i="79"/>
  <c r="W242" i="79"/>
  <c r="V244" i="79"/>
  <c r="V245" i="79"/>
  <c r="W245" i="79" s="1"/>
  <c r="X245" i="79" s="1"/>
  <c r="V246" i="79"/>
  <c r="V247" i="79"/>
  <c r="V248" i="79"/>
  <c r="V249" i="79"/>
  <c r="W255" i="79"/>
  <c r="W256" i="79"/>
  <c r="W128" i="79"/>
  <c r="W72" i="79"/>
  <c r="X72" i="79" s="1"/>
  <c r="W141" i="79"/>
  <c r="W306" i="79"/>
  <c r="W307" i="79"/>
  <c r="W308" i="79"/>
  <c r="V310" i="79"/>
  <c r="V311" i="79"/>
  <c r="W270" i="79"/>
  <c r="W277" i="79"/>
  <c r="N177" i="79"/>
  <c r="N178" i="79"/>
  <c r="N181" i="79"/>
  <c r="N182" i="79"/>
  <c r="N184" i="79"/>
  <c r="N185" i="79"/>
  <c r="N188" i="79"/>
  <c r="N189" i="79"/>
  <c r="N192" i="79"/>
  <c r="N193" i="79"/>
  <c r="N199" i="79"/>
  <c r="N200" i="79"/>
  <c r="N201" i="79"/>
  <c r="N22" i="79"/>
  <c r="N23" i="79"/>
  <c r="O23" i="79" s="1"/>
  <c r="O399" i="79" s="1"/>
  <c r="N24" i="79"/>
  <c r="N25" i="79"/>
  <c r="O225" i="79"/>
  <c r="O232" i="79"/>
  <c r="O234" i="79"/>
  <c r="N244" i="79"/>
  <c r="N245" i="79"/>
  <c r="O245" i="79" s="1"/>
  <c r="N246" i="79"/>
  <c r="N247" i="79"/>
  <c r="N248" i="79"/>
  <c r="N249" i="79"/>
  <c r="O60" i="79"/>
  <c r="O61" i="79"/>
  <c r="O307" i="79"/>
  <c r="N310" i="79"/>
  <c r="N311" i="79"/>
  <c r="O270" i="79"/>
  <c r="AU3" i="79"/>
  <c r="H87" i="35"/>
  <c r="K87" i="35" s="1"/>
  <c r="H86" i="35"/>
  <c r="K86" i="35" s="1"/>
  <c r="H85" i="35"/>
  <c r="K85" i="35" s="1"/>
  <c r="H84" i="35"/>
  <c r="K84" i="35" s="1"/>
  <c r="H83" i="35"/>
  <c r="K83" i="35" s="1"/>
  <c r="H82" i="35"/>
  <c r="K82" i="35" s="1"/>
  <c r="H81" i="35"/>
  <c r="K81" i="35" s="1"/>
  <c r="H80" i="35"/>
  <c r="K80" i="35" s="1"/>
  <c r="H79" i="35"/>
  <c r="K79" i="35" s="1"/>
  <c r="H78" i="35"/>
  <c r="K78" i="35" s="1"/>
  <c r="E87" i="37"/>
  <c r="D87" i="37"/>
  <c r="F70" i="37"/>
  <c r="J167" i="76"/>
  <c r="I158" i="76"/>
  <c r="G149" i="76"/>
  <c r="G150" i="76"/>
  <c r="L185" i="76"/>
  <c r="K176" i="76"/>
  <c r="K177" i="76" s="1"/>
  <c r="J122" i="76"/>
  <c r="AT470" i="79" s="1"/>
  <c r="J123" i="76"/>
  <c r="AT473" i="79" s="1"/>
  <c r="FJ187" i="79"/>
  <c r="FB187" i="79"/>
  <c r="ET187" i="79"/>
  <c r="EL187" i="79"/>
  <c r="ED187" i="79"/>
  <c r="DV187" i="79"/>
  <c r="DN187" i="79"/>
  <c r="DF187" i="79"/>
  <c r="CX187" i="79"/>
  <c r="CP187" i="79"/>
  <c r="CH187" i="79"/>
  <c r="BZ187" i="79"/>
  <c r="BR187" i="79"/>
  <c r="E146" i="80"/>
  <c r="K146" i="80" s="1"/>
  <c r="E145" i="80"/>
  <c r="K145" i="80" s="1"/>
  <c r="E75" i="80"/>
  <c r="K75" i="80" s="1"/>
  <c r="G465" i="80"/>
  <c r="Y123" i="76"/>
  <c r="FJ473" i="79" s="1"/>
  <c r="X123" i="76"/>
  <c r="FB473" i="79" s="1"/>
  <c r="W123" i="76"/>
  <c r="ET473" i="79" s="1"/>
  <c r="V123" i="76"/>
  <c r="EL473" i="79" s="1"/>
  <c r="U123" i="76"/>
  <c r="ED473" i="79" s="1"/>
  <c r="T123" i="76"/>
  <c r="DV473" i="79" s="1"/>
  <c r="S123" i="76"/>
  <c r="DN473" i="79" s="1"/>
  <c r="R123" i="76"/>
  <c r="DF473" i="79" s="1"/>
  <c r="Q123" i="76"/>
  <c r="CX473" i="79" s="1"/>
  <c r="P123" i="76"/>
  <c r="CP473" i="79" s="1"/>
  <c r="O123" i="76"/>
  <c r="CH473" i="79" s="1"/>
  <c r="N123" i="76"/>
  <c r="BZ473" i="79" s="1"/>
  <c r="M123" i="76"/>
  <c r="BR473" i="79" s="1"/>
  <c r="L123" i="76"/>
  <c r="BJ473" i="79" s="1"/>
  <c r="K123" i="76"/>
  <c r="BB473" i="79" s="1"/>
  <c r="H123" i="76"/>
  <c r="AD473" i="79" s="1"/>
  <c r="F123" i="76"/>
  <c r="N473" i="79" s="1"/>
  <c r="Y122" i="76"/>
  <c r="FJ470" i="79" s="1"/>
  <c r="X122" i="76"/>
  <c r="FB470" i="79" s="1"/>
  <c r="W122" i="76"/>
  <c r="ET470" i="79" s="1"/>
  <c r="V122" i="76"/>
  <c r="EL470" i="79" s="1"/>
  <c r="U122" i="76"/>
  <c r="ED470" i="79" s="1"/>
  <c r="T122" i="76"/>
  <c r="DV470" i="79" s="1"/>
  <c r="S122" i="76"/>
  <c r="DN470" i="79" s="1"/>
  <c r="R122" i="76"/>
  <c r="DF470" i="79" s="1"/>
  <c r="Q122" i="76"/>
  <c r="CX470" i="79" s="1"/>
  <c r="P122" i="76"/>
  <c r="CP470" i="79" s="1"/>
  <c r="O122" i="76"/>
  <c r="CH470" i="79" s="1"/>
  <c r="N122" i="76"/>
  <c r="BZ470" i="79" s="1"/>
  <c r="M122" i="76"/>
  <c r="BR470" i="79" s="1"/>
  <c r="L122" i="76"/>
  <c r="BJ470" i="79" s="1"/>
  <c r="K122" i="76"/>
  <c r="BB470" i="79" s="1"/>
  <c r="H122" i="76"/>
  <c r="AD470" i="79" s="1"/>
  <c r="AE470" i="79" s="1"/>
  <c r="F122" i="76"/>
  <c r="N470" i="79" s="1"/>
  <c r="Y121" i="76"/>
  <c r="FJ475" i="79" s="1"/>
  <c r="X121" i="76"/>
  <c r="FB475" i="79" s="1"/>
  <c r="W121" i="76"/>
  <c r="ET475" i="79" s="1"/>
  <c r="V121" i="76"/>
  <c r="EL475" i="79" s="1"/>
  <c r="U121" i="76"/>
  <c r="ED475" i="79" s="1"/>
  <c r="T121" i="76"/>
  <c r="DV475" i="79" s="1"/>
  <c r="S121" i="76"/>
  <c r="DN475" i="79" s="1"/>
  <c r="R121" i="76"/>
  <c r="DF475" i="79" s="1"/>
  <c r="Q121" i="76"/>
  <c r="CX475" i="79" s="1"/>
  <c r="P121" i="76"/>
  <c r="CP475" i="79" s="1"/>
  <c r="O121" i="76"/>
  <c r="CH475" i="79" s="1"/>
  <c r="N121" i="76"/>
  <c r="BZ475" i="79" s="1"/>
  <c r="M121" i="76"/>
  <c r="BR475" i="79" s="1"/>
  <c r="L121" i="76"/>
  <c r="BJ475" i="79" s="1"/>
  <c r="K121" i="76"/>
  <c r="BB475" i="79" s="1"/>
  <c r="J121" i="76"/>
  <c r="AT475" i="79" s="1"/>
  <c r="I121" i="76"/>
  <c r="AL475" i="79" s="1"/>
  <c r="H121" i="76"/>
  <c r="AD475" i="79" s="1"/>
  <c r="G121" i="76"/>
  <c r="V475" i="79" s="1"/>
  <c r="F121" i="76"/>
  <c r="N475" i="79" s="1"/>
  <c r="Y120" i="76"/>
  <c r="FJ493" i="79" s="1"/>
  <c r="X120" i="76"/>
  <c r="FB493" i="79" s="1"/>
  <c r="FC493" i="79" s="1"/>
  <c r="W120" i="76"/>
  <c r="ET493" i="79" s="1"/>
  <c r="EU493" i="79" s="1"/>
  <c r="V120" i="76"/>
  <c r="EL493" i="79" s="1"/>
  <c r="EM493" i="79" s="1"/>
  <c r="U120" i="76"/>
  <c r="ED493" i="79" s="1"/>
  <c r="EE493" i="79" s="1"/>
  <c r="T120" i="76"/>
  <c r="DV493" i="79" s="1"/>
  <c r="DW493" i="79" s="1"/>
  <c r="S120" i="76"/>
  <c r="DN493" i="79" s="1"/>
  <c r="DO493" i="79" s="1"/>
  <c r="R120" i="76"/>
  <c r="DF493" i="79" s="1"/>
  <c r="DG493" i="79" s="1"/>
  <c r="Q120" i="76"/>
  <c r="CX493" i="79" s="1"/>
  <c r="CY493" i="79" s="1"/>
  <c r="P120" i="76"/>
  <c r="CP493" i="79" s="1"/>
  <c r="CQ493" i="79" s="1"/>
  <c r="O120" i="76"/>
  <c r="CH493" i="79" s="1"/>
  <c r="CI493" i="79" s="1"/>
  <c r="N120" i="76"/>
  <c r="BZ493" i="79" s="1"/>
  <c r="CA493" i="79" s="1"/>
  <c r="M120" i="76"/>
  <c r="BR493" i="79" s="1"/>
  <c r="BS493" i="79" s="1"/>
  <c r="L120" i="76"/>
  <c r="BJ493" i="79" s="1"/>
  <c r="BK493" i="79" s="1"/>
  <c r="K120" i="76"/>
  <c r="BB493" i="79" s="1"/>
  <c r="BC493" i="79" s="1"/>
  <c r="J120" i="76"/>
  <c r="AT493" i="79" s="1"/>
  <c r="AU493" i="79" s="1"/>
  <c r="I120" i="76"/>
  <c r="AL493" i="79" s="1"/>
  <c r="AM493" i="79" s="1"/>
  <c r="H120" i="76"/>
  <c r="AD493" i="79" s="1"/>
  <c r="AE493" i="79" s="1"/>
  <c r="G120" i="76"/>
  <c r="V493" i="79" s="1"/>
  <c r="W493" i="79" s="1"/>
  <c r="F120" i="76"/>
  <c r="N493" i="79" s="1"/>
  <c r="O493" i="79" s="1"/>
  <c r="FJ180" i="79"/>
  <c r="FB180" i="79"/>
  <c r="FC180" i="79" s="1"/>
  <c r="ET180" i="79"/>
  <c r="EU180" i="79" s="1"/>
  <c r="EL180" i="79"/>
  <c r="EM180" i="79" s="1"/>
  <c r="ED180" i="79"/>
  <c r="EE180" i="79" s="1"/>
  <c r="DV180" i="79"/>
  <c r="DW180" i="79" s="1"/>
  <c r="DN180" i="79"/>
  <c r="DO180" i="79" s="1"/>
  <c r="DF180" i="79"/>
  <c r="DG180" i="79" s="1"/>
  <c r="CX180" i="79"/>
  <c r="CY180" i="79" s="1"/>
  <c r="CP180" i="79"/>
  <c r="CQ180" i="79" s="1"/>
  <c r="CH180" i="79"/>
  <c r="CI180" i="79" s="1"/>
  <c r="BZ180" i="79"/>
  <c r="CA180" i="79" s="1"/>
  <c r="BR180" i="79"/>
  <c r="BS180" i="79" s="1"/>
  <c r="Y124" i="76"/>
  <c r="FJ474" i="79" s="1"/>
  <c r="X124" i="76"/>
  <c r="FB474" i="79" s="1"/>
  <c r="W124" i="76"/>
  <c r="ET474" i="79" s="1"/>
  <c r="U124" i="76"/>
  <c r="ED474" i="79" s="1"/>
  <c r="T124" i="76"/>
  <c r="DV474" i="79" s="1"/>
  <c r="S124" i="76"/>
  <c r="DN474" i="79" s="1"/>
  <c r="R124" i="76"/>
  <c r="DF474" i="79" s="1"/>
  <c r="Q124" i="76"/>
  <c r="CX474" i="79" s="1"/>
  <c r="O124" i="76"/>
  <c r="CH474" i="79" s="1"/>
  <c r="N124" i="76"/>
  <c r="BZ474" i="79" s="1"/>
  <c r="M124" i="76"/>
  <c r="BR474" i="79" s="1"/>
  <c r="FJ176" i="79"/>
  <c r="FB176" i="79"/>
  <c r="ET176" i="79"/>
  <c r="EL176" i="79"/>
  <c r="ED176" i="79"/>
  <c r="DV176" i="79"/>
  <c r="DN176" i="79"/>
  <c r="DF176" i="79"/>
  <c r="CX176" i="79"/>
  <c r="CP176" i="79"/>
  <c r="CH176" i="79"/>
  <c r="BZ176" i="79"/>
  <c r="BR176" i="79"/>
  <c r="K185" i="76"/>
  <c r="J185" i="76"/>
  <c r="I185" i="76"/>
  <c r="H185" i="76"/>
  <c r="G185" i="76"/>
  <c r="F185" i="76"/>
  <c r="L176" i="76"/>
  <c r="L177" i="76" s="1"/>
  <c r="J176" i="76"/>
  <c r="J177" i="76" s="1"/>
  <c r="I176" i="76"/>
  <c r="I177" i="76" s="1"/>
  <c r="H176" i="76"/>
  <c r="H177" i="76" s="1"/>
  <c r="G176" i="76"/>
  <c r="G177" i="76" s="1"/>
  <c r="F176" i="76"/>
  <c r="F177" i="76" s="1"/>
  <c r="L167" i="76"/>
  <c r="L60" i="76" s="1"/>
  <c r="K167" i="76"/>
  <c r="I167" i="76"/>
  <c r="H167" i="76"/>
  <c r="G167" i="76"/>
  <c r="F167" i="76"/>
  <c r="F168" i="76"/>
  <c r="L158" i="76"/>
  <c r="L43" i="76" s="1"/>
  <c r="K158" i="76"/>
  <c r="K43" i="76" s="1"/>
  <c r="J158" i="76"/>
  <c r="J43" i="76" s="1"/>
  <c r="H158" i="76"/>
  <c r="G158" i="76"/>
  <c r="F158" i="76"/>
  <c r="F43" i="70" s="1"/>
  <c r="H149" i="76"/>
  <c r="H150" i="76" s="1"/>
  <c r="AD180" i="79" s="1"/>
  <c r="AE180" i="79" s="1"/>
  <c r="F149" i="76"/>
  <c r="F150" i="76" s="1"/>
  <c r="G466" i="79"/>
  <c r="E146" i="79"/>
  <c r="K146" i="79" s="1"/>
  <c r="E145" i="79"/>
  <c r="K145" i="79" s="1"/>
  <c r="G6" i="37"/>
  <c r="G5" i="37"/>
  <c r="G4" i="37"/>
  <c r="E21" i="37"/>
  <c r="G21" i="37"/>
  <c r="H21" i="37"/>
  <c r="J21" i="37"/>
  <c r="K21" i="37"/>
  <c r="E36" i="37"/>
  <c r="G36" i="37"/>
  <c r="H36" i="37"/>
  <c r="J36" i="37"/>
  <c r="K36" i="37"/>
  <c r="D7" i="68"/>
  <c r="D6" i="68"/>
  <c r="D5" i="68"/>
  <c r="B3" i="69"/>
  <c r="C3" i="69" s="1"/>
  <c r="D3" i="69" s="1"/>
  <c r="E3" i="69" s="1"/>
  <c r="F3" i="69" s="1"/>
  <c r="G3" i="69" s="1"/>
  <c r="B27" i="36"/>
  <c r="E25" i="36" s="1"/>
  <c r="B56" i="36"/>
  <c r="B64" i="36"/>
  <c r="B72" i="36"/>
  <c r="C70" i="36" s="1"/>
  <c r="F69" i="36"/>
  <c r="C71" i="36"/>
  <c r="F110" i="36"/>
  <c r="F111" i="36"/>
  <c r="F112" i="36"/>
  <c r="F113" i="36"/>
  <c r="F114" i="36"/>
  <c r="F115" i="36"/>
  <c r="F116" i="36"/>
  <c r="F117" i="36"/>
  <c r="E20" i="77"/>
  <c r="E24" i="77" s="1"/>
  <c r="F20" i="77"/>
  <c r="F24" i="77" s="1"/>
  <c r="G20" i="77"/>
  <c r="G24" i="77" s="1"/>
  <c r="H20" i="77"/>
  <c r="H24" i="77" s="1"/>
  <c r="I20" i="77"/>
  <c r="I24" i="77" s="1"/>
  <c r="J21" i="77"/>
  <c r="J33" i="77"/>
  <c r="J34" i="77"/>
  <c r="J35" i="77"/>
  <c r="G75" i="80"/>
  <c r="G42" i="26"/>
  <c r="G47" i="26"/>
  <c r="G55" i="26"/>
  <c r="G75" i="26"/>
  <c r="J146" i="13"/>
  <c r="G146" i="80"/>
  <c r="J145" i="13"/>
  <c r="G145" i="80"/>
  <c r="E84" i="80"/>
  <c r="E75" i="79"/>
  <c r="K75" i="79" s="1"/>
  <c r="FK3" i="79"/>
  <c r="FC3" i="79"/>
  <c r="EU3" i="79"/>
  <c r="EM3" i="79"/>
  <c r="EE3" i="79"/>
  <c r="DW3" i="79"/>
  <c r="DO3" i="79"/>
  <c r="DG3" i="79"/>
  <c r="CY3" i="79"/>
  <c r="CQ3" i="79"/>
  <c r="CI3" i="79"/>
  <c r="CA3" i="79"/>
  <c r="BS3" i="79"/>
  <c r="BK3" i="79"/>
  <c r="BC3" i="79"/>
  <c r="AM3" i="79"/>
  <c r="AE3" i="79"/>
  <c r="W3" i="79"/>
  <c r="O3" i="79"/>
  <c r="G75" i="79"/>
  <c r="G146" i="79"/>
  <c r="G145" i="79"/>
  <c r="E84" i="79"/>
  <c r="H128" i="76"/>
  <c r="G128" i="76"/>
  <c r="F128" i="76"/>
  <c r="H127" i="76"/>
  <c r="G127" i="76"/>
  <c r="F127" i="76"/>
  <c r="H126" i="76"/>
  <c r="G126" i="76"/>
  <c r="F126" i="76"/>
  <c r="H117" i="76"/>
  <c r="G117" i="76"/>
  <c r="F117" i="76"/>
  <c r="H116" i="76"/>
  <c r="G116" i="76"/>
  <c r="F116" i="76"/>
  <c r="H115" i="76"/>
  <c r="G115" i="76"/>
  <c r="F115" i="76"/>
  <c r="H113" i="76"/>
  <c r="AD274" i="79" s="1"/>
  <c r="G113" i="76"/>
  <c r="V274" i="79" s="1"/>
  <c r="F113" i="76"/>
  <c r="N274" i="79" s="1"/>
  <c r="O274" i="79" s="1"/>
  <c r="H111" i="76"/>
  <c r="AD223" i="79" s="1"/>
  <c r="G111" i="76"/>
  <c r="V223" i="79" s="1"/>
  <c r="F111" i="76"/>
  <c r="N223" i="79" s="1"/>
  <c r="O223" i="79" s="1"/>
  <c r="H110" i="76"/>
  <c r="AD108" i="79" s="1"/>
  <c r="G110" i="76"/>
  <c r="V108" i="79" s="1"/>
  <c r="F110" i="76"/>
  <c r="N108" i="79" s="1"/>
  <c r="H109" i="76"/>
  <c r="AD105" i="79" s="1"/>
  <c r="G109" i="76"/>
  <c r="V105" i="79" s="1"/>
  <c r="W105" i="79" s="1"/>
  <c r="F109" i="76"/>
  <c r="N105" i="79" s="1"/>
  <c r="O105" i="79" s="1"/>
  <c r="H108" i="76"/>
  <c r="AD103" i="79" s="1"/>
  <c r="G108" i="76"/>
  <c r="V103" i="79" s="1"/>
  <c r="F108" i="76"/>
  <c r="N103" i="79" s="1"/>
  <c r="M128" i="76"/>
  <c r="K128" i="76"/>
  <c r="L128" i="76"/>
  <c r="M127" i="76"/>
  <c r="K127" i="76"/>
  <c r="L127" i="76"/>
  <c r="M126" i="76"/>
  <c r="K126" i="76"/>
  <c r="L126" i="76"/>
  <c r="M125" i="76"/>
  <c r="M117" i="76"/>
  <c r="K117" i="76"/>
  <c r="L117" i="76"/>
  <c r="M113" i="76"/>
  <c r="BR274" i="79" s="1"/>
  <c r="K113" i="76"/>
  <c r="BB274" i="79" s="1"/>
  <c r="L113" i="76"/>
  <c r="BJ274" i="79" s="1"/>
  <c r="M111" i="76"/>
  <c r="BR223" i="79" s="1"/>
  <c r="K111" i="76"/>
  <c r="BB223" i="79" s="1"/>
  <c r="L111" i="76"/>
  <c r="BJ223" i="79" s="1"/>
  <c r="M110" i="76"/>
  <c r="BR108" i="79" s="1"/>
  <c r="K110" i="76"/>
  <c r="BB108" i="79" s="1"/>
  <c r="L110" i="76"/>
  <c r="BJ108" i="79" s="1"/>
  <c r="M109" i="76"/>
  <c r="BR105" i="79" s="1"/>
  <c r="K109" i="76"/>
  <c r="BB105" i="79" s="1"/>
  <c r="L109" i="76"/>
  <c r="BJ105" i="79" s="1"/>
  <c r="M108" i="76"/>
  <c r="BR103" i="79" s="1"/>
  <c r="K108" i="76"/>
  <c r="BB103" i="79" s="1"/>
  <c r="L108" i="76"/>
  <c r="BJ103" i="79" s="1"/>
  <c r="M116" i="76"/>
  <c r="L116" i="76"/>
  <c r="K116" i="76"/>
  <c r="M115" i="76"/>
  <c r="L115" i="76"/>
  <c r="K115" i="76"/>
  <c r="I108" i="76"/>
  <c r="AL103" i="79" s="1"/>
  <c r="J108" i="76"/>
  <c r="AT103" i="79" s="1"/>
  <c r="N108" i="76"/>
  <c r="BZ103" i="79" s="1"/>
  <c r="O108" i="76"/>
  <c r="CH103" i="79" s="1"/>
  <c r="P108" i="76"/>
  <c r="CP103" i="79" s="1"/>
  <c r="Q108" i="76"/>
  <c r="CX103" i="79" s="1"/>
  <c r="R108" i="76"/>
  <c r="DF103" i="79" s="1"/>
  <c r="S108" i="76"/>
  <c r="DN103" i="79" s="1"/>
  <c r="T108" i="76"/>
  <c r="DV103" i="79" s="1"/>
  <c r="U108" i="76"/>
  <c r="ED103" i="79" s="1"/>
  <c r="V108" i="76"/>
  <c r="EL103" i="79" s="1"/>
  <c r="W108" i="76"/>
  <c r="ET103" i="79" s="1"/>
  <c r="X108" i="76"/>
  <c r="FB103" i="79" s="1"/>
  <c r="Y108" i="76"/>
  <c r="FJ103" i="79" s="1"/>
  <c r="I109" i="76"/>
  <c r="AL105" i="79" s="1"/>
  <c r="J109" i="76"/>
  <c r="AT105" i="79" s="1"/>
  <c r="N109" i="76"/>
  <c r="BZ105" i="79" s="1"/>
  <c r="O109" i="76"/>
  <c r="CH105" i="79" s="1"/>
  <c r="P109" i="76"/>
  <c r="CP105" i="79" s="1"/>
  <c r="Q109" i="76"/>
  <c r="CX105" i="79" s="1"/>
  <c r="R109" i="76"/>
  <c r="DF105" i="79" s="1"/>
  <c r="S109" i="76"/>
  <c r="DN105" i="79" s="1"/>
  <c r="T109" i="76"/>
  <c r="DV105" i="79" s="1"/>
  <c r="U109" i="76"/>
  <c r="ED105" i="79" s="1"/>
  <c r="V109" i="76"/>
  <c r="EL105" i="79" s="1"/>
  <c r="W109" i="76"/>
  <c r="ET105" i="79" s="1"/>
  <c r="EU105" i="79" s="1"/>
  <c r="X109" i="76"/>
  <c r="FB105" i="79" s="1"/>
  <c r="FC105" i="79" s="1"/>
  <c r="Y109" i="76"/>
  <c r="FJ105" i="79" s="1"/>
  <c r="I110" i="76"/>
  <c r="AL108" i="79" s="1"/>
  <c r="J110" i="76"/>
  <c r="AT108" i="79" s="1"/>
  <c r="N110" i="76"/>
  <c r="BZ108" i="79" s="1"/>
  <c r="O110" i="76"/>
  <c r="CH108" i="79" s="1"/>
  <c r="P110" i="76"/>
  <c r="CP108" i="79" s="1"/>
  <c r="Q110" i="76"/>
  <c r="CX108" i="79" s="1"/>
  <c r="R110" i="76"/>
  <c r="DF108" i="79" s="1"/>
  <c r="S110" i="76"/>
  <c r="DN108" i="79" s="1"/>
  <c r="T110" i="76"/>
  <c r="DV108" i="79" s="1"/>
  <c r="U110" i="76"/>
  <c r="ED108" i="79" s="1"/>
  <c r="V110" i="76"/>
  <c r="EL108" i="79" s="1"/>
  <c r="W110" i="76"/>
  <c r="ET108" i="79" s="1"/>
  <c r="X110" i="76"/>
  <c r="FB108" i="79" s="1"/>
  <c r="Y110" i="76"/>
  <c r="FJ108" i="79" s="1"/>
  <c r="I111" i="76"/>
  <c r="AL223" i="79" s="1"/>
  <c r="J111" i="76"/>
  <c r="AT223" i="79" s="1"/>
  <c r="N111" i="76"/>
  <c r="BZ223" i="79" s="1"/>
  <c r="O111" i="76"/>
  <c r="CH223" i="79" s="1"/>
  <c r="P111" i="76"/>
  <c r="CP223" i="79" s="1"/>
  <c r="Q111" i="76"/>
  <c r="CX223" i="79" s="1"/>
  <c r="R111" i="76"/>
  <c r="DF223" i="79" s="1"/>
  <c r="S111" i="76"/>
  <c r="DN223" i="79" s="1"/>
  <c r="T111" i="76"/>
  <c r="DV223" i="79" s="1"/>
  <c r="U111" i="76"/>
  <c r="ED223" i="79" s="1"/>
  <c r="V111" i="76"/>
  <c r="EL223" i="79" s="1"/>
  <c r="EM223" i="79" s="1"/>
  <c r="W111" i="76"/>
  <c r="ET223" i="79" s="1"/>
  <c r="X111" i="76"/>
  <c r="FB223" i="79" s="1"/>
  <c r="Y111" i="76"/>
  <c r="FJ223" i="79" s="1"/>
  <c r="I113" i="76"/>
  <c r="AL274" i="79" s="1"/>
  <c r="J113" i="76"/>
  <c r="AT274" i="79" s="1"/>
  <c r="N113" i="76"/>
  <c r="BZ274" i="79" s="1"/>
  <c r="O113" i="76"/>
  <c r="CH274" i="79" s="1"/>
  <c r="P113" i="76"/>
  <c r="CP274" i="79" s="1"/>
  <c r="Q113" i="76"/>
  <c r="CX274" i="79" s="1"/>
  <c r="R113" i="76"/>
  <c r="DF274" i="79" s="1"/>
  <c r="S113" i="76"/>
  <c r="DN274" i="79" s="1"/>
  <c r="T113" i="76"/>
  <c r="DV274" i="79" s="1"/>
  <c r="U113" i="76"/>
  <c r="ED274" i="79" s="1"/>
  <c r="V113" i="76"/>
  <c r="EL274" i="79" s="1"/>
  <c r="W113" i="76"/>
  <c r="ET274" i="79" s="1"/>
  <c r="X113" i="76"/>
  <c r="FB274" i="79" s="1"/>
  <c r="Y113" i="76"/>
  <c r="FJ274" i="79" s="1"/>
  <c r="I115" i="76"/>
  <c r="J115" i="76"/>
  <c r="N115" i="76"/>
  <c r="O115" i="76"/>
  <c r="P115" i="76"/>
  <c r="Q115" i="76"/>
  <c r="R115" i="76"/>
  <c r="S115" i="76"/>
  <c r="T115" i="76"/>
  <c r="U115" i="76"/>
  <c r="V115" i="76"/>
  <c r="W115" i="76"/>
  <c r="X115" i="76"/>
  <c r="Y115" i="76"/>
  <c r="I116" i="76"/>
  <c r="J116" i="76"/>
  <c r="N116" i="76"/>
  <c r="O116" i="76"/>
  <c r="P116" i="76"/>
  <c r="Q116" i="76"/>
  <c r="R116" i="76"/>
  <c r="S116" i="76"/>
  <c r="T116" i="76"/>
  <c r="U116" i="76"/>
  <c r="V116" i="76"/>
  <c r="W116" i="76"/>
  <c r="X116" i="76"/>
  <c r="Y116" i="76"/>
  <c r="I117" i="76"/>
  <c r="J117" i="76"/>
  <c r="N117" i="76"/>
  <c r="O117" i="76"/>
  <c r="P117" i="76"/>
  <c r="Q117" i="76"/>
  <c r="R117" i="76"/>
  <c r="S117" i="76"/>
  <c r="T117" i="76"/>
  <c r="U117" i="76"/>
  <c r="V117" i="76"/>
  <c r="W117" i="76"/>
  <c r="X117" i="76"/>
  <c r="Y117" i="76"/>
  <c r="N125" i="76"/>
  <c r="O125" i="76"/>
  <c r="Q125" i="76"/>
  <c r="S125" i="76"/>
  <c r="T125" i="76"/>
  <c r="U125" i="76"/>
  <c r="W125" i="76"/>
  <c r="Y125" i="76"/>
  <c r="I126" i="76"/>
  <c r="J126" i="76"/>
  <c r="N126" i="76"/>
  <c r="O126" i="76"/>
  <c r="P126" i="76"/>
  <c r="Q126" i="76"/>
  <c r="R126" i="76"/>
  <c r="S126" i="76"/>
  <c r="T126" i="76"/>
  <c r="U126" i="76"/>
  <c r="V126" i="76"/>
  <c r="W126" i="76"/>
  <c r="X126" i="76"/>
  <c r="Y126" i="76"/>
  <c r="I127" i="76"/>
  <c r="J127" i="76"/>
  <c r="N127" i="76"/>
  <c r="O127" i="76"/>
  <c r="P127" i="76"/>
  <c r="Q127" i="76"/>
  <c r="R127" i="76"/>
  <c r="S127" i="76"/>
  <c r="T127" i="76"/>
  <c r="U127" i="76"/>
  <c r="V127" i="76"/>
  <c r="W127" i="76"/>
  <c r="X127" i="76"/>
  <c r="Y127" i="76"/>
  <c r="I128" i="76"/>
  <c r="J128" i="76"/>
  <c r="N128" i="76"/>
  <c r="O128" i="76"/>
  <c r="P128" i="76"/>
  <c r="Q128" i="76"/>
  <c r="R128" i="76"/>
  <c r="S128" i="76"/>
  <c r="T128" i="76"/>
  <c r="U128" i="76"/>
  <c r="V128" i="76"/>
  <c r="W128" i="76"/>
  <c r="X128" i="76"/>
  <c r="Y128" i="76"/>
  <c r="Y63" i="70"/>
  <c r="X63" i="70"/>
  <c r="W63" i="70"/>
  <c r="V63" i="70"/>
  <c r="U63" i="70"/>
  <c r="T63" i="70"/>
  <c r="S63" i="70"/>
  <c r="R63" i="70"/>
  <c r="Q63" i="70"/>
  <c r="P63" i="70"/>
  <c r="O63" i="70"/>
  <c r="N63" i="70"/>
  <c r="M63" i="70"/>
  <c r="L63" i="70"/>
  <c r="K63" i="70"/>
  <c r="J63" i="70"/>
  <c r="I63" i="70"/>
  <c r="H63" i="70"/>
  <c r="G63" i="70"/>
  <c r="F63" i="70"/>
  <c r="J18" i="77"/>
  <c r="C7" i="35"/>
  <c r="C6" i="35"/>
  <c r="C5" i="35"/>
  <c r="Q64" i="35"/>
  <c r="R64" i="35"/>
  <c r="D23" i="33"/>
  <c r="D30" i="33"/>
  <c r="G156" i="13"/>
  <c r="G156" i="85" s="1"/>
  <c r="G19" i="13"/>
  <c r="G19" i="85" s="1"/>
  <c r="G26" i="13"/>
  <c r="G26" i="85" s="1"/>
  <c r="G50" i="13"/>
  <c r="G50" i="85" s="1"/>
  <c r="G77" i="13"/>
  <c r="G77" i="85" s="1"/>
  <c r="G93" i="13"/>
  <c r="G93" i="85" s="1"/>
  <c r="G100" i="13"/>
  <c r="G100" i="85" s="1"/>
  <c r="G116" i="13"/>
  <c r="G133" i="13"/>
  <c r="G133" i="85" s="1"/>
  <c r="G143" i="13"/>
  <c r="G143" i="85" s="1"/>
  <c r="C7" i="32"/>
  <c r="C6" i="32"/>
  <c r="C5" i="32"/>
  <c r="D7" i="36"/>
  <c r="D6" i="36"/>
  <c r="D5" i="36"/>
  <c r="B78" i="36"/>
  <c r="E7" i="26"/>
  <c r="E6" i="26"/>
  <c r="E5" i="26"/>
  <c r="G97" i="26"/>
  <c r="G257" i="85" s="1"/>
  <c r="E7" i="31"/>
  <c r="E6" i="31"/>
  <c r="E5" i="31"/>
  <c r="F29" i="31"/>
  <c r="G281" i="85" s="1"/>
  <c r="F19" i="31"/>
  <c r="G271" i="85" s="1"/>
  <c r="E7" i="27"/>
  <c r="E6" i="27"/>
  <c r="E5" i="27"/>
  <c r="G37" i="27"/>
  <c r="G313" i="85" s="1"/>
  <c r="G26" i="27"/>
  <c r="G302" i="85" s="1"/>
  <c r="G298" i="85"/>
  <c r="C7" i="7"/>
  <c r="C6" i="7"/>
  <c r="C5" i="7"/>
  <c r="BS58" i="79" l="1"/>
  <c r="AU69" i="79"/>
  <c r="BK141" i="79"/>
  <c r="BK24" i="79"/>
  <c r="BK400" i="79" s="1"/>
  <c r="CA69" i="79"/>
  <c r="DG142" i="79"/>
  <c r="DH142" i="79" s="1"/>
  <c r="EE106" i="79"/>
  <c r="DG111" i="80"/>
  <c r="EM127" i="80"/>
  <c r="BK129" i="79"/>
  <c r="DG141" i="79"/>
  <c r="W129" i="79"/>
  <c r="O24" i="79"/>
  <c r="O400" i="79" s="1"/>
  <c r="AM24" i="79"/>
  <c r="AM400" i="79" s="1"/>
  <c r="BK115" i="79"/>
  <c r="CA129" i="79"/>
  <c r="DG129" i="79"/>
  <c r="DO24" i="79"/>
  <c r="DO400" i="79" s="1"/>
  <c r="EM150" i="79"/>
  <c r="K41" i="80"/>
  <c r="AE61" i="79"/>
  <c r="AM141" i="79"/>
  <c r="EM58" i="79"/>
  <c r="EM89" i="80"/>
  <c r="O147" i="79"/>
  <c r="AM61" i="79"/>
  <c r="CI69" i="79"/>
  <c r="EU107" i="79"/>
  <c r="AM129" i="79"/>
  <c r="BS141" i="79"/>
  <c r="DO141" i="79"/>
  <c r="DW25" i="79"/>
  <c r="DW401" i="79" s="1"/>
  <c r="O129" i="79"/>
  <c r="AE155" i="79"/>
  <c r="BS150" i="79"/>
  <c r="BS24" i="79"/>
  <c r="BS400" i="79" s="1"/>
  <c r="DO61" i="79"/>
  <c r="DW24" i="79"/>
  <c r="DW400" i="79" s="1"/>
  <c r="O154" i="80"/>
  <c r="AU73" i="80"/>
  <c r="BC113" i="80"/>
  <c r="BK107" i="80"/>
  <c r="BS127" i="80"/>
  <c r="DO127" i="80"/>
  <c r="EE122" i="80"/>
  <c r="EU149" i="80"/>
  <c r="W24" i="79"/>
  <c r="W400" i="79" s="1"/>
  <c r="AE150" i="79"/>
  <c r="AE25" i="79"/>
  <c r="AE401" i="79" s="1"/>
  <c r="BC141" i="79"/>
  <c r="BC24" i="79"/>
  <c r="BC400" i="79" s="1"/>
  <c r="CQ141" i="79"/>
  <c r="CY24" i="79"/>
  <c r="CY400" i="79" s="1"/>
  <c r="DO129" i="79"/>
  <c r="DW141" i="79"/>
  <c r="O147" i="80"/>
  <c r="AU113" i="80"/>
  <c r="BU120" i="80"/>
  <c r="DO122" i="80"/>
  <c r="BC69" i="79"/>
  <c r="BS69" i="79"/>
  <c r="CA103" i="79"/>
  <c r="AE59" i="79"/>
  <c r="BC99" i="79"/>
  <c r="BS129" i="79"/>
  <c r="CA33" i="79"/>
  <c r="CQ129" i="79"/>
  <c r="CY129" i="79"/>
  <c r="CA147" i="80"/>
  <c r="DG149" i="80"/>
  <c r="CY69" i="79"/>
  <c r="AE129" i="79"/>
  <c r="AG129" i="79" s="1"/>
  <c r="AU24" i="79"/>
  <c r="AU400" i="79" s="1"/>
  <c r="CA141" i="79"/>
  <c r="EE142" i="79"/>
  <c r="EF142" i="79" s="1"/>
  <c r="EM24" i="79"/>
  <c r="EM400" i="79" s="1"/>
  <c r="CA111" i="80"/>
  <c r="CQ59" i="80"/>
  <c r="EM147" i="80"/>
  <c r="BK17" i="80"/>
  <c r="BK411" i="80" s="1"/>
  <c r="AU141" i="79"/>
  <c r="CA155" i="79"/>
  <c r="CA24" i="79"/>
  <c r="CA400" i="79" s="1"/>
  <c r="CI24" i="79"/>
  <c r="CI400" i="79" s="1"/>
  <c r="CY107" i="79"/>
  <c r="DG24" i="79"/>
  <c r="DG400" i="79" s="1"/>
  <c r="EE24" i="79"/>
  <c r="EE400" i="79" s="1"/>
  <c r="K44" i="79"/>
  <c r="AU150" i="79"/>
  <c r="CA150" i="79"/>
  <c r="DG23" i="79"/>
  <c r="DG399" i="79" s="1"/>
  <c r="EM59" i="80"/>
  <c r="FC119" i="80"/>
  <c r="CQ59" i="79"/>
  <c r="CA130" i="79"/>
  <c r="CY142" i="79"/>
  <c r="DA142" i="79" s="1"/>
  <c r="O67" i="79"/>
  <c r="AE128" i="79"/>
  <c r="BC60" i="79"/>
  <c r="BS142" i="79"/>
  <c r="BT142" i="79" s="1"/>
  <c r="CQ98" i="79"/>
  <c r="CZ69" i="79"/>
  <c r="CY23" i="79"/>
  <c r="CY399" i="79" s="1"/>
  <c r="DO150" i="79"/>
  <c r="DO23" i="79"/>
  <c r="DO399" i="79" s="1"/>
  <c r="EE60" i="79"/>
  <c r="O59" i="80"/>
  <c r="W68" i="80"/>
  <c r="AM119" i="80"/>
  <c r="AU147" i="80"/>
  <c r="BS122" i="80"/>
  <c r="CY139" i="80"/>
  <c r="DG122" i="80"/>
  <c r="DO119" i="80"/>
  <c r="DW111" i="80"/>
  <c r="EM72" i="80"/>
  <c r="EU122" i="80"/>
  <c r="K40" i="80"/>
  <c r="BC127" i="79"/>
  <c r="CA97" i="79"/>
  <c r="CI142" i="79"/>
  <c r="CK142" i="79" s="1"/>
  <c r="DO60" i="79"/>
  <c r="O98" i="80"/>
  <c r="W127" i="80"/>
  <c r="AU119" i="80"/>
  <c r="BC73" i="80"/>
  <c r="BS119" i="80"/>
  <c r="CY119" i="80"/>
  <c r="DG119" i="80"/>
  <c r="EU119" i="80"/>
  <c r="CA59" i="79"/>
  <c r="CQ97" i="79"/>
  <c r="BE120" i="79"/>
  <c r="EE108" i="79"/>
  <c r="AE108" i="79"/>
  <c r="O128" i="79"/>
  <c r="AV69" i="79"/>
  <c r="AU23" i="79"/>
  <c r="AU399" i="79" s="1"/>
  <c r="BS23" i="79"/>
  <c r="BS399" i="79" s="1"/>
  <c r="CY109" i="79"/>
  <c r="CZ109" i="79" s="1"/>
  <c r="DO128" i="79"/>
  <c r="EE97" i="79"/>
  <c r="W98" i="80"/>
  <c r="AE154" i="80"/>
  <c r="AU87" i="80"/>
  <c r="BC57" i="80"/>
  <c r="BK72" i="80"/>
  <c r="BS98" i="80"/>
  <c r="CI139" i="80"/>
  <c r="CQ149" i="80"/>
  <c r="DG87" i="80"/>
  <c r="EE154" i="80"/>
  <c r="EM120" i="80"/>
  <c r="EN120" i="80" s="1"/>
  <c r="EU89" i="80"/>
  <c r="O119" i="80"/>
  <c r="W119" i="80"/>
  <c r="CQ139" i="80"/>
  <c r="EE139" i="80"/>
  <c r="DW108" i="79"/>
  <c r="O98" i="79"/>
  <c r="AU68" i="79"/>
  <c r="AV68" i="79" s="1"/>
  <c r="BS62" i="79"/>
  <c r="CI60" i="79"/>
  <c r="DO113" i="79"/>
  <c r="EM140" i="79"/>
  <c r="O33" i="80"/>
  <c r="O404" i="80" s="1"/>
  <c r="W87" i="80"/>
  <c r="AE59" i="80"/>
  <c r="BC126" i="80"/>
  <c r="BK67" i="80"/>
  <c r="BS87" i="80"/>
  <c r="CI127" i="80"/>
  <c r="CQ147" i="80"/>
  <c r="EE147" i="80"/>
  <c r="EM119" i="80"/>
  <c r="EU87" i="80"/>
  <c r="DO108" i="79"/>
  <c r="BK108" i="79"/>
  <c r="CI59" i="79"/>
  <c r="BC119" i="80"/>
  <c r="CQ69" i="80"/>
  <c r="BS154" i="80"/>
  <c r="DW139" i="80"/>
  <c r="W62" i="79"/>
  <c r="AU97" i="79"/>
  <c r="BK60" i="79"/>
  <c r="CQ24" i="79"/>
  <c r="CQ400" i="79" s="1"/>
  <c r="DG60" i="79"/>
  <c r="DW23" i="79"/>
  <c r="DW399" i="79" s="1"/>
  <c r="EM98" i="79"/>
  <c r="AE127" i="80"/>
  <c r="BK119" i="80"/>
  <c r="BS147" i="80"/>
  <c r="CA59" i="80"/>
  <c r="CQ119" i="80"/>
  <c r="DW154" i="80"/>
  <c r="EE119" i="80"/>
  <c r="EM87" i="80"/>
  <c r="W60" i="79"/>
  <c r="W23" i="79"/>
  <c r="W399" i="79" s="1"/>
  <c r="AM113" i="79"/>
  <c r="BK59" i="79"/>
  <c r="CQ23" i="79"/>
  <c r="CQ399" i="79" s="1"/>
  <c r="EW99" i="79"/>
  <c r="AE122" i="80"/>
  <c r="AM147" i="80"/>
  <c r="BK111" i="80"/>
  <c r="BS72" i="80"/>
  <c r="CA122" i="80"/>
  <c r="CI89" i="80"/>
  <c r="CQ98" i="80"/>
  <c r="DO147" i="80"/>
  <c r="DW59" i="80"/>
  <c r="EE111" i="80"/>
  <c r="AE68" i="79"/>
  <c r="AG68" i="79" s="1"/>
  <c r="BK23" i="79"/>
  <c r="BK399" i="79" s="1"/>
  <c r="DG128" i="79"/>
  <c r="DW58" i="79"/>
  <c r="AE120" i="80"/>
  <c r="CA120" i="80"/>
  <c r="CB120" i="80" s="1"/>
  <c r="CI87" i="80"/>
  <c r="DG154" i="80"/>
  <c r="DW130" i="80"/>
  <c r="FC73" i="80"/>
  <c r="CI119" i="80"/>
  <c r="DW97" i="79"/>
  <c r="EN109" i="79"/>
  <c r="AE119" i="80"/>
  <c r="AM126" i="80"/>
  <c r="CA119" i="80"/>
  <c r="DO130" i="80"/>
  <c r="DW122" i="80"/>
  <c r="W97" i="79"/>
  <c r="DG73" i="80"/>
  <c r="AU66" i="80"/>
  <c r="AE222" i="80"/>
  <c r="BC194" i="80"/>
  <c r="AE194" i="80"/>
  <c r="CI222" i="80"/>
  <c r="EU241" i="80"/>
  <c r="BK241" i="79"/>
  <c r="O222" i="80"/>
  <c r="CQ227" i="80"/>
  <c r="EU229" i="80"/>
  <c r="FC249" i="79"/>
  <c r="CQ222" i="80"/>
  <c r="EU249" i="79"/>
  <c r="EE222" i="80"/>
  <c r="AU222" i="80"/>
  <c r="BS241" i="80"/>
  <c r="BS194" i="80"/>
  <c r="DO250" i="80"/>
  <c r="FC241" i="80"/>
  <c r="BS17" i="80"/>
  <c r="BS411" i="80" s="1"/>
  <c r="BK66" i="80"/>
  <c r="AM66" i="80"/>
  <c r="W66" i="80"/>
  <c r="AE66" i="80"/>
  <c r="CA275" i="79"/>
  <c r="CY275" i="79"/>
  <c r="BS275" i="79"/>
  <c r="O269" i="80"/>
  <c r="EM269" i="80"/>
  <c r="EU269" i="80"/>
  <c r="FC269" i="80"/>
  <c r="BC269" i="80"/>
  <c r="AM280" i="80"/>
  <c r="W269" i="80"/>
  <c r="CA269" i="80"/>
  <c r="AM269" i="80"/>
  <c r="EE269" i="80"/>
  <c r="CQ269" i="80"/>
  <c r="EU274" i="79"/>
  <c r="EM274" i="79"/>
  <c r="W274" i="79"/>
  <c r="AU279" i="80"/>
  <c r="DG279" i="80"/>
  <c r="CY274" i="79"/>
  <c r="O279" i="80"/>
  <c r="CQ274" i="79"/>
  <c r="CI279" i="80"/>
  <c r="W279" i="80"/>
  <c r="BC279" i="80"/>
  <c r="O66" i="80"/>
  <c r="BS66" i="80"/>
  <c r="CI66" i="80"/>
  <c r="CA66" i="80"/>
  <c r="BC66" i="80"/>
  <c r="CY269" i="79"/>
  <c r="BK269" i="79"/>
  <c r="CI269" i="79"/>
  <c r="CI271" i="79" s="1"/>
  <c r="DO269" i="79"/>
  <c r="BC269" i="79"/>
  <c r="O269" i="79"/>
  <c r="EE269" i="79"/>
  <c r="AE269" i="79"/>
  <c r="AU269" i="79"/>
  <c r="CA269" i="79"/>
  <c r="CQ269" i="79"/>
  <c r="W269" i="79"/>
  <c r="DG269" i="79"/>
  <c r="DW269" i="79"/>
  <c r="AM269" i="79"/>
  <c r="BS269" i="79"/>
  <c r="EM269" i="79"/>
  <c r="FC269" i="79"/>
  <c r="DG66" i="80"/>
  <c r="EM66" i="80"/>
  <c r="CA29" i="79"/>
  <c r="CA30" i="79" s="1"/>
  <c r="CY22" i="80"/>
  <c r="CY398" i="80" s="1"/>
  <c r="AE29" i="79"/>
  <c r="AE30" i="79" s="1"/>
  <c r="EE17" i="80"/>
  <c r="EE411" i="80" s="1"/>
  <c r="BS18" i="79"/>
  <c r="BS412" i="79" s="1"/>
  <c r="CQ66" i="80"/>
  <c r="EU66" i="80"/>
  <c r="FC66" i="80"/>
  <c r="FC220" i="79"/>
  <c r="CI220" i="80"/>
  <c r="O244" i="79"/>
  <c r="EM252" i="79"/>
  <c r="DO66" i="80"/>
  <c r="W199" i="79"/>
  <c r="AE210" i="79"/>
  <c r="BS234" i="79"/>
  <c r="CQ234" i="79"/>
  <c r="AM234" i="80"/>
  <c r="AM199" i="79"/>
  <c r="BC188" i="79"/>
  <c r="BS225" i="79"/>
  <c r="CY199" i="79"/>
  <c r="AM205" i="80"/>
  <c r="CI199" i="79"/>
  <c r="O199" i="79"/>
  <c r="BK221" i="79"/>
  <c r="O234" i="80"/>
  <c r="AU232" i="80"/>
  <c r="BC234" i="79"/>
  <c r="DO199" i="79"/>
  <c r="EM225" i="79"/>
  <c r="BC206" i="80"/>
  <c r="AU199" i="79"/>
  <c r="AE199" i="79"/>
  <c r="BK225" i="79"/>
  <c r="CI234" i="79"/>
  <c r="EU234" i="79"/>
  <c r="BC225" i="79"/>
  <c r="EU225" i="79"/>
  <c r="AE214" i="80"/>
  <c r="FC214" i="80"/>
  <c r="O188" i="79"/>
  <c r="CA199" i="79"/>
  <c r="EE199" i="79"/>
  <c r="W225" i="79"/>
  <c r="AM225" i="79"/>
  <c r="DO188" i="79"/>
  <c r="EU234" i="80"/>
  <c r="CA212" i="79"/>
  <c r="BS212" i="79"/>
  <c r="FC254" i="79"/>
  <c r="AE252" i="79"/>
  <c r="CA252" i="79"/>
  <c r="AE244" i="79"/>
  <c r="CY252" i="79"/>
  <c r="EM244" i="79"/>
  <c r="DO252" i="79"/>
  <c r="CQ253" i="79"/>
  <c r="CQ252" i="79"/>
  <c r="O252" i="79"/>
  <c r="CI252" i="79"/>
  <c r="CY65" i="80"/>
  <c r="DG65" i="80"/>
  <c r="DW91" i="79"/>
  <c r="BC243" i="79"/>
  <c r="DO243" i="79"/>
  <c r="AM243" i="79"/>
  <c r="O243" i="79"/>
  <c r="AM243" i="80"/>
  <c r="CQ246" i="79"/>
  <c r="CI246" i="79"/>
  <c r="DG249" i="79"/>
  <c r="AE249" i="79"/>
  <c r="CQ249" i="79"/>
  <c r="CI250" i="80"/>
  <c r="AE250" i="80"/>
  <c r="CY250" i="80"/>
  <c r="EM250" i="80"/>
  <c r="CA250" i="80"/>
  <c r="EE250" i="80"/>
  <c r="O250" i="80"/>
  <c r="AU250" i="80"/>
  <c r="CQ250" i="80"/>
  <c r="BS250" i="80"/>
  <c r="DG250" i="80"/>
  <c r="BK248" i="79"/>
  <c r="W248" i="79"/>
  <c r="BC248" i="79"/>
  <c r="BS248" i="79"/>
  <c r="DW248" i="79"/>
  <c r="AM248" i="79"/>
  <c r="DG248" i="79"/>
  <c r="FC248" i="79"/>
  <c r="AU248" i="79"/>
  <c r="CA246" i="79"/>
  <c r="CY246" i="79"/>
  <c r="DO246" i="79"/>
  <c r="EE243" i="80"/>
  <c r="BC243" i="80"/>
  <c r="AM91" i="79"/>
  <c r="O149" i="80"/>
  <c r="EE153" i="79"/>
  <c r="AE153" i="79"/>
  <c r="DW152" i="79"/>
  <c r="AM151" i="79"/>
  <c r="BS152" i="79"/>
  <c r="AM152" i="79"/>
  <c r="AU152" i="79"/>
  <c r="BC152" i="79"/>
  <c r="BK152" i="79"/>
  <c r="BS151" i="79"/>
  <c r="CA152" i="79"/>
  <c r="DO152" i="79"/>
  <c r="AU151" i="79"/>
  <c r="BC151" i="79"/>
  <c r="AM151" i="80"/>
  <c r="AO151" i="80" s="1"/>
  <c r="EU152" i="79"/>
  <c r="DG152" i="79"/>
  <c r="EU151" i="79"/>
  <c r="W152" i="79"/>
  <c r="DG151" i="79"/>
  <c r="W151" i="79"/>
  <c r="FC152" i="79"/>
  <c r="O152" i="79"/>
  <c r="CY152" i="79"/>
  <c r="EE152" i="79"/>
  <c r="CQ152" i="79"/>
  <c r="AE152" i="79"/>
  <c r="AE151" i="79"/>
  <c r="CI152" i="79"/>
  <c r="DO151" i="79"/>
  <c r="EM152" i="79"/>
  <c r="O151" i="79"/>
  <c r="CY151" i="79"/>
  <c r="AM150" i="79"/>
  <c r="O150" i="79"/>
  <c r="DG150" i="79"/>
  <c r="CY150" i="79"/>
  <c r="EE150" i="79"/>
  <c r="FC155" i="79"/>
  <c r="DO155" i="79"/>
  <c r="AE149" i="80"/>
  <c r="BS149" i="80"/>
  <c r="DW149" i="80"/>
  <c r="O155" i="79"/>
  <c r="DG155" i="79"/>
  <c r="O153" i="79"/>
  <c r="W155" i="79"/>
  <c r="AU155" i="79"/>
  <c r="CY155" i="79"/>
  <c r="EM155" i="79"/>
  <c r="AM155" i="79"/>
  <c r="W153" i="79"/>
  <c r="AU153" i="79"/>
  <c r="BC155" i="79"/>
  <c r="CQ155" i="79"/>
  <c r="BC153" i="79"/>
  <c r="W151" i="80"/>
  <c r="AU151" i="80"/>
  <c r="CA151" i="80"/>
  <c r="BK155" i="79"/>
  <c r="EE155" i="79"/>
  <c r="AU150" i="80"/>
  <c r="CI149" i="80"/>
  <c r="BS155" i="79"/>
  <c r="CI155" i="79"/>
  <c r="EU155" i="79"/>
  <c r="BK148" i="79"/>
  <c r="CQ148" i="79"/>
  <c r="CY148" i="79"/>
  <c r="DG148" i="79"/>
  <c r="AE148" i="79"/>
  <c r="BS148" i="79"/>
  <c r="CI148" i="79"/>
  <c r="CA148" i="79"/>
  <c r="EM148" i="79"/>
  <c r="EE148" i="79"/>
  <c r="BC148" i="79"/>
  <c r="DI142" i="79"/>
  <c r="DJ142" i="79" s="1"/>
  <c r="BK140" i="80"/>
  <c r="BK130" i="80"/>
  <c r="W131" i="80"/>
  <c r="FC130" i="80"/>
  <c r="W130" i="80"/>
  <c r="DO127" i="79"/>
  <c r="W122" i="80"/>
  <c r="BC130" i="80"/>
  <c r="EO120" i="80"/>
  <c r="W120" i="80"/>
  <c r="X120" i="80" s="1"/>
  <c r="BC127" i="80"/>
  <c r="O127" i="79"/>
  <c r="O127" i="80"/>
  <c r="AE127" i="79"/>
  <c r="BK122" i="80"/>
  <c r="O122" i="80"/>
  <c r="BC122" i="80"/>
  <c r="EE127" i="79"/>
  <c r="EU127" i="79"/>
  <c r="BK127" i="79"/>
  <c r="AM127" i="79"/>
  <c r="CI127" i="79"/>
  <c r="CQ127" i="79"/>
  <c r="DG127" i="79"/>
  <c r="O120" i="80"/>
  <c r="AU127" i="80"/>
  <c r="BC120" i="80"/>
  <c r="CQ130" i="80"/>
  <c r="CY131" i="80"/>
  <c r="FC122" i="80"/>
  <c r="BS127" i="79"/>
  <c r="AU122" i="80"/>
  <c r="CQ127" i="80"/>
  <c r="CY122" i="80"/>
  <c r="DG131" i="80"/>
  <c r="EU131" i="80"/>
  <c r="AU123" i="79"/>
  <c r="AM127" i="80"/>
  <c r="AU120" i="80"/>
  <c r="CQ122" i="80"/>
  <c r="DO119" i="79"/>
  <c r="EU115" i="79"/>
  <c r="DO115" i="79"/>
  <c r="DG115" i="79"/>
  <c r="EU111" i="80"/>
  <c r="O111" i="80"/>
  <c r="AU113" i="79"/>
  <c r="AM112" i="80"/>
  <c r="DW112" i="80"/>
  <c r="EM112" i="80"/>
  <c r="BS115" i="79"/>
  <c r="AU115" i="79"/>
  <c r="AW115" i="79" s="1"/>
  <c r="BS113" i="79"/>
  <c r="AU110" i="80"/>
  <c r="CA115" i="79"/>
  <c r="CC115" i="79" s="1"/>
  <c r="CI115" i="79"/>
  <c r="CK115" i="79" s="1"/>
  <c r="AE111" i="80"/>
  <c r="CY111" i="80"/>
  <c r="FC111" i="80"/>
  <c r="FC115" i="79"/>
  <c r="FE115" i="79" s="1"/>
  <c r="O115" i="79"/>
  <c r="AE115" i="79"/>
  <c r="AF115" i="79" s="1"/>
  <c r="CA113" i="79"/>
  <c r="CI113" i="79"/>
  <c r="EM115" i="79"/>
  <c r="CY110" i="80"/>
  <c r="O113" i="79"/>
  <c r="W115" i="79"/>
  <c r="AE113" i="79"/>
  <c r="EM113" i="79"/>
  <c r="EO113" i="79" s="1"/>
  <c r="W113" i="79"/>
  <c r="X113" i="79" s="1"/>
  <c r="AE109" i="79"/>
  <c r="AF109" i="79" s="1"/>
  <c r="BC115" i="79"/>
  <c r="BE115" i="79" s="1"/>
  <c r="CQ115" i="79"/>
  <c r="CS115" i="79" s="1"/>
  <c r="DW115" i="79"/>
  <c r="DY115" i="79" s="1"/>
  <c r="BS111" i="80"/>
  <c r="BC111" i="80"/>
  <c r="W109" i="79"/>
  <c r="X109" i="79" s="1"/>
  <c r="BC113" i="79"/>
  <c r="CQ113" i="79"/>
  <c r="CY115" i="79"/>
  <c r="DW113" i="79"/>
  <c r="EE115" i="79"/>
  <c r="EG115" i="79" s="1"/>
  <c r="W111" i="80"/>
  <c r="DW114" i="80"/>
  <c r="AU111" i="80"/>
  <c r="AM115" i="79"/>
  <c r="CY113" i="79"/>
  <c r="CA108" i="79"/>
  <c r="AU108" i="79"/>
  <c r="AM108" i="79"/>
  <c r="FK108" i="79"/>
  <c r="FC108" i="79"/>
  <c r="EU108" i="79"/>
  <c r="O108" i="79"/>
  <c r="DG108" i="79"/>
  <c r="BC108" i="79"/>
  <c r="CY108" i="79"/>
  <c r="BS108" i="79"/>
  <c r="CQ108" i="79"/>
  <c r="CI108" i="79"/>
  <c r="EM108" i="79"/>
  <c r="W108" i="79"/>
  <c r="BC104" i="79"/>
  <c r="BS104" i="79"/>
  <c r="EM104" i="79"/>
  <c r="CY112" i="79"/>
  <c r="W104" i="79"/>
  <c r="AE112" i="79"/>
  <c r="BK112" i="79"/>
  <c r="CA112" i="79"/>
  <c r="CY104" i="79"/>
  <c r="AE104" i="79"/>
  <c r="AG104" i="79" s="1"/>
  <c r="BK109" i="79"/>
  <c r="CA109" i="79"/>
  <c r="CB109" i="79" s="1"/>
  <c r="AU109" i="79"/>
  <c r="AV109" i="79" s="1"/>
  <c r="CI112" i="79"/>
  <c r="DG109" i="79"/>
  <c r="DI109" i="79" s="1"/>
  <c r="W104" i="80"/>
  <c r="AU104" i="79"/>
  <c r="AV104" i="79" s="1"/>
  <c r="CI109" i="79"/>
  <c r="CJ109" i="79" s="1"/>
  <c r="DG104" i="79"/>
  <c r="EU109" i="79"/>
  <c r="EV109" i="79" s="1"/>
  <c r="O110" i="80"/>
  <c r="BS110" i="80"/>
  <c r="FC112" i="80"/>
  <c r="DO112" i="79"/>
  <c r="AM112" i="79"/>
  <c r="CI104" i="79"/>
  <c r="DO109" i="79"/>
  <c r="DP109" i="79" s="1"/>
  <c r="DW112" i="79"/>
  <c r="EU104" i="79"/>
  <c r="EW104" i="79" s="1"/>
  <c r="W112" i="79"/>
  <c r="EE104" i="79"/>
  <c r="EF104" i="79" s="1"/>
  <c r="AU112" i="79"/>
  <c r="BK104" i="79"/>
  <c r="CA104" i="79"/>
  <c r="DG112" i="79"/>
  <c r="O112" i="80"/>
  <c r="AM109" i="79"/>
  <c r="AN109" i="79" s="1"/>
  <c r="DO104" i="79"/>
  <c r="DW109" i="79"/>
  <c r="DX109" i="79" s="1"/>
  <c r="CI113" i="80"/>
  <c r="O112" i="79"/>
  <c r="AM104" i="79"/>
  <c r="DW104" i="79"/>
  <c r="DY104" i="79" s="1"/>
  <c r="BK110" i="80"/>
  <c r="O109" i="79"/>
  <c r="Q109" i="79" s="1"/>
  <c r="CQ112" i="79"/>
  <c r="O104" i="79"/>
  <c r="Q104" i="79" s="1"/>
  <c r="BC112" i="79"/>
  <c r="BS112" i="79"/>
  <c r="CQ109" i="79"/>
  <c r="CS109" i="79" s="1"/>
  <c r="EE112" i="79"/>
  <c r="CI110" i="80"/>
  <c r="BC109" i="79"/>
  <c r="BE109" i="79" s="1"/>
  <c r="BS109" i="79"/>
  <c r="BU109" i="79" s="1"/>
  <c r="EE109" i="79"/>
  <c r="EF109" i="79" s="1"/>
  <c r="FC103" i="79"/>
  <c r="W103" i="79"/>
  <c r="EM103" i="79"/>
  <c r="EU103" i="79"/>
  <c r="EE103" i="79"/>
  <c r="BK103" i="79"/>
  <c r="AE103" i="79"/>
  <c r="DW103" i="79"/>
  <c r="BC103" i="79"/>
  <c r="DO103" i="79"/>
  <c r="BS103" i="79"/>
  <c r="DG103" i="79"/>
  <c r="CY103" i="79"/>
  <c r="BS99" i="79"/>
  <c r="AE99" i="79"/>
  <c r="DO99" i="79"/>
  <c r="CQ99" i="79"/>
  <c r="DW99" i="79"/>
  <c r="DX99" i="79" s="1"/>
  <c r="AU99" i="79"/>
  <c r="AV99" i="79" s="1"/>
  <c r="BS99" i="80"/>
  <c r="O99" i="79"/>
  <c r="P99" i="79" s="1"/>
  <c r="CA99" i="79"/>
  <c r="CB99" i="79" s="1"/>
  <c r="CY99" i="79"/>
  <c r="CZ99" i="79" s="1"/>
  <c r="AM99" i="79"/>
  <c r="BK99" i="80"/>
  <c r="EE99" i="79"/>
  <c r="EM99" i="79"/>
  <c r="EO99" i="79" s="1"/>
  <c r="BK99" i="79"/>
  <c r="BL99" i="79" s="1"/>
  <c r="CI99" i="79"/>
  <c r="CJ99" i="79" s="1"/>
  <c r="W99" i="79"/>
  <c r="X99" i="79" s="1"/>
  <c r="DG99" i="79"/>
  <c r="BS98" i="79"/>
  <c r="EM98" i="80"/>
  <c r="AE98" i="80"/>
  <c r="AM98" i="80"/>
  <c r="AU98" i="80"/>
  <c r="BC98" i="80"/>
  <c r="CA98" i="80"/>
  <c r="AM98" i="79"/>
  <c r="DW98" i="79"/>
  <c r="CI98" i="80"/>
  <c r="CA98" i="79"/>
  <c r="W98" i="79"/>
  <c r="DG98" i="80"/>
  <c r="FC98" i="80"/>
  <c r="EU98" i="79"/>
  <c r="CY98" i="79"/>
  <c r="EE98" i="80"/>
  <c r="DO98" i="80"/>
  <c r="G100" i="79"/>
  <c r="AE98" i="79"/>
  <c r="BC98" i="79"/>
  <c r="DW98" i="80"/>
  <c r="CY97" i="79"/>
  <c r="EU97" i="79"/>
  <c r="CI97" i="79"/>
  <c r="BC97" i="79"/>
  <c r="O97" i="79"/>
  <c r="BS97" i="79"/>
  <c r="AM90" i="79"/>
  <c r="DW90" i="79"/>
  <c r="EE90" i="79"/>
  <c r="DW88" i="79"/>
  <c r="BS88" i="79"/>
  <c r="AU88" i="79"/>
  <c r="W88" i="79"/>
  <c r="DG88" i="79"/>
  <c r="EU88" i="79"/>
  <c r="AM89" i="80"/>
  <c r="AE89" i="80"/>
  <c r="O89" i="80"/>
  <c r="W89" i="80"/>
  <c r="AU91" i="80"/>
  <c r="BS89" i="80"/>
  <c r="AU89" i="80"/>
  <c r="DO89" i="80"/>
  <c r="CQ88" i="79"/>
  <c r="EE88" i="79"/>
  <c r="EM88" i="79"/>
  <c r="BC89" i="80"/>
  <c r="BK89" i="80"/>
  <c r="AE91" i="80"/>
  <c r="DG89" i="80"/>
  <c r="CA88" i="79"/>
  <c r="FC88" i="79"/>
  <c r="CQ89" i="80"/>
  <c r="EE89" i="80"/>
  <c r="DW89" i="80"/>
  <c r="BC88" i="79"/>
  <c r="CY89" i="80"/>
  <c r="CQ87" i="80"/>
  <c r="DO87" i="80"/>
  <c r="FC87" i="80"/>
  <c r="CY87" i="80"/>
  <c r="DW87" i="80"/>
  <c r="EE87" i="80"/>
  <c r="BC66" i="79"/>
  <c r="CA66" i="79"/>
  <c r="CQ66" i="79"/>
  <c r="W66" i="79"/>
  <c r="EE66" i="79"/>
  <c r="AM66" i="79"/>
  <c r="EU66" i="79"/>
  <c r="AU66" i="79"/>
  <c r="BS66" i="79"/>
  <c r="AE66" i="79"/>
  <c r="CI66" i="79"/>
  <c r="EM66" i="79"/>
  <c r="O66" i="79"/>
  <c r="CY66" i="79"/>
  <c r="EE64" i="79"/>
  <c r="DW64" i="79"/>
  <c r="DW63" i="79"/>
  <c r="DO60" i="80"/>
  <c r="DG72" i="79"/>
  <c r="DH72" i="79" s="1"/>
  <c r="O72" i="79"/>
  <c r="AE72" i="79"/>
  <c r="CI72" i="79"/>
  <c r="CJ72" i="79" s="1"/>
  <c r="DG62" i="79"/>
  <c r="O60" i="80"/>
  <c r="AM63" i="80"/>
  <c r="O70" i="80"/>
  <c r="BK72" i="79"/>
  <c r="BL72" i="79" s="1"/>
  <c r="CY66" i="80"/>
  <c r="EU70" i="80"/>
  <c r="W70" i="80"/>
  <c r="AM72" i="79"/>
  <c r="BC72" i="79"/>
  <c r="BS70" i="80"/>
  <c r="CI70" i="80"/>
  <c r="DW70" i="80"/>
  <c r="AM70" i="79"/>
  <c r="AU72" i="79"/>
  <c r="AU70" i="80"/>
  <c r="EM70" i="80"/>
  <c r="AE63" i="79"/>
  <c r="CY72" i="79"/>
  <c r="CZ72" i="79" s="1"/>
  <c r="DO72" i="79"/>
  <c r="DQ72" i="79" s="1"/>
  <c r="BK70" i="80"/>
  <c r="W64" i="79"/>
  <c r="EU72" i="79"/>
  <c r="EW72" i="79" s="1"/>
  <c r="EM72" i="79"/>
  <c r="EN72" i="79" s="1"/>
  <c r="CA70" i="80"/>
  <c r="AM63" i="79"/>
  <c r="BC63" i="79"/>
  <c r="BC62" i="79"/>
  <c r="EE72" i="79"/>
  <c r="EE66" i="80"/>
  <c r="AU62" i="79"/>
  <c r="CA72" i="79"/>
  <c r="CY64" i="79"/>
  <c r="EE57" i="79"/>
  <c r="DW57" i="79"/>
  <c r="AU57" i="79"/>
  <c r="BC57" i="79"/>
  <c r="CI57" i="79"/>
  <c r="DG57" i="79"/>
  <c r="FC57" i="79"/>
  <c r="W57" i="79"/>
  <c r="CQ57" i="79"/>
  <c r="CY57" i="79"/>
  <c r="DO57" i="79"/>
  <c r="AM57" i="79"/>
  <c r="BK57" i="79"/>
  <c r="BC25" i="80"/>
  <c r="BC401" i="80" s="1"/>
  <c r="EU250" i="80"/>
  <c r="G465" i="79"/>
  <c r="AU311" i="79"/>
  <c r="BK311" i="79"/>
  <c r="DW311" i="79"/>
  <c r="CI310" i="79"/>
  <c r="DG310" i="79"/>
  <c r="CY311" i="79"/>
  <c r="EM311" i="79"/>
  <c r="CY310" i="79"/>
  <c r="EM310" i="79"/>
  <c r="EU311" i="79"/>
  <c r="CI311" i="79"/>
  <c r="DG311" i="79"/>
  <c r="W311" i="79"/>
  <c r="W310" i="79"/>
  <c r="AE311" i="79"/>
  <c r="BS311" i="79"/>
  <c r="CA311" i="79"/>
  <c r="DO311" i="79"/>
  <c r="AE310" i="79"/>
  <c r="BS310" i="79"/>
  <c r="CA310" i="79"/>
  <c r="DO310" i="79"/>
  <c r="EE311" i="79"/>
  <c r="FC311" i="79"/>
  <c r="O311" i="79"/>
  <c r="EE310" i="79"/>
  <c r="O310" i="79"/>
  <c r="BC311" i="80"/>
  <c r="BU305" i="80"/>
  <c r="BV305" i="80" s="1"/>
  <c r="FK292" i="79"/>
  <c r="EE294" i="80"/>
  <c r="AU294" i="80"/>
  <c r="DG294" i="80"/>
  <c r="CQ294" i="80"/>
  <c r="CA294" i="80"/>
  <c r="CI294" i="80"/>
  <c r="DO294" i="80"/>
  <c r="DW293" i="79"/>
  <c r="BS293" i="79"/>
  <c r="CY293" i="79"/>
  <c r="AM293" i="79"/>
  <c r="CA293" i="79"/>
  <c r="BC293" i="79"/>
  <c r="CI293" i="79"/>
  <c r="AU293" i="79"/>
  <c r="FC293" i="79"/>
  <c r="W293" i="79"/>
  <c r="EM293" i="79"/>
  <c r="O293" i="79"/>
  <c r="P293" i="79" s="1"/>
  <c r="AE293" i="79"/>
  <c r="AF293" i="79" s="1"/>
  <c r="DG293" i="79"/>
  <c r="DH293" i="79" s="1"/>
  <c r="BK293" i="79"/>
  <c r="BL293" i="79" s="1"/>
  <c r="CQ293" i="79"/>
  <c r="CR293" i="79" s="1"/>
  <c r="CA292" i="79"/>
  <c r="BK292" i="79"/>
  <c r="CY292" i="79"/>
  <c r="DG292" i="79"/>
  <c r="DW292" i="79"/>
  <c r="O292" i="79"/>
  <c r="AE292" i="79"/>
  <c r="CQ292" i="79"/>
  <c r="CI292" i="79"/>
  <c r="DO292" i="79"/>
  <c r="AM292" i="79"/>
  <c r="EM292" i="79"/>
  <c r="W292" i="79"/>
  <c r="FC292" i="79"/>
  <c r="BC292" i="79"/>
  <c r="BS292" i="79"/>
  <c r="EE292" i="79"/>
  <c r="AU292" i="79"/>
  <c r="BS296" i="79"/>
  <c r="W297" i="79"/>
  <c r="BK295" i="79"/>
  <c r="CI297" i="79"/>
  <c r="CQ297" i="79"/>
  <c r="CS297" i="79" s="1"/>
  <c r="CY294" i="79"/>
  <c r="DG295" i="79"/>
  <c r="O294" i="80"/>
  <c r="P294" i="80" s="1"/>
  <c r="FC294" i="80"/>
  <c r="FE294" i="80" s="1"/>
  <c r="CZ297" i="80"/>
  <c r="FC296" i="79"/>
  <c r="CI297" i="80"/>
  <c r="CK297" i="80" s="1"/>
  <c r="AU296" i="80"/>
  <c r="O297" i="79"/>
  <c r="W296" i="79"/>
  <c r="BK294" i="79"/>
  <c r="CI296" i="79"/>
  <c r="CQ296" i="79"/>
  <c r="DG294" i="79"/>
  <c r="BK297" i="80"/>
  <c r="CY294" i="80"/>
  <c r="CZ294" i="80" s="1"/>
  <c r="BS295" i="79"/>
  <c r="O296" i="79"/>
  <c r="W295" i="79"/>
  <c r="AM297" i="79"/>
  <c r="CA296" i="79"/>
  <c r="CI295" i="79"/>
  <c r="CQ295" i="79"/>
  <c r="DI293" i="79"/>
  <c r="BC294" i="80"/>
  <c r="BK296" i="80"/>
  <c r="CY295" i="79"/>
  <c r="O295" i="79"/>
  <c r="AM296" i="79"/>
  <c r="CA295" i="79"/>
  <c r="EE296" i="79"/>
  <c r="W296" i="80"/>
  <c r="BK295" i="80"/>
  <c r="BK296" i="79"/>
  <c r="BS294" i="79"/>
  <c r="BU294" i="79" s="1"/>
  <c r="DG296" i="79"/>
  <c r="O296" i="80"/>
  <c r="FC297" i="80"/>
  <c r="FD297" i="80" s="1"/>
  <c r="O294" i="79"/>
  <c r="AM295" i="79"/>
  <c r="CA294" i="79"/>
  <c r="EE295" i="79"/>
  <c r="EM297" i="79"/>
  <c r="W294" i="80"/>
  <c r="AE294" i="80"/>
  <c r="AF294" i="80" s="1"/>
  <c r="BK294" i="80"/>
  <c r="BS296" i="80"/>
  <c r="DW297" i="80"/>
  <c r="DX297" i="80" s="1"/>
  <c r="CY296" i="79"/>
  <c r="DW296" i="79"/>
  <c r="EE294" i="79"/>
  <c r="EM296" i="79"/>
  <c r="BS295" i="80"/>
  <c r="EU296" i="79"/>
  <c r="AU297" i="80"/>
  <c r="AV297" i="80" s="1"/>
  <c r="DW295" i="79"/>
  <c r="EM295" i="79"/>
  <c r="BS294" i="80"/>
  <c r="DW294" i="80"/>
  <c r="AE297" i="79"/>
  <c r="AG297" i="79" s="1"/>
  <c r="AU297" i="79"/>
  <c r="AW297" i="79" s="1"/>
  <c r="BC297" i="79"/>
  <c r="BE297" i="79" s="1"/>
  <c r="DW294" i="79"/>
  <c r="CQ297" i="80"/>
  <c r="DG297" i="80"/>
  <c r="AM277" i="80"/>
  <c r="CA277" i="80"/>
  <c r="DG277" i="80"/>
  <c r="CY277" i="80"/>
  <c r="O277" i="80"/>
  <c r="CA275" i="80"/>
  <c r="O275" i="80"/>
  <c r="DG275" i="80"/>
  <c r="CQ232" i="79"/>
  <c r="CY232" i="79"/>
  <c r="EM232" i="79"/>
  <c r="FC232" i="80"/>
  <c r="EU232" i="79"/>
  <c r="AU232" i="79"/>
  <c r="CQ232" i="80"/>
  <c r="BS232" i="80"/>
  <c r="DW232" i="80"/>
  <c r="AE232" i="79"/>
  <c r="EU232" i="80"/>
  <c r="BS232" i="79"/>
  <c r="O232" i="80"/>
  <c r="CI232" i="79"/>
  <c r="CY232" i="80"/>
  <c r="AM232" i="79"/>
  <c r="CA232" i="79"/>
  <c r="W232" i="80"/>
  <c r="DG232" i="79"/>
  <c r="BS229" i="80"/>
  <c r="CQ229" i="80"/>
  <c r="AU229" i="80"/>
  <c r="CI229" i="80"/>
  <c r="BS229" i="79"/>
  <c r="O229" i="80"/>
  <c r="CA225" i="79"/>
  <c r="CI225" i="79"/>
  <c r="EE225" i="79"/>
  <c r="AU225" i="79"/>
  <c r="CQ225" i="79"/>
  <c r="FC225" i="79"/>
  <c r="CY225" i="79"/>
  <c r="EM219" i="79"/>
  <c r="AM219" i="79"/>
  <c r="CA229" i="79"/>
  <c r="FC219" i="79"/>
  <c r="BS219" i="79"/>
  <c r="DO230" i="80"/>
  <c r="DO223" i="79"/>
  <c r="BK223" i="79"/>
  <c r="CY223" i="79"/>
  <c r="BC223" i="79"/>
  <c r="W230" i="79"/>
  <c r="DG222" i="80"/>
  <c r="EE229" i="79"/>
  <c r="AM222" i="80"/>
  <c r="BK229" i="80"/>
  <c r="CA222" i="80"/>
  <c r="DW227" i="80"/>
  <c r="EM222" i="80"/>
  <c r="CQ223" i="79"/>
  <c r="O219" i="79"/>
  <c r="DG229" i="80"/>
  <c r="AM229" i="80"/>
  <c r="CQ229" i="79"/>
  <c r="DW222" i="80"/>
  <c r="W223" i="79"/>
  <c r="DW223" i="79"/>
  <c r="AE223" i="79"/>
  <c r="DG223" i="79"/>
  <c r="BS223" i="79"/>
  <c r="O220" i="79"/>
  <c r="AE229" i="79"/>
  <c r="CA223" i="79"/>
  <c r="CI222" i="79"/>
  <c r="W229" i="79"/>
  <c r="DW229" i="80"/>
  <c r="BK222" i="80"/>
  <c r="CY229" i="80"/>
  <c r="O222" i="79"/>
  <c r="CI223" i="79"/>
  <c r="FC223" i="79"/>
  <c r="EE223" i="79"/>
  <c r="EM220" i="79"/>
  <c r="AU222" i="79"/>
  <c r="AU223" i="79"/>
  <c r="CI219" i="79"/>
  <c r="AM223" i="79"/>
  <c r="EU223" i="79"/>
  <c r="AM229" i="79"/>
  <c r="AE230" i="79"/>
  <c r="AM220" i="79"/>
  <c r="CQ231" i="79"/>
  <c r="EE230" i="79"/>
  <c r="BC230" i="79"/>
  <c r="CA231" i="79"/>
  <c r="EU220" i="79"/>
  <c r="BC230" i="80"/>
  <c r="W220" i="79"/>
  <c r="AE220" i="79"/>
  <c r="BC229" i="79"/>
  <c r="CA230" i="79"/>
  <c r="EE220" i="79"/>
  <c r="EU219" i="79"/>
  <c r="W219" i="79"/>
  <c r="AE219" i="79"/>
  <c r="CQ220" i="79"/>
  <c r="BK230" i="79"/>
  <c r="CQ219" i="79"/>
  <c r="CY229" i="79"/>
  <c r="DO229" i="79"/>
  <c r="AU230" i="79"/>
  <c r="BC220" i="79"/>
  <c r="BK229" i="79"/>
  <c r="CA220" i="79"/>
  <c r="AU229" i="79"/>
  <c r="BC219" i="79"/>
  <c r="CA219" i="79"/>
  <c r="CI230" i="79"/>
  <c r="CY220" i="79"/>
  <c r="DO220" i="79"/>
  <c r="EE219" i="79"/>
  <c r="BK220" i="79"/>
  <c r="CI229" i="79"/>
  <c r="CY219" i="79"/>
  <c r="DG229" i="79"/>
  <c r="DO219" i="79"/>
  <c r="EE231" i="79"/>
  <c r="BK219" i="79"/>
  <c r="DW230" i="79"/>
  <c r="AU220" i="79"/>
  <c r="DG220" i="79"/>
  <c r="DW229" i="79"/>
  <c r="BS220" i="79"/>
  <c r="O229" i="79"/>
  <c r="AM231" i="79"/>
  <c r="AU219" i="79"/>
  <c r="DG219" i="79"/>
  <c r="DW220" i="79"/>
  <c r="EM230" i="79"/>
  <c r="BS231" i="79"/>
  <c r="CI220" i="79"/>
  <c r="DW219" i="79"/>
  <c r="O226" i="79"/>
  <c r="DG230" i="80"/>
  <c r="DW226" i="79"/>
  <c r="W228" i="79"/>
  <c r="AM226" i="79"/>
  <c r="EM230" i="80"/>
  <c r="O230" i="80"/>
  <c r="AU230" i="80"/>
  <c r="W230" i="80"/>
  <c r="BS230" i="80"/>
  <c r="EE214" i="80"/>
  <c r="BK213" i="80"/>
  <c r="AU206" i="79"/>
  <c r="AM206" i="79"/>
  <c r="EE206" i="79"/>
  <c r="BK206" i="79"/>
  <c r="BS205" i="79"/>
  <c r="BC205" i="79"/>
  <c r="O205" i="79"/>
  <c r="EE205" i="79"/>
  <c r="EE207" i="79" s="1"/>
  <c r="AU205" i="79"/>
  <c r="CY205" i="79"/>
  <c r="BS201" i="79"/>
  <c r="EM201" i="79"/>
  <c r="BC201" i="79"/>
  <c r="CQ201" i="79"/>
  <c r="G202" i="79"/>
  <c r="O201" i="79"/>
  <c r="BK201" i="79"/>
  <c r="EU201" i="79"/>
  <c r="FC201" i="79"/>
  <c r="EE201" i="79"/>
  <c r="AU201" i="79"/>
  <c r="CA201" i="79"/>
  <c r="CY201" i="79"/>
  <c r="DO201" i="79"/>
  <c r="CI184" i="79"/>
  <c r="EE177" i="79"/>
  <c r="CY177" i="79"/>
  <c r="O177" i="79"/>
  <c r="DG177" i="79"/>
  <c r="EU177" i="79"/>
  <c r="AU177" i="79"/>
  <c r="CA177" i="79"/>
  <c r="BK177" i="79"/>
  <c r="DO177" i="79"/>
  <c r="W177" i="79"/>
  <c r="AE177" i="79"/>
  <c r="AM177" i="79"/>
  <c r="DW177" i="79"/>
  <c r="BS187" i="79"/>
  <c r="O185" i="79"/>
  <c r="CI187" i="79"/>
  <c r="CQ187" i="79"/>
  <c r="AU185" i="79"/>
  <c r="CA185" i="79"/>
  <c r="CY187" i="79"/>
  <c r="O178" i="79"/>
  <c r="DO185" i="79"/>
  <c r="DG187" i="79"/>
  <c r="BK178" i="79"/>
  <c r="DO187" i="79"/>
  <c r="DG185" i="79"/>
  <c r="DW187" i="79"/>
  <c r="AM185" i="79"/>
  <c r="AU178" i="79"/>
  <c r="CA178" i="79"/>
  <c r="CY178" i="79"/>
  <c r="EE187" i="79"/>
  <c r="W185" i="79"/>
  <c r="AE185" i="79"/>
  <c r="DW185" i="79"/>
  <c r="EM187" i="79"/>
  <c r="CI185" i="79"/>
  <c r="EE184" i="80"/>
  <c r="EU187" i="79"/>
  <c r="FC187" i="79"/>
  <c r="W184" i="80"/>
  <c r="CA187" i="79"/>
  <c r="FK187" i="79"/>
  <c r="DW178" i="79"/>
  <c r="BC178" i="79"/>
  <c r="CY185" i="79"/>
  <c r="BS185" i="79"/>
  <c r="EM185" i="79"/>
  <c r="G14" i="69"/>
  <c r="BS176" i="79"/>
  <c r="FK114" i="79"/>
  <c r="FL114" i="79" s="1"/>
  <c r="AU114" i="79"/>
  <c r="AV114" i="79" s="1"/>
  <c r="DW291" i="80"/>
  <c r="BS291" i="80"/>
  <c r="AU291" i="80"/>
  <c r="CQ291" i="80"/>
  <c r="AM291" i="80"/>
  <c r="O291" i="80"/>
  <c r="FK72" i="80"/>
  <c r="CQ72" i="80"/>
  <c r="CY72" i="80"/>
  <c r="AM72" i="80"/>
  <c r="AE72" i="80"/>
  <c r="FC72" i="80"/>
  <c r="DW72" i="80"/>
  <c r="DO72" i="80"/>
  <c r="DG72" i="80"/>
  <c r="DW92" i="80"/>
  <c r="BS92" i="80"/>
  <c r="FK225" i="80"/>
  <c r="CY225" i="80"/>
  <c r="O225" i="80"/>
  <c r="FC225" i="80"/>
  <c r="E391" i="80"/>
  <c r="K391" i="80" s="1"/>
  <c r="K46" i="80"/>
  <c r="EE105" i="79"/>
  <c r="CI176" i="79"/>
  <c r="BK63" i="79"/>
  <c r="BK105" i="79"/>
  <c r="CQ176" i="79"/>
  <c r="W91" i="79"/>
  <c r="BC305" i="79"/>
  <c r="EE228" i="79"/>
  <c r="AU268" i="80"/>
  <c r="CY270" i="80"/>
  <c r="CZ270" i="80" s="1"/>
  <c r="FK71" i="80"/>
  <c r="BC71" i="80"/>
  <c r="BC105" i="79"/>
  <c r="C16" i="32"/>
  <c r="G202" i="85"/>
  <c r="CQ470" i="79"/>
  <c r="O63" i="79"/>
  <c r="W291" i="79"/>
  <c r="AU228" i="79"/>
  <c r="BK254" i="79"/>
  <c r="CQ140" i="79"/>
  <c r="DG279" i="79"/>
  <c r="DO132" i="79"/>
  <c r="EM63" i="79"/>
  <c r="FK122" i="79"/>
  <c r="EM122" i="79"/>
  <c r="CA122" i="79"/>
  <c r="EE122" i="79"/>
  <c r="FK234" i="79"/>
  <c r="FC234" i="79"/>
  <c r="DO234" i="79"/>
  <c r="BK234" i="79"/>
  <c r="AM234" i="79"/>
  <c r="DG234" i="79"/>
  <c r="FK224" i="79"/>
  <c r="EE224" i="79"/>
  <c r="CA224" i="79"/>
  <c r="FK210" i="79"/>
  <c r="BK210" i="79"/>
  <c r="W195" i="80"/>
  <c r="AM270" i="80"/>
  <c r="AM131" i="80"/>
  <c r="BS278" i="80"/>
  <c r="AM278" i="80"/>
  <c r="CY278" i="80"/>
  <c r="AE278" i="80"/>
  <c r="O278" i="80"/>
  <c r="W278" i="80"/>
  <c r="AM152" i="80"/>
  <c r="CY152" i="80"/>
  <c r="BC152" i="80"/>
  <c r="DG105" i="79"/>
  <c r="CQ103" i="79"/>
  <c r="BS105" i="79"/>
  <c r="DG176" i="79"/>
  <c r="W226" i="79"/>
  <c r="AM308" i="79"/>
  <c r="AU234" i="79"/>
  <c r="BC279" i="79"/>
  <c r="BC122" i="79"/>
  <c r="BC247" i="79"/>
  <c r="BD247" i="79" s="1"/>
  <c r="BS63" i="79"/>
  <c r="BS224" i="79"/>
  <c r="CA65" i="79"/>
  <c r="CQ241" i="79"/>
  <c r="CQ212" i="79"/>
  <c r="CY241" i="79"/>
  <c r="DO249" i="79"/>
  <c r="DO182" i="79"/>
  <c r="DP182" i="79" s="1"/>
  <c r="EU279" i="79"/>
  <c r="FC184" i="79"/>
  <c r="FK309" i="79"/>
  <c r="CA309" i="79"/>
  <c r="FC141" i="79"/>
  <c r="EU141" i="79"/>
  <c r="EM141" i="79"/>
  <c r="O141" i="79"/>
  <c r="CY141" i="79"/>
  <c r="CI141" i="79"/>
  <c r="FK150" i="79"/>
  <c r="DW150" i="79"/>
  <c r="CI150" i="79"/>
  <c r="BC150" i="79"/>
  <c r="W150" i="79"/>
  <c r="BK150" i="79"/>
  <c r="FK69" i="79"/>
  <c r="EE69" i="79"/>
  <c r="FC69" i="79"/>
  <c r="EU69" i="79"/>
  <c r="EV69" i="79" s="1"/>
  <c r="AM69" i="79"/>
  <c r="AO69" i="79" s="1"/>
  <c r="W69" i="79"/>
  <c r="Y69" i="79" s="1"/>
  <c r="DO69" i="79"/>
  <c r="DP69" i="79" s="1"/>
  <c r="DG69" i="79"/>
  <c r="DH69" i="79" s="1"/>
  <c r="BK69" i="79"/>
  <c r="BL69" i="79" s="1"/>
  <c r="EM69" i="79"/>
  <c r="EN69" i="79" s="1"/>
  <c r="O69" i="79"/>
  <c r="FK129" i="79"/>
  <c r="EM129" i="79"/>
  <c r="DW129" i="79"/>
  <c r="CI129" i="79"/>
  <c r="CJ129" i="79" s="1"/>
  <c r="BC129" i="79"/>
  <c r="AU129" i="79"/>
  <c r="W110" i="80"/>
  <c r="W194" i="80"/>
  <c r="AM226" i="80"/>
  <c r="BC278" i="80"/>
  <c r="BC72" i="80"/>
  <c r="BS293" i="80"/>
  <c r="BS131" i="80"/>
  <c r="EE291" i="79"/>
  <c r="DO291" i="79"/>
  <c r="EM291" i="79"/>
  <c r="DG291" i="79"/>
  <c r="AE291" i="79"/>
  <c r="BK291" i="79"/>
  <c r="O291" i="79"/>
  <c r="FK92" i="79"/>
  <c r="EM92" i="79"/>
  <c r="DG92" i="79"/>
  <c r="AM92" i="79"/>
  <c r="FC92" i="79"/>
  <c r="CQ92" i="79"/>
  <c r="EE92" i="79"/>
  <c r="CY92" i="79"/>
  <c r="CA92" i="79"/>
  <c r="CQ184" i="79"/>
  <c r="DW226" i="80"/>
  <c r="EU226" i="80"/>
  <c r="CQ226" i="80"/>
  <c r="W226" i="80"/>
  <c r="BS226" i="80"/>
  <c r="CY226" i="80"/>
  <c r="AU226" i="80"/>
  <c r="O226" i="80"/>
  <c r="DO268" i="79"/>
  <c r="DO271" i="79" s="1"/>
  <c r="AM228" i="79"/>
  <c r="BK228" i="79"/>
  <c r="BS228" i="79"/>
  <c r="EM105" i="79"/>
  <c r="I60" i="76"/>
  <c r="CA176" i="79"/>
  <c r="O189" i="79"/>
  <c r="AE279" i="79"/>
  <c r="CQ305" i="79"/>
  <c r="O131" i="79"/>
  <c r="AE131" i="79"/>
  <c r="AU212" i="79"/>
  <c r="CY305" i="79"/>
  <c r="CQ279" i="79"/>
  <c r="CA293" i="80"/>
  <c r="CI107" i="80"/>
  <c r="EE72" i="80"/>
  <c r="AM91" i="80"/>
  <c r="BC91" i="80"/>
  <c r="BS91" i="80"/>
  <c r="DO105" i="79"/>
  <c r="CY176" i="79"/>
  <c r="W189" i="79"/>
  <c r="X189" i="79" s="1"/>
  <c r="CQ213" i="79"/>
  <c r="CY279" i="79"/>
  <c r="DO184" i="79"/>
  <c r="K151" i="79"/>
  <c r="FC111" i="79"/>
  <c r="EU111" i="79"/>
  <c r="EM89" i="79"/>
  <c r="CQ89" i="79"/>
  <c r="AM297" i="80"/>
  <c r="EE297" i="80"/>
  <c r="AE297" i="80"/>
  <c r="EM297" i="80"/>
  <c r="CA297" i="80"/>
  <c r="CC297" i="80" s="1"/>
  <c r="W297" i="80"/>
  <c r="BS297" i="80"/>
  <c r="CY105" i="79"/>
  <c r="CI103" i="79"/>
  <c r="DO176" i="79"/>
  <c r="O181" i="79"/>
  <c r="AE114" i="79"/>
  <c r="AE228" i="79"/>
  <c r="AU63" i="79"/>
  <c r="AU92" i="79"/>
  <c r="BK132" i="79"/>
  <c r="BS291" i="79"/>
  <c r="BS189" i="79"/>
  <c r="CA63" i="79"/>
  <c r="CA254" i="79"/>
  <c r="CQ228" i="79"/>
  <c r="CQ210" i="79"/>
  <c r="CY228" i="79"/>
  <c r="CY200" i="79"/>
  <c r="DG189" i="79"/>
  <c r="EE268" i="79"/>
  <c r="EE271" i="79" s="1"/>
  <c r="EU189" i="79"/>
  <c r="EV189" i="79" s="1"/>
  <c r="FC224" i="79"/>
  <c r="FC182" i="79"/>
  <c r="FC294" i="79"/>
  <c r="DO294" i="79"/>
  <c r="CI294" i="79"/>
  <c r="BC294" i="79"/>
  <c r="AU294" i="79"/>
  <c r="AM294" i="79"/>
  <c r="W294" i="79"/>
  <c r="CQ294" i="79"/>
  <c r="K141" i="79"/>
  <c r="DY141" i="79" s="1"/>
  <c r="O194" i="80"/>
  <c r="AE243" i="80"/>
  <c r="AU234" i="80"/>
  <c r="BK226" i="80"/>
  <c r="BS234" i="80"/>
  <c r="CA243" i="80"/>
  <c r="CI92" i="80"/>
  <c r="DW71" i="80"/>
  <c r="EE61" i="80"/>
  <c r="FC293" i="80"/>
  <c r="FD293" i="80" s="1"/>
  <c r="FC107" i="80"/>
  <c r="EU154" i="79"/>
  <c r="EE154" i="79"/>
  <c r="AE154" i="79"/>
  <c r="AE184" i="79"/>
  <c r="FK241" i="79"/>
  <c r="EE241" i="79"/>
  <c r="AM241" i="79"/>
  <c r="FC241" i="79"/>
  <c r="BS241" i="79"/>
  <c r="CA279" i="79"/>
  <c r="CI255" i="80"/>
  <c r="BS255" i="80"/>
  <c r="BS268" i="79"/>
  <c r="BS271" i="79" s="1"/>
  <c r="CA241" i="79"/>
  <c r="DO92" i="79"/>
  <c r="K107" i="80"/>
  <c r="FK211" i="80"/>
  <c r="FL211" i="80" s="1"/>
  <c r="W211" i="80"/>
  <c r="X211" i="80" s="1"/>
  <c r="O211" i="80"/>
  <c r="P211" i="80" s="1"/>
  <c r="DG211" i="80"/>
  <c r="DH211" i="80" s="1"/>
  <c r="CA211" i="80"/>
  <c r="CB211" i="80" s="1"/>
  <c r="AE105" i="79"/>
  <c r="DO189" i="79"/>
  <c r="DW268" i="80"/>
  <c r="O268" i="80"/>
  <c r="AM268" i="80"/>
  <c r="EU268" i="80"/>
  <c r="BC268" i="80"/>
  <c r="W268" i="80"/>
  <c r="BC219" i="80"/>
  <c r="AE219" i="80"/>
  <c r="AM219" i="80"/>
  <c r="CA219" i="80"/>
  <c r="BS219" i="80"/>
  <c r="DO219" i="80"/>
  <c r="FC219" i="80"/>
  <c r="CY219" i="80"/>
  <c r="EU219" i="80"/>
  <c r="EM219" i="80"/>
  <c r="CQ219" i="80"/>
  <c r="EE219" i="80"/>
  <c r="W63" i="79"/>
  <c r="DO253" i="79"/>
  <c r="AU72" i="80"/>
  <c r="FC131" i="80"/>
  <c r="DW131" i="80"/>
  <c r="AU131" i="80"/>
  <c r="EE131" i="80"/>
  <c r="CI131" i="80"/>
  <c r="O131" i="80"/>
  <c r="BK131" i="80"/>
  <c r="FK253" i="80"/>
  <c r="O253" i="80"/>
  <c r="DO253" i="80"/>
  <c r="DW176" i="79"/>
  <c r="W131" i="79"/>
  <c r="BK181" i="79"/>
  <c r="FC140" i="79"/>
  <c r="DW140" i="79"/>
  <c r="CY140" i="79"/>
  <c r="EE140" i="79"/>
  <c r="CA140" i="79"/>
  <c r="BC140" i="79"/>
  <c r="AM140" i="79"/>
  <c r="W140" i="79"/>
  <c r="K277" i="80"/>
  <c r="AU103" i="79"/>
  <c r="EE176" i="79"/>
  <c r="AU293" i="80"/>
  <c r="FK279" i="79"/>
  <c r="DW279" i="79"/>
  <c r="FC279" i="79"/>
  <c r="O279" i="79"/>
  <c r="EE279" i="79"/>
  <c r="DO279" i="79"/>
  <c r="FK73" i="79"/>
  <c r="DW73" i="79"/>
  <c r="CI73" i="79"/>
  <c r="AU73" i="79"/>
  <c r="AE73" i="79"/>
  <c r="EU73" i="79"/>
  <c r="BS73" i="79"/>
  <c r="CI305" i="79"/>
  <c r="EU92" i="79"/>
  <c r="FK268" i="79"/>
  <c r="DW268" i="79"/>
  <c r="DW271" i="79" s="1"/>
  <c r="CY268" i="79"/>
  <c r="CY271" i="79" s="1"/>
  <c r="CA268" i="79"/>
  <c r="CA271" i="79" s="1"/>
  <c r="DG268" i="79"/>
  <c r="DG271" i="79" s="1"/>
  <c r="BC268" i="79"/>
  <c r="BC271" i="79" s="1"/>
  <c r="AU268" i="79"/>
  <c r="AM268" i="79"/>
  <c r="W268" i="79"/>
  <c r="W271" i="79" s="1"/>
  <c r="EM268" i="79"/>
  <c r="BK268" i="79"/>
  <c r="AE268" i="79"/>
  <c r="AE271" i="79" s="1"/>
  <c r="E386" i="79"/>
  <c r="K386" i="79" s="1"/>
  <c r="K41" i="79"/>
  <c r="BC92" i="79"/>
  <c r="CI279" i="79"/>
  <c r="EM254" i="79"/>
  <c r="FK91" i="79"/>
  <c r="FC91" i="79"/>
  <c r="EU91" i="79"/>
  <c r="EE91" i="79"/>
  <c r="CY91" i="79"/>
  <c r="CA91" i="79"/>
  <c r="AE91" i="79"/>
  <c r="DO91" i="79"/>
  <c r="EM279" i="79"/>
  <c r="FK71" i="79"/>
  <c r="DO71" i="79"/>
  <c r="DO293" i="80"/>
  <c r="FK64" i="80"/>
  <c r="DO64" i="80"/>
  <c r="FC64" i="80"/>
  <c r="CI64" i="80"/>
  <c r="O64" i="80"/>
  <c r="BC64" i="80"/>
  <c r="BS254" i="80"/>
  <c r="O254" i="80"/>
  <c r="CI254" i="80"/>
  <c r="W254" i="80"/>
  <c r="FK478" i="80"/>
  <c r="BC478" i="80"/>
  <c r="BC189" i="79"/>
  <c r="BK91" i="79"/>
  <c r="AE212" i="79"/>
  <c r="AM182" i="79"/>
  <c r="O219" i="80"/>
  <c r="FK124" i="80"/>
  <c r="FM124" i="80" s="1"/>
  <c r="BK124" i="80"/>
  <c r="BM124" i="80" s="1"/>
  <c r="DG234" i="80"/>
  <c r="DW234" i="80"/>
  <c r="CI234" i="80"/>
  <c r="BK234" i="80"/>
  <c r="EE234" i="80"/>
  <c r="BC234" i="80"/>
  <c r="W184" i="79"/>
  <c r="CA226" i="79"/>
  <c r="CQ268" i="79"/>
  <c r="CQ271" i="79" s="1"/>
  <c r="DO247" i="79"/>
  <c r="DP247" i="79" s="1"/>
  <c r="O153" i="80"/>
  <c r="BK224" i="80"/>
  <c r="W182" i="79"/>
  <c r="CA291" i="79"/>
  <c r="CI92" i="79"/>
  <c r="CI226" i="79"/>
  <c r="DG226" i="79"/>
  <c r="AM195" i="80"/>
  <c r="CA226" i="80"/>
  <c r="CI72" i="80"/>
  <c r="DW225" i="80"/>
  <c r="AE295" i="80"/>
  <c r="EE295" i="80"/>
  <c r="BC295" i="80"/>
  <c r="EM295" i="80"/>
  <c r="W295" i="80"/>
  <c r="CA295" i="80"/>
  <c r="AU295" i="80"/>
  <c r="DO295" i="80"/>
  <c r="FK141" i="80"/>
  <c r="AE141" i="80"/>
  <c r="EE60" i="80"/>
  <c r="BK60" i="80"/>
  <c r="W60" i="80"/>
  <c r="CA105" i="79"/>
  <c r="EM176" i="79"/>
  <c r="O212" i="79"/>
  <c r="W181" i="79"/>
  <c r="X181" i="79" s="1"/>
  <c r="AM207" i="79"/>
  <c r="AU195" i="79"/>
  <c r="BK305" i="79"/>
  <c r="BS184" i="79"/>
  <c r="CI291" i="79"/>
  <c r="CI91" i="79"/>
  <c r="DG184" i="79"/>
  <c r="DO305" i="79"/>
  <c r="DW241" i="79"/>
  <c r="EE226" i="79"/>
  <c r="EM228" i="79"/>
  <c r="EM195" i="79"/>
  <c r="EU226" i="79"/>
  <c r="EU184" i="79"/>
  <c r="FK205" i="79"/>
  <c r="EU205" i="79"/>
  <c r="DO205" i="79"/>
  <c r="DO207" i="79" s="1"/>
  <c r="FC205" i="79"/>
  <c r="DW205" i="79"/>
  <c r="BK205" i="79"/>
  <c r="BK207" i="79" s="1"/>
  <c r="CQ205" i="79"/>
  <c r="CA205" i="79"/>
  <c r="O91" i="80"/>
  <c r="Y305" i="80"/>
  <c r="Z305" i="80" s="1"/>
  <c r="W72" i="80"/>
  <c r="AM293" i="80"/>
  <c r="AM194" i="80"/>
  <c r="BC297" i="80"/>
  <c r="CI71" i="80"/>
  <c r="DO131" i="80"/>
  <c r="FC141" i="80"/>
  <c r="BS128" i="80"/>
  <c r="CA128" i="80"/>
  <c r="FC128" i="80"/>
  <c r="FK110" i="80"/>
  <c r="DG110" i="80"/>
  <c r="CA110" i="80"/>
  <c r="AM110" i="80"/>
  <c r="BC110" i="80"/>
  <c r="AE110" i="80"/>
  <c r="EU110" i="80"/>
  <c r="FC110" i="80"/>
  <c r="DW110" i="80"/>
  <c r="EE110" i="80"/>
  <c r="BC99" i="80"/>
  <c r="AE99" i="80"/>
  <c r="W99" i="80"/>
  <c r="FC99" i="80"/>
  <c r="DO99" i="80"/>
  <c r="AU99" i="80"/>
  <c r="O99" i="80"/>
  <c r="EE99" i="80"/>
  <c r="AM99" i="80"/>
  <c r="FK243" i="80"/>
  <c r="AU243" i="80"/>
  <c r="DW243" i="80"/>
  <c r="EM243" i="80"/>
  <c r="CI243" i="80"/>
  <c r="DG243" i="80"/>
  <c r="BS243" i="80"/>
  <c r="FC243" i="80"/>
  <c r="CY243" i="80"/>
  <c r="EU243" i="80"/>
  <c r="BK243" i="80"/>
  <c r="O243" i="80"/>
  <c r="EE230" i="80"/>
  <c r="CA230" i="80"/>
  <c r="AM230" i="80"/>
  <c r="AE230" i="80"/>
  <c r="CI230" i="80"/>
  <c r="CQ230" i="80"/>
  <c r="BK230" i="80"/>
  <c r="E388" i="80"/>
  <c r="K388" i="80" s="1"/>
  <c r="K43" i="80"/>
  <c r="CA214" i="80"/>
  <c r="AM214" i="80"/>
  <c r="BS214" i="80"/>
  <c r="W214" i="80"/>
  <c r="EU214" i="80"/>
  <c r="CQ214" i="80"/>
  <c r="AU214" i="80"/>
  <c r="CI214" i="80"/>
  <c r="BK214" i="80"/>
  <c r="EM214" i="80"/>
  <c r="DW214" i="80"/>
  <c r="BC214" i="80"/>
  <c r="G404" i="80"/>
  <c r="G425" i="80" s="1"/>
  <c r="CA33" i="80"/>
  <c r="CA404" i="80" s="1"/>
  <c r="AU33" i="80"/>
  <c r="AU184" i="79"/>
  <c r="FK132" i="79"/>
  <c r="DW132" i="79"/>
  <c r="FK220" i="80"/>
  <c r="BC220" i="80"/>
  <c r="AE220" i="80"/>
  <c r="AM220" i="80"/>
  <c r="CA220" i="80"/>
  <c r="CY220" i="80"/>
  <c r="O220" i="80"/>
  <c r="DO220" i="80"/>
  <c r="BK220" i="80"/>
  <c r="FC220" i="80"/>
  <c r="EU220" i="80"/>
  <c r="CY212" i="79"/>
  <c r="AU193" i="80"/>
  <c r="AU63" i="80"/>
  <c r="CA234" i="80"/>
  <c r="CI105" i="79"/>
  <c r="AM103" i="79"/>
  <c r="AU105" i="79"/>
  <c r="EU176" i="79"/>
  <c r="EM470" i="79"/>
  <c r="O140" i="79"/>
  <c r="O210" i="79"/>
  <c r="W305" i="79"/>
  <c r="W247" i="79"/>
  <c r="AU131" i="79"/>
  <c r="AU254" i="79"/>
  <c r="BC212" i="79"/>
  <c r="BS131" i="79"/>
  <c r="BS182" i="79"/>
  <c r="CA184" i="79"/>
  <c r="CI254" i="79"/>
  <c r="CQ71" i="79"/>
  <c r="CY71" i="79"/>
  <c r="CY226" i="79"/>
  <c r="CY189" i="79"/>
  <c r="CZ189" i="79" s="1"/>
  <c r="DG182" i="79"/>
  <c r="DH182" i="79" s="1"/>
  <c r="DO212" i="79"/>
  <c r="DW228" i="79"/>
  <c r="EM111" i="79"/>
  <c r="EM234" i="79"/>
  <c r="FK127" i="79"/>
  <c r="EM127" i="79"/>
  <c r="DW127" i="79"/>
  <c r="CY127" i="79"/>
  <c r="CA127" i="79"/>
  <c r="W127" i="79"/>
  <c r="FK97" i="79"/>
  <c r="FC97" i="79"/>
  <c r="DO97" i="79"/>
  <c r="BK97" i="79"/>
  <c r="DG97" i="79"/>
  <c r="AM97" i="79"/>
  <c r="EM97" i="79"/>
  <c r="FC243" i="79"/>
  <c r="EE243" i="79"/>
  <c r="DW243" i="79"/>
  <c r="CI243" i="79"/>
  <c r="W243" i="79"/>
  <c r="DG243" i="79"/>
  <c r="CQ243" i="79"/>
  <c r="FK230" i="79"/>
  <c r="FC230" i="79"/>
  <c r="DO230" i="79"/>
  <c r="DG230" i="79"/>
  <c r="CQ230" i="79"/>
  <c r="BS230" i="79"/>
  <c r="EU230" i="79"/>
  <c r="CY230" i="79"/>
  <c r="O230" i="79"/>
  <c r="O297" i="80"/>
  <c r="Q297" i="80" s="1"/>
  <c r="O72" i="80"/>
  <c r="AE268" i="80"/>
  <c r="AE131" i="80"/>
  <c r="AE226" i="80"/>
  <c r="BC131" i="80"/>
  <c r="BK291" i="80"/>
  <c r="BL120" i="80"/>
  <c r="BM120" i="80"/>
  <c r="BK219" i="80"/>
  <c r="DO226" i="80"/>
  <c r="DW220" i="80"/>
  <c r="EM114" i="80"/>
  <c r="FK213" i="79"/>
  <c r="AE213" i="79"/>
  <c r="AM213" i="79"/>
  <c r="W213" i="79"/>
  <c r="FK293" i="80"/>
  <c r="EM293" i="80"/>
  <c r="EO293" i="80" s="1"/>
  <c r="W293" i="80"/>
  <c r="CI293" i="80"/>
  <c r="DG293" i="80"/>
  <c r="CY293" i="80"/>
  <c r="BK293" i="80"/>
  <c r="EE293" i="80"/>
  <c r="DW293" i="80"/>
  <c r="CQ293" i="80"/>
  <c r="G298" i="80"/>
  <c r="O293" i="80"/>
  <c r="FC270" i="80"/>
  <c r="BK270" i="80"/>
  <c r="AU270" i="80"/>
  <c r="CQ270" i="80"/>
  <c r="CR270" i="80" s="1"/>
  <c r="O270" i="80"/>
  <c r="CI270" i="80"/>
  <c r="BC270" i="80"/>
  <c r="W270" i="80"/>
  <c r="W212" i="80"/>
  <c r="CQ212" i="80"/>
  <c r="CY212" i="80"/>
  <c r="CI212" i="80"/>
  <c r="AM212" i="80"/>
  <c r="FK195" i="80"/>
  <c r="BS195" i="80"/>
  <c r="O195" i="80"/>
  <c r="DG195" i="80"/>
  <c r="CQ195" i="80"/>
  <c r="EU195" i="80"/>
  <c r="FC195" i="80"/>
  <c r="DW195" i="80"/>
  <c r="AE195" i="80"/>
  <c r="CI195" i="80"/>
  <c r="G301" i="85"/>
  <c r="I168" i="90" s="1"/>
  <c r="G301" i="79"/>
  <c r="G302" i="79" s="1"/>
  <c r="FK96" i="80"/>
  <c r="CY96" i="80"/>
  <c r="BC96" i="80"/>
  <c r="FC228" i="80"/>
  <c r="EM228" i="80"/>
  <c r="BS228" i="80"/>
  <c r="G271" i="80"/>
  <c r="BK73" i="79"/>
  <c r="DO227" i="79"/>
  <c r="EV151" i="79"/>
  <c r="CA228" i="79"/>
  <c r="EE212" i="79"/>
  <c r="FK63" i="79"/>
  <c r="DO63" i="79"/>
  <c r="CQ63" i="79"/>
  <c r="CY63" i="79"/>
  <c r="EE63" i="79"/>
  <c r="DG270" i="80"/>
  <c r="FK113" i="80"/>
  <c r="CA113" i="80"/>
  <c r="DG113" i="80"/>
  <c r="DO113" i="80"/>
  <c r="CY113" i="80"/>
  <c r="W113" i="80"/>
  <c r="EM113" i="80"/>
  <c r="CQ113" i="80"/>
  <c r="BK113" i="80"/>
  <c r="O113" i="80"/>
  <c r="AE113" i="80"/>
  <c r="FK221" i="80"/>
  <c r="EM221" i="80"/>
  <c r="O92" i="79"/>
  <c r="BK227" i="79"/>
  <c r="DO254" i="79"/>
  <c r="C17" i="32"/>
  <c r="G207" i="85"/>
  <c r="AU241" i="79"/>
  <c r="W63" i="80"/>
  <c r="O63" i="80"/>
  <c r="EM63" i="80"/>
  <c r="BS63" i="80"/>
  <c r="BK63" i="80"/>
  <c r="AE63" i="80"/>
  <c r="CI63" i="80"/>
  <c r="CQ63" i="80"/>
  <c r="CA63" i="80"/>
  <c r="CQ105" i="79"/>
  <c r="AM105" i="79"/>
  <c r="C62" i="36"/>
  <c r="FC176" i="79"/>
  <c r="W279" i="79"/>
  <c r="AE226" i="79"/>
  <c r="BE104" i="79"/>
  <c r="BC241" i="79"/>
  <c r="BC210" i="79"/>
  <c r="BK140" i="79"/>
  <c r="BS181" i="79"/>
  <c r="BU181" i="79" s="1"/>
  <c r="CA182" i="79"/>
  <c r="CI253" i="79"/>
  <c r="CY188" i="79"/>
  <c r="CZ188" i="79" s="1"/>
  <c r="DG181" i="79"/>
  <c r="DI181" i="79" s="1"/>
  <c r="DO140" i="79"/>
  <c r="DW234" i="79"/>
  <c r="DW189" i="79"/>
  <c r="DX189" i="79" s="1"/>
  <c r="EU291" i="79"/>
  <c r="FK66" i="79"/>
  <c r="FC66" i="79"/>
  <c r="DO66" i="79"/>
  <c r="DG66" i="79"/>
  <c r="BK66" i="79"/>
  <c r="W243" i="80"/>
  <c r="AU220" i="80"/>
  <c r="BC226" i="80"/>
  <c r="BS115" i="80"/>
  <c r="CA195" i="80"/>
  <c r="CI226" i="80"/>
  <c r="CQ243" i="80"/>
  <c r="CY230" i="80"/>
  <c r="DG220" i="80"/>
  <c r="EM270" i="80"/>
  <c r="EO270" i="80" s="1"/>
  <c r="EU291" i="80"/>
  <c r="FK305" i="79"/>
  <c r="EU305" i="79"/>
  <c r="BS305" i="79"/>
  <c r="O305" i="79"/>
  <c r="FK65" i="79"/>
  <c r="BK65" i="79"/>
  <c r="CQ65" i="79"/>
  <c r="FK254" i="79"/>
  <c r="DW254" i="79"/>
  <c r="EU254" i="79"/>
  <c r="BS254" i="79"/>
  <c r="EE254" i="79"/>
  <c r="BC254" i="79"/>
  <c r="AE254" i="79"/>
  <c r="O268" i="79"/>
  <c r="O271" i="79" s="1"/>
  <c r="W241" i="79"/>
  <c r="AE305" i="79"/>
  <c r="EM184" i="79"/>
  <c r="AM107" i="80"/>
  <c r="BC107" i="80"/>
  <c r="AE107" i="80"/>
  <c r="EU107" i="80"/>
  <c r="CQ107" i="80"/>
  <c r="DW107" i="80"/>
  <c r="DG107" i="80"/>
  <c r="W107" i="80"/>
  <c r="G298" i="79"/>
  <c r="FK226" i="79"/>
  <c r="FC226" i="79"/>
  <c r="EM226" i="79"/>
  <c r="BS226" i="79"/>
  <c r="AU226" i="79"/>
  <c r="BC226" i="79"/>
  <c r="FK212" i="79"/>
  <c r="EU212" i="79"/>
  <c r="FC212" i="79"/>
  <c r="EM212" i="79"/>
  <c r="CI212" i="79"/>
  <c r="AM212" i="79"/>
  <c r="W212" i="79"/>
  <c r="DW212" i="79"/>
  <c r="DG212" i="79"/>
  <c r="AU107" i="80"/>
  <c r="CI125" i="80"/>
  <c r="CJ125" i="80" s="1"/>
  <c r="O125" i="80"/>
  <c r="G313" i="79"/>
  <c r="AM291" i="79"/>
  <c r="AM254" i="79"/>
  <c r="BC132" i="79"/>
  <c r="BK92" i="79"/>
  <c r="DO226" i="79"/>
  <c r="FK106" i="80"/>
  <c r="CQ106" i="80"/>
  <c r="CA106" i="80"/>
  <c r="G271" i="79"/>
  <c r="W92" i="79"/>
  <c r="AM184" i="79"/>
  <c r="BC131" i="79"/>
  <c r="BK189" i="79"/>
  <c r="DG305" i="79"/>
  <c r="DO291" i="80"/>
  <c r="BS210" i="80"/>
  <c r="O210" i="80"/>
  <c r="DG210" i="80"/>
  <c r="CY210" i="80"/>
  <c r="FC210" i="80"/>
  <c r="DW210" i="80"/>
  <c r="EM210" i="80"/>
  <c r="BC210" i="80"/>
  <c r="AM210" i="80"/>
  <c r="DO210" i="80"/>
  <c r="AE210" i="80"/>
  <c r="W210" i="80"/>
  <c r="DW105" i="79"/>
  <c r="O254" i="79"/>
  <c r="BK226" i="79"/>
  <c r="CI228" i="79"/>
  <c r="DW291" i="79"/>
  <c r="EU63" i="79"/>
  <c r="H214" i="85"/>
  <c r="J118" i="90" s="1"/>
  <c r="H214" i="79"/>
  <c r="W254" i="79"/>
  <c r="AM305" i="79"/>
  <c r="AM313" i="79" s="1"/>
  <c r="CA253" i="79"/>
  <c r="FK308" i="79"/>
  <c r="CQ308" i="79"/>
  <c r="BS308" i="79"/>
  <c r="CA308" i="79"/>
  <c r="CY308" i="79"/>
  <c r="O107" i="80"/>
  <c r="EU113" i="80"/>
  <c r="K296" i="80"/>
  <c r="O308" i="79"/>
  <c r="AE270" i="80"/>
  <c r="AE234" i="80"/>
  <c r="CA72" i="80"/>
  <c r="EE210" i="80"/>
  <c r="DG150" i="80"/>
  <c r="W150" i="80"/>
  <c r="C27" i="36"/>
  <c r="O103" i="79"/>
  <c r="O228" i="79"/>
  <c r="AE65" i="79"/>
  <c r="AU279" i="79"/>
  <c r="AU140" i="79"/>
  <c r="BC228" i="79"/>
  <c r="BM72" i="79"/>
  <c r="BK111" i="79"/>
  <c r="BS279" i="79"/>
  <c r="BS140" i="79"/>
  <c r="CA305" i="79"/>
  <c r="CA181" i="79"/>
  <c r="CB181" i="79" s="1"/>
  <c r="CI308" i="79"/>
  <c r="CQ254" i="79"/>
  <c r="CQ189" i="79"/>
  <c r="CR189" i="79" s="1"/>
  <c r="CY253" i="79"/>
  <c r="DG63" i="79"/>
  <c r="DG254" i="79"/>
  <c r="DG178" i="79"/>
  <c r="DO111" i="79"/>
  <c r="DO228" i="79"/>
  <c r="DW92" i="79"/>
  <c r="DW188" i="79"/>
  <c r="DX188" i="79" s="1"/>
  <c r="EE184" i="79"/>
  <c r="FK57" i="79"/>
  <c r="EU57" i="79"/>
  <c r="O57" i="79"/>
  <c r="EM57" i="79"/>
  <c r="CA57" i="79"/>
  <c r="AE57" i="79"/>
  <c r="O295" i="80"/>
  <c r="W234" i="80"/>
  <c r="AE293" i="80"/>
  <c r="AG293" i="80" s="1"/>
  <c r="AM113" i="80"/>
  <c r="AU219" i="80"/>
  <c r="BC293" i="80"/>
  <c r="BE293" i="80" s="1"/>
  <c r="BK210" i="80"/>
  <c r="BS113" i="80"/>
  <c r="BS220" i="80"/>
  <c r="CA131" i="80"/>
  <c r="CI224" i="80"/>
  <c r="CQ221" i="80"/>
  <c r="DG219" i="80"/>
  <c r="DO212" i="80"/>
  <c r="EE270" i="80"/>
  <c r="EE113" i="80"/>
  <c r="EM110" i="80"/>
  <c r="FC226" i="80"/>
  <c r="W249" i="79"/>
  <c r="W188" i="79"/>
  <c r="AE189" i="79"/>
  <c r="AF189" i="79" s="1"/>
  <c r="AM189" i="79"/>
  <c r="AN189" i="79" s="1"/>
  <c r="AU271" i="79"/>
  <c r="BK245" i="79"/>
  <c r="BK184" i="79"/>
  <c r="BS178" i="79"/>
  <c r="CI189" i="79"/>
  <c r="CJ189" i="79" s="1"/>
  <c r="CQ181" i="79"/>
  <c r="CR181" i="79" s="1"/>
  <c r="DO178" i="79"/>
  <c r="DW184" i="79"/>
  <c r="EM188" i="79"/>
  <c r="EU188" i="79"/>
  <c r="FC188" i="79"/>
  <c r="EU486" i="80"/>
  <c r="BK486" i="80"/>
  <c r="BS486" i="80"/>
  <c r="AU486" i="80"/>
  <c r="DG486" i="80"/>
  <c r="AM486" i="80"/>
  <c r="CQ486" i="80"/>
  <c r="FK70" i="80"/>
  <c r="CQ70" i="80"/>
  <c r="CY70" i="80"/>
  <c r="AM70" i="80"/>
  <c r="AE70" i="80"/>
  <c r="BC70" i="80"/>
  <c r="DO70" i="80"/>
  <c r="FK62" i="80"/>
  <c r="EM62" i="80"/>
  <c r="FK130" i="80"/>
  <c r="AU130" i="80"/>
  <c r="EE130" i="80"/>
  <c r="O130" i="80"/>
  <c r="EM130" i="80"/>
  <c r="CI130" i="80"/>
  <c r="DG130" i="80"/>
  <c r="CA130" i="80"/>
  <c r="DW123" i="80"/>
  <c r="BS123" i="80"/>
  <c r="FK112" i="80"/>
  <c r="DG112" i="80"/>
  <c r="EE104" i="80"/>
  <c r="EU104" i="80"/>
  <c r="AU104" i="80"/>
  <c r="FK232" i="80"/>
  <c r="EM232" i="80"/>
  <c r="CI232" i="80"/>
  <c r="BK232" i="80"/>
  <c r="EE232" i="80"/>
  <c r="BC232" i="80"/>
  <c r="CA232" i="80"/>
  <c r="AM232" i="80"/>
  <c r="AE232" i="80"/>
  <c r="AE188" i="79"/>
  <c r="AF188" i="79" s="1"/>
  <c r="AM245" i="79"/>
  <c r="AN245" i="79" s="1"/>
  <c r="AM188" i="79"/>
  <c r="AN188" i="79" s="1"/>
  <c r="BK182" i="79"/>
  <c r="BM182" i="79" s="1"/>
  <c r="CI249" i="79"/>
  <c r="CI188" i="79"/>
  <c r="CQ178" i="79"/>
  <c r="DO245" i="79"/>
  <c r="DP245" i="79" s="1"/>
  <c r="DW249" i="79"/>
  <c r="DW182" i="79"/>
  <c r="DY182" i="79" s="1"/>
  <c r="EU310" i="79"/>
  <c r="FK276" i="79"/>
  <c r="FC276" i="79"/>
  <c r="FK104" i="79"/>
  <c r="FC104" i="79"/>
  <c r="FK225" i="79"/>
  <c r="DW225" i="79"/>
  <c r="FK18" i="79"/>
  <c r="FK412" i="79" s="1"/>
  <c r="EE18" i="79"/>
  <c r="EE412" i="79" s="1"/>
  <c r="FC70" i="80"/>
  <c r="FC277" i="80"/>
  <c r="DO277" i="80"/>
  <c r="BS277" i="80"/>
  <c r="BK277" i="80"/>
  <c r="AU277" i="80"/>
  <c r="DW277" i="80"/>
  <c r="CQ277" i="80"/>
  <c r="AE277" i="80"/>
  <c r="AE296" i="80"/>
  <c r="BC296" i="80"/>
  <c r="AU142" i="80"/>
  <c r="CQ142" i="80"/>
  <c r="W178" i="79"/>
  <c r="AE247" i="79"/>
  <c r="AF247" i="79" s="1"/>
  <c r="AE181" i="79"/>
  <c r="AF181" i="79" s="1"/>
  <c r="AM181" i="79"/>
  <c r="AO181" i="79" s="1"/>
  <c r="AU189" i="79"/>
  <c r="BC184" i="79"/>
  <c r="CI245" i="79"/>
  <c r="CK245" i="79" s="1"/>
  <c r="CI181" i="79"/>
  <c r="CJ181" i="79" s="1"/>
  <c r="CY249" i="79"/>
  <c r="CY184" i="79"/>
  <c r="DW245" i="79"/>
  <c r="EE189" i="79"/>
  <c r="EU178" i="79"/>
  <c r="FC178" i="79"/>
  <c r="FK293" i="79"/>
  <c r="FL293" i="79" s="1"/>
  <c r="EU293" i="79"/>
  <c r="FK60" i="79"/>
  <c r="EM60" i="79"/>
  <c r="EU60" i="79"/>
  <c r="CY130" i="80"/>
  <c r="EU130" i="80"/>
  <c r="BK275" i="80"/>
  <c r="AU275" i="80"/>
  <c r="DW275" i="80"/>
  <c r="CQ275" i="80"/>
  <c r="EM275" i="80"/>
  <c r="AE275" i="80"/>
  <c r="CI275" i="80"/>
  <c r="O249" i="79"/>
  <c r="O184" i="79"/>
  <c r="AE178" i="79"/>
  <c r="AU188" i="79"/>
  <c r="AV188" i="79" s="1"/>
  <c r="BC245" i="79"/>
  <c r="BD245" i="79" s="1"/>
  <c r="BC182" i="79"/>
  <c r="BE182" i="79" s="1"/>
  <c r="CA249" i="79"/>
  <c r="CA189" i="79"/>
  <c r="CI178" i="79"/>
  <c r="CY182" i="79"/>
  <c r="FK307" i="79"/>
  <c r="EU307" i="79"/>
  <c r="EM307" i="79"/>
  <c r="FK307" i="80"/>
  <c r="CI307" i="80"/>
  <c r="CA307" i="80"/>
  <c r="O307" i="80"/>
  <c r="CY67" i="80"/>
  <c r="AM67" i="80"/>
  <c r="AE67" i="80"/>
  <c r="BC67" i="80"/>
  <c r="DO67" i="80"/>
  <c r="W67" i="80"/>
  <c r="DW67" i="80"/>
  <c r="EE67" i="80"/>
  <c r="AU67" i="80"/>
  <c r="J60" i="76"/>
  <c r="O182" i="79"/>
  <c r="Q182" i="79" s="1"/>
  <c r="AE245" i="79"/>
  <c r="AM178" i="79"/>
  <c r="AU245" i="79"/>
  <c r="AV245" i="79" s="1"/>
  <c r="BC181" i="79"/>
  <c r="BE181" i="79" s="1"/>
  <c r="BU72" i="79"/>
  <c r="BV72" i="79" s="1"/>
  <c r="CA188" i="79"/>
  <c r="CB188" i="79" s="1"/>
  <c r="CQ200" i="79"/>
  <c r="CY181" i="79"/>
  <c r="EE249" i="79"/>
  <c r="EU252" i="79"/>
  <c r="FK98" i="79"/>
  <c r="FC98" i="79"/>
  <c r="DO98" i="79"/>
  <c r="FK178" i="79"/>
  <c r="DG70" i="80"/>
  <c r="DG232" i="80"/>
  <c r="EE486" i="80"/>
  <c r="AU139" i="80"/>
  <c r="EU139" i="80"/>
  <c r="CA139" i="80"/>
  <c r="BS139" i="80"/>
  <c r="O139" i="80"/>
  <c r="DG139" i="80"/>
  <c r="DO139" i="80"/>
  <c r="AE139" i="80"/>
  <c r="BC139" i="80"/>
  <c r="EU182" i="79"/>
  <c r="EV182" i="79" s="1"/>
  <c r="EE188" i="79"/>
  <c r="EM189" i="79"/>
  <c r="G207" i="79"/>
  <c r="EM249" i="79"/>
  <c r="EM182" i="79"/>
  <c r="EO182" i="79" s="1"/>
  <c r="AU59" i="80"/>
  <c r="BK305" i="80"/>
  <c r="BK241" i="80"/>
  <c r="CA305" i="80"/>
  <c r="CB305" i="80" s="1"/>
  <c r="CI241" i="80"/>
  <c r="DW66" i="80"/>
  <c r="DW250" i="80"/>
  <c r="EU305" i="80"/>
  <c r="EV305" i="80" s="1"/>
  <c r="K48" i="80"/>
  <c r="EE23" i="79"/>
  <c r="EE399" i="79" s="1"/>
  <c r="EE178" i="79"/>
  <c r="EU246" i="79"/>
  <c r="EM294" i="80"/>
  <c r="EO294" i="80" s="1"/>
  <c r="EM23" i="79"/>
  <c r="EM399" i="79" s="1"/>
  <c r="EM178" i="79"/>
  <c r="FC189" i="79"/>
  <c r="FD189" i="79" s="1"/>
  <c r="CA16" i="80"/>
  <c r="CA410" i="80" s="1"/>
  <c r="W22" i="79"/>
  <c r="W398" i="79" s="1"/>
  <c r="CQ22" i="79"/>
  <c r="CQ398" i="79" s="1"/>
  <c r="DO22" i="79"/>
  <c r="DO398" i="79" s="1"/>
  <c r="O22" i="79"/>
  <c r="DG22" i="79"/>
  <c r="BC276" i="79"/>
  <c r="BK276" i="79"/>
  <c r="BS276" i="79"/>
  <c r="CA276" i="79"/>
  <c r="CY276" i="79"/>
  <c r="EE276" i="79"/>
  <c r="DW276" i="79"/>
  <c r="EM276" i="79"/>
  <c r="EU276" i="79"/>
  <c r="O276" i="79"/>
  <c r="W276" i="79"/>
  <c r="AE276" i="79"/>
  <c r="CI276" i="79"/>
  <c r="CQ276" i="79"/>
  <c r="DO276" i="79"/>
  <c r="BK297" i="79"/>
  <c r="CA297" i="79"/>
  <c r="FC297" i="79"/>
  <c r="DG297" i="79"/>
  <c r="DI297" i="79" s="1"/>
  <c r="DO297" i="79"/>
  <c r="DQ297" i="79" s="1"/>
  <c r="DW297" i="79"/>
  <c r="EE297" i="79"/>
  <c r="EF297" i="79" s="1"/>
  <c r="BS297" i="79"/>
  <c r="BT297" i="79" s="1"/>
  <c r="CY297" i="79"/>
  <c r="DA297" i="79" s="1"/>
  <c r="EU297" i="79"/>
  <c r="FE293" i="80"/>
  <c r="C19" i="32"/>
  <c r="G235" i="85"/>
  <c r="C18" i="32"/>
  <c r="G215" i="85"/>
  <c r="CQ149" i="79"/>
  <c r="EM149" i="79"/>
  <c r="DO149" i="80"/>
  <c r="AE149" i="79"/>
  <c r="CA149" i="79"/>
  <c r="FC129" i="79"/>
  <c r="AE128" i="80"/>
  <c r="AM128" i="80"/>
  <c r="EU129" i="79"/>
  <c r="EW129" i="79" s="1"/>
  <c r="W92" i="80"/>
  <c r="AE92" i="80"/>
  <c r="AM92" i="80"/>
  <c r="AU92" i="80"/>
  <c r="BC92" i="80"/>
  <c r="BK92" i="80"/>
  <c r="CQ92" i="80"/>
  <c r="CA92" i="80"/>
  <c r="EM92" i="80"/>
  <c r="O92" i="80"/>
  <c r="DW65" i="80"/>
  <c r="AU65" i="80"/>
  <c r="J226" i="79"/>
  <c r="J194" i="80"/>
  <c r="J194" i="79"/>
  <c r="J310" i="80"/>
  <c r="J177" i="80"/>
  <c r="J25" i="79"/>
  <c r="J401" i="79" s="1"/>
  <c r="J177" i="79"/>
  <c r="J310" i="79"/>
  <c r="J18" i="79"/>
  <c r="J412" i="79" s="1"/>
  <c r="J428" i="79" s="1"/>
  <c r="J226" i="80"/>
  <c r="AU16" i="80"/>
  <c r="AU410" i="80" s="1"/>
  <c r="BS16" i="80"/>
  <c r="BS410" i="80" s="1"/>
  <c r="AM16" i="79"/>
  <c r="AM410" i="79" s="1"/>
  <c r="BK16" i="80"/>
  <c r="BK410" i="80" s="1"/>
  <c r="CQ16" i="80"/>
  <c r="CQ410" i="80" s="1"/>
  <c r="CY16" i="80"/>
  <c r="CY410" i="80" s="1"/>
  <c r="DW16" i="80"/>
  <c r="DW410" i="80" s="1"/>
  <c r="EU16" i="80"/>
  <c r="EU410" i="80" s="1"/>
  <c r="EM16" i="79"/>
  <c r="EM410" i="79" s="1"/>
  <c r="O16" i="80"/>
  <c r="O410" i="80" s="1"/>
  <c r="W16" i="80"/>
  <c r="W410" i="80" s="1"/>
  <c r="AM16" i="80"/>
  <c r="AM410" i="80" s="1"/>
  <c r="BC16" i="80"/>
  <c r="BC410" i="80" s="1"/>
  <c r="I146" i="79"/>
  <c r="I146" i="85"/>
  <c r="K84" i="90" s="1"/>
  <c r="J279" i="80"/>
  <c r="J279" i="85"/>
  <c r="L159" i="90" s="1"/>
  <c r="J130" i="80"/>
  <c r="J130" i="85"/>
  <c r="L76" i="90" s="1"/>
  <c r="J147" i="80"/>
  <c r="J147" i="85"/>
  <c r="L85" i="90" s="1"/>
  <c r="J206" i="79"/>
  <c r="J206" i="85"/>
  <c r="I72" i="80"/>
  <c r="I72" i="85"/>
  <c r="K38" i="90" s="1"/>
  <c r="DG17" i="80"/>
  <c r="DG411" i="80" s="1"/>
  <c r="I145" i="79"/>
  <c r="I145" i="85"/>
  <c r="K83" i="90" s="1"/>
  <c r="J294" i="79"/>
  <c r="J294" i="85"/>
  <c r="L164" i="90" s="1"/>
  <c r="J295" i="80"/>
  <c r="J295" i="85"/>
  <c r="L165" i="90" s="1"/>
  <c r="J307" i="79"/>
  <c r="J307" i="85"/>
  <c r="L171" i="90" s="1"/>
  <c r="J297" i="79"/>
  <c r="J297" i="85"/>
  <c r="L167" i="90" s="1"/>
  <c r="J120" i="80"/>
  <c r="J120" i="85"/>
  <c r="L66" i="90" s="1"/>
  <c r="J126" i="79"/>
  <c r="J126" i="85"/>
  <c r="L72" i="90" s="1"/>
  <c r="J75" i="79"/>
  <c r="J75" i="85"/>
  <c r="J69" i="79"/>
  <c r="J69" i="85"/>
  <c r="L35" i="90" s="1"/>
  <c r="J142" i="79"/>
  <c r="J142" i="85"/>
  <c r="L82" i="90" s="1"/>
  <c r="J155" i="79"/>
  <c r="J155" i="85"/>
  <c r="L93" i="90" s="1"/>
  <c r="J232" i="80"/>
  <c r="J232" i="85"/>
  <c r="L133" i="90" s="1"/>
  <c r="J227" i="80"/>
  <c r="J227" i="85"/>
  <c r="L128" i="90" s="1"/>
  <c r="J195" i="80"/>
  <c r="J195" i="85"/>
  <c r="L111" i="90" s="1"/>
  <c r="J184" i="80"/>
  <c r="J184" i="85"/>
  <c r="L102" i="90" s="1"/>
  <c r="J178" i="80"/>
  <c r="J178" i="85"/>
  <c r="L98" i="90" s="1"/>
  <c r="I293" i="80"/>
  <c r="I293" i="85"/>
  <c r="K163" i="90" s="1"/>
  <c r="I277" i="79"/>
  <c r="I277" i="85"/>
  <c r="K157" i="90" s="1"/>
  <c r="I150" i="80"/>
  <c r="CS150" i="80" s="1"/>
  <c r="I150" i="85"/>
  <c r="K88" i="90" s="1"/>
  <c r="I132" i="79"/>
  <c r="I132" i="85"/>
  <c r="K78" i="90" s="1"/>
  <c r="I126" i="80"/>
  <c r="FM126" i="80" s="1"/>
  <c r="I126" i="85"/>
  <c r="K72" i="90" s="1"/>
  <c r="I113" i="79"/>
  <c r="BE113" i="79" s="1"/>
  <c r="I113" i="85"/>
  <c r="K62" i="90" s="1"/>
  <c r="I103" i="79"/>
  <c r="AO103" i="79" s="1"/>
  <c r="I103" i="85"/>
  <c r="K52" i="90" s="1"/>
  <c r="I96" i="79"/>
  <c r="I96" i="85"/>
  <c r="K48" i="90" s="1"/>
  <c r="I71" i="79"/>
  <c r="I71" i="85"/>
  <c r="K37" i="90" s="1"/>
  <c r="F56" i="82"/>
  <c r="I18" i="85"/>
  <c r="K4" i="90" s="1"/>
  <c r="I211" i="79"/>
  <c r="I211" i="85"/>
  <c r="K117" i="90" s="1"/>
  <c r="I194" i="80"/>
  <c r="I194" i="85"/>
  <c r="K110" i="90" s="1"/>
  <c r="I182" i="79"/>
  <c r="I182" i="85"/>
  <c r="K101" i="90" s="1"/>
  <c r="I177" i="79"/>
  <c r="I177" i="85"/>
  <c r="K97" i="90" s="1"/>
  <c r="H295" i="79"/>
  <c r="BT295" i="79" s="1"/>
  <c r="H295" i="85"/>
  <c r="J165" i="90" s="1"/>
  <c r="H307" i="80"/>
  <c r="H307" i="85"/>
  <c r="J171" i="90" s="1"/>
  <c r="H270" i="80"/>
  <c r="H270" i="85"/>
  <c r="J153" i="90" s="1"/>
  <c r="H140" i="80"/>
  <c r="H140" i="85"/>
  <c r="J80" i="90" s="1"/>
  <c r="H129" i="80"/>
  <c r="H129" i="85"/>
  <c r="J75" i="90" s="1"/>
  <c r="H112" i="80"/>
  <c r="H112" i="85"/>
  <c r="J61" i="90" s="1"/>
  <c r="H91" i="80"/>
  <c r="CB91" i="80" s="1"/>
  <c r="H91" i="85"/>
  <c r="J46" i="90" s="1"/>
  <c r="J28" i="90"/>
  <c r="J10" i="90"/>
  <c r="H242" i="79"/>
  <c r="H242" i="85"/>
  <c r="J136" i="90" s="1"/>
  <c r="H232" i="80"/>
  <c r="H232" i="85"/>
  <c r="J133" i="90" s="1"/>
  <c r="H227" i="79"/>
  <c r="H227" i="85"/>
  <c r="J128" i="90" s="1"/>
  <c r="H210" i="80"/>
  <c r="H210" i="85"/>
  <c r="J115" i="90" s="1"/>
  <c r="H200" i="80"/>
  <c r="H200" i="85"/>
  <c r="J113" i="90" s="1"/>
  <c r="H193" i="79"/>
  <c r="H193" i="85"/>
  <c r="J109" i="90" s="1"/>
  <c r="H184" i="79"/>
  <c r="H184" i="85"/>
  <c r="J102" i="90" s="1"/>
  <c r="H178" i="80"/>
  <c r="H178" i="85"/>
  <c r="J98" i="90" s="1"/>
  <c r="H145" i="80"/>
  <c r="H145" i="85"/>
  <c r="J83" i="90" s="1"/>
  <c r="J293" i="79"/>
  <c r="J293" i="85"/>
  <c r="L163" i="90" s="1"/>
  <c r="J278" i="79"/>
  <c r="J278" i="85"/>
  <c r="L158" i="90" s="1"/>
  <c r="J255" i="79"/>
  <c r="J255" i="85"/>
  <c r="L149" i="90" s="1"/>
  <c r="J109" i="80"/>
  <c r="J109" i="85"/>
  <c r="L58" i="90" s="1"/>
  <c r="J66" i="79"/>
  <c r="J66" i="85"/>
  <c r="L32" i="90" s="1"/>
  <c r="J96" i="80"/>
  <c r="J96" i="85"/>
  <c r="L48" i="90" s="1"/>
  <c r="J139" i="79"/>
  <c r="J139" i="85"/>
  <c r="L79" i="90" s="1"/>
  <c r="J180" i="80"/>
  <c r="J180" i="85"/>
  <c r="L99" i="90" s="1"/>
  <c r="I278" i="80"/>
  <c r="BU278" i="80" s="1"/>
  <c r="I278" i="85"/>
  <c r="K158" i="90" s="1"/>
  <c r="I139" i="79"/>
  <c r="I139" i="85"/>
  <c r="K79" i="90" s="1"/>
  <c r="I22" i="79"/>
  <c r="I398" i="79" s="1"/>
  <c r="I22" i="85"/>
  <c r="K5" i="90" s="1"/>
  <c r="I249" i="79"/>
  <c r="AG249" i="79" s="1"/>
  <c r="I249" i="85"/>
  <c r="K143" i="90" s="1"/>
  <c r="I245" i="80"/>
  <c r="I245" i="85"/>
  <c r="K139" i="90" s="1"/>
  <c r="I241" i="80"/>
  <c r="I241" i="85"/>
  <c r="K135" i="90" s="1"/>
  <c r="H280" i="79"/>
  <c r="FL280" i="79" s="1"/>
  <c r="H280" i="85"/>
  <c r="J160" i="90" s="1"/>
  <c r="H24" i="79"/>
  <c r="H400" i="79" s="1"/>
  <c r="H24" i="85"/>
  <c r="J7" i="90" s="1"/>
  <c r="H247" i="79"/>
  <c r="H247" i="85"/>
  <c r="J141" i="90" s="1"/>
  <c r="H229" i="79"/>
  <c r="H229" i="85"/>
  <c r="J130" i="90" s="1"/>
  <c r="H211" i="80"/>
  <c r="H211" i="85"/>
  <c r="J117" i="90" s="1"/>
  <c r="H185" i="79"/>
  <c r="EV185" i="79" s="1"/>
  <c r="H185" i="85"/>
  <c r="J103" i="90" s="1"/>
  <c r="J145" i="80"/>
  <c r="J145" i="85"/>
  <c r="L83" i="90" s="1"/>
  <c r="J268" i="80"/>
  <c r="J268" i="85"/>
  <c r="L151" i="90" s="1"/>
  <c r="J244" i="79"/>
  <c r="J244" i="85"/>
  <c r="L138" i="90" s="1"/>
  <c r="J114" i="80"/>
  <c r="J114" i="85"/>
  <c r="L63" i="90" s="1"/>
  <c r="J108" i="79"/>
  <c r="J108" i="85"/>
  <c r="L57" i="90" s="1"/>
  <c r="G56" i="82"/>
  <c r="J18" i="85"/>
  <c r="L4" i="90" s="1"/>
  <c r="J305" i="79"/>
  <c r="J305" i="85"/>
  <c r="L169" i="90" s="1"/>
  <c r="J247" i="80"/>
  <c r="J247" i="85"/>
  <c r="L141" i="90" s="1"/>
  <c r="J125" i="79"/>
  <c r="J125" i="85"/>
  <c r="L71" i="90" s="1"/>
  <c r="J129" i="79"/>
  <c r="J129" i="85"/>
  <c r="L75" i="90" s="1"/>
  <c r="J72" i="80"/>
  <c r="J72" i="85"/>
  <c r="L38" i="90" s="1"/>
  <c r="J98" i="80"/>
  <c r="J98" i="85"/>
  <c r="L50" i="90" s="1"/>
  <c r="J141" i="79"/>
  <c r="J141" i="85"/>
  <c r="L81" i="90" s="1"/>
  <c r="J154" i="79"/>
  <c r="J154" i="85"/>
  <c r="L92" i="90" s="1"/>
  <c r="J149" i="79"/>
  <c r="J149" i="85"/>
  <c r="L87" i="90" s="1"/>
  <c r="J231" i="80"/>
  <c r="J231" i="85"/>
  <c r="L132" i="90" s="1"/>
  <c r="J211" i="80"/>
  <c r="J211" i="85"/>
  <c r="L117" i="90" s="1"/>
  <c r="J201" i="80"/>
  <c r="J201" i="85"/>
  <c r="L114" i="90" s="1"/>
  <c r="J188" i="80"/>
  <c r="J188" i="85"/>
  <c r="L105" i="90" s="1"/>
  <c r="J182" i="79"/>
  <c r="J182" i="85"/>
  <c r="L101" i="90" s="1"/>
  <c r="I309" i="80"/>
  <c r="I309" i="85"/>
  <c r="K173" i="90" s="1"/>
  <c r="I276" i="80"/>
  <c r="AO276" i="80" s="1"/>
  <c r="I276" i="85"/>
  <c r="K156" i="90" s="1"/>
  <c r="I141" i="80"/>
  <c r="I141" i="85"/>
  <c r="K81" i="90" s="1"/>
  <c r="I130" i="79"/>
  <c r="I130" i="85"/>
  <c r="K76" i="90" s="1"/>
  <c r="I114" i="80"/>
  <c r="I114" i="85"/>
  <c r="K63" i="90" s="1"/>
  <c r="I92" i="79"/>
  <c r="I92" i="85"/>
  <c r="K47" i="90" s="1"/>
  <c r="I66" i="79"/>
  <c r="I66" i="85"/>
  <c r="K32" i="90" s="1"/>
  <c r="F54" i="82"/>
  <c r="I16" i="85"/>
  <c r="K2" i="90" s="1"/>
  <c r="I252" i="79"/>
  <c r="I252" i="85"/>
  <c r="K146" i="90" s="1"/>
  <c r="I247" i="79"/>
  <c r="I247" i="85"/>
  <c r="K141" i="90" s="1"/>
  <c r="I231" i="80"/>
  <c r="I231" i="85"/>
  <c r="K132" i="90" s="1"/>
  <c r="H147" i="80"/>
  <c r="BT147" i="80" s="1"/>
  <c r="H147" i="85"/>
  <c r="J85" i="90" s="1"/>
  <c r="H29" i="80"/>
  <c r="H30" i="80" s="1"/>
  <c r="H403" i="80" s="1"/>
  <c r="H418" i="80" s="1"/>
  <c r="H29" i="85"/>
  <c r="J9" i="90" s="1"/>
  <c r="H245" i="80"/>
  <c r="H245" i="85"/>
  <c r="J139" i="90" s="1"/>
  <c r="H231" i="79"/>
  <c r="H231" i="85"/>
  <c r="J132" i="90" s="1"/>
  <c r="J146" i="80"/>
  <c r="J146" i="85"/>
  <c r="L84" i="90" s="1"/>
  <c r="J254" i="80"/>
  <c r="J254" i="85"/>
  <c r="L148" i="90" s="1"/>
  <c r="J248" i="79"/>
  <c r="J248" i="85"/>
  <c r="L142" i="90" s="1"/>
  <c r="J91" i="79"/>
  <c r="J91" i="85"/>
  <c r="L46" i="90" s="1"/>
  <c r="G54" i="82"/>
  <c r="J16" i="85"/>
  <c r="L2" i="90" s="1"/>
  <c r="J30" i="13"/>
  <c r="G47" i="35" s="1"/>
  <c r="G62" i="35" s="1"/>
  <c r="J29" i="85"/>
  <c r="L9" i="90" s="1"/>
  <c r="J213" i="80"/>
  <c r="J213" i="85"/>
  <c r="L119" i="90" s="1"/>
  <c r="J192" i="79"/>
  <c r="J192" i="85"/>
  <c r="L108" i="90" s="1"/>
  <c r="J185" i="79"/>
  <c r="J185" i="85"/>
  <c r="L103" i="90" s="1"/>
  <c r="J33" i="79"/>
  <c r="J419" i="79" s="1"/>
  <c r="J33" i="85"/>
  <c r="I294" i="80"/>
  <c r="I294" i="85"/>
  <c r="K164" i="90" s="1"/>
  <c r="I151" i="79"/>
  <c r="I151" i="85"/>
  <c r="K89" i="90" s="1"/>
  <c r="I104" i="79"/>
  <c r="I104" i="85"/>
  <c r="K53" i="90" s="1"/>
  <c r="I189" i="79"/>
  <c r="AW189" i="79" s="1"/>
  <c r="I189" i="85"/>
  <c r="K106" i="90" s="1"/>
  <c r="H130" i="80"/>
  <c r="H130" i="85"/>
  <c r="J76" i="90" s="1"/>
  <c r="E54" i="82"/>
  <c r="H16" i="85"/>
  <c r="J2" i="90" s="1"/>
  <c r="H252" i="79"/>
  <c r="H252" i="85"/>
  <c r="J146" i="90" s="1"/>
  <c r="H243" i="80"/>
  <c r="AF243" i="80" s="1"/>
  <c r="H243" i="85"/>
  <c r="J137" i="90" s="1"/>
  <c r="H146" i="79"/>
  <c r="H146" i="85"/>
  <c r="J84" i="90" s="1"/>
  <c r="J253" i="79"/>
  <c r="J253" i="85"/>
  <c r="L147" i="90" s="1"/>
  <c r="J270" i="80"/>
  <c r="J270" i="85"/>
  <c r="L153" i="90" s="1"/>
  <c r="J242" i="80"/>
  <c r="J242" i="85"/>
  <c r="L136" i="90" s="1"/>
  <c r="J89" i="80"/>
  <c r="J89" i="85"/>
  <c r="L44" i="90" s="1"/>
  <c r="J245" i="79"/>
  <c r="J245" i="85"/>
  <c r="L139" i="90" s="1"/>
  <c r="G42" i="82"/>
  <c r="J22" i="85"/>
  <c r="L5" i="90" s="1"/>
  <c r="J296" i="80"/>
  <c r="J296" i="85"/>
  <c r="L166" i="90" s="1"/>
  <c r="J71" i="79"/>
  <c r="J71" i="85"/>
  <c r="L37" i="90" s="1"/>
  <c r="J67" i="79"/>
  <c r="J67" i="85"/>
  <c r="L33" i="90" s="1"/>
  <c r="J153" i="80"/>
  <c r="J153" i="85"/>
  <c r="L91" i="90" s="1"/>
  <c r="J148" i="79"/>
  <c r="J148" i="85"/>
  <c r="L86" i="90" s="1"/>
  <c r="J214" i="79"/>
  <c r="J214" i="85"/>
  <c r="L118" i="90" s="1"/>
  <c r="J210" i="80"/>
  <c r="J210" i="85"/>
  <c r="L115" i="90" s="1"/>
  <c r="J187" i="80"/>
  <c r="J187" i="85"/>
  <c r="L104" i="90" s="1"/>
  <c r="J176" i="80"/>
  <c r="J176" i="85"/>
  <c r="L96" i="90" s="1"/>
  <c r="I307" i="80"/>
  <c r="I307" i="85"/>
  <c r="K171" i="90" s="1"/>
  <c r="I140" i="79"/>
  <c r="CK140" i="79" s="1"/>
  <c r="I140" i="85"/>
  <c r="K80" i="90" s="1"/>
  <c r="I129" i="80"/>
  <c r="I129" i="85"/>
  <c r="K75" i="90" s="1"/>
  <c r="I112" i="79"/>
  <c r="Y112" i="79" s="1"/>
  <c r="I112" i="85"/>
  <c r="K61" i="90" s="1"/>
  <c r="I91" i="79"/>
  <c r="I91" i="85"/>
  <c r="K46" i="90" s="1"/>
  <c r="K10" i="90"/>
  <c r="K28" i="90"/>
  <c r="F43" i="82"/>
  <c r="I23" i="85"/>
  <c r="K6" i="90" s="1"/>
  <c r="I246" i="79"/>
  <c r="I246" i="85"/>
  <c r="K140" i="90" s="1"/>
  <c r="I214" i="79"/>
  <c r="I214" i="85"/>
  <c r="K118" i="90" s="1"/>
  <c r="I206" i="79"/>
  <c r="AW206" i="79" s="1"/>
  <c r="I206" i="85"/>
  <c r="I199" i="79"/>
  <c r="I199" i="85"/>
  <c r="K112" i="90" s="1"/>
  <c r="I185" i="80"/>
  <c r="I185" i="85"/>
  <c r="K103" i="90" s="1"/>
  <c r="I180" i="79"/>
  <c r="I180" i="85"/>
  <c r="K99" i="90" s="1"/>
  <c r="H293" i="79"/>
  <c r="H293" i="85"/>
  <c r="J163" i="90" s="1"/>
  <c r="H310" i="80"/>
  <c r="H310" i="85"/>
  <c r="J174" i="90" s="1"/>
  <c r="H305" i="79"/>
  <c r="H305" i="85"/>
  <c r="J169" i="90" s="1"/>
  <c r="H277" i="80"/>
  <c r="H277" i="85"/>
  <c r="J157" i="90" s="1"/>
  <c r="H150" i="79"/>
  <c r="CB150" i="79" s="1"/>
  <c r="H150" i="85"/>
  <c r="J88" i="90" s="1"/>
  <c r="H132" i="80"/>
  <c r="H132" i="85"/>
  <c r="J78" i="90" s="1"/>
  <c r="H108" i="80"/>
  <c r="H108" i="85"/>
  <c r="J57" i="90" s="1"/>
  <c r="H103" i="80"/>
  <c r="H103" i="85"/>
  <c r="J52" i="90" s="1"/>
  <c r="H96" i="79"/>
  <c r="H96" i="85"/>
  <c r="J48" i="90" s="1"/>
  <c r="H71" i="80"/>
  <c r="H71" i="85"/>
  <c r="J37" i="90" s="1"/>
  <c r="E56" i="82"/>
  <c r="H18" i="85"/>
  <c r="J4" i="90" s="1"/>
  <c r="H248" i="79"/>
  <c r="BT248" i="79" s="1"/>
  <c r="H248" i="85"/>
  <c r="J142" i="90" s="1"/>
  <c r="H213" i="80"/>
  <c r="H213" i="85"/>
  <c r="J119" i="90" s="1"/>
  <c r="H195" i="79"/>
  <c r="H195" i="85"/>
  <c r="J111" i="90" s="1"/>
  <c r="H181" i="79"/>
  <c r="H181" i="85"/>
  <c r="J100" i="90" s="1"/>
  <c r="J248" i="80"/>
  <c r="EN293" i="79"/>
  <c r="DP293" i="79"/>
  <c r="DQ293" i="79"/>
  <c r="F53" i="76"/>
  <c r="E71" i="36"/>
  <c r="G71" i="36" s="1"/>
  <c r="F60" i="76"/>
  <c r="H71" i="36"/>
  <c r="G60" i="76"/>
  <c r="G124" i="76" s="1"/>
  <c r="V474" i="79" s="1"/>
  <c r="V476" i="79" s="1"/>
  <c r="W476" i="79" s="1"/>
  <c r="X293" i="79"/>
  <c r="AN129" i="79"/>
  <c r="BM129" i="79"/>
  <c r="CK109" i="79"/>
  <c r="CJ293" i="79"/>
  <c r="DX293" i="79"/>
  <c r="EU268" i="79"/>
  <c r="EU271" i="79" s="1"/>
  <c r="EU294" i="79"/>
  <c r="EW294" i="79" s="1"/>
  <c r="FC295" i="79"/>
  <c r="K294" i="79"/>
  <c r="E436" i="79"/>
  <c r="E390" i="79"/>
  <c r="K390" i="79" s="1"/>
  <c r="DO280" i="80"/>
  <c r="EM280" i="80"/>
  <c r="FK278" i="80"/>
  <c r="DW278" i="80"/>
  <c r="DO278" i="80"/>
  <c r="DG278" i="80"/>
  <c r="CI278" i="80"/>
  <c r="CA278" i="80"/>
  <c r="EM278" i="80"/>
  <c r="EE278" i="80"/>
  <c r="FK276" i="80"/>
  <c r="CY276" i="80"/>
  <c r="CQ276" i="80"/>
  <c r="EE276" i="80"/>
  <c r="CA276" i="80"/>
  <c r="K270" i="80"/>
  <c r="DQ270" i="80"/>
  <c r="EM268" i="80"/>
  <c r="CQ268" i="80"/>
  <c r="EE268" i="80"/>
  <c r="EE271" i="80" s="1"/>
  <c r="DG268" i="80"/>
  <c r="DG271" i="80" s="1"/>
  <c r="CY268" i="80"/>
  <c r="FC296" i="80"/>
  <c r="DG296" i="80"/>
  <c r="CA296" i="80"/>
  <c r="EU296" i="80"/>
  <c r="EM296" i="80"/>
  <c r="EE296" i="80"/>
  <c r="DW296" i="80"/>
  <c r="DO296" i="80"/>
  <c r="FC292" i="80"/>
  <c r="CQ292" i="80"/>
  <c r="EM292" i="80"/>
  <c r="EU292" i="80"/>
  <c r="CY292" i="80"/>
  <c r="DW292" i="80"/>
  <c r="DO292" i="80"/>
  <c r="CI292" i="80"/>
  <c r="K226" i="80"/>
  <c r="FK206" i="80"/>
  <c r="FC206" i="80"/>
  <c r="FK194" i="80"/>
  <c r="FC194" i="80"/>
  <c r="DW194" i="80"/>
  <c r="DG194" i="80"/>
  <c r="CA194" i="80"/>
  <c r="EU194" i="80"/>
  <c r="EM194" i="80"/>
  <c r="EE194" i="80"/>
  <c r="DO194" i="80"/>
  <c r="CQ194" i="80"/>
  <c r="CI194" i="80"/>
  <c r="BK194" i="80"/>
  <c r="G438" i="80"/>
  <c r="E62" i="36"/>
  <c r="G62" i="36" s="1"/>
  <c r="F31" i="31"/>
  <c r="H62" i="36"/>
  <c r="S64" i="35"/>
  <c r="H168" i="76"/>
  <c r="H53" i="76" s="1"/>
  <c r="H60" i="76"/>
  <c r="Y99" i="79"/>
  <c r="AN293" i="79"/>
  <c r="AM34" i="79"/>
  <c r="AM419" i="79"/>
  <c r="AM404" i="79"/>
  <c r="AM425" i="79" s="1"/>
  <c r="CB293" i="79"/>
  <c r="CA404" i="79"/>
  <c r="CA425" i="79" s="1"/>
  <c r="CA419" i="79"/>
  <c r="CS129" i="79"/>
  <c r="EU140" i="79"/>
  <c r="EU150" i="79"/>
  <c r="FE141" i="79"/>
  <c r="FC268" i="79"/>
  <c r="FC150" i="79"/>
  <c r="FC63" i="79"/>
  <c r="FC127" i="79"/>
  <c r="FD345" i="79"/>
  <c r="CB345" i="79"/>
  <c r="AF345" i="79"/>
  <c r="FL345" i="79"/>
  <c r="EV345" i="79"/>
  <c r="EF345" i="79"/>
  <c r="DP345" i="79"/>
  <c r="CZ345" i="79"/>
  <c r="CJ345" i="79"/>
  <c r="BT345" i="79"/>
  <c r="BD345" i="79"/>
  <c r="AN345" i="79"/>
  <c r="X345" i="79"/>
  <c r="EN345" i="79"/>
  <c r="DH345" i="79"/>
  <c r="BL345" i="79"/>
  <c r="P345" i="79"/>
  <c r="DX345" i="79"/>
  <c r="CR345" i="79"/>
  <c r="AV345" i="79"/>
  <c r="FK294" i="79"/>
  <c r="E428" i="79"/>
  <c r="K428" i="79" s="1"/>
  <c r="E412" i="79"/>
  <c r="G384" i="79"/>
  <c r="G435" i="79"/>
  <c r="Q270" i="80"/>
  <c r="BU270" i="80"/>
  <c r="CA292" i="80"/>
  <c r="CA425" i="80"/>
  <c r="CA419" i="80"/>
  <c r="CA206" i="80"/>
  <c r="CI268" i="80"/>
  <c r="CI271" i="80" s="1"/>
  <c r="CQ278" i="80"/>
  <c r="CY194" i="80"/>
  <c r="DH270" i="80"/>
  <c r="DG292" i="80"/>
  <c r="EU278" i="80"/>
  <c r="CY99" i="80"/>
  <c r="CI99" i="80"/>
  <c r="CJ99" i="80" s="1"/>
  <c r="FK99" i="80"/>
  <c r="EU99" i="80"/>
  <c r="DG99" i="80"/>
  <c r="EM99" i="80"/>
  <c r="DW99" i="80"/>
  <c r="CQ99" i="80"/>
  <c r="FK97" i="80"/>
  <c r="DW97" i="80"/>
  <c r="FC97" i="80"/>
  <c r="EU97" i="80"/>
  <c r="CA97" i="80"/>
  <c r="BS97" i="80"/>
  <c r="FK92" i="80"/>
  <c r="EU92" i="80"/>
  <c r="EE92" i="80"/>
  <c r="DO92" i="80"/>
  <c r="DG92" i="80"/>
  <c r="FC92" i="80"/>
  <c r="CY92" i="80"/>
  <c r="CY90" i="80"/>
  <c r="EE90" i="80"/>
  <c r="FK88" i="80"/>
  <c r="FC88" i="80"/>
  <c r="EM88" i="80"/>
  <c r="FK256" i="80"/>
  <c r="EE256" i="80"/>
  <c r="FC256" i="80"/>
  <c r="CA256" i="80"/>
  <c r="FK254" i="80"/>
  <c r="CY254" i="80"/>
  <c r="CQ254" i="80"/>
  <c r="FC254" i="80"/>
  <c r="EM254" i="80"/>
  <c r="DO252" i="80"/>
  <c r="DG252" i="80"/>
  <c r="BD293" i="79"/>
  <c r="EF293" i="79"/>
  <c r="FD293" i="79"/>
  <c r="E435" i="79"/>
  <c r="E384" i="79"/>
  <c r="K384" i="79" s="1"/>
  <c r="K17" i="79"/>
  <c r="E427" i="79"/>
  <c r="K427" i="79" s="1"/>
  <c r="E411" i="79"/>
  <c r="G391" i="79"/>
  <c r="G437" i="79"/>
  <c r="G383" i="79"/>
  <c r="G434" i="79"/>
  <c r="O425" i="80"/>
  <c r="O419" i="80"/>
  <c r="CS293" i="80"/>
  <c r="DI120" i="80"/>
  <c r="DH120" i="80"/>
  <c r="DO206" i="80"/>
  <c r="EE292" i="80"/>
  <c r="EU206" i="80"/>
  <c r="FD232" i="80"/>
  <c r="K60" i="76"/>
  <c r="J168" i="76"/>
  <c r="J53" i="76" s="1"/>
  <c r="BT293" i="79"/>
  <c r="CB130" i="79"/>
  <c r="DA293" i="79"/>
  <c r="E437" i="79"/>
  <c r="E391" i="79"/>
  <c r="K391" i="79" s="1"/>
  <c r="K42" i="79"/>
  <c r="E387" i="79"/>
  <c r="K387" i="79" s="1"/>
  <c r="E434" i="79"/>
  <c r="E383" i="79"/>
  <c r="K383" i="79" s="1"/>
  <c r="E426" i="79"/>
  <c r="K426" i="79" s="1"/>
  <c r="E410" i="79"/>
  <c r="G390" i="79"/>
  <c r="G394" i="79" s="1"/>
  <c r="G436" i="79"/>
  <c r="FK33" i="79"/>
  <c r="FK34" i="79" s="1"/>
  <c r="G419" i="79"/>
  <c r="J141" i="76"/>
  <c r="J13" i="76" s="1"/>
  <c r="AT176" i="79" s="1"/>
  <c r="AU176" i="79" s="1"/>
  <c r="J20" i="76"/>
  <c r="BS268" i="80"/>
  <c r="BS271" i="80" s="1"/>
  <c r="CA268" i="80"/>
  <c r="CA271" i="80" s="1"/>
  <c r="CI296" i="80"/>
  <c r="CY296" i="80"/>
  <c r="DO276" i="80"/>
  <c r="DO268" i="80"/>
  <c r="DO271" i="80" s="1"/>
  <c r="EF270" i="80"/>
  <c r="FC280" i="80"/>
  <c r="K291" i="80"/>
  <c r="FK142" i="80"/>
  <c r="EM142" i="80"/>
  <c r="DW142" i="80"/>
  <c r="EM140" i="80"/>
  <c r="EU140" i="80"/>
  <c r="EE155" i="80"/>
  <c r="DW155" i="80"/>
  <c r="FK153" i="80"/>
  <c r="EU153" i="80"/>
  <c r="DW153" i="80"/>
  <c r="CY486" i="80"/>
  <c r="DG291" i="80"/>
  <c r="DG226" i="80"/>
  <c r="DO486" i="80"/>
  <c r="DW270" i="80"/>
  <c r="DW486" i="80"/>
  <c r="EG293" i="80"/>
  <c r="EE291" i="80"/>
  <c r="EE231" i="80"/>
  <c r="EE16" i="80"/>
  <c r="EE410" i="80" s="1"/>
  <c r="EN305" i="80"/>
  <c r="EM16" i="80"/>
  <c r="EM410" i="80" s="1"/>
  <c r="EW293" i="80"/>
  <c r="EU277" i="80"/>
  <c r="FD305" i="80"/>
  <c r="FF305" i="80" s="1"/>
  <c r="FK149" i="80"/>
  <c r="FC149" i="80"/>
  <c r="CA149" i="80"/>
  <c r="DW147" i="80"/>
  <c r="CI147" i="80"/>
  <c r="FK59" i="80"/>
  <c r="CI59" i="80"/>
  <c r="FK131" i="80"/>
  <c r="CQ131" i="80"/>
  <c r="FK127" i="80"/>
  <c r="EU127" i="80"/>
  <c r="DW127" i="80"/>
  <c r="DG127" i="80"/>
  <c r="CY127" i="80"/>
  <c r="CA127" i="80"/>
  <c r="FK122" i="80"/>
  <c r="CI122" i="80"/>
  <c r="FK120" i="80"/>
  <c r="FM120" i="80" s="1"/>
  <c r="CQ120" i="80"/>
  <c r="CS120" i="80" s="1"/>
  <c r="FK115" i="80"/>
  <c r="CA115" i="80"/>
  <c r="FK111" i="80"/>
  <c r="EM111" i="80"/>
  <c r="CQ111" i="80"/>
  <c r="FK107" i="80"/>
  <c r="FL107" i="80" s="1"/>
  <c r="EE107" i="80"/>
  <c r="DO107" i="80"/>
  <c r="CA107" i="80"/>
  <c r="K99" i="80"/>
  <c r="CB99" i="80" s="1"/>
  <c r="FK222" i="80"/>
  <c r="FC222" i="80"/>
  <c r="EU222" i="80"/>
  <c r="CY222" i="80"/>
  <c r="FK214" i="80"/>
  <c r="DO214" i="80"/>
  <c r="DG214" i="80"/>
  <c r="CY214" i="80"/>
  <c r="EM486" i="80"/>
  <c r="EU73" i="80"/>
  <c r="FD345" i="80"/>
  <c r="EN345" i="80"/>
  <c r="DX345" i="80"/>
  <c r="DH345" i="80"/>
  <c r="CR345" i="80"/>
  <c r="CB345" i="80"/>
  <c r="BL345" i="80"/>
  <c r="AV345" i="80"/>
  <c r="AF345" i="80"/>
  <c r="EV345" i="80"/>
  <c r="EF345" i="80"/>
  <c r="CJ345" i="80"/>
  <c r="BD345" i="80"/>
  <c r="X345" i="80"/>
  <c r="P345" i="80"/>
  <c r="DP345" i="80"/>
  <c r="BT345" i="80"/>
  <c r="AN345" i="80"/>
  <c r="FL345" i="80"/>
  <c r="CZ345" i="80"/>
  <c r="FK277" i="80"/>
  <c r="EM277" i="80"/>
  <c r="EE277" i="80"/>
  <c r="FK275" i="80"/>
  <c r="FC275" i="80"/>
  <c r="FK297" i="80"/>
  <c r="EU297" i="80"/>
  <c r="DO297" i="80"/>
  <c r="FC295" i="80"/>
  <c r="CY295" i="80"/>
  <c r="CQ295" i="80"/>
  <c r="CI295" i="80"/>
  <c r="K294" i="80"/>
  <c r="CS294" i="80"/>
  <c r="FK139" i="80"/>
  <c r="EM139" i="80"/>
  <c r="DO154" i="80"/>
  <c r="CQ154" i="80"/>
  <c r="FK69" i="80"/>
  <c r="DW69" i="80"/>
  <c r="FK67" i="80"/>
  <c r="CQ67" i="80"/>
  <c r="CI67" i="80"/>
  <c r="CA67" i="80"/>
  <c r="FK63" i="80"/>
  <c r="FC63" i="80"/>
  <c r="EU63" i="80"/>
  <c r="EE63" i="80"/>
  <c r="DW63" i="80"/>
  <c r="DO63" i="80"/>
  <c r="DG63" i="80"/>
  <c r="CY63" i="80"/>
  <c r="K122" i="80"/>
  <c r="FK91" i="80"/>
  <c r="CY91" i="80"/>
  <c r="CQ91" i="80"/>
  <c r="CI91" i="80"/>
  <c r="FK89" i="80"/>
  <c r="CA89" i="80"/>
  <c r="K241" i="80"/>
  <c r="BM241" i="80" s="1"/>
  <c r="K232" i="80"/>
  <c r="E387" i="80"/>
  <c r="K387" i="80" s="1"/>
  <c r="K42" i="80"/>
  <c r="K18" i="80"/>
  <c r="E428" i="80"/>
  <c r="K428" i="80" s="1"/>
  <c r="E412" i="80"/>
  <c r="FK219" i="80"/>
  <c r="DW219" i="80"/>
  <c r="FK212" i="80"/>
  <c r="FC212" i="80"/>
  <c r="FK210" i="80"/>
  <c r="EU210" i="80"/>
  <c r="CQ210" i="80"/>
  <c r="FK270" i="80"/>
  <c r="EU270" i="80"/>
  <c r="CA270" i="80"/>
  <c r="K295" i="80"/>
  <c r="FK291" i="80"/>
  <c r="FC291" i="80"/>
  <c r="CY291" i="80"/>
  <c r="CI291" i="80"/>
  <c r="CA291" i="80"/>
  <c r="FK308" i="80"/>
  <c r="EM308" i="80"/>
  <c r="EE308" i="80"/>
  <c r="FC486" i="80"/>
  <c r="CA486" i="80"/>
  <c r="K139" i="80"/>
  <c r="FK57" i="80"/>
  <c r="CA57" i="80"/>
  <c r="K87" i="80"/>
  <c r="EM234" i="80"/>
  <c r="CY234" i="80"/>
  <c r="CQ234" i="80"/>
  <c r="FK229" i="80"/>
  <c r="FC229" i="80"/>
  <c r="EM229" i="80"/>
  <c r="CA229" i="80"/>
  <c r="FK226" i="80"/>
  <c r="EE226" i="80"/>
  <c r="E427" i="80"/>
  <c r="K427" i="80" s="1"/>
  <c r="E411" i="80"/>
  <c r="FK16" i="80"/>
  <c r="FK410" i="80" s="1"/>
  <c r="G410" i="80"/>
  <c r="DO16" i="80"/>
  <c r="DO410" i="80" s="1"/>
  <c r="DG16" i="80"/>
  <c r="DG410" i="80" s="1"/>
  <c r="CI16" i="80"/>
  <c r="CI410" i="80" s="1"/>
  <c r="E436" i="80"/>
  <c r="K390" i="80"/>
  <c r="E434" i="80"/>
  <c r="K383" i="80"/>
  <c r="K16" i="80"/>
  <c r="E410" i="80"/>
  <c r="E426" i="80"/>
  <c r="K426" i="80" s="1"/>
  <c r="G394" i="80"/>
  <c r="G413" i="80" s="1"/>
  <c r="E437" i="80"/>
  <c r="E435" i="80"/>
  <c r="K384" i="80"/>
  <c r="G419" i="80"/>
  <c r="G402" i="80"/>
  <c r="G31" i="26"/>
  <c r="G191" i="79" s="1"/>
  <c r="G196" i="79" s="1"/>
  <c r="G403" i="79"/>
  <c r="G424" i="79" s="1"/>
  <c r="G418" i="79"/>
  <c r="O24" i="80"/>
  <c r="O400" i="80" s="1"/>
  <c r="AU25" i="80"/>
  <c r="AU401" i="80" s="1"/>
  <c r="CI425" i="80"/>
  <c r="CI419" i="80"/>
  <c r="CQ220" i="80"/>
  <c r="CY195" i="80"/>
  <c r="DI305" i="80"/>
  <c r="DP232" i="80"/>
  <c r="DO195" i="80"/>
  <c r="DX305" i="80"/>
  <c r="EE220" i="80"/>
  <c r="EE195" i="80"/>
  <c r="EM248" i="80"/>
  <c r="EM220" i="80"/>
  <c r="EM195" i="80"/>
  <c r="EW245" i="80"/>
  <c r="FM305" i="80"/>
  <c r="FM232" i="80"/>
  <c r="EU18" i="80"/>
  <c r="EU412" i="80" s="1"/>
  <c r="G412" i="80"/>
  <c r="AU185" i="80"/>
  <c r="AM22" i="80"/>
  <c r="AM398" i="80" s="1"/>
  <c r="R42" i="35"/>
  <c r="Q42" i="35" s="1"/>
  <c r="E24" i="36"/>
  <c r="AE403" i="79"/>
  <c r="AE424" i="79" s="1"/>
  <c r="AE418" i="79"/>
  <c r="CA418" i="79"/>
  <c r="CA403" i="79"/>
  <c r="CA424" i="79" s="1"/>
  <c r="J255" i="80"/>
  <c r="J185" i="80"/>
  <c r="I72" i="79"/>
  <c r="I104" i="80"/>
  <c r="J96" i="79"/>
  <c r="CQ478" i="79"/>
  <c r="W478" i="79"/>
  <c r="BC478" i="79"/>
  <c r="O478" i="79"/>
  <c r="EE305" i="79"/>
  <c r="EU308" i="79"/>
  <c r="BS309" i="80"/>
  <c r="BU309" i="80" s="1"/>
  <c r="DW305" i="79"/>
  <c r="EM305" i="79"/>
  <c r="FC305" i="79"/>
  <c r="AM306" i="80"/>
  <c r="EE308" i="79"/>
  <c r="W309" i="80"/>
  <c r="X309" i="80" s="1"/>
  <c r="AU306" i="80"/>
  <c r="BC309" i="80"/>
  <c r="EW305" i="80"/>
  <c r="EM308" i="79"/>
  <c r="DW308" i="79"/>
  <c r="FC308" i="79"/>
  <c r="CI306" i="80"/>
  <c r="W278" i="79"/>
  <c r="AM278" i="79"/>
  <c r="AU275" i="79"/>
  <c r="BK278" i="79"/>
  <c r="EE278" i="79"/>
  <c r="O278" i="79"/>
  <c r="AE275" i="79"/>
  <c r="BC278" i="79"/>
  <c r="CI278" i="79"/>
  <c r="CQ275" i="79"/>
  <c r="DG275" i="79"/>
  <c r="DO278" i="79"/>
  <c r="DW275" i="79"/>
  <c r="EM278" i="79"/>
  <c r="EU278" i="79"/>
  <c r="BK275" i="79"/>
  <c r="EE275" i="79"/>
  <c r="O275" i="79"/>
  <c r="W275" i="79"/>
  <c r="AM275" i="79"/>
  <c r="BC275" i="79"/>
  <c r="BS278" i="79"/>
  <c r="CA278" i="79"/>
  <c r="CI275" i="79"/>
  <c r="CY278" i="79"/>
  <c r="DO275" i="79"/>
  <c r="EM275" i="79"/>
  <c r="AE278" i="79"/>
  <c r="AU278" i="79"/>
  <c r="CQ278" i="79"/>
  <c r="FC278" i="79"/>
  <c r="AM248" i="80"/>
  <c r="AN248" i="80" s="1"/>
  <c r="O221" i="80"/>
  <c r="O227" i="80"/>
  <c r="W231" i="80"/>
  <c r="W224" i="80"/>
  <c r="AU231" i="80"/>
  <c r="BK231" i="80"/>
  <c r="BS221" i="80"/>
  <c r="CA224" i="80"/>
  <c r="CI231" i="80"/>
  <c r="DG224" i="80"/>
  <c r="DO221" i="80"/>
  <c r="EM227" i="80"/>
  <c r="EU227" i="80"/>
  <c r="FC227" i="80"/>
  <c r="AE221" i="80"/>
  <c r="AE227" i="80"/>
  <c r="AM221" i="80"/>
  <c r="AU224" i="80"/>
  <c r="BC221" i="80"/>
  <c r="BC227" i="80"/>
  <c r="BS227" i="80"/>
  <c r="CA231" i="80"/>
  <c r="CQ224" i="80"/>
  <c r="CY231" i="80"/>
  <c r="DG231" i="80"/>
  <c r="DO227" i="80"/>
  <c r="DW231" i="80"/>
  <c r="EU221" i="80"/>
  <c r="FC221" i="80"/>
  <c r="AM227" i="80"/>
  <c r="CQ231" i="80"/>
  <c r="CY224" i="80"/>
  <c r="DW224" i="80"/>
  <c r="EE221" i="80"/>
  <c r="EE227" i="80"/>
  <c r="EM224" i="80"/>
  <c r="EU224" i="80"/>
  <c r="O231" i="80"/>
  <c r="O224" i="80"/>
  <c r="W221" i="80"/>
  <c r="W227" i="80"/>
  <c r="AE224" i="80"/>
  <c r="AU221" i="80"/>
  <c r="BC224" i="80"/>
  <c r="BK221" i="80"/>
  <c r="BK227" i="80"/>
  <c r="BS231" i="80"/>
  <c r="BS224" i="80"/>
  <c r="CI221" i="80"/>
  <c r="CI227" i="80"/>
  <c r="DO231" i="80"/>
  <c r="DO224" i="80"/>
  <c r="EM231" i="80"/>
  <c r="FC224" i="80"/>
  <c r="G235" i="80"/>
  <c r="AE231" i="80"/>
  <c r="AM231" i="80"/>
  <c r="AM224" i="80"/>
  <c r="AU227" i="80"/>
  <c r="BC231" i="80"/>
  <c r="CA221" i="80"/>
  <c r="CA227" i="80"/>
  <c r="CY221" i="80"/>
  <c r="CY227" i="80"/>
  <c r="DG221" i="80"/>
  <c r="DG227" i="80"/>
  <c r="DW221" i="80"/>
  <c r="EE224" i="80"/>
  <c r="EU231" i="80"/>
  <c r="FC231" i="80"/>
  <c r="DG210" i="79"/>
  <c r="FC210" i="79"/>
  <c r="AE213" i="80"/>
  <c r="EU213" i="80"/>
  <c r="DO210" i="79"/>
  <c r="DW210" i="79"/>
  <c r="EE210" i="79"/>
  <c r="EM210" i="79"/>
  <c r="EU210" i="79"/>
  <c r="W199" i="80"/>
  <c r="O194" i="79"/>
  <c r="W194" i="79"/>
  <c r="BC194" i="79"/>
  <c r="BK194" i="79"/>
  <c r="BS192" i="79"/>
  <c r="CA194" i="79"/>
  <c r="CY192" i="79"/>
  <c r="DG192" i="79"/>
  <c r="EE192" i="79"/>
  <c r="EU194" i="79"/>
  <c r="FC192" i="79"/>
  <c r="FK177" i="79"/>
  <c r="BS193" i="80"/>
  <c r="AE194" i="79"/>
  <c r="AU192" i="79"/>
  <c r="EM192" i="79"/>
  <c r="O192" i="79"/>
  <c r="W192" i="79"/>
  <c r="BC192" i="79"/>
  <c r="BK192" i="79"/>
  <c r="CA192" i="79"/>
  <c r="CI194" i="79"/>
  <c r="CQ194" i="79"/>
  <c r="DO194" i="79"/>
  <c r="DW194" i="79"/>
  <c r="EU192" i="79"/>
  <c r="AM193" i="80"/>
  <c r="EM194" i="79"/>
  <c r="AE192" i="79"/>
  <c r="AM194" i="79"/>
  <c r="AU194" i="79"/>
  <c r="BS194" i="79"/>
  <c r="CI192" i="79"/>
  <c r="CQ192" i="79"/>
  <c r="CY194" i="79"/>
  <c r="DG194" i="79"/>
  <c r="DO192" i="79"/>
  <c r="DW192" i="79"/>
  <c r="EE194" i="79"/>
  <c r="FC194" i="79"/>
  <c r="CQ193" i="80"/>
  <c r="EE139" i="79"/>
  <c r="EM139" i="79"/>
  <c r="W140" i="80"/>
  <c r="AM140" i="80"/>
  <c r="BC142" i="80"/>
  <c r="BS140" i="80"/>
  <c r="CA140" i="80"/>
  <c r="CI142" i="80"/>
  <c r="CY140" i="80"/>
  <c r="DG142" i="80"/>
  <c r="DO140" i="80"/>
  <c r="EE142" i="80"/>
  <c r="AW141" i="79"/>
  <c r="O139" i="79"/>
  <c r="W139" i="79"/>
  <c r="AE139" i="79"/>
  <c r="AU142" i="79"/>
  <c r="BC139" i="79"/>
  <c r="BK142" i="79"/>
  <c r="BL142" i="79" s="1"/>
  <c r="BS139" i="79"/>
  <c r="CA142" i="79"/>
  <c r="CA139" i="79"/>
  <c r="CQ139" i="79"/>
  <c r="EU139" i="79"/>
  <c r="O142" i="80"/>
  <c r="AE140" i="80"/>
  <c r="BC141" i="80"/>
  <c r="BK142" i="80"/>
  <c r="CI141" i="80"/>
  <c r="DG141" i="80"/>
  <c r="EE141" i="80"/>
  <c r="EU142" i="80"/>
  <c r="FC140" i="80"/>
  <c r="G143" i="80"/>
  <c r="O142" i="79"/>
  <c r="P142" i="79" s="1"/>
  <c r="W142" i="79"/>
  <c r="AM139" i="79"/>
  <c r="BU142" i="79"/>
  <c r="BV142" i="79" s="1"/>
  <c r="DO142" i="79"/>
  <c r="DW139" i="79"/>
  <c r="FC139" i="79"/>
  <c r="FK139" i="79"/>
  <c r="O141" i="80"/>
  <c r="BC140" i="80"/>
  <c r="BK141" i="80"/>
  <c r="CI140" i="80"/>
  <c r="DG140" i="80"/>
  <c r="EE140" i="80"/>
  <c r="EU141" i="80"/>
  <c r="FK140" i="80"/>
  <c r="G143" i="79"/>
  <c r="AE142" i="79"/>
  <c r="AG142" i="79" s="1"/>
  <c r="BC142" i="79"/>
  <c r="CI139" i="79"/>
  <c r="CQ142" i="79"/>
  <c r="CY139" i="79"/>
  <c r="EG142" i="79"/>
  <c r="EH142" i="79" s="1"/>
  <c r="EU142" i="79"/>
  <c r="EV142" i="79" s="1"/>
  <c r="W142" i="80"/>
  <c r="AM142" i="80"/>
  <c r="AU141" i="80"/>
  <c r="BS142" i="80"/>
  <c r="CA142" i="80"/>
  <c r="CQ141" i="80"/>
  <c r="CY142" i="80"/>
  <c r="DO142" i="80"/>
  <c r="DW141" i="80"/>
  <c r="EM141" i="80"/>
  <c r="G158" i="13"/>
  <c r="G158" i="85" s="1"/>
  <c r="AU139" i="79"/>
  <c r="BK139" i="79"/>
  <c r="DG139" i="79"/>
  <c r="W141" i="80"/>
  <c r="AE142" i="80"/>
  <c r="AM141" i="80"/>
  <c r="AU140" i="80"/>
  <c r="BS141" i="80"/>
  <c r="CA141" i="80"/>
  <c r="CQ140" i="80"/>
  <c r="CY141" i="80"/>
  <c r="DO141" i="80"/>
  <c r="DW140" i="80"/>
  <c r="FC142" i="80"/>
  <c r="W132" i="79"/>
  <c r="W122" i="79"/>
  <c r="AM132" i="79"/>
  <c r="BC125" i="79"/>
  <c r="BD125" i="79" s="1"/>
  <c r="CA125" i="79"/>
  <c r="CC125" i="79" s="1"/>
  <c r="CQ132" i="79"/>
  <c r="CY132" i="79"/>
  <c r="CY119" i="79"/>
  <c r="DO122" i="79"/>
  <c r="EM125" i="79"/>
  <c r="EO125" i="79" s="1"/>
  <c r="FC132" i="79"/>
  <c r="EM125" i="80"/>
  <c r="EN125" i="80" s="1"/>
  <c r="O125" i="79"/>
  <c r="AE125" i="79"/>
  <c r="AF125" i="79" s="1"/>
  <c r="DG125" i="79"/>
  <c r="DH125" i="79" s="1"/>
  <c r="EE132" i="79"/>
  <c r="EM132" i="79"/>
  <c r="O132" i="79"/>
  <c r="O122" i="79"/>
  <c r="AE132" i="79"/>
  <c r="AE122" i="79"/>
  <c r="AM125" i="79"/>
  <c r="AO125" i="79" s="1"/>
  <c r="AU125" i="79"/>
  <c r="BS125" i="79"/>
  <c r="BT125" i="79" s="1"/>
  <c r="CI125" i="79"/>
  <c r="CQ125" i="79"/>
  <c r="CR125" i="79" s="1"/>
  <c r="DG122" i="79"/>
  <c r="EU125" i="79"/>
  <c r="FC125" i="79"/>
  <c r="FD125" i="79" s="1"/>
  <c r="DG125" i="80"/>
  <c r="AM122" i="79"/>
  <c r="AU132" i="79"/>
  <c r="BK125" i="79"/>
  <c r="BS122" i="79"/>
  <c r="CI122" i="79"/>
  <c r="CQ122" i="79"/>
  <c r="CY125" i="79"/>
  <c r="DA125" i="79" s="1"/>
  <c r="DG132" i="79"/>
  <c r="DW125" i="79"/>
  <c r="DY125" i="79" s="1"/>
  <c r="EU132" i="79"/>
  <c r="EU122" i="79"/>
  <c r="FC122" i="79"/>
  <c r="CY125" i="80"/>
  <c r="DA125" i="80" s="1"/>
  <c r="W125" i="79"/>
  <c r="AM119" i="79"/>
  <c r="AU122" i="79"/>
  <c r="BK122" i="79"/>
  <c r="BS132" i="79"/>
  <c r="CI132" i="79"/>
  <c r="CQ119" i="79"/>
  <c r="CY122" i="79"/>
  <c r="DO125" i="79"/>
  <c r="DP125" i="79" s="1"/>
  <c r="DW122" i="79"/>
  <c r="EE125" i="79"/>
  <c r="EF125" i="79" s="1"/>
  <c r="BC125" i="80"/>
  <c r="O114" i="79"/>
  <c r="P114" i="79" s="1"/>
  <c r="W114" i="79"/>
  <c r="X114" i="79" s="1"/>
  <c r="AM110" i="79"/>
  <c r="BC114" i="79"/>
  <c r="BE114" i="79" s="1"/>
  <c r="BK114" i="79"/>
  <c r="BS107" i="79"/>
  <c r="CA107" i="79"/>
  <c r="CQ114" i="79"/>
  <c r="CR114" i="79" s="1"/>
  <c r="DO110" i="79"/>
  <c r="EE107" i="79"/>
  <c r="O110" i="79"/>
  <c r="W110" i="79"/>
  <c r="AM107" i="79"/>
  <c r="BC110" i="79"/>
  <c r="BS114" i="79"/>
  <c r="BT114" i="79" s="1"/>
  <c r="CA114" i="79"/>
  <c r="CB114" i="79" s="1"/>
  <c r="DG114" i="79"/>
  <c r="DI114" i="79" s="1"/>
  <c r="DO107" i="79"/>
  <c r="DW107" i="79"/>
  <c r="EE114" i="79"/>
  <c r="AE110" i="79"/>
  <c r="AU110" i="79"/>
  <c r="BK110" i="79"/>
  <c r="CI114" i="79"/>
  <c r="CJ114" i="79" s="1"/>
  <c r="CY114" i="79"/>
  <c r="DA114" i="79" s="1"/>
  <c r="DO114" i="79"/>
  <c r="DQ114" i="79" s="1"/>
  <c r="EM107" i="79"/>
  <c r="O107" i="79"/>
  <c r="W107" i="79"/>
  <c r="AM114" i="79"/>
  <c r="AO114" i="79" s="1"/>
  <c r="BC107" i="79"/>
  <c r="BS110" i="79"/>
  <c r="CA110" i="79"/>
  <c r="CQ107" i="79"/>
  <c r="DW114" i="79"/>
  <c r="EE110" i="79"/>
  <c r="EU114" i="79"/>
  <c r="EV114" i="79" s="1"/>
  <c r="FC114" i="79"/>
  <c r="FE114" i="79" s="1"/>
  <c r="AE107" i="79"/>
  <c r="AU107" i="79"/>
  <c r="BK107" i="79"/>
  <c r="CI110" i="79"/>
  <c r="DG107" i="79"/>
  <c r="EM114" i="79"/>
  <c r="FC107" i="79"/>
  <c r="G100" i="80"/>
  <c r="O96" i="80"/>
  <c r="AE96" i="80"/>
  <c r="AM96" i="80"/>
  <c r="AU96" i="80"/>
  <c r="DA99" i="79"/>
  <c r="BC97" i="80"/>
  <c r="BS96" i="80"/>
  <c r="BS100" i="80" s="1"/>
  <c r="CA96" i="80"/>
  <c r="CA100" i="80" s="1"/>
  <c r="CI96" i="80"/>
  <c r="CY97" i="80"/>
  <c r="EE97" i="80"/>
  <c r="EM97" i="80"/>
  <c r="EU96" i="80"/>
  <c r="FC96" i="80"/>
  <c r="CC99" i="79"/>
  <c r="W97" i="80"/>
  <c r="BK97" i="80"/>
  <c r="CQ97" i="80"/>
  <c r="DG97" i="80"/>
  <c r="DW96" i="80"/>
  <c r="W96" i="80"/>
  <c r="BK96" i="80"/>
  <c r="CQ96" i="80"/>
  <c r="DG96" i="80"/>
  <c r="DO97" i="80"/>
  <c r="O97" i="80"/>
  <c r="AE97" i="80"/>
  <c r="AM97" i="80"/>
  <c r="AU97" i="80"/>
  <c r="DO96" i="80"/>
  <c r="O68" i="79"/>
  <c r="O62" i="79"/>
  <c r="W71" i="79"/>
  <c r="AM62" i="79"/>
  <c r="AU67" i="79"/>
  <c r="AU61" i="79"/>
  <c r="BC68" i="79"/>
  <c r="BE68" i="79" s="1"/>
  <c r="BC61" i="79"/>
  <c r="BK64" i="79"/>
  <c r="BS68" i="79"/>
  <c r="BS61" i="79"/>
  <c r="CA71" i="79"/>
  <c r="CA64" i="79"/>
  <c r="CI64" i="79"/>
  <c r="CQ64" i="79"/>
  <c r="DG73" i="79"/>
  <c r="DG68" i="79"/>
  <c r="DG61" i="79"/>
  <c r="DO62" i="79"/>
  <c r="DW65" i="79"/>
  <c r="DW59" i="79"/>
  <c r="EE73" i="79"/>
  <c r="EE65" i="79"/>
  <c r="EE59" i="79"/>
  <c r="EM70" i="79"/>
  <c r="EM61" i="79"/>
  <c r="EU64" i="79"/>
  <c r="FC68" i="79"/>
  <c r="FD68" i="79" s="1"/>
  <c r="AM57" i="80"/>
  <c r="BK73" i="80"/>
  <c r="BS73" i="80"/>
  <c r="BS60" i="80"/>
  <c r="CI73" i="80"/>
  <c r="CQ60" i="80"/>
  <c r="CY57" i="80"/>
  <c r="DG60" i="80"/>
  <c r="DW60" i="80"/>
  <c r="EE57" i="80"/>
  <c r="EU60" i="80"/>
  <c r="AM68" i="79"/>
  <c r="AW68" i="79"/>
  <c r="AX68" i="79" s="1"/>
  <c r="DW71" i="79"/>
  <c r="FC57" i="80"/>
  <c r="O73" i="79"/>
  <c r="W68" i="79"/>
  <c r="X68" i="79" s="1"/>
  <c r="W61" i="79"/>
  <c r="AE64" i="79"/>
  <c r="AM73" i="79"/>
  <c r="AU65" i="79"/>
  <c r="AU59" i="79"/>
  <c r="BC73" i="79"/>
  <c r="BC65" i="79"/>
  <c r="BC59" i="79"/>
  <c r="BK62" i="79"/>
  <c r="BS65" i="79"/>
  <c r="BS59" i="79"/>
  <c r="CA68" i="79"/>
  <c r="CB68" i="79" s="1"/>
  <c r="CA62" i="79"/>
  <c r="CI62" i="79"/>
  <c r="CQ68" i="79"/>
  <c r="CQ62" i="79"/>
  <c r="CY68" i="79"/>
  <c r="CY61" i="79"/>
  <c r="DG71" i="79"/>
  <c r="DG65" i="79"/>
  <c r="DG59" i="79"/>
  <c r="DW70" i="79"/>
  <c r="EE71" i="79"/>
  <c r="EM68" i="79"/>
  <c r="EO68" i="79" s="1"/>
  <c r="EU61" i="79"/>
  <c r="AE73" i="80"/>
  <c r="AE60" i="80"/>
  <c r="CI60" i="80"/>
  <c r="CQ57" i="80"/>
  <c r="DG57" i="80"/>
  <c r="DW57" i="80"/>
  <c r="EM73" i="80"/>
  <c r="EU57" i="80"/>
  <c r="BK71" i="79"/>
  <c r="CI71" i="79"/>
  <c r="DO68" i="79"/>
  <c r="O57" i="80"/>
  <c r="W57" i="80"/>
  <c r="O65" i="79"/>
  <c r="O59" i="79"/>
  <c r="AE71" i="79"/>
  <c r="AM65" i="79"/>
  <c r="AM59" i="79"/>
  <c r="AU64" i="79"/>
  <c r="BC64" i="79"/>
  <c r="BK68" i="79"/>
  <c r="BM68" i="79" s="1"/>
  <c r="BK61" i="79"/>
  <c r="BS71" i="79"/>
  <c r="BS64" i="79"/>
  <c r="CA67" i="79"/>
  <c r="CA61" i="79"/>
  <c r="CI68" i="79"/>
  <c r="CK68" i="79" s="1"/>
  <c r="CI61" i="79"/>
  <c r="CQ73" i="79"/>
  <c r="CQ67" i="79"/>
  <c r="CQ61" i="79"/>
  <c r="CY73" i="79"/>
  <c r="DI72" i="79"/>
  <c r="DG70" i="79"/>
  <c r="DG64" i="79"/>
  <c r="DO73" i="79"/>
  <c r="DO65" i="79"/>
  <c r="DO59" i="79"/>
  <c r="DW62" i="79"/>
  <c r="EE62" i="79"/>
  <c r="EU71" i="79"/>
  <c r="FC73" i="79"/>
  <c r="AU57" i="80"/>
  <c r="BC60" i="80"/>
  <c r="BK57" i="80"/>
  <c r="BS57" i="80"/>
  <c r="CA73" i="80"/>
  <c r="CA60" i="80"/>
  <c r="CY73" i="80"/>
  <c r="DW73" i="80"/>
  <c r="EE73" i="80"/>
  <c r="EM60" i="80"/>
  <c r="AU71" i="79"/>
  <c r="CY62" i="79"/>
  <c r="DO57" i="80"/>
  <c r="O71" i="79"/>
  <c r="O64" i="79"/>
  <c r="Y72" i="79"/>
  <c r="Z72" i="79" s="1"/>
  <c r="W73" i="79"/>
  <c r="W65" i="79"/>
  <c r="W59" i="79"/>
  <c r="AE62" i="79"/>
  <c r="AM71" i="79"/>
  <c r="AM64" i="79"/>
  <c r="BC71" i="79"/>
  <c r="CA73" i="79"/>
  <c r="CY65" i="79"/>
  <c r="CY59" i="79"/>
  <c r="DO64" i="79"/>
  <c r="DW68" i="79"/>
  <c r="DX68" i="79" s="1"/>
  <c r="DW61" i="79"/>
  <c r="EE68" i="79"/>
  <c r="EF68" i="79" s="1"/>
  <c r="EM73" i="79"/>
  <c r="FC59" i="79"/>
  <c r="O73" i="80"/>
  <c r="W73" i="80"/>
  <c r="AM73" i="80"/>
  <c r="AM60" i="80"/>
  <c r="CI57" i="80"/>
  <c r="CQ73" i="80"/>
  <c r="CY60" i="80"/>
  <c r="DO73" i="80"/>
  <c r="O33" i="79"/>
  <c r="O34" i="79" s="1"/>
  <c r="W33" i="79"/>
  <c r="CQ33" i="79"/>
  <c r="AU33" i="79"/>
  <c r="AU34" i="79" s="1"/>
  <c r="BC33" i="79"/>
  <c r="CI33" i="79"/>
  <c r="CI34" i="79" s="1"/>
  <c r="CY33" i="79"/>
  <c r="EE33" i="79"/>
  <c r="W33" i="80"/>
  <c r="W404" i="80" s="1"/>
  <c r="EE33" i="80"/>
  <c r="EE404" i="80" s="1"/>
  <c r="EU33" i="80"/>
  <c r="EU404" i="80" s="1"/>
  <c r="DW33" i="79"/>
  <c r="EM33" i="79"/>
  <c r="EM34" i="79" s="1"/>
  <c r="EU33" i="79"/>
  <c r="EU34" i="79" s="1"/>
  <c r="CQ33" i="80"/>
  <c r="DG33" i="80"/>
  <c r="DO33" i="80"/>
  <c r="DW33" i="80"/>
  <c r="DW404" i="80" s="1"/>
  <c r="FC33" i="80"/>
  <c r="FC404" i="80" s="1"/>
  <c r="G34" i="80"/>
  <c r="FK33" i="80"/>
  <c r="FK404" i="80" s="1"/>
  <c r="AE33" i="79"/>
  <c r="FC33" i="79"/>
  <c r="FC34" i="79" s="1"/>
  <c r="BK33" i="80"/>
  <c r="BK404" i="80" s="1"/>
  <c r="EM33" i="80"/>
  <c r="DG33" i="79"/>
  <c r="DO33" i="79"/>
  <c r="DO34" i="79" s="1"/>
  <c r="BK33" i="79"/>
  <c r="BS33" i="79"/>
  <c r="BS34" i="79" s="1"/>
  <c r="AE33" i="80"/>
  <c r="AE404" i="80" s="1"/>
  <c r="AM33" i="80"/>
  <c r="AM404" i="80" s="1"/>
  <c r="BC33" i="80"/>
  <c r="BS33" i="80"/>
  <c r="BS404" i="80" s="1"/>
  <c r="CY33" i="80"/>
  <c r="CY404" i="80" s="1"/>
  <c r="AE22" i="79"/>
  <c r="FC22" i="79"/>
  <c r="BK22" i="79"/>
  <c r="BS22" i="79"/>
  <c r="AU22" i="79"/>
  <c r="AU398" i="79" s="1"/>
  <c r="BC22" i="79"/>
  <c r="BC398" i="79" s="1"/>
  <c r="CI22" i="79"/>
  <c r="CY22" i="79"/>
  <c r="EE22" i="79"/>
  <c r="DW22" i="79"/>
  <c r="DW398" i="79" s="1"/>
  <c r="DW402" i="79" s="1"/>
  <c r="EM22" i="79"/>
  <c r="EM398" i="79" s="1"/>
  <c r="EU22" i="79"/>
  <c r="AM22" i="79"/>
  <c r="CA22" i="79"/>
  <c r="CB189" i="79"/>
  <c r="O16" i="79"/>
  <c r="O410" i="79" s="1"/>
  <c r="AU16" i="79"/>
  <c r="AU410" i="79" s="1"/>
  <c r="BK16" i="79"/>
  <c r="BK410" i="79" s="1"/>
  <c r="CA16" i="79"/>
  <c r="CA410" i="79" s="1"/>
  <c r="W16" i="79"/>
  <c r="W410" i="79" s="1"/>
  <c r="BS16" i="79"/>
  <c r="BS410" i="79" s="1"/>
  <c r="CQ16" i="79"/>
  <c r="CQ410" i="79" s="1"/>
  <c r="CA18" i="80"/>
  <c r="CA412" i="80" s="1"/>
  <c r="DG16" i="79"/>
  <c r="DG410" i="79" s="1"/>
  <c r="AE16" i="79"/>
  <c r="AE410" i="79" s="1"/>
  <c r="F108" i="70"/>
  <c r="N103" i="80" s="1"/>
  <c r="O103" i="80" s="1"/>
  <c r="CP22" i="80"/>
  <c r="CQ22" i="80" s="1"/>
  <c r="CX184" i="80"/>
  <c r="CY184" i="80" s="1"/>
  <c r="DF24" i="80"/>
  <c r="DG24" i="80" s="1"/>
  <c r="DV244" i="80"/>
  <c r="DW244" i="80" s="1"/>
  <c r="ED181" i="80"/>
  <c r="EE181" i="80" s="1"/>
  <c r="BZ200" i="80"/>
  <c r="CA200" i="80" s="1"/>
  <c r="CX244" i="80"/>
  <c r="CY244" i="80" s="1"/>
  <c r="DN246" i="80"/>
  <c r="DO246" i="80" s="1"/>
  <c r="DV176" i="80"/>
  <c r="DW176" i="80" s="1"/>
  <c r="DN311" i="80"/>
  <c r="DO311" i="80" s="1"/>
  <c r="BZ244" i="80"/>
  <c r="CA244" i="80" s="1"/>
  <c r="CH181" i="80"/>
  <c r="CI181" i="80" s="1"/>
  <c r="CX200" i="80"/>
  <c r="CY200" i="80" s="1"/>
  <c r="CX176" i="80"/>
  <c r="CY176" i="80" s="1"/>
  <c r="DN178" i="80"/>
  <c r="DO178" i="80" s="1"/>
  <c r="DV200" i="80"/>
  <c r="DW200" i="80" s="1"/>
  <c r="ED24" i="80"/>
  <c r="EE24" i="80" s="1"/>
  <c r="EL177" i="80"/>
  <c r="EM177" i="80" s="1"/>
  <c r="ET310" i="80"/>
  <c r="EU310" i="80" s="1"/>
  <c r="FB246" i="80"/>
  <c r="FC246" i="80" s="1"/>
  <c r="FB22" i="80"/>
  <c r="FB185" i="80"/>
  <c r="FB177" i="80"/>
  <c r="FC177" i="80" s="1"/>
  <c r="FJ310" i="80"/>
  <c r="FK310" i="80" s="1"/>
  <c r="FJ199" i="80"/>
  <c r="FK199" i="80" s="1"/>
  <c r="FJ181" i="80"/>
  <c r="FK181" i="80" s="1"/>
  <c r="V201" i="80"/>
  <c r="W201" i="80" s="1"/>
  <c r="BR311" i="80"/>
  <c r="BS311" i="80" s="1"/>
  <c r="BZ176" i="80"/>
  <c r="CA176" i="80" s="1"/>
  <c r="CH24" i="80"/>
  <c r="CI24" i="80" s="1"/>
  <c r="CI400" i="80" s="1"/>
  <c r="DF181" i="80"/>
  <c r="DG181" i="80" s="1"/>
  <c r="DN22" i="80"/>
  <c r="DO22" i="80" s="1"/>
  <c r="DO398" i="80" s="1"/>
  <c r="EL22" i="80"/>
  <c r="EM22" i="80" s="1"/>
  <c r="EM398" i="80" s="1"/>
  <c r="EL185" i="80"/>
  <c r="EM185" i="80" s="1"/>
  <c r="ET249" i="80"/>
  <c r="EU249" i="80" s="1"/>
  <c r="ET181" i="80"/>
  <c r="EU181" i="80" s="1"/>
  <c r="FJ249" i="80"/>
  <c r="FK249" i="80" s="1"/>
  <c r="V311" i="80"/>
  <c r="W311" i="80" s="1"/>
  <c r="BZ184" i="80"/>
  <c r="CA184" i="80" s="1"/>
  <c r="DV184" i="80"/>
  <c r="DW184" i="80" s="1"/>
  <c r="ET199" i="80"/>
  <c r="EU199" i="80" s="1"/>
  <c r="DF311" i="80"/>
  <c r="DG311" i="80" s="1"/>
  <c r="BZ185" i="80"/>
  <c r="CA185" i="80" s="1"/>
  <c r="CH310" i="80"/>
  <c r="CI310" i="80" s="1"/>
  <c r="CH249" i="80"/>
  <c r="CI249" i="80" s="1"/>
  <c r="CH199" i="80"/>
  <c r="CI199" i="80" s="1"/>
  <c r="CH182" i="80"/>
  <c r="CI182" i="80" s="1"/>
  <c r="CP247" i="80"/>
  <c r="CQ247" i="80" s="1"/>
  <c r="CR247" i="80" s="1"/>
  <c r="CP23" i="80"/>
  <c r="CQ23" i="80" s="1"/>
  <c r="CP180" i="80"/>
  <c r="CQ180" i="80" s="1"/>
  <c r="CX245" i="80"/>
  <c r="CY245" i="80" s="1"/>
  <c r="DA245" i="80" s="1"/>
  <c r="CX201" i="80"/>
  <c r="CY201" i="80" s="1"/>
  <c r="CX185" i="80"/>
  <c r="CY185" i="80" s="1"/>
  <c r="DF310" i="80"/>
  <c r="DG310" i="80" s="1"/>
  <c r="DF249" i="80"/>
  <c r="DG249" i="80" s="1"/>
  <c r="DF199" i="80"/>
  <c r="DG199" i="80" s="1"/>
  <c r="DF182" i="80"/>
  <c r="DG182" i="80" s="1"/>
  <c r="DN247" i="80"/>
  <c r="DO247" i="80" s="1"/>
  <c r="DQ247" i="80" s="1"/>
  <c r="DN23" i="80"/>
  <c r="DO23" i="80" s="1"/>
  <c r="DN180" i="80"/>
  <c r="DO180" i="80" s="1"/>
  <c r="DV245" i="80"/>
  <c r="DW245" i="80" s="1"/>
  <c r="DX245" i="80" s="1"/>
  <c r="DV201" i="80"/>
  <c r="DW201" i="80" s="1"/>
  <c r="DV185" i="80"/>
  <c r="DW185" i="80" s="1"/>
  <c r="DV177" i="80"/>
  <c r="DW177" i="80" s="1"/>
  <c r="ED310" i="80"/>
  <c r="EE310" i="80" s="1"/>
  <c r="ED249" i="80"/>
  <c r="EE249" i="80" s="1"/>
  <c r="ED199" i="80"/>
  <c r="EE199" i="80" s="1"/>
  <c r="ED182" i="80"/>
  <c r="EE182" i="80" s="1"/>
  <c r="EL247" i="80"/>
  <c r="EM247" i="80" s="1"/>
  <c r="EN247" i="80" s="1"/>
  <c r="EL23" i="80"/>
  <c r="EM23" i="80" s="1"/>
  <c r="EL178" i="80"/>
  <c r="EM178" i="80" s="1"/>
  <c r="ET244" i="80"/>
  <c r="EU244" i="80" s="1"/>
  <c r="ET200" i="80"/>
  <c r="EU200" i="80" s="1"/>
  <c r="ET182" i="80"/>
  <c r="EU182" i="80" s="1"/>
  <c r="FB247" i="80"/>
  <c r="FB23" i="80"/>
  <c r="FC23" i="80" s="1"/>
  <c r="FB178" i="80"/>
  <c r="FC178" i="80" s="1"/>
  <c r="FJ244" i="80"/>
  <c r="FK244" i="80" s="1"/>
  <c r="FJ29" i="80"/>
  <c r="FK29" i="80" s="1"/>
  <c r="FJ200" i="80"/>
  <c r="FK200" i="80" s="1"/>
  <c r="FJ182" i="80"/>
  <c r="FK182" i="80" s="1"/>
  <c r="V245" i="80"/>
  <c r="W245" i="80" s="1"/>
  <c r="Y245" i="80" s="1"/>
  <c r="BR310" i="80"/>
  <c r="BS310" i="80" s="1"/>
  <c r="N249" i="80"/>
  <c r="O249" i="80" s="1"/>
  <c r="N245" i="80"/>
  <c r="O245" i="80" s="1"/>
  <c r="Q245" i="80" s="1"/>
  <c r="N201" i="80"/>
  <c r="O201" i="80" s="1"/>
  <c r="N200" i="80"/>
  <c r="O200" i="80" s="1"/>
  <c r="N199" i="80"/>
  <c r="O199" i="80" s="1"/>
  <c r="AT176" i="80"/>
  <c r="AU176" i="80" s="1"/>
  <c r="AL182" i="80"/>
  <c r="AM182" i="80" s="1"/>
  <c r="AT181" i="80"/>
  <c r="AU181" i="80" s="1"/>
  <c r="BJ184" i="80"/>
  <c r="BK184" i="80" s="1"/>
  <c r="N184" i="80"/>
  <c r="O184" i="80" s="1"/>
  <c r="AL178" i="80"/>
  <c r="AM178" i="80" s="1"/>
  <c r="AT177" i="80"/>
  <c r="AU177" i="80" s="1"/>
  <c r="BJ29" i="80"/>
  <c r="BK29" i="80" s="1"/>
  <c r="BK30" i="80" s="1"/>
  <c r="BK403" i="80" s="1"/>
  <c r="N29" i="80"/>
  <c r="O29" i="80" s="1"/>
  <c r="O30" i="80" s="1"/>
  <c r="O403" i="80" s="1"/>
  <c r="AL23" i="80"/>
  <c r="AM23" i="80" s="1"/>
  <c r="BB246" i="80"/>
  <c r="BC246" i="80" s="1"/>
  <c r="AL246" i="80"/>
  <c r="AM246" i="80" s="1"/>
  <c r="BJ24" i="80"/>
  <c r="BK24" i="80" s="1"/>
  <c r="BJ244" i="80"/>
  <c r="BK244" i="80" s="1"/>
  <c r="N244" i="80"/>
  <c r="O244" i="80" s="1"/>
  <c r="AD311" i="80"/>
  <c r="AE311" i="80" s="1"/>
  <c r="BZ311" i="80"/>
  <c r="CA311" i="80" s="1"/>
  <c r="DV311" i="80"/>
  <c r="DW311" i="80" s="1"/>
  <c r="BZ310" i="80"/>
  <c r="CA310" i="80" s="1"/>
  <c r="BZ249" i="80"/>
  <c r="CA249" i="80" s="1"/>
  <c r="BZ199" i="80"/>
  <c r="CA199" i="80" s="1"/>
  <c r="BZ182" i="80"/>
  <c r="CA182" i="80" s="1"/>
  <c r="CH247" i="80"/>
  <c r="CI247" i="80" s="1"/>
  <c r="CH23" i="80"/>
  <c r="CI23" i="80" s="1"/>
  <c r="CH180" i="80"/>
  <c r="CI180" i="80" s="1"/>
  <c r="CP245" i="80"/>
  <c r="CQ245" i="80" s="1"/>
  <c r="CS245" i="80" s="1"/>
  <c r="CP201" i="80"/>
  <c r="CQ201" i="80" s="1"/>
  <c r="CP185" i="80"/>
  <c r="CQ185" i="80" s="1"/>
  <c r="CP177" i="80"/>
  <c r="CQ177" i="80" s="1"/>
  <c r="CX310" i="80"/>
  <c r="CX249" i="80"/>
  <c r="CY249" i="80" s="1"/>
  <c r="CX199" i="80"/>
  <c r="CY199" i="80" s="1"/>
  <c r="CX182" i="80"/>
  <c r="CY182" i="80" s="1"/>
  <c r="DF247" i="80"/>
  <c r="DG247" i="80" s="1"/>
  <c r="DH247" i="80" s="1"/>
  <c r="DF23" i="80"/>
  <c r="DG23" i="80" s="1"/>
  <c r="DF180" i="80"/>
  <c r="DG180" i="80" s="1"/>
  <c r="DN245" i="80"/>
  <c r="DO245" i="80" s="1"/>
  <c r="DQ245" i="80" s="1"/>
  <c r="DN201" i="80"/>
  <c r="DO201" i="80" s="1"/>
  <c r="DN185" i="80"/>
  <c r="DO185" i="80" s="1"/>
  <c r="DN177" i="80"/>
  <c r="DO177" i="80" s="1"/>
  <c r="DV310" i="80"/>
  <c r="DW310" i="80" s="1"/>
  <c r="DV249" i="80"/>
  <c r="DW249" i="80" s="1"/>
  <c r="DV199" i="80"/>
  <c r="DW199" i="80" s="1"/>
  <c r="DV182" i="80"/>
  <c r="DW182" i="80" s="1"/>
  <c r="ED247" i="80"/>
  <c r="EE247" i="80" s="1"/>
  <c r="ED23" i="80"/>
  <c r="EE23" i="80" s="1"/>
  <c r="EE399" i="80" s="1"/>
  <c r="ED180" i="80"/>
  <c r="EE180" i="80" s="1"/>
  <c r="EL245" i="80"/>
  <c r="EM245" i="80" s="1"/>
  <c r="EN245" i="80" s="1"/>
  <c r="EL201" i="80"/>
  <c r="EL184" i="80"/>
  <c r="EM184" i="80" s="1"/>
  <c r="EL176" i="80"/>
  <c r="EM176" i="80" s="1"/>
  <c r="ET24" i="80"/>
  <c r="EU24" i="80" s="1"/>
  <c r="ET180" i="80"/>
  <c r="EU180" i="80" s="1"/>
  <c r="FB245" i="80"/>
  <c r="FC245" i="80" s="1"/>
  <c r="FD245" i="80" s="1"/>
  <c r="FB201" i="80"/>
  <c r="FC201" i="80" s="1"/>
  <c r="FB184" i="80"/>
  <c r="FC184" i="80" s="1"/>
  <c r="FB176" i="80"/>
  <c r="FC176" i="80" s="1"/>
  <c r="FJ24" i="80"/>
  <c r="FK24" i="80" s="1"/>
  <c r="FK400" i="80" s="1"/>
  <c r="FJ180" i="80"/>
  <c r="FK180" i="80" s="1"/>
  <c r="V310" i="80"/>
  <c r="W310" i="80" s="1"/>
  <c r="V200" i="80"/>
  <c r="W200" i="80" s="1"/>
  <c r="AL245" i="80"/>
  <c r="AM245" i="80" s="1"/>
  <c r="AN245" i="80" s="1"/>
  <c r="BB310" i="80"/>
  <c r="BC310" i="80" s="1"/>
  <c r="BJ249" i="80"/>
  <c r="BK249" i="80" s="1"/>
  <c r="BJ245" i="80"/>
  <c r="BK245" i="80" s="1"/>
  <c r="BL245" i="80" s="1"/>
  <c r="BJ201" i="80"/>
  <c r="BK201" i="80" s="1"/>
  <c r="BJ200" i="80"/>
  <c r="BK200" i="80" s="1"/>
  <c r="BJ199" i="80"/>
  <c r="BK199" i="80" s="1"/>
  <c r="BJ180" i="80"/>
  <c r="BK180" i="80" s="1"/>
  <c r="BJ182" i="80"/>
  <c r="BK182" i="80" s="1"/>
  <c r="N182" i="80"/>
  <c r="O182" i="80" s="1"/>
  <c r="AL181" i="80"/>
  <c r="AM181" i="80" s="1"/>
  <c r="AL185" i="80"/>
  <c r="AM185" i="80" s="1"/>
  <c r="AT184" i="80"/>
  <c r="AU184" i="80" s="1"/>
  <c r="N178" i="80"/>
  <c r="O178" i="80" s="1"/>
  <c r="AT29" i="80"/>
  <c r="AU29" i="80" s="1"/>
  <c r="AU30" i="80" s="1"/>
  <c r="AU403" i="80" s="1"/>
  <c r="BJ23" i="80"/>
  <c r="N23" i="80"/>
  <c r="O23" i="80" s="1"/>
  <c r="O399" i="80" s="1"/>
  <c r="BR246" i="80"/>
  <c r="BS246" i="80" s="1"/>
  <c r="V246" i="80"/>
  <c r="W246" i="80" s="1"/>
  <c r="AT24" i="80"/>
  <c r="AU24" i="80" s="1"/>
  <c r="AU400" i="80" s="1"/>
  <c r="AT244" i="80"/>
  <c r="AU244" i="80" s="1"/>
  <c r="BJ22" i="80"/>
  <c r="BK22" i="80" s="1"/>
  <c r="BK398" i="80" s="1"/>
  <c r="N22" i="80"/>
  <c r="O22" i="80" s="1"/>
  <c r="AL249" i="80"/>
  <c r="AM249" i="80" s="1"/>
  <c r="BR245" i="80"/>
  <c r="BS245" i="80" s="1"/>
  <c r="BT245" i="80" s="1"/>
  <c r="BR200" i="80"/>
  <c r="BS200" i="80" s="1"/>
  <c r="BR180" i="80"/>
  <c r="BS180" i="80" s="1"/>
  <c r="V182" i="80"/>
  <c r="W182" i="80" s="1"/>
  <c r="BB184" i="80"/>
  <c r="BC184" i="80" s="1"/>
  <c r="V178" i="80"/>
  <c r="W178" i="80" s="1"/>
  <c r="BB29" i="80"/>
  <c r="BC29" i="80" s="1"/>
  <c r="BC30" i="80" s="1"/>
  <c r="BC403" i="80" s="1"/>
  <c r="BR23" i="80"/>
  <c r="BS23" i="80" s="1"/>
  <c r="BR247" i="80"/>
  <c r="BS247" i="80" s="1"/>
  <c r="BT247" i="80" s="1"/>
  <c r="V247" i="80"/>
  <c r="W247" i="80" s="1"/>
  <c r="Y247" i="80" s="1"/>
  <c r="V22" i="80"/>
  <c r="W22" i="80" s="1"/>
  <c r="W398" i="80" s="1"/>
  <c r="AL311" i="80"/>
  <c r="AM311" i="80" s="1"/>
  <c r="CH311" i="80"/>
  <c r="CI311" i="80" s="1"/>
  <c r="ED311" i="80"/>
  <c r="EE311" i="80" s="1"/>
  <c r="BZ24" i="80"/>
  <c r="CA24" i="80" s="1"/>
  <c r="BZ181" i="80"/>
  <c r="CA181" i="80" s="1"/>
  <c r="CH246" i="80"/>
  <c r="CI246" i="80" s="1"/>
  <c r="CH22" i="80"/>
  <c r="CI22" i="80" s="1"/>
  <c r="CI398" i="80" s="1"/>
  <c r="CP244" i="80"/>
  <c r="CQ244" i="80" s="1"/>
  <c r="CP200" i="80"/>
  <c r="CQ200" i="80" s="1"/>
  <c r="CP184" i="80"/>
  <c r="CQ184" i="80" s="1"/>
  <c r="CP176" i="80"/>
  <c r="CQ176" i="80" s="1"/>
  <c r="CX24" i="80"/>
  <c r="CY24" i="80" s="1"/>
  <c r="CX181" i="80"/>
  <c r="CY181" i="80" s="1"/>
  <c r="DF246" i="80"/>
  <c r="DG246" i="80" s="1"/>
  <c r="DF22" i="80"/>
  <c r="DG22" i="80" s="1"/>
  <c r="DG398" i="80" s="1"/>
  <c r="DF178" i="80"/>
  <c r="DG178" i="80" s="1"/>
  <c r="DN244" i="80"/>
  <c r="DO244" i="80" s="1"/>
  <c r="DN29" i="80"/>
  <c r="DO29" i="80" s="1"/>
  <c r="DN200" i="80"/>
  <c r="DO200" i="80" s="1"/>
  <c r="DN184" i="80"/>
  <c r="DO184" i="80" s="1"/>
  <c r="DN176" i="80"/>
  <c r="DO176" i="80" s="1"/>
  <c r="DV24" i="80"/>
  <c r="DW24" i="80" s="1"/>
  <c r="DV181" i="80"/>
  <c r="DW181" i="80" s="1"/>
  <c r="ED246" i="80"/>
  <c r="EE246" i="80" s="1"/>
  <c r="ED22" i="80"/>
  <c r="EE22" i="80" s="1"/>
  <c r="EE398" i="80" s="1"/>
  <c r="ED178" i="80"/>
  <c r="EE178" i="80" s="1"/>
  <c r="EL244" i="80"/>
  <c r="EM244" i="80" s="1"/>
  <c r="EL29" i="80"/>
  <c r="EM29" i="80" s="1"/>
  <c r="EM30" i="80" s="1"/>
  <c r="EM403" i="80" s="1"/>
  <c r="EL200" i="80"/>
  <c r="EL182" i="80"/>
  <c r="EM182" i="80" s="1"/>
  <c r="ET23" i="80"/>
  <c r="EU23" i="80" s="1"/>
  <c r="ET178" i="80"/>
  <c r="EU178" i="80" s="1"/>
  <c r="FB244" i="80"/>
  <c r="FC244" i="80" s="1"/>
  <c r="FB29" i="80"/>
  <c r="FC29" i="80" s="1"/>
  <c r="FB200" i="80"/>
  <c r="FC200" i="80" s="1"/>
  <c r="FB182" i="80"/>
  <c r="FC182" i="80" s="1"/>
  <c r="FJ247" i="80"/>
  <c r="FK247" i="80" s="1"/>
  <c r="FL247" i="80" s="1"/>
  <c r="FJ23" i="80"/>
  <c r="FK23" i="80" s="1"/>
  <c r="FK399" i="80" s="1"/>
  <c r="AL201" i="80"/>
  <c r="AM201" i="80" s="1"/>
  <c r="AT310" i="80"/>
  <c r="AU310" i="80" s="1"/>
  <c r="BB249" i="80"/>
  <c r="BC249" i="80" s="1"/>
  <c r="BB245" i="80"/>
  <c r="BC245" i="80" s="1"/>
  <c r="BD245" i="80" s="1"/>
  <c r="BB201" i="80"/>
  <c r="BC201" i="80" s="1"/>
  <c r="BB200" i="80"/>
  <c r="BC200" i="80" s="1"/>
  <c r="BB199" i="80"/>
  <c r="BC199" i="80" s="1"/>
  <c r="BB180" i="80"/>
  <c r="BC180" i="80" s="1"/>
  <c r="BR176" i="80"/>
  <c r="BS176" i="80" s="1"/>
  <c r="BB182" i="80"/>
  <c r="BC182" i="80" s="1"/>
  <c r="BR181" i="80"/>
  <c r="BS181" i="80" s="1"/>
  <c r="V181" i="80"/>
  <c r="W181" i="80" s="1"/>
  <c r="BR185" i="80"/>
  <c r="BS185" i="80" s="1"/>
  <c r="BB178" i="80"/>
  <c r="BC178" i="80" s="1"/>
  <c r="BR177" i="80"/>
  <c r="BS177" i="80" s="1"/>
  <c r="V177" i="80"/>
  <c r="W177" i="80" s="1"/>
  <c r="AD29" i="80"/>
  <c r="AE29" i="80" s="1"/>
  <c r="AE30" i="80" s="1"/>
  <c r="AE403" i="80" s="1"/>
  <c r="BB23" i="80"/>
  <c r="BC23" i="80" s="1"/>
  <c r="BJ247" i="80"/>
  <c r="BK247" i="80" s="1"/>
  <c r="BL247" i="80" s="1"/>
  <c r="AD247" i="80"/>
  <c r="AE247" i="80" s="1"/>
  <c r="AG247" i="80" s="1"/>
  <c r="N247" i="80"/>
  <c r="O247" i="80" s="1"/>
  <c r="P247" i="80" s="1"/>
  <c r="AD24" i="80"/>
  <c r="AE24" i="80" s="1"/>
  <c r="AD244" i="80"/>
  <c r="AE244" i="80" s="1"/>
  <c r="BB22" i="80"/>
  <c r="BC22" i="80" s="1"/>
  <c r="BC398" i="80" s="1"/>
  <c r="BJ310" i="80"/>
  <c r="BK310" i="80" s="1"/>
  <c r="BR249" i="80"/>
  <c r="BS249" i="80" s="1"/>
  <c r="BR201" i="80"/>
  <c r="BS201" i="80" s="1"/>
  <c r="BR199" i="80"/>
  <c r="BS199" i="80" s="1"/>
  <c r="BR182" i="80"/>
  <c r="BS182" i="80" s="1"/>
  <c r="AD181" i="80"/>
  <c r="AE181" i="80" s="1"/>
  <c r="AD185" i="80"/>
  <c r="AE185" i="80" s="1"/>
  <c r="BR178" i="80"/>
  <c r="BS178" i="80" s="1"/>
  <c r="V23" i="80"/>
  <c r="W23" i="80" s="1"/>
  <c r="AT247" i="80"/>
  <c r="AU247" i="80" s="1"/>
  <c r="AW247" i="80" s="1"/>
  <c r="BB24" i="80"/>
  <c r="BC24" i="80" s="1"/>
  <c r="BB244" i="80"/>
  <c r="BC244" i="80" s="1"/>
  <c r="BR22" i="80"/>
  <c r="BS22" i="80" s="1"/>
  <c r="BS398" i="80" s="1"/>
  <c r="AT311" i="80"/>
  <c r="AU311" i="80" s="1"/>
  <c r="CP311" i="80"/>
  <c r="CQ311" i="80" s="1"/>
  <c r="EL311" i="80"/>
  <c r="EM311" i="80" s="1"/>
  <c r="BZ247" i="80"/>
  <c r="CA247" i="80" s="1"/>
  <c r="CB247" i="80" s="1"/>
  <c r="BZ23" i="80"/>
  <c r="CA23" i="80" s="1"/>
  <c r="BZ180" i="80"/>
  <c r="CA180" i="80" s="1"/>
  <c r="CH245" i="80"/>
  <c r="CI245" i="80" s="1"/>
  <c r="CK245" i="80" s="1"/>
  <c r="CH201" i="80"/>
  <c r="CI201" i="80" s="1"/>
  <c r="CH185" i="80"/>
  <c r="CI185" i="80" s="1"/>
  <c r="CH177" i="80"/>
  <c r="CI177" i="80" s="1"/>
  <c r="CP310" i="80"/>
  <c r="CQ310" i="80" s="1"/>
  <c r="CP249" i="80"/>
  <c r="CQ249" i="80" s="1"/>
  <c r="CP199" i="80"/>
  <c r="CQ199" i="80" s="1"/>
  <c r="CP182" i="80"/>
  <c r="CQ182" i="80" s="1"/>
  <c r="CX23" i="80"/>
  <c r="CY23" i="80" s="1"/>
  <c r="CY399" i="80" s="1"/>
  <c r="CX180" i="80"/>
  <c r="CY180" i="80" s="1"/>
  <c r="DF245" i="80"/>
  <c r="DG245" i="80" s="1"/>
  <c r="DH245" i="80" s="1"/>
  <c r="DF201" i="80"/>
  <c r="DG201" i="80" s="1"/>
  <c r="DF185" i="80"/>
  <c r="DG185" i="80" s="1"/>
  <c r="DN310" i="80"/>
  <c r="DO310" i="80" s="1"/>
  <c r="DN249" i="80"/>
  <c r="DO249" i="80" s="1"/>
  <c r="DN199" i="80"/>
  <c r="DO199" i="80" s="1"/>
  <c r="DN182" i="80"/>
  <c r="DO182" i="80" s="1"/>
  <c r="DV247" i="80"/>
  <c r="DW247" i="80" s="1"/>
  <c r="DV23" i="80"/>
  <c r="DW23" i="80" s="1"/>
  <c r="DV180" i="80"/>
  <c r="DW180" i="80" s="1"/>
  <c r="ED245" i="80"/>
  <c r="EE245" i="80" s="1"/>
  <c r="EF245" i="80" s="1"/>
  <c r="ED201" i="80"/>
  <c r="EE201" i="80" s="1"/>
  <c r="ED185" i="80"/>
  <c r="EE185" i="80" s="1"/>
  <c r="ED177" i="80"/>
  <c r="EE177" i="80" s="1"/>
  <c r="EL310" i="80"/>
  <c r="EM310" i="80" s="1"/>
  <c r="EL249" i="80"/>
  <c r="EM249" i="80" s="1"/>
  <c r="EL199" i="80"/>
  <c r="EM199" i="80" s="1"/>
  <c r="EL181" i="80"/>
  <c r="EM181" i="80" s="1"/>
  <c r="ET246" i="80"/>
  <c r="EU246" i="80" s="1"/>
  <c r="ET22" i="80"/>
  <c r="EU22" i="80" s="1"/>
  <c r="ET185" i="80"/>
  <c r="EU185" i="80" s="1"/>
  <c r="ET177" i="80"/>
  <c r="EU177" i="80" s="1"/>
  <c r="FB310" i="80"/>
  <c r="FC310" i="80" s="1"/>
  <c r="FB249" i="80"/>
  <c r="FC249" i="80" s="1"/>
  <c r="FB199" i="80"/>
  <c r="FC199" i="80" s="1"/>
  <c r="FB181" i="80"/>
  <c r="FC181" i="80" s="1"/>
  <c r="FJ246" i="80"/>
  <c r="FK246" i="80" s="1"/>
  <c r="FJ22" i="80"/>
  <c r="FK22" i="80" s="1"/>
  <c r="FK398" i="80" s="1"/>
  <c r="FJ185" i="80"/>
  <c r="FK185" i="80" s="1"/>
  <c r="FJ177" i="80"/>
  <c r="FK177" i="80" s="1"/>
  <c r="AL310" i="80"/>
  <c r="AM310" i="80" s="1"/>
  <c r="AL200" i="80"/>
  <c r="AM200" i="80" s="1"/>
  <c r="AD310" i="80"/>
  <c r="AE310" i="80" s="1"/>
  <c r="AT249" i="80"/>
  <c r="AU249" i="80" s="1"/>
  <c r="AT245" i="80"/>
  <c r="AU245" i="80" s="1"/>
  <c r="AW245" i="80" s="1"/>
  <c r="AT201" i="80"/>
  <c r="AU201" i="80" s="1"/>
  <c r="AT200" i="80"/>
  <c r="AU200" i="80" s="1"/>
  <c r="AT199" i="80"/>
  <c r="AU199" i="80" s="1"/>
  <c r="AT180" i="80"/>
  <c r="AU180" i="80" s="1"/>
  <c r="BJ176" i="80"/>
  <c r="BK176" i="80" s="1"/>
  <c r="AT182" i="80"/>
  <c r="AU182" i="80" s="1"/>
  <c r="BJ181" i="80"/>
  <c r="BK181" i="80" s="1"/>
  <c r="N181" i="80"/>
  <c r="O181" i="80" s="1"/>
  <c r="AL184" i="80"/>
  <c r="AM184" i="80" s="1"/>
  <c r="AT178" i="80"/>
  <c r="AU178" i="80" s="1"/>
  <c r="BJ177" i="80"/>
  <c r="BK177" i="80" s="1"/>
  <c r="AT23" i="80"/>
  <c r="AU23" i="80" s="1"/>
  <c r="BJ246" i="80"/>
  <c r="BK246" i="80" s="1"/>
  <c r="AD246" i="80"/>
  <c r="AE246" i="80" s="1"/>
  <c r="N246" i="80"/>
  <c r="O246" i="80" s="1"/>
  <c r="AL24" i="80"/>
  <c r="AM24" i="80" s="1"/>
  <c r="AL244" i="80"/>
  <c r="AM244" i="80" s="1"/>
  <c r="AT22" i="80"/>
  <c r="AU22" i="80" s="1"/>
  <c r="AU398" i="80" s="1"/>
  <c r="CX311" i="80"/>
  <c r="CY311" i="80" s="1"/>
  <c r="ET311" i="80"/>
  <c r="EU311" i="80" s="1"/>
  <c r="BZ246" i="80"/>
  <c r="CA246" i="80" s="1"/>
  <c r="BZ22" i="80"/>
  <c r="CA22" i="80" s="1"/>
  <c r="CA398" i="80" s="1"/>
  <c r="BZ178" i="80"/>
  <c r="CA178" i="80" s="1"/>
  <c r="CH244" i="80"/>
  <c r="CI244" i="80" s="1"/>
  <c r="CH200" i="80"/>
  <c r="CI200" i="80" s="1"/>
  <c r="CH184" i="80"/>
  <c r="CI184" i="80" s="1"/>
  <c r="CH176" i="80"/>
  <c r="CI176" i="80" s="1"/>
  <c r="CP24" i="80"/>
  <c r="CQ24" i="80" s="1"/>
  <c r="CP181" i="80"/>
  <c r="CQ181" i="80" s="1"/>
  <c r="CX246" i="80"/>
  <c r="CY246" i="80" s="1"/>
  <c r="CX178" i="80"/>
  <c r="CY178" i="80" s="1"/>
  <c r="DF244" i="80"/>
  <c r="DG244" i="80" s="1"/>
  <c r="DF29" i="80"/>
  <c r="DG29" i="80" s="1"/>
  <c r="DG30" i="80" s="1"/>
  <c r="DG403" i="80" s="1"/>
  <c r="DF200" i="80"/>
  <c r="DG200" i="80" s="1"/>
  <c r="DF184" i="80"/>
  <c r="DG184" i="80" s="1"/>
  <c r="DF176" i="80"/>
  <c r="DG176" i="80" s="1"/>
  <c r="DN24" i="80"/>
  <c r="DO24" i="80" s="1"/>
  <c r="DN181" i="80"/>
  <c r="DO181" i="80" s="1"/>
  <c r="DV246" i="80"/>
  <c r="DW246" i="80" s="1"/>
  <c r="DV22" i="80"/>
  <c r="DW22" i="80" s="1"/>
  <c r="DW398" i="80" s="1"/>
  <c r="DV178" i="80"/>
  <c r="DW178" i="80" s="1"/>
  <c r="ED244" i="80"/>
  <c r="EE244" i="80" s="1"/>
  <c r="ED29" i="80"/>
  <c r="EE29" i="80" s="1"/>
  <c r="ED200" i="80"/>
  <c r="EE200" i="80" s="1"/>
  <c r="ED176" i="80"/>
  <c r="EE176" i="80" s="1"/>
  <c r="EL24" i="80"/>
  <c r="EM24" i="80" s="1"/>
  <c r="EM400" i="80" s="1"/>
  <c r="EL180" i="80"/>
  <c r="EM180" i="80" s="1"/>
  <c r="ET201" i="80"/>
  <c r="EU201" i="80" s="1"/>
  <c r="ET176" i="80"/>
  <c r="EU176" i="80" s="1"/>
  <c r="FB24" i="80"/>
  <c r="FC24" i="80" s="1"/>
  <c r="FB180" i="80"/>
  <c r="FC180" i="80" s="1"/>
  <c r="FJ245" i="80"/>
  <c r="FK245" i="80" s="1"/>
  <c r="FM245" i="80" s="1"/>
  <c r="FJ201" i="80"/>
  <c r="FK201" i="80" s="1"/>
  <c r="FJ184" i="80"/>
  <c r="FK184" i="80" s="1"/>
  <c r="FJ176" i="80"/>
  <c r="FK176" i="80" s="1"/>
  <c r="V249" i="80"/>
  <c r="W249" i="80" s="1"/>
  <c r="AL199" i="80"/>
  <c r="AM199" i="80" s="1"/>
  <c r="N310" i="80"/>
  <c r="O310" i="80" s="1"/>
  <c r="AD249" i="80"/>
  <c r="AE249" i="80" s="1"/>
  <c r="AD245" i="80"/>
  <c r="AE245" i="80" s="1"/>
  <c r="AF245" i="80" s="1"/>
  <c r="AD201" i="80"/>
  <c r="AE201" i="80" s="1"/>
  <c r="AD200" i="80"/>
  <c r="AE200" i="80" s="1"/>
  <c r="AD199" i="80"/>
  <c r="AE199" i="80" s="1"/>
  <c r="BB176" i="80"/>
  <c r="BC176" i="80" s="1"/>
  <c r="AD182" i="80"/>
  <c r="AE182" i="80" s="1"/>
  <c r="BB181" i="80"/>
  <c r="BC181" i="80" s="1"/>
  <c r="BB185" i="80"/>
  <c r="BC185" i="80" s="1"/>
  <c r="BR184" i="80"/>
  <c r="BS184" i="80" s="1"/>
  <c r="AD178" i="80"/>
  <c r="AE178" i="80" s="1"/>
  <c r="BB177" i="80"/>
  <c r="BC177" i="80" s="1"/>
  <c r="BR29" i="80"/>
  <c r="BS29" i="80" s="1"/>
  <c r="V29" i="80"/>
  <c r="W29" i="80" s="1"/>
  <c r="AD23" i="80"/>
  <c r="AE23" i="80" s="1"/>
  <c r="BB247" i="80"/>
  <c r="BC247" i="80" s="1"/>
  <c r="BD247" i="80" s="1"/>
  <c r="AL247" i="80"/>
  <c r="AM247" i="80" s="1"/>
  <c r="AN247" i="80" s="1"/>
  <c r="BR24" i="80"/>
  <c r="BS24" i="80" s="1"/>
  <c r="BS400" i="80" s="1"/>
  <c r="V24" i="80"/>
  <c r="BR244" i="80"/>
  <c r="BS244" i="80" s="1"/>
  <c r="V244" i="80"/>
  <c r="W244" i="80" s="1"/>
  <c r="AD22" i="80"/>
  <c r="AE22" i="80" s="1"/>
  <c r="AE398" i="80" s="1"/>
  <c r="CH25" i="80"/>
  <c r="CI25" i="80" s="1"/>
  <c r="CI401" i="80" s="1"/>
  <c r="CP192" i="80"/>
  <c r="CQ192" i="80" s="1"/>
  <c r="CP188" i="80"/>
  <c r="CQ188" i="80" s="1"/>
  <c r="CR188" i="80" s="1"/>
  <c r="DF25" i="80"/>
  <c r="DG25" i="80" s="1"/>
  <c r="DG401" i="80" s="1"/>
  <c r="DN192" i="80"/>
  <c r="DO192" i="80" s="1"/>
  <c r="DN188" i="80"/>
  <c r="DO188" i="80" s="1"/>
  <c r="ED25" i="80"/>
  <c r="EE25" i="80" s="1"/>
  <c r="EE401" i="80" s="1"/>
  <c r="EL192" i="80"/>
  <c r="EM192" i="80" s="1"/>
  <c r="EL188" i="80"/>
  <c r="EM188" i="80" s="1"/>
  <c r="EN188" i="80" s="1"/>
  <c r="FB192" i="80"/>
  <c r="FC192" i="80" s="1"/>
  <c r="FB188" i="80"/>
  <c r="FC188" i="80" s="1"/>
  <c r="FD188" i="80" s="1"/>
  <c r="BJ189" i="80"/>
  <c r="BK189" i="80" s="1"/>
  <c r="N189" i="80"/>
  <c r="O189" i="80" s="1"/>
  <c r="AL188" i="80"/>
  <c r="AM188" i="80" s="1"/>
  <c r="AN188" i="80" s="1"/>
  <c r="N193" i="80"/>
  <c r="O193" i="80" s="1"/>
  <c r="BB193" i="80"/>
  <c r="BC193" i="80" s="1"/>
  <c r="CH248" i="80"/>
  <c r="CI248" i="80" s="1"/>
  <c r="CJ248" i="80" s="1"/>
  <c r="CH193" i="80"/>
  <c r="CI193" i="80" s="1"/>
  <c r="CP187" i="80"/>
  <c r="CQ187" i="80" s="1"/>
  <c r="DF248" i="80"/>
  <c r="DG248" i="80" s="1"/>
  <c r="DH248" i="80" s="1"/>
  <c r="DF193" i="80"/>
  <c r="DG193" i="80" s="1"/>
  <c r="DF189" i="80"/>
  <c r="DG189" i="80" s="1"/>
  <c r="DN187" i="80"/>
  <c r="DO187" i="80" s="1"/>
  <c r="ED248" i="80"/>
  <c r="EE248" i="80" s="1"/>
  <c r="ED193" i="80"/>
  <c r="EE193" i="80" s="1"/>
  <c r="ET25" i="80"/>
  <c r="EU25" i="80" s="1"/>
  <c r="EU401" i="80" s="1"/>
  <c r="FJ25" i="80"/>
  <c r="FK25" i="80" s="1"/>
  <c r="FK401" i="80" s="1"/>
  <c r="BB187" i="80"/>
  <c r="BC187" i="80" s="1"/>
  <c r="BB189" i="80"/>
  <c r="BC189" i="80" s="1"/>
  <c r="BR188" i="80"/>
  <c r="BS188" i="80" s="1"/>
  <c r="BT188" i="80" s="1"/>
  <c r="V188" i="80"/>
  <c r="W188" i="80" s="1"/>
  <c r="X188" i="80" s="1"/>
  <c r="BR248" i="80"/>
  <c r="BS248" i="80" s="1"/>
  <c r="V248" i="80"/>
  <c r="W248" i="80" s="1"/>
  <c r="X248" i="80" s="1"/>
  <c r="AD25" i="80"/>
  <c r="AE25" i="80" s="1"/>
  <c r="AE401" i="80" s="1"/>
  <c r="V192" i="80"/>
  <c r="W192" i="80" s="1"/>
  <c r="AD192" i="80"/>
  <c r="AE192" i="80" s="1"/>
  <c r="BJ192" i="80"/>
  <c r="BK192" i="80" s="1"/>
  <c r="BZ25" i="80"/>
  <c r="CA25" i="80" s="1"/>
  <c r="CA401" i="80" s="1"/>
  <c r="CH192" i="80"/>
  <c r="CI192" i="80" s="1"/>
  <c r="CH188" i="80"/>
  <c r="CI188" i="80" s="1"/>
  <c r="CJ188" i="80" s="1"/>
  <c r="CX25" i="80"/>
  <c r="CY25" i="80" s="1"/>
  <c r="CY401" i="80" s="1"/>
  <c r="DF192" i="80"/>
  <c r="DG192" i="80" s="1"/>
  <c r="DF188" i="80"/>
  <c r="DG188" i="80" s="1"/>
  <c r="DH188" i="80" s="1"/>
  <c r="DV25" i="80"/>
  <c r="DW25" i="80" s="1"/>
  <c r="DW401" i="80" s="1"/>
  <c r="ED192" i="80"/>
  <c r="EE192" i="80" s="1"/>
  <c r="ED188" i="80"/>
  <c r="EE188" i="80" s="1"/>
  <c r="EF188" i="80" s="1"/>
  <c r="ET248" i="80"/>
  <c r="EU248" i="80" s="1"/>
  <c r="ET193" i="80"/>
  <c r="EU193" i="80" s="1"/>
  <c r="ET189" i="80"/>
  <c r="EU189" i="80" s="1"/>
  <c r="FJ248" i="80"/>
  <c r="FK248" i="80" s="1"/>
  <c r="FJ193" i="80"/>
  <c r="FK193" i="80" s="1"/>
  <c r="FJ189" i="80"/>
  <c r="FK189" i="80" s="1"/>
  <c r="AT187" i="80"/>
  <c r="AU187" i="80" s="1"/>
  <c r="AT189" i="80"/>
  <c r="AU189" i="80" s="1"/>
  <c r="BJ188" i="80"/>
  <c r="BK188" i="80" s="1"/>
  <c r="BL188" i="80" s="1"/>
  <c r="N188" i="80"/>
  <c r="O188" i="80" s="1"/>
  <c r="BJ248" i="80"/>
  <c r="BK248" i="80" s="1"/>
  <c r="BL248" i="80" s="1"/>
  <c r="N248" i="80"/>
  <c r="O248" i="80" s="1"/>
  <c r="P248" i="80" s="1"/>
  <c r="AL25" i="80"/>
  <c r="AM25" i="80" s="1"/>
  <c r="AM401" i="80" s="1"/>
  <c r="V193" i="80"/>
  <c r="W193" i="80" s="1"/>
  <c r="AD193" i="80"/>
  <c r="AE193" i="80" s="1"/>
  <c r="BJ193" i="80"/>
  <c r="BK193" i="80" s="1"/>
  <c r="BZ248" i="80"/>
  <c r="CA248" i="80" s="1"/>
  <c r="BZ193" i="80"/>
  <c r="CA193" i="80" s="1"/>
  <c r="BZ189" i="80"/>
  <c r="CA189" i="80" s="1"/>
  <c r="CH187" i="80"/>
  <c r="CI187" i="80" s="1"/>
  <c r="CX248" i="80"/>
  <c r="CY248" i="80" s="1"/>
  <c r="CZ248" i="80" s="1"/>
  <c r="CX193" i="80"/>
  <c r="CY193" i="80" s="1"/>
  <c r="DF187" i="80"/>
  <c r="DG187" i="80" s="1"/>
  <c r="DV248" i="80"/>
  <c r="DW248" i="80" s="1"/>
  <c r="DV193" i="80"/>
  <c r="DW193" i="80" s="1"/>
  <c r="ED187" i="80"/>
  <c r="EE187" i="80" s="1"/>
  <c r="ET192" i="80"/>
  <c r="EU192" i="80" s="1"/>
  <c r="ET188" i="80"/>
  <c r="EU188" i="80" s="1"/>
  <c r="EV188" i="80" s="1"/>
  <c r="FJ192" i="80"/>
  <c r="FK192" i="80" s="1"/>
  <c r="FJ188" i="80"/>
  <c r="FK188" i="80" s="1"/>
  <c r="AD189" i="80"/>
  <c r="AE189" i="80" s="1"/>
  <c r="BB188" i="80"/>
  <c r="BC188" i="80" s="1"/>
  <c r="BD188" i="80" s="1"/>
  <c r="BB248" i="80"/>
  <c r="BC248" i="80" s="1"/>
  <c r="BR25" i="80"/>
  <c r="BS25" i="80" s="1"/>
  <c r="BS401" i="80" s="1"/>
  <c r="V25" i="80"/>
  <c r="W25" i="80" s="1"/>
  <c r="W401" i="80" s="1"/>
  <c r="AT192" i="80"/>
  <c r="AU192" i="80" s="1"/>
  <c r="BR192" i="80"/>
  <c r="BS192" i="80" s="1"/>
  <c r="BZ192" i="80"/>
  <c r="CA192" i="80" s="1"/>
  <c r="BZ188" i="80"/>
  <c r="CA188" i="80" s="1"/>
  <c r="CB188" i="80" s="1"/>
  <c r="CP25" i="80"/>
  <c r="CQ25" i="80" s="1"/>
  <c r="CQ401" i="80" s="1"/>
  <c r="CX192" i="80"/>
  <c r="CY192" i="80" s="1"/>
  <c r="CX188" i="80"/>
  <c r="CY188" i="80" s="1"/>
  <c r="CZ188" i="80" s="1"/>
  <c r="DN25" i="80"/>
  <c r="DO25" i="80" s="1"/>
  <c r="DO401" i="80" s="1"/>
  <c r="DV192" i="80"/>
  <c r="DW192" i="80" s="1"/>
  <c r="DV188" i="80"/>
  <c r="DW188" i="80" s="1"/>
  <c r="EL25" i="80"/>
  <c r="EM25" i="80" s="1"/>
  <c r="EM401" i="80" s="1"/>
  <c r="FB25" i="80"/>
  <c r="FC25" i="80" s="1"/>
  <c r="FC401" i="80" s="1"/>
  <c r="AL189" i="80"/>
  <c r="AM189" i="80" s="1"/>
  <c r="AT188" i="80"/>
  <c r="AU188" i="80" s="1"/>
  <c r="AV188" i="80" s="1"/>
  <c r="AT248" i="80"/>
  <c r="AU248" i="80" s="1"/>
  <c r="AV248" i="80" s="1"/>
  <c r="BJ25" i="80"/>
  <c r="BK25" i="80" s="1"/>
  <c r="BK401" i="80" s="1"/>
  <c r="N25" i="80"/>
  <c r="O25" i="80" s="1"/>
  <c r="O401" i="80" s="1"/>
  <c r="BZ187" i="80"/>
  <c r="CA187" i="80" s="1"/>
  <c r="CP248" i="80"/>
  <c r="CQ248" i="80" s="1"/>
  <c r="CP189" i="80"/>
  <c r="CQ189" i="80" s="1"/>
  <c r="CX187" i="80"/>
  <c r="CY187" i="80" s="1"/>
  <c r="DN248" i="80"/>
  <c r="DO248" i="80" s="1"/>
  <c r="DP248" i="80" s="1"/>
  <c r="DN193" i="80"/>
  <c r="DO193" i="80" s="1"/>
  <c r="DN189" i="80"/>
  <c r="DO189" i="80" s="1"/>
  <c r="DV187" i="80"/>
  <c r="DW187" i="80" s="1"/>
  <c r="EL193" i="80"/>
  <c r="EM193" i="80" s="1"/>
  <c r="EL189" i="80"/>
  <c r="EM189" i="80" s="1"/>
  <c r="FB248" i="80"/>
  <c r="FC248" i="80" s="1"/>
  <c r="FD248" i="80" s="1"/>
  <c r="FB193" i="80"/>
  <c r="FC193" i="80" s="1"/>
  <c r="FB189" i="80"/>
  <c r="FC189" i="80" s="1"/>
  <c r="BR187" i="80"/>
  <c r="BS187" i="80" s="1"/>
  <c r="BR189" i="80"/>
  <c r="BS189" i="80" s="1"/>
  <c r="V189" i="80"/>
  <c r="W189" i="80" s="1"/>
  <c r="AD188" i="80"/>
  <c r="AE188" i="80" s="1"/>
  <c r="AD248" i="80"/>
  <c r="AE248" i="80" s="1"/>
  <c r="AF248" i="80" s="1"/>
  <c r="N192" i="80"/>
  <c r="O192" i="80" s="1"/>
  <c r="BB192" i="80"/>
  <c r="BC192" i="80" s="1"/>
  <c r="CY307" i="80"/>
  <c r="EE307" i="80"/>
  <c r="EU307" i="80"/>
  <c r="FC307" i="80"/>
  <c r="DG307" i="80"/>
  <c r="DO307" i="80"/>
  <c r="DW307" i="80"/>
  <c r="EM307" i="80"/>
  <c r="FC274" i="79"/>
  <c r="DG274" i="79"/>
  <c r="AM274" i="79"/>
  <c r="AU277" i="79"/>
  <c r="BC277" i="79"/>
  <c r="DO277" i="79"/>
  <c r="AE279" i="80"/>
  <c r="BK279" i="80"/>
  <c r="BS279" i="80"/>
  <c r="EM279" i="80"/>
  <c r="EE274" i="79"/>
  <c r="CI274" i="79"/>
  <c r="BK274" i="79"/>
  <c r="AE274" i="79"/>
  <c r="CA277" i="79"/>
  <c r="CI277" i="79"/>
  <c r="AE276" i="80"/>
  <c r="BK276" i="80"/>
  <c r="DW276" i="80"/>
  <c r="EM276" i="80"/>
  <c r="DW274" i="79"/>
  <c r="CA274" i="79"/>
  <c r="BC274" i="79"/>
  <c r="O277" i="79"/>
  <c r="BK277" i="79"/>
  <c r="DG277" i="79"/>
  <c r="DW277" i="79"/>
  <c r="W276" i="80"/>
  <c r="AU276" i="80"/>
  <c r="BS276" i="80"/>
  <c r="CI276" i="80"/>
  <c r="CQ279" i="80"/>
  <c r="CY279" i="80"/>
  <c r="DO279" i="80"/>
  <c r="CY280" i="79"/>
  <c r="DO274" i="79"/>
  <c r="AU274" i="79"/>
  <c r="BS274" i="79"/>
  <c r="AE280" i="79"/>
  <c r="BS277" i="79"/>
  <c r="CY277" i="79"/>
  <c r="EE277" i="79"/>
  <c r="FC277" i="79"/>
  <c r="O276" i="80"/>
  <c r="AM279" i="80"/>
  <c r="BC276" i="80"/>
  <c r="CA279" i="80"/>
  <c r="DG276" i="80"/>
  <c r="DW279" i="80"/>
  <c r="EE279" i="80"/>
  <c r="FC276" i="80"/>
  <c r="E72" i="37"/>
  <c r="F71" i="37"/>
  <c r="FK255" i="80"/>
  <c r="DG255" i="80"/>
  <c r="EM255" i="80"/>
  <c r="CY255" i="80"/>
  <c r="BK255" i="80"/>
  <c r="EU255" i="80"/>
  <c r="EE255" i="80"/>
  <c r="DO255" i="80"/>
  <c r="BC255" i="80"/>
  <c r="AU255" i="80"/>
  <c r="AM255" i="80"/>
  <c r="CQ255" i="80"/>
  <c r="O255" i="80"/>
  <c r="DW255" i="80"/>
  <c r="CA255" i="80"/>
  <c r="AE255" i="80"/>
  <c r="FC255" i="80"/>
  <c r="W255" i="80"/>
  <c r="FK252" i="80"/>
  <c r="DW252" i="80"/>
  <c r="CA252" i="80"/>
  <c r="AE252" i="80"/>
  <c r="O252" i="80"/>
  <c r="FC252" i="80"/>
  <c r="EM252" i="80"/>
  <c r="CY252" i="80"/>
  <c r="BK252" i="80"/>
  <c r="W252" i="80"/>
  <c r="EU252" i="80"/>
  <c r="EE252" i="80"/>
  <c r="BC252" i="80"/>
  <c r="AU252" i="80"/>
  <c r="AM252" i="80"/>
  <c r="CI252" i="80"/>
  <c r="BS252" i="80"/>
  <c r="CQ252" i="80"/>
  <c r="FK242" i="79"/>
  <c r="EU242" i="79"/>
  <c r="DO242" i="79"/>
  <c r="CI242" i="79"/>
  <c r="EM242" i="79"/>
  <c r="AE242" i="79"/>
  <c r="O242" i="79"/>
  <c r="CY242" i="79"/>
  <c r="CQ242" i="79"/>
  <c r="CA242" i="79"/>
  <c r="FK256" i="79"/>
  <c r="CY256" i="79"/>
  <c r="CA256" i="79"/>
  <c r="O256" i="79"/>
  <c r="EU256" i="79"/>
  <c r="DO256" i="79"/>
  <c r="CQ256" i="79"/>
  <c r="CI256" i="79"/>
  <c r="FC256" i="79"/>
  <c r="DG256" i="79"/>
  <c r="BS256" i="79"/>
  <c r="BK256" i="79"/>
  <c r="BC256" i="79"/>
  <c r="EM256" i="79"/>
  <c r="AE256" i="79"/>
  <c r="FK253" i="79"/>
  <c r="FC253" i="79"/>
  <c r="DG253" i="79"/>
  <c r="BK253" i="79"/>
  <c r="BC253" i="79"/>
  <c r="EE253" i="79"/>
  <c r="DW253" i="79"/>
  <c r="AU253" i="79"/>
  <c r="AM253" i="79"/>
  <c r="W253" i="79"/>
  <c r="EM253" i="79"/>
  <c r="AE253" i="79"/>
  <c r="O253" i="79"/>
  <c r="BS253" i="79"/>
  <c r="FK250" i="79"/>
  <c r="CQ250" i="79"/>
  <c r="FC250" i="79"/>
  <c r="BS250" i="79"/>
  <c r="BC246" i="79"/>
  <c r="BK246" i="79"/>
  <c r="DG246" i="79"/>
  <c r="DO244" i="79"/>
  <c r="EU244" i="79"/>
  <c r="O241" i="80"/>
  <c r="W241" i="80"/>
  <c r="CA241" i="80"/>
  <c r="EM241" i="80"/>
  <c r="EU247" i="80"/>
  <c r="EV247" i="80" s="1"/>
  <c r="O246" i="79"/>
  <c r="W244" i="79"/>
  <c r="AE246" i="79"/>
  <c r="AM244" i="79"/>
  <c r="AU244" i="79"/>
  <c r="BS244" i="79"/>
  <c r="CA255" i="79"/>
  <c r="CA248" i="79"/>
  <c r="CI241" i="79"/>
  <c r="CQ248" i="79"/>
  <c r="CY255" i="79"/>
  <c r="CY248" i="79"/>
  <c r="DO241" i="79"/>
  <c r="DW244" i="79"/>
  <c r="EE244" i="79"/>
  <c r="EM246" i="79"/>
  <c r="EU241" i="79"/>
  <c r="FC244" i="79"/>
  <c r="AM241" i="80"/>
  <c r="CQ241" i="80"/>
  <c r="DG254" i="80"/>
  <c r="DO241" i="80"/>
  <c r="O255" i="79"/>
  <c r="O248" i="79"/>
  <c r="W246" i="79"/>
  <c r="AE255" i="79"/>
  <c r="AE248" i="79"/>
  <c r="AM246" i="79"/>
  <c r="AU246" i="79"/>
  <c r="BC252" i="79"/>
  <c r="BK252" i="79"/>
  <c r="BS252" i="79"/>
  <c r="BS246" i="79"/>
  <c r="CA244" i="79"/>
  <c r="CQ244" i="79"/>
  <c r="CY244" i="79"/>
  <c r="DG252" i="79"/>
  <c r="DW246" i="79"/>
  <c r="EE246" i="79"/>
  <c r="EM255" i="79"/>
  <c r="EM248" i="79"/>
  <c r="FC252" i="79"/>
  <c r="FK243" i="79"/>
  <c r="AE254" i="80"/>
  <c r="CA254" i="80"/>
  <c r="DW254" i="80"/>
  <c r="DW241" i="80"/>
  <c r="EE241" i="80"/>
  <c r="EG241" i="80" s="1"/>
  <c r="G257" i="80"/>
  <c r="CI244" i="79"/>
  <c r="O241" i="79"/>
  <c r="W252" i="79"/>
  <c r="AE241" i="79"/>
  <c r="AM252" i="79"/>
  <c r="AU252" i="79"/>
  <c r="BC244" i="79"/>
  <c r="BK244" i="79"/>
  <c r="CI255" i="79"/>
  <c r="CI248" i="79"/>
  <c r="CQ255" i="79"/>
  <c r="DG244" i="79"/>
  <c r="DO255" i="79"/>
  <c r="DO248" i="79"/>
  <c r="DW252" i="79"/>
  <c r="EE252" i="79"/>
  <c r="EM241" i="79"/>
  <c r="EU255" i="79"/>
  <c r="EU248" i="79"/>
  <c r="G257" i="79"/>
  <c r="AE241" i="80"/>
  <c r="AG241" i="80" s="1"/>
  <c r="AM254" i="80"/>
  <c r="AU254" i="80"/>
  <c r="AU241" i="80"/>
  <c r="BC254" i="80"/>
  <c r="BC241" i="80"/>
  <c r="DG241" i="80"/>
  <c r="DI241" i="80" s="1"/>
  <c r="DO254" i="80"/>
  <c r="EE254" i="80"/>
  <c r="EU254" i="80"/>
  <c r="O221" i="79"/>
  <c r="O227" i="79"/>
  <c r="AU221" i="79"/>
  <c r="AU227" i="79"/>
  <c r="BC231" i="79"/>
  <c r="BC224" i="79"/>
  <c r="CY221" i="79"/>
  <c r="CY227" i="79"/>
  <c r="DW221" i="79"/>
  <c r="DW227" i="79"/>
  <c r="EU221" i="79"/>
  <c r="FC221" i="79"/>
  <c r="W221" i="79"/>
  <c r="W227" i="79"/>
  <c r="AE221" i="79"/>
  <c r="AE227" i="79"/>
  <c r="CI231" i="79"/>
  <c r="CI224" i="79"/>
  <c r="DG231" i="79"/>
  <c r="DG224" i="79"/>
  <c r="EM221" i="79"/>
  <c r="EM227" i="79"/>
  <c r="EU224" i="79"/>
  <c r="FC231" i="79"/>
  <c r="O231" i="79"/>
  <c r="O224" i="79"/>
  <c r="AU231" i="79"/>
  <c r="AU224" i="79"/>
  <c r="BC221" i="79"/>
  <c r="BC227" i="79"/>
  <c r="CY231" i="79"/>
  <c r="CY224" i="79"/>
  <c r="DW231" i="79"/>
  <c r="DW224" i="79"/>
  <c r="EU231" i="79"/>
  <c r="AM221" i="79"/>
  <c r="AM227" i="79"/>
  <c r="BK231" i="79"/>
  <c r="BK224" i="79"/>
  <c r="BS221" i="79"/>
  <c r="BS227" i="79"/>
  <c r="CA221" i="79"/>
  <c r="CA227" i="79"/>
  <c r="CQ221" i="79"/>
  <c r="CQ227" i="79"/>
  <c r="DO231" i="79"/>
  <c r="DO224" i="79"/>
  <c r="EE221" i="79"/>
  <c r="EE227" i="79"/>
  <c r="FC227" i="79"/>
  <c r="W231" i="79"/>
  <c r="W224" i="79"/>
  <c r="AE231" i="79"/>
  <c r="AE224" i="79"/>
  <c r="CI221" i="79"/>
  <c r="CI227" i="79"/>
  <c r="DG221" i="79"/>
  <c r="DG227" i="79"/>
  <c r="EM231" i="79"/>
  <c r="EM224" i="79"/>
  <c r="EU227" i="79"/>
  <c r="AE214" i="79"/>
  <c r="CA214" i="79"/>
  <c r="DW214" i="79"/>
  <c r="EE214" i="79"/>
  <c r="FK214" i="79"/>
  <c r="FK215" i="79" s="1"/>
  <c r="O213" i="80"/>
  <c r="BS211" i="80"/>
  <c r="BT211" i="80" s="1"/>
  <c r="CI211" i="80"/>
  <c r="DG213" i="80"/>
  <c r="CQ214" i="79"/>
  <c r="EE211" i="80"/>
  <c r="EF211" i="80" s="1"/>
  <c r="O214" i="79"/>
  <c r="BC214" i="79"/>
  <c r="CI214" i="79"/>
  <c r="AM211" i="80"/>
  <c r="AN211" i="80" s="1"/>
  <c r="BK211" i="80"/>
  <c r="BL211" i="80" s="1"/>
  <c r="DO211" i="80"/>
  <c r="DP211" i="80" s="1"/>
  <c r="EU214" i="79"/>
  <c r="FC214" i="79"/>
  <c r="AE211" i="80"/>
  <c r="DW211" i="80"/>
  <c r="DX211" i="80" s="1"/>
  <c r="EU211" i="80"/>
  <c r="EV211" i="80" s="1"/>
  <c r="AM214" i="79"/>
  <c r="BK214" i="79"/>
  <c r="CY214" i="79"/>
  <c r="BC211" i="80"/>
  <c r="BD211" i="80" s="1"/>
  <c r="EM211" i="80"/>
  <c r="EN211" i="80" s="1"/>
  <c r="G215" i="80"/>
  <c r="W214" i="79"/>
  <c r="DG214" i="79"/>
  <c r="AU211" i="80"/>
  <c r="AV211" i="80" s="1"/>
  <c r="CQ211" i="80"/>
  <c r="CR211" i="80" s="1"/>
  <c r="CY211" i="80"/>
  <c r="CZ211" i="80" s="1"/>
  <c r="FC211" i="80"/>
  <c r="FD211" i="80" s="1"/>
  <c r="G202" i="80"/>
  <c r="O193" i="79"/>
  <c r="BC154" i="79"/>
  <c r="BK149" i="79"/>
  <c r="O151" i="80"/>
  <c r="AM153" i="80"/>
  <c r="BK151" i="80"/>
  <c r="BS151" i="80"/>
  <c r="CQ151" i="80"/>
  <c r="CY151" i="80"/>
  <c r="DG151" i="80"/>
  <c r="EE148" i="80"/>
  <c r="EM151" i="80"/>
  <c r="EO151" i="80" s="1"/>
  <c r="FC153" i="80"/>
  <c r="FE153" i="80" s="1"/>
  <c r="DG154" i="79"/>
  <c r="BC151" i="80"/>
  <c r="CA153" i="80"/>
  <c r="FC151" i="80"/>
  <c r="FE151" i="80" s="1"/>
  <c r="AE153" i="80"/>
  <c r="AU153" i="80"/>
  <c r="CI153" i="80"/>
  <c r="DO153" i="80"/>
  <c r="DP153" i="80" s="1"/>
  <c r="DW151" i="80"/>
  <c r="EE153" i="80"/>
  <c r="EU151" i="80"/>
  <c r="EW151" i="80" s="1"/>
  <c r="W153" i="80"/>
  <c r="AE151" i="80"/>
  <c r="BC153" i="80"/>
  <c r="BK153" i="80"/>
  <c r="CI151" i="80"/>
  <c r="CQ153" i="80"/>
  <c r="CY153" i="80"/>
  <c r="DG153" i="80"/>
  <c r="DO151" i="80"/>
  <c r="EE151" i="80"/>
  <c r="EM153" i="80"/>
  <c r="AM120" i="79"/>
  <c r="DO120" i="79"/>
  <c r="DP120" i="79" s="1"/>
  <c r="CQ124" i="80"/>
  <c r="DG124" i="80"/>
  <c r="O130" i="79"/>
  <c r="AU129" i="80"/>
  <c r="AW129" i="80" s="1"/>
  <c r="DW126" i="80"/>
  <c r="W129" i="80"/>
  <c r="EU130" i="79"/>
  <c r="EV130" i="79" s="1"/>
  <c r="EU120" i="79"/>
  <c r="EV120" i="79" s="1"/>
  <c r="DO126" i="80"/>
  <c r="DY120" i="80"/>
  <c r="DZ120" i="80" s="1"/>
  <c r="FC126" i="80"/>
  <c r="CI130" i="79"/>
  <c r="CJ130" i="79" s="1"/>
  <c r="CI120" i="79"/>
  <c r="CJ120" i="79" s="1"/>
  <c r="CA126" i="80"/>
  <c r="O115" i="80"/>
  <c r="O106" i="80"/>
  <c r="AM115" i="80"/>
  <c r="AW107" i="80"/>
  <c r="BK112" i="80"/>
  <c r="CI115" i="80"/>
  <c r="CI106" i="80"/>
  <c r="DG115" i="80"/>
  <c r="DG106" i="80"/>
  <c r="DW106" i="80"/>
  <c r="EM106" i="80"/>
  <c r="FC115" i="80"/>
  <c r="FC106" i="80"/>
  <c r="W115" i="80"/>
  <c r="W106" i="80"/>
  <c r="AE112" i="80"/>
  <c r="AM106" i="80"/>
  <c r="BC115" i="80"/>
  <c r="BC106" i="80"/>
  <c r="BT107" i="80"/>
  <c r="CY112" i="80"/>
  <c r="DO112" i="80"/>
  <c r="EE115" i="80"/>
  <c r="EE106" i="80"/>
  <c r="W112" i="80"/>
  <c r="AU115" i="80"/>
  <c r="AU106" i="80"/>
  <c r="BC112" i="80"/>
  <c r="BS106" i="80"/>
  <c r="CC107" i="80"/>
  <c r="EE112" i="80"/>
  <c r="EU115" i="80"/>
  <c r="EU106" i="80"/>
  <c r="BK115" i="80"/>
  <c r="BK106" i="80"/>
  <c r="BS112" i="80"/>
  <c r="CA112" i="80"/>
  <c r="CQ112" i="80"/>
  <c r="AE115" i="80"/>
  <c r="AE106" i="80"/>
  <c r="AM109" i="80"/>
  <c r="AU112" i="80"/>
  <c r="CY115" i="80"/>
  <c r="CY106" i="80"/>
  <c r="DO115" i="80"/>
  <c r="DO106" i="80"/>
  <c r="DW115" i="80"/>
  <c r="EM115" i="80"/>
  <c r="EU112" i="80"/>
  <c r="AE90" i="79"/>
  <c r="BS87" i="79"/>
  <c r="CQ87" i="79"/>
  <c r="DG87" i="79"/>
  <c r="EM87" i="79"/>
  <c r="CA90" i="79"/>
  <c r="DO90" i="79"/>
  <c r="AU90" i="79"/>
  <c r="W90" i="79"/>
  <c r="EU90" i="79"/>
  <c r="AF68" i="79"/>
  <c r="AH68" i="79" s="1"/>
  <c r="FL69" i="79"/>
  <c r="I151" i="80"/>
  <c r="H229" i="80"/>
  <c r="I278" i="79"/>
  <c r="O34" i="80"/>
  <c r="I245" i="79"/>
  <c r="I294" i="79"/>
  <c r="I231" i="79"/>
  <c r="I66" i="80"/>
  <c r="I92" i="80"/>
  <c r="I309" i="79"/>
  <c r="I114" i="79"/>
  <c r="I141" i="79"/>
  <c r="DG25" i="79"/>
  <c r="DG401" i="79" s="1"/>
  <c r="FK23" i="79"/>
  <c r="FK399" i="79" s="1"/>
  <c r="CA17" i="79"/>
  <c r="CA411" i="79" s="1"/>
  <c r="CI17" i="79"/>
  <c r="CI411" i="79" s="1"/>
  <c r="AM18" i="80"/>
  <c r="AM412" i="80" s="1"/>
  <c r="E43" i="35"/>
  <c r="E43" i="82"/>
  <c r="J307" i="80"/>
  <c r="F45" i="35"/>
  <c r="F45" i="82"/>
  <c r="J89" i="79"/>
  <c r="G44" i="35"/>
  <c r="G44" i="82"/>
  <c r="F44" i="35"/>
  <c r="F44" i="82"/>
  <c r="DG18" i="80"/>
  <c r="G45" i="35"/>
  <c r="G45" i="82"/>
  <c r="G43" i="35"/>
  <c r="G43" i="82"/>
  <c r="E45" i="35"/>
  <c r="E45" i="82"/>
  <c r="H22" i="79"/>
  <c r="H398" i="79" s="1"/>
  <c r="E42" i="82"/>
  <c r="CI18" i="80"/>
  <c r="CI412" i="80" s="1"/>
  <c r="F42" i="35"/>
  <c r="F42" i="82"/>
  <c r="E44" i="35"/>
  <c r="E44" i="82"/>
  <c r="H245" i="79"/>
  <c r="J253" i="80"/>
  <c r="H252" i="80"/>
  <c r="J182" i="80"/>
  <c r="J22" i="79"/>
  <c r="J398" i="79" s="1"/>
  <c r="G42" i="35"/>
  <c r="H22" i="80"/>
  <c r="H398" i="80" s="1"/>
  <c r="E42" i="35"/>
  <c r="H145" i="79"/>
  <c r="J34" i="13"/>
  <c r="I23" i="79"/>
  <c r="I399" i="79" s="1"/>
  <c r="F43" i="35"/>
  <c r="W115" i="70"/>
  <c r="W17" i="79"/>
  <c r="W411" i="79" s="1"/>
  <c r="CI16" i="79"/>
  <c r="CI410" i="79" s="1"/>
  <c r="EE16" i="79"/>
  <c r="EE410" i="79" s="1"/>
  <c r="EM17" i="79"/>
  <c r="EM411" i="79" s="1"/>
  <c r="AU17" i="80"/>
  <c r="AU411" i="80" s="1"/>
  <c r="CQ17" i="80"/>
  <c r="CQ411" i="80" s="1"/>
  <c r="CY17" i="80"/>
  <c r="CY411" i="80" s="1"/>
  <c r="O17" i="80"/>
  <c r="O411" i="80" s="1"/>
  <c r="AE17" i="80"/>
  <c r="AE411" i="80" s="1"/>
  <c r="EM17" i="80"/>
  <c r="EM411" i="80" s="1"/>
  <c r="I277" i="80"/>
  <c r="DO17" i="79"/>
  <c r="DO411" i="79" s="1"/>
  <c r="FC17" i="80"/>
  <c r="FC411" i="80" s="1"/>
  <c r="AU17" i="79"/>
  <c r="AU411" i="79" s="1"/>
  <c r="DO16" i="79"/>
  <c r="DO410" i="79" s="1"/>
  <c r="EU16" i="79"/>
  <c r="EU410" i="79" s="1"/>
  <c r="BC17" i="80"/>
  <c r="BC411" i="80" s="1"/>
  <c r="CI17" i="80"/>
  <c r="DO17" i="80"/>
  <c r="DO411" i="80" s="1"/>
  <c r="DW17" i="80"/>
  <c r="DW411" i="80" s="1"/>
  <c r="CY16" i="79"/>
  <c r="CY410" i="79" s="1"/>
  <c r="DW16" i="79"/>
  <c r="DW410" i="79" s="1"/>
  <c r="W17" i="80"/>
  <c r="W411" i="80" s="1"/>
  <c r="AM17" i="80"/>
  <c r="AM411" i="80" s="1"/>
  <c r="CA17" i="80"/>
  <c r="CA411" i="80" s="1"/>
  <c r="EU17" i="80"/>
  <c r="EU411" i="80" s="1"/>
  <c r="AW69" i="79"/>
  <c r="AX69" i="79" s="1"/>
  <c r="CB69" i="79"/>
  <c r="AF69" i="79"/>
  <c r="BE69" i="79"/>
  <c r="BU69" i="79"/>
  <c r="CJ69" i="79"/>
  <c r="CS69" i="79"/>
  <c r="DA69" i="79"/>
  <c r="DB69" i="79" s="1"/>
  <c r="BD69" i="79"/>
  <c r="BT69" i="79"/>
  <c r="CC69" i="79"/>
  <c r="CR69" i="79"/>
  <c r="AG69" i="79"/>
  <c r="I103" i="80"/>
  <c r="J242" i="79"/>
  <c r="J126" i="80"/>
  <c r="J245" i="80"/>
  <c r="I140" i="80"/>
  <c r="I129" i="79"/>
  <c r="I293" i="79"/>
  <c r="AW293" i="79" s="1"/>
  <c r="FK17" i="80"/>
  <c r="FK411" i="80" s="1"/>
  <c r="I150" i="79"/>
  <c r="EG150" i="79" s="1"/>
  <c r="I71" i="80"/>
  <c r="I112" i="80"/>
  <c r="J120" i="79"/>
  <c r="I307" i="79"/>
  <c r="FE307" i="79" s="1"/>
  <c r="Q113" i="70"/>
  <c r="CX274" i="80" s="1"/>
  <c r="CY274" i="80" s="1"/>
  <c r="R115" i="70"/>
  <c r="U110" i="70"/>
  <c r="ED108" i="80" s="1"/>
  <c r="EE108" i="80" s="1"/>
  <c r="Q128" i="70"/>
  <c r="H115" i="70"/>
  <c r="CX247" i="80"/>
  <c r="CY247" i="80" s="1"/>
  <c r="DA247" i="80" s="1"/>
  <c r="N128" i="70"/>
  <c r="O108" i="70"/>
  <c r="CH103" i="80" s="1"/>
  <c r="CI103" i="80" s="1"/>
  <c r="O116" i="70"/>
  <c r="R108" i="70"/>
  <c r="DF103" i="80" s="1"/>
  <c r="DG103" i="80" s="1"/>
  <c r="U108" i="70"/>
  <c r="ED103" i="80" s="1"/>
  <c r="EE103" i="80" s="1"/>
  <c r="U116" i="70"/>
  <c r="W110" i="70"/>
  <c r="ET108" i="80" s="1"/>
  <c r="EU108" i="80" s="1"/>
  <c r="W116" i="70"/>
  <c r="Y110" i="70"/>
  <c r="FJ108" i="80" s="1"/>
  <c r="FK108" i="80" s="1"/>
  <c r="K110" i="70"/>
  <c r="BB108" i="80" s="1"/>
  <c r="BC108" i="80" s="1"/>
  <c r="F110" i="70"/>
  <c r="N108" i="80" s="1"/>
  <c r="O108" i="80" s="1"/>
  <c r="R116" i="70"/>
  <c r="G117" i="70"/>
  <c r="AD177" i="80"/>
  <c r="AE177" i="80" s="1"/>
  <c r="DF177" i="80"/>
  <c r="DG177" i="80" s="1"/>
  <c r="R46" i="82"/>
  <c r="G72" i="37"/>
  <c r="O486" i="79"/>
  <c r="W486" i="79"/>
  <c r="AM486" i="79"/>
  <c r="BK486" i="79"/>
  <c r="CA486" i="79"/>
  <c r="EU486" i="79"/>
  <c r="BC486" i="79"/>
  <c r="DO486" i="79"/>
  <c r="AE486" i="79"/>
  <c r="AU486" i="79"/>
  <c r="CY486" i="79"/>
  <c r="EE486" i="79"/>
  <c r="BS486" i="79"/>
  <c r="G466" i="80"/>
  <c r="G71" i="37"/>
  <c r="AM478" i="79"/>
  <c r="AU478" i="79"/>
  <c r="CI478" i="79"/>
  <c r="CY478" i="79"/>
  <c r="EM478" i="79"/>
  <c r="FC478" i="79"/>
  <c r="FK478" i="79"/>
  <c r="AM470" i="79"/>
  <c r="CA478" i="79"/>
  <c r="DG478" i="80"/>
  <c r="BK470" i="79"/>
  <c r="DG470" i="79"/>
  <c r="FC470" i="79"/>
  <c r="BS478" i="79"/>
  <c r="DO478" i="79"/>
  <c r="EE478" i="79"/>
  <c r="EU478" i="79"/>
  <c r="BK478" i="79"/>
  <c r="DG478" i="79"/>
  <c r="ET184" i="80"/>
  <c r="EU184" i="80" s="1"/>
  <c r="T128" i="70"/>
  <c r="Y116" i="70"/>
  <c r="D40" i="33"/>
  <c r="H181" i="80"/>
  <c r="J294" i="80"/>
  <c r="J141" i="80"/>
  <c r="H108" i="79"/>
  <c r="DP108" i="79" s="1"/>
  <c r="J295" i="79"/>
  <c r="J66" i="80"/>
  <c r="H200" i="79"/>
  <c r="W309" i="79"/>
  <c r="AM306" i="79"/>
  <c r="BC306" i="79"/>
  <c r="CA306" i="79"/>
  <c r="CA313" i="79" s="1"/>
  <c r="CY309" i="79"/>
  <c r="EE309" i="79"/>
  <c r="EM309" i="79"/>
  <c r="O309" i="80"/>
  <c r="W306" i="80"/>
  <c r="AM309" i="80"/>
  <c r="AU309" i="80"/>
  <c r="AV309" i="80" s="1"/>
  <c r="BC306" i="80"/>
  <c r="BS306" i="80"/>
  <c r="CI309" i="80"/>
  <c r="CJ309" i="80" s="1"/>
  <c r="DA305" i="80"/>
  <c r="DB305" i="80" s="1"/>
  <c r="DY305" i="80"/>
  <c r="AE306" i="79"/>
  <c r="BK306" i="79"/>
  <c r="BD305" i="80"/>
  <c r="BF305" i="80" s="1"/>
  <c r="CY306" i="80"/>
  <c r="DG309" i="80"/>
  <c r="DH309" i="80" s="1"/>
  <c r="EE306" i="80"/>
  <c r="FC309" i="80"/>
  <c r="FD309" i="80" s="1"/>
  <c r="O306" i="79"/>
  <c r="AU309" i="79"/>
  <c r="BS306" i="79"/>
  <c r="CI306" i="79"/>
  <c r="CQ309" i="79"/>
  <c r="DG306" i="79"/>
  <c r="DO306" i="79"/>
  <c r="DW306" i="79"/>
  <c r="DW313" i="79" s="1"/>
  <c r="EU309" i="79"/>
  <c r="AE306" i="80"/>
  <c r="BK306" i="80"/>
  <c r="BT309" i="80"/>
  <c r="CA309" i="80"/>
  <c r="CQ306" i="80"/>
  <c r="DO306" i="80"/>
  <c r="DW306" i="80"/>
  <c r="EM306" i="80"/>
  <c r="EU309" i="80"/>
  <c r="EV309" i="80" s="1"/>
  <c r="G313" i="80"/>
  <c r="AE309" i="79"/>
  <c r="BK309" i="79"/>
  <c r="FC309" i="79"/>
  <c r="CY309" i="80"/>
  <c r="DG306" i="80"/>
  <c r="EE309" i="80"/>
  <c r="FC306" i="80"/>
  <c r="O309" i="79"/>
  <c r="AU306" i="79"/>
  <c r="AU313" i="79" s="1"/>
  <c r="BS309" i="79"/>
  <c r="CI309" i="79"/>
  <c r="CQ306" i="79"/>
  <c r="DG309" i="79"/>
  <c r="DO309" i="79"/>
  <c r="DW309" i="79"/>
  <c r="AE309" i="80"/>
  <c r="AG309" i="80" s="1"/>
  <c r="BK309" i="80"/>
  <c r="BM309" i="80" s="1"/>
  <c r="CA306" i="80"/>
  <c r="CQ309" i="80"/>
  <c r="DO309" i="80"/>
  <c r="DW309" i="80"/>
  <c r="DX309" i="80" s="1"/>
  <c r="EM309" i="80"/>
  <c r="EU306" i="80"/>
  <c r="CY310" i="80"/>
  <c r="J278" i="80"/>
  <c r="EM277" i="79"/>
  <c r="EU276" i="80"/>
  <c r="J279" i="79"/>
  <c r="EU277" i="79"/>
  <c r="AU250" i="79"/>
  <c r="CA247" i="79"/>
  <c r="CB247" i="79" s="1"/>
  <c r="CY247" i="79"/>
  <c r="DA247" i="79" s="1"/>
  <c r="EM247" i="79"/>
  <c r="EN247" i="79" s="1"/>
  <c r="EU247" i="79"/>
  <c r="EW247" i="79" s="1"/>
  <c r="AE253" i="80"/>
  <c r="AU256" i="80"/>
  <c r="BS242" i="80"/>
  <c r="CA242" i="80"/>
  <c r="CQ242" i="80"/>
  <c r="CY242" i="80"/>
  <c r="DG253" i="80"/>
  <c r="EE242" i="80"/>
  <c r="EM256" i="80"/>
  <c r="EU256" i="80"/>
  <c r="EU242" i="80"/>
  <c r="FC242" i="80"/>
  <c r="O250" i="79"/>
  <c r="AM250" i="79"/>
  <c r="BK247" i="79"/>
  <c r="CI250" i="79"/>
  <c r="DW247" i="79"/>
  <c r="DX247" i="79" s="1"/>
  <c r="EE247" i="79"/>
  <c r="EF247" i="79" s="1"/>
  <c r="W253" i="80"/>
  <c r="AM253" i="80"/>
  <c r="BC253" i="80"/>
  <c r="BK253" i="80"/>
  <c r="BK242" i="80"/>
  <c r="CI256" i="80"/>
  <c r="DG242" i="80"/>
  <c r="DW256" i="80"/>
  <c r="AU247" i="79"/>
  <c r="AW247" i="79" s="1"/>
  <c r="CA250" i="79"/>
  <c r="CY250" i="79"/>
  <c r="EM250" i="79"/>
  <c r="EU250" i="79"/>
  <c r="AE256" i="80"/>
  <c r="AM242" i="80"/>
  <c r="AU253" i="80"/>
  <c r="DG256" i="80"/>
  <c r="DO242" i="80"/>
  <c r="EM253" i="80"/>
  <c r="EM242" i="80"/>
  <c r="EU253" i="80"/>
  <c r="FC247" i="80"/>
  <c r="FD247" i="80" s="1"/>
  <c r="O247" i="79"/>
  <c r="Q247" i="79" s="1"/>
  <c r="AM247" i="79"/>
  <c r="AN247" i="79" s="1"/>
  <c r="BK250" i="79"/>
  <c r="CI247" i="79"/>
  <c r="CK247" i="79" s="1"/>
  <c r="DW250" i="79"/>
  <c r="EE250" i="79"/>
  <c r="W256" i="80"/>
  <c r="W242" i="80"/>
  <c r="AM256" i="80"/>
  <c r="BC256" i="80"/>
  <c r="BK256" i="80"/>
  <c r="CI253" i="80"/>
  <c r="DW253" i="80"/>
  <c r="W250" i="79"/>
  <c r="AE250" i="79"/>
  <c r="BC250" i="79"/>
  <c r="BS247" i="79"/>
  <c r="BU247" i="79" s="1"/>
  <c r="CQ247" i="79"/>
  <c r="CS247" i="79" s="1"/>
  <c r="DG250" i="79"/>
  <c r="DO250" i="79"/>
  <c r="FC247" i="79"/>
  <c r="FE247" i="79" s="1"/>
  <c r="O256" i="80"/>
  <c r="AU242" i="80"/>
  <c r="BS253" i="80"/>
  <c r="CA253" i="80"/>
  <c r="CI242" i="80"/>
  <c r="CQ253" i="80"/>
  <c r="CY253" i="80"/>
  <c r="DO256" i="80"/>
  <c r="DW242" i="80"/>
  <c r="EE253" i="80"/>
  <c r="FC253" i="80"/>
  <c r="AE211" i="79"/>
  <c r="BC211" i="79"/>
  <c r="J206" i="80"/>
  <c r="W205" i="80"/>
  <c r="BC205" i="80"/>
  <c r="BC207" i="80" s="1"/>
  <c r="BK205" i="80"/>
  <c r="AU200" i="79"/>
  <c r="EM200" i="80"/>
  <c r="AM200" i="79"/>
  <c r="BS200" i="79"/>
  <c r="CI200" i="79"/>
  <c r="EM200" i="79"/>
  <c r="EM202" i="79" s="1"/>
  <c r="AE200" i="79"/>
  <c r="AE202" i="79" s="1"/>
  <c r="CA200" i="79"/>
  <c r="DG200" i="79"/>
  <c r="DG202" i="79" s="1"/>
  <c r="DW200" i="79"/>
  <c r="DW202" i="79" s="1"/>
  <c r="O200" i="79"/>
  <c r="BC200" i="79"/>
  <c r="EE200" i="79"/>
  <c r="W200" i="79"/>
  <c r="W202" i="79" s="1"/>
  <c r="BK200" i="79"/>
  <c r="DO200" i="79"/>
  <c r="EM201" i="80"/>
  <c r="CA193" i="79"/>
  <c r="DW193" i="79"/>
  <c r="FK147" i="79"/>
  <c r="DW147" i="79"/>
  <c r="AM147" i="79"/>
  <c r="EU147" i="79"/>
  <c r="EM147" i="79"/>
  <c r="DO147" i="79"/>
  <c r="DG147" i="79"/>
  <c r="CY147" i="79"/>
  <c r="CA147" i="79"/>
  <c r="BS147" i="79"/>
  <c r="FK148" i="80"/>
  <c r="CI148" i="80"/>
  <c r="AU148" i="80"/>
  <c r="G156" i="79"/>
  <c r="BC147" i="79"/>
  <c r="FK154" i="79"/>
  <c r="FC154" i="79"/>
  <c r="BK154" i="79"/>
  <c r="O154" i="79"/>
  <c r="DW154" i="79"/>
  <c r="FK149" i="79"/>
  <c r="W149" i="79"/>
  <c r="O149" i="79"/>
  <c r="O148" i="80"/>
  <c r="Y151" i="80"/>
  <c r="AE148" i="80"/>
  <c r="BK148" i="80"/>
  <c r="BS148" i="80"/>
  <c r="DW148" i="80"/>
  <c r="FK155" i="80"/>
  <c r="FC155" i="80"/>
  <c r="EM155" i="80"/>
  <c r="CY155" i="80"/>
  <c r="CQ155" i="80"/>
  <c r="CI155" i="80"/>
  <c r="BK155" i="80"/>
  <c r="AM155" i="80"/>
  <c r="J154" i="80"/>
  <c r="AE147" i="79"/>
  <c r="BK147" i="79"/>
  <c r="BS149" i="79"/>
  <c r="CA154" i="79"/>
  <c r="CI149" i="79"/>
  <c r="CY149" i="79"/>
  <c r="EE147" i="79"/>
  <c r="EM154" i="79"/>
  <c r="FC149" i="79"/>
  <c r="CQ148" i="80"/>
  <c r="DG155" i="80"/>
  <c r="DO155" i="80"/>
  <c r="DO148" i="80"/>
  <c r="EM148" i="80"/>
  <c r="AE152" i="80"/>
  <c r="CA152" i="80"/>
  <c r="BS152" i="80"/>
  <c r="W152" i="80"/>
  <c r="O152" i="80"/>
  <c r="FK150" i="80"/>
  <c r="EE150" i="80"/>
  <c r="DW150" i="80"/>
  <c r="DO150" i="80"/>
  <c r="BK150" i="80"/>
  <c r="EM150" i="80"/>
  <c r="CY150" i="80"/>
  <c r="BC150" i="80"/>
  <c r="AM150" i="80"/>
  <c r="BS154" i="79"/>
  <c r="CQ154" i="79"/>
  <c r="CQ147" i="79"/>
  <c r="DO149" i="79"/>
  <c r="FC147" i="79"/>
  <c r="DW153" i="79"/>
  <c r="DX153" i="79" s="1"/>
  <c r="AM153" i="79"/>
  <c r="AN153" i="79" s="1"/>
  <c r="EU153" i="79"/>
  <c r="EM153" i="79"/>
  <c r="DO153" i="79"/>
  <c r="DG153" i="79"/>
  <c r="CY153" i="79"/>
  <c r="CA153" i="79"/>
  <c r="CB153" i="79" s="1"/>
  <c r="FC151" i="79"/>
  <c r="EE151" i="79"/>
  <c r="CQ151" i="79"/>
  <c r="CI151" i="79"/>
  <c r="W155" i="80"/>
  <c r="AU152" i="80"/>
  <c r="BC148" i="80"/>
  <c r="BK152" i="80"/>
  <c r="CI152" i="80"/>
  <c r="CQ152" i="80"/>
  <c r="CY148" i="80"/>
  <c r="EE152" i="80"/>
  <c r="FC154" i="80"/>
  <c r="CI154" i="80"/>
  <c r="BK154" i="80"/>
  <c r="AM154" i="80"/>
  <c r="BC154" i="80"/>
  <c r="AU154" i="80"/>
  <c r="FK147" i="80"/>
  <c r="AE147" i="80"/>
  <c r="W147" i="80"/>
  <c r="J147" i="79"/>
  <c r="W148" i="79"/>
  <c r="AM149" i="79"/>
  <c r="AU149" i="79"/>
  <c r="BK151" i="79"/>
  <c r="BS153" i="79"/>
  <c r="CA151" i="79"/>
  <c r="CC151" i="79" s="1"/>
  <c r="CI154" i="79"/>
  <c r="CI147" i="79"/>
  <c r="CQ153" i="79"/>
  <c r="CY154" i="79"/>
  <c r="DO154" i="79"/>
  <c r="DO148" i="79"/>
  <c r="EM151" i="79"/>
  <c r="EU149" i="79"/>
  <c r="W154" i="80"/>
  <c r="W148" i="80"/>
  <c r="BC155" i="80"/>
  <c r="BC147" i="80"/>
  <c r="CA150" i="80"/>
  <c r="CY147" i="80"/>
  <c r="DG148" i="80"/>
  <c r="DW152" i="80"/>
  <c r="EM154" i="80"/>
  <c r="EU155" i="80"/>
  <c r="EU147" i="80"/>
  <c r="G156" i="80"/>
  <c r="O148" i="79"/>
  <c r="W154" i="79"/>
  <c r="W147" i="79"/>
  <c r="AM154" i="79"/>
  <c r="AM148" i="79"/>
  <c r="AU154" i="79"/>
  <c r="AU148" i="79"/>
  <c r="BC149" i="79"/>
  <c r="CI153" i="79"/>
  <c r="DG149" i="79"/>
  <c r="DW151" i="79"/>
  <c r="EU148" i="79"/>
  <c r="O150" i="80"/>
  <c r="AE150" i="80"/>
  <c r="AM148" i="80"/>
  <c r="BS150" i="80"/>
  <c r="CA155" i="80"/>
  <c r="CI150" i="80"/>
  <c r="CY154" i="80"/>
  <c r="DG152" i="80"/>
  <c r="DG147" i="80"/>
  <c r="DO152" i="80"/>
  <c r="AM149" i="80"/>
  <c r="BC149" i="80"/>
  <c r="CY149" i="80"/>
  <c r="EM149" i="80"/>
  <c r="DI120" i="79"/>
  <c r="DH120" i="79"/>
  <c r="O123" i="79"/>
  <c r="W120" i="79"/>
  <c r="X120" i="79" s="1"/>
  <c r="AM130" i="79"/>
  <c r="BC130" i="79"/>
  <c r="CC130" i="79"/>
  <c r="CA123" i="79"/>
  <c r="DO130" i="79"/>
  <c r="DQ130" i="79" s="1"/>
  <c r="DW130" i="79"/>
  <c r="DX130" i="79" s="1"/>
  <c r="DW120" i="79"/>
  <c r="EM130" i="79"/>
  <c r="EM120" i="79"/>
  <c r="EN120" i="79" s="1"/>
  <c r="O124" i="80"/>
  <c r="AE129" i="80"/>
  <c r="AF129" i="80" s="1"/>
  <c r="AU121" i="80"/>
  <c r="BT120" i="80"/>
  <c r="BV120" i="80" s="1"/>
  <c r="CI124" i="80"/>
  <c r="CY126" i="80"/>
  <c r="EE129" i="80"/>
  <c r="EU129" i="80"/>
  <c r="O120" i="79"/>
  <c r="P120" i="79" s="1"/>
  <c r="AE123" i="79"/>
  <c r="AU130" i="79"/>
  <c r="AV130" i="79" s="1"/>
  <c r="BS123" i="79"/>
  <c r="CA120" i="79"/>
  <c r="CQ123" i="79"/>
  <c r="DG123" i="79"/>
  <c r="O129" i="80"/>
  <c r="AM124" i="80"/>
  <c r="AN124" i="80" s="1"/>
  <c r="BS126" i="80"/>
  <c r="CI129" i="80"/>
  <c r="CJ129" i="80" s="1"/>
  <c r="CY124" i="80"/>
  <c r="CZ124" i="80" s="1"/>
  <c r="DO124" i="80"/>
  <c r="DP124" i="80" s="1"/>
  <c r="DW124" i="80"/>
  <c r="DX124" i="80" s="1"/>
  <c r="EE126" i="80"/>
  <c r="EM126" i="80"/>
  <c r="EU126" i="80"/>
  <c r="FC124" i="80"/>
  <c r="FD124" i="80" s="1"/>
  <c r="AE130" i="79"/>
  <c r="BK123" i="79"/>
  <c r="DG130" i="79"/>
  <c r="X129" i="79"/>
  <c r="W126" i="80"/>
  <c r="AE126" i="80"/>
  <c r="AU126" i="80"/>
  <c r="BC124" i="80"/>
  <c r="BD124" i="80" s="1"/>
  <c r="BK129" i="80"/>
  <c r="BM129" i="80" s="1"/>
  <c r="BS124" i="80"/>
  <c r="BU124" i="80" s="1"/>
  <c r="CA124" i="80"/>
  <c r="CQ129" i="80"/>
  <c r="DG129" i="80"/>
  <c r="DH129" i="80" s="1"/>
  <c r="EE124" i="80"/>
  <c r="EF124" i="80" s="1"/>
  <c r="EU124" i="80"/>
  <c r="W123" i="79"/>
  <c r="AU120" i="79"/>
  <c r="BS130" i="79"/>
  <c r="BS120" i="79"/>
  <c r="CQ130" i="79"/>
  <c r="CQ120" i="79"/>
  <c r="CS120" i="79" s="1"/>
  <c r="CY130" i="79"/>
  <c r="DW123" i="79"/>
  <c r="EE130" i="79"/>
  <c r="EF130" i="79" s="1"/>
  <c r="EE120" i="79"/>
  <c r="EF120" i="79" s="1"/>
  <c r="O126" i="80"/>
  <c r="AE124" i="80"/>
  <c r="AF124" i="80" s="1"/>
  <c r="AM129" i="80"/>
  <c r="AN129" i="80" s="1"/>
  <c r="AU124" i="80"/>
  <c r="AW124" i="80" s="1"/>
  <c r="BS129" i="80"/>
  <c r="CA129" i="80"/>
  <c r="CI126" i="80"/>
  <c r="CY129" i="80"/>
  <c r="CZ129" i="80" s="1"/>
  <c r="DO121" i="80"/>
  <c r="EM124" i="80"/>
  <c r="EO124" i="80" s="1"/>
  <c r="FC129" i="80"/>
  <c r="FD129" i="80" s="1"/>
  <c r="W130" i="79"/>
  <c r="AE120" i="79"/>
  <c r="AG120" i="79" s="1"/>
  <c r="AM123" i="79"/>
  <c r="BC123" i="79"/>
  <c r="BK130" i="79"/>
  <c r="BM130" i="79" s="1"/>
  <c r="BK120" i="79"/>
  <c r="BM120" i="79" s="1"/>
  <c r="CY120" i="79"/>
  <c r="FC130" i="79"/>
  <c r="FD130" i="79" s="1"/>
  <c r="W124" i="80"/>
  <c r="BC129" i="80"/>
  <c r="BD129" i="80" s="1"/>
  <c r="BC121" i="80"/>
  <c r="BK126" i="80"/>
  <c r="CQ126" i="80"/>
  <c r="DG126" i="80"/>
  <c r="DO129" i="80"/>
  <c r="DW129" i="80"/>
  <c r="EM129" i="80"/>
  <c r="O106" i="79"/>
  <c r="AU106" i="79"/>
  <c r="CC109" i="79"/>
  <c r="EU106" i="79"/>
  <c r="FC106" i="79"/>
  <c r="BC104" i="80"/>
  <c r="BK104" i="80"/>
  <c r="CI104" i="80"/>
  <c r="DX107" i="80"/>
  <c r="EN107" i="80"/>
  <c r="FK104" i="80"/>
  <c r="J114" i="79"/>
  <c r="CQ106" i="79"/>
  <c r="DW106" i="79"/>
  <c r="DY106" i="79" s="1"/>
  <c r="CA104" i="80"/>
  <c r="AM106" i="79"/>
  <c r="BS106" i="79"/>
  <c r="CA106" i="79"/>
  <c r="CQ104" i="80"/>
  <c r="DW104" i="80"/>
  <c r="EM104" i="80"/>
  <c r="BC106" i="79"/>
  <c r="BK106" i="79"/>
  <c r="CI106" i="79"/>
  <c r="DG106" i="79"/>
  <c r="BS104" i="80"/>
  <c r="CY104" i="80"/>
  <c r="W106" i="79"/>
  <c r="AE106" i="79"/>
  <c r="CY106" i="79"/>
  <c r="DO106" i="79"/>
  <c r="EM106" i="79"/>
  <c r="O104" i="80"/>
  <c r="AE104" i="80"/>
  <c r="AM104" i="80"/>
  <c r="DG104" i="80"/>
  <c r="O91" i="79"/>
  <c r="W87" i="79"/>
  <c r="AE88" i="79"/>
  <c r="AM88" i="79"/>
  <c r="AU87" i="79"/>
  <c r="BC87" i="79"/>
  <c r="BK90" i="79"/>
  <c r="CA87" i="79"/>
  <c r="CI90" i="79"/>
  <c r="CQ91" i="79"/>
  <c r="CY90" i="79"/>
  <c r="DO88" i="79"/>
  <c r="DW87" i="79"/>
  <c r="W91" i="80"/>
  <c r="AE88" i="80"/>
  <c r="AU88" i="80"/>
  <c r="BC88" i="80"/>
  <c r="BK91" i="80"/>
  <c r="CI88" i="80"/>
  <c r="DW91" i="80"/>
  <c r="EE91" i="80"/>
  <c r="I91" i="80"/>
  <c r="CC91" i="80" s="1"/>
  <c r="O90" i="79"/>
  <c r="AE87" i="79"/>
  <c r="AM87" i="79"/>
  <c r="BK88" i="79"/>
  <c r="BS91" i="79"/>
  <c r="CI88" i="79"/>
  <c r="CQ90" i="79"/>
  <c r="CY88" i="79"/>
  <c r="DG91" i="79"/>
  <c r="DO87" i="79"/>
  <c r="EM91" i="79"/>
  <c r="O88" i="80"/>
  <c r="AM88" i="80"/>
  <c r="BS88" i="80"/>
  <c r="CA88" i="80"/>
  <c r="CQ88" i="80"/>
  <c r="CY88" i="80"/>
  <c r="DG91" i="80"/>
  <c r="DO91" i="80"/>
  <c r="EU91" i="80"/>
  <c r="G93" i="80"/>
  <c r="O88" i="79"/>
  <c r="BC91" i="79"/>
  <c r="BK87" i="79"/>
  <c r="BS90" i="79"/>
  <c r="CI87" i="79"/>
  <c r="CY87" i="79"/>
  <c r="DG90" i="79"/>
  <c r="EM90" i="79"/>
  <c r="W88" i="80"/>
  <c r="BK88" i="80"/>
  <c r="DW88" i="80"/>
  <c r="EM91" i="80"/>
  <c r="BC90" i="79"/>
  <c r="DG88" i="80"/>
  <c r="DO88" i="80"/>
  <c r="EE88" i="80"/>
  <c r="EU88" i="80"/>
  <c r="FC91" i="80"/>
  <c r="O65" i="80"/>
  <c r="O58" i="80"/>
  <c r="AE65" i="80"/>
  <c r="AU71" i="80"/>
  <c r="AU58" i="80"/>
  <c r="BK62" i="80"/>
  <c r="BS65" i="80"/>
  <c r="CA58" i="80"/>
  <c r="CB58" i="80" s="1"/>
  <c r="CY71" i="80"/>
  <c r="DG71" i="80"/>
  <c r="DO68" i="80"/>
  <c r="DO62" i="80"/>
  <c r="EE65" i="80"/>
  <c r="EE58" i="80"/>
  <c r="EM68" i="80"/>
  <c r="EU58" i="80"/>
  <c r="EV58" i="80" s="1"/>
  <c r="DI69" i="79"/>
  <c r="EM65" i="79"/>
  <c r="EM59" i="79"/>
  <c r="EU62" i="79"/>
  <c r="O71" i="80"/>
  <c r="W58" i="80"/>
  <c r="X58" i="80" s="1"/>
  <c r="AE71" i="80"/>
  <c r="AM65" i="80"/>
  <c r="AM58" i="80"/>
  <c r="BC68" i="80"/>
  <c r="BC62" i="80"/>
  <c r="BK68" i="80"/>
  <c r="BS71" i="80"/>
  <c r="CA65" i="80"/>
  <c r="CI68" i="80"/>
  <c r="CI62" i="80"/>
  <c r="CY62" i="80"/>
  <c r="DG62" i="80"/>
  <c r="DW62" i="80"/>
  <c r="EE71" i="80"/>
  <c r="EU71" i="80"/>
  <c r="EU65" i="80"/>
  <c r="EM71" i="79"/>
  <c r="EU68" i="79"/>
  <c r="EV68" i="79" s="1"/>
  <c r="FC65" i="79"/>
  <c r="W65" i="80"/>
  <c r="AE62" i="80"/>
  <c r="AM71" i="80"/>
  <c r="AU68" i="80"/>
  <c r="AU62" i="80"/>
  <c r="BS62" i="80"/>
  <c r="CA71" i="80"/>
  <c r="CQ71" i="80"/>
  <c r="CQ65" i="80"/>
  <c r="CQ58" i="80"/>
  <c r="CY68" i="80"/>
  <c r="DG68" i="80"/>
  <c r="DW68" i="80"/>
  <c r="EE62" i="80"/>
  <c r="EM58" i="80"/>
  <c r="FC68" i="80"/>
  <c r="FC58" i="80"/>
  <c r="FD58" i="80" s="1"/>
  <c r="O68" i="80"/>
  <c r="O62" i="80"/>
  <c r="W71" i="80"/>
  <c r="AE68" i="80"/>
  <c r="AM62" i="80"/>
  <c r="BK58" i="80"/>
  <c r="BS68" i="80"/>
  <c r="CA62" i="80"/>
  <c r="DO65" i="80"/>
  <c r="DO58" i="80"/>
  <c r="EE68" i="80"/>
  <c r="EM65" i="80"/>
  <c r="EU62" i="80"/>
  <c r="EM62" i="79"/>
  <c r="EU65" i="79"/>
  <c r="EU59" i="79"/>
  <c r="FC71" i="79"/>
  <c r="FC62" i="79"/>
  <c r="W62" i="80"/>
  <c r="AM68" i="80"/>
  <c r="BC65" i="80"/>
  <c r="BC58" i="80"/>
  <c r="BE58" i="80" s="1"/>
  <c r="BK65" i="80"/>
  <c r="CA68" i="80"/>
  <c r="CI65" i="80"/>
  <c r="CI58" i="80"/>
  <c r="CJ58" i="80" s="1"/>
  <c r="CQ62" i="80"/>
  <c r="CY58" i="80"/>
  <c r="DG58" i="80"/>
  <c r="DO71" i="80"/>
  <c r="DW58" i="80"/>
  <c r="DY58" i="80" s="1"/>
  <c r="EM71" i="80"/>
  <c r="EU68" i="80"/>
  <c r="D73" i="35"/>
  <c r="D74" i="35" s="1"/>
  <c r="G50" i="80"/>
  <c r="J67" i="80"/>
  <c r="CA34" i="79"/>
  <c r="J142" i="80"/>
  <c r="J296" i="79"/>
  <c r="J153" i="79"/>
  <c r="J232" i="79"/>
  <c r="J184" i="79"/>
  <c r="J75" i="80"/>
  <c r="H112" i="79"/>
  <c r="EN112" i="79" s="1"/>
  <c r="W29" i="79"/>
  <c r="W30" i="79" s="1"/>
  <c r="BS29" i="79"/>
  <c r="BS30" i="79" s="1"/>
  <c r="DO29" i="79"/>
  <c r="DO30" i="79" s="1"/>
  <c r="J176" i="79"/>
  <c r="J297" i="80"/>
  <c r="H307" i="79"/>
  <c r="H293" i="80"/>
  <c r="EV293" i="80" s="1"/>
  <c r="CQ29" i="79"/>
  <c r="CQ30" i="79" s="1"/>
  <c r="O29" i="79"/>
  <c r="O30" i="79" s="1"/>
  <c r="DG29" i="79"/>
  <c r="DG30" i="79" s="1"/>
  <c r="FC29" i="79"/>
  <c r="FC30" i="79" s="1"/>
  <c r="J72" i="79"/>
  <c r="J244" i="80"/>
  <c r="J201" i="79"/>
  <c r="J293" i="80"/>
  <c r="J247" i="79"/>
  <c r="J129" i="80"/>
  <c r="J108" i="80"/>
  <c r="CI25" i="79"/>
  <c r="CI401" i="79" s="1"/>
  <c r="CQ25" i="79"/>
  <c r="EE25" i="79"/>
  <c r="EE401" i="79" s="1"/>
  <c r="EU24" i="79"/>
  <c r="EU400" i="79" s="1"/>
  <c r="FC24" i="79"/>
  <c r="I194" i="79"/>
  <c r="H140" i="79"/>
  <c r="EN140" i="79" s="1"/>
  <c r="H91" i="79"/>
  <c r="I177" i="80"/>
  <c r="G26" i="80"/>
  <c r="BK23" i="80"/>
  <c r="BK399" i="80" s="1"/>
  <c r="BK25" i="79"/>
  <c r="BK401" i="79" s="1"/>
  <c r="DO25" i="79"/>
  <c r="DO401" i="79" s="1"/>
  <c r="I185" i="79"/>
  <c r="DY185" i="79" s="1"/>
  <c r="H277" i="79"/>
  <c r="FC22" i="80"/>
  <c r="FC398" i="80" s="1"/>
  <c r="W25" i="79"/>
  <c r="W401" i="79" s="1"/>
  <c r="AM25" i="79"/>
  <c r="AM401" i="79" s="1"/>
  <c r="CA25" i="79"/>
  <c r="CA401" i="79" s="1"/>
  <c r="EM25" i="79"/>
  <c r="I206" i="80"/>
  <c r="J109" i="79"/>
  <c r="O25" i="79"/>
  <c r="O401" i="79" s="1"/>
  <c r="BC25" i="79"/>
  <c r="BC401" i="79" s="1"/>
  <c r="CY25" i="79"/>
  <c r="CY401" i="79" s="1"/>
  <c r="H71" i="79"/>
  <c r="H103" i="79"/>
  <c r="EV103" i="79" s="1"/>
  <c r="FK24" i="79"/>
  <c r="FK400" i="79" s="1"/>
  <c r="J91" i="80"/>
  <c r="J254" i="79"/>
  <c r="H146" i="80"/>
  <c r="J192" i="80"/>
  <c r="J231" i="79"/>
  <c r="AU25" i="79"/>
  <c r="AU401" i="79" s="1"/>
  <c r="BS25" i="79"/>
  <c r="BS401" i="79" s="1"/>
  <c r="EU25" i="79"/>
  <c r="EU401" i="79" s="1"/>
  <c r="J276" i="80"/>
  <c r="J98" i="79"/>
  <c r="J211" i="79"/>
  <c r="J188" i="79"/>
  <c r="AE18" i="79"/>
  <c r="AE412" i="79" s="1"/>
  <c r="AU18" i="79"/>
  <c r="CQ18" i="79"/>
  <c r="CQ412" i="79" s="1"/>
  <c r="CY18" i="79"/>
  <c r="CY412" i="79" s="1"/>
  <c r="DO18" i="79"/>
  <c r="DO412" i="79" s="1"/>
  <c r="G412" i="79"/>
  <c r="O18" i="80"/>
  <c r="O412" i="80" s="1"/>
  <c r="AE18" i="80"/>
  <c r="BK18" i="80"/>
  <c r="DW18" i="80"/>
  <c r="EE18" i="80"/>
  <c r="EM18" i="80"/>
  <c r="EM412" i="80" s="1"/>
  <c r="J268" i="79"/>
  <c r="J311" i="79"/>
  <c r="J306" i="80"/>
  <c r="J132" i="80"/>
  <c r="J309" i="80"/>
  <c r="J305" i="80"/>
  <c r="J243" i="80"/>
  <c r="J92" i="79"/>
  <c r="J113" i="80"/>
  <c r="J121" i="80"/>
  <c r="J70" i="80"/>
  <c r="J99" i="80"/>
  <c r="J140" i="80"/>
  <c r="J150" i="80"/>
  <c r="J230" i="80"/>
  <c r="J200" i="80"/>
  <c r="J189" i="80"/>
  <c r="J181" i="80"/>
  <c r="J250" i="80"/>
  <c r="I25" i="80"/>
  <c r="I401" i="80" s="1"/>
  <c r="I255" i="80"/>
  <c r="I248" i="79"/>
  <c r="BU248" i="79" s="1"/>
  <c r="I242" i="80"/>
  <c r="I227" i="79"/>
  <c r="H150" i="80"/>
  <c r="CR150" i="80" s="1"/>
  <c r="H129" i="79"/>
  <c r="H227" i="80"/>
  <c r="FL227" i="80" s="1"/>
  <c r="H210" i="79"/>
  <c r="H195" i="80"/>
  <c r="H184" i="80"/>
  <c r="EF184" i="80" s="1"/>
  <c r="J123" i="80"/>
  <c r="J252" i="80"/>
  <c r="J24" i="80"/>
  <c r="J400" i="80" s="1"/>
  <c r="I279" i="79"/>
  <c r="DI279" i="79" s="1"/>
  <c r="I153" i="80"/>
  <c r="I113" i="80"/>
  <c r="I96" i="80"/>
  <c r="H109" i="79"/>
  <c r="H70" i="79"/>
  <c r="H244" i="79"/>
  <c r="P244" i="79" s="1"/>
  <c r="H226" i="80"/>
  <c r="H194" i="80"/>
  <c r="J252" i="79"/>
  <c r="J149" i="80"/>
  <c r="J69" i="80"/>
  <c r="BK18" i="79"/>
  <c r="BK412" i="79" s="1"/>
  <c r="DW18" i="79"/>
  <c r="DW412" i="79" s="1"/>
  <c r="CY18" i="80"/>
  <c r="CY412" i="80" s="1"/>
  <c r="H70" i="80"/>
  <c r="J60" i="79"/>
  <c r="J25" i="80"/>
  <c r="J401" i="80" s="1"/>
  <c r="J130" i="79"/>
  <c r="J23" i="80"/>
  <c r="J399" i="80" s="1"/>
  <c r="J106" i="80"/>
  <c r="J68" i="80"/>
  <c r="J155" i="80"/>
  <c r="J148" i="80"/>
  <c r="J227" i="79"/>
  <c r="J210" i="79"/>
  <c r="J195" i="79"/>
  <c r="J187" i="79"/>
  <c r="J178" i="79"/>
  <c r="I130" i="80"/>
  <c r="I23" i="80"/>
  <c r="I399" i="80" s="1"/>
  <c r="I246" i="80"/>
  <c r="I214" i="80"/>
  <c r="I182" i="80"/>
  <c r="H305" i="80"/>
  <c r="H270" i="79"/>
  <c r="H30" i="13"/>
  <c r="H243" i="79"/>
  <c r="H232" i="79"/>
  <c r="H193" i="80"/>
  <c r="J270" i="79"/>
  <c r="I310" i="80"/>
  <c r="I75" i="80"/>
  <c r="H250" i="79"/>
  <c r="H206" i="79"/>
  <c r="AV206" i="79" s="1"/>
  <c r="J112" i="79"/>
  <c r="J199" i="79"/>
  <c r="G19" i="80"/>
  <c r="O18" i="79"/>
  <c r="O412" i="79" s="1"/>
  <c r="AM18" i="79"/>
  <c r="AM412" i="79" s="1"/>
  <c r="BC18" i="79"/>
  <c r="BC412" i="79" s="1"/>
  <c r="CA18" i="79"/>
  <c r="CA412" i="79" s="1"/>
  <c r="EU18" i="79"/>
  <c r="EU412" i="79" s="1"/>
  <c r="I75" i="79"/>
  <c r="I254" i="79"/>
  <c r="I241" i="79"/>
  <c r="H226" i="79"/>
  <c r="BC18" i="80"/>
  <c r="BC412" i="80" s="1"/>
  <c r="DO18" i="80"/>
  <c r="DO412" i="80" s="1"/>
  <c r="J256" i="80"/>
  <c r="J280" i="80"/>
  <c r="J241" i="79"/>
  <c r="J246" i="79"/>
  <c r="J107" i="80"/>
  <c r="J124" i="80"/>
  <c r="J249" i="80"/>
  <c r="J115" i="80"/>
  <c r="I22" i="80"/>
  <c r="I398" i="80" s="1"/>
  <c r="I252" i="80"/>
  <c r="I189" i="80"/>
  <c r="H280" i="80"/>
  <c r="H147" i="79"/>
  <c r="H107" i="79"/>
  <c r="H68" i="79"/>
  <c r="H255" i="80"/>
  <c r="H242" i="80"/>
  <c r="FL242" i="80" s="1"/>
  <c r="H231" i="80"/>
  <c r="H214" i="80"/>
  <c r="H180" i="79"/>
  <c r="J104" i="80"/>
  <c r="J277" i="80"/>
  <c r="J229" i="79"/>
  <c r="I295" i="79"/>
  <c r="FM295" i="79" s="1"/>
  <c r="I142" i="79"/>
  <c r="I132" i="80"/>
  <c r="I106" i="80"/>
  <c r="I67" i="79"/>
  <c r="I226" i="80"/>
  <c r="H182" i="80"/>
  <c r="G19" i="79"/>
  <c r="J180" i="79"/>
  <c r="FC18" i="79"/>
  <c r="FC412" i="79" s="1"/>
  <c r="W18" i="80"/>
  <c r="BS18" i="80"/>
  <c r="BS412" i="80" s="1"/>
  <c r="CQ18" i="80"/>
  <c r="CQ412" i="80" s="1"/>
  <c r="I142" i="80"/>
  <c r="I254" i="80"/>
  <c r="H109" i="80"/>
  <c r="I24" i="80"/>
  <c r="I400" i="80" s="1"/>
  <c r="J29" i="80"/>
  <c r="J30" i="80" s="1"/>
  <c r="J403" i="80" s="1"/>
  <c r="J214" i="80"/>
  <c r="J205" i="80"/>
  <c r="J193" i="80"/>
  <c r="I276" i="79"/>
  <c r="I139" i="80"/>
  <c r="I18" i="79"/>
  <c r="I412" i="79" s="1"/>
  <c r="I211" i="80"/>
  <c r="I199" i="80"/>
  <c r="I180" i="80"/>
  <c r="H295" i="80"/>
  <c r="DX295" i="80" s="1"/>
  <c r="H310" i="79"/>
  <c r="DH310" i="79" s="1"/>
  <c r="H153" i="80"/>
  <c r="H132" i="79"/>
  <c r="H106" i="80"/>
  <c r="H96" i="80"/>
  <c r="H75" i="80"/>
  <c r="H67" i="79"/>
  <c r="H24" i="80"/>
  <c r="H400" i="80" s="1"/>
  <c r="H254" i="80"/>
  <c r="H247" i="80"/>
  <c r="H241" i="80"/>
  <c r="H178" i="79"/>
  <c r="EF178" i="79" s="1"/>
  <c r="J90" i="80"/>
  <c r="J139" i="80"/>
  <c r="J112" i="80"/>
  <c r="J199" i="80"/>
  <c r="W18" i="79"/>
  <c r="W412" i="79" s="1"/>
  <c r="DG18" i="79"/>
  <c r="DG412" i="79" s="1"/>
  <c r="EM18" i="79"/>
  <c r="EM412" i="79" s="1"/>
  <c r="I24" i="79"/>
  <c r="I400" i="79" s="1"/>
  <c r="H139" i="79"/>
  <c r="DP139" i="79" s="1"/>
  <c r="AU18" i="80"/>
  <c r="AU412" i="80" s="1"/>
  <c r="I67" i="80"/>
  <c r="I247" i="80"/>
  <c r="J87" i="80"/>
  <c r="J103" i="79"/>
  <c r="J22" i="80"/>
  <c r="J398" i="80" s="1"/>
  <c r="J71" i="80"/>
  <c r="J151" i="80"/>
  <c r="J213" i="79"/>
  <c r="J33" i="80"/>
  <c r="J404" i="80" s="1"/>
  <c r="I305" i="80"/>
  <c r="I270" i="79"/>
  <c r="I126" i="79"/>
  <c r="I120" i="79"/>
  <c r="I69" i="79"/>
  <c r="I29" i="80"/>
  <c r="I30" i="80" s="1"/>
  <c r="I403" i="80" s="1"/>
  <c r="I249" i="80"/>
  <c r="I210" i="80"/>
  <c r="I195" i="79"/>
  <c r="I187" i="80"/>
  <c r="I178" i="80"/>
  <c r="H294" i="80"/>
  <c r="H309" i="79"/>
  <c r="H278" i="80"/>
  <c r="AV278" i="80" s="1"/>
  <c r="H141" i="80"/>
  <c r="H151" i="79"/>
  <c r="H130" i="79"/>
  <c r="H123" i="80"/>
  <c r="H114" i="79"/>
  <c r="H104" i="80"/>
  <c r="H92" i="79"/>
  <c r="H72" i="79"/>
  <c r="H66" i="80"/>
  <c r="H23" i="80"/>
  <c r="H399" i="80" s="1"/>
  <c r="H211" i="79"/>
  <c r="H199" i="80"/>
  <c r="H185" i="80"/>
  <c r="H177" i="79"/>
  <c r="L116" i="70"/>
  <c r="F116" i="70"/>
  <c r="W128" i="70"/>
  <c r="Y115" i="70"/>
  <c r="G110" i="70"/>
  <c r="V108" i="80" s="1"/>
  <c r="W108" i="80" s="1"/>
  <c r="N113" i="70"/>
  <c r="BZ274" i="80" s="1"/>
  <c r="CA274" i="80" s="1"/>
  <c r="N115" i="70"/>
  <c r="P113" i="70"/>
  <c r="CP274" i="80" s="1"/>
  <c r="CQ274" i="80" s="1"/>
  <c r="Q110" i="70"/>
  <c r="CX108" i="80" s="1"/>
  <c r="CY108" i="80" s="1"/>
  <c r="Q115" i="70"/>
  <c r="K113" i="70"/>
  <c r="BB274" i="80" s="1"/>
  <c r="BC274" i="80" s="1"/>
  <c r="I113" i="70"/>
  <c r="AL274" i="80" s="1"/>
  <c r="AM274" i="80" s="1"/>
  <c r="K108" i="70"/>
  <c r="BB103" i="80" s="1"/>
  <c r="BC103" i="80" s="1"/>
  <c r="I108" i="70"/>
  <c r="AL103" i="80" s="1"/>
  <c r="AM103" i="80" s="1"/>
  <c r="J128" i="70"/>
  <c r="S113" i="70"/>
  <c r="DN274" i="80" s="1"/>
  <c r="DO274" i="80" s="1"/>
  <c r="T110" i="70"/>
  <c r="DV108" i="80" s="1"/>
  <c r="DW108" i="80" s="1"/>
  <c r="V113" i="70"/>
  <c r="EL274" i="80" s="1"/>
  <c r="EM274" i="80" s="1"/>
  <c r="W108" i="70"/>
  <c r="ET103" i="80" s="1"/>
  <c r="EU103" i="80" s="1"/>
  <c r="X113" i="70"/>
  <c r="FB274" i="80" s="1"/>
  <c r="FC274" i="80" s="1"/>
  <c r="Y108" i="70"/>
  <c r="FJ103" i="80" s="1"/>
  <c r="FK103" i="80" s="1"/>
  <c r="I110" i="70"/>
  <c r="AL108" i="80" s="1"/>
  <c r="AM108" i="80" s="1"/>
  <c r="I115" i="70"/>
  <c r="L113" i="70"/>
  <c r="BJ274" i="80" s="1"/>
  <c r="BK274" i="80" s="1"/>
  <c r="H113" i="70"/>
  <c r="AD274" i="80" s="1"/>
  <c r="AE274" i="80" s="1"/>
  <c r="F113" i="70"/>
  <c r="N274" i="80" s="1"/>
  <c r="O274" i="80" s="1"/>
  <c r="L108" i="70"/>
  <c r="BJ103" i="80" s="1"/>
  <c r="BK103" i="80" s="1"/>
  <c r="R120" i="70"/>
  <c r="DF493" i="80" s="1"/>
  <c r="DG493" i="80" s="1"/>
  <c r="K128" i="70"/>
  <c r="O128" i="70"/>
  <c r="Q111" i="70"/>
  <c r="CX223" i="80" s="1"/>
  <c r="CY223" i="80" s="1"/>
  <c r="R126" i="70"/>
  <c r="T111" i="70"/>
  <c r="DV223" i="80" s="1"/>
  <c r="DW223" i="80" s="1"/>
  <c r="Y127" i="70"/>
  <c r="J111" i="70"/>
  <c r="AT223" i="80" s="1"/>
  <c r="AU223" i="80" s="1"/>
  <c r="G126" i="70"/>
  <c r="FJ178" i="80"/>
  <c r="FK178" i="80" s="1"/>
  <c r="U126" i="70"/>
  <c r="H116" i="70"/>
  <c r="T125" i="70"/>
  <c r="M127" i="70"/>
  <c r="N117" i="70"/>
  <c r="O110" i="70"/>
  <c r="CH108" i="80" s="1"/>
  <c r="CI108" i="80" s="1"/>
  <c r="O115" i="70"/>
  <c r="Q117" i="70"/>
  <c r="R110" i="70"/>
  <c r="DF108" i="80" s="1"/>
  <c r="DG108" i="80" s="1"/>
  <c r="T113" i="70"/>
  <c r="DV274" i="80" s="1"/>
  <c r="DW274" i="80" s="1"/>
  <c r="T117" i="70"/>
  <c r="H108" i="70"/>
  <c r="AD103" i="80" s="1"/>
  <c r="AE103" i="80" s="1"/>
  <c r="Y120" i="70"/>
  <c r="FJ493" i="80" s="1"/>
  <c r="FK493" i="80" s="1"/>
  <c r="M115" i="70"/>
  <c r="K117" i="70"/>
  <c r="N121" i="70"/>
  <c r="BZ475" i="80" s="1"/>
  <c r="Q120" i="70"/>
  <c r="CX493" i="80" s="1"/>
  <c r="CY493" i="80" s="1"/>
  <c r="T127" i="70"/>
  <c r="W121" i="70"/>
  <c r="ET475" i="80" s="1"/>
  <c r="F127" i="70"/>
  <c r="M122" i="70"/>
  <c r="BR470" i="80" s="1"/>
  <c r="BS470" i="80" s="1"/>
  <c r="L115" i="70"/>
  <c r="P108" i="70"/>
  <c r="CP103" i="80" s="1"/>
  <c r="CQ103" i="80" s="1"/>
  <c r="R124" i="70"/>
  <c r="DF474" i="80" s="1"/>
  <c r="Y124" i="70"/>
  <c r="FJ474" i="80" s="1"/>
  <c r="S115" i="70"/>
  <c r="M125" i="70"/>
  <c r="P116" i="70"/>
  <c r="I117" i="70"/>
  <c r="L117" i="70"/>
  <c r="N185" i="80"/>
  <c r="O185" i="80" s="1"/>
  <c r="O120" i="70"/>
  <c r="CH493" i="80" s="1"/>
  <c r="CI493" i="80" s="1"/>
  <c r="R127" i="70"/>
  <c r="T109" i="70"/>
  <c r="DV105" i="80" s="1"/>
  <c r="DW105" i="80" s="1"/>
  <c r="K120" i="70"/>
  <c r="BB493" i="80" s="1"/>
  <c r="BC493" i="80" s="1"/>
  <c r="G120" i="70"/>
  <c r="V493" i="80" s="1"/>
  <c r="W493" i="80" s="1"/>
  <c r="U121" i="70"/>
  <c r="ED475" i="80" s="1"/>
  <c r="AL177" i="80"/>
  <c r="AM177" i="80" s="1"/>
  <c r="P117" i="70"/>
  <c r="H128" i="70"/>
  <c r="J115" i="70"/>
  <c r="I116" i="70"/>
  <c r="V117" i="70"/>
  <c r="AT246" i="80"/>
  <c r="AU246" i="80" s="1"/>
  <c r="O121" i="70"/>
  <c r="CH475" i="80" s="1"/>
  <c r="R121" i="70"/>
  <c r="DF475" i="80" s="1"/>
  <c r="J121" i="70"/>
  <c r="AT475" i="80" s="1"/>
  <c r="L124" i="70"/>
  <c r="BJ474" i="80" s="1"/>
  <c r="I123" i="70"/>
  <c r="AL473" i="80" s="1"/>
  <c r="G128" i="70"/>
  <c r="G121" i="70"/>
  <c r="V475" i="80" s="1"/>
  <c r="BJ178" i="80"/>
  <c r="BK178" i="80" s="1"/>
  <c r="CH178" i="80"/>
  <c r="CI178" i="80" s="1"/>
  <c r="CX189" i="80"/>
  <c r="CY189" i="80" s="1"/>
  <c r="G116" i="70"/>
  <c r="Q124" i="70"/>
  <c r="CX474" i="80" s="1"/>
  <c r="T124" i="70"/>
  <c r="DV474" i="80" s="1"/>
  <c r="W120" i="70"/>
  <c r="ET493" i="80" s="1"/>
  <c r="EU493" i="80" s="1"/>
  <c r="H109" i="70"/>
  <c r="AD105" i="80" s="1"/>
  <c r="AE105" i="80" s="1"/>
  <c r="K111" i="70"/>
  <c r="BB223" i="80" s="1"/>
  <c r="BC223" i="80" s="1"/>
  <c r="M126" i="70"/>
  <c r="K116" i="70"/>
  <c r="M117" i="70"/>
  <c r="X117" i="70"/>
  <c r="U115" i="70"/>
  <c r="F117" i="70"/>
  <c r="K127" i="70"/>
  <c r="I128" i="70"/>
  <c r="S128" i="70"/>
  <c r="DV189" i="80"/>
  <c r="DW189" i="80" s="1"/>
  <c r="O127" i="70"/>
  <c r="Q122" i="70"/>
  <c r="CX470" i="80" s="1"/>
  <c r="CY470" i="80" s="1"/>
  <c r="R128" i="70"/>
  <c r="R111" i="70"/>
  <c r="DF223" i="80" s="1"/>
  <c r="DG223" i="80" s="1"/>
  <c r="S108" i="70"/>
  <c r="DN103" i="80" s="1"/>
  <c r="DO103" i="80" s="1"/>
  <c r="S116" i="70"/>
  <c r="T126" i="70"/>
  <c r="T122" i="70"/>
  <c r="DV470" i="80" s="1"/>
  <c r="DW470" i="80" s="1"/>
  <c r="U120" i="70"/>
  <c r="ED493" i="80" s="1"/>
  <c r="EE493" i="80" s="1"/>
  <c r="U113" i="70"/>
  <c r="ED274" i="80" s="1"/>
  <c r="EE274" i="80" s="1"/>
  <c r="V108" i="70"/>
  <c r="EL103" i="80" s="1"/>
  <c r="EM103" i="80" s="1"/>
  <c r="V123" i="70"/>
  <c r="EL473" i="80" s="1"/>
  <c r="W113" i="70"/>
  <c r="ET274" i="80" s="1"/>
  <c r="EU274" i="80" s="1"/>
  <c r="W111" i="70"/>
  <c r="ET223" i="80" s="1"/>
  <c r="EU223" i="80" s="1"/>
  <c r="W124" i="70"/>
  <c r="ET474" i="80" s="1"/>
  <c r="X110" i="70"/>
  <c r="FB108" i="80" s="1"/>
  <c r="FC108" i="80" s="1"/>
  <c r="X108" i="70"/>
  <c r="FB103" i="80" s="1"/>
  <c r="FC103" i="80" s="1"/>
  <c r="X121" i="70"/>
  <c r="FB475" i="80" s="1"/>
  <c r="X116" i="70"/>
  <c r="Y113" i="70"/>
  <c r="FJ274" i="80" s="1"/>
  <c r="FK274" i="80" s="1"/>
  <c r="I127" i="70"/>
  <c r="L110" i="70"/>
  <c r="BJ108" i="80" s="1"/>
  <c r="BK108" i="80" s="1"/>
  <c r="H110" i="70"/>
  <c r="AD108" i="80" s="1"/>
  <c r="AE108" i="80" s="1"/>
  <c r="J122" i="70"/>
  <c r="AT470" i="80" s="1"/>
  <c r="AU470" i="80" s="1"/>
  <c r="M113" i="70"/>
  <c r="BR274" i="80" s="1"/>
  <c r="BS274" i="80" s="1"/>
  <c r="M111" i="70"/>
  <c r="BR223" i="80" s="1"/>
  <c r="BS223" i="80" s="1"/>
  <c r="J117" i="70"/>
  <c r="F115" i="70"/>
  <c r="L121" i="70"/>
  <c r="BJ475" i="80" s="1"/>
  <c r="F126" i="70"/>
  <c r="K124" i="70"/>
  <c r="BB474" i="80" s="1"/>
  <c r="L123" i="70"/>
  <c r="BJ473" i="80" s="1"/>
  <c r="F123" i="70"/>
  <c r="N473" i="80" s="1"/>
  <c r="J123" i="70"/>
  <c r="AT473" i="80" s="1"/>
  <c r="BZ177" i="80"/>
  <c r="CA177" i="80" s="1"/>
  <c r="CX177" i="80"/>
  <c r="CY177" i="80" s="1"/>
  <c r="M128" i="70"/>
  <c r="O126" i="70"/>
  <c r="W127" i="70"/>
  <c r="Y128" i="70"/>
  <c r="T120" i="70"/>
  <c r="DV493" i="80" s="1"/>
  <c r="DW493" i="80" s="1"/>
  <c r="T115" i="70"/>
  <c r="J116" i="70"/>
  <c r="W117" i="70"/>
  <c r="F128" i="70"/>
  <c r="U128" i="70"/>
  <c r="N177" i="80"/>
  <c r="O177" i="80" s="1"/>
  <c r="I120" i="70"/>
  <c r="AL493" i="80" s="1"/>
  <c r="AM493" i="80" s="1"/>
  <c r="BJ185" i="80"/>
  <c r="BK185" i="80" s="1"/>
  <c r="M121" i="70"/>
  <c r="BR475" i="80" s="1"/>
  <c r="N120" i="70"/>
  <c r="BZ493" i="80" s="1"/>
  <c r="CA493" i="80" s="1"/>
  <c r="P109" i="70"/>
  <c r="CP105" i="80" s="1"/>
  <c r="CQ105" i="80" s="1"/>
  <c r="P128" i="70"/>
  <c r="Q127" i="70"/>
  <c r="Q108" i="70"/>
  <c r="CX103" i="80" s="1"/>
  <c r="CY103" i="80" s="1"/>
  <c r="Q116" i="70"/>
  <c r="S109" i="70"/>
  <c r="DN105" i="80" s="1"/>
  <c r="DO105" i="80" s="1"/>
  <c r="T108" i="70"/>
  <c r="DV103" i="80" s="1"/>
  <c r="DW103" i="80" s="1"/>
  <c r="T116" i="70"/>
  <c r="V109" i="70"/>
  <c r="EL105" i="80" s="1"/>
  <c r="EM105" i="80" s="1"/>
  <c r="V128" i="70"/>
  <c r="X109" i="70"/>
  <c r="FB105" i="80" s="1"/>
  <c r="FC105" i="80" s="1"/>
  <c r="Y121" i="70"/>
  <c r="FJ475" i="80" s="1"/>
  <c r="L120" i="70"/>
  <c r="BJ493" i="80" s="1"/>
  <c r="BK493" i="80" s="1"/>
  <c r="H120" i="70"/>
  <c r="AD493" i="80" s="1"/>
  <c r="AE493" i="80" s="1"/>
  <c r="F120" i="70"/>
  <c r="N493" i="80" s="1"/>
  <c r="O493" i="80" s="1"/>
  <c r="M110" i="70"/>
  <c r="BR108" i="80" s="1"/>
  <c r="BS108" i="80" s="1"/>
  <c r="J110" i="70"/>
  <c r="AT108" i="80" s="1"/>
  <c r="AU108" i="80" s="1"/>
  <c r="J109" i="70"/>
  <c r="AT105" i="80" s="1"/>
  <c r="AU105" i="80" s="1"/>
  <c r="F109" i="70"/>
  <c r="N105" i="80" s="1"/>
  <c r="O105" i="80" s="1"/>
  <c r="Y117" i="70"/>
  <c r="J126" i="70"/>
  <c r="S117" i="70"/>
  <c r="L125" i="70"/>
  <c r="U127" i="70"/>
  <c r="W126" i="70"/>
  <c r="N109" i="70"/>
  <c r="BZ105" i="80" s="1"/>
  <c r="CA105" i="80" s="1"/>
  <c r="N123" i="70"/>
  <c r="BZ473" i="80" s="1"/>
  <c r="N122" i="70"/>
  <c r="BZ470" i="80" s="1"/>
  <c r="CA470" i="80" s="1"/>
  <c r="O113" i="70"/>
  <c r="CH274" i="80" s="1"/>
  <c r="CI274" i="80" s="1"/>
  <c r="O109" i="70"/>
  <c r="CH105" i="80" s="1"/>
  <c r="CI105" i="80" s="1"/>
  <c r="O111" i="70"/>
  <c r="CH223" i="80" s="1"/>
  <c r="CI223" i="80" s="1"/>
  <c r="O125" i="70"/>
  <c r="O123" i="70"/>
  <c r="CH473" i="80" s="1"/>
  <c r="O122" i="70"/>
  <c r="CH470" i="80" s="1"/>
  <c r="CI470" i="80" s="1"/>
  <c r="O117" i="70"/>
  <c r="P120" i="70"/>
  <c r="CP493" i="80" s="1"/>
  <c r="CQ493" i="80" s="1"/>
  <c r="P110" i="70"/>
  <c r="CP108" i="80" s="1"/>
  <c r="CQ108" i="80" s="1"/>
  <c r="P111" i="70"/>
  <c r="CP223" i="80" s="1"/>
  <c r="CQ223" i="80" s="1"/>
  <c r="P126" i="70"/>
  <c r="P124" i="70"/>
  <c r="CP474" i="80" s="1"/>
  <c r="P123" i="70"/>
  <c r="CP473" i="80" s="1"/>
  <c r="P122" i="70"/>
  <c r="CP470" i="80" s="1"/>
  <c r="CQ470" i="80" s="1"/>
  <c r="P115" i="70"/>
  <c r="Q109" i="70"/>
  <c r="CX105" i="80" s="1"/>
  <c r="CY105" i="80" s="1"/>
  <c r="Q126" i="70"/>
  <c r="Q125" i="70"/>
  <c r="Q123" i="70"/>
  <c r="CX473" i="80" s="1"/>
  <c r="R113" i="70"/>
  <c r="DF274" i="80" s="1"/>
  <c r="DG274" i="80" s="1"/>
  <c r="R109" i="70"/>
  <c r="DF105" i="80" s="1"/>
  <c r="DG105" i="80" s="1"/>
  <c r="R125" i="70"/>
  <c r="R123" i="70"/>
  <c r="DF473" i="80" s="1"/>
  <c r="R122" i="70"/>
  <c r="DF470" i="80" s="1"/>
  <c r="DG470" i="80" s="1"/>
  <c r="S120" i="70"/>
  <c r="DN493" i="80" s="1"/>
  <c r="DO493" i="80" s="1"/>
  <c r="S110" i="70"/>
  <c r="DN108" i="80" s="1"/>
  <c r="DO108" i="80" s="1"/>
  <c r="S111" i="70"/>
  <c r="DN223" i="80" s="1"/>
  <c r="DO223" i="80" s="1"/>
  <c r="S121" i="70"/>
  <c r="DN475" i="80" s="1"/>
  <c r="S124" i="70"/>
  <c r="DN474" i="80" s="1"/>
  <c r="S123" i="70"/>
  <c r="DN473" i="80" s="1"/>
  <c r="S122" i="70"/>
  <c r="DN470" i="80" s="1"/>
  <c r="DO470" i="80" s="1"/>
  <c r="T121" i="70"/>
  <c r="DV475" i="80" s="1"/>
  <c r="T123" i="70"/>
  <c r="DV473" i="80" s="1"/>
  <c r="U109" i="70"/>
  <c r="ED105" i="80" s="1"/>
  <c r="EE105" i="80" s="1"/>
  <c r="U111" i="70"/>
  <c r="ED223" i="80" s="1"/>
  <c r="EE223" i="80" s="1"/>
  <c r="U124" i="70"/>
  <c r="ED474" i="80" s="1"/>
  <c r="U123" i="70"/>
  <c r="ED473" i="80" s="1"/>
  <c r="U122" i="70"/>
  <c r="ED470" i="80" s="1"/>
  <c r="EE470" i="80" s="1"/>
  <c r="U117" i="70"/>
  <c r="V120" i="70"/>
  <c r="EL493" i="80" s="1"/>
  <c r="EM493" i="80" s="1"/>
  <c r="V110" i="70"/>
  <c r="EL108" i="80" s="1"/>
  <c r="EM108" i="80" s="1"/>
  <c r="V111" i="70"/>
  <c r="EL223" i="80" s="1"/>
  <c r="EM223" i="80" s="1"/>
  <c r="V121" i="70"/>
  <c r="EL475" i="80" s="1"/>
  <c r="V124" i="70"/>
  <c r="EL474" i="80" s="1"/>
  <c r="V122" i="70"/>
  <c r="EL470" i="80" s="1"/>
  <c r="EM470" i="80" s="1"/>
  <c r="W109" i="70"/>
  <c r="ET105" i="80" s="1"/>
  <c r="EU105" i="80" s="1"/>
  <c r="W125" i="70"/>
  <c r="W122" i="70"/>
  <c r="ET470" i="80" s="1"/>
  <c r="EU470" i="80" s="1"/>
  <c r="X120" i="70"/>
  <c r="FB493" i="80" s="1"/>
  <c r="FC493" i="80" s="1"/>
  <c r="X111" i="70"/>
  <c r="FB223" i="80" s="1"/>
  <c r="FC223" i="80" s="1"/>
  <c r="X126" i="70"/>
  <c r="X125" i="70"/>
  <c r="X123" i="70"/>
  <c r="FB473" i="80" s="1"/>
  <c r="X122" i="70"/>
  <c r="FB470" i="80" s="1"/>
  <c r="FC470" i="80" s="1"/>
  <c r="Y109" i="70"/>
  <c r="FJ105" i="80" s="1"/>
  <c r="FK105" i="80" s="1"/>
  <c r="Y111" i="70"/>
  <c r="FJ223" i="80" s="1"/>
  <c r="FK223" i="80" s="1"/>
  <c r="Y123" i="70"/>
  <c r="FJ473" i="80" s="1"/>
  <c r="Y122" i="70"/>
  <c r="FJ470" i="80" s="1"/>
  <c r="FK470" i="80" s="1"/>
  <c r="M120" i="70"/>
  <c r="BR493" i="80" s="1"/>
  <c r="BS493" i="80" s="1"/>
  <c r="J120" i="70"/>
  <c r="AT493" i="80" s="1"/>
  <c r="AU493" i="80" s="1"/>
  <c r="G127" i="70"/>
  <c r="G109" i="70"/>
  <c r="V105" i="80" s="1"/>
  <c r="W105" i="80" s="1"/>
  <c r="I109" i="70"/>
  <c r="AL105" i="80" s="1"/>
  <c r="AM105" i="80" s="1"/>
  <c r="M109" i="70"/>
  <c r="BR105" i="80" s="1"/>
  <c r="BS105" i="80" s="1"/>
  <c r="L109" i="70"/>
  <c r="BJ105" i="80" s="1"/>
  <c r="BK105" i="80" s="1"/>
  <c r="K109" i="70"/>
  <c r="BB105" i="80" s="1"/>
  <c r="BC105" i="80" s="1"/>
  <c r="L122" i="70"/>
  <c r="BJ470" i="80" s="1"/>
  <c r="BK470" i="80" s="1"/>
  <c r="K122" i="70"/>
  <c r="BB470" i="80" s="1"/>
  <c r="BC470" i="80" s="1"/>
  <c r="H122" i="70"/>
  <c r="AD470" i="80" s="1"/>
  <c r="AE470" i="80" s="1"/>
  <c r="I122" i="70"/>
  <c r="AL470" i="80" s="1"/>
  <c r="AM470" i="80" s="1"/>
  <c r="F122" i="70"/>
  <c r="N470" i="80" s="1"/>
  <c r="O470" i="80" s="1"/>
  <c r="J113" i="70"/>
  <c r="AT274" i="80" s="1"/>
  <c r="AU274" i="80" s="1"/>
  <c r="G113" i="70"/>
  <c r="V274" i="80" s="1"/>
  <c r="W274" i="80" s="1"/>
  <c r="L111" i="70"/>
  <c r="BJ223" i="80" s="1"/>
  <c r="BK223" i="80" s="1"/>
  <c r="H111" i="70"/>
  <c r="AD223" i="80" s="1"/>
  <c r="AE223" i="80" s="1"/>
  <c r="I111" i="70"/>
  <c r="AL223" i="80" s="1"/>
  <c r="AM223" i="80" s="1"/>
  <c r="G111" i="70"/>
  <c r="V223" i="80" s="1"/>
  <c r="W223" i="80" s="1"/>
  <c r="F111" i="70"/>
  <c r="N223" i="80" s="1"/>
  <c r="O223" i="80" s="1"/>
  <c r="M108" i="70"/>
  <c r="BR103" i="80" s="1"/>
  <c r="BS103" i="80" s="1"/>
  <c r="J108" i="70"/>
  <c r="AT103" i="80" s="1"/>
  <c r="AU103" i="80" s="1"/>
  <c r="G108" i="70"/>
  <c r="V103" i="80" s="1"/>
  <c r="W103" i="80" s="1"/>
  <c r="L126" i="70"/>
  <c r="K126" i="70"/>
  <c r="H121" i="70"/>
  <c r="AD475" i="80" s="1"/>
  <c r="I121" i="70"/>
  <c r="AL475" i="80" s="1"/>
  <c r="F121" i="70"/>
  <c r="N475" i="80" s="1"/>
  <c r="M124" i="70"/>
  <c r="BR474" i="80" s="1"/>
  <c r="K125" i="70"/>
  <c r="J124" i="70"/>
  <c r="AT474" i="80" s="1"/>
  <c r="M123" i="70"/>
  <c r="BR473" i="80" s="1"/>
  <c r="G123" i="70"/>
  <c r="V473" i="80" s="1"/>
  <c r="H123" i="70"/>
  <c r="AD473" i="80" s="1"/>
  <c r="K123" i="70"/>
  <c r="BB473" i="80" s="1"/>
  <c r="G122" i="70"/>
  <c r="V470" i="80" s="1"/>
  <c r="W470" i="80" s="1"/>
  <c r="X115" i="70"/>
  <c r="S125" i="70"/>
  <c r="Y125" i="70"/>
  <c r="S126" i="70"/>
  <c r="Y126" i="70"/>
  <c r="L127" i="70"/>
  <c r="S127" i="70"/>
  <c r="L128" i="70"/>
  <c r="X128" i="70"/>
  <c r="H127" i="70"/>
  <c r="V185" i="80"/>
  <c r="W185" i="80" s="1"/>
  <c r="K121" i="70"/>
  <c r="BB475" i="80" s="1"/>
  <c r="M116" i="70"/>
  <c r="U125" i="70"/>
  <c r="AD184" i="80"/>
  <c r="AE184" i="80" s="1"/>
  <c r="CH189" i="80"/>
  <c r="CI189" i="80" s="1"/>
  <c r="O124" i="70"/>
  <c r="CH474" i="80" s="1"/>
  <c r="P121" i="70"/>
  <c r="CP475" i="80" s="1"/>
  <c r="EL246" i="80"/>
  <c r="EM246" i="80" s="1"/>
  <c r="G115" i="70"/>
  <c r="R117" i="70"/>
  <c r="N116" i="70"/>
  <c r="P125" i="70"/>
  <c r="V125" i="70"/>
  <c r="I126" i="70"/>
  <c r="V126" i="70"/>
  <c r="P127" i="70"/>
  <c r="V127" i="70"/>
  <c r="CP178" i="80"/>
  <c r="CQ178" i="80" s="1"/>
  <c r="Q121" i="70"/>
  <c r="CX475" i="80" s="1"/>
  <c r="X124" i="70"/>
  <c r="FB474" i="80" s="1"/>
  <c r="J125" i="70"/>
  <c r="J127" i="70"/>
  <c r="CP246" i="80"/>
  <c r="CQ246" i="80" s="1"/>
  <c r="ED189" i="80"/>
  <c r="EE189" i="80" s="1"/>
  <c r="W123" i="70"/>
  <c r="ET473" i="80" s="1"/>
  <c r="V115" i="70"/>
  <c r="H117" i="70"/>
  <c r="K115" i="70"/>
  <c r="V116" i="70"/>
  <c r="X127" i="70"/>
  <c r="H126" i="70"/>
  <c r="BC313" i="79"/>
  <c r="Y245" i="79"/>
  <c r="Z245" i="79" s="1"/>
  <c r="N111" i="70"/>
  <c r="BZ223" i="80" s="1"/>
  <c r="CA223" i="80" s="1"/>
  <c r="N124" i="70"/>
  <c r="BZ474" i="80" s="1"/>
  <c r="FJ311" i="80"/>
  <c r="FK311" i="80" s="1"/>
  <c r="BZ29" i="80"/>
  <c r="CA29" i="80" s="1"/>
  <c r="CX29" i="80"/>
  <c r="CY29" i="80" s="1"/>
  <c r="DV29" i="80"/>
  <c r="DW29" i="80" s="1"/>
  <c r="DW30" i="80" s="1"/>
  <c r="DW403" i="80" s="1"/>
  <c r="AD180" i="80"/>
  <c r="AE180" i="80" s="1"/>
  <c r="BJ311" i="80"/>
  <c r="BK311" i="80" s="1"/>
  <c r="BZ245" i="80"/>
  <c r="CA245" i="80" s="1"/>
  <c r="CB245" i="80" s="1"/>
  <c r="BZ201" i="80"/>
  <c r="CA201" i="80" s="1"/>
  <c r="FB311" i="80"/>
  <c r="FC311" i="80" s="1"/>
  <c r="N125" i="70"/>
  <c r="N311" i="80"/>
  <c r="O311" i="80" s="1"/>
  <c r="N126" i="70"/>
  <c r="N110" i="70"/>
  <c r="BZ108" i="80" s="1"/>
  <c r="CA108" i="80" s="1"/>
  <c r="N108" i="70"/>
  <c r="BZ103" i="80" s="1"/>
  <c r="CA103" i="80" s="1"/>
  <c r="N127" i="70"/>
  <c r="AL176" i="80"/>
  <c r="AM176" i="80" s="1"/>
  <c r="ET29" i="80"/>
  <c r="EU29" i="80" s="1"/>
  <c r="CP29" i="80"/>
  <c r="CQ29" i="80" s="1"/>
  <c r="CH29" i="80"/>
  <c r="CI29" i="80" s="1"/>
  <c r="FL305" i="80"/>
  <c r="EO305" i="80"/>
  <c r="O280" i="79"/>
  <c r="W280" i="79"/>
  <c r="CA280" i="79"/>
  <c r="CI280" i="79"/>
  <c r="DW280" i="79"/>
  <c r="EU280" i="79"/>
  <c r="EE280" i="80"/>
  <c r="FK280" i="80"/>
  <c r="AU280" i="79"/>
  <c r="CQ280" i="79"/>
  <c r="FC280" i="79"/>
  <c r="BS280" i="80"/>
  <c r="CQ280" i="80"/>
  <c r="CY280" i="80"/>
  <c r="DW280" i="80"/>
  <c r="G281" i="80"/>
  <c r="G283" i="80" s="1"/>
  <c r="G328" i="80" s="1"/>
  <c r="AM280" i="79"/>
  <c r="BC280" i="79"/>
  <c r="BK280" i="79"/>
  <c r="DG280" i="79"/>
  <c r="EE280" i="79"/>
  <c r="EM280" i="79"/>
  <c r="K277" i="79"/>
  <c r="AE280" i="80"/>
  <c r="CA280" i="80"/>
  <c r="DG280" i="80"/>
  <c r="EU280" i="80"/>
  <c r="K279" i="80"/>
  <c r="G281" i="79"/>
  <c r="BS280" i="79"/>
  <c r="DO280" i="79"/>
  <c r="W280" i="80"/>
  <c r="AU280" i="80"/>
  <c r="BC280" i="80"/>
  <c r="CI280" i="80"/>
  <c r="F72" i="37"/>
  <c r="F73" i="37" s="1"/>
  <c r="BC470" i="79"/>
  <c r="CY470" i="79"/>
  <c r="EU470" i="79"/>
  <c r="AU470" i="79"/>
  <c r="O478" i="80"/>
  <c r="AE478" i="80"/>
  <c r="BK478" i="80"/>
  <c r="EM478" i="80"/>
  <c r="BS470" i="79"/>
  <c r="DO470" i="79"/>
  <c r="E71" i="37"/>
  <c r="W470" i="79"/>
  <c r="AM478" i="80"/>
  <c r="CA470" i="79"/>
  <c r="DW470" i="79"/>
  <c r="AU478" i="80"/>
  <c r="BS478" i="80"/>
  <c r="CI478" i="80"/>
  <c r="FC478" i="80"/>
  <c r="G483" i="80"/>
  <c r="DW478" i="80"/>
  <c r="EU478" i="80"/>
  <c r="O470" i="79"/>
  <c r="CI470" i="79"/>
  <c r="EE470" i="79"/>
  <c r="W478" i="80"/>
  <c r="CA478" i="80"/>
  <c r="CQ478" i="80"/>
  <c r="CY478" i="80"/>
  <c r="DO478" i="80"/>
  <c r="EE478" i="80"/>
  <c r="FC246" i="79"/>
  <c r="FK248" i="79"/>
  <c r="DH247" i="79"/>
  <c r="FK249" i="79"/>
  <c r="G235" i="79"/>
  <c r="J229" i="80"/>
  <c r="W222" i="79"/>
  <c r="AM222" i="79"/>
  <c r="BK222" i="79"/>
  <c r="CQ222" i="79"/>
  <c r="CY222" i="79"/>
  <c r="DW222" i="79"/>
  <c r="I226" i="79"/>
  <c r="BK225" i="80"/>
  <c r="BS225" i="80"/>
  <c r="DG228" i="80"/>
  <c r="DO228" i="80"/>
  <c r="EE225" i="80"/>
  <c r="EM225" i="80"/>
  <c r="BC222" i="79"/>
  <c r="DG222" i="79"/>
  <c r="O228" i="80"/>
  <c r="CA228" i="80"/>
  <c r="CI225" i="80"/>
  <c r="CQ228" i="80"/>
  <c r="CY228" i="80"/>
  <c r="DO222" i="79"/>
  <c r="EM222" i="79"/>
  <c r="W225" i="80"/>
  <c r="AE225" i="80"/>
  <c r="AM225" i="80"/>
  <c r="AU225" i="80"/>
  <c r="BK228" i="80"/>
  <c r="DG225" i="80"/>
  <c r="DW228" i="80"/>
  <c r="EE228" i="80"/>
  <c r="EU225" i="80"/>
  <c r="AE222" i="79"/>
  <c r="BS222" i="79"/>
  <c r="AM228" i="80"/>
  <c r="AU228" i="80"/>
  <c r="BC225" i="80"/>
  <c r="CI228" i="80"/>
  <c r="CA222" i="79"/>
  <c r="W228" i="80"/>
  <c r="AE228" i="80"/>
  <c r="BC228" i="80"/>
  <c r="CA225" i="80"/>
  <c r="CQ225" i="80"/>
  <c r="DO225" i="80"/>
  <c r="O211" i="79"/>
  <c r="BK211" i="79"/>
  <c r="BS211" i="79"/>
  <c r="CI211" i="79"/>
  <c r="CY213" i="79"/>
  <c r="DG211" i="79"/>
  <c r="DW213" i="79"/>
  <c r="EU213" i="79"/>
  <c r="FC213" i="79"/>
  <c r="BK212" i="80"/>
  <c r="CJ211" i="80"/>
  <c r="DG212" i="80"/>
  <c r="EE213" i="80"/>
  <c r="AU213" i="79"/>
  <c r="CY211" i="79"/>
  <c r="DO213" i="79"/>
  <c r="DW211" i="79"/>
  <c r="EU211" i="79"/>
  <c r="FC211" i="79"/>
  <c r="O212" i="80"/>
  <c r="AE212" i="80"/>
  <c r="BS213" i="80"/>
  <c r="DW213" i="80"/>
  <c r="EU212" i="80"/>
  <c r="CQ211" i="79"/>
  <c r="EE213" i="79"/>
  <c r="EM213" i="79"/>
  <c r="W211" i="79"/>
  <c r="AM211" i="79"/>
  <c r="CA211" i="79"/>
  <c r="EE211" i="79"/>
  <c r="EM211" i="79"/>
  <c r="BC213" i="80"/>
  <c r="BS212" i="80"/>
  <c r="CA213" i="80"/>
  <c r="DW212" i="80"/>
  <c r="EM213" i="80"/>
  <c r="CA213" i="79"/>
  <c r="EE212" i="80"/>
  <c r="G215" i="79"/>
  <c r="O213" i="79"/>
  <c r="AU211" i="79"/>
  <c r="BK213" i="79"/>
  <c r="BS213" i="79"/>
  <c r="CI213" i="79"/>
  <c r="DG213" i="79"/>
  <c r="DO211" i="79"/>
  <c r="W213" i="80"/>
  <c r="AM213" i="80"/>
  <c r="AU213" i="80"/>
  <c r="BC212" i="80"/>
  <c r="CA212" i="80"/>
  <c r="CI213" i="80"/>
  <c r="CQ213" i="80"/>
  <c r="CY213" i="80"/>
  <c r="DO213" i="80"/>
  <c r="EM212" i="80"/>
  <c r="FC213" i="80"/>
  <c r="BC206" i="79"/>
  <c r="CQ206" i="79"/>
  <c r="CI205" i="80"/>
  <c r="CY205" i="80"/>
  <c r="DO205" i="80"/>
  <c r="DW206" i="80"/>
  <c r="EM205" i="80"/>
  <c r="FC205" i="80"/>
  <c r="AE206" i="79"/>
  <c r="AE207" i="79" s="1"/>
  <c r="BS206" i="79"/>
  <c r="CA206" i="79"/>
  <c r="CI206" i="79"/>
  <c r="CY206" i="79"/>
  <c r="DG206" i="79"/>
  <c r="DG207" i="79" s="1"/>
  <c r="DW206" i="79"/>
  <c r="EM206" i="79"/>
  <c r="O206" i="80"/>
  <c r="AE206" i="80"/>
  <c r="AU206" i="80"/>
  <c r="CA205" i="80"/>
  <c r="CQ206" i="80"/>
  <c r="DW205" i="80"/>
  <c r="EU205" i="80"/>
  <c r="J205" i="79"/>
  <c r="G207" i="80"/>
  <c r="AU207" i="79"/>
  <c r="O206" i="79"/>
  <c r="W206" i="79"/>
  <c r="EU206" i="79"/>
  <c r="O205" i="80"/>
  <c r="W206" i="80"/>
  <c r="BS206" i="80"/>
  <c r="CQ205" i="80"/>
  <c r="DG206" i="80"/>
  <c r="EE206" i="80"/>
  <c r="AE205" i="80"/>
  <c r="AM206" i="80"/>
  <c r="AU205" i="80"/>
  <c r="BK206" i="80"/>
  <c r="BS205" i="80"/>
  <c r="CI206" i="80"/>
  <c r="DG205" i="80"/>
  <c r="EE205" i="80"/>
  <c r="EM206" i="80"/>
  <c r="O195" i="79"/>
  <c r="CA195" i="79"/>
  <c r="DG193" i="79"/>
  <c r="DO193" i="79"/>
  <c r="DW195" i="79"/>
  <c r="EE193" i="79"/>
  <c r="FC193" i="79"/>
  <c r="W195" i="79"/>
  <c r="AE195" i="79"/>
  <c r="AM193" i="79"/>
  <c r="BC195" i="79"/>
  <c r="BS193" i="79"/>
  <c r="CQ193" i="79"/>
  <c r="FK195" i="79"/>
  <c r="J193" i="79"/>
  <c r="W193" i="79"/>
  <c r="AE193" i="79"/>
  <c r="BC193" i="79"/>
  <c r="BK195" i="79"/>
  <c r="CY195" i="79"/>
  <c r="EU195" i="79"/>
  <c r="AU193" i="79"/>
  <c r="CI193" i="79"/>
  <c r="DG195" i="79"/>
  <c r="DO195" i="79"/>
  <c r="EE195" i="79"/>
  <c r="EM193" i="79"/>
  <c r="FC195" i="79"/>
  <c r="AM195" i="79"/>
  <c r="BK193" i="79"/>
  <c r="BS195" i="79"/>
  <c r="CY193" i="79"/>
  <c r="EU193" i="79"/>
  <c r="AM192" i="80"/>
  <c r="BK187" i="80"/>
  <c r="EM187" i="80"/>
  <c r="CJ188" i="79"/>
  <c r="FC187" i="80"/>
  <c r="FD188" i="79"/>
  <c r="EU187" i="80"/>
  <c r="FC150" i="80"/>
  <c r="J151" i="79"/>
  <c r="AW153" i="80"/>
  <c r="AV153" i="79"/>
  <c r="EU150" i="80"/>
  <c r="FC148" i="80"/>
  <c r="K155" i="79"/>
  <c r="H153" i="79"/>
  <c r="EF153" i="79" s="1"/>
  <c r="K155" i="80"/>
  <c r="K149" i="80"/>
  <c r="EU148" i="80"/>
  <c r="AF121" i="79"/>
  <c r="AG121" i="79"/>
  <c r="DA129" i="79"/>
  <c r="CZ129" i="79"/>
  <c r="O124" i="79"/>
  <c r="FK124" i="79"/>
  <c r="DG124" i="79"/>
  <c r="BC124" i="79"/>
  <c r="W124" i="79"/>
  <c r="EU124" i="79"/>
  <c r="EM124" i="79"/>
  <c r="CA124" i="79"/>
  <c r="BS124" i="79"/>
  <c r="AU124" i="79"/>
  <c r="AE124" i="79"/>
  <c r="FK121" i="79"/>
  <c r="FL121" i="79" s="1"/>
  <c r="FC121" i="79"/>
  <c r="FD121" i="79" s="1"/>
  <c r="EE121" i="79"/>
  <c r="DW121" i="79"/>
  <c r="DX121" i="79" s="1"/>
  <c r="CY121" i="79"/>
  <c r="DG121" i="79"/>
  <c r="CI121" i="79"/>
  <c r="CJ121" i="79" s="1"/>
  <c r="BC121" i="79"/>
  <c r="AU121" i="79"/>
  <c r="W121" i="79"/>
  <c r="BK121" i="79"/>
  <c r="DO121" i="79"/>
  <c r="CQ121" i="79"/>
  <c r="AM121" i="79"/>
  <c r="AO121" i="79" s="1"/>
  <c r="FK132" i="80"/>
  <c r="EM132" i="80"/>
  <c r="DG132" i="80"/>
  <c r="AM132" i="80"/>
  <c r="FC132" i="80"/>
  <c r="CA132" i="80"/>
  <c r="BS132" i="80"/>
  <c r="O132" i="80"/>
  <c r="EU132" i="80"/>
  <c r="CY132" i="80"/>
  <c r="BC132" i="80"/>
  <c r="W132" i="80"/>
  <c r="EE132" i="80"/>
  <c r="DW132" i="80"/>
  <c r="CQ132" i="80"/>
  <c r="BK132" i="80"/>
  <c r="K130" i="80"/>
  <c r="DY130" i="80" s="1"/>
  <c r="AO130" i="80"/>
  <c r="G133" i="80"/>
  <c r="O121" i="79"/>
  <c r="P121" i="79" s="1"/>
  <c r="AO129" i="79"/>
  <c r="CQ124" i="79"/>
  <c r="DO124" i="79"/>
  <c r="DW124" i="79"/>
  <c r="K124" i="79"/>
  <c r="DP120" i="80"/>
  <c r="DQ120" i="80"/>
  <c r="DO126" i="79"/>
  <c r="DG126" i="79"/>
  <c r="CI126" i="79"/>
  <c r="BC126" i="79"/>
  <c r="W126" i="79"/>
  <c r="EU126" i="79"/>
  <c r="EM126" i="79"/>
  <c r="CA126" i="79"/>
  <c r="BS126" i="79"/>
  <c r="AU126" i="79"/>
  <c r="AE126" i="79"/>
  <c r="CQ126" i="79"/>
  <c r="AM126" i="79"/>
  <c r="EE126" i="79"/>
  <c r="DW126" i="79"/>
  <c r="CY126" i="79"/>
  <c r="BK126" i="79"/>
  <c r="FK121" i="80"/>
  <c r="DW121" i="80"/>
  <c r="CQ121" i="80"/>
  <c r="BS121" i="80"/>
  <c r="BK121" i="80"/>
  <c r="W121" i="80"/>
  <c r="AE121" i="80"/>
  <c r="DG121" i="80"/>
  <c r="CI121" i="80"/>
  <c r="EM121" i="80"/>
  <c r="CY121" i="80"/>
  <c r="CA121" i="80"/>
  <c r="AM121" i="80"/>
  <c r="O121" i="80"/>
  <c r="Q121" i="80" s="1"/>
  <c r="I124" i="79"/>
  <c r="I124" i="80"/>
  <c r="CI124" i="79"/>
  <c r="O126" i="79"/>
  <c r="BS121" i="79"/>
  <c r="CA121" i="79"/>
  <c r="EF129" i="79"/>
  <c r="EG129" i="79"/>
  <c r="FC124" i="79"/>
  <c r="FC128" i="79"/>
  <c r="AM128" i="79"/>
  <c r="EE128" i="79"/>
  <c r="DW128" i="79"/>
  <c r="CQ128" i="79"/>
  <c r="BK128" i="79"/>
  <c r="BS128" i="79"/>
  <c r="K126" i="79"/>
  <c r="Q120" i="80"/>
  <c r="P120" i="80"/>
  <c r="CR130" i="80"/>
  <c r="DX129" i="80"/>
  <c r="DY129" i="80"/>
  <c r="EU121" i="80"/>
  <c r="K121" i="80"/>
  <c r="I123" i="79"/>
  <c r="I123" i="80"/>
  <c r="CY124" i="79"/>
  <c r="EM121" i="79"/>
  <c r="EO121" i="79" s="1"/>
  <c r="EU121" i="79"/>
  <c r="BT129" i="79"/>
  <c r="AV129" i="79"/>
  <c r="AW129" i="79"/>
  <c r="AF129" i="79"/>
  <c r="AH129" i="79" s="1"/>
  <c r="CC129" i="79"/>
  <c r="Y129" i="79"/>
  <c r="BD129" i="79"/>
  <c r="AU132" i="80"/>
  <c r="CI132" i="80"/>
  <c r="DO132" i="80"/>
  <c r="FK128" i="80"/>
  <c r="DG128" i="80"/>
  <c r="CY128" i="80"/>
  <c r="CQ128" i="80"/>
  <c r="BC128" i="80"/>
  <c r="EM128" i="80"/>
  <c r="DW128" i="80"/>
  <c r="O128" i="80"/>
  <c r="EU128" i="80"/>
  <c r="DO128" i="80"/>
  <c r="AU128" i="80"/>
  <c r="W128" i="80"/>
  <c r="EE128" i="80"/>
  <c r="CI128" i="80"/>
  <c r="BK128" i="80"/>
  <c r="FK123" i="80"/>
  <c r="DG123" i="80"/>
  <c r="CI123" i="80"/>
  <c r="BC123" i="80"/>
  <c r="EM123" i="80"/>
  <c r="CY123" i="80"/>
  <c r="CA123" i="80"/>
  <c r="O123" i="80"/>
  <c r="CQ123" i="80"/>
  <c r="BK123" i="80"/>
  <c r="AE123" i="80"/>
  <c r="W123" i="80"/>
  <c r="FC123" i="80"/>
  <c r="EU123" i="80"/>
  <c r="EE123" i="80"/>
  <c r="DO123" i="80"/>
  <c r="AU123" i="80"/>
  <c r="G133" i="79"/>
  <c r="AM124" i="79"/>
  <c r="BK124" i="79"/>
  <c r="P129" i="79"/>
  <c r="DI129" i="79"/>
  <c r="EM131" i="79"/>
  <c r="DO131" i="79"/>
  <c r="AM131" i="79"/>
  <c r="CY131" i="79"/>
  <c r="CA131" i="79"/>
  <c r="EE131" i="79"/>
  <c r="DW131" i="79"/>
  <c r="CQ131" i="79"/>
  <c r="BK131" i="79"/>
  <c r="DG131" i="79"/>
  <c r="CI131" i="79"/>
  <c r="EU119" i="79"/>
  <c r="CA119" i="79"/>
  <c r="BS119" i="79"/>
  <c r="AE119" i="79"/>
  <c r="EM119" i="79"/>
  <c r="BK119" i="79"/>
  <c r="O119" i="79"/>
  <c r="EE119" i="79"/>
  <c r="DW119" i="79"/>
  <c r="DG119" i="79"/>
  <c r="AU119" i="79"/>
  <c r="FC119" i="79"/>
  <c r="CI119" i="79"/>
  <c r="BC119" i="79"/>
  <c r="W119" i="79"/>
  <c r="FC121" i="80"/>
  <c r="K128" i="80"/>
  <c r="AE125" i="80"/>
  <c r="EE125" i="80"/>
  <c r="DO125" i="80"/>
  <c r="DQ125" i="80" s="1"/>
  <c r="CQ125" i="80"/>
  <c r="BK125" i="80"/>
  <c r="AU125" i="80"/>
  <c r="W125" i="80"/>
  <c r="DW125" i="80"/>
  <c r="CA125" i="80"/>
  <c r="BS125" i="80"/>
  <c r="AM125" i="80"/>
  <c r="BU129" i="79"/>
  <c r="Q129" i="79"/>
  <c r="BE129" i="79"/>
  <c r="CB129" i="79"/>
  <c r="BL129" i="80"/>
  <c r="CB113" i="79"/>
  <c r="J103" i="80"/>
  <c r="X104" i="79"/>
  <c r="AU111" i="79"/>
  <c r="EO114" i="79"/>
  <c r="EN115" i="79"/>
  <c r="H106" i="79"/>
  <c r="O114" i="80"/>
  <c r="W109" i="80"/>
  <c r="AU114" i="80"/>
  <c r="BS109" i="80"/>
  <c r="CI109" i="80"/>
  <c r="CY114" i="80"/>
  <c r="DG114" i="80"/>
  <c r="FC109" i="80"/>
  <c r="Y104" i="79"/>
  <c r="W111" i="79"/>
  <c r="BD104" i="79"/>
  <c r="BU104" i="79"/>
  <c r="CB104" i="79"/>
  <c r="CJ104" i="79"/>
  <c r="DG111" i="79"/>
  <c r="DQ104" i="79"/>
  <c r="DW111" i="79"/>
  <c r="AE109" i="80"/>
  <c r="AM114" i="80"/>
  <c r="BC109" i="80"/>
  <c r="CQ109" i="80"/>
  <c r="G116" i="80"/>
  <c r="O111" i="79"/>
  <c r="AF104" i="79"/>
  <c r="AN104" i="79"/>
  <c r="BC111" i="79"/>
  <c r="CA111" i="79"/>
  <c r="CI111" i="79"/>
  <c r="DA109" i="79"/>
  <c r="DB109" i="79" s="1"/>
  <c r="CZ104" i="79"/>
  <c r="EO104" i="79"/>
  <c r="EN114" i="79"/>
  <c r="FE104" i="79"/>
  <c r="W114" i="80"/>
  <c r="BK109" i="80"/>
  <c r="BS114" i="80"/>
  <c r="CA109" i="80"/>
  <c r="CI114" i="80"/>
  <c r="DO109" i="80"/>
  <c r="EE109" i="80"/>
  <c r="EU109" i="80"/>
  <c r="FC114" i="80"/>
  <c r="K106" i="80"/>
  <c r="G116" i="79"/>
  <c r="AE111" i="79"/>
  <c r="AO104" i="79"/>
  <c r="AM111" i="79"/>
  <c r="BT104" i="79"/>
  <c r="CR104" i="79"/>
  <c r="DA104" i="79"/>
  <c r="CY111" i="79"/>
  <c r="DX113" i="79"/>
  <c r="EG109" i="79"/>
  <c r="EE111" i="79"/>
  <c r="EN104" i="79"/>
  <c r="AE114" i="80"/>
  <c r="BC114" i="80"/>
  <c r="CQ114" i="80"/>
  <c r="DW109" i="80"/>
  <c r="EM109" i="80"/>
  <c r="BM104" i="79"/>
  <c r="BL104" i="79"/>
  <c r="BS111" i="79"/>
  <c r="CC104" i="79"/>
  <c r="DP104" i="79"/>
  <c r="DY114" i="79"/>
  <c r="DX114" i="79"/>
  <c r="FK111" i="79"/>
  <c r="O109" i="80"/>
  <c r="AU109" i="80"/>
  <c r="BK114" i="80"/>
  <c r="CA114" i="80"/>
  <c r="CY109" i="80"/>
  <c r="DG109" i="80"/>
  <c r="DO114" i="80"/>
  <c r="EE114" i="80"/>
  <c r="EU114" i="80"/>
  <c r="J87" i="79"/>
  <c r="O89" i="79"/>
  <c r="W89" i="79"/>
  <c r="O90" i="80"/>
  <c r="BC90" i="80"/>
  <c r="BK90" i="80"/>
  <c r="DO90" i="80"/>
  <c r="EU90" i="80"/>
  <c r="CA89" i="79"/>
  <c r="W90" i="80"/>
  <c r="AU90" i="80"/>
  <c r="CA90" i="80"/>
  <c r="DG90" i="80"/>
  <c r="AU89" i="79"/>
  <c r="BK89" i="79"/>
  <c r="BS89" i="79"/>
  <c r="CI89" i="79"/>
  <c r="DG89" i="79"/>
  <c r="DO89" i="79"/>
  <c r="EE89" i="79"/>
  <c r="AE90" i="80"/>
  <c r="DW90" i="80"/>
  <c r="AE89" i="79"/>
  <c r="AM90" i="80"/>
  <c r="BS90" i="80"/>
  <c r="CI90" i="80"/>
  <c r="CQ90" i="80"/>
  <c r="EM90" i="80"/>
  <c r="K92" i="80"/>
  <c r="G93" i="79"/>
  <c r="AM89" i="79"/>
  <c r="CY89" i="79"/>
  <c r="DW89" i="79"/>
  <c r="G77" i="79"/>
  <c r="W67" i="79"/>
  <c r="AU70" i="79"/>
  <c r="BK70" i="79"/>
  <c r="CQ70" i="79"/>
  <c r="CY70" i="79"/>
  <c r="EU67" i="79"/>
  <c r="O69" i="80"/>
  <c r="AE61" i="80"/>
  <c r="AU69" i="80"/>
  <c r="BC69" i="80"/>
  <c r="BS61" i="80"/>
  <c r="CA61" i="80"/>
  <c r="CI69" i="80"/>
  <c r="CY64" i="80"/>
  <c r="DG61" i="80"/>
  <c r="DO69" i="80"/>
  <c r="EE64" i="80"/>
  <c r="EM61" i="80"/>
  <c r="J60" i="80"/>
  <c r="O70" i="79"/>
  <c r="AE58" i="79"/>
  <c r="BC58" i="79"/>
  <c r="BK58" i="79"/>
  <c r="BS67" i="79"/>
  <c r="CI67" i="79"/>
  <c r="CI58" i="79"/>
  <c r="DG58" i="79"/>
  <c r="DO70" i="79"/>
  <c r="EE70" i="79"/>
  <c r="EE58" i="79"/>
  <c r="FC67" i="79"/>
  <c r="W61" i="80"/>
  <c r="AM64" i="80"/>
  <c r="BK61" i="80"/>
  <c r="CY69" i="80"/>
  <c r="DW61" i="80"/>
  <c r="EE69" i="80"/>
  <c r="EU61" i="80"/>
  <c r="FC69" i="80"/>
  <c r="FC61" i="80"/>
  <c r="G77" i="80"/>
  <c r="W70" i="79"/>
  <c r="AM67" i="79"/>
  <c r="AM58" i="79"/>
  <c r="AU58" i="79"/>
  <c r="BS70" i="79"/>
  <c r="CA70" i="79"/>
  <c r="CQ58" i="79"/>
  <c r="DO58" i="79"/>
  <c r="DW67" i="79"/>
  <c r="EM67" i="79"/>
  <c r="EU70" i="79"/>
  <c r="H75" i="79"/>
  <c r="O61" i="80"/>
  <c r="AE64" i="80"/>
  <c r="AM69" i="80"/>
  <c r="BC61" i="80"/>
  <c r="BS64" i="80"/>
  <c r="CA64" i="80"/>
  <c r="CI61" i="80"/>
  <c r="DO61" i="80"/>
  <c r="AE67" i="79"/>
  <c r="BC67" i="79"/>
  <c r="BK67" i="79"/>
  <c r="CA58" i="79"/>
  <c r="CK69" i="79"/>
  <c r="CI70" i="79"/>
  <c r="DG67" i="79"/>
  <c r="W64" i="80"/>
  <c r="AE69" i="80"/>
  <c r="AU61" i="80"/>
  <c r="BK64" i="80"/>
  <c r="BS69" i="80"/>
  <c r="CA69" i="80"/>
  <c r="CQ61" i="80"/>
  <c r="CY61" i="80"/>
  <c r="DG64" i="80"/>
  <c r="EM64" i="80"/>
  <c r="H67" i="80"/>
  <c r="O58" i="79"/>
  <c r="W58" i="79"/>
  <c r="AE70" i="79"/>
  <c r="BC70" i="79"/>
  <c r="CY67" i="79"/>
  <c r="DO67" i="79"/>
  <c r="EE67" i="79"/>
  <c r="FC70" i="79"/>
  <c r="W69" i="80"/>
  <c r="AM61" i="80"/>
  <c r="BK69" i="80"/>
  <c r="CQ64" i="80"/>
  <c r="DG69" i="80"/>
  <c r="DW64" i="80"/>
  <c r="EM69" i="80"/>
  <c r="EU64" i="80"/>
  <c r="J16" i="80"/>
  <c r="J410" i="80" s="1"/>
  <c r="J426" i="80" s="1"/>
  <c r="J309" i="79"/>
  <c r="J181" i="79"/>
  <c r="J16" i="79"/>
  <c r="J410" i="79" s="1"/>
  <c r="J426" i="79" s="1"/>
  <c r="I145" i="80"/>
  <c r="J311" i="80"/>
  <c r="J143" i="13"/>
  <c r="J143" i="85" s="1"/>
  <c r="J306" i="79"/>
  <c r="J92" i="80"/>
  <c r="H123" i="79"/>
  <c r="J121" i="79"/>
  <c r="J243" i="79"/>
  <c r="I178" i="79"/>
  <c r="J132" i="79"/>
  <c r="I242" i="79"/>
  <c r="H254" i="79"/>
  <c r="H23" i="79"/>
  <c r="H399" i="79" s="1"/>
  <c r="H151" i="80"/>
  <c r="H72" i="80"/>
  <c r="H141" i="79"/>
  <c r="H104" i="79"/>
  <c r="H241" i="79"/>
  <c r="D18" i="35"/>
  <c r="G370" i="85" s="1"/>
  <c r="I181" i="90" s="1"/>
  <c r="D18" i="82"/>
  <c r="D17" i="35"/>
  <c r="D17" i="82"/>
  <c r="D16" i="35"/>
  <c r="G368" i="85" s="1"/>
  <c r="I179" i="90" s="1"/>
  <c r="D16" i="82"/>
  <c r="D15" i="35"/>
  <c r="G15" i="35" s="1"/>
  <c r="D15" i="82"/>
  <c r="D14" i="35"/>
  <c r="G366" i="85" s="1"/>
  <c r="I177" i="90" s="1"/>
  <c r="D14" i="82"/>
  <c r="D19" i="35"/>
  <c r="D19" i="82"/>
  <c r="D13" i="35"/>
  <c r="D13" i="82"/>
  <c r="J104" i="79"/>
  <c r="J250" i="79"/>
  <c r="J189" i="79"/>
  <c r="H180" i="80"/>
  <c r="H29" i="79"/>
  <c r="H30" i="79" s="1"/>
  <c r="J277" i="79"/>
  <c r="J140" i="79"/>
  <c r="J150" i="79"/>
  <c r="J113" i="79"/>
  <c r="J90" i="79"/>
  <c r="J70" i="79"/>
  <c r="J200" i="79"/>
  <c r="H199" i="79"/>
  <c r="I270" i="80"/>
  <c r="I69" i="80"/>
  <c r="H250" i="80"/>
  <c r="H244" i="80"/>
  <c r="J100" i="13"/>
  <c r="J100" i="85" s="1"/>
  <c r="G50" i="79"/>
  <c r="J276" i="79"/>
  <c r="J99" i="79"/>
  <c r="J212" i="79"/>
  <c r="J24" i="79"/>
  <c r="J400" i="79" s="1"/>
  <c r="I305" i="79"/>
  <c r="H68" i="80"/>
  <c r="J123" i="79"/>
  <c r="J230" i="79"/>
  <c r="H16" i="79"/>
  <c r="H410" i="79" s="1"/>
  <c r="E54" i="35"/>
  <c r="R305" i="80"/>
  <c r="I120" i="80"/>
  <c r="H107" i="80"/>
  <c r="H16" i="80"/>
  <c r="D48" i="35"/>
  <c r="D63" i="35" s="1"/>
  <c r="D48" i="82"/>
  <c r="G34" i="79"/>
  <c r="W34" i="80"/>
  <c r="J280" i="79"/>
  <c r="J115" i="79"/>
  <c r="J107" i="79"/>
  <c r="J97" i="79"/>
  <c r="J68" i="79"/>
  <c r="J256" i="79"/>
  <c r="J249" i="79"/>
  <c r="I146" i="80"/>
  <c r="J241" i="80"/>
  <c r="I310" i="79"/>
  <c r="CK310" i="79" s="1"/>
  <c r="I25" i="79"/>
  <c r="I401" i="79" s="1"/>
  <c r="I210" i="79"/>
  <c r="H294" i="79"/>
  <c r="I248" i="80"/>
  <c r="I195" i="80"/>
  <c r="H114" i="80"/>
  <c r="H92" i="80"/>
  <c r="H177" i="80"/>
  <c r="J26" i="13"/>
  <c r="J26" i="85" s="1"/>
  <c r="J124" i="79"/>
  <c r="J106" i="79"/>
  <c r="J246" i="80"/>
  <c r="I187" i="79"/>
  <c r="H278" i="79"/>
  <c r="EV278" i="79" s="1"/>
  <c r="I227" i="80"/>
  <c r="FM227" i="80" s="1"/>
  <c r="H309" i="80"/>
  <c r="H206" i="80"/>
  <c r="CZ206" i="80" s="1"/>
  <c r="J23" i="79"/>
  <c r="J399" i="79" s="1"/>
  <c r="I153" i="79"/>
  <c r="EG153" i="79" s="1"/>
  <c r="I106" i="79"/>
  <c r="I255" i="79"/>
  <c r="H255" i="79"/>
  <c r="H194" i="79"/>
  <c r="CL305" i="80"/>
  <c r="I279" i="80"/>
  <c r="I295" i="80"/>
  <c r="DQ295" i="80" s="1"/>
  <c r="J97" i="80"/>
  <c r="D47" i="35"/>
  <c r="D62" i="35" s="1"/>
  <c r="D47" i="82"/>
  <c r="H66" i="79"/>
  <c r="BC29" i="79"/>
  <c r="BC30" i="79" s="1"/>
  <c r="EU29" i="79"/>
  <c r="EU30" i="79" s="1"/>
  <c r="J146" i="79"/>
  <c r="E59" i="79"/>
  <c r="E59" i="80"/>
  <c r="G52" i="13"/>
  <c r="K23" i="80"/>
  <c r="I115" i="79"/>
  <c r="I115" i="80"/>
  <c r="I16" i="80"/>
  <c r="I16" i="79"/>
  <c r="I410" i="79" s="1"/>
  <c r="F54" i="35"/>
  <c r="I243" i="80"/>
  <c r="I243" i="79"/>
  <c r="I229" i="80"/>
  <c r="I229" i="79"/>
  <c r="I188" i="79"/>
  <c r="DI188" i="79" s="1"/>
  <c r="I188" i="80"/>
  <c r="H279" i="80"/>
  <c r="CZ279" i="80" s="1"/>
  <c r="H279" i="79"/>
  <c r="FD279" i="79" s="1"/>
  <c r="H142" i="80"/>
  <c r="H142" i="79"/>
  <c r="H124" i="80"/>
  <c r="H124" i="79"/>
  <c r="H113" i="80"/>
  <c r="H113" i="79"/>
  <c r="H25" i="79"/>
  <c r="H401" i="79" s="1"/>
  <c r="H26" i="13"/>
  <c r="H26" i="85" s="1"/>
  <c r="H25" i="80"/>
  <c r="H401" i="80" s="1"/>
  <c r="H249" i="80"/>
  <c r="H249" i="79"/>
  <c r="AV249" i="79" s="1"/>
  <c r="H187" i="79"/>
  <c r="H187" i="80"/>
  <c r="I26" i="13"/>
  <c r="I26" i="85" s="1"/>
  <c r="W24" i="80"/>
  <c r="Q46" i="82"/>
  <c r="G54" i="35"/>
  <c r="EU17" i="79"/>
  <c r="EU411" i="79" s="1"/>
  <c r="AE17" i="79"/>
  <c r="AE411" i="79" s="1"/>
  <c r="DW17" i="79"/>
  <c r="DG17" i="79"/>
  <c r="DG411" i="79" s="1"/>
  <c r="CY17" i="79"/>
  <c r="CY411" i="79" s="1"/>
  <c r="EE17" i="79"/>
  <c r="EE411" i="79" s="1"/>
  <c r="CQ17" i="79"/>
  <c r="CQ411" i="79" s="1"/>
  <c r="BK17" i="79"/>
  <c r="BK411" i="79" s="1"/>
  <c r="BC17" i="79"/>
  <c r="BC411" i="79" s="1"/>
  <c r="AM17" i="79"/>
  <c r="AM411" i="79" s="1"/>
  <c r="O17" i="79"/>
  <c r="H205" i="79"/>
  <c r="H205" i="80"/>
  <c r="AN205" i="80" s="1"/>
  <c r="H176" i="79"/>
  <c r="DX176" i="79" s="1"/>
  <c r="H176" i="80"/>
  <c r="I253" i="79"/>
  <c r="DA253" i="79" s="1"/>
  <c r="I253" i="80"/>
  <c r="I232" i="80"/>
  <c r="I232" i="79"/>
  <c r="I205" i="79"/>
  <c r="I205" i="80"/>
  <c r="FM205" i="80" s="1"/>
  <c r="I193" i="80"/>
  <c r="I193" i="79"/>
  <c r="I184" i="79"/>
  <c r="I184" i="80"/>
  <c r="I176" i="79"/>
  <c r="DQ176" i="79" s="1"/>
  <c r="I176" i="80"/>
  <c r="H306" i="80"/>
  <c r="BD306" i="80" s="1"/>
  <c r="H306" i="79"/>
  <c r="H276" i="80"/>
  <c r="H276" i="79"/>
  <c r="H143" i="13"/>
  <c r="H143" i="85" s="1"/>
  <c r="H139" i="80"/>
  <c r="P139" i="80" s="1"/>
  <c r="H149" i="80"/>
  <c r="H149" i="79"/>
  <c r="EF149" i="79" s="1"/>
  <c r="H121" i="80"/>
  <c r="H121" i="79"/>
  <c r="H99" i="80"/>
  <c r="H99" i="79"/>
  <c r="H90" i="79"/>
  <c r="H90" i="80"/>
  <c r="CZ90" i="80" s="1"/>
  <c r="K18" i="79"/>
  <c r="I306" i="79"/>
  <c r="I306" i="80"/>
  <c r="I149" i="80"/>
  <c r="I149" i="79"/>
  <c r="CS149" i="79" s="1"/>
  <c r="I121" i="80"/>
  <c r="I121" i="79"/>
  <c r="I109" i="80"/>
  <c r="I109" i="79"/>
  <c r="I99" i="80"/>
  <c r="I99" i="79"/>
  <c r="I90" i="80"/>
  <c r="DA90" i="80" s="1"/>
  <c r="I90" i="79"/>
  <c r="I70" i="80"/>
  <c r="I70" i="79"/>
  <c r="I143" i="13"/>
  <c r="I143" i="85" s="1"/>
  <c r="DI182" i="79"/>
  <c r="EW182" i="79"/>
  <c r="CC245" i="79"/>
  <c r="CD245" i="79" s="1"/>
  <c r="BE247" i="79"/>
  <c r="FK192" i="79"/>
  <c r="FK244" i="79"/>
  <c r="FK187" i="80"/>
  <c r="FK184" i="79"/>
  <c r="X247" i="79"/>
  <c r="Y247" i="79"/>
  <c r="AF182" i="79"/>
  <c r="AG182" i="79"/>
  <c r="CZ182" i="79"/>
  <c r="DA182" i="79"/>
  <c r="CK181" i="79"/>
  <c r="CZ245" i="79"/>
  <c r="DB245" i="79" s="1"/>
  <c r="DH188" i="79"/>
  <c r="DX182" i="79"/>
  <c r="FK246" i="79"/>
  <c r="FK199" i="79"/>
  <c r="FK311" i="79"/>
  <c r="FK200" i="79"/>
  <c r="FK185" i="79"/>
  <c r="EM29" i="79"/>
  <c r="EM30" i="79" s="1"/>
  <c r="I297" i="80"/>
  <c r="BM297" i="80" s="1"/>
  <c r="I297" i="79"/>
  <c r="Y297" i="79" s="1"/>
  <c r="I155" i="80"/>
  <c r="I155" i="79"/>
  <c r="I148" i="80"/>
  <c r="I148" i="79"/>
  <c r="I108" i="79"/>
  <c r="AG108" i="79" s="1"/>
  <c r="I108" i="80"/>
  <c r="I98" i="80"/>
  <c r="I100" i="13"/>
  <c r="I100" i="85" s="1"/>
  <c r="I98" i="79"/>
  <c r="I89" i="80"/>
  <c r="I89" i="79"/>
  <c r="I34" i="13"/>
  <c r="I33" i="79"/>
  <c r="I33" i="80"/>
  <c r="CC33" i="80" s="1"/>
  <c r="CC404" i="80" s="1"/>
  <c r="F56" i="35"/>
  <c r="I18" i="80"/>
  <c r="I213" i="80"/>
  <c r="I213" i="79"/>
  <c r="I201" i="80"/>
  <c r="I201" i="79"/>
  <c r="Y201" i="79" s="1"/>
  <c r="I192" i="80"/>
  <c r="I192" i="79"/>
  <c r="H297" i="80"/>
  <c r="H297" i="79"/>
  <c r="H155" i="80"/>
  <c r="H155" i="79"/>
  <c r="H148" i="79"/>
  <c r="CZ148" i="79" s="1"/>
  <c r="H148" i="80"/>
  <c r="H126" i="80"/>
  <c r="BD126" i="80" s="1"/>
  <c r="H126" i="79"/>
  <c r="H120" i="79"/>
  <c r="H120" i="80"/>
  <c r="H98" i="80"/>
  <c r="H98" i="79"/>
  <c r="H89" i="80"/>
  <c r="H89" i="79"/>
  <c r="H33" i="80"/>
  <c r="H34" i="13"/>
  <c r="H33" i="79"/>
  <c r="H246" i="80"/>
  <c r="H246" i="79"/>
  <c r="H230" i="80"/>
  <c r="H230" i="79"/>
  <c r="H69" i="80"/>
  <c r="H69" i="79"/>
  <c r="E56" i="35"/>
  <c r="H18" i="79"/>
  <c r="H412" i="79" s="1"/>
  <c r="H18" i="80"/>
  <c r="H253" i="80"/>
  <c r="H253" i="79"/>
  <c r="EV253" i="79" s="1"/>
  <c r="H213" i="79"/>
  <c r="H55" i="26"/>
  <c r="D18" i="32" s="1"/>
  <c r="H201" i="80"/>
  <c r="H201" i="79"/>
  <c r="BL201" i="79" s="1"/>
  <c r="H192" i="80"/>
  <c r="H192" i="79"/>
  <c r="H182" i="79"/>
  <c r="R7" i="35"/>
  <c r="I296" i="79"/>
  <c r="BE296" i="79" s="1"/>
  <c r="I296" i="80"/>
  <c r="AO296" i="80" s="1"/>
  <c r="I311" i="79"/>
  <c r="CS311" i="79" s="1"/>
  <c r="I311" i="80"/>
  <c r="I280" i="80"/>
  <c r="AO280" i="80" s="1"/>
  <c r="I280" i="79"/>
  <c r="I268" i="80"/>
  <c r="I268" i="79"/>
  <c r="I154" i="79"/>
  <c r="BE154" i="79" s="1"/>
  <c r="I154" i="80"/>
  <c r="DI154" i="80" s="1"/>
  <c r="I147" i="80"/>
  <c r="CC147" i="80" s="1"/>
  <c r="I147" i="79"/>
  <c r="EG147" i="79" s="1"/>
  <c r="I125" i="80"/>
  <c r="I125" i="79"/>
  <c r="I107" i="80"/>
  <c r="I107" i="79"/>
  <c r="I97" i="80"/>
  <c r="I97" i="79"/>
  <c r="I87" i="80"/>
  <c r="AG87" i="80" s="1"/>
  <c r="I87" i="79"/>
  <c r="I68" i="80"/>
  <c r="I68" i="79"/>
  <c r="I29" i="79"/>
  <c r="I30" i="79" s="1"/>
  <c r="I30" i="13"/>
  <c r="I250" i="80"/>
  <c r="I250" i="79"/>
  <c r="I244" i="80"/>
  <c r="I244" i="79"/>
  <c r="I230" i="80"/>
  <c r="I230" i="79"/>
  <c r="I212" i="79"/>
  <c r="I212" i="80"/>
  <c r="I200" i="79"/>
  <c r="DA200" i="79" s="1"/>
  <c r="I200" i="80"/>
  <c r="I181" i="80"/>
  <c r="I181" i="79"/>
  <c r="H296" i="79"/>
  <c r="H296" i="80"/>
  <c r="AN296" i="80" s="1"/>
  <c r="H311" i="79"/>
  <c r="X311" i="79" s="1"/>
  <c r="H311" i="80"/>
  <c r="H268" i="79"/>
  <c r="H268" i="80"/>
  <c r="H154" i="80"/>
  <c r="AF154" i="80" s="1"/>
  <c r="H154" i="79"/>
  <c r="H125" i="80"/>
  <c r="H125" i="79"/>
  <c r="H115" i="80"/>
  <c r="H115" i="79"/>
  <c r="H100" i="13"/>
  <c r="H100" i="85" s="1"/>
  <c r="H97" i="79"/>
  <c r="H97" i="80"/>
  <c r="H87" i="80"/>
  <c r="P87" i="80" s="1"/>
  <c r="H87" i="79"/>
  <c r="J47" i="26"/>
  <c r="J55" i="26"/>
  <c r="J42" i="26"/>
  <c r="G56" i="35"/>
  <c r="D73" i="82"/>
  <c r="D38" i="82"/>
  <c r="D57" i="82"/>
  <c r="I47" i="26"/>
  <c r="R7" i="82"/>
  <c r="G61" i="36"/>
  <c r="H61" i="36"/>
  <c r="J145" i="79"/>
  <c r="F78" i="36"/>
  <c r="P125" i="76"/>
  <c r="V125" i="76"/>
  <c r="I168" i="76"/>
  <c r="I53" i="76" s="1"/>
  <c r="AL187" i="79" s="1"/>
  <c r="AM187" i="79" s="1"/>
  <c r="G39" i="27"/>
  <c r="R6" i="35"/>
  <c r="C69" i="36"/>
  <c r="G60" i="70"/>
  <c r="P124" i="76"/>
  <c r="CP474" i="79" s="1"/>
  <c r="CP476" i="79" s="1"/>
  <c r="CQ476" i="79" s="1"/>
  <c r="CQ480" i="79" s="1"/>
  <c r="V124" i="76"/>
  <c r="EL474" i="79" s="1"/>
  <c r="EL476" i="79" s="1"/>
  <c r="EM476" i="79" s="1"/>
  <c r="P188" i="79"/>
  <c r="AO293" i="79"/>
  <c r="AN114" i="79"/>
  <c r="AN142" i="79"/>
  <c r="AO142" i="79"/>
  <c r="Q99" i="79"/>
  <c r="P104" i="79"/>
  <c r="AF153" i="79"/>
  <c r="H141" i="76"/>
  <c r="AD176" i="79" s="1"/>
  <c r="AE176" i="79" s="1"/>
  <c r="AN99" i="79"/>
  <c r="AO99" i="79"/>
  <c r="AF141" i="79"/>
  <c r="P182" i="79"/>
  <c r="AW104" i="79"/>
  <c r="AW245" i="79"/>
  <c r="BE293" i="79"/>
  <c r="BM69" i="79"/>
  <c r="CS104" i="79"/>
  <c r="CY34" i="79"/>
  <c r="DQ125" i="79"/>
  <c r="AV293" i="79"/>
  <c r="BD120" i="79"/>
  <c r="BF120" i="79" s="1"/>
  <c r="BL129" i="79"/>
  <c r="CR113" i="79"/>
  <c r="CK104" i="79"/>
  <c r="CZ142" i="79"/>
  <c r="DB142" i="79" s="1"/>
  <c r="EO109" i="79"/>
  <c r="EP109" i="79" s="1"/>
  <c r="EN99" i="79"/>
  <c r="K276" i="79"/>
  <c r="FK270" i="79"/>
  <c r="FC270" i="79"/>
  <c r="FK310" i="79"/>
  <c r="K71" i="79"/>
  <c r="EV99" i="79"/>
  <c r="EX99" i="79" s="1"/>
  <c r="K256" i="79"/>
  <c r="DI256" i="79" s="1"/>
  <c r="K24" i="79"/>
  <c r="FK275" i="79"/>
  <c r="FC275" i="79"/>
  <c r="FK64" i="79"/>
  <c r="FC64" i="79"/>
  <c r="FK61" i="79"/>
  <c r="FC61" i="79"/>
  <c r="FK58" i="79"/>
  <c r="FC58" i="79"/>
  <c r="EU58" i="79"/>
  <c r="FC120" i="79"/>
  <c r="FD120" i="79" s="1"/>
  <c r="FK120" i="79"/>
  <c r="FM120" i="79" s="1"/>
  <c r="FD104" i="79"/>
  <c r="K97" i="79"/>
  <c r="FK229" i="79"/>
  <c r="FC229" i="79"/>
  <c r="EU229" i="79"/>
  <c r="K40" i="79"/>
  <c r="K37" i="79"/>
  <c r="FC222" i="79"/>
  <c r="FK222" i="79"/>
  <c r="EU222" i="79"/>
  <c r="DP130" i="79"/>
  <c r="DP113" i="79"/>
  <c r="DP189" i="79"/>
  <c r="EG245" i="79"/>
  <c r="EH245" i="79" s="1"/>
  <c r="FC131" i="79"/>
  <c r="FK131" i="79"/>
  <c r="FK113" i="79"/>
  <c r="FM113" i="79" s="1"/>
  <c r="FC113" i="79"/>
  <c r="FE113" i="79" s="1"/>
  <c r="FK228" i="79"/>
  <c r="FC228" i="79"/>
  <c r="EU228" i="79"/>
  <c r="FK22" i="79"/>
  <c r="G398" i="79"/>
  <c r="FK291" i="79"/>
  <c r="FC291" i="79"/>
  <c r="FK153" i="79"/>
  <c r="FC153" i="79"/>
  <c r="FD153" i="79" s="1"/>
  <c r="FC112" i="79"/>
  <c r="FK112" i="79"/>
  <c r="EU112" i="79"/>
  <c r="FK245" i="79"/>
  <c r="FL245" i="79" s="1"/>
  <c r="FC245" i="79"/>
  <c r="FE245" i="79" s="1"/>
  <c r="FC232" i="79"/>
  <c r="FK232" i="79"/>
  <c r="K16" i="79"/>
  <c r="J150" i="76"/>
  <c r="J26" i="76" s="1"/>
  <c r="I33" i="70"/>
  <c r="DY99" i="79"/>
  <c r="FC126" i="79"/>
  <c r="FK126" i="79"/>
  <c r="FK89" i="79"/>
  <c r="FC89" i="79"/>
  <c r="FE89" i="79" s="1"/>
  <c r="EU89" i="79"/>
  <c r="K252" i="79"/>
  <c r="K48" i="79"/>
  <c r="K43" i="79"/>
  <c r="G411" i="79"/>
  <c r="FK17" i="79"/>
  <c r="FK411" i="79" s="1"/>
  <c r="FC17" i="79"/>
  <c r="FC411" i="79" s="1"/>
  <c r="G401" i="79"/>
  <c r="FK25" i="79"/>
  <c r="FK401" i="79" s="1"/>
  <c r="FC25" i="79"/>
  <c r="FC401" i="79" s="1"/>
  <c r="Q107" i="80"/>
  <c r="AN99" i="80"/>
  <c r="AO99" i="80"/>
  <c r="K296" i="79"/>
  <c r="FK306" i="79"/>
  <c r="FC306" i="79"/>
  <c r="FK148" i="79"/>
  <c r="FC148" i="79"/>
  <c r="K132" i="79"/>
  <c r="FK16" i="79"/>
  <c r="FK410" i="79" s="1"/>
  <c r="G410" i="79"/>
  <c r="AO232" i="80"/>
  <c r="FK189" i="79"/>
  <c r="K184" i="79"/>
  <c r="Y58" i="80"/>
  <c r="EU245" i="79"/>
  <c r="EU23" i="79"/>
  <c r="EU399" i="79" s="1"/>
  <c r="EU200" i="79"/>
  <c r="EU202" i="79" s="1"/>
  <c r="FC185" i="79"/>
  <c r="FK90" i="79"/>
  <c r="FK247" i="79"/>
  <c r="FL247" i="79" s="1"/>
  <c r="G404" i="79"/>
  <c r="Y297" i="80"/>
  <c r="AF297" i="80"/>
  <c r="AG297" i="80"/>
  <c r="AF309" i="80"/>
  <c r="I141" i="76"/>
  <c r="H20" i="70"/>
  <c r="AW305" i="80"/>
  <c r="AV305" i="80"/>
  <c r="FC200" i="79"/>
  <c r="FC202" i="79" s="1"/>
  <c r="F141" i="76"/>
  <c r="F20" i="70"/>
  <c r="AG58" i="80"/>
  <c r="AF58" i="80"/>
  <c r="FC310" i="79"/>
  <c r="FK201" i="79"/>
  <c r="FK193" i="79"/>
  <c r="G483" i="79"/>
  <c r="G141" i="76"/>
  <c r="G20" i="70"/>
  <c r="BU58" i="80"/>
  <c r="BV58" i="80" s="1"/>
  <c r="BS34" i="80"/>
  <c r="CA34" i="80"/>
  <c r="CC120" i="80"/>
  <c r="CD120" i="80" s="1"/>
  <c r="CK309" i="80"/>
  <c r="CK107" i="80"/>
  <c r="CJ120" i="80"/>
  <c r="CK120" i="80"/>
  <c r="CC58" i="80"/>
  <c r="DP305" i="80"/>
  <c r="DQ305" i="80"/>
  <c r="DX99" i="80"/>
  <c r="DY99" i="80"/>
  <c r="EF120" i="80"/>
  <c r="EG120" i="80"/>
  <c r="CZ120" i="80"/>
  <c r="DA120" i="80"/>
  <c r="CZ130" i="80"/>
  <c r="DQ130" i="80"/>
  <c r="DY293" i="80"/>
  <c r="EN270" i="80"/>
  <c r="EF107" i="80"/>
  <c r="EG107" i="80"/>
  <c r="K89" i="80"/>
  <c r="K242" i="80"/>
  <c r="EW270" i="80"/>
  <c r="FE99" i="80"/>
  <c r="FK268" i="80"/>
  <c r="FC268" i="80"/>
  <c r="FC90" i="80"/>
  <c r="FK90" i="80"/>
  <c r="K17" i="80"/>
  <c r="K132" i="80"/>
  <c r="FK230" i="80"/>
  <c r="EU230" i="80"/>
  <c r="K213" i="80"/>
  <c r="EV245" i="80"/>
  <c r="FC230" i="80"/>
  <c r="FC279" i="80"/>
  <c r="FK279" i="80"/>
  <c r="FK60" i="80"/>
  <c r="FC60" i="80"/>
  <c r="K57" i="80"/>
  <c r="FK234" i="80"/>
  <c r="FC234" i="80"/>
  <c r="FK295" i="80"/>
  <c r="EU295" i="80"/>
  <c r="K142" i="80"/>
  <c r="CC142" i="80" s="1"/>
  <c r="FK154" i="80"/>
  <c r="EU154" i="80"/>
  <c r="FK152" i="80"/>
  <c r="FC152" i="80"/>
  <c r="EU152" i="80"/>
  <c r="FK125" i="80"/>
  <c r="FC125" i="80"/>
  <c r="EU125" i="80"/>
  <c r="FK228" i="80"/>
  <c r="EU228" i="80"/>
  <c r="FC18" i="80"/>
  <c r="FC412" i="80" s="1"/>
  <c r="FK18" i="80"/>
  <c r="K189" i="80"/>
  <c r="FC185" i="80"/>
  <c r="K180" i="80"/>
  <c r="J73" i="13"/>
  <c r="J73" i="85" s="1"/>
  <c r="L39" i="90" s="1"/>
  <c r="E73" i="80"/>
  <c r="K73" i="80" s="1"/>
  <c r="EN73" i="80" s="1"/>
  <c r="FC278" i="80"/>
  <c r="FC71" i="80"/>
  <c r="FC65" i="80"/>
  <c r="FD130" i="80"/>
  <c r="FC250" i="80"/>
  <c r="FM129" i="80"/>
  <c r="FK296" i="80"/>
  <c r="FK292" i="80"/>
  <c r="FK486" i="80"/>
  <c r="K97" i="80"/>
  <c r="K22" i="80"/>
  <c r="K39" i="80"/>
  <c r="G36" i="26"/>
  <c r="G196" i="85" s="1"/>
  <c r="G191" i="80"/>
  <c r="G196" i="80" s="1"/>
  <c r="K44" i="80"/>
  <c r="K38" i="80"/>
  <c r="K29" i="79"/>
  <c r="K194" i="80"/>
  <c r="FC62" i="80"/>
  <c r="FL130" i="80"/>
  <c r="K96" i="80"/>
  <c r="K244" i="80"/>
  <c r="K229" i="80"/>
  <c r="K45" i="80"/>
  <c r="G30" i="80"/>
  <c r="EV120" i="80"/>
  <c r="EX120" i="80" s="1"/>
  <c r="FC139" i="80"/>
  <c r="FM151" i="80"/>
  <c r="G490" i="80"/>
  <c r="FL129" i="80"/>
  <c r="K123" i="80"/>
  <c r="K98" i="80"/>
  <c r="K230" i="80"/>
  <c r="AU29" i="79"/>
  <c r="AU30" i="79" s="1"/>
  <c r="BK29" i="79"/>
  <c r="BK30" i="79" s="1"/>
  <c r="DW29" i="79"/>
  <c r="FK29" i="79"/>
  <c r="FK30" i="79" s="1"/>
  <c r="D37" i="35"/>
  <c r="D57" i="35" s="1"/>
  <c r="H47" i="26"/>
  <c r="H42" i="26"/>
  <c r="FM58" i="80"/>
  <c r="FL99" i="80"/>
  <c r="AM29" i="79"/>
  <c r="AM30" i="79" s="1"/>
  <c r="CY29" i="79"/>
  <c r="AM29" i="80"/>
  <c r="AM30" i="80" s="1"/>
  <c r="AM403" i="80" s="1"/>
  <c r="I55" i="26"/>
  <c r="D46" i="35"/>
  <c r="AF180" i="79"/>
  <c r="AG180" i="79"/>
  <c r="H60" i="70"/>
  <c r="I125" i="76"/>
  <c r="F53" i="70"/>
  <c r="N187" i="79"/>
  <c r="O187" i="79" s="1"/>
  <c r="G43" i="70"/>
  <c r="G125" i="76"/>
  <c r="H70" i="36"/>
  <c r="E70" i="36"/>
  <c r="G70" i="36" s="1"/>
  <c r="I43" i="70"/>
  <c r="AD187" i="79"/>
  <c r="AE187" i="79" s="1"/>
  <c r="E54" i="36"/>
  <c r="G54" i="36" s="1"/>
  <c r="H54" i="36"/>
  <c r="F26" i="70"/>
  <c r="N180" i="79"/>
  <c r="O180" i="79" s="1"/>
  <c r="H53" i="70"/>
  <c r="C72" i="36"/>
  <c r="C64" i="36"/>
  <c r="X125" i="76"/>
  <c r="R125" i="76"/>
  <c r="E69" i="36"/>
  <c r="CB180" i="79"/>
  <c r="CC180" i="79"/>
  <c r="DY180" i="79"/>
  <c r="DX180" i="79"/>
  <c r="BZ476" i="79"/>
  <c r="CA476" i="79" s="1"/>
  <c r="DV476" i="79"/>
  <c r="DW476" i="79" s="1"/>
  <c r="DW480" i="79" s="1"/>
  <c r="CJ180" i="79"/>
  <c r="CK180" i="79"/>
  <c r="F60" i="70"/>
  <c r="CS180" i="79"/>
  <c r="CR180" i="79"/>
  <c r="EO180" i="79"/>
  <c r="EN180" i="79"/>
  <c r="E26" i="36"/>
  <c r="E27" i="36" s="1"/>
  <c r="G168" i="76"/>
  <c r="G53" i="76" s="1"/>
  <c r="K168" i="76"/>
  <c r="CZ180" i="79"/>
  <c r="DA180" i="79"/>
  <c r="EV180" i="79"/>
  <c r="EW180" i="79"/>
  <c r="CX476" i="79"/>
  <c r="CY476" i="79" s="1"/>
  <c r="ET476" i="79"/>
  <c r="EU476" i="79" s="1"/>
  <c r="DI180" i="79"/>
  <c r="DH180" i="79"/>
  <c r="FE180" i="79"/>
  <c r="FD180" i="79"/>
  <c r="DF476" i="79"/>
  <c r="DG476" i="79" s="1"/>
  <c r="DG480" i="79" s="1"/>
  <c r="FB476" i="79"/>
  <c r="FC476" i="79" s="1"/>
  <c r="EF180" i="79"/>
  <c r="EG180" i="79"/>
  <c r="CH476" i="79"/>
  <c r="CI476" i="79" s="1"/>
  <c r="ED476" i="79"/>
  <c r="EE476" i="79" s="1"/>
  <c r="L168" i="76"/>
  <c r="BU180" i="79"/>
  <c r="BT180" i="79"/>
  <c r="DP180" i="79"/>
  <c r="DQ180" i="79"/>
  <c r="BR476" i="79"/>
  <c r="BS476" i="79" s="1"/>
  <c r="BS480" i="79" s="1"/>
  <c r="DN476" i="79"/>
  <c r="DO476" i="79" s="1"/>
  <c r="FJ476" i="79"/>
  <c r="FK476" i="79" s="1"/>
  <c r="K106" i="79"/>
  <c r="EN106" i="79"/>
  <c r="K98" i="79"/>
  <c r="DH98" i="79" s="1"/>
  <c r="CR98" i="79"/>
  <c r="FK96" i="79"/>
  <c r="FC96" i="79"/>
  <c r="EU96" i="79"/>
  <c r="EE96" i="79"/>
  <c r="EM96" i="79"/>
  <c r="DW96" i="79"/>
  <c r="CY96" i="79"/>
  <c r="CI96" i="79"/>
  <c r="DO96" i="79"/>
  <c r="CQ96" i="79"/>
  <c r="CA96" i="79"/>
  <c r="AU96" i="79"/>
  <c r="DG96" i="79"/>
  <c r="BK96" i="79"/>
  <c r="BC96" i="79"/>
  <c r="AM96" i="79"/>
  <c r="BS96" i="79"/>
  <c r="AE96" i="79"/>
  <c r="W96" i="79"/>
  <c r="O96" i="79"/>
  <c r="G26" i="70"/>
  <c r="V180" i="79"/>
  <c r="W180" i="79" s="1"/>
  <c r="Q181" i="79"/>
  <c r="P181" i="79"/>
  <c r="Y115" i="79"/>
  <c r="G33" i="70"/>
  <c r="P69" i="79"/>
  <c r="Q69" i="79"/>
  <c r="H43" i="70"/>
  <c r="I124" i="76"/>
  <c r="AL474" i="79" s="1"/>
  <c r="AL476" i="79" s="1"/>
  <c r="AM476" i="79" s="1"/>
  <c r="AM480" i="79" s="1"/>
  <c r="P72" i="79"/>
  <c r="Q72" i="79"/>
  <c r="P245" i="79"/>
  <c r="Q245" i="79"/>
  <c r="I60" i="70"/>
  <c r="X188" i="79"/>
  <c r="Q142" i="79"/>
  <c r="AW72" i="79"/>
  <c r="AV72" i="79"/>
  <c r="BT141" i="79"/>
  <c r="BT188" i="79"/>
  <c r="Q297" i="79"/>
  <c r="AN180" i="79"/>
  <c r="AO180" i="79"/>
  <c r="BE99" i="79"/>
  <c r="BD99" i="79"/>
  <c r="AN113" i="79"/>
  <c r="AO297" i="79"/>
  <c r="AO141" i="79"/>
  <c r="AW182" i="79"/>
  <c r="AX182" i="79" s="1"/>
  <c r="BE245" i="79"/>
  <c r="BL189" i="79"/>
  <c r="BU115" i="79"/>
  <c r="AV189" i="79"/>
  <c r="BD141" i="79"/>
  <c r="BD188" i="79"/>
  <c r="BM141" i="79"/>
  <c r="BL141" i="79"/>
  <c r="BL188" i="79"/>
  <c r="DH104" i="79"/>
  <c r="DI104" i="79"/>
  <c r="BM115" i="79"/>
  <c r="BM181" i="79"/>
  <c r="BL181" i="79"/>
  <c r="CR245" i="79"/>
  <c r="CS245" i="79"/>
  <c r="K141" i="76"/>
  <c r="L141" i="76"/>
  <c r="BU99" i="79"/>
  <c r="BT99" i="79"/>
  <c r="CS182" i="79"/>
  <c r="CR182" i="79"/>
  <c r="AV181" i="79"/>
  <c r="AW181" i="79"/>
  <c r="BM109" i="79"/>
  <c r="BL109" i="79"/>
  <c r="BT245" i="79"/>
  <c r="BU245" i="79"/>
  <c r="CB182" i="79"/>
  <c r="CC182" i="79"/>
  <c r="CS141" i="79"/>
  <c r="CR141" i="79"/>
  <c r="CR188" i="79"/>
  <c r="DI115" i="79"/>
  <c r="DW34" i="79"/>
  <c r="EF188" i="79"/>
  <c r="CJ182" i="79"/>
  <c r="CK182" i="79"/>
  <c r="DY129" i="79"/>
  <c r="DX129" i="79"/>
  <c r="K308" i="79"/>
  <c r="FK123" i="79"/>
  <c r="FC123" i="79"/>
  <c r="EU123" i="79"/>
  <c r="EE123" i="79"/>
  <c r="CY123" i="79"/>
  <c r="CI123" i="79"/>
  <c r="EM123" i="79"/>
  <c r="EO115" i="79"/>
  <c r="EW115" i="79"/>
  <c r="DQ115" i="79"/>
  <c r="DA115" i="79"/>
  <c r="FK110" i="79"/>
  <c r="EM110" i="79"/>
  <c r="DW110" i="79"/>
  <c r="EU110" i="79"/>
  <c r="DG110" i="79"/>
  <c r="CQ110" i="79"/>
  <c r="FC110" i="79"/>
  <c r="CJ245" i="79"/>
  <c r="CR129" i="79"/>
  <c r="DI247" i="79"/>
  <c r="DH129" i="79"/>
  <c r="DI99" i="79"/>
  <c r="DH99" i="79"/>
  <c r="DP72" i="79"/>
  <c r="EF182" i="79"/>
  <c r="EG182" i="79"/>
  <c r="EN245" i="79"/>
  <c r="EO245" i="79"/>
  <c r="EV113" i="79"/>
  <c r="EW113" i="79"/>
  <c r="K150" i="76"/>
  <c r="L150" i="76"/>
  <c r="CJ142" i="79"/>
  <c r="CL142" i="79" s="1"/>
  <c r="DI141" i="79"/>
  <c r="DH141" i="79"/>
  <c r="DH189" i="79"/>
  <c r="DP129" i="79"/>
  <c r="DQ129" i="79"/>
  <c r="EN188" i="79"/>
  <c r="CK125" i="79"/>
  <c r="CJ125" i="79"/>
  <c r="CS99" i="79"/>
  <c r="CR99" i="79"/>
  <c r="CZ125" i="79"/>
  <c r="DH245" i="79"/>
  <c r="DI245" i="79"/>
  <c r="DQ99" i="79"/>
  <c r="DP99" i="79"/>
  <c r="DX72" i="79"/>
  <c r="DY72" i="79"/>
  <c r="EN130" i="79"/>
  <c r="EO130" i="79"/>
  <c r="FL72" i="79"/>
  <c r="EG72" i="79"/>
  <c r="DA72" i="79"/>
  <c r="CR72" i="79"/>
  <c r="CT72" i="79" s="1"/>
  <c r="CK72" i="79"/>
  <c r="EV72" i="79"/>
  <c r="EF72" i="79"/>
  <c r="FM68" i="79"/>
  <c r="CZ68" i="79"/>
  <c r="CJ68" i="79"/>
  <c r="DA68" i="79"/>
  <c r="DI151" i="79"/>
  <c r="DX245" i="79"/>
  <c r="DY245" i="79"/>
  <c r="EV115" i="79"/>
  <c r="EV188" i="79"/>
  <c r="FD72" i="79"/>
  <c r="FC486" i="79"/>
  <c r="FK486" i="79"/>
  <c r="EM486" i="79"/>
  <c r="DW486" i="79"/>
  <c r="K246" i="79"/>
  <c r="FK274" i="79"/>
  <c r="FL68" i="79"/>
  <c r="K255" i="79"/>
  <c r="CJ255" i="79" s="1"/>
  <c r="K224" i="79"/>
  <c r="K192" i="79"/>
  <c r="CR255" i="79"/>
  <c r="CZ293" i="79"/>
  <c r="DQ109" i="79"/>
  <c r="DQ245" i="79"/>
  <c r="EF113" i="79"/>
  <c r="EO129" i="79"/>
  <c r="EN129" i="79"/>
  <c r="EG293" i="79"/>
  <c r="K231" i="79"/>
  <c r="K227" i="79"/>
  <c r="FK181" i="79"/>
  <c r="FC181" i="79"/>
  <c r="EM181" i="79"/>
  <c r="DW181" i="79"/>
  <c r="EU181" i="79"/>
  <c r="EE181" i="79"/>
  <c r="DO181" i="79"/>
  <c r="X270" i="80"/>
  <c r="Y270" i="80"/>
  <c r="DP188" i="79"/>
  <c r="DX69" i="79"/>
  <c r="DY69" i="79"/>
  <c r="FK142" i="79"/>
  <c r="EM142" i="79"/>
  <c r="DW142" i="79"/>
  <c r="FC142" i="79"/>
  <c r="FM151" i="79"/>
  <c r="FL129" i="79"/>
  <c r="FM129" i="79"/>
  <c r="K107" i="79"/>
  <c r="FM107" i="79" s="1"/>
  <c r="K45" i="79"/>
  <c r="K23" i="79"/>
  <c r="Q23" i="79" s="1"/>
  <c r="Q399" i="79" s="1"/>
  <c r="DG34" i="79"/>
  <c r="EN121" i="79"/>
  <c r="EN189" i="79"/>
  <c r="K270" i="79"/>
  <c r="FE270" i="79"/>
  <c r="EG270" i="79"/>
  <c r="DX270" i="79"/>
  <c r="K307" i="79"/>
  <c r="K305" i="79"/>
  <c r="FE305" i="79"/>
  <c r="DX305" i="79"/>
  <c r="FC87" i="79"/>
  <c r="FK87" i="79"/>
  <c r="EU87" i="79"/>
  <c r="EE87" i="79"/>
  <c r="K254" i="79"/>
  <c r="Q254" i="79" s="1"/>
  <c r="AG120" i="80"/>
  <c r="AF120" i="80"/>
  <c r="BD120" i="80"/>
  <c r="BE120" i="80"/>
  <c r="EG141" i="79"/>
  <c r="FE125" i="79"/>
  <c r="FM297" i="79"/>
  <c r="FK493" i="79"/>
  <c r="FM72" i="79"/>
  <c r="FM69" i="79"/>
  <c r="FE129" i="79"/>
  <c r="FD129" i="79"/>
  <c r="K123" i="79"/>
  <c r="FM115" i="79"/>
  <c r="K177" i="79"/>
  <c r="EG68" i="79"/>
  <c r="K268" i="79"/>
  <c r="FK140" i="79"/>
  <c r="FL130" i="79"/>
  <c r="FM130" i="79"/>
  <c r="FL125" i="79"/>
  <c r="FM125" i="79"/>
  <c r="FK105" i="79"/>
  <c r="FK206" i="79"/>
  <c r="FC206" i="79"/>
  <c r="Y120" i="80"/>
  <c r="FE72" i="79"/>
  <c r="K306" i="79"/>
  <c r="G490" i="79"/>
  <c r="FK141" i="79"/>
  <c r="K122" i="79"/>
  <c r="FK109" i="79"/>
  <c r="FC109" i="79"/>
  <c r="FK99" i="79"/>
  <c r="FL99" i="79" s="1"/>
  <c r="FC99" i="79"/>
  <c r="K212" i="79"/>
  <c r="FK182" i="79"/>
  <c r="K269" i="79"/>
  <c r="K309" i="79"/>
  <c r="K73" i="79"/>
  <c r="K70" i="79"/>
  <c r="FM70" i="79" s="1"/>
  <c r="K67" i="79"/>
  <c r="K64" i="79"/>
  <c r="K61" i="79"/>
  <c r="K58" i="79"/>
  <c r="FK103" i="79"/>
  <c r="K221" i="79"/>
  <c r="K232" i="79"/>
  <c r="DP232" i="79" s="1"/>
  <c r="K229" i="79"/>
  <c r="BU229" i="79" s="1"/>
  <c r="K225" i="79"/>
  <c r="K47" i="79"/>
  <c r="K213" i="79"/>
  <c r="K210" i="79"/>
  <c r="K194" i="79"/>
  <c r="Q293" i="80"/>
  <c r="Y294" i="80"/>
  <c r="BU153" i="80"/>
  <c r="FK223" i="79"/>
  <c r="FK188" i="79"/>
  <c r="AW120" i="80"/>
  <c r="AV120" i="80"/>
  <c r="K228" i="79"/>
  <c r="K234" i="79"/>
  <c r="K230" i="79"/>
  <c r="K226" i="79"/>
  <c r="K214" i="79"/>
  <c r="K211" i="79"/>
  <c r="K195" i="79"/>
  <c r="P195" i="79" s="1"/>
  <c r="FK176" i="79"/>
  <c r="FK470" i="79"/>
  <c r="X129" i="80"/>
  <c r="Y129" i="80"/>
  <c r="FK180" i="79"/>
  <c r="K92" i="79"/>
  <c r="K91" i="79"/>
  <c r="K90" i="79"/>
  <c r="K89" i="79"/>
  <c r="K88" i="79"/>
  <c r="K87" i="79"/>
  <c r="K250" i="79"/>
  <c r="K243" i="79"/>
  <c r="K242" i="79"/>
  <c r="K241" i="79"/>
  <c r="CB241" i="79" s="1"/>
  <c r="G26" i="79"/>
  <c r="K25" i="79"/>
  <c r="AF130" i="80"/>
  <c r="AG130" i="80"/>
  <c r="AO305" i="80"/>
  <c r="AN305" i="80"/>
  <c r="AN120" i="80"/>
  <c r="AO120" i="80"/>
  <c r="BM270" i="80"/>
  <c r="AF211" i="80"/>
  <c r="CR305" i="80"/>
  <c r="CS305" i="80"/>
  <c r="AF305" i="80"/>
  <c r="AG305" i="80"/>
  <c r="AV129" i="80"/>
  <c r="BM107" i="80"/>
  <c r="BL107" i="80"/>
  <c r="CB142" i="80"/>
  <c r="BU293" i="80"/>
  <c r="CI34" i="80"/>
  <c r="CJ294" i="80"/>
  <c r="CK99" i="80"/>
  <c r="DA294" i="80"/>
  <c r="DA297" i="80"/>
  <c r="DA129" i="80"/>
  <c r="DA123" i="80"/>
  <c r="DI309" i="80"/>
  <c r="CZ125" i="80"/>
  <c r="CY34" i="80"/>
  <c r="DH305" i="80"/>
  <c r="EN248" i="80"/>
  <c r="DP294" i="80"/>
  <c r="EF305" i="80"/>
  <c r="EG305" i="80"/>
  <c r="EF106" i="80"/>
  <c r="DY151" i="80"/>
  <c r="DW34" i="80"/>
  <c r="EO125" i="80"/>
  <c r="EV142" i="80"/>
  <c r="EW142" i="80"/>
  <c r="FD270" i="80"/>
  <c r="FE270" i="80"/>
  <c r="FE124" i="80"/>
  <c r="EO99" i="80"/>
  <c r="FD120" i="80"/>
  <c r="FE120" i="80"/>
  <c r="K275" i="80"/>
  <c r="FL270" i="80"/>
  <c r="FM270" i="80"/>
  <c r="FM297" i="80"/>
  <c r="K307" i="80"/>
  <c r="FD241" i="80"/>
  <c r="K141" i="80"/>
  <c r="FM153" i="80"/>
  <c r="K251" i="80"/>
  <c r="K268" i="80"/>
  <c r="FL294" i="80"/>
  <c r="FM294" i="80"/>
  <c r="FL309" i="80"/>
  <c r="FM309" i="80"/>
  <c r="K111" i="80"/>
  <c r="K71" i="80"/>
  <c r="K69" i="80"/>
  <c r="K67" i="80"/>
  <c r="K65" i="80"/>
  <c r="K114" i="80"/>
  <c r="K201" i="80"/>
  <c r="K195" i="80"/>
  <c r="DY195" i="80" s="1"/>
  <c r="FL142" i="80"/>
  <c r="K64" i="80"/>
  <c r="K113" i="80"/>
  <c r="K109" i="80"/>
  <c r="FL109" i="80" s="1"/>
  <c r="K231" i="80"/>
  <c r="K224" i="80"/>
  <c r="K140" i="80"/>
  <c r="K72" i="80"/>
  <c r="EO72" i="80" s="1"/>
  <c r="K70" i="80"/>
  <c r="DP70" i="80" s="1"/>
  <c r="K68" i="80"/>
  <c r="K66" i="80"/>
  <c r="FC34" i="80"/>
  <c r="K115" i="80"/>
  <c r="K112" i="80"/>
  <c r="K110" i="80"/>
  <c r="K104" i="80"/>
  <c r="K254" i="80"/>
  <c r="J20" i="77"/>
  <c r="K255" i="80"/>
  <c r="BL255" i="80" s="1"/>
  <c r="K252" i="80"/>
  <c r="K47" i="80"/>
  <c r="K212" i="80"/>
  <c r="K181" i="80"/>
  <c r="FL58" i="80"/>
  <c r="FL241" i="80"/>
  <c r="K199" i="80"/>
  <c r="K256" i="80"/>
  <c r="AV256" i="80" s="1"/>
  <c r="K253" i="80"/>
  <c r="FL232" i="80"/>
  <c r="K25" i="80"/>
  <c r="K210" i="80"/>
  <c r="K182" i="80"/>
  <c r="F17" i="35"/>
  <c r="FL89" i="80"/>
  <c r="K200" i="80"/>
  <c r="K191" i="80"/>
  <c r="H59" i="13"/>
  <c r="H59" i="85" s="1"/>
  <c r="J25" i="90" s="1"/>
  <c r="I59" i="13"/>
  <c r="I59" i="85" s="1"/>
  <c r="K25" i="90" s="1"/>
  <c r="J59" i="13"/>
  <c r="J59" i="85" s="1"/>
  <c r="L25" i="90" s="1"/>
  <c r="H58" i="13"/>
  <c r="H58" i="85" s="1"/>
  <c r="J24" i="90" s="1"/>
  <c r="I58" i="13"/>
  <c r="I58" i="85" s="1"/>
  <c r="K24" i="90" s="1"/>
  <c r="J58" i="13"/>
  <c r="J58" i="85" s="1"/>
  <c r="L24" i="90" s="1"/>
  <c r="H64" i="13"/>
  <c r="H64" i="85" s="1"/>
  <c r="J30" i="90" s="1"/>
  <c r="I64" i="13"/>
  <c r="I64" i="85" s="1"/>
  <c r="K30" i="90" s="1"/>
  <c r="J64" i="13"/>
  <c r="J64" i="85" s="1"/>
  <c r="L30" i="90" s="1"/>
  <c r="H57" i="13"/>
  <c r="H57" i="85" s="1"/>
  <c r="J23" i="90" s="1"/>
  <c r="J57" i="13"/>
  <c r="J57" i="85" s="1"/>
  <c r="L23" i="90" s="1"/>
  <c r="I57" i="13"/>
  <c r="I57" i="85" s="1"/>
  <c r="K23" i="90" s="1"/>
  <c r="I25" i="27"/>
  <c r="I301" i="85" s="1"/>
  <c r="K168" i="90" s="1"/>
  <c r="H25" i="27"/>
  <c r="H301" i="85" s="1"/>
  <c r="J168" i="90" s="1"/>
  <c r="J25" i="27"/>
  <c r="J301" i="85" s="1"/>
  <c r="L168" i="90" s="1"/>
  <c r="K214" i="80"/>
  <c r="H61" i="13"/>
  <c r="H61" i="85" s="1"/>
  <c r="J27" i="90" s="1"/>
  <c r="I61" i="13"/>
  <c r="I61" i="85" s="1"/>
  <c r="K27" i="90" s="1"/>
  <c r="J61" i="13"/>
  <c r="J61" i="85" s="1"/>
  <c r="L27" i="90" s="1"/>
  <c r="R44" i="35"/>
  <c r="Q44" i="35" s="1"/>
  <c r="R45" i="35"/>
  <c r="Q45" i="35" s="1"/>
  <c r="H31" i="26"/>
  <c r="H191" i="85" s="1"/>
  <c r="J107" i="90" s="1"/>
  <c r="I31" i="26"/>
  <c r="I191" i="85" s="1"/>
  <c r="K107" i="90" s="1"/>
  <c r="J31" i="26"/>
  <c r="J191" i="85" s="1"/>
  <c r="L107" i="90" s="1"/>
  <c r="I4" i="70" a="1"/>
  <c r="I4" i="70" s="1"/>
  <c r="J29" i="79"/>
  <c r="J30" i="79" s="1"/>
  <c r="H62" i="13"/>
  <c r="H62" i="85" s="1"/>
  <c r="I62" i="13"/>
  <c r="I62" i="85" s="1"/>
  <c r="H60" i="13"/>
  <c r="H60" i="85" s="1"/>
  <c r="J26" i="90" s="1"/>
  <c r="I60" i="13"/>
  <c r="I60" i="85" s="1"/>
  <c r="K26" i="90" s="1"/>
  <c r="H73" i="13"/>
  <c r="H73" i="85" s="1"/>
  <c r="J39" i="90" s="1"/>
  <c r="I73" i="13"/>
  <c r="I73" i="85" s="1"/>
  <c r="K39" i="90" s="1"/>
  <c r="J62" i="13"/>
  <c r="J62" i="85" s="1"/>
  <c r="H96" i="26"/>
  <c r="H256" i="85" s="1"/>
  <c r="J150" i="90" s="1"/>
  <c r="I96" i="26"/>
  <c r="I256" i="85" s="1"/>
  <c r="K150" i="90" s="1"/>
  <c r="M4" i="70" a="1"/>
  <c r="M4" i="70" s="1"/>
  <c r="F4" i="70" a="1"/>
  <c r="F4" i="70" s="1"/>
  <c r="X4" i="70" a="1"/>
  <c r="X4" i="70" s="1"/>
  <c r="V4" i="70" a="1"/>
  <c r="V4" i="70" s="1"/>
  <c r="T4" i="70" a="1"/>
  <c r="T4" i="70" s="1"/>
  <c r="R4" i="70" a="1"/>
  <c r="R4" i="70" s="1"/>
  <c r="P4" i="70" a="1"/>
  <c r="P4" i="70" s="1"/>
  <c r="N4" i="70" a="1"/>
  <c r="N4" i="70" s="1"/>
  <c r="H4" i="70" a="1"/>
  <c r="H4" i="70" s="1"/>
  <c r="J4" i="70" a="1"/>
  <c r="J4" i="70" s="1"/>
  <c r="K4" i="70" a="1"/>
  <c r="K4" i="70" s="1"/>
  <c r="Y4" i="70" a="1"/>
  <c r="Y4" i="70" s="1"/>
  <c r="W4" i="70" a="1"/>
  <c r="W4" i="70" s="1"/>
  <c r="U4" i="70" a="1"/>
  <c r="U4" i="70" s="1"/>
  <c r="S4" i="70" a="1"/>
  <c r="S4" i="70" s="1"/>
  <c r="Q4" i="70" a="1"/>
  <c r="Q4" i="70" s="1"/>
  <c r="O4" i="70" a="1"/>
  <c r="O4" i="70" s="1"/>
  <c r="L4" i="70" a="1"/>
  <c r="L4" i="70" s="1"/>
  <c r="G4" i="70" a="1"/>
  <c r="G4" i="70" s="1"/>
  <c r="EE29" i="79"/>
  <c r="CI29" i="79"/>
  <c r="I42" i="26"/>
  <c r="K29" i="80"/>
  <c r="EP120" i="80" l="1"/>
  <c r="FD153" i="80"/>
  <c r="BS19" i="79"/>
  <c r="DI107" i="80"/>
  <c r="BD107" i="80"/>
  <c r="G158" i="79"/>
  <c r="AW99" i="79"/>
  <c r="EO139" i="80"/>
  <c r="EF147" i="79"/>
  <c r="EW68" i="79"/>
  <c r="EF142" i="80"/>
  <c r="AV142" i="80"/>
  <c r="DI130" i="80"/>
  <c r="EG99" i="80"/>
  <c r="EF141" i="79"/>
  <c r="EW151" i="79"/>
  <c r="EX151" i="79" s="1"/>
  <c r="DI142" i="80"/>
  <c r="EO130" i="80"/>
  <c r="CZ151" i="79"/>
  <c r="BE130" i="80"/>
  <c r="DY155" i="79"/>
  <c r="EO120" i="79"/>
  <c r="X130" i="80"/>
  <c r="Q142" i="80"/>
  <c r="FK100" i="80"/>
  <c r="FL112" i="80"/>
  <c r="FM132" i="79"/>
  <c r="Q151" i="79"/>
  <c r="CR92" i="80"/>
  <c r="EN130" i="80"/>
  <c r="CR99" i="80"/>
  <c r="G158" i="80"/>
  <c r="AV130" i="80"/>
  <c r="BE151" i="79"/>
  <c r="AW151" i="79"/>
  <c r="BE142" i="80"/>
  <c r="DI99" i="80"/>
  <c r="AV141" i="79"/>
  <c r="AG151" i="79"/>
  <c r="EG124" i="80"/>
  <c r="EG130" i="80"/>
  <c r="DI92" i="80"/>
  <c r="EW99" i="80"/>
  <c r="DA141" i="79"/>
  <c r="AV97" i="79"/>
  <c r="DY97" i="79"/>
  <c r="BT130" i="80"/>
  <c r="FE142" i="80"/>
  <c r="AG139" i="79"/>
  <c r="CS71" i="79"/>
  <c r="BT151" i="79"/>
  <c r="EV130" i="80"/>
  <c r="EO141" i="79"/>
  <c r="BE129" i="80"/>
  <c r="DI149" i="80"/>
  <c r="P130" i="80"/>
  <c r="CK96" i="80"/>
  <c r="DA130" i="80"/>
  <c r="FD141" i="79"/>
  <c r="FF141" i="79" s="1"/>
  <c r="CC106" i="79"/>
  <c r="BT124" i="80"/>
  <c r="X123" i="80"/>
  <c r="DX130" i="80"/>
  <c r="FL153" i="80"/>
  <c r="EE34" i="80"/>
  <c r="CB130" i="80"/>
  <c r="FL70" i="80"/>
  <c r="CJ107" i="80"/>
  <c r="CS66" i="79"/>
  <c r="EV242" i="80"/>
  <c r="DA241" i="80"/>
  <c r="CB241" i="80"/>
  <c r="CS226" i="80"/>
  <c r="EV256" i="79"/>
  <c r="AG242" i="80"/>
  <c r="BD242" i="80"/>
  <c r="FL96" i="79"/>
  <c r="FL310" i="80"/>
  <c r="DH310" i="80"/>
  <c r="BK271" i="79"/>
  <c r="EM271" i="79"/>
  <c r="EU281" i="79"/>
  <c r="FE277" i="80"/>
  <c r="FE278" i="79"/>
  <c r="FD277" i="80"/>
  <c r="AM271" i="79"/>
  <c r="BK34" i="80"/>
  <c r="DR109" i="79"/>
  <c r="AF242" i="80"/>
  <c r="EO150" i="80"/>
  <c r="CC92" i="80"/>
  <c r="FE92" i="80"/>
  <c r="EO132" i="79"/>
  <c r="CL72" i="79"/>
  <c r="P193" i="79"/>
  <c r="Q92" i="80"/>
  <c r="CK232" i="80"/>
  <c r="EO244" i="79"/>
  <c r="EO232" i="80"/>
  <c r="CC206" i="80"/>
  <c r="BT181" i="79"/>
  <c r="BV181" i="79" s="1"/>
  <c r="BT241" i="80"/>
  <c r="EF241" i="80"/>
  <c r="EH241" i="80" s="1"/>
  <c r="AF232" i="80"/>
  <c r="FD194" i="80"/>
  <c r="AN232" i="80"/>
  <c r="AP232" i="80" s="1"/>
  <c r="EV232" i="80"/>
  <c r="CK276" i="80"/>
  <c r="FL243" i="80"/>
  <c r="BM242" i="80"/>
  <c r="BN72" i="79"/>
  <c r="CS242" i="80"/>
  <c r="DP310" i="80"/>
  <c r="BL310" i="80"/>
  <c r="BD310" i="80"/>
  <c r="DQ276" i="80"/>
  <c r="BU66" i="79"/>
  <c r="P243" i="80"/>
  <c r="AV91" i="79"/>
  <c r="CC139" i="80"/>
  <c r="CR243" i="80"/>
  <c r="CS22" i="79"/>
  <c r="CS398" i="79" s="1"/>
  <c r="AV243" i="80"/>
  <c r="P91" i="80"/>
  <c r="CJ184" i="79"/>
  <c r="BS202" i="79"/>
  <c r="CZ205" i="79"/>
  <c r="CK187" i="79"/>
  <c r="CK184" i="79"/>
  <c r="CZ199" i="79"/>
  <c r="BC202" i="79"/>
  <c r="O202" i="79"/>
  <c r="BC207" i="79"/>
  <c r="CC199" i="79"/>
  <c r="CJ187" i="79"/>
  <c r="DX210" i="80"/>
  <c r="FM205" i="79"/>
  <c r="AO178" i="79"/>
  <c r="CQ215" i="80"/>
  <c r="Q256" i="79"/>
  <c r="CZ250" i="80"/>
  <c r="DZ182" i="79"/>
  <c r="CR193" i="79"/>
  <c r="BM150" i="80"/>
  <c r="AN242" i="80"/>
  <c r="P24" i="80"/>
  <c r="P400" i="80" s="1"/>
  <c r="BL193" i="79"/>
  <c r="BT193" i="79"/>
  <c r="DQ150" i="80"/>
  <c r="AV242" i="80"/>
  <c r="Q139" i="79"/>
  <c r="EG150" i="80"/>
  <c r="DQ139" i="79"/>
  <c r="DR139" i="79" s="1"/>
  <c r="AV185" i="79"/>
  <c r="AV277" i="80"/>
  <c r="FE139" i="79"/>
  <c r="FM139" i="79"/>
  <c r="BE139" i="79"/>
  <c r="CD109" i="79"/>
  <c r="CC150" i="80"/>
  <c r="EW139" i="79"/>
  <c r="BM139" i="79"/>
  <c r="R99" i="79"/>
  <c r="X248" i="79"/>
  <c r="DX185" i="79"/>
  <c r="DZ185" i="79" s="1"/>
  <c r="AN310" i="80"/>
  <c r="EN310" i="80"/>
  <c r="DB99" i="79"/>
  <c r="BM249" i="79"/>
  <c r="DX193" i="79"/>
  <c r="DA249" i="79"/>
  <c r="AG22" i="79"/>
  <c r="AG398" i="79" s="1"/>
  <c r="Y276" i="80"/>
  <c r="DR72" i="79"/>
  <c r="EN185" i="79"/>
  <c r="EF193" i="79"/>
  <c r="P310" i="80"/>
  <c r="DA276" i="80"/>
  <c r="FM276" i="80"/>
  <c r="AO126" i="80"/>
  <c r="CJ193" i="79"/>
  <c r="EF185" i="79"/>
  <c r="FM242" i="80"/>
  <c r="FN242" i="80" s="1"/>
  <c r="DP193" i="79"/>
  <c r="DQ249" i="79"/>
  <c r="CR310" i="80"/>
  <c r="FE66" i="79"/>
  <c r="BU276" i="80"/>
  <c r="EW249" i="79"/>
  <c r="EW242" i="80"/>
  <c r="EX242" i="80" s="1"/>
  <c r="BE242" i="80"/>
  <c r="BF242" i="80" s="1"/>
  <c r="BE22" i="79"/>
  <c r="BE398" i="79" s="1"/>
  <c r="FL193" i="79"/>
  <c r="EP99" i="79"/>
  <c r="FM66" i="79"/>
  <c r="DX248" i="79"/>
  <c r="DB72" i="79"/>
  <c r="AN193" i="79"/>
  <c r="DY126" i="80"/>
  <c r="Q126" i="80"/>
  <c r="AG126" i="80"/>
  <c r="AN184" i="79"/>
  <c r="BD193" i="79"/>
  <c r="CJ310" i="80"/>
  <c r="CD99" i="79"/>
  <c r="CL109" i="79"/>
  <c r="CJ243" i="80"/>
  <c r="AF66" i="79"/>
  <c r="BE276" i="80"/>
  <c r="AX104" i="79"/>
  <c r="EV193" i="79"/>
  <c r="AF193" i="79"/>
  <c r="EN243" i="80"/>
  <c r="BU249" i="79"/>
  <c r="EN193" i="79"/>
  <c r="CB193" i="79"/>
  <c r="AW276" i="80"/>
  <c r="Q276" i="80"/>
  <c r="BT310" i="80"/>
  <c r="EV310" i="80"/>
  <c r="DQ22" i="79"/>
  <c r="DQ398" i="79" s="1"/>
  <c r="FD193" i="79"/>
  <c r="CR185" i="79"/>
  <c r="CZ193" i="79"/>
  <c r="FE276" i="80"/>
  <c r="FD310" i="80"/>
  <c r="DX243" i="80"/>
  <c r="AN243" i="80"/>
  <c r="BL243" i="80"/>
  <c r="BD243" i="80"/>
  <c r="DP243" i="80"/>
  <c r="EF243" i="80"/>
  <c r="DH243" i="80"/>
  <c r="EW250" i="80"/>
  <c r="DY249" i="79"/>
  <c r="AV248" i="79"/>
  <c r="AV243" i="79"/>
  <c r="X243" i="80"/>
  <c r="CB243" i="80"/>
  <c r="EV243" i="80"/>
  <c r="CZ243" i="80"/>
  <c r="FD243" i="80"/>
  <c r="BT243" i="80"/>
  <c r="AW242" i="80"/>
  <c r="BU91" i="80"/>
  <c r="AO91" i="80"/>
  <c r="AG91" i="80"/>
  <c r="FD91" i="80"/>
  <c r="FL91" i="80"/>
  <c r="DH91" i="80"/>
  <c r="AF91" i="80"/>
  <c r="FM91" i="80"/>
  <c r="BT91" i="80"/>
  <c r="BD91" i="80"/>
  <c r="EV91" i="80"/>
  <c r="AW91" i="80"/>
  <c r="CK91" i="80"/>
  <c r="EW91" i="80"/>
  <c r="EO66" i="79"/>
  <c r="AW66" i="79"/>
  <c r="AO66" i="79"/>
  <c r="BM71" i="79"/>
  <c r="FE71" i="79"/>
  <c r="FD139" i="79"/>
  <c r="BL147" i="79"/>
  <c r="CB87" i="80"/>
  <c r="EO249" i="79"/>
  <c r="CJ185" i="79"/>
  <c r="BD248" i="79"/>
  <c r="FE249" i="79"/>
  <c r="AF185" i="79"/>
  <c r="FD248" i="79"/>
  <c r="DH248" i="79"/>
  <c r="CB185" i="79"/>
  <c r="BE249" i="79"/>
  <c r="CZ248" i="79"/>
  <c r="Y249" i="79"/>
  <c r="BD184" i="79"/>
  <c r="CK249" i="79"/>
  <c r="AF248" i="79"/>
  <c r="DI249" i="79"/>
  <c r="CS249" i="79"/>
  <c r="BL248" i="79"/>
  <c r="CR248" i="79"/>
  <c r="BL185" i="79"/>
  <c r="AN248" i="79"/>
  <c r="EN248" i="79"/>
  <c r="BD185" i="79"/>
  <c r="P248" i="79"/>
  <c r="EF248" i="79"/>
  <c r="AO249" i="79"/>
  <c r="AW249" i="79"/>
  <c r="AX249" i="79" s="1"/>
  <c r="DB297" i="80"/>
  <c r="AG139" i="80"/>
  <c r="AV150" i="79"/>
  <c r="AF147" i="80"/>
  <c r="AF150" i="79"/>
  <c r="EG24" i="79"/>
  <c r="EG400" i="79" s="1"/>
  <c r="BM24" i="79"/>
  <c r="BM400" i="79" s="1"/>
  <c r="EO24" i="79"/>
  <c r="EO400" i="79" s="1"/>
  <c r="EX182" i="79"/>
  <c r="Z99" i="79"/>
  <c r="AO24" i="79"/>
  <c r="AO400" i="79" s="1"/>
  <c r="Q24" i="79"/>
  <c r="Q400" i="79" s="1"/>
  <c r="Y295" i="80"/>
  <c r="CC103" i="79"/>
  <c r="DY103" i="79"/>
  <c r="CJ150" i="79"/>
  <c r="P150" i="79"/>
  <c r="Q108" i="79"/>
  <c r="CR108" i="79"/>
  <c r="BM103" i="79"/>
  <c r="EW103" i="79"/>
  <c r="EX103" i="79" s="1"/>
  <c r="Q147" i="79"/>
  <c r="EO103" i="80"/>
  <c r="FM103" i="80"/>
  <c r="AO103" i="80"/>
  <c r="FE103" i="80"/>
  <c r="CS103" i="80"/>
  <c r="Y103" i="80"/>
  <c r="BM103" i="80"/>
  <c r="EG103" i="80"/>
  <c r="DH154" i="79"/>
  <c r="EN92" i="80"/>
  <c r="BT150" i="79"/>
  <c r="Y103" i="79"/>
  <c r="DX92" i="80"/>
  <c r="BE103" i="79"/>
  <c r="FE103" i="79"/>
  <c r="EO103" i="79"/>
  <c r="DY108" i="80"/>
  <c r="AF139" i="80"/>
  <c r="BM108" i="79"/>
  <c r="EF150" i="80"/>
  <c r="CS108" i="79"/>
  <c r="CS103" i="79"/>
  <c r="EH109" i="79"/>
  <c r="AN150" i="79"/>
  <c r="EV150" i="79"/>
  <c r="CK103" i="79"/>
  <c r="AG103" i="79"/>
  <c r="DX147" i="80"/>
  <c r="BT103" i="79"/>
  <c r="DP150" i="79"/>
  <c r="BT296" i="80"/>
  <c r="EN150" i="79"/>
  <c r="FD147" i="80"/>
  <c r="BU103" i="79"/>
  <c r="AV178" i="80"/>
  <c r="EG103" i="79"/>
  <c r="BT108" i="79"/>
  <c r="FL296" i="80"/>
  <c r="EF150" i="79"/>
  <c r="EH150" i="79" s="1"/>
  <c r="EW108" i="79"/>
  <c r="CZ150" i="79"/>
  <c r="BD87" i="80"/>
  <c r="CR150" i="79"/>
  <c r="CS140" i="79"/>
  <c r="DH150" i="79"/>
  <c r="EN278" i="79"/>
  <c r="AG92" i="80"/>
  <c r="DI150" i="80"/>
  <c r="AV150" i="80"/>
  <c r="BD92" i="80"/>
  <c r="BD132" i="79"/>
  <c r="CZ24" i="79"/>
  <c r="CZ400" i="79" s="1"/>
  <c r="FM139" i="80"/>
  <c r="FD126" i="80"/>
  <c r="BU108" i="80"/>
  <c r="BE248" i="79"/>
  <c r="P150" i="80"/>
  <c r="DX150" i="80"/>
  <c r="AN154" i="80"/>
  <c r="EO112" i="79"/>
  <c r="EP112" i="79" s="1"/>
  <c r="CB154" i="79"/>
  <c r="DY248" i="79"/>
  <c r="X103" i="79"/>
  <c r="BT280" i="79"/>
  <c r="AO22" i="80"/>
  <c r="AO398" i="80" s="1"/>
  <c r="DI248" i="79"/>
  <c r="AO248" i="79"/>
  <c r="FE248" i="79"/>
  <c r="EG248" i="79"/>
  <c r="BD22" i="79"/>
  <c r="BD398" i="79" s="1"/>
  <c r="AH104" i="79"/>
  <c r="EN187" i="79"/>
  <c r="AF103" i="79"/>
  <c r="DA22" i="80"/>
  <c r="DA398" i="80" s="1"/>
  <c r="Q154" i="80"/>
  <c r="CR22" i="79"/>
  <c r="CR398" i="79" s="1"/>
  <c r="FM112" i="79"/>
  <c r="AX99" i="79"/>
  <c r="BD108" i="79"/>
  <c r="FM296" i="80"/>
  <c r="CR250" i="80"/>
  <c r="CR278" i="79"/>
  <c r="BD24" i="79"/>
  <c r="BD400" i="79" s="1"/>
  <c r="BE108" i="79"/>
  <c r="P154" i="80"/>
  <c r="FM278" i="80"/>
  <c r="AV103" i="80"/>
  <c r="BM147" i="79"/>
  <c r="BU147" i="79"/>
  <c r="AV140" i="79"/>
  <c r="EN108" i="79"/>
  <c r="FD140" i="79"/>
  <c r="DI139" i="80"/>
  <c r="FE278" i="80"/>
  <c r="FL126" i="79"/>
  <c r="BT103" i="80"/>
  <c r="Q103" i="80"/>
  <c r="Q112" i="79"/>
  <c r="AW147" i="79"/>
  <c r="EN214" i="80"/>
  <c r="BU296" i="80"/>
  <c r="AW139" i="80"/>
  <c r="AF87" i="80"/>
  <c r="AH87" i="80" s="1"/>
  <c r="DH278" i="79"/>
  <c r="AW108" i="79"/>
  <c r="EW278" i="80"/>
  <c r="DA147" i="79"/>
  <c r="AF139" i="79"/>
  <c r="AH139" i="79" s="1"/>
  <c r="BE139" i="80"/>
  <c r="AG154" i="79"/>
  <c r="CZ103" i="79"/>
  <c r="CZ112" i="79"/>
  <c r="BL250" i="80"/>
  <c r="EG108" i="79"/>
  <c r="DZ99" i="79"/>
  <c r="CS147" i="79"/>
  <c r="AF280" i="79"/>
  <c r="DJ72" i="79"/>
  <c r="BT87" i="80"/>
  <c r="DP140" i="79"/>
  <c r="DI103" i="79"/>
  <c r="EF112" i="79"/>
  <c r="DH112" i="79"/>
  <c r="AW278" i="80"/>
  <c r="AX278" i="80" s="1"/>
  <c r="DQ108" i="79"/>
  <c r="DR108" i="79" s="1"/>
  <c r="FM108" i="79"/>
  <c r="AO108" i="79"/>
  <c r="DY139" i="80"/>
  <c r="BM278" i="80"/>
  <c r="AW126" i="79"/>
  <c r="CR280" i="79"/>
  <c r="DQ147" i="79"/>
  <c r="DH103" i="80"/>
  <c r="BD103" i="80"/>
  <c r="AN206" i="79"/>
  <c r="FL108" i="79"/>
  <c r="CC108" i="79"/>
  <c r="DI108" i="79"/>
  <c r="CB103" i="80"/>
  <c r="DX103" i="80"/>
  <c r="DP132" i="79"/>
  <c r="DP103" i="79"/>
  <c r="BT112" i="79"/>
  <c r="EG155" i="79"/>
  <c r="FM155" i="79"/>
  <c r="FL250" i="80"/>
  <c r="BM139" i="80"/>
  <c r="AF126" i="80"/>
  <c r="Q307" i="79"/>
  <c r="CB108" i="79"/>
  <c r="FE108" i="79"/>
  <c r="EW147" i="79"/>
  <c r="CJ103" i="80"/>
  <c r="BE112" i="79"/>
  <c r="AW112" i="79"/>
  <c r="X108" i="79"/>
  <c r="DI155" i="79"/>
  <c r="FD108" i="79"/>
  <c r="CC112" i="79"/>
  <c r="EV103" i="80"/>
  <c r="CZ87" i="80"/>
  <c r="CZ280" i="79"/>
  <c r="FL92" i="80"/>
  <c r="EO108" i="79"/>
  <c r="FL87" i="80"/>
  <c r="CZ178" i="79"/>
  <c r="DY108" i="79"/>
  <c r="EW87" i="80"/>
  <c r="AW87" i="80"/>
  <c r="X250" i="80"/>
  <c r="FE268" i="79"/>
  <c r="CR147" i="79"/>
  <c r="CZ103" i="80"/>
  <c r="DY147" i="79"/>
  <c r="Q96" i="80"/>
  <c r="CJ108" i="79"/>
  <c r="CB126" i="80"/>
  <c r="P140" i="79"/>
  <c r="BE280" i="80"/>
  <c r="DY278" i="80"/>
  <c r="EV87" i="80"/>
  <c r="AV87" i="80"/>
  <c r="Q139" i="80"/>
  <c r="R139" i="80" s="1"/>
  <c r="Y87" i="80"/>
  <c r="CL181" i="79"/>
  <c r="DH280" i="79"/>
  <c r="BL108" i="80"/>
  <c r="AF103" i="80"/>
  <c r="EV126" i="80"/>
  <c r="Y253" i="80"/>
  <c r="AO139" i="80"/>
  <c r="DQ103" i="80"/>
  <c r="BE147" i="79"/>
  <c r="DP87" i="80"/>
  <c r="BU108" i="79"/>
  <c r="DP126" i="80"/>
  <c r="CR140" i="79"/>
  <c r="BM227" i="80"/>
  <c r="AN87" i="80"/>
  <c r="AN126" i="80"/>
  <c r="AW108" i="80"/>
  <c r="EF126" i="80"/>
  <c r="CZ108" i="79"/>
  <c r="CS149" i="80"/>
  <c r="AN149" i="79"/>
  <c r="AN149" i="80"/>
  <c r="EF154" i="79"/>
  <c r="BU154" i="80"/>
  <c r="EG154" i="79"/>
  <c r="EV155" i="79"/>
  <c r="EN155" i="79"/>
  <c r="CK155" i="79"/>
  <c r="AE156" i="79"/>
  <c r="Y154" i="80"/>
  <c r="EO154" i="79"/>
  <c r="BD154" i="80"/>
  <c r="FL154" i="80"/>
  <c r="FL153" i="79"/>
  <c r="CZ154" i="79"/>
  <c r="AO154" i="80"/>
  <c r="EV153" i="80"/>
  <c r="CZ154" i="80"/>
  <c r="CB151" i="80"/>
  <c r="DY153" i="80"/>
  <c r="DQ151" i="79"/>
  <c r="FM154" i="80"/>
  <c r="DX154" i="80"/>
  <c r="BT154" i="80"/>
  <c r="AF151" i="79"/>
  <c r="AH151" i="79" s="1"/>
  <c r="DX154" i="79"/>
  <c r="DP155" i="79"/>
  <c r="BM153" i="79"/>
  <c r="AW153" i="79"/>
  <c r="AX153" i="79" s="1"/>
  <c r="EF154" i="80"/>
  <c r="AW150" i="79"/>
  <c r="CJ150" i="80"/>
  <c r="BT150" i="80"/>
  <c r="EO150" i="79"/>
  <c r="DI150" i="79"/>
  <c r="CS150" i="79"/>
  <c r="X150" i="80"/>
  <c r="DX150" i="79"/>
  <c r="DY149" i="79"/>
  <c r="CZ149" i="79"/>
  <c r="BE149" i="80"/>
  <c r="BM149" i="80"/>
  <c r="BD147" i="80"/>
  <c r="P147" i="80"/>
  <c r="AN147" i="80"/>
  <c r="FE147" i="80"/>
  <c r="BM147" i="80"/>
  <c r="FL147" i="80"/>
  <c r="AG147" i="80"/>
  <c r="AV147" i="80"/>
  <c r="AV147" i="79"/>
  <c r="EV147" i="79"/>
  <c r="CB147" i="80"/>
  <c r="CD147" i="80" s="1"/>
  <c r="Q147" i="80"/>
  <c r="AO147" i="79"/>
  <c r="EV147" i="80"/>
  <c r="CS147" i="80"/>
  <c r="BL147" i="80"/>
  <c r="CJ147" i="79"/>
  <c r="FM147" i="79"/>
  <c r="DQ147" i="80"/>
  <c r="DP147" i="80"/>
  <c r="EG147" i="80"/>
  <c r="EN147" i="80"/>
  <c r="DX147" i="79"/>
  <c r="EF147" i="80"/>
  <c r="AW147" i="80"/>
  <c r="CZ147" i="80"/>
  <c r="CR147" i="80"/>
  <c r="EO147" i="80"/>
  <c r="CB147" i="79"/>
  <c r="DI147" i="80"/>
  <c r="Y147" i="80"/>
  <c r="P147" i="79"/>
  <c r="AO147" i="80"/>
  <c r="BU147" i="80"/>
  <c r="BV147" i="80" s="1"/>
  <c r="BE147" i="80"/>
  <c r="DH147" i="80"/>
  <c r="X147" i="80"/>
  <c r="EW147" i="80"/>
  <c r="DP147" i="79"/>
  <c r="BT147" i="79"/>
  <c r="AO153" i="79"/>
  <c r="AP153" i="79" s="1"/>
  <c r="CZ153" i="80"/>
  <c r="DA155" i="79"/>
  <c r="X154" i="80"/>
  <c r="BU155" i="79"/>
  <c r="BD153" i="80"/>
  <c r="Y155" i="79"/>
  <c r="DY153" i="79"/>
  <c r="DZ153" i="79" s="1"/>
  <c r="DX155" i="79"/>
  <c r="DZ155" i="79" s="1"/>
  <c r="CB154" i="80"/>
  <c r="AV154" i="80"/>
  <c r="DH154" i="80"/>
  <c r="DJ154" i="80" s="1"/>
  <c r="P153" i="79"/>
  <c r="FL151" i="79"/>
  <c r="FN151" i="79" s="1"/>
  <c r="AG154" i="80"/>
  <c r="AH154" i="80" s="1"/>
  <c r="AG155" i="79"/>
  <c r="DA154" i="80"/>
  <c r="DA154" i="79"/>
  <c r="CC154" i="80"/>
  <c r="CK154" i="80"/>
  <c r="FD154" i="79"/>
  <c r="DX153" i="80"/>
  <c r="AF154" i="79"/>
  <c r="BT153" i="80"/>
  <c r="BV153" i="80" s="1"/>
  <c r="CJ154" i="79"/>
  <c r="DI153" i="79"/>
  <c r="FL154" i="79"/>
  <c r="BE153" i="79"/>
  <c r="EG154" i="80"/>
  <c r="DP153" i="79"/>
  <c r="EN154" i="79"/>
  <c r="CJ153" i="80"/>
  <c r="EV154" i="79"/>
  <c r="EO155" i="79"/>
  <c r="CS154" i="80"/>
  <c r="EO153" i="79"/>
  <c r="CR154" i="80"/>
  <c r="CJ155" i="79"/>
  <c r="CL155" i="79" s="1"/>
  <c r="AG153" i="79"/>
  <c r="AH153" i="79" s="1"/>
  <c r="DY154" i="80"/>
  <c r="CJ153" i="79"/>
  <c r="EW153" i="79"/>
  <c r="CZ155" i="79"/>
  <c r="BD154" i="79"/>
  <c r="BF154" i="79" s="1"/>
  <c r="FE155" i="79"/>
  <c r="CK153" i="79"/>
  <c r="CC154" i="79"/>
  <c r="Y153" i="79"/>
  <c r="BE150" i="79"/>
  <c r="DH150" i="80"/>
  <c r="FM150" i="79"/>
  <c r="CC150" i="79"/>
  <c r="CD150" i="79" s="1"/>
  <c r="AF150" i="80"/>
  <c r="Q150" i="79"/>
  <c r="DQ150" i="79"/>
  <c r="Y150" i="80"/>
  <c r="AG150" i="79"/>
  <c r="BU150" i="79"/>
  <c r="AO150" i="79"/>
  <c r="DA150" i="79"/>
  <c r="BL150" i="79"/>
  <c r="Y150" i="79"/>
  <c r="BD150" i="79"/>
  <c r="CT150" i="80"/>
  <c r="FE150" i="79"/>
  <c r="CK150" i="79"/>
  <c r="X149" i="79"/>
  <c r="CJ149" i="80"/>
  <c r="FL149" i="79"/>
  <c r="EW149" i="80"/>
  <c r="FE149" i="79"/>
  <c r="AO149" i="79"/>
  <c r="DX149" i="79"/>
  <c r="EH153" i="79"/>
  <c r="EW155" i="79"/>
  <c r="CC155" i="79"/>
  <c r="BD153" i="79"/>
  <c r="DY150" i="80"/>
  <c r="EF153" i="80"/>
  <c r="FL151" i="80"/>
  <c r="FN151" i="80" s="1"/>
  <c r="DX151" i="80"/>
  <c r="DZ151" i="80" s="1"/>
  <c r="X153" i="79"/>
  <c r="DI154" i="79"/>
  <c r="FM149" i="79"/>
  <c r="CJ149" i="79"/>
  <c r="DQ153" i="80"/>
  <c r="DR153" i="80" s="1"/>
  <c r="EW153" i="80"/>
  <c r="CC151" i="80"/>
  <c r="AW150" i="80"/>
  <c r="AW151" i="80"/>
  <c r="EN155" i="80"/>
  <c r="AN151" i="80"/>
  <c r="AP151" i="80" s="1"/>
  <c r="AO155" i="79"/>
  <c r="CK153" i="80"/>
  <c r="BM150" i="79"/>
  <c r="AV153" i="80"/>
  <c r="AX153" i="80" s="1"/>
  <c r="EN149" i="79"/>
  <c r="FL150" i="79"/>
  <c r="DY150" i="79"/>
  <c r="Q153" i="79"/>
  <c r="BE153" i="80"/>
  <c r="BL149" i="79"/>
  <c r="CR149" i="79"/>
  <c r="CT149" i="79" s="1"/>
  <c r="P153" i="80"/>
  <c r="AV151" i="80"/>
  <c r="DH155" i="79"/>
  <c r="FD150" i="79"/>
  <c r="EO149" i="79"/>
  <c r="EG149" i="79"/>
  <c r="EH149" i="79" s="1"/>
  <c r="EF151" i="79"/>
  <c r="BD151" i="79"/>
  <c r="BF151" i="79" s="1"/>
  <c r="BM149" i="79"/>
  <c r="DH153" i="80"/>
  <c r="FD151" i="80"/>
  <c r="FF151" i="80" s="1"/>
  <c r="X150" i="79"/>
  <c r="EV151" i="80"/>
  <c r="EX151" i="80" s="1"/>
  <c r="DP150" i="80"/>
  <c r="FL155" i="79"/>
  <c r="EV153" i="79"/>
  <c r="X151" i="80"/>
  <c r="Z151" i="80" s="1"/>
  <c r="BL153" i="79"/>
  <c r="AF155" i="79"/>
  <c r="EN151" i="80"/>
  <c r="EP151" i="80" s="1"/>
  <c r="X155" i="79"/>
  <c r="FD155" i="79"/>
  <c r="EW150" i="79"/>
  <c r="CC153" i="79"/>
  <c r="CD153" i="79" s="1"/>
  <c r="AO148" i="79"/>
  <c r="DW156" i="80"/>
  <c r="BU140" i="79"/>
  <c r="AF140" i="79"/>
  <c r="DO143" i="79"/>
  <c r="CZ140" i="79"/>
  <c r="DA140" i="79"/>
  <c r="BE140" i="79"/>
  <c r="DH140" i="79"/>
  <c r="P142" i="80"/>
  <c r="FE140" i="79"/>
  <c r="EF140" i="79"/>
  <c r="DI140" i="79"/>
  <c r="DY140" i="79"/>
  <c r="Q140" i="79"/>
  <c r="EG140" i="79"/>
  <c r="DQ140" i="79"/>
  <c r="DX140" i="79"/>
  <c r="AW140" i="79"/>
  <c r="CJ140" i="79"/>
  <c r="CL140" i="79" s="1"/>
  <c r="CC140" i="79"/>
  <c r="EE143" i="79"/>
  <c r="AN140" i="79"/>
  <c r="EO140" i="79"/>
  <c r="EP140" i="79" s="1"/>
  <c r="EW142" i="79"/>
  <c r="EX142" i="79" s="1"/>
  <c r="AG140" i="79"/>
  <c r="AW142" i="80"/>
  <c r="AX142" i="80" s="1"/>
  <c r="BK143" i="80"/>
  <c r="DX139" i="80"/>
  <c r="FL139" i="79"/>
  <c r="EN139" i="80"/>
  <c r="EP139" i="80" s="1"/>
  <c r="CB139" i="80"/>
  <c r="CJ139" i="79"/>
  <c r="FL139" i="80"/>
  <c r="AN139" i="80"/>
  <c r="EV139" i="80"/>
  <c r="EF139" i="79"/>
  <c r="EW139" i="80"/>
  <c r="DH139" i="80"/>
  <c r="FK143" i="80"/>
  <c r="DI129" i="80"/>
  <c r="DJ129" i="80" s="1"/>
  <c r="AN125" i="79"/>
  <c r="AP125" i="79" s="1"/>
  <c r="AV126" i="80"/>
  <c r="FL124" i="80"/>
  <c r="FN124" i="80" s="1"/>
  <c r="AO129" i="80"/>
  <c r="AP129" i="80" s="1"/>
  <c r="CK129" i="80"/>
  <c r="CL129" i="80" s="1"/>
  <c r="CK130" i="79"/>
  <c r="CL130" i="79" s="1"/>
  <c r="DQ124" i="80"/>
  <c r="DR124" i="80" s="1"/>
  <c r="CB125" i="79"/>
  <c r="CD125" i="79" s="1"/>
  <c r="FE130" i="79"/>
  <c r="FF130" i="79" s="1"/>
  <c r="CR132" i="79"/>
  <c r="DH126" i="80"/>
  <c r="BU125" i="79"/>
  <c r="BV125" i="79" s="1"/>
  <c r="AG124" i="80"/>
  <c r="AH124" i="80" s="1"/>
  <c r="FL120" i="80"/>
  <c r="FN120" i="80" s="1"/>
  <c r="DX126" i="80"/>
  <c r="DI126" i="80"/>
  <c r="DH126" i="79"/>
  <c r="EW126" i="80"/>
  <c r="Q120" i="79"/>
  <c r="R120" i="79" s="1"/>
  <c r="BL124" i="80"/>
  <c r="BN124" i="80" s="1"/>
  <c r="CK125" i="80"/>
  <c r="CL125" i="80" s="1"/>
  <c r="BE126" i="80"/>
  <c r="BF126" i="80" s="1"/>
  <c r="EG125" i="79"/>
  <c r="EH125" i="79" s="1"/>
  <c r="BE123" i="80"/>
  <c r="BT121" i="80"/>
  <c r="AW126" i="80"/>
  <c r="FE126" i="80"/>
  <c r="FL126" i="80"/>
  <c r="FN126" i="80" s="1"/>
  <c r="DX125" i="79"/>
  <c r="DZ125" i="79" s="1"/>
  <c r="BE123" i="79"/>
  <c r="DQ132" i="79"/>
  <c r="DA124" i="80"/>
  <c r="DB124" i="80" s="1"/>
  <c r="AV115" i="79"/>
  <c r="AX115" i="79" s="1"/>
  <c r="AN115" i="79"/>
  <c r="CK114" i="79"/>
  <c r="CL114" i="79" s="1"/>
  <c r="FD114" i="79"/>
  <c r="FF114" i="79" s="1"/>
  <c r="DA112" i="79"/>
  <c r="CR112" i="79"/>
  <c r="X112" i="79"/>
  <c r="Z112" i="79" s="1"/>
  <c r="CJ112" i="79"/>
  <c r="EG112" i="79"/>
  <c r="BD112" i="79"/>
  <c r="P112" i="79"/>
  <c r="DP112" i="79"/>
  <c r="DQ112" i="79"/>
  <c r="CB112" i="79"/>
  <c r="BU112" i="79"/>
  <c r="BL112" i="79"/>
  <c r="AF112" i="79"/>
  <c r="BM112" i="79"/>
  <c r="DH115" i="79"/>
  <c r="DJ115" i="79" s="1"/>
  <c r="BD109" i="79"/>
  <c r="BF109" i="79" s="1"/>
  <c r="Y113" i="79"/>
  <c r="Z113" i="79" s="1"/>
  <c r="FL115" i="79"/>
  <c r="FN115" i="79" s="1"/>
  <c r="DY109" i="79"/>
  <c r="DZ109" i="79" s="1"/>
  <c r="CZ113" i="79"/>
  <c r="FM114" i="79"/>
  <c r="FN114" i="79" s="1"/>
  <c r="BD115" i="79"/>
  <c r="BF115" i="79" s="1"/>
  <c r="BT113" i="79"/>
  <c r="EW109" i="79"/>
  <c r="EX109" i="79" s="1"/>
  <c r="EW114" i="79"/>
  <c r="EX114" i="79" s="1"/>
  <c r="AG112" i="79"/>
  <c r="AO109" i="79"/>
  <c r="AP109" i="79" s="1"/>
  <c r="AO115" i="79"/>
  <c r="BL113" i="79"/>
  <c r="BT109" i="79"/>
  <c r="BV109" i="79" s="1"/>
  <c r="AV113" i="79"/>
  <c r="P113" i="79"/>
  <c r="CR109" i="79"/>
  <c r="CT109" i="79" s="1"/>
  <c r="BL115" i="79"/>
  <c r="BN115" i="79" s="1"/>
  <c r="AG115" i="79"/>
  <c r="AH115" i="79" s="1"/>
  <c r="AG109" i="79"/>
  <c r="AH109" i="79" s="1"/>
  <c r="AW114" i="79"/>
  <c r="AX114" i="79" s="1"/>
  <c r="Y109" i="79"/>
  <c r="Z109" i="79" s="1"/>
  <c r="BL112" i="80"/>
  <c r="DI112" i="79"/>
  <c r="CR115" i="79"/>
  <c r="CT115" i="79" s="1"/>
  <c r="AM116" i="79"/>
  <c r="P108" i="79"/>
  <c r="AF108" i="79"/>
  <c r="AH108" i="79" s="1"/>
  <c r="DX108" i="79"/>
  <c r="EF108" i="79"/>
  <c r="P108" i="80"/>
  <c r="EV108" i="79"/>
  <c r="CZ108" i="80"/>
  <c r="BE108" i="80"/>
  <c r="BL108" i="79"/>
  <c r="FL108" i="80"/>
  <c r="DA108" i="79"/>
  <c r="AO108" i="80"/>
  <c r="EV108" i="80"/>
  <c r="AN108" i="79"/>
  <c r="Y108" i="80"/>
  <c r="DH108" i="79"/>
  <c r="CB108" i="80"/>
  <c r="DQ108" i="80"/>
  <c r="AV108" i="79"/>
  <c r="EN108" i="80"/>
  <c r="CS108" i="80"/>
  <c r="Y108" i="79"/>
  <c r="DH108" i="80"/>
  <c r="CK108" i="79"/>
  <c r="EF108" i="80"/>
  <c r="FE108" i="80"/>
  <c r="CK108" i="80"/>
  <c r="AG108" i="80"/>
  <c r="BC116" i="79"/>
  <c r="BE107" i="80"/>
  <c r="BF107" i="80" s="1"/>
  <c r="W116" i="79"/>
  <c r="AE116" i="79"/>
  <c r="DX112" i="79"/>
  <c r="DY112" i="79"/>
  <c r="EG113" i="79"/>
  <c r="EH113" i="79" s="1"/>
  <c r="FD115" i="79"/>
  <c r="FF115" i="79" s="1"/>
  <c r="DH109" i="79"/>
  <c r="DJ109" i="79" s="1"/>
  <c r="X115" i="79"/>
  <c r="Z115" i="79" s="1"/>
  <c r="EV106" i="79"/>
  <c r="DH114" i="79"/>
  <c r="DJ114" i="79" s="1"/>
  <c r="EV104" i="79"/>
  <c r="EX104" i="79" s="1"/>
  <c r="Q115" i="79"/>
  <c r="P115" i="79"/>
  <c r="CK113" i="79"/>
  <c r="CZ115" i="79"/>
  <c r="DB115" i="79" s="1"/>
  <c r="BD113" i="79"/>
  <c r="BF113" i="79" s="1"/>
  <c r="DX115" i="79"/>
  <c r="DZ115" i="79" s="1"/>
  <c r="AW113" i="79"/>
  <c r="DX104" i="79"/>
  <c r="DZ104" i="79" s="1"/>
  <c r="AN112" i="79"/>
  <c r="AO112" i="79"/>
  <c r="EG104" i="79"/>
  <c r="EH104" i="79" s="1"/>
  <c r="CK112" i="79"/>
  <c r="CB115" i="79"/>
  <c r="CD115" i="79" s="1"/>
  <c r="BM113" i="79"/>
  <c r="DP115" i="79"/>
  <c r="DR115" i="79" s="1"/>
  <c r="DH113" i="79"/>
  <c r="X106" i="79"/>
  <c r="CR106" i="79"/>
  <c r="DO116" i="79"/>
  <c r="BT115" i="79"/>
  <c r="BV115" i="79" s="1"/>
  <c r="CS113" i="79"/>
  <c r="CT113" i="79" s="1"/>
  <c r="BU114" i="79"/>
  <c r="BV114" i="79" s="1"/>
  <c r="AG113" i="79"/>
  <c r="AW109" i="79"/>
  <c r="AX109" i="79" s="1"/>
  <c r="AO113" i="79"/>
  <c r="AP113" i="79" s="1"/>
  <c r="EN113" i="79"/>
  <c r="EP113" i="79" s="1"/>
  <c r="Q113" i="79"/>
  <c r="BD114" i="79"/>
  <c r="BF114" i="79" s="1"/>
  <c r="CJ113" i="79"/>
  <c r="CC113" i="79"/>
  <c r="CD113" i="79" s="1"/>
  <c r="AV112" i="79"/>
  <c r="CJ115" i="79"/>
  <c r="CL115" i="79" s="1"/>
  <c r="EF115" i="79"/>
  <c r="EH115" i="79" s="1"/>
  <c r="DI113" i="79"/>
  <c r="Y114" i="79"/>
  <c r="Z114" i="79" s="1"/>
  <c r="FL113" i="79"/>
  <c r="FN113" i="79" s="1"/>
  <c r="CS112" i="79"/>
  <c r="DQ113" i="79"/>
  <c r="DR113" i="79" s="1"/>
  <c r="AF113" i="79"/>
  <c r="DY113" i="79"/>
  <c r="DZ113" i="79" s="1"/>
  <c r="EF113" i="80"/>
  <c r="Q114" i="79"/>
  <c r="R114" i="79" s="1"/>
  <c r="CC114" i="79"/>
  <c r="CD114" i="79" s="1"/>
  <c r="BU113" i="79"/>
  <c r="O116" i="79"/>
  <c r="CC106" i="80"/>
  <c r="AV114" i="80"/>
  <c r="P109" i="79"/>
  <c r="R109" i="79" s="1"/>
  <c r="DA113" i="79"/>
  <c r="BD104" i="80"/>
  <c r="P103" i="79"/>
  <c r="Q103" i="79"/>
  <c r="EF103" i="79"/>
  <c r="BD103" i="79"/>
  <c r="DH103" i="79"/>
  <c r="CB103" i="79"/>
  <c r="CR103" i="79"/>
  <c r="BL103" i="79"/>
  <c r="DX103" i="79"/>
  <c r="AN103" i="79"/>
  <c r="AP103" i="79" s="1"/>
  <c r="FD103" i="79"/>
  <c r="EN103" i="79"/>
  <c r="DA103" i="79"/>
  <c r="DQ103" i="79"/>
  <c r="CJ103" i="79"/>
  <c r="CK99" i="79"/>
  <c r="CL99" i="79" s="1"/>
  <c r="EF99" i="79"/>
  <c r="EG99" i="79"/>
  <c r="EF99" i="80"/>
  <c r="EH99" i="80" s="1"/>
  <c r="BM99" i="79"/>
  <c r="BN99" i="79" s="1"/>
  <c r="EM100" i="80"/>
  <c r="EE100" i="80"/>
  <c r="AF99" i="79"/>
  <c r="AG99" i="79"/>
  <c r="FM97" i="80"/>
  <c r="DP97" i="80"/>
  <c r="FD92" i="80"/>
  <c r="FM92" i="80"/>
  <c r="BL92" i="80"/>
  <c r="EF92" i="80"/>
  <c r="BE92" i="80"/>
  <c r="AW92" i="80"/>
  <c r="DY92" i="80"/>
  <c r="X89" i="80"/>
  <c r="AE93" i="80"/>
  <c r="AV92" i="80"/>
  <c r="Q91" i="80"/>
  <c r="R91" i="80" s="1"/>
  <c r="DH92" i="80"/>
  <c r="DJ92" i="80" s="1"/>
  <c r="CJ92" i="80"/>
  <c r="AN91" i="80"/>
  <c r="FE91" i="80"/>
  <c r="AN92" i="80"/>
  <c r="BM92" i="80"/>
  <c r="CB92" i="80"/>
  <c r="CD91" i="80"/>
  <c r="AV91" i="80"/>
  <c r="BE91" i="80"/>
  <c r="DA92" i="80"/>
  <c r="BE87" i="80"/>
  <c r="AO87" i="80"/>
  <c r="FE87" i="80"/>
  <c r="EO87" i="80"/>
  <c r="DH87" i="80"/>
  <c r="EG87" i="80"/>
  <c r="DY87" i="80"/>
  <c r="CC87" i="80"/>
  <c r="X69" i="79"/>
  <c r="Z69" i="79" s="1"/>
  <c r="DQ69" i="79"/>
  <c r="DR69" i="79" s="1"/>
  <c r="AN69" i="79"/>
  <c r="AP69" i="79" s="1"/>
  <c r="Y66" i="79"/>
  <c r="BD58" i="80"/>
  <c r="BF58" i="80" s="1"/>
  <c r="AG66" i="79"/>
  <c r="BM66" i="79"/>
  <c r="EO69" i="79"/>
  <c r="EP69" i="79" s="1"/>
  <c r="EO72" i="79"/>
  <c r="EP72" i="79" s="1"/>
  <c r="BE66" i="79"/>
  <c r="BD72" i="79"/>
  <c r="BE72" i="79"/>
  <c r="CK66" i="79"/>
  <c r="BL68" i="79"/>
  <c r="BN68" i="79" s="1"/>
  <c r="O77" i="80"/>
  <c r="DQ66" i="79"/>
  <c r="AN72" i="79"/>
  <c r="AO72" i="79"/>
  <c r="EW69" i="79"/>
  <c r="EX69" i="79" s="1"/>
  <c r="DA66" i="79"/>
  <c r="EE77" i="80"/>
  <c r="BD68" i="79"/>
  <c r="BF68" i="79" s="1"/>
  <c r="CB72" i="79"/>
  <c r="CC72" i="79"/>
  <c r="DY68" i="79"/>
  <c r="DZ68" i="79" s="1"/>
  <c r="EG66" i="79"/>
  <c r="DI66" i="79"/>
  <c r="CC66" i="79"/>
  <c r="AF72" i="79"/>
  <c r="AG72" i="79"/>
  <c r="FD71" i="79"/>
  <c r="EW66" i="79"/>
  <c r="DY66" i="79"/>
  <c r="Q66" i="79"/>
  <c r="DY253" i="79"/>
  <c r="CB310" i="79"/>
  <c r="BD310" i="79"/>
  <c r="EO253" i="79"/>
  <c r="DI33" i="80"/>
  <c r="DI404" i="80" s="1"/>
  <c r="DI419" i="80" s="1"/>
  <c r="DQ295" i="79"/>
  <c r="AV310" i="79"/>
  <c r="X310" i="79"/>
  <c r="DX310" i="79"/>
  <c r="AG295" i="79"/>
  <c r="CR278" i="80"/>
  <c r="BT278" i="80"/>
  <c r="BV278" i="80" s="1"/>
  <c r="EO295" i="79"/>
  <c r="DP310" i="79"/>
  <c r="BL310" i="79"/>
  <c r="EV310" i="79"/>
  <c r="AF310" i="79"/>
  <c r="EW295" i="79"/>
  <c r="AW295" i="79"/>
  <c r="CJ310" i="79"/>
  <c r="CL310" i="79" s="1"/>
  <c r="EN310" i="79"/>
  <c r="DX178" i="80"/>
  <c r="DP178" i="80"/>
  <c r="BT178" i="80"/>
  <c r="FD178" i="80"/>
  <c r="BD178" i="80"/>
  <c r="AF178" i="80"/>
  <c r="EO306" i="79"/>
  <c r="CJ178" i="80"/>
  <c r="DQ206" i="79"/>
  <c r="EV178" i="80"/>
  <c r="DH178" i="80"/>
  <c r="EN178" i="80"/>
  <c r="CZ178" i="80"/>
  <c r="X178" i="80"/>
  <c r="P178" i="80"/>
  <c r="DA295" i="80"/>
  <c r="EO33" i="80"/>
  <c r="EO404" i="80" s="1"/>
  <c r="EO419" i="80" s="1"/>
  <c r="CJ296" i="80"/>
  <c r="DA296" i="80"/>
  <c r="D49" i="35"/>
  <c r="FL278" i="79"/>
  <c r="Q24" i="80"/>
  <c r="Q400" i="80" s="1"/>
  <c r="AN22" i="79"/>
  <c r="AN398" i="79" s="1"/>
  <c r="CS227" i="80"/>
  <c r="DQ311" i="79"/>
  <c r="AG244" i="79"/>
  <c r="FE280" i="80"/>
  <c r="FE311" i="79"/>
  <c r="FM268" i="80"/>
  <c r="AN310" i="79"/>
  <c r="Q296" i="80"/>
  <c r="DA295" i="79"/>
  <c r="BT310" i="79"/>
  <c r="CB199" i="79"/>
  <c r="AV199" i="79"/>
  <c r="FE188" i="79"/>
  <c r="FF188" i="79" s="1"/>
  <c r="Q244" i="79"/>
  <c r="R244" i="79" s="1"/>
  <c r="DH250" i="80"/>
  <c r="DX278" i="79"/>
  <c r="BE184" i="79"/>
  <c r="CR187" i="79"/>
  <c r="EO246" i="80"/>
  <c r="Y250" i="80"/>
  <c r="DQ250" i="80"/>
  <c r="DI176" i="79"/>
  <c r="BU176" i="79"/>
  <c r="FM185" i="79"/>
  <c r="Q277" i="80"/>
  <c r="DY176" i="79"/>
  <c r="DZ176" i="79" s="1"/>
  <c r="BM250" i="80"/>
  <c r="CS253" i="79"/>
  <c r="EG176" i="79"/>
  <c r="Y248" i="79"/>
  <c r="Z248" i="79" s="1"/>
  <c r="AW248" i="79"/>
  <c r="P296" i="80"/>
  <c r="DH295" i="80"/>
  <c r="EW199" i="79"/>
  <c r="EO199" i="79"/>
  <c r="FM248" i="79"/>
  <c r="CS246" i="80"/>
  <c r="FL295" i="80"/>
  <c r="AN295" i="80"/>
  <c r="AV295" i="80"/>
  <c r="AG199" i="79"/>
  <c r="FL200" i="79"/>
  <c r="BM248" i="79"/>
  <c r="AW246" i="80"/>
  <c r="EV199" i="79"/>
  <c r="DQ199" i="79"/>
  <c r="BM185" i="79"/>
  <c r="Q199" i="79"/>
  <c r="EN244" i="79"/>
  <c r="DQ185" i="79"/>
  <c r="CS185" i="79"/>
  <c r="P199" i="79"/>
  <c r="CS189" i="79"/>
  <c r="CT189" i="79" s="1"/>
  <c r="EO250" i="80"/>
  <c r="DA250" i="80"/>
  <c r="CC185" i="79"/>
  <c r="BE185" i="79"/>
  <c r="AF244" i="79"/>
  <c r="BU199" i="79"/>
  <c r="BT199" i="79"/>
  <c r="BM199" i="79"/>
  <c r="CS199" i="79"/>
  <c r="EN295" i="79"/>
  <c r="CL245" i="79"/>
  <c r="DI199" i="79"/>
  <c r="FE185" i="79"/>
  <c r="BE199" i="79"/>
  <c r="Y199" i="79"/>
  <c r="CB244" i="79"/>
  <c r="FD244" i="79"/>
  <c r="X244" i="79"/>
  <c r="DY199" i="79"/>
  <c r="AF278" i="79"/>
  <c r="EG185" i="79"/>
  <c r="AG189" i="79"/>
  <c r="AH189" i="79" s="1"/>
  <c r="Y185" i="79"/>
  <c r="FE199" i="79"/>
  <c r="EG199" i="79"/>
  <c r="CK185" i="79"/>
  <c r="CK199" i="79"/>
  <c r="DA199" i="79"/>
  <c r="X185" i="80"/>
  <c r="AO199" i="79"/>
  <c r="AN199" i="79"/>
  <c r="FL295" i="79"/>
  <c r="FN295" i="79" s="1"/>
  <c r="AG185" i="79"/>
  <c r="EN199" i="79"/>
  <c r="EW185" i="79"/>
  <c r="EX185" i="79" s="1"/>
  <c r="AW199" i="79"/>
  <c r="DQ253" i="79"/>
  <c r="AN200" i="79"/>
  <c r="AN311" i="79"/>
  <c r="DP244" i="79"/>
  <c r="AF311" i="79"/>
  <c r="DY246" i="80"/>
  <c r="BT311" i="79"/>
  <c r="AG253" i="79"/>
  <c r="DP311" i="79"/>
  <c r="CZ244" i="79"/>
  <c r="AN244" i="79"/>
  <c r="P306" i="80"/>
  <c r="FD278" i="79"/>
  <c r="FF278" i="79" s="1"/>
  <c r="CZ311" i="79"/>
  <c r="CB311" i="79"/>
  <c r="BM206" i="80"/>
  <c r="BD253" i="79"/>
  <c r="FE253" i="79"/>
  <c r="Y253" i="79"/>
  <c r="CK253" i="79"/>
  <c r="EW253" i="79"/>
  <c r="EX253" i="79" s="1"/>
  <c r="DH253" i="79"/>
  <c r="BL253" i="79"/>
  <c r="DX253" i="79"/>
  <c r="X253" i="79"/>
  <c r="FL253" i="79"/>
  <c r="EN253" i="79"/>
  <c r="AO250" i="80"/>
  <c r="CC249" i="79"/>
  <c r="EG249" i="79"/>
  <c r="DI250" i="80"/>
  <c r="DP253" i="79"/>
  <c r="CR253" i="79"/>
  <c r="FD253" i="79"/>
  <c r="Q249" i="79"/>
  <c r="AF253" i="79"/>
  <c r="BE253" i="79"/>
  <c r="CJ253" i="79"/>
  <c r="BM253" i="79"/>
  <c r="CZ253" i="79"/>
  <c r="DB253" i="79" s="1"/>
  <c r="DI253" i="79"/>
  <c r="EG246" i="80"/>
  <c r="FM246" i="80"/>
  <c r="CK246" i="80"/>
  <c r="CB246" i="80"/>
  <c r="Y246" i="80"/>
  <c r="DQ246" i="80"/>
  <c r="BT246" i="80"/>
  <c r="DH246" i="80"/>
  <c r="P246" i="80"/>
  <c r="CZ246" i="80"/>
  <c r="AN246" i="80"/>
  <c r="FE246" i="80"/>
  <c r="BL246" i="80"/>
  <c r="BU244" i="79"/>
  <c r="AV244" i="79"/>
  <c r="FM244" i="79"/>
  <c r="CJ244" i="79"/>
  <c r="CS244" i="79"/>
  <c r="EF244" i="79"/>
  <c r="DY244" i="79"/>
  <c r="EW244" i="79"/>
  <c r="BM244" i="79"/>
  <c r="BD244" i="79"/>
  <c r="E14" i="69"/>
  <c r="BU185" i="79"/>
  <c r="Q185" i="79"/>
  <c r="BL296" i="79"/>
  <c r="DI295" i="79"/>
  <c r="Y310" i="79"/>
  <c r="AN278" i="79"/>
  <c r="X296" i="80"/>
  <c r="CZ200" i="79"/>
  <c r="DB200" i="79" s="1"/>
  <c r="CZ185" i="79"/>
  <c r="BT187" i="79"/>
  <c r="DX306" i="80"/>
  <c r="BT277" i="80"/>
  <c r="CK176" i="79"/>
  <c r="BD311" i="80"/>
  <c r="DI311" i="79"/>
  <c r="EF306" i="80"/>
  <c r="CJ306" i="80"/>
  <c r="CK277" i="80"/>
  <c r="Q189" i="79"/>
  <c r="Y278" i="80"/>
  <c r="AO185" i="79"/>
  <c r="P310" i="79"/>
  <c r="CK311" i="79"/>
  <c r="EV311" i="80"/>
  <c r="CJ311" i="80"/>
  <c r="DP311" i="80"/>
  <c r="DP296" i="80"/>
  <c r="CZ176" i="79"/>
  <c r="CB176" i="79"/>
  <c r="P278" i="80"/>
  <c r="EF310" i="79"/>
  <c r="EV311" i="79"/>
  <c r="P185" i="80"/>
  <c r="BT192" i="80"/>
  <c r="X192" i="80"/>
  <c r="BT193" i="80"/>
  <c r="EW227" i="80"/>
  <c r="AV185" i="80"/>
  <c r="AW176" i="79"/>
  <c r="AG296" i="80"/>
  <c r="AF278" i="80"/>
  <c r="CR296" i="79"/>
  <c r="AV192" i="80"/>
  <c r="CS192" i="80"/>
  <c r="BE189" i="79"/>
  <c r="CZ278" i="80"/>
  <c r="FE205" i="80"/>
  <c r="AO193" i="80"/>
  <c r="EO296" i="80"/>
  <c r="AO278" i="80"/>
  <c r="EF311" i="79"/>
  <c r="EN311" i="79"/>
  <c r="BE176" i="80"/>
  <c r="DH185" i="80"/>
  <c r="BD278" i="80"/>
  <c r="BE279" i="79"/>
  <c r="FD311" i="80"/>
  <c r="CR193" i="80"/>
  <c r="DP295" i="80"/>
  <c r="DR295" i="80" s="1"/>
  <c r="EV278" i="80"/>
  <c r="AF177" i="80"/>
  <c r="DX295" i="79"/>
  <c r="AO295" i="79"/>
  <c r="AV296" i="80"/>
  <c r="EG176" i="80"/>
  <c r="CR295" i="79"/>
  <c r="DH278" i="80"/>
  <c r="CK295" i="79"/>
  <c r="BT280" i="80"/>
  <c r="BT278" i="79"/>
  <c r="P278" i="79"/>
  <c r="DP278" i="80"/>
  <c r="EF278" i="79"/>
  <c r="CS296" i="80"/>
  <c r="DX278" i="80"/>
  <c r="BL278" i="79"/>
  <c r="FL278" i="80"/>
  <c r="Y295" i="79"/>
  <c r="AG311" i="79"/>
  <c r="W480" i="79"/>
  <c r="E73" i="37"/>
  <c r="CZ310" i="79"/>
  <c r="FD311" i="79"/>
  <c r="FE309" i="80"/>
  <c r="FF309" i="80" s="1"/>
  <c r="X306" i="80"/>
  <c r="DA311" i="79"/>
  <c r="CC311" i="79"/>
  <c r="BU311" i="80"/>
  <c r="BD311" i="79"/>
  <c r="CR311" i="79"/>
  <c r="CT311" i="79" s="1"/>
  <c r="BE311" i="79"/>
  <c r="AW311" i="79"/>
  <c r="CY313" i="79"/>
  <c r="DY311" i="80"/>
  <c r="DI311" i="80"/>
  <c r="CZ311" i="80"/>
  <c r="AO311" i="80"/>
  <c r="CB311" i="80"/>
  <c r="P311" i="79"/>
  <c r="EG311" i="79"/>
  <c r="BE311" i="80"/>
  <c r="CJ311" i="79"/>
  <c r="BL311" i="79"/>
  <c r="FM311" i="79"/>
  <c r="W313" i="79"/>
  <c r="EO311" i="80"/>
  <c r="X311" i="80"/>
  <c r="EF307" i="80"/>
  <c r="EW311" i="79"/>
  <c r="DH311" i="79"/>
  <c r="CR311" i="80"/>
  <c r="EO310" i="79"/>
  <c r="EO311" i="79"/>
  <c r="AV311" i="80"/>
  <c r="DX311" i="79"/>
  <c r="EE313" i="79"/>
  <c r="DY311" i="79"/>
  <c r="AW310" i="79"/>
  <c r="Q311" i="79"/>
  <c r="BM311" i="79"/>
  <c r="Y311" i="79"/>
  <c r="Z311" i="79" s="1"/>
  <c r="AV311" i="79"/>
  <c r="DI310" i="79"/>
  <c r="DJ310" i="79" s="1"/>
  <c r="AO311" i="79"/>
  <c r="CS306" i="80"/>
  <c r="BU311" i="79"/>
  <c r="EU313" i="79"/>
  <c r="AE313" i="79"/>
  <c r="G315" i="79"/>
  <c r="G331" i="79" s="1"/>
  <c r="DY297" i="80"/>
  <c r="DZ297" i="80" s="1"/>
  <c r="DH297" i="79"/>
  <c r="DJ297" i="79" s="1"/>
  <c r="CR297" i="79"/>
  <c r="CT297" i="79" s="1"/>
  <c r="DH297" i="80"/>
  <c r="AU298" i="79"/>
  <c r="O298" i="79"/>
  <c r="CZ294" i="79"/>
  <c r="DX294" i="79"/>
  <c r="AE298" i="79"/>
  <c r="BC298" i="79"/>
  <c r="AN295" i="79"/>
  <c r="Y293" i="79"/>
  <c r="Z293" i="79" s="1"/>
  <c r="AW297" i="80"/>
  <c r="AX297" i="80" s="1"/>
  <c r="AF297" i="79"/>
  <c r="AH297" i="79" s="1"/>
  <c r="EO293" i="79"/>
  <c r="EP293" i="79" s="1"/>
  <c r="AW295" i="80"/>
  <c r="AF293" i="80"/>
  <c r="AH293" i="80" s="1"/>
  <c r="EN297" i="80"/>
  <c r="AM298" i="79"/>
  <c r="BD297" i="80"/>
  <c r="EF297" i="80"/>
  <c r="FL297" i="80"/>
  <c r="FN297" i="80" s="1"/>
  <c r="AO295" i="80"/>
  <c r="AV297" i="79"/>
  <c r="AX297" i="79" s="1"/>
  <c r="CZ296" i="80"/>
  <c r="EW297" i="80"/>
  <c r="EG297" i="80"/>
  <c r="CK293" i="79"/>
  <c r="CL293" i="79" s="1"/>
  <c r="BE296" i="80"/>
  <c r="Y296" i="80"/>
  <c r="DA293" i="80"/>
  <c r="BK298" i="80"/>
  <c r="CR296" i="80"/>
  <c r="AU298" i="80"/>
  <c r="EV295" i="79"/>
  <c r="DJ293" i="79"/>
  <c r="P293" i="80"/>
  <c r="R293" i="80" s="1"/>
  <c r="P297" i="80"/>
  <c r="R297" i="80" s="1"/>
  <c r="FL297" i="79"/>
  <c r="FN297" i="79" s="1"/>
  <c r="AG293" i="79"/>
  <c r="AH293" i="79" s="1"/>
  <c r="BE295" i="80"/>
  <c r="EN297" i="79"/>
  <c r="X295" i="79"/>
  <c r="DY295" i="80"/>
  <c r="DZ295" i="80" s="1"/>
  <c r="BD295" i="79"/>
  <c r="CS293" i="79"/>
  <c r="CT293" i="79" s="1"/>
  <c r="EV297" i="79"/>
  <c r="AF296" i="80"/>
  <c r="BS298" i="80"/>
  <c r="P297" i="79"/>
  <c r="R297" i="79" s="1"/>
  <c r="FE293" i="79"/>
  <c r="FF293" i="79" s="1"/>
  <c r="BM293" i="79"/>
  <c r="BN293" i="79" s="1"/>
  <c r="FK298" i="79"/>
  <c r="CR293" i="80"/>
  <c r="CT293" i="80" s="1"/>
  <c r="BU293" i="79"/>
  <c r="BV293" i="79" s="1"/>
  <c r="EN296" i="80"/>
  <c r="Q294" i="80"/>
  <c r="R294" i="80" s="1"/>
  <c r="FM295" i="80"/>
  <c r="CS295" i="80"/>
  <c r="AF295" i="79"/>
  <c r="BL295" i="79"/>
  <c r="FE297" i="79"/>
  <c r="EO297" i="80"/>
  <c r="EM298" i="79"/>
  <c r="W298" i="79"/>
  <c r="AV295" i="79"/>
  <c r="FL293" i="80"/>
  <c r="EG295" i="79"/>
  <c r="DY294" i="80"/>
  <c r="CZ293" i="80"/>
  <c r="DY295" i="79"/>
  <c r="BU295" i="79"/>
  <c r="BV295" i="79" s="1"/>
  <c r="DP293" i="80"/>
  <c r="BT297" i="80"/>
  <c r="CS297" i="80"/>
  <c r="FD295" i="79"/>
  <c r="CJ295" i="79"/>
  <c r="FD297" i="79"/>
  <c r="CS295" i="79"/>
  <c r="FM293" i="80"/>
  <c r="EF295" i="79"/>
  <c r="DI297" i="80"/>
  <c r="CR297" i="80"/>
  <c r="P295" i="79"/>
  <c r="DP295" i="79"/>
  <c r="CC295" i="79"/>
  <c r="CQ298" i="79"/>
  <c r="X297" i="80"/>
  <c r="Z297" i="80" s="1"/>
  <c r="BL297" i="80"/>
  <c r="BN297" i="80" s="1"/>
  <c r="CJ297" i="79"/>
  <c r="CK297" i="79"/>
  <c r="DY293" i="79"/>
  <c r="DZ293" i="79" s="1"/>
  <c r="CZ295" i="79"/>
  <c r="AW296" i="80"/>
  <c r="FE297" i="80"/>
  <c r="FF297" i="80" s="1"/>
  <c r="CB295" i="79"/>
  <c r="DG298" i="79"/>
  <c r="DQ296" i="80"/>
  <c r="CR295" i="80"/>
  <c r="CJ297" i="80"/>
  <c r="CL297" i="80" s="1"/>
  <c r="DH295" i="79"/>
  <c r="CC295" i="80"/>
  <c r="CB297" i="80"/>
  <c r="CD297" i="80" s="1"/>
  <c r="BD297" i="79"/>
  <c r="BF297" i="79" s="1"/>
  <c r="BM295" i="79"/>
  <c r="AN297" i="79"/>
  <c r="AP297" i="79" s="1"/>
  <c r="EO297" i="79"/>
  <c r="BE295" i="79"/>
  <c r="CC293" i="79"/>
  <c r="CD293" i="79" s="1"/>
  <c r="CK296" i="80"/>
  <c r="DX293" i="80"/>
  <c r="DZ293" i="80" s="1"/>
  <c r="X295" i="80"/>
  <c r="BT293" i="80"/>
  <c r="BV293" i="80" s="1"/>
  <c r="O298" i="80"/>
  <c r="X297" i="79"/>
  <c r="Z297" i="79" s="1"/>
  <c r="Q293" i="79"/>
  <c r="R293" i="79" s="1"/>
  <c r="FM293" i="79"/>
  <c r="FN293" i="79" s="1"/>
  <c r="BE297" i="80"/>
  <c r="EN293" i="80"/>
  <c r="EP293" i="80" s="1"/>
  <c r="BD293" i="80"/>
  <c r="BF293" i="80" s="1"/>
  <c r="EW293" i="79"/>
  <c r="EF293" i="80"/>
  <c r="EH293" i="80" s="1"/>
  <c r="EO295" i="80"/>
  <c r="Q295" i="79"/>
  <c r="EE298" i="79"/>
  <c r="AG278" i="79"/>
  <c r="EO279" i="79"/>
  <c r="BE278" i="80"/>
  <c r="DY279" i="79"/>
  <c r="Q278" i="80"/>
  <c r="AG279" i="79"/>
  <c r="AG280" i="80"/>
  <c r="BL278" i="80"/>
  <c r="AW278" i="79"/>
  <c r="EN280" i="80"/>
  <c r="EG278" i="79"/>
  <c r="DQ278" i="79"/>
  <c r="DI278" i="80"/>
  <c r="FM278" i="79"/>
  <c r="CS278" i="79"/>
  <c r="CS278" i="80"/>
  <c r="EO278" i="79"/>
  <c r="AN278" i="80"/>
  <c r="AV278" i="79"/>
  <c r="AG278" i="80"/>
  <c r="DP278" i="79"/>
  <c r="DQ278" i="80"/>
  <c r="DI278" i="79"/>
  <c r="DY278" i="79"/>
  <c r="DA278" i="80"/>
  <c r="DA278" i="79"/>
  <c r="EF278" i="80"/>
  <c r="BM278" i="79"/>
  <c r="AO278" i="79"/>
  <c r="EW278" i="79"/>
  <c r="EX278" i="79" s="1"/>
  <c r="EO280" i="80"/>
  <c r="X278" i="80"/>
  <c r="AM281" i="80"/>
  <c r="CC278" i="79"/>
  <c r="DH277" i="79"/>
  <c r="CC276" i="80"/>
  <c r="EO276" i="80"/>
  <c r="EW276" i="80"/>
  <c r="DY276" i="80"/>
  <c r="BM276" i="80"/>
  <c r="AG276" i="80"/>
  <c r="EG276" i="80"/>
  <c r="O281" i="80"/>
  <c r="DI276" i="80"/>
  <c r="CS276" i="80"/>
  <c r="W281" i="79"/>
  <c r="W283" i="79" s="1"/>
  <c r="W328" i="79" s="1"/>
  <c r="FL268" i="80"/>
  <c r="FK271" i="79"/>
  <c r="EU283" i="79"/>
  <c r="EU328" i="79" s="1"/>
  <c r="DX268" i="80"/>
  <c r="CC227" i="80"/>
  <c r="BL227" i="80"/>
  <c r="DY227" i="80"/>
  <c r="DP226" i="80"/>
  <c r="FE226" i="80"/>
  <c r="BE226" i="80"/>
  <c r="BK235" i="79"/>
  <c r="CA235" i="79"/>
  <c r="DW235" i="79"/>
  <c r="DX227" i="80"/>
  <c r="AF226" i="80"/>
  <c r="DX227" i="79"/>
  <c r="X226" i="80"/>
  <c r="CR227" i="80"/>
  <c r="AG226" i="80"/>
  <c r="FE227" i="80"/>
  <c r="CJ227" i="80"/>
  <c r="CR226" i="80"/>
  <c r="CT226" i="80" s="1"/>
  <c r="FL226" i="80"/>
  <c r="EE235" i="79"/>
  <c r="W235" i="79"/>
  <c r="CC226" i="80"/>
  <c r="BD227" i="80"/>
  <c r="AU235" i="79"/>
  <c r="CK227" i="80"/>
  <c r="CB227" i="80"/>
  <c r="BD226" i="80"/>
  <c r="EO226" i="80"/>
  <c r="DY226" i="80"/>
  <c r="FL231" i="79"/>
  <c r="FD227" i="80"/>
  <c r="DY226" i="79"/>
  <c r="BC235" i="79"/>
  <c r="EV227" i="80"/>
  <c r="AN213" i="80"/>
  <c r="BT212" i="80"/>
  <c r="FK215" i="80"/>
  <c r="DW215" i="79"/>
  <c r="DA211" i="80"/>
  <c r="DB211" i="80" s="1"/>
  <c r="AE215" i="80"/>
  <c r="EG206" i="79"/>
  <c r="BM206" i="79"/>
  <c r="DQ206" i="80"/>
  <c r="FM206" i="80"/>
  <c r="FM207" i="80" s="1"/>
  <c r="AO206" i="79"/>
  <c r="Y206" i="80"/>
  <c r="AG206" i="80"/>
  <c r="BE206" i="80"/>
  <c r="DA206" i="80"/>
  <c r="DB206" i="80" s="1"/>
  <c r="DI206" i="79"/>
  <c r="O207" i="80"/>
  <c r="BK207" i="80"/>
  <c r="FK207" i="80"/>
  <c r="BL200" i="79"/>
  <c r="AN201" i="79"/>
  <c r="EF200" i="79"/>
  <c r="CY202" i="79"/>
  <c r="CB201" i="79"/>
  <c r="BL199" i="79"/>
  <c r="CR199" i="79"/>
  <c r="AF199" i="79"/>
  <c r="DX199" i="79"/>
  <c r="DZ199" i="79" s="1"/>
  <c r="BD199" i="79"/>
  <c r="EF199" i="79"/>
  <c r="DH199" i="79"/>
  <c r="DP199" i="79"/>
  <c r="X199" i="79"/>
  <c r="EF192" i="80"/>
  <c r="AO192" i="80"/>
  <c r="DI192" i="80"/>
  <c r="EV192" i="80"/>
  <c r="EN192" i="80"/>
  <c r="CZ192" i="80"/>
  <c r="CK192" i="80"/>
  <c r="BD192" i="80"/>
  <c r="P192" i="80"/>
  <c r="BL192" i="80"/>
  <c r="DP192" i="80"/>
  <c r="AF192" i="80"/>
  <c r="EG189" i="79"/>
  <c r="P189" i="79"/>
  <c r="DQ188" i="79"/>
  <c r="DR188" i="79" s="1"/>
  <c r="EO188" i="79"/>
  <c r="EP188" i="79" s="1"/>
  <c r="EW188" i="79"/>
  <c r="EX188" i="79" s="1"/>
  <c r="DP187" i="79"/>
  <c r="EV187" i="79"/>
  <c r="CZ187" i="79"/>
  <c r="DX187" i="79"/>
  <c r="FD187" i="79"/>
  <c r="FE187" i="80"/>
  <c r="EF187" i="79"/>
  <c r="FL187" i="79"/>
  <c r="DA185" i="79"/>
  <c r="AF184" i="80"/>
  <c r="Y184" i="80"/>
  <c r="BL182" i="79"/>
  <c r="BN182" i="79" s="1"/>
  <c r="AN181" i="79"/>
  <c r="AP181" i="79" s="1"/>
  <c r="CS181" i="79"/>
  <c r="CT181" i="79" s="1"/>
  <c r="CC181" i="79"/>
  <c r="CD181" i="79" s="1"/>
  <c r="AV178" i="79"/>
  <c r="EV178" i="79"/>
  <c r="CJ178" i="79"/>
  <c r="FL178" i="79"/>
  <c r="AF178" i="79"/>
  <c r="DX178" i="79"/>
  <c r="BD178" i="79"/>
  <c r="CC177" i="79"/>
  <c r="EF189" i="79"/>
  <c r="EO176" i="79"/>
  <c r="EG178" i="80"/>
  <c r="BE184" i="80"/>
  <c r="EN185" i="80"/>
  <c r="EN178" i="79"/>
  <c r="BL178" i="79"/>
  <c r="AN178" i="79"/>
  <c r="DH187" i="79"/>
  <c r="DI187" i="79"/>
  <c r="DA187" i="79"/>
  <c r="DA185" i="80"/>
  <c r="CR185" i="80"/>
  <c r="FD178" i="79"/>
  <c r="DY189" i="79"/>
  <c r="DZ189" i="79" s="1"/>
  <c r="BU189" i="79"/>
  <c r="CB187" i="79"/>
  <c r="DH185" i="79"/>
  <c r="EN177" i="80"/>
  <c r="DA178" i="79"/>
  <c r="AO189" i="79"/>
  <c r="AP189" i="79" s="1"/>
  <c r="CC189" i="79"/>
  <c r="CD189" i="79" s="1"/>
  <c r="BM189" i="79"/>
  <c r="BN189" i="79" s="1"/>
  <c r="DQ189" i="79"/>
  <c r="DR189" i="79" s="1"/>
  <c r="DI189" i="79"/>
  <c r="DJ189" i="79" s="1"/>
  <c r="CK188" i="79"/>
  <c r="CL188" i="79" s="1"/>
  <c r="DA189" i="79"/>
  <c r="DB189" i="79" s="1"/>
  <c r="BE188" i="79"/>
  <c r="BF188" i="79" s="1"/>
  <c r="BD177" i="80"/>
  <c r="EN182" i="79"/>
  <c r="EP182" i="79" s="1"/>
  <c r="AN177" i="80"/>
  <c r="EW189" i="79"/>
  <c r="EX189" i="79" s="1"/>
  <c r="EO189" i="79"/>
  <c r="EP189" i="79" s="1"/>
  <c r="EG188" i="79"/>
  <c r="EH188" i="79" s="1"/>
  <c r="CS188" i="79"/>
  <c r="CT188" i="79" s="1"/>
  <c r="DH181" i="79"/>
  <c r="DJ181" i="79" s="1"/>
  <c r="Y178" i="79"/>
  <c r="X178" i="79"/>
  <c r="AG188" i="79"/>
  <c r="AH188" i="79" s="1"/>
  <c r="Q178" i="79"/>
  <c r="EO178" i="79"/>
  <c r="FM178" i="79"/>
  <c r="FD176" i="79"/>
  <c r="CR184" i="80"/>
  <c r="EW178" i="79"/>
  <c r="X184" i="80"/>
  <c r="BM188" i="79"/>
  <c r="BN188" i="79" s="1"/>
  <c r="BU188" i="79"/>
  <c r="BV188" i="79" s="1"/>
  <c r="AW185" i="80"/>
  <c r="BM177" i="80"/>
  <c r="FL177" i="80"/>
  <c r="EF177" i="80"/>
  <c r="AO185" i="80"/>
  <c r="BD181" i="79"/>
  <c r="BF181" i="79" s="1"/>
  <c r="BM178" i="79"/>
  <c r="BN178" i="79" s="1"/>
  <c r="EF176" i="79"/>
  <c r="CJ184" i="80"/>
  <c r="FM185" i="80"/>
  <c r="EF185" i="80"/>
  <c r="FD184" i="80"/>
  <c r="DQ177" i="80"/>
  <c r="DX177" i="80"/>
  <c r="FE185" i="80"/>
  <c r="AN184" i="80"/>
  <c r="DQ185" i="80"/>
  <c r="AW177" i="80"/>
  <c r="DX185" i="80"/>
  <c r="Y188" i="79"/>
  <c r="Z188" i="79" s="1"/>
  <c r="DI178" i="79"/>
  <c r="EG184" i="80"/>
  <c r="EH184" i="80" s="1"/>
  <c r="DP185" i="79"/>
  <c r="CJ176" i="79"/>
  <c r="CC178" i="79"/>
  <c r="DA177" i="80"/>
  <c r="X177" i="80"/>
  <c r="AO178" i="80"/>
  <c r="P178" i="79"/>
  <c r="AN185" i="79"/>
  <c r="DA176" i="79"/>
  <c r="CS178" i="79"/>
  <c r="AW178" i="79"/>
  <c r="CB177" i="80"/>
  <c r="EV184" i="80"/>
  <c r="CC178" i="80"/>
  <c r="AF185" i="80"/>
  <c r="BT177" i="80"/>
  <c r="P184" i="80"/>
  <c r="EG178" i="79"/>
  <c r="EH178" i="79" s="1"/>
  <c r="CZ184" i="80"/>
  <c r="CK185" i="80"/>
  <c r="DQ184" i="80"/>
  <c r="BL184" i="80"/>
  <c r="CR178" i="79"/>
  <c r="BE178" i="79"/>
  <c r="BL185" i="80"/>
  <c r="DI187" i="80"/>
  <c r="BT185" i="80"/>
  <c r="CB185" i="80"/>
  <c r="AW185" i="79"/>
  <c r="BU178" i="79"/>
  <c r="BT184" i="80"/>
  <c r="EO184" i="80"/>
  <c r="X185" i="79"/>
  <c r="CK189" i="79"/>
  <c r="CL189" i="79" s="1"/>
  <c r="Q177" i="80"/>
  <c r="BD185" i="80"/>
  <c r="DH184" i="80"/>
  <c r="EW177" i="80"/>
  <c r="AV176" i="80"/>
  <c r="DX176" i="80"/>
  <c r="CR176" i="79"/>
  <c r="EO185" i="79"/>
  <c r="BT189" i="79"/>
  <c r="DI185" i="79"/>
  <c r="CC188" i="79"/>
  <c r="CD188" i="79" s="1"/>
  <c r="BM178" i="80"/>
  <c r="EW185" i="80"/>
  <c r="DY184" i="80"/>
  <c r="EV176" i="79"/>
  <c r="AF184" i="79"/>
  <c r="BT185" i="79"/>
  <c r="P185" i="79"/>
  <c r="CK178" i="79"/>
  <c r="CL178" i="79" s="1"/>
  <c r="CS177" i="80"/>
  <c r="DY178" i="79"/>
  <c r="FE178" i="79"/>
  <c r="AV184" i="80"/>
  <c r="DH177" i="80"/>
  <c r="EV176" i="80"/>
  <c r="BT176" i="80"/>
  <c r="CB184" i="80"/>
  <c r="FD177" i="80"/>
  <c r="CB178" i="79"/>
  <c r="CC176" i="79"/>
  <c r="AF176" i="79"/>
  <c r="CJ176" i="80"/>
  <c r="FD176" i="80"/>
  <c r="BT176" i="79"/>
  <c r="DP176" i="79"/>
  <c r="DR176" i="79" s="1"/>
  <c r="EN176" i="79"/>
  <c r="FE176" i="79"/>
  <c r="AN176" i="80"/>
  <c r="CZ176" i="80"/>
  <c r="CS176" i="79"/>
  <c r="FL176" i="80"/>
  <c r="DQ176" i="80"/>
  <c r="CC176" i="80"/>
  <c r="DH176" i="79"/>
  <c r="EW176" i="79"/>
  <c r="BM176" i="80"/>
  <c r="EN176" i="80"/>
  <c r="EW176" i="80"/>
  <c r="CR176" i="80"/>
  <c r="DH176" i="80"/>
  <c r="E15" i="35"/>
  <c r="H372" i="80" s="1"/>
  <c r="EN372" i="80" s="1"/>
  <c r="E16" i="35"/>
  <c r="H373" i="80" s="1"/>
  <c r="DX373" i="80" s="1"/>
  <c r="F16" i="35"/>
  <c r="I373" i="80" s="1"/>
  <c r="CK373" i="80" s="1"/>
  <c r="AX245" i="79"/>
  <c r="AN16" i="80"/>
  <c r="AN410" i="80" s="1"/>
  <c r="R182" i="79"/>
  <c r="DR245" i="79"/>
  <c r="DJ182" i="79"/>
  <c r="EH141" i="79"/>
  <c r="BN120" i="80"/>
  <c r="H215" i="80"/>
  <c r="F14" i="69"/>
  <c r="AO245" i="79"/>
  <c r="AP245" i="79" s="1"/>
  <c r="AO188" i="79"/>
  <c r="AP188" i="79" s="1"/>
  <c r="AG181" i="79"/>
  <c r="AH181" i="79" s="1"/>
  <c r="DX184" i="80"/>
  <c r="EF249" i="79"/>
  <c r="AG247" i="79"/>
  <c r="AH247" i="79" s="1"/>
  <c r="AX141" i="79"/>
  <c r="BD182" i="79"/>
  <c r="BF182" i="79" s="1"/>
  <c r="AN22" i="80"/>
  <c r="AN398" i="80" s="1"/>
  <c r="AN193" i="80"/>
  <c r="DO402" i="79"/>
  <c r="AU116" i="79"/>
  <c r="AV98" i="80"/>
  <c r="BU98" i="80"/>
  <c r="FL98" i="80"/>
  <c r="DY98" i="80"/>
  <c r="CC305" i="80"/>
  <c r="CD305" i="80" s="1"/>
  <c r="AF92" i="80"/>
  <c r="AE281" i="79"/>
  <c r="AE283" i="79" s="1"/>
  <c r="AE328" i="79" s="1"/>
  <c r="CR200" i="79"/>
  <c r="CQ202" i="79"/>
  <c r="Y22" i="79"/>
  <c r="Y398" i="79" s="1"/>
  <c r="CY143" i="79"/>
  <c r="DA139" i="79"/>
  <c r="CZ139" i="79"/>
  <c r="CB232" i="80"/>
  <c r="CC232" i="80"/>
  <c r="EN121" i="80"/>
  <c r="EV293" i="79"/>
  <c r="EO154" i="80"/>
  <c r="EN154" i="80"/>
  <c r="BD142" i="79"/>
  <c r="BE142" i="79"/>
  <c r="CB278" i="79"/>
  <c r="Q129" i="80"/>
  <c r="P129" i="80"/>
  <c r="DA153" i="79"/>
  <c r="CZ153" i="79"/>
  <c r="AG245" i="79"/>
  <c r="AF245" i="79"/>
  <c r="DH293" i="80"/>
  <c r="DI293" i="80"/>
  <c r="CB149" i="79"/>
  <c r="CC149" i="79"/>
  <c r="DW298" i="79"/>
  <c r="DX297" i="79"/>
  <c r="CJ293" i="80"/>
  <c r="CK293" i="80"/>
  <c r="AV184" i="79"/>
  <c r="AW184" i="79"/>
  <c r="EG295" i="80"/>
  <c r="EF295" i="80"/>
  <c r="EF268" i="80"/>
  <c r="DP98" i="80"/>
  <c r="CK97" i="80"/>
  <c r="FL294" i="79"/>
  <c r="DY294" i="79"/>
  <c r="Q97" i="80"/>
  <c r="CZ114" i="79"/>
  <c r="DB114" i="79" s="1"/>
  <c r="AF142" i="79"/>
  <c r="AH142" i="79" s="1"/>
  <c r="AW103" i="79"/>
  <c r="G237" i="80"/>
  <c r="G260" i="80" s="1"/>
  <c r="G322" i="80" s="1"/>
  <c r="FE58" i="80"/>
  <c r="FF58" i="80" s="1"/>
  <c r="DQ293" i="80"/>
  <c r="CC130" i="80"/>
  <c r="CD130" i="80" s="1"/>
  <c r="DI125" i="79"/>
  <c r="DJ125" i="79" s="1"/>
  <c r="Q49" i="82"/>
  <c r="S46" i="82"/>
  <c r="CJ154" i="80"/>
  <c r="DO235" i="79"/>
  <c r="DP121" i="80"/>
  <c r="BT153" i="79"/>
  <c r="BU153" i="79"/>
  <c r="DA150" i="80"/>
  <c r="CZ150" i="80"/>
  <c r="DI124" i="80"/>
  <c r="DH124" i="80"/>
  <c r="CZ151" i="80"/>
  <c r="DA151" i="80"/>
  <c r="AO226" i="80"/>
  <c r="X142" i="79"/>
  <c r="Y142" i="79"/>
  <c r="DH226" i="80"/>
  <c r="DA294" i="79"/>
  <c r="EN278" i="80"/>
  <c r="EO278" i="80"/>
  <c r="CJ270" i="80"/>
  <c r="CK270" i="80"/>
  <c r="X293" i="80"/>
  <c r="Y293" i="80"/>
  <c r="W298" i="80"/>
  <c r="AM298" i="80"/>
  <c r="CJ91" i="80"/>
  <c r="FM104" i="79"/>
  <c r="FL104" i="79"/>
  <c r="AG232" i="80"/>
  <c r="EW155" i="80"/>
  <c r="CZ278" i="79"/>
  <c r="EV277" i="79"/>
  <c r="Y126" i="80"/>
  <c r="X126" i="80"/>
  <c r="FE154" i="80"/>
  <c r="FD154" i="80"/>
  <c r="CJ147" i="80"/>
  <c r="CK147" i="80"/>
  <c r="BU278" i="79"/>
  <c r="X153" i="80"/>
  <c r="Y153" i="80"/>
  <c r="EW268" i="80"/>
  <c r="BD155" i="80"/>
  <c r="EV139" i="79"/>
  <c r="BD189" i="79"/>
  <c r="CK106" i="79"/>
  <c r="AV103" i="79"/>
  <c r="CC241" i="80"/>
  <c r="CD241" i="80" s="1"/>
  <c r="Y309" i="80"/>
  <c r="Z309" i="80" s="1"/>
  <c r="Y181" i="79"/>
  <c r="Z181" i="79" s="1"/>
  <c r="CZ92" i="80"/>
  <c r="CS114" i="79"/>
  <c r="CT114" i="79" s="1"/>
  <c r="CY235" i="79"/>
  <c r="Q278" i="79"/>
  <c r="CR126" i="80"/>
  <c r="CS126" i="80"/>
  <c r="CK147" i="79"/>
  <c r="CS124" i="80"/>
  <c r="CR124" i="80"/>
  <c r="BC100" i="80"/>
  <c r="BM114" i="79"/>
  <c r="BL114" i="79"/>
  <c r="EV125" i="79"/>
  <c r="EW125" i="79"/>
  <c r="EV294" i="80"/>
  <c r="X294" i="80"/>
  <c r="Z294" i="80" s="1"/>
  <c r="EN294" i="80"/>
  <c r="EP294" i="80" s="1"/>
  <c r="AG294" i="80"/>
  <c r="AH294" i="80" s="1"/>
  <c r="DH294" i="80"/>
  <c r="DI294" i="80"/>
  <c r="CK294" i="80"/>
  <c r="CL294" i="80" s="1"/>
  <c r="FD294" i="80"/>
  <c r="FF294" i="80" s="1"/>
  <c r="DG298" i="80"/>
  <c r="CC278" i="80"/>
  <c r="CB278" i="80"/>
  <c r="AE271" i="80"/>
  <c r="AU404" i="80"/>
  <c r="AU34" i="80"/>
  <c r="AN297" i="80"/>
  <c r="AO297" i="80"/>
  <c r="O235" i="79"/>
  <c r="CY100" i="80"/>
  <c r="CZ97" i="80"/>
  <c r="P125" i="80"/>
  <c r="Q125" i="80"/>
  <c r="AV193" i="80"/>
  <c r="AW193" i="80"/>
  <c r="EO241" i="80"/>
  <c r="EN241" i="80"/>
  <c r="CI100" i="80"/>
  <c r="CJ96" i="80"/>
  <c r="CL96" i="80" s="1"/>
  <c r="DQ98" i="80"/>
  <c r="DQ247" i="79"/>
  <c r="DR247" i="79" s="1"/>
  <c r="FM277" i="80"/>
  <c r="EV268" i="80"/>
  <c r="AO277" i="80"/>
  <c r="EN242" i="79"/>
  <c r="Y123" i="80"/>
  <c r="Z123" i="80" s="1"/>
  <c r="EF294" i="79"/>
  <c r="DH178" i="79"/>
  <c r="CJ294" i="79"/>
  <c r="DA106" i="79"/>
  <c r="AE34" i="80"/>
  <c r="EE116" i="79"/>
  <c r="DP114" i="79"/>
  <c r="DR114" i="79" s="1"/>
  <c r="DY147" i="80"/>
  <c r="W215" i="80"/>
  <c r="CQ235" i="79"/>
  <c r="P58" i="80"/>
  <c r="Q58" i="80"/>
  <c r="BL126" i="80"/>
  <c r="BM126" i="80"/>
  <c r="CJ126" i="80"/>
  <c r="CK126" i="80"/>
  <c r="DA153" i="80"/>
  <c r="DI147" i="79"/>
  <c r="DH147" i="79"/>
  <c r="CI235" i="79"/>
  <c r="EF114" i="79"/>
  <c r="EG114" i="79"/>
  <c r="X278" i="79"/>
  <c r="Y278" i="79"/>
  <c r="FF293" i="80"/>
  <c r="CR294" i="79"/>
  <c r="BD294" i="79"/>
  <c r="Y226" i="80"/>
  <c r="CJ226" i="80"/>
  <c r="CK226" i="80"/>
  <c r="EN226" i="80"/>
  <c r="FD226" i="80"/>
  <c r="EW226" i="80"/>
  <c r="CJ278" i="80"/>
  <c r="CK278" i="80"/>
  <c r="DP294" i="79"/>
  <c r="DQ294" i="79"/>
  <c r="FD69" i="79"/>
  <c r="FE69" i="79"/>
  <c r="EF226" i="80"/>
  <c r="EG226" i="80"/>
  <c r="CR91" i="80"/>
  <c r="CS91" i="80"/>
  <c r="BE194" i="80"/>
  <c r="DQ194" i="80"/>
  <c r="Y140" i="79"/>
  <c r="X140" i="79"/>
  <c r="FE150" i="80"/>
  <c r="FD150" i="80"/>
  <c r="BL154" i="80"/>
  <c r="BM154" i="80"/>
  <c r="DH227" i="80"/>
  <c r="DI227" i="80"/>
  <c r="EE156" i="79"/>
  <c r="EE158" i="79" s="1"/>
  <c r="FE295" i="79"/>
  <c r="DX277" i="80"/>
  <c r="DY277" i="80"/>
  <c r="P124" i="80"/>
  <c r="Q124" i="80"/>
  <c r="DH125" i="80"/>
  <c r="DI125" i="80"/>
  <c r="CK294" i="79"/>
  <c r="AO140" i="79"/>
  <c r="FM226" i="80"/>
  <c r="AN252" i="79"/>
  <c r="CK252" i="79"/>
  <c r="CJ252" i="79"/>
  <c r="DA252" i="79"/>
  <c r="CZ252" i="79"/>
  <c r="EN277" i="80"/>
  <c r="BL58" i="80"/>
  <c r="BM58" i="80"/>
  <c r="BK116" i="79"/>
  <c r="BM154" i="79"/>
  <c r="BL154" i="79"/>
  <c r="AN120" i="79"/>
  <c r="AO120" i="79"/>
  <c r="FD252" i="79"/>
  <c r="DW100" i="80"/>
  <c r="DX96" i="80"/>
  <c r="CZ194" i="80"/>
  <c r="CR107" i="80"/>
  <c r="CS107" i="80"/>
  <c r="BL140" i="79"/>
  <c r="BM140" i="79"/>
  <c r="AW270" i="80"/>
  <c r="AV270" i="80"/>
  <c r="CB277" i="80"/>
  <c r="FE294" i="79"/>
  <c r="CC293" i="80"/>
  <c r="CB293" i="80"/>
  <c r="EG69" i="79"/>
  <c r="EF69" i="79"/>
  <c r="BE309" i="80"/>
  <c r="BD309" i="80"/>
  <c r="AG178" i="79"/>
  <c r="AW277" i="80"/>
  <c r="EO121" i="80"/>
  <c r="FD151" i="79"/>
  <c r="FE151" i="79"/>
  <c r="BL125" i="79"/>
  <c r="BM125" i="79"/>
  <c r="CR130" i="79"/>
  <c r="CS130" i="79"/>
  <c r="EM143" i="80"/>
  <c r="DH142" i="80"/>
  <c r="DJ142" i="80" s="1"/>
  <c r="EG294" i="79"/>
  <c r="FM124" i="79"/>
  <c r="FL124" i="79"/>
  <c r="DY309" i="80"/>
  <c r="DZ309" i="80" s="1"/>
  <c r="BD149" i="80"/>
  <c r="DY297" i="79"/>
  <c r="DY270" i="79"/>
  <c r="DZ270" i="79" s="1"/>
  <c r="FM270" i="79"/>
  <c r="EF270" i="79"/>
  <c r="EH270" i="79" s="1"/>
  <c r="DY188" i="79"/>
  <c r="DZ188" i="79" s="1"/>
  <c r="AV176" i="79"/>
  <c r="CB252" i="79"/>
  <c r="AF142" i="80"/>
  <c r="AO142" i="80"/>
  <c r="BD142" i="80"/>
  <c r="BF142" i="80" s="1"/>
  <c r="DA277" i="80"/>
  <c r="CK155" i="80"/>
  <c r="DX97" i="79"/>
  <c r="DZ97" i="79" s="1"/>
  <c r="X97" i="79"/>
  <c r="EO97" i="79"/>
  <c r="FL97" i="79"/>
  <c r="AW97" i="79"/>
  <c r="AX97" i="79" s="1"/>
  <c r="AM93" i="80"/>
  <c r="AE235" i="79"/>
  <c r="DI277" i="80"/>
  <c r="EG278" i="80"/>
  <c r="BE106" i="79"/>
  <c r="AN153" i="80"/>
  <c r="AO153" i="80"/>
  <c r="CI143" i="80"/>
  <c r="EU271" i="80"/>
  <c r="EV270" i="80"/>
  <c r="EX270" i="80" s="1"/>
  <c r="AV232" i="80"/>
  <c r="BU232" i="80"/>
  <c r="EF232" i="80"/>
  <c r="X232" i="80"/>
  <c r="DH232" i="80"/>
  <c r="AW232" i="80"/>
  <c r="BM232" i="80"/>
  <c r="EW232" i="80"/>
  <c r="Q232" i="80"/>
  <c r="CZ232" i="80"/>
  <c r="G438" i="79"/>
  <c r="BT140" i="79"/>
  <c r="FD97" i="80"/>
  <c r="Q153" i="80"/>
  <c r="DG398" i="79"/>
  <c r="DG402" i="79" s="1"/>
  <c r="DH22" i="79"/>
  <c r="DI22" i="79"/>
  <c r="DI398" i="79" s="1"/>
  <c r="CB253" i="79"/>
  <c r="CC253" i="79"/>
  <c r="EV107" i="80"/>
  <c r="EW107" i="80"/>
  <c r="BK271" i="80"/>
  <c r="BL270" i="80"/>
  <c r="BN270" i="80" s="1"/>
  <c r="FE182" i="79"/>
  <c r="FD182" i="79"/>
  <c r="P226" i="80"/>
  <c r="DH210" i="79"/>
  <c r="BU253" i="79"/>
  <c r="BT253" i="79"/>
  <c r="BD278" i="79"/>
  <c r="BE278" i="79"/>
  <c r="FL194" i="80"/>
  <c r="BU182" i="79"/>
  <c r="BT182" i="79"/>
  <c r="H125" i="76"/>
  <c r="H124" i="76"/>
  <c r="AD474" i="79" s="1"/>
  <c r="AD476" i="79" s="1"/>
  <c r="AE476" i="79" s="1"/>
  <c r="AE480" i="79" s="1"/>
  <c r="DQ126" i="80"/>
  <c r="AG151" i="80"/>
  <c r="AF151" i="80"/>
  <c r="FD277" i="79"/>
  <c r="DI155" i="80"/>
  <c r="FL277" i="80"/>
  <c r="BD277" i="80"/>
  <c r="BD295" i="80"/>
  <c r="BD212" i="79"/>
  <c r="EV294" i="79"/>
  <c r="EX294" i="79" s="1"/>
  <c r="FE189" i="79"/>
  <c r="FF189" i="79" s="1"/>
  <c r="DQ142" i="79"/>
  <c r="CC252" i="79"/>
  <c r="FD106" i="79"/>
  <c r="BU106" i="79"/>
  <c r="AW106" i="79"/>
  <c r="AN106" i="79"/>
  <c r="AF106" i="79"/>
  <c r="P106" i="79"/>
  <c r="AG96" i="80"/>
  <c r="EG96" i="80"/>
  <c r="FD96" i="80"/>
  <c r="EV97" i="80"/>
  <c r="P97" i="80"/>
  <c r="EO97" i="80"/>
  <c r="AO92" i="80"/>
  <c r="X294" i="79"/>
  <c r="AE93" i="79"/>
  <c r="P126" i="80"/>
  <c r="FE121" i="80"/>
  <c r="FE147" i="79"/>
  <c r="FD147" i="79"/>
  <c r="EM313" i="79"/>
  <c r="EG277" i="79"/>
  <c r="BE246" i="80"/>
  <c r="BD246" i="80"/>
  <c r="CA398" i="79"/>
  <c r="CA402" i="79" s="1"/>
  <c r="CA405" i="79" s="1"/>
  <c r="CA409" i="79" s="1"/>
  <c r="CC22" i="79"/>
  <c r="CC398" i="79" s="1"/>
  <c r="CJ139" i="80"/>
  <c r="AV139" i="80"/>
  <c r="BD139" i="80"/>
  <c r="CS139" i="80"/>
  <c r="CK241" i="80"/>
  <c r="EV241" i="80"/>
  <c r="EW241" i="80"/>
  <c r="FM241" i="80"/>
  <c r="FN241" i="80" s="1"/>
  <c r="AF241" i="80"/>
  <c r="AH241" i="80" s="1"/>
  <c r="BE241" i="80"/>
  <c r="FE295" i="80"/>
  <c r="FD295" i="80"/>
  <c r="BT294" i="79"/>
  <c r="BV294" i="79" s="1"/>
  <c r="CB140" i="79"/>
  <c r="O398" i="79"/>
  <c r="O402" i="79" s="1"/>
  <c r="P22" i="79"/>
  <c r="P398" i="79" s="1"/>
  <c r="Q22" i="79"/>
  <c r="Q398" i="79" s="1"/>
  <c r="DP178" i="79"/>
  <c r="DQ178" i="79"/>
  <c r="AF107" i="80"/>
  <c r="AG107" i="80"/>
  <c r="AF114" i="79"/>
  <c r="AG114" i="79"/>
  <c r="AG155" i="80"/>
  <c r="BE155" i="80"/>
  <c r="CA116" i="79"/>
  <c r="AN182" i="79"/>
  <c r="AO182" i="79"/>
  <c r="CK278" i="79"/>
  <c r="CJ278" i="79"/>
  <c r="BL305" i="80"/>
  <c r="BM305" i="80"/>
  <c r="CJ130" i="80"/>
  <c r="CK130" i="80"/>
  <c r="BL245" i="79"/>
  <c r="BM245" i="79"/>
  <c r="BT98" i="80"/>
  <c r="BD123" i="80"/>
  <c r="AN123" i="80"/>
  <c r="CK177" i="80"/>
  <c r="CJ177" i="80"/>
  <c r="AO123" i="80"/>
  <c r="CR153" i="79"/>
  <c r="CQ156" i="79"/>
  <c r="DP154" i="80"/>
  <c r="DQ154" i="80"/>
  <c r="G370" i="80"/>
  <c r="DW370" i="80" s="1"/>
  <c r="G365" i="85"/>
  <c r="I176" i="90" s="1"/>
  <c r="F13" i="35"/>
  <c r="EM235" i="79"/>
  <c r="BU120" i="79"/>
  <c r="BT120" i="79"/>
  <c r="Q130" i="79"/>
  <c r="P130" i="79"/>
  <c r="X229" i="80"/>
  <c r="AV229" i="80"/>
  <c r="E13" i="35"/>
  <c r="H370" i="80" s="1"/>
  <c r="EV231" i="80"/>
  <c r="FE129" i="80"/>
  <c r="FF129" i="80" s="1"/>
  <c r="DX98" i="80"/>
  <c r="BU194" i="80"/>
  <c r="AW130" i="80"/>
  <c r="AX130" i="80" s="1"/>
  <c r="P96" i="80"/>
  <c r="DH67" i="79"/>
  <c r="DP142" i="79"/>
  <c r="FL96" i="80"/>
  <c r="Q155" i="80"/>
  <c r="EV129" i="79"/>
  <c r="EX129" i="79" s="1"/>
  <c r="BL277" i="80"/>
  <c r="CC277" i="80"/>
  <c r="BE125" i="80"/>
  <c r="BD125" i="80"/>
  <c r="AV125" i="79"/>
  <c r="AW125" i="79"/>
  <c r="EV226" i="80"/>
  <c r="BT226" i="80"/>
  <c r="CQ271" i="80"/>
  <c r="CZ70" i="80"/>
  <c r="BS116" i="79"/>
  <c r="CR277" i="79"/>
  <c r="FL277" i="79"/>
  <c r="CS277" i="79"/>
  <c r="FM277" i="79"/>
  <c r="CB277" i="79"/>
  <c r="FE277" i="79"/>
  <c r="X182" i="79"/>
  <c r="Y182" i="79"/>
  <c r="BD296" i="80"/>
  <c r="CZ277" i="80"/>
  <c r="EG277" i="80"/>
  <c r="AN277" i="80"/>
  <c r="BU277" i="80"/>
  <c r="CJ277" i="80"/>
  <c r="EO277" i="80"/>
  <c r="AF277" i="80"/>
  <c r="CS277" i="80"/>
  <c r="AG277" i="80"/>
  <c r="DH277" i="80"/>
  <c r="P277" i="80"/>
  <c r="EV277" i="80"/>
  <c r="EW277" i="80"/>
  <c r="BE277" i="80"/>
  <c r="CB268" i="80"/>
  <c r="BU121" i="80"/>
  <c r="X277" i="80"/>
  <c r="AG294" i="79"/>
  <c r="Y294" i="79"/>
  <c r="DH294" i="79"/>
  <c r="EO294" i="79"/>
  <c r="FM294" i="79"/>
  <c r="EN294" i="79"/>
  <c r="DI294" i="79"/>
  <c r="Q294" i="79"/>
  <c r="Y277" i="80"/>
  <c r="DP58" i="80"/>
  <c r="DQ58" i="80"/>
  <c r="BE227" i="80"/>
  <c r="DG100" i="80"/>
  <c r="DI96" i="80"/>
  <c r="BT178" i="79"/>
  <c r="CB294" i="79"/>
  <c r="G369" i="85"/>
  <c r="I180" i="90" s="1"/>
  <c r="E17" i="35"/>
  <c r="H374" i="80" s="1"/>
  <c r="G17" i="35"/>
  <c r="J369" i="85" s="1"/>
  <c r="L180" i="90" s="1"/>
  <c r="AN124" i="79"/>
  <c r="BE121" i="79"/>
  <c r="BD121" i="79"/>
  <c r="CK149" i="80"/>
  <c r="AV149" i="80"/>
  <c r="AW149" i="80"/>
  <c r="W215" i="79"/>
  <c r="DG215" i="80"/>
  <c r="DQ277" i="80"/>
  <c r="EU398" i="79"/>
  <c r="EU402" i="79" s="1"/>
  <c r="EV22" i="79"/>
  <c r="EV398" i="79" s="1"/>
  <c r="DO404" i="80"/>
  <c r="DO425" i="80" s="1"/>
  <c r="DO34" i="80"/>
  <c r="DQ33" i="80"/>
  <c r="DQ34" i="80" s="1"/>
  <c r="DP107" i="80"/>
  <c r="DQ107" i="80"/>
  <c r="CZ181" i="79"/>
  <c r="DA181" i="79"/>
  <c r="AN107" i="80"/>
  <c r="AO107" i="80"/>
  <c r="BL226" i="80"/>
  <c r="BU107" i="80"/>
  <c r="BV107" i="80" s="1"/>
  <c r="EO107" i="80"/>
  <c r="EP107" i="80" s="1"/>
  <c r="CB141" i="79"/>
  <c r="AN293" i="80"/>
  <c r="AO293" i="80"/>
  <c r="AU271" i="80"/>
  <c r="CZ67" i="80"/>
  <c r="CJ214" i="79"/>
  <c r="EN24" i="79"/>
  <c r="EN400" i="79" s="1"/>
  <c r="BE141" i="79"/>
  <c r="BF141" i="79" s="1"/>
  <c r="BU141" i="79"/>
  <c r="BV141" i="79" s="1"/>
  <c r="P107" i="80"/>
  <c r="R107" i="80" s="1"/>
  <c r="AO151" i="79"/>
  <c r="DW77" i="79"/>
  <c r="P92" i="80"/>
  <c r="DP130" i="80"/>
  <c r="DR130" i="80" s="1"/>
  <c r="DH241" i="80"/>
  <c r="DJ241" i="80" s="1"/>
  <c r="EU143" i="80"/>
  <c r="CK141" i="79"/>
  <c r="CY271" i="80"/>
  <c r="BM296" i="80"/>
  <c r="BU151" i="79"/>
  <c r="BV151" i="79" s="1"/>
  <c r="BC298" i="80"/>
  <c r="AN151" i="79"/>
  <c r="Y189" i="79"/>
  <c r="Z189" i="79" s="1"/>
  <c r="BM248" i="80"/>
  <c r="BN248" i="80" s="1"/>
  <c r="G376" i="80"/>
  <c r="EE376" i="80" s="1"/>
  <c r="G371" i="85"/>
  <c r="I182" i="90" s="1"/>
  <c r="CA77" i="79"/>
  <c r="AM235" i="79"/>
  <c r="G283" i="79"/>
  <c r="G328" i="79" s="1"/>
  <c r="BC215" i="79"/>
  <c r="BD241" i="80"/>
  <c r="EE143" i="80"/>
  <c r="CC141" i="79"/>
  <c r="DQ141" i="79"/>
  <c r="W271" i="80"/>
  <c r="AV151" i="79"/>
  <c r="AX151" i="79" s="1"/>
  <c r="EG132" i="79"/>
  <c r="DP151" i="79"/>
  <c r="AG141" i="79"/>
  <c r="AH141" i="79" s="1"/>
  <c r="CQ77" i="79"/>
  <c r="CY116" i="79"/>
  <c r="BF104" i="79"/>
  <c r="Y130" i="80"/>
  <c r="Z130" i="80" s="1"/>
  <c r="P155" i="79"/>
  <c r="AE215" i="79"/>
  <c r="AU143" i="80"/>
  <c r="CA420" i="79"/>
  <c r="CB107" i="80"/>
  <c r="CD107" i="80" s="1"/>
  <c r="CR277" i="80"/>
  <c r="X141" i="79"/>
  <c r="P151" i="79"/>
  <c r="R151" i="79" s="1"/>
  <c r="BC271" i="80"/>
  <c r="DX141" i="79"/>
  <c r="DZ141" i="79" s="1"/>
  <c r="FL252" i="80"/>
  <c r="FL296" i="79"/>
  <c r="DA151" i="79"/>
  <c r="DB151" i="79" s="1"/>
  <c r="BU24" i="79"/>
  <c r="BU400" i="79" s="1"/>
  <c r="FC480" i="79"/>
  <c r="EO92" i="80"/>
  <c r="BD130" i="80"/>
  <c r="BF130" i="80" s="1"/>
  <c r="EV141" i="79"/>
  <c r="CK129" i="79"/>
  <c r="CL129" i="79" s="1"/>
  <c r="BM130" i="80"/>
  <c r="BT155" i="79"/>
  <c r="CI215" i="80"/>
  <c r="EW154" i="79"/>
  <c r="FC100" i="80"/>
  <c r="DX226" i="80"/>
  <c r="EM271" i="80"/>
  <c r="DO298" i="79"/>
  <c r="DH151" i="79"/>
  <c r="DJ151" i="79" s="1"/>
  <c r="AM271" i="80"/>
  <c r="AM283" i="80" s="1"/>
  <c r="AM328" i="80" s="1"/>
  <c r="CJ141" i="79"/>
  <c r="Y141" i="79"/>
  <c r="FK480" i="79"/>
  <c r="FK481" i="79" s="1"/>
  <c r="G402" i="79"/>
  <c r="DQ182" i="79"/>
  <c r="DR182" i="79" s="1"/>
  <c r="DA243" i="80"/>
  <c r="G372" i="80"/>
  <c r="CQ372" i="80" s="1"/>
  <c r="G367" i="85"/>
  <c r="I178" i="90" s="1"/>
  <c r="FE107" i="80"/>
  <c r="AV155" i="79"/>
  <c r="EU100" i="80"/>
  <c r="BC143" i="80"/>
  <c r="EF277" i="80"/>
  <c r="FM107" i="80"/>
  <c r="FN107" i="80" s="1"/>
  <c r="BM277" i="80"/>
  <c r="AV107" i="80"/>
  <c r="AX107" i="80" s="1"/>
  <c r="O271" i="80"/>
  <c r="Y151" i="79"/>
  <c r="CZ141" i="79"/>
  <c r="DB141" i="79" s="1"/>
  <c r="DA107" i="80"/>
  <c r="AN130" i="80"/>
  <c r="AP130" i="80" s="1"/>
  <c r="CS130" i="80"/>
  <c r="CT130" i="80" s="1"/>
  <c r="AW155" i="79"/>
  <c r="BC215" i="80"/>
  <c r="O215" i="80"/>
  <c r="BK313" i="79"/>
  <c r="O143" i="80"/>
  <c r="G191" i="85"/>
  <c r="I107" i="90" s="1"/>
  <c r="P141" i="79"/>
  <c r="Y107" i="80"/>
  <c r="X107" i="80"/>
  <c r="CI298" i="79"/>
  <c r="FD107" i="80"/>
  <c r="Q141" i="79"/>
  <c r="EN92" i="79"/>
  <c r="DP141" i="79"/>
  <c r="FC271" i="80"/>
  <c r="FC271" i="79"/>
  <c r="BS93" i="80"/>
  <c r="CI116" i="79"/>
  <c r="Q130" i="80"/>
  <c r="R130" i="80" s="1"/>
  <c r="FM130" i="80"/>
  <c r="FN130" i="80" s="1"/>
  <c r="X151" i="79"/>
  <c r="AU215" i="80"/>
  <c r="EP305" i="80"/>
  <c r="CK151" i="79"/>
  <c r="BU297" i="80"/>
  <c r="BD140" i="79"/>
  <c r="DP277" i="80"/>
  <c r="DH107" i="80"/>
  <c r="DJ107" i="80" s="1"/>
  <c r="BM293" i="80"/>
  <c r="BL293" i="80"/>
  <c r="AW293" i="80"/>
  <c r="AV293" i="80"/>
  <c r="AE298" i="80"/>
  <c r="BL296" i="80"/>
  <c r="EN141" i="79"/>
  <c r="EP141" i="79" s="1"/>
  <c r="CZ107" i="80"/>
  <c r="FK271" i="80"/>
  <c r="FC235" i="79"/>
  <c r="EV92" i="80"/>
  <c r="CR155" i="79"/>
  <c r="AM215" i="80"/>
  <c r="CY93" i="80"/>
  <c r="G315" i="80"/>
  <c r="G331" i="80" s="1"/>
  <c r="DQ99" i="80"/>
  <c r="Q295" i="80"/>
  <c r="DY107" i="80"/>
  <c r="DZ107" i="80" s="1"/>
  <c r="AN141" i="79"/>
  <c r="AP141" i="79" s="1"/>
  <c r="EW141" i="79"/>
  <c r="Q150" i="80"/>
  <c r="CQ156" i="80"/>
  <c r="AU19" i="80"/>
  <c r="DP22" i="79"/>
  <c r="DP398" i="79" s="1"/>
  <c r="AV22" i="79"/>
  <c r="AV398" i="79" s="1"/>
  <c r="FN305" i="80"/>
  <c r="BK281" i="80"/>
  <c r="BT276" i="80"/>
  <c r="BV276" i="80" s="1"/>
  <c r="C19" i="7"/>
  <c r="G328" i="85" s="1"/>
  <c r="G283" i="85"/>
  <c r="X22" i="79"/>
  <c r="X398" i="79" s="1"/>
  <c r="CK247" i="80"/>
  <c r="CJ247" i="80"/>
  <c r="EW297" i="79"/>
  <c r="FC298" i="79"/>
  <c r="EU298" i="79"/>
  <c r="BL297" i="79"/>
  <c r="BK298" i="79"/>
  <c r="BM297" i="79"/>
  <c r="EG297" i="79"/>
  <c r="EH297" i="79" s="1"/>
  <c r="DP297" i="79"/>
  <c r="DR297" i="79" s="1"/>
  <c r="BU297" i="79"/>
  <c r="BV297" i="79" s="1"/>
  <c r="BS298" i="79"/>
  <c r="CZ297" i="79"/>
  <c r="DB297" i="79" s="1"/>
  <c r="CY298" i="79"/>
  <c r="CB297" i="79"/>
  <c r="CC297" i="79"/>
  <c r="CA298" i="79"/>
  <c r="C22" i="7"/>
  <c r="G331" i="85" s="1"/>
  <c r="G315" i="85"/>
  <c r="FM253" i="79"/>
  <c r="DA149" i="79"/>
  <c r="AF149" i="79"/>
  <c r="AG149" i="79"/>
  <c r="AF120" i="79"/>
  <c r="AH120" i="79" s="1"/>
  <c r="BL120" i="79"/>
  <c r="BN120" i="79" s="1"/>
  <c r="DJ120" i="80"/>
  <c r="DQ121" i="80"/>
  <c r="CK121" i="79"/>
  <c r="CL121" i="79" s="1"/>
  <c r="EG120" i="79"/>
  <c r="EH120" i="79" s="1"/>
  <c r="CR120" i="79"/>
  <c r="CT120" i="79" s="1"/>
  <c r="DQ120" i="79"/>
  <c r="DR120" i="79" s="1"/>
  <c r="CR120" i="80"/>
  <c r="CT120" i="80" s="1"/>
  <c r="CA19" i="80"/>
  <c r="J207" i="79"/>
  <c r="EX245" i="80"/>
  <c r="AP129" i="79"/>
  <c r="BF293" i="79"/>
  <c r="EH293" i="79"/>
  <c r="J404" i="79"/>
  <c r="J425" i="79" s="1"/>
  <c r="J143" i="79"/>
  <c r="J215" i="80"/>
  <c r="J34" i="79"/>
  <c r="DR293" i="79"/>
  <c r="F16" i="32"/>
  <c r="J202" i="85"/>
  <c r="I374" i="80"/>
  <c r="DQ374" i="80" s="1"/>
  <c r="I369" i="85"/>
  <c r="K180" i="90" s="1"/>
  <c r="BN129" i="79"/>
  <c r="AX293" i="79"/>
  <c r="E17" i="32"/>
  <c r="I207" i="85"/>
  <c r="F18" i="32"/>
  <c r="J215" i="85"/>
  <c r="G79" i="13"/>
  <c r="G79" i="85" s="1"/>
  <c r="G52" i="85"/>
  <c r="G47" i="82"/>
  <c r="G62" i="82" s="1"/>
  <c r="EX293" i="80"/>
  <c r="D16" i="32"/>
  <c r="H202" i="85"/>
  <c r="J372" i="80"/>
  <c r="FN372" i="80" s="1"/>
  <c r="J367" i="85"/>
  <c r="L178" i="90" s="1"/>
  <c r="FN232" i="80"/>
  <c r="DB293" i="79"/>
  <c r="D17" i="32"/>
  <c r="H207" i="85"/>
  <c r="F17" i="32"/>
  <c r="J207" i="85"/>
  <c r="H215" i="85"/>
  <c r="DO19" i="80"/>
  <c r="CI19" i="79"/>
  <c r="H424" i="80"/>
  <c r="E18" i="32"/>
  <c r="I215" i="85"/>
  <c r="E16" i="32"/>
  <c r="I202" i="85"/>
  <c r="AP293" i="79"/>
  <c r="EX305" i="80"/>
  <c r="L10" i="90"/>
  <c r="L28" i="90"/>
  <c r="EW22" i="79"/>
  <c r="CT129" i="79"/>
  <c r="Y244" i="79"/>
  <c r="BC402" i="79"/>
  <c r="DZ305" i="80"/>
  <c r="CD130" i="79"/>
  <c r="X184" i="79"/>
  <c r="EW184" i="79"/>
  <c r="P184" i="79"/>
  <c r="BL184" i="79"/>
  <c r="DA184" i="79"/>
  <c r="EG184" i="79"/>
  <c r="AO184" i="79"/>
  <c r="Q184" i="79"/>
  <c r="BM184" i="79"/>
  <c r="CZ184" i="79"/>
  <c r="EF184" i="79"/>
  <c r="FD184" i="79"/>
  <c r="DP97" i="79"/>
  <c r="CK97" i="79"/>
  <c r="AG125" i="80"/>
  <c r="AF125" i="80"/>
  <c r="DQ126" i="79"/>
  <c r="CK126" i="79"/>
  <c r="BD126" i="79"/>
  <c r="FD124" i="79"/>
  <c r="FE124" i="79"/>
  <c r="AG121" i="80"/>
  <c r="CR121" i="80"/>
  <c r="EG126" i="79"/>
  <c r="EV126" i="79"/>
  <c r="DI126" i="79"/>
  <c r="BE124" i="79"/>
  <c r="FL242" i="79"/>
  <c r="DI268" i="80"/>
  <c r="DA305" i="79"/>
  <c r="DI305" i="79"/>
  <c r="AG227" i="79"/>
  <c r="EG227" i="79"/>
  <c r="FE194" i="80"/>
  <c r="EG268" i="80"/>
  <c r="DP194" i="80"/>
  <c r="DA194" i="80"/>
  <c r="CK194" i="80"/>
  <c r="BT194" i="80"/>
  <c r="AO242" i="80"/>
  <c r="EW132" i="79"/>
  <c r="EN305" i="79"/>
  <c r="EG307" i="79"/>
  <c r="DQ270" i="79"/>
  <c r="FE184" i="79"/>
  <c r="FE227" i="79"/>
  <c r="DI296" i="79"/>
  <c r="L26" i="76"/>
  <c r="BJ180" i="79" s="1"/>
  <c r="BK180" i="79" s="1"/>
  <c r="L13" i="76"/>
  <c r="BJ176" i="79" s="1"/>
  <c r="BK176" i="79" s="1"/>
  <c r="BT24" i="79"/>
  <c r="BT400" i="79" s="1"/>
  <c r="AG184" i="79"/>
  <c r="Y97" i="79"/>
  <c r="FD98" i="79"/>
  <c r="EG98" i="79"/>
  <c r="AO98" i="79"/>
  <c r="DA98" i="79"/>
  <c r="Y98" i="79"/>
  <c r="Q123" i="80"/>
  <c r="EG124" i="79"/>
  <c r="FD97" i="79"/>
  <c r="EO126" i="79"/>
  <c r="FL184" i="79"/>
  <c r="DH279" i="80"/>
  <c r="G374" i="79"/>
  <c r="O374" i="79" s="1"/>
  <c r="G374" i="80"/>
  <c r="O374" i="80" s="1"/>
  <c r="P121" i="80"/>
  <c r="R121" i="80" s="1"/>
  <c r="BL126" i="79"/>
  <c r="AN126" i="79"/>
  <c r="AO126" i="79"/>
  <c r="Y126" i="79"/>
  <c r="FM155" i="80"/>
  <c r="BL155" i="80"/>
  <c r="EG155" i="80"/>
  <c r="Y155" i="80"/>
  <c r="DH155" i="80"/>
  <c r="DY155" i="80"/>
  <c r="CR155" i="80"/>
  <c r="P155" i="80"/>
  <c r="AF155" i="80"/>
  <c r="FE211" i="79"/>
  <c r="K26" i="76"/>
  <c r="BB180" i="79" s="1"/>
  <c r="BC180" i="79" s="1"/>
  <c r="L53" i="76"/>
  <c r="BJ187" i="79" s="1"/>
  <c r="BK187" i="79" s="1"/>
  <c r="BM132" i="79"/>
  <c r="BL132" i="79"/>
  <c r="BE132" i="79"/>
  <c r="FL132" i="79"/>
  <c r="FN132" i="79" s="1"/>
  <c r="CR97" i="79"/>
  <c r="FM97" i="79"/>
  <c r="EN97" i="79"/>
  <c r="DA97" i="79"/>
  <c r="EG97" i="79"/>
  <c r="EW97" i="79"/>
  <c r="FE97" i="79"/>
  <c r="CZ97" i="79"/>
  <c r="EF97" i="79"/>
  <c r="EV97" i="79"/>
  <c r="DQ97" i="79"/>
  <c r="AV24" i="79"/>
  <c r="AV400" i="79" s="1"/>
  <c r="AN24" i="79"/>
  <c r="AN400" i="79" s="1"/>
  <c r="P24" i="79"/>
  <c r="X24" i="79"/>
  <c r="X400" i="79" s="1"/>
  <c r="CJ24" i="79"/>
  <c r="CJ400" i="79" s="1"/>
  <c r="CB24" i="79"/>
  <c r="CB400" i="79" s="1"/>
  <c r="EF24" i="79"/>
  <c r="EF400" i="79" s="1"/>
  <c r="BL24" i="79"/>
  <c r="BL400" i="79" s="1"/>
  <c r="DY24" i="79"/>
  <c r="DY400" i="79" s="1"/>
  <c r="Y24" i="79"/>
  <c r="Y400" i="79" s="1"/>
  <c r="AF24" i="79"/>
  <c r="AF400" i="79" s="1"/>
  <c r="CK24" i="79"/>
  <c r="CK400" i="79" s="1"/>
  <c r="CC24" i="79"/>
  <c r="CC400" i="79" s="1"/>
  <c r="BE24" i="79"/>
  <c r="BE400" i="79" s="1"/>
  <c r="DX24" i="79"/>
  <c r="DX400" i="79" s="1"/>
  <c r="CJ71" i="79"/>
  <c r="BL71" i="79"/>
  <c r="BE71" i="79"/>
  <c r="CR71" i="79"/>
  <c r="CT71" i="79" s="1"/>
  <c r="DY71" i="79"/>
  <c r="EF71" i="79"/>
  <c r="BD71" i="79"/>
  <c r="DX71" i="79"/>
  <c r="DH71" i="79"/>
  <c r="O19" i="79"/>
  <c r="O411" i="79"/>
  <c r="DW19" i="79"/>
  <c r="DW411" i="79"/>
  <c r="G413" i="79"/>
  <c r="CZ126" i="79"/>
  <c r="DP124" i="79"/>
  <c r="DQ124" i="79"/>
  <c r="AG124" i="79"/>
  <c r="DI124" i="79"/>
  <c r="AE19" i="80"/>
  <c r="AE412" i="80"/>
  <c r="EO71" i="79"/>
  <c r="DP91" i="80"/>
  <c r="DQ91" i="80"/>
  <c r="DI255" i="80"/>
  <c r="CR112" i="80"/>
  <c r="FL305" i="79"/>
  <c r="DY307" i="79"/>
  <c r="AO270" i="79"/>
  <c r="EO270" i="79"/>
  <c r="FL227" i="79"/>
  <c r="P242" i="80"/>
  <c r="CR242" i="80"/>
  <c r="FL71" i="79"/>
  <c r="P296" i="79"/>
  <c r="Y296" i="79"/>
  <c r="BU296" i="79"/>
  <c r="BD296" i="79"/>
  <c r="BF296" i="79" s="1"/>
  <c r="DH296" i="79"/>
  <c r="FM296" i="79"/>
  <c r="BT296" i="79"/>
  <c r="BM296" i="79"/>
  <c r="CS296" i="79"/>
  <c r="EV71" i="79"/>
  <c r="FM89" i="79"/>
  <c r="AV125" i="80"/>
  <c r="AW125" i="80"/>
  <c r="EF121" i="80"/>
  <c r="DH121" i="80"/>
  <c r="DI121" i="80"/>
  <c r="EF124" i="79"/>
  <c r="AO124" i="79"/>
  <c r="CC124" i="79"/>
  <c r="AW124" i="79"/>
  <c r="DA124" i="79"/>
  <c r="CS124" i="79"/>
  <c r="P124" i="79"/>
  <c r="AV124" i="79"/>
  <c r="L47" i="80"/>
  <c r="G403" i="80"/>
  <c r="FK19" i="80"/>
  <c r="FK412" i="80"/>
  <c r="FM126" i="79"/>
  <c r="H69" i="36"/>
  <c r="H72" i="36" s="1"/>
  <c r="FL276" i="79"/>
  <c r="D49" i="82"/>
  <c r="R50" i="82" s="1"/>
  <c r="AA22" i="83" s="1"/>
  <c r="Y279" i="80"/>
  <c r="G373" i="79"/>
  <c r="G373" i="80"/>
  <c r="O373" i="80" s="1"/>
  <c r="DY89" i="79"/>
  <c r="DP92" i="80"/>
  <c r="CS92" i="80"/>
  <c r="CT92" i="80" s="1"/>
  <c r="Y92" i="80"/>
  <c r="CZ124" i="79"/>
  <c r="CJ121" i="80"/>
  <c r="FM121" i="80"/>
  <c r="CS126" i="79"/>
  <c r="Y132" i="80"/>
  <c r="BU124" i="79"/>
  <c r="X124" i="79"/>
  <c r="Q124" i="79"/>
  <c r="CZ189" i="80"/>
  <c r="FL211" i="79"/>
  <c r="W19" i="80"/>
  <c r="W412" i="80"/>
  <c r="DW19" i="80"/>
  <c r="DW412" i="80"/>
  <c r="EE93" i="80"/>
  <c r="DI106" i="79"/>
  <c r="CZ149" i="80"/>
  <c r="DA155" i="80"/>
  <c r="EO277" i="79"/>
  <c r="X106" i="80"/>
  <c r="CZ277" i="79"/>
  <c r="BK281" i="79"/>
  <c r="BK283" i="79" s="1"/>
  <c r="BK328" i="79" s="1"/>
  <c r="FL189" i="80"/>
  <c r="AV180" i="80"/>
  <c r="BL244" i="80"/>
  <c r="FL181" i="80"/>
  <c r="BS404" i="79"/>
  <c r="BS425" i="79" s="1"/>
  <c r="BS419" i="79"/>
  <c r="BK425" i="80"/>
  <c r="BK419" i="80"/>
  <c r="AE34" i="79"/>
  <c r="AE404" i="79"/>
  <c r="AE425" i="79" s="1"/>
  <c r="AE419" i="79"/>
  <c r="AE420" i="79" s="1"/>
  <c r="DW425" i="80"/>
  <c r="DW419" i="80"/>
  <c r="EU425" i="80"/>
  <c r="EU419" i="80"/>
  <c r="CI419" i="79"/>
  <c r="CI404" i="79"/>
  <c r="CI425" i="79" s="1"/>
  <c r="W34" i="79"/>
  <c r="W404" i="79"/>
  <c r="W425" i="79" s="1"/>
  <c r="W419" i="79"/>
  <c r="CK87" i="80"/>
  <c r="BM87" i="80"/>
  <c r="BT139" i="80"/>
  <c r="BU139" i="80"/>
  <c r="EG139" i="80"/>
  <c r="CY298" i="80"/>
  <c r="CJ295" i="80"/>
  <c r="CK295" i="80"/>
  <c r="DP297" i="80"/>
  <c r="DQ297" i="80"/>
  <c r="FD87" i="80"/>
  <c r="DI87" i="80"/>
  <c r="FK404" i="79"/>
  <c r="FK425" i="79" s="1"/>
  <c r="FK419" i="79"/>
  <c r="BL139" i="80"/>
  <c r="AG295" i="80"/>
  <c r="Q87" i="80"/>
  <c r="R87" i="80" s="1"/>
  <c r="EN99" i="80"/>
  <c r="EP99" i="80" s="1"/>
  <c r="EN232" i="80"/>
  <c r="DQ294" i="80"/>
  <c r="DR294" i="80" s="1"/>
  <c r="DI226" i="80"/>
  <c r="CR294" i="80"/>
  <c r="CT294" i="80" s="1"/>
  <c r="CJ87" i="80"/>
  <c r="CB295" i="80"/>
  <c r="BL241" i="80"/>
  <c r="BN241" i="80" s="1"/>
  <c r="BE99" i="80"/>
  <c r="X87" i="80"/>
  <c r="P99" i="80"/>
  <c r="BU226" i="80"/>
  <c r="AV226" i="80"/>
  <c r="BM226" i="80"/>
  <c r="FD296" i="80"/>
  <c r="FE296" i="80"/>
  <c r="BD270" i="80"/>
  <c r="AO270" i="80"/>
  <c r="BT270" i="80"/>
  <c r="BV270" i="80" s="1"/>
  <c r="BE270" i="80"/>
  <c r="AG270" i="80"/>
  <c r="FD99" i="80"/>
  <c r="FF99" i="80" s="1"/>
  <c r="CS270" i="80"/>
  <c r="CT270" i="80" s="1"/>
  <c r="AW226" i="80"/>
  <c r="AF99" i="80"/>
  <c r="Q226" i="80"/>
  <c r="AW294" i="79"/>
  <c r="AO294" i="79"/>
  <c r="BM294" i="79"/>
  <c r="BE294" i="79"/>
  <c r="DQ139" i="80"/>
  <c r="P295" i="80"/>
  <c r="EG294" i="80"/>
  <c r="K13" i="76"/>
  <c r="BB176" i="79" s="1"/>
  <c r="BC176" i="79" s="1"/>
  <c r="BB187" i="79"/>
  <c r="BC187" i="79" s="1"/>
  <c r="K53" i="76"/>
  <c r="EN256" i="79"/>
  <c r="EW255" i="79"/>
  <c r="F14" i="35"/>
  <c r="I371" i="79" s="1"/>
  <c r="G371" i="80"/>
  <c r="O371" i="80" s="1"/>
  <c r="EE372" i="80"/>
  <c r="DW372" i="80"/>
  <c r="DO372" i="80"/>
  <c r="DG372" i="80"/>
  <c r="CY372" i="80"/>
  <c r="G375" i="79"/>
  <c r="G375" i="80"/>
  <c r="DQ92" i="80"/>
  <c r="CC121" i="80"/>
  <c r="AG126" i="79"/>
  <c r="DX124" i="79"/>
  <c r="Y149" i="80"/>
  <c r="FM276" i="79"/>
  <c r="BK19" i="80"/>
  <c r="BK412" i="80"/>
  <c r="AU19" i="79"/>
  <c r="AU412" i="79"/>
  <c r="EO155" i="80"/>
  <c r="CI19" i="80"/>
  <c r="CI411" i="80"/>
  <c r="BT277" i="79"/>
  <c r="CJ277" i="79"/>
  <c r="BD277" i="79"/>
  <c r="FD180" i="80"/>
  <c r="FD181" i="80"/>
  <c r="AG244" i="80"/>
  <c r="FD244" i="80"/>
  <c r="CK180" i="80"/>
  <c r="FL182" i="80"/>
  <c r="CY419" i="80"/>
  <c r="CY425" i="80"/>
  <c r="BC34" i="80"/>
  <c r="BC404" i="80"/>
  <c r="BK419" i="79"/>
  <c r="BK404" i="79"/>
  <c r="BK425" i="79" s="1"/>
  <c r="EM34" i="80"/>
  <c r="EM404" i="80"/>
  <c r="FK419" i="80"/>
  <c r="FK425" i="80"/>
  <c r="EU419" i="79"/>
  <c r="EU404" i="79"/>
  <c r="EU425" i="79" s="1"/>
  <c r="W419" i="80"/>
  <c r="W425" i="80"/>
  <c r="BC34" i="79"/>
  <c r="BC419" i="79"/>
  <c r="BC404" i="79"/>
  <c r="BC425" i="79" s="1"/>
  <c r="O419" i="79"/>
  <c r="O404" i="79"/>
  <c r="O425" i="79" s="1"/>
  <c r="CQ100" i="80"/>
  <c r="DG143" i="80"/>
  <c r="FC298" i="80"/>
  <c r="FM87" i="80"/>
  <c r="EF294" i="80"/>
  <c r="DQ87" i="80"/>
  <c r="AV99" i="80"/>
  <c r="Q99" i="80"/>
  <c r="BL99" i="80"/>
  <c r="BM99" i="80"/>
  <c r="AG99" i="80"/>
  <c r="X99" i="80"/>
  <c r="DX270" i="80"/>
  <c r="DW271" i="80"/>
  <c r="CR87" i="80"/>
  <c r="CJ232" i="80"/>
  <c r="BL232" i="80"/>
  <c r="BU99" i="80"/>
  <c r="BT295" i="80"/>
  <c r="BM295" i="80"/>
  <c r="DH99" i="80"/>
  <c r="DJ99" i="80" s="1"/>
  <c r="CZ99" i="80"/>
  <c r="BU241" i="80"/>
  <c r="BL87" i="80"/>
  <c r="Y99" i="80"/>
  <c r="EV140" i="79"/>
  <c r="EW140" i="79"/>
  <c r="EV296" i="80"/>
  <c r="EW296" i="80"/>
  <c r="DY270" i="80"/>
  <c r="DA226" i="80"/>
  <c r="CB226" i="80"/>
  <c r="AF270" i="80"/>
  <c r="AN294" i="79"/>
  <c r="P294" i="79"/>
  <c r="BL295" i="80"/>
  <c r="P270" i="80"/>
  <c r="R270" i="80" s="1"/>
  <c r="X139" i="80"/>
  <c r="DQ106" i="79"/>
  <c r="EW106" i="79"/>
  <c r="BD121" i="80"/>
  <c r="AW121" i="80"/>
  <c r="AO149" i="80"/>
  <c r="EV155" i="80"/>
  <c r="FD155" i="80"/>
  <c r="DG19" i="80"/>
  <c r="DG412" i="80"/>
  <c r="AV189" i="80"/>
  <c r="EG244" i="80"/>
  <c r="FD182" i="80"/>
  <c r="BU180" i="80"/>
  <c r="FL200" i="80"/>
  <c r="EW244" i="80"/>
  <c r="DQ180" i="80"/>
  <c r="AM419" i="80"/>
  <c r="AM425" i="80"/>
  <c r="DO419" i="79"/>
  <c r="DO404" i="79"/>
  <c r="DO425" i="79" s="1"/>
  <c r="DG34" i="80"/>
  <c r="DG404" i="80"/>
  <c r="EM404" i="79"/>
  <c r="EM425" i="79" s="1"/>
  <c r="EM419" i="79"/>
  <c r="EE425" i="80"/>
  <c r="EE419" i="80"/>
  <c r="EE34" i="79"/>
  <c r="EE404" i="79"/>
  <c r="EE425" i="79" s="1"/>
  <c r="EE419" i="79"/>
  <c r="AU404" i="79"/>
  <c r="AU425" i="79" s="1"/>
  <c r="AU419" i="79"/>
  <c r="DO100" i="80"/>
  <c r="CQ143" i="80"/>
  <c r="CA143" i="80"/>
  <c r="CA298" i="80"/>
  <c r="FE232" i="80"/>
  <c r="FF232" i="80" s="1"/>
  <c r="DY232" i="80"/>
  <c r="DI232" i="80"/>
  <c r="DQ232" i="80"/>
  <c r="DR232" i="80" s="1"/>
  <c r="BE232" i="80"/>
  <c r="EG232" i="80"/>
  <c r="CS232" i="80"/>
  <c r="CZ91" i="80"/>
  <c r="DA91" i="80"/>
  <c r="EW294" i="80"/>
  <c r="CZ295" i="80"/>
  <c r="EN87" i="80"/>
  <c r="DA99" i="80"/>
  <c r="EV297" i="80"/>
  <c r="DX232" i="80"/>
  <c r="CR139" i="80"/>
  <c r="BU87" i="80"/>
  <c r="CK139" i="80"/>
  <c r="BT294" i="80"/>
  <c r="BL294" i="80"/>
  <c r="Y232" i="80"/>
  <c r="DA139" i="80"/>
  <c r="EN295" i="80"/>
  <c r="DP99" i="80"/>
  <c r="BT99" i="80"/>
  <c r="BU295" i="80"/>
  <c r="BD232" i="80"/>
  <c r="CS99" i="80"/>
  <c r="CT99" i="80" s="1"/>
  <c r="EV99" i="80"/>
  <c r="EX99" i="80" s="1"/>
  <c r="DI295" i="80"/>
  <c r="DA232" i="80"/>
  <c r="Y139" i="80"/>
  <c r="DQ226" i="80"/>
  <c r="DO298" i="80"/>
  <c r="EM298" i="80"/>
  <c r="DX296" i="80"/>
  <c r="DY296" i="80"/>
  <c r="CB296" i="80"/>
  <c r="CC296" i="80"/>
  <c r="DI270" i="80"/>
  <c r="DJ270" i="80" s="1"/>
  <c r="DA270" i="80"/>
  <c r="DB270" i="80" s="1"/>
  <c r="CZ241" i="80"/>
  <c r="DB241" i="80" s="1"/>
  <c r="BT232" i="80"/>
  <c r="AN226" i="80"/>
  <c r="CC294" i="79"/>
  <c r="BL294" i="79"/>
  <c r="AV294" i="79"/>
  <c r="BD99" i="80"/>
  <c r="FD294" i="79"/>
  <c r="AN270" i="80"/>
  <c r="CR124" i="79"/>
  <c r="EW124" i="79"/>
  <c r="AF149" i="80"/>
  <c r="CC277" i="79"/>
  <c r="EE19" i="80"/>
  <c r="EE412" i="80"/>
  <c r="FE242" i="80"/>
  <c r="CQ313" i="79"/>
  <c r="DP189" i="80"/>
  <c r="CR189" i="80"/>
  <c r="AF189" i="80"/>
  <c r="CB189" i="80"/>
  <c r="DA180" i="80"/>
  <c r="EO244" i="80"/>
  <c r="BS425" i="80"/>
  <c r="BS419" i="80"/>
  <c r="AE425" i="80"/>
  <c r="AE419" i="80"/>
  <c r="DG404" i="79"/>
  <c r="DG425" i="79" s="1"/>
  <c r="DG419" i="79"/>
  <c r="FC419" i="79"/>
  <c r="FC404" i="79"/>
  <c r="FC425" i="79" s="1"/>
  <c r="FC419" i="80"/>
  <c r="FC425" i="80"/>
  <c r="CQ34" i="80"/>
  <c r="CQ404" i="80"/>
  <c r="DW419" i="79"/>
  <c r="DW404" i="79"/>
  <c r="DW425" i="79" s="1"/>
  <c r="CY419" i="79"/>
  <c r="CY404" i="79"/>
  <c r="CY425" i="79" s="1"/>
  <c r="CQ419" i="79"/>
  <c r="CQ404" i="79"/>
  <c r="CQ425" i="79" s="1"/>
  <c r="AW97" i="80"/>
  <c r="DW143" i="80"/>
  <c r="AN142" i="80"/>
  <c r="G405" i="80"/>
  <c r="CS87" i="80"/>
  <c r="CZ139" i="80"/>
  <c r="CI298" i="80"/>
  <c r="CB270" i="80"/>
  <c r="CC270" i="80"/>
  <c r="CJ241" i="80"/>
  <c r="CC294" i="80"/>
  <c r="BM294" i="80"/>
  <c r="BD294" i="80"/>
  <c r="CB294" i="80"/>
  <c r="BU294" i="80"/>
  <c r="BE294" i="80"/>
  <c r="AW294" i="80"/>
  <c r="AO294" i="80"/>
  <c r="AV294" i="80"/>
  <c r="AN294" i="80"/>
  <c r="FE241" i="80"/>
  <c r="FF241" i="80" s="1"/>
  <c r="EE298" i="80"/>
  <c r="DX87" i="80"/>
  <c r="DX294" i="80"/>
  <c r="EF139" i="80"/>
  <c r="DP139" i="80"/>
  <c r="CC99" i="80"/>
  <c r="CD99" i="80" s="1"/>
  <c r="FM99" i="80"/>
  <c r="FN99" i="80" s="1"/>
  <c r="EF87" i="80"/>
  <c r="CR232" i="80"/>
  <c r="P232" i="80"/>
  <c r="CZ226" i="80"/>
  <c r="DW298" i="80"/>
  <c r="CQ298" i="80"/>
  <c r="EF296" i="80"/>
  <c r="EG296" i="80"/>
  <c r="DI296" i="80"/>
  <c r="DH296" i="80"/>
  <c r="EG270" i="80"/>
  <c r="EH270" i="80" s="1"/>
  <c r="DP270" i="80"/>
  <c r="DR270" i="80" s="1"/>
  <c r="DA87" i="80"/>
  <c r="AF294" i="79"/>
  <c r="AW99" i="80"/>
  <c r="CS294" i="79"/>
  <c r="AF295" i="80"/>
  <c r="FC418" i="79"/>
  <c r="FC403" i="79"/>
  <c r="FC424" i="79" s="1"/>
  <c r="EU418" i="79"/>
  <c r="EU403" i="79"/>
  <c r="EU424" i="79" s="1"/>
  <c r="DG418" i="79"/>
  <c r="DG403" i="79"/>
  <c r="DG424" i="79" s="1"/>
  <c r="BU22" i="79"/>
  <c r="BU398" i="79" s="1"/>
  <c r="BS398" i="79"/>
  <c r="BS402" i="79" s="1"/>
  <c r="AU402" i="79"/>
  <c r="FK418" i="79"/>
  <c r="FK403" i="79"/>
  <c r="FK424" i="79" s="1"/>
  <c r="FM22" i="79"/>
  <c r="FM398" i="79" s="1"/>
  <c r="FK398" i="79"/>
  <c r="FK402" i="79" s="1"/>
  <c r="BC418" i="79"/>
  <c r="BC403" i="79"/>
  <c r="BC424" i="79" s="1"/>
  <c r="FD24" i="79"/>
  <c r="FD400" i="79" s="1"/>
  <c r="FC400" i="79"/>
  <c r="O418" i="79"/>
  <c r="O403" i="79"/>
  <c r="O424" i="79" s="1"/>
  <c r="EF22" i="79"/>
  <c r="EF398" i="79" s="1"/>
  <c r="EE398" i="79"/>
  <c r="EE402" i="79" s="1"/>
  <c r="BL22" i="79"/>
  <c r="BL398" i="79" s="1"/>
  <c r="BK398" i="79"/>
  <c r="BK402" i="79" s="1"/>
  <c r="EO22" i="79"/>
  <c r="EO398" i="79" s="1"/>
  <c r="EM418" i="79"/>
  <c r="EM403" i="79"/>
  <c r="EM424" i="79" s="1"/>
  <c r="DO418" i="79"/>
  <c r="DO403" i="79"/>
  <c r="DO424" i="79" s="1"/>
  <c r="CZ22" i="79"/>
  <c r="CZ398" i="79" s="1"/>
  <c r="CY398" i="79"/>
  <c r="CY402" i="79" s="1"/>
  <c r="FD22" i="79"/>
  <c r="FD398" i="79" s="1"/>
  <c r="FC398" i="79"/>
  <c r="W402" i="79"/>
  <c r="EM26" i="79"/>
  <c r="EM401" i="79"/>
  <c r="EM402" i="79" s="1"/>
  <c r="CQ403" i="79"/>
  <c r="CQ424" i="79" s="1"/>
  <c r="CQ418" i="79"/>
  <c r="BS418" i="79"/>
  <c r="BS403" i="79"/>
  <c r="BS424" i="79" s="1"/>
  <c r="AO22" i="79"/>
  <c r="AO398" i="79" s="1"/>
  <c r="AM398" i="79"/>
  <c r="AM402" i="79" s="1"/>
  <c r="CJ22" i="79"/>
  <c r="CJ398" i="79" s="1"/>
  <c r="CI398" i="79"/>
  <c r="CI402" i="79" s="1"/>
  <c r="AF22" i="79"/>
  <c r="AF398" i="79" s="1"/>
  <c r="AE398" i="79"/>
  <c r="AE402" i="79" s="1"/>
  <c r="EN22" i="79"/>
  <c r="EN398" i="79" s="1"/>
  <c r="BK418" i="79"/>
  <c r="BK403" i="79"/>
  <c r="BK424" i="79" s="1"/>
  <c r="AM418" i="79"/>
  <c r="AM420" i="79" s="1"/>
  <c r="AM403" i="79"/>
  <c r="AM424" i="79" s="1"/>
  <c r="AU418" i="79"/>
  <c r="AU403" i="79"/>
  <c r="AU424" i="79" s="1"/>
  <c r="AW22" i="79"/>
  <c r="AW398" i="79" s="1"/>
  <c r="CQ26" i="79"/>
  <c r="CQ401" i="79"/>
  <c r="CQ402" i="79" s="1"/>
  <c r="W403" i="79"/>
  <c r="W424" i="79" s="1"/>
  <c r="W418" i="79"/>
  <c r="AG23" i="80"/>
  <c r="AG399" i="80" s="1"/>
  <c r="AE399" i="80"/>
  <c r="DP24" i="80"/>
  <c r="DP400" i="80" s="1"/>
  <c r="DO400" i="80"/>
  <c r="AE424" i="80"/>
  <c r="AE418" i="80"/>
  <c r="EV23" i="80"/>
  <c r="EV399" i="80" s="1"/>
  <c r="EU399" i="80"/>
  <c r="EG24" i="80"/>
  <c r="EG400" i="80" s="1"/>
  <c r="EE400" i="80"/>
  <c r="EE402" i="80" s="1"/>
  <c r="CB176" i="80"/>
  <c r="AW23" i="80"/>
  <c r="AW399" i="80" s="1"/>
  <c r="AU399" i="80"/>
  <c r="AU402" i="80" s="1"/>
  <c r="AG24" i="80"/>
  <c r="AG400" i="80" s="1"/>
  <c r="AE400" i="80"/>
  <c r="DA24" i="80"/>
  <c r="DA400" i="80" s="1"/>
  <c r="CY400" i="80"/>
  <c r="CY402" i="80" s="1"/>
  <c r="Q22" i="80"/>
  <c r="Q398" i="80" s="1"/>
  <c r="O398" i="80"/>
  <c r="O402" i="80" s="1"/>
  <c r="O405" i="80" s="1"/>
  <c r="O409" i="80" s="1"/>
  <c r="CK23" i="80"/>
  <c r="CK399" i="80" s="1"/>
  <c r="CI399" i="80"/>
  <c r="CI402" i="80" s="1"/>
  <c r="FE23" i="80"/>
  <c r="FE399" i="80" s="1"/>
  <c r="FC399" i="80"/>
  <c r="EN23" i="80"/>
  <c r="EN399" i="80" s="1"/>
  <c r="EM399" i="80"/>
  <c r="EM402" i="80" s="1"/>
  <c r="BE24" i="80"/>
  <c r="BE400" i="80" s="1"/>
  <c r="BC400" i="80"/>
  <c r="BL24" i="80"/>
  <c r="BL400" i="80" s="1"/>
  <c r="BK400" i="80"/>
  <c r="BK402" i="80" s="1"/>
  <c r="BK405" i="80" s="1"/>
  <c r="BK409" i="80" s="1"/>
  <c r="DQ23" i="80"/>
  <c r="DQ399" i="80" s="1"/>
  <c r="DO399" i="80"/>
  <c r="FE177" i="80"/>
  <c r="AM418" i="80"/>
  <c r="AM424" i="80"/>
  <c r="DA178" i="80"/>
  <c r="DA176" i="80"/>
  <c r="BV309" i="80"/>
  <c r="FK402" i="80"/>
  <c r="X23" i="80"/>
  <c r="X399" i="80" s="1"/>
  <c r="W399" i="80"/>
  <c r="DH24" i="80"/>
  <c r="DH400" i="80" s="1"/>
  <c r="DG400" i="80"/>
  <c r="DW424" i="80"/>
  <c r="DW418" i="80"/>
  <c r="DW420" i="80" s="1"/>
  <c r="DY24" i="80"/>
  <c r="DY400" i="80" s="1"/>
  <c r="DW400" i="80"/>
  <c r="CC24" i="80"/>
  <c r="CC400" i="80" s="1"/>
  <c r="CA400" i="80"/>
  <c r="EW24" i="80"/>
  <c r="EW400" i="80" s="1"/>
  <c r="EU400" i="80"/>
  <c r="AN23" i="80"/>
  <c r="AN399" i="80" s="1"/>
  <c r="AM399" i="80"/>
  <c r="DG418" i="80"/>
  <c r="DG424" i="80"/>
  <c r="EV22" i="80"/>
  <c r="EV398" i="80" s="1"/>
  <c r="EU398" i="80"/>
  <c r="BT23" i="80"/>
  <c r="BT399" i="80" s="1"/>
  <c r="BS399" i="80"/>
  <c r="BS402" i="80" s="1"/>
  <c r="O418" i="80"/>
  <c r="O420" i="80" s="1"/>
  <c r="O424" i="80"/>
  <c r="CR23" i="80"/>
  <c r="CR399" i="80" s="1"/>
  <c r="CQ399" i="80"/>
  <c r="CR22" i="80"/>
  <c r="CR398" i="80" s="1"/>
  <c r="CQ398" i="80"/>
  <c r="X24" i="80"/>
  <c r="X400" i="80" s="1"/>
  <c r="W400" i="80"/>
  <c r="CR24" i="80"/>
  <c r="CR400" i="80" s="1"/>
  <c r="CQ400" i="80"/>
  <c r="AO24" i="80"/>
  <c r="AO400" i="80" s="1"/>
  <c r="AM400" i="80"/>
  <c r="DX23" i="80"/>
  <c r="DX399" i="80" s="1"/>
  <c r="DW399" i="80"/>
  <c r="EM424" i="80"/>
  <c r="EM418" i="80"/>
  <c r="AU418" i="80"/>
  <c r="AU424" i="80"/>
  <c r="DH23" i="80"/>
  <c r="DH399" i="80" s="1"/>
  <c r="DG399" i="80"/>
  <c r="FE24" i="80"/>
  <c r="FE400" i="80" s="1"/>
  <c r="FC400" i="80"/>
  <c r="CC23" i="80"/>
  <c r="CC399" i="80" s="1"/>
  <c r="CA399" i="80"/>
  <c r="BE23" i="80"/>
  <c r="BE399" i="80" s="1"/>
  <c r="BC399" i="80"/>
  <c r="BC418" i="80"/>
  <c r="BC424" i="80"/>
  <c r="BK418" i="80"/>
  <c r="BK420" i="80" s="1"/>
  <c r="BK424" i="80"/>
  <c r="I402" i="79"/>
  <c r="EW229" i="80"/>
  <c r="EV229" i="80"/>
  <c r="FL229" i="80"/>
  <c r="FL213" i="80"/>
  <c r="Y213" i="80"/>
  <c r="CZ18" i="80"/>
  <c r="CZ412" i="80" s="1"/>
  <c r="H412" i="80"/>
  <c r="AG33" i="79"/>
  <c r="AG419" i="79" s="1"/>
  <c r="I419" i="79"/>
  <c r="I404" i="79"/>
  <c r="I425" i="79" s="1"/>
  <c r="I426" i="79"/>
  <c r="G426" i="79"/>
  <c r="J419" i="80"/>
  <c r="J425" i="80"/>
  <c r="H419" i="79"/>
  <c r="H404" i="79"/>
  <c r="H425" i="79" s="1"/>
  <c r="Q16" i="80"/>
  <c r="Q410" i="80" s="1"/>
  <c r="Q426" i="80" s="1"/>
  <c r="I410" i="80"/>
  <c r="H402" i="80"/>
  <c r="H402" i="79"/>
  <c r="I418" i="79"/>
  <c r="I403" i="79"/>
  <c r="I424" i="79" s="1"/>
  <c r="H34" i="80"/>
  <c r="H404" i="80"/>
  <c r="BU18" i="80"/>
  <c r="BU412" i="80" s="1"/>
  <c r="BU428" i="80" s="1"/>
  <c r="I412" i="80"/>
  <c r="H418" i="79"/>
  <c r="H403" i="79"/>
  <c r="H424" i="79" s="1"/>
  <c r="J402" i="79"/>
  <c r="J418" i="79"/>
  <c r="J420" i="79" s="1"/>
  <c r="J403" i="79"/>
  <c r="J424" i="79" s="1"/>
  <c r="J402" i="80"/>
  <c r="J405" i="80" s="1"/>
  <c r="J409" i="80" s="1"/>
  <c r="G428" i="79"/>
  <c r="I428" i="79"/>
  <c r="BM33" i="80"/>
  <c r="BM404" i="80" s="1"/>
  <c r="BM419" i="80" s="1"/>
  <c r="I404" i="80"/>
  <c r="X16" i="80"/>
  <c r="X410" i="80" s="1"/>
  <c r="H410" i="80"/>
  <c r="I418" i="80"/>
  <c r="I424" i="80"/>
  <c r="J424" i="80"/>
  <c r="J418" i="80"/>
  <c r="I402" i="80"/>
  <c r="CC419" i="80"/>
  <c r="CC425" i="80"/>
  <c r="R142" i="79"/>
  <c r="CJ185" i="80"/>
  <c r="DY185" i="80"/>
  <c r="BL176" i="80"/>
  <c r="Q184" i="80"/>
  <c r="BD184" i="80"/>
  <c r="Y177" i="80"/>
  <c r="EG22" i="79"/>
  <c r="EG398" i="79" s="1"/>
  <c r="EP125" i="80"/>
  <c r="EH68" i="79"/>
  <c r="FL229" i="79"/>
  <c r="BE213" i="80"/>
  <c r="CZ180" i="80"/>
  <c r="AW176" i="80"/>
  <c r="BE185" i="80"/>
  <c r="EO178" i="80"/>
  <c r="CZ185" i="80"/>
  <c r="CJ180" i="80"/>
  <c r="FE178" i="80"/>
  <c r="AN185" i="80"/>
  <c r="FE22" i="79"/>
  <c r="FE398" i="79" s="1"/>
  <c r="CB22" i="79"/>
  <c r="CB398" i="79" s="1"/>
  <c r="DA22" i="79"/>
  <c r="DA398" i="79" s="1"/>
  <c r="DY22" i="79"/>
  <c r="DY398" i="79" s="1"/>
  <c r="BM245" i="80"/>
  <c r="BN245" i="80" s="1"/>
  <c r="BS26" i="79"/>
  <c r="BU193" i="80"/>
  <c r="DB125" i="80"/>
  <c r="DY177" i="80"/>
  <c r="AN178" i="80"/>
  <c r="AE26" i="79"/>
  <c r="FM176" i="80"/>
  <c r="BU246" i="80"/>
  <c r="AO246" i="80"/>
  <c r="FM177" i="80"/>
  <c r="EO185" i="80"/>
  <c r="DI176" i="80"/>
  <c r="AV177" i="80"/>
  <c r="Y178" i="80"/>
  <c r="CK22" i="79"/>
  <c r="CK398" i="79" s="1"/>
  <c r="AG245" i="80"/>
  <c r="AH245" i="80" s="1"/>
  <c r="DP176" i="80"/>
  <c r="BT22" i="79"/>
  <c r="BT398" i="79" s="1"/>
  <c r="CC244" i="79"/>
  <c r="EF178" i="80"/>
  <c r="BU185" i="80"/>
  <c r="BM22" i="79"/>
  <c r="BM398" i="79" s="1"/>
  <c r="EO176" i="80"/>
  <c r="DW26" i="79"/>
  <c r="BK26" i="79"/>
  <c r="DX22" i="79"/>
  <c r="DX398" i="79" s="1"/>
  <c r="G14" i="35"/>
  <c r="J366" i="85" s="1"/>
  <c r="L177" i="90" s="1"/>
  <c r="G18" i="35"/>
  <c r="J375" i="79" s="1"/>
  <c r="F18" i="35"/>
  <c r="I370" i="85" s="1"/>
  <c r="K181" i="90" s="1"/>
  <c r="E18" i="35"/>
  <c r="H370" i="85" s="1"/>
  <c r="J181" i="90" s="1"/>
  <c r="CI480" i="79"/>
  <c r="CI487" i="79" s="1"/>
  <c r="CI488" i="79" s="1"/>
  <c r="DO480" i="79"/>
  <c r="DO481" i="79" s="1"/>
  <c r="BS313" i="79"/>
  <c r="CI313" i="79"/>
  <c r="BU310" i="80"/>
  <c r="BM309" i="79"/>
  <c r="DG313" i="79"/>
  <c r="EM281" i="80"/>
  <c r="CQ281" i="79"/>
  <c r="CQ283" i="79" s="1"/>
  <c r="CQ328" i="79" s="1"/>
  <c r="BU277" i="79"/>
  <c r="BS281" i="79"/>
  <c r="BS283" i="79" s="1"/>
  <c r="BS328" i="79" s="1"/>
  <c r="DO281" i="80"/>
  <c r="DO283" i="80" s="1"/>
  <c r="DO328" i="80" s="1"/>
  <c r="DG281" i="79"/>
  <c r="DG283" i="79" s="1"/>
  <c r="DG328" i="79" s="1"/>
  <c r="BC281" i="79"/>
  <c r="BC283" i="79" s="1"/>
  <c r="BC328" i="79" s="1"/>
  <c r="EE281" i="79"/>
  <c r="EE283" i="79" s="1"/>
  <c r="EE328" i="79" s="1"/>
  <c r="DG235" i="79"/>
  <c r="X227" i="80"/>
  <c r="Y227" i="80"/>
  <c r="EF227" i="80"/>
  <c r="EG227" i="80"/>
  <c r="AF227" i="80"/>
  <c r="AG227" i="80"/>
  <c r="BU227" i="80"/>
  <c r="BT227" i="80"/>
  <c r="DP227" i="80"/>
  <c r="DQ227" i="80"/>
  <c r="AV227" i="80"/>
  <c r="AW227" i="80"/>
  <c r="P227" i="80"/>
  <c r="Q227" i="80"/>
  <c r="CZ227" i="80"/>
  <c r="DA227" i="80"/>
  <c r="AO227" i="80"/>
  <c r="AN227" i="80"/>
  <c r="EN227" i="80"/>
  <c r="EO227" i="80"/>
  <c r="O215" i="79"/>
  <c r="G237" i="79"/>
  <c r="G260" i="79" s="1"/>
  <c r="G322" i="79" s="1"/>
  <c r="AU215" i="79"/>
  <c r="AG206" i="79"/>
  <c r="DQ178" i="80"/>
  <c r="BU177" i="80"/>
  <c r="EO194" i="79"/>
  <c r="BL177" i="80"/>
  <c r="EV177" i="80"/>
  <c r="DY176" i="80"/>
  <c r="CB178" i="80"/>
  <c r="CS176" i="80"/>
  <c r="DY178" i="80"/>
  <c r="CC184" i="80"/>
  <c r="BU176" i="80"/>
  <c r="DI184" i="80"/>
  <c r="CR177" i="80"/>
  <c r="FL147" i="79"/>
  <c r="EN153" i="79"/>
  <c r="DY154" i="79"/>
  <c r="CK154" i="79"/>
  <c r="CA156" i="80"/>
  <c r="BE154" i="80"/>
  <c r="DI153" i="80"/>
  <c r="AM156" i="80"/>
  <c r="DG156" i="80"/>
  <c r="DG156" i="79"/>
  <c r="EM156" i="80"/>
  <c r="DW156" i="79"/>
  <c r="CR142" i="79"/>
  <c r="CS142" i="79"/>
  <c r="DH139" i="79"/>
  <c r="DI139" i="79"/>
  <c r="DG143" i="79"/>
  <c r="W143" i="79"/>
  <c r="Y139" i="79"/>
  <c r="X139" i="79"/>
  <c r="CY143" i="80"/>
  <c r="W143" i="80"/>
  <c r="BL139" i="79"/>
  <c r="BK143" i="79"/>
  <c r="EU143" i="79"/>
  <c r="BT139" i="79"/>
  <c r="BS143" i="79"/>
  <c r="BU139" i="79"/>
  <c r="P139" i="79"/>
  <c r="O143" i="79"/>
  <c r="EN139" i="79"/>
  <c r="EO139" i="79"/>
  <c r="EG139" i="79"/>
  <c r="AV139" i="79"/>
  <c r="AW139" i="79"/>
  <c r="AU143" i="79"/>
  <c r="CK139" i="79"/>
  <c r="CI143" i="79"/>
  <c r="AN139" i="79"/>
  <c r="AO139" i="79"/>
  <c r="AM143" i="79"/>
  <c r="CR139" i="79"/>
  <c r="CS139" i="79"/>
  <c r="CQ143" i="79"/>
  <c r="BD139" i="79"/>
  <c r="BC143" i="79"/>
  <c r="BS143" i="80"/>
  <c r="CC139" i="79"/>
  <c r="CA143" i="79"/>
  <c r="CB139" i="79"/>
  <c r="AV142" i="79"/>
  <c r="AW142" i="79"/>
  <c r="DO143" i="80"/>
  <c r="EV141" i="80"/>
  <c r="BM142" i="79"/>
  <c r="BN142" i="79" s="1"/>
  <c r="DX139" i="79"/>
  <c r="DY139" i="79"/>
  <c r="AE143" i="80"/>
  <c r="CC142" i="79"/>
  <c r="CB142" i="79"/>
  <c r="AE143" i="79"/>
  <c r="AE158" i="79" s="1"/>
  <c r="AM143" i="80"/>
  <c r="AV124" i="80"/>
  <c r="AX124" i="80" s="1"/>
  <c r="AW130" i="79"/>
  <c r="AX130" i="79" s="1"/>
  <c r="AF132" i="79"/>
  <c r="BE125" i="79"/>
  <c r="BF125" i="79" s="1"/>
  <c r="AG125" i="79"/>
  <c r="AH125" i="79" s="1"/>
  <c r="CK120" i="79"/>
  <c r="CL120" i="79" s="1"/>
  <c r="X125" i="79"/>
  <c r="Y125" i="79"/>
  <c r="EN125" i="79"/>
  <c r="EP125" i="79" s="1"/>
  <c r="AU133" i="79"/>
  <c r="AM133" i="80"/>
  <c r="DY130" i="79"/>
  <c r="DZ130" i="79" s="1"/>
  <c r="Y120" i="79"/>
  <c r="Z120" i="79" s="1"/>
  <c r="AF126" i="79"/>
  <c r="DY124" i="80"/>
  <c r="DZ124" i="80" s="1"/>
  <c r="P125" i="79"/>
  <c r="Q125" i="79"/>
  <c r="AG129" i="80"/>
  <c r="AH129" i="80" s="1"/>
  <c r="BT132" i="80"/>
  <c r="FM121" i="79"/>
  <c r="FN121" i="79" s="1"/>
  <c r="BC133" i="79"/>
  <c r="CS125" i="79"/>
  <c r="CT125" i="79" s="1"/>
  <c r="EW130" i="79"/>
  <c r="EX130" i="79" s="1"/>
  <c r="O100" i="80"/>
  <c r="BK100" i="80"/>
  <c r="W100" i="80"/>
  <c r="AU100" i="80"/>
  <c r="AV97" i="80"/>
  <c r="AM100" i="80"/>
  <c r="AE100" i="80"/>
  <c r="AU93" i="80"/>
  <c r="AU93" i="79"/>
  <c r="W93" i="80"/>
  <c r="W93" i="79"/>
  <c r="CQ93" i="79"/>
  <c r="BT87" i="79"/>
  <c r="CA93" i="79"/>
  <c r="AM93" i="79"/>
  <c r="DP68" i="79"/>
  <c r="DQ68" i="79"/>
  <c r="AW68" i="80"/>
  <c r="EN71" i="79"/>
  <c r="BU68" i="79"/>
  <c r="BT68" i="79"/>
  <c r="EW58" i="80"/>
  <c r="EX58" i="80" s="1"/>
  <c r="W77" i="79"/>
  <c r="CQ77" i="80"/>
  <c r="BS77" i="79"/>
  <c r="FE68" i="79"/>
  <c r="FF68" i="79" s="1"/>
  <c r="Y68" i="79"/>
  <c r="Z68" i="79" s="1"/>
  <c r="O77" i="79"/>
  <c r="EM77" i="79"/>
  <c r="AU77" i="79"/>
  <c r="CS68" i="79"/>
  <c r="CR68" i="79"/>
  <c r="EN68" i="79"/>
  <c r="EP68" i="79" s="1"/>
  <c r="CA77" i="80"/>
  <c r="CC68" i="79"/>
  <c r="CD68" i="79" s="1"/>
  <c r="DH73" i="79"/>
  <c r="CK58" i="80"/>
  <c r="CL58" i="80" s="1"/>
  <c r="CY77" i="79"/>
  <c r="AN68" i="79"/>
  <c r="AO68" i="79"/>
  <c r="DI68" i="79"/>
  <c r="DH68" i="79"/>
  <c r="P68" i="79"/>
  <c r="Q68" i="79"/>
  <c r="DI148" i="79"/>
  <c r="EU34" i="80"/>
  <c r="BD276" i="80"/>
  <c r="AN250" i="80"/>
  <c r="FD205" i="79"/>
  <c r="EW187" i="80"/>
  <c r="DY148" i="79"/>
  <c r="FM187" i="80"/>
  <c r="FK34" i="80"/>
  <c r="EO248" i="80"/>
  <c r="EP248" i="80" s="1"/>
  <c r="DA148" i="79"/>
  <c r="DB148" i="79" s="1"/>
  <c r="CR230" i="80"/>
  <c r="DP250" i="80"/>
  <c r="EO187" i="80"/>
  <c r="BK34" i="79"/>
  <c r="CQ34" i="79"/>
  <c r="BM187" i="80"/>
  <c r="P250" i="80"/>
  <c r="AM34" i="80"/>
  <c r="CJ148" i="79"/>
  <c r="CB148" i="79"/>
  <c r="CC280" i="80"/>
  <c r="AF206" i="79"/>
  <c r="EO187" i="79"/>
  <c r="DY187" i="79"/>
  <c r="DH206" i="79"/>
  <c r="BL206" i="79"/>
  <c r="FM187" i="79"/>
  <c r="EG187" i="79"/>
  <c r="L38" i="80"/>
  <c r="EW187" i="79"/>
  <c r="CS187" i="79"/>
  <c r="CC187" i="79"/>
  <c r="DQ187" i="79"/>
  <c r="FE187" i="79"/>
  <c r="BT206" i="79"/>
  <c r="BU187" i="79"/>
  <c r="FD206" i="80"/>
  <c r="DA188" i="79"/>
  <c r="DB188" i="79" s="1"/>
  <c r="Q188" i="79"/>
  <c r="R188" i="79" s="1"/>
  <c r="CJ199" i="79"/>
  <c r="FD199" i="79"/>
  <c r="EN193" i="80"/>
  <c r="AW187" i="80"/>
  <c r="DQ187" i="80"/>
  <c r="FD280" i="80"/>
  <c r="AF280" i="80"/>
  <c r="EF206" i="79"/>
  <c r="DQ249" i="80"/>
  <c r="CC248" i="79"/>
  <c r="EG310" i="80"/>
  <c r="BU187" i="80"/>
  <c r="CS248" i="80"/>
  <c r="BE187" i="80"/>
  <c r="DX276" i="79"/>
  <c r="EO249" i="80"/>
  <c r="CS249" i="80"/>
  <c r="EW248" i="79"/>
  <c r="DP280" i="80"/>
  <c r="BL280" i="80"/>
  <c r="FE193" i="80"/>
  <c r="DP193" i="80"/>
  <c r="BU248" i="80"/>
  <c r="AG310" i="80"/>
  <c r="AW249" i="80"/>
  <c r="EW189" i="80"/>
  <c r="CS187" i="80"/>
  <c r="BD280" i="80"/>
  <c r="FL280" i="80"/>
  <c r="CZ276" i="79"/>
  <c r="CB200" i="79"/>
  <c r="FE249" i="80"/>
  <c r="CK248" i="79"/>
  <c r="AG249" i="80"/>
  <c r="CS248" i="79"/>
  <c r="DA187" i="80"/>
  <c r="EF187" i="80"/>
  <c r="Y193" i="80"/>
  <c r="BM189" i="80"/>
  <c r="DQ188" i="80"/>
  <c r="Y249" i="80"/>
  <c r="Q249" i="80"/>
  <c r="CB193" i="80"/>
  <c r="CC193" i="80"/>
  <c r="DA246" i="80"/>
  <c r="BM244" i="80"/>
  <c r="BU178" i="80"/>
  <c r="EN184" i="80"/>
  <c r="AF244" i="80"/>
  <c r="FE184" i="80"/>
  <c r="DP180" i="80"/>
  <c r="DP177" i="80"/>
  <c r="BT180" i="80"/>
  <c r="DI185" i="80"/>
  <c r="DQ310" i="80"/>
  <c r="AW178" i="80"/>
  <c r="BM184" i="80"/>
  <c r="CB248" i="80"/>
  <c r="CC248" i="80"/>
  <c r="AG246" i="80"/>
  <c r="AF246" i="80"/>
  <c r="AW184" i="80"/>
  <c r="EW178" i="80"/>
  <c r="EO177" i="80"/>
  <c r="BE177" i="80"/>
  <c r="O313" i="80"/>
  <c r="BU184" i="80"/>
  <c r="CK184" i="80"/>
  <c r="Q310" i="80"/>
  <c r="CS185" i="80"/>
  <c r="CS184" i="80"/>
  <c r="AW180" i="80"/>
  <c r="EO310" i="80"/>
  <c r="EV185" i="80"/>
  <c r="DP184" i="80"/>
  <c r="X246" i="80"/>
  <c r="BD176" i="80"/>
  <c r="CJ248" i="79"/>
  <c r="AO244" i="79"/>
  <c r="BE178" i="80"/>
  <c r="Y248" i="80"/>
  <c r="Z248" i="80" s="1"/>
  <c r="EG185" i="80"/>
  <c r="CY313" i="80"/>
  <c r="AG248" i="79"/>
  <c r="DI178" i="80"/>
  <c r="DA184" i="80"/>
  <c r="DX247" i="80"/>
  <c r="DY247" i="80"/>
  <c r="EF247" i="80"/>
  <c r="EG247" i="80"/>
  <c r="BM193" i="80"/>
  <c r="BL193" i="80"/>
  <c r="EW108" i="80"/>
  <c r="EF176" i="80"/>
  <c r="CK176" i="80"/>
  <c r="BL180" i="80"/>
  <c r="EG177" i="80"/>
  <c r="CK311" i="80"/>
  <c r="CC185" i="80"/>
  <c r="AG185" i="80"/>
  <c r="FE176" i="80"/>
  <c r="FE180" i="80"/>
  <c r="CC311" i="80"/>
  <c r="BM310" i="80"/>
  <c r="AO184" i="80"/>
  <c r="Q178" i="80"/>
  <c r="AG178" i="80"/>
  <c r="AO188" i="80"/>
  <c r="AP188" i="80" s="1"/>
  <c r="DP185" i="80"/>
  <c r="BT248" i="80"/>
  <c r="P244" i="80"/>
  <c r="BE310" i="80"/>
  <c r="BC313" i="80"/>
  <c r="BL22" i="80"/>
  <c r="BL398" i="80" s="1"/>
  <c r="CZ247" i="80"/>
  <c r="DB247" i="80" s="1"/>
  <c r="FM247" i="80"/>
  <c r="FN247" i="80" s="1"/>
  <c r="DP247" i="80"/>
  <c r="DR247" i="80" s="1"/>
  <c r="EF248" i="80"/>
  <c r="EG248" i="80"/>
  <c r="FE310" i="80"/>
  <c r="DP188" i="80"/>
  <c r="DH311" i="80"/>
  <c r="AW244" i="79"/>
  <c r="DW281" i="79"/>
  <c r="DW283" i="79" s="1"/>
  <c r="DW328" i="79" s="1"/>
  <c r="EO248" i="79"/>
  <c r="DP246" i="80"/>
  <c r="EG187" i="80"/>
  <c r="P103" i="80"/>
  <c r="X193" i="80"/>
  <c r="EE26" i="79"/>
  <c r="CB192" i="80"/>
  <c r="CC192" i="80"/>
  <c r="AF188" i="80"/>
  <c r="AG188" i="80"/>
  <c r="DX188" i="80"/>
  <c r="DY188" i="80"/>
  <c r="AG193" i="80"/>
  <c r="AF193" i="80"/>
  <c r="P189" i="80"/>
  <c r="Q189" i="80"/>
  <c r="AU202" i="80"/>
  <c r="AV245" i="80"/>
  <c r="AX245" i="80" s="1"/>
  <c r="EW311" i="80"/>
  <c r="CR248" i="80"/>
  <c r="DG26" i="79"/>
  <c r="EW22" i="80"/>
  <c r="EW398" i="80" s="1"/>
  <c r="DP245" i="80"/>
  <c r="DR245" i="80" s="1"/>
  <c r="DI245" i="80"/>
  <c r="DJ245" i="80" s="1"/>
  <c r="BM22" i="80"/>
  <c r="BM398" i="80" s="1"/>
  <c r="AF246" i="79"/>
  <c r="EG244" i="79"/>
  <c r="EV244" i="79"/>
  <c r="BD23" i="80"/>
  <c r="FN69" i="79"/>
  <c r="DX246" i="80"/>
  <c r="EO193" i="80"/>
  <c r="DI310" i="80"/>
  <c r="CS22" i="80"/>
  <c r="DA311" i="80"/>
  <c r="BM23" i="80"/>
  <c r="BM399" i="80" s="1"/>
  <c r="CA26" i="79"/>
  <c r="EF310" i="80"/>
  <c r="CB248" i="79"/>
  <c r="CJ22" i="80"/>
  <c r="CJ398" i="80" s="1"/>
  <c r="CJ245" i="80"/>
  <c r="CL245" i="80" s="1"/>
  <c r="DQ189" i="80"/>
  <c r="BE244" i="79"/>
  <c r="DP23" i="80"/>
  <c r="DP399" i="80" s="1"/>
  <c r="EV248" i="79"/>
  <c r="AE202" i="80"/>
  <c r="EG245" i="80"/>
  <c r="EH245" i="80" s="1"/>
  <c r="BU247" i="80"/>
  <c r="BV247" i="80" s="1"/>
  <c r="DQ193" i="80"/>
  <c r="FE244" i="79"/>
  <c r="DQ244" i="79"/>
  <c r="DA248" i="79"/>
  <c r="EW247" i="80"/>
  <c r="EX247" i="80" s="1"/>
  <c r="DQ248" i="80"/>
  <c r="DR248" i="80" s="1"/>
  <c r="DH244" i="79"/>
  <c r="DI244" i="79"/>
  <c r="BT244" i="79"/>
  <c r="CR244" i="79"/>
  <c r="FD24" i="80"/>
  <c r="CC247" i="80"/>
  <c r="CD247" i="80" s="1"/>
  <c r="BC202" i="80"/>
  <c r="CK22" i="80"/>
  <c r="CK398" i="80" s="1"/>
  <c r="AG189" i="80"/>
  <c r="EM313" i="80"/>
  <c r="DQ248" i="79"/>
  <c r="Q248" i="79"/>
  <c r="AF310" i="80"/>
  <c r="CS310" i="80"/>
  <c r="EE313" i="80"/>
  <c r="DX244" i="79"/>
  <c r="CC246" i="80"/>
  <c r="FE248" i="80"/>
  <c r="FF248" i="80" s="1"/>
  <c r="EN311" i="80"/>
  <c r="BL189" i="80"/>
  <c r="DP248" i="79"/>
  <c r="DA244" i="79"/>
  <c r="FD193" i="80"/>
  <c r="X247" i="80"/>
  <c r="Z247" i="80" s="1"/>
  <c r="AV247" i="80"/>
  <c r="AX247" i="80" s="1"/>
  <c r="BC26" i="79"/>
  <c r="FD23" i="80"/>
  <c r="FD399" i="80" s="1"/>
  <c r="BL244" i="79"/>
  <c r="CK244" i="79"/>
  <c r="CI202" i="80"/>
  <c r="AM202" i="80"/>
  <c r="AE313" i="80"/>
  <c r="EW310" i="79"/>
  <c r="AW311" i="80"/>
  <c r="AO310" i="80"/>
  <c r="AW310" i="80"/>
  <c r="EG310" i="79"/>
  <c r="BU310" i="79"/>
  <c r="CS310" i="79"/>
  <c r="AO310" i="79"/>
  <c r="CI313" i="80"/>
  <c r="CK310" i="80"/>
  <c r="Q310" i="79"/>
  <c r="Y310" i="80"/>
  <c r="CC306" i="80"/>
  <c r="DG313" i="80"/>
  <c r="DO313" i="79"/>
  <c r="O313" i="79"/>
  <c r="AG310" i="79"/>
  <c r="BM310" i="79"/>
  <c r="DY310" i="80"/>
  <c r="BL306" i="80"/>
  <c r="DY310" i="79"/>
  <c r="DQ310" i="79"/>
  <c r="BE310" i="79"/>
  <c r="BM279" i="79"/>
  <c r="DA280" i="79"/>
  <c r="DO281" i="79"/>
  <c r="DO283" i="79" s="1"/>
  <c r="DO328" i="79" s="1"/>
  <c r="Q279" i="79"/>
  <c r="Y279" i="79"/>
  <c r="FE279" i="79"/>
  <c r="FF279" i="79" s="1"/>
  <c r="AO279" i="79"/>
  <c r="FM279" i="79"/>
  <c r="DA277" i="79"/>
  <c r="CY281" i="79"/>
  <c r="CY283" i="79" s="1"/>
  <c r="CY328" i="79" s="1"/>
  <c r="DQ279" i="79"/>
  <c r="EG279" i="79"/>
  <c r="EM281" i="79"/>
  <c r="EM283" i="79" s="1"/>
  <c r="EM328" i="79" s="1"/>
  <c r="G73" i="37"/>
  <c r="CA480" i="79"/>
  <c r="CA481" i="79" s="1"/>
  <c r="DY248" i="80"/>
  <c r="X241" i="80"/>
  <c r="Y241" i="80"/>
  <c r="EF253" i="79"/>
  <c r="EG253" i="79"/>
  <c r="BU249" i="80"/>
  <c r="AN241" i="80"/>
  <c r="AO241" i="80"/>
  <c r="P241" i="80"/>
  <c r="Q241" i="80"/>
  <c r="EW248" i="80"/>
  <c r="DA249" i="80"/>
  <c r="AO249" i="80"/>
  <c r="EG249" i="80"/>
  <c r="CK249" i="80"/>
  <c r="AW241" i="80"/>
  <c r="AV241" i="80"/>
  <c r="EW249" i="80"/>
  <c r="BE249" i="80"/>
  <c r="DP241" i="80"/>
  <c r="DQ241" i="80"/>
  <c r="AN253" i="79"/>
  <c r="AO253" i="79"/>
  <c r="AV253" i="79"/>
  <c r="AW253" i="79"/>
  <c r="BM249" i="80"/>
  <c r="DY249" i="80"/>
  <c r="CC249" i="80"/>
  <c r="BE248" i="80"/>
  <c r="DI249" i="80"/>
  <c r="DY241" i="80"/>
  <c r="DX241" i="80"/>
  <c r="CR241" i="80"/>
  <c r="CS241" i="80"/>
  <c r="P253" i="79"/>
  <c r="Q253" i="79"/>
  <c r="FL148" i="79"/>
  <c r="EF148" i="79"/>
  <c r="CR201" i="79"/>
  <c r="AW229" i="80"/>
  <c r="EU235" i="79"/>
  <c r="BS235" i="79"/>
  <c r="AG211" i="80"/>
  <c r="AH211" i="80" s="1"/>
  <c r="EM215" i="80"/>
  <c r="BS215" i="80"/>
  <c r="AM215" i="79"/>
  <c r="EU215" i="79"/>
  <c r="DY211" i="80"/>
  <c r="DZ211" i="80" s="1"/>
  <c r="CY215" i="80"/>
  <c r="EM215" i="79"/>
  <c r="DW215" i="80"/>
  <c r="EE215" i="79"/>
  <c r="CQ215" i="79"/>
  <c r="BK215" i="80"/>
  <c r="DO215" i="80"/>
  <c r="FC215" i="80"/>
  <c r="DO215" i="79"/>
  <c r="EU215" i="80"/>
  <c r="DQ200" i="79"/>
  <c r="CK200" i="79"/>
  <c r="AW200" i="79"/>
  <c r="EW193" i="80"/>
  <c r="BD193" i="80"/>
  <c r="EF193" i="80"/>
  <c r="P193" i="80"/>
  <c r="DH193" i="80"/>
  <c r="DX193" i="80"/>
  <c r="CJ193" i="80"/>
  <c r="CZ193" i="80"/>
  <c r="DX187" i="80"/>
  <c r="CJ187" i="80"/>
  <c r="BU189" i="80"/>
  <c r="Q188" i="80"/>
  <c r="CK148" i="79"/>
  <c r="CC148" i="79"/>
  <c r="FD148" i="79"/>
  <c r="FC156" i="80"/>
  <c r="EG153" i="80"/>
  <c r="CS153" i="79"/>
  <c r="DH153" i="79"/>
  <c r="EN153" i="80"/>
  <c r="EO153" i="80"/>
  <c r="CJ151" i="80"/>
  <c r="CK151" i="80"/>
  <c r="AG153" i="80"/>
  <c r="AF153" i="80"/>
  <c r="BT151" i="80"/>
  <c r="BU151" i="80"/>
  <c r="EF151" i="80"/>
  <c r="EG151" i="80"/>
  <c r="BL151" i="80"/>
  <c r="BM151" i="80"/>
  <c r="FM153" i="79"/>
  <c r="Y149" i="79"/>
  <c r="W156" i="79"/>
  <c r="CI156" i="79"/>
  <c r="BK156" i="80"/>
  <c r="BK158" i="80" s="1"/>
  <c r="DP151" i="80"/>
  <c r="DQ151" i="80"/>
  <c r="FM147" i="80"/>
  <c r="FM154" i="79"/>
  <c r="DA149" i="80"/>
  <c r="AM156" i="79"/>
  <c r="W156" i="80"/>
  <c r="CC153" i="80"/>
  <c r="CB153" i="80"/>
  <c r="DH151" i="80"/>
  <c r="DI151" i="80"/>
  <c r="P151" i="80"/>
  <c r="Q151" i="80"/>
  <c r="CJ151" i="79"/>
  <c r="AN147" i="79"/>
  <c r="AU156" i="79"/>
  <c r="BK156" i="79"/>
  <c r="BE151" i="80"/>
  <c r="BD151" i="80"/>
  <c r="BM153" i="80"/>
  <c r="BL153" i="80"/>
  <c r="EM156" i="79"/>
  <c r="CS153" i="80"/>
  <c r="CR153" i="80"/>
  <c r="CR151" i="80"/>
  <c r="CS151" i="80"/>
  <c r="CC126" i="80"/>
  <c r="FL121" i="80"/>
  <c r="EW120" i="79"/>
  <c r="EX120" i="79" s="1"/>
  <c r="AN121" i="80"/>
  <c r="DY121" i="79"/>
  <c r="DZ121" i="79" s="1"/>
  <c r="DP125" i="80"/>
  <c r="DR125" i="80" s="1"/>
  <c r="CA133" i="79"/>
  <c r="DG116" i="79"/>
  <c r="DH106" i="79"/>
  <c r="EV115" i="80"/>
  <c r="DP106" i="79"/>
  <c r="BK93" i="79"/>
  <c r="BC93" i="79"/>
  <c r="EM93" i="79"/>
  <c r="DW93" i="80"/>
  <c r="EU93" i="80"/>
  <c r="CI77" i="80"/>
  <c r="DX58" i="80"/>
  <c r="DZ58" i="80" s="1"/>
  <c r="BC77" i="80"/>
  <c r="CC29" i="79"/>
  <c r="CC30" i="79" s="1"/>
  <c r="G16" i="35"/>
  <c r="J373" i="79" s="1"/>
  <c r="DX33" i="80"/>
  <c r="D21" i="35"/>
  <c r="AF16" i="79"/>
  <c r="AF410" i="79" s="1"/>
  <c r="BD33" i="80"/>
  <c r="BD404" i="80" s="1"/>
  <c r="EF16" i="79"/>
  <c r="EF410" i="79" s="1"/>
  <c r="AG29" i="79"/>
  <c r="AG30" i="79" s="1"/>
  <c r="CZ16" i="80"/>
  <c r="CZ410" i="80" s="1"/>
  <c r="DQ33" i="79"/>
  <c r="Q33" i="79"/>
  <c r="Q419" i="79" s="1"/>
  <c r="EO33" i="79"/>
  <c r="FE33" i="79"/>
  <c r="DY33" i="79"/>
  <c r="Q18" i="79"/>
  <c r="Q412" i="79" s="1"/>
  <c r="AW33" i="79"/>
  <c r="G405" i="79"/>
  <c r="I143" i="79"/>
  <c r="DX33" i="79"/>
  <c r="FL33" i="79"/>
  <c r="DP33" i="79"/>
  <c r="AF29" i="79"/>
  <c r="AF30" i="79" s="1"/>
  <c r="FL16" i="80"/>
  <c r="FL410" i="80" s="1"/>
  <c r="EN33" i="79"/>
  <c r="FD33" i="79"/>
  <c r="P33" i="79"/>
  <c r="P419" i="79" s="1"/>
  <c r="DI16" i="80"/>
  <c r="DI410" i="80" s="1"/>
  <c r="DH16" i="79"/>
  <c r="DH410" i="79" s="1"/>
  <c r="J100" i="80"/>
  <c r="L48" i="80"/>
  <c r="FL16" i="79"/>
  <c r="FL410" i="79" s="1"/>
  <c r="AN16" i="79"/>
  <c r="AN410" i="79" s="1"/>
  <c r="E46" i="35"/>
  <c r="R2" i="35" s="1"/>
  <c r="E46" i="82"/>
  <c r="R2" i="82" s="1"/>
  <c r="F46" i="82"/>
  <c r="G46" i="35"/>
  <c r="DX25" i="80"/>
  <c r="DX401" i="80" s="1"/>
  <c r="CB16" i="80"/>
  <c r="CB410" i="80" s="1"/>
  <c r="CR16" i="80"/>
  <c r="CR410" i="80" s="1"/>
  <c r="BU18" i="79"/>
  <c r="BU412" i="79" s="1"/>
  <c r="EV16" i="80"/>
  <c r="EV410" i="80" s="1"/>
  <c r="EN16" i="80"/>
  <c r="EN410" i="80" s="1"/>
  <c r="CJ16" i="80"/>
  <c r="CJ410" i="80" s="1"/>
  <c r="F46" i="35"/>
  <c r="DH16" i="80"/>
  <c r="DH410" i="80" s="1"/>
  <c r="BT16" i="80"/>
  <c r="BT410" i="80" s="1"/>
  <c r="BL16" i="80"/>
  <c r="BL410" i="80" s="1"/>
  <c r="FD16" i="80"/>
  <c r="FD410" i="80" s="1"/>
  <c r="P16" i="80"/>
  <c r="P410" i="80" s="1"/>
  <c r="AV16" i="80"/>
  <c r="AV410" i="80" s="1"/>
  <c r="EF16" i="80"/>
  <c r="EF410" i="80" s="1"/>
  <c r="DP16" i="80"/>
  <c r="DP410" i="80" s="1"/>
  <c r="BM18" i="80"/>
  <c r="BM412" i="80" s="1"/>
  <c r="DI18" i="79"/>
  <c r="DI412" i="79" s="1"/>
  <c r="CK18" i="79"/>
  <c r="CK412" i="79" s="1"/>
  <c r="EW18" i="79"/>
  <c r="EW412" i="79" s="1"/>
  <c r="AW18" i="79"/>
  <c r="AW412" i="79" s="1"/>
  <c r="DQ18" i="79"/>
  <c r="DQ412" i="79" s="1"/>
  <c r="DQ18" i="80"/>
  <c r="DQ412" i="80" s="1"/>
  <c r="DA18" i="79"/>
  <c r="DA412" i="79" s="1"/>
  <c r="CC18" i="79"/>
  <c r="CC412" i="79" s="1"/>
  <c r="FM18" i="79"/>
  <c r="FM412" i="79" s="1"/>
  <c r="G46" i="82"/>
  <c r="AG18" i="79"/>
  <c r="AG412" i="79" s="1"/>
  <c r="EV16" i="79"/>
  <c r="EV410" i="79" s="1"/>
  <c r="F47" i="35"/>
  <c r="F62" i="35" s="1"/>
  <c r="F47" i="82"/>
  <c r="F62" i="82" s="1"/>
  <c r="F48" i="35"/>
  <c r="F63" i="35" s="1"/>
  <c r="F48" i="82"/>
  <c r="F63" i="82" s="1"/>
  <c r="E47" i="35"/>
  <c r="E62" i="35" s="1"/>
  <c r="E47" i="82"/>
  <c r="E62" i="82" s="1"/>
  <c r="G48" i="35"/>
  <c r="G63" i="35" s="1"/>
  <c r="G48" i="82"/>
  <c r="G63" i="82" s="1"/>
  <c r="E48" i="35"/>
  <c r="E63" i="35" s="1"/>
  <c r="E48" i="82"/>
  <c r="E63" i="82" s="1"/>
  <c r="CS18" i="79"/>
  <c r="CS412" i="79" s="1"/>
  <c r="DY18" i="79"/>
  <c r="DY412" i="79" s="1"/>
  <c r="DI246" i="80"/>
  <c r="AF247" i="80"/>
  <c r="AH247" i="80" s="1"/>
  <c r="Q23" i="80"/>
  <c r="Q399" i="80" s="1"/>
  <c r="P23" i="80"/>
  <c r="P399" i="80" s="1"/>
  <c r="BN69" i="79"/>
  <c r="DI29" i="79"/>
  <c r="DI30" i="79" s="1"/>
  <c r="EG108" i="80"/>
  <c r="X200" i="79"/>
  <c r="CK248" i="80"/>
  <c r="CL248" i="80" s="1"/>
  <c r="CL69" i="79"/>
  <c r="EO247" i="80"/>
  <c r="EP247" i="80" s="1"/>
  <c r="BE103" i="80"/>
  <c r="CJ23" i="80"/>
  <c r="CJ399" i="80" s="1"/>
  <c r="CI26" i="80"/>
  <c r="EW184" i="80"/>
  <c r="BL23" i="80"/>
  <c r="BL399" i="80" s="1"/>
  <c r="AG311" i="80"/>
  <c r="AU26" i="79"/>
  <c r="FD247" i="79"/>
  <c r="FF247" i="79" s="1"/>
  <c r="Z129" i="79"/>
  <c r="DJ309" i="80"/>
  <c r="EG22" i="80"/>
  <c r="EG398" i="80" s="1"/>
  <c r="DO26" i="79"/>
  <c r="EF22" i="80"/>
  <c r="EF398" i="80" s="1"/>
  <c r="DX311" i="80"/>
  <c r="AV22" i="80"/>
  <c r="AV398" i="80" s="1"/>
  <c r="BT247" i="79"/>
  <c r="BV247" i="79" s="1"/>
  <c r="CR245" i="80"/>
  <c r="CT245" i="80" s="1"/>
  <c r="DY247" i="79"/>
  <c r="DZ247" i="79" s="1"/>
  <c r="EF311" i="80"/>
  <c r="AW22" i="80"/>
  <c r="AW398" i="80" s="1"/>
  <c r="P247" i="79"/>
  <c r="R247" i="79" s="1"/>
  <c r="CJ246" i="80"/>
  <c r="BF69" i="79"/>
  <c r="W202" i="80"/>
  <c r="AG248" i="80"/>
  <c r="AH248" i="80" s="1"/>
  <c r="DH200" i="79"/>
  <c r="AF23" i="80"/>
  <c r="BM247" i="80"/>
  <c r="BN247" i="80" s="1"/>
  <c r="EG23" i="80"/>
  <c r="EG399" i="80" s="1"/>
  <c r="EW23" i="80"/>
  <c r="EW399" i="80" s="1"/>
  <c r="AW248" i="80"/>
  <c r="AX248" i="80" s="1"/>
  <c r="EG193" i="80"/>
  <c r="DI177" i="80"/>
  <c r="DA310" i="80"/>
  <c r="BK202" i="79"/>
  <c r="CS23" i="80"/>
  <c r="CS399" i="80" s="1"/>
  <c r="Q200" i="79"/>
  <c r="BD108" i="80"/>
  <c r="AW189" i="80"/>
  <c r="BV69" i="79"/>
  <c r="I207" i="80"/>
  <c r="J207" i="80"/>
  <c r="CD58" i="80"/>
  <c r="I143" i="80"/>
  <c r="AF230" i="80"/>
  <c r="Y230" i="80"/>
  <c r="CS230" i="80"/>
  <c r="AG230" i="80"/>
  <c r="X230" i="80"/>
  <c r="BD213" i="80"/>
  <c r="X213" i="80"/>
  <c r="DI213" i="80"/>
  <c r="CS213" i="80"/>
  <c r="DH213" i="80"/>
  <c r="CR213" i="80"/>
  <c r="DY213" i="80"/>
  <c r="FD212" i="80"/>
  <c r="FL212" i="80"/>
  <c r="AH69" i="79"/>
  <c r="EN200" i="79"/>
  <c r="O26" i="79"/>
  <c r="DP200" i="79"/>
  <c r="CT69" i="79"/>
  <c r="Q108" i="80"/>
  <c r="EV193" i="80"/>
  <c r="BU23" i="80"/>
  <c r="BU399" i="80" s="1"/>
  <c r="DO313" i="80"/>
  <c r="DJ69" i="79"/>
  <c r="CZ245" i="80"/>
  <c r="DB245" i="80" s="1"/>
  <c r="BT189" i="80"/>
  <c r="DY200" i="79"/>
  <c r="CD69" i="79"/>
  <c r="J26" i="79"/>
  <c r="J202" i="80"/>
  <c r="CQ19" i="80"/>
  <c r="EU19" i="80"/>
  <c r="AM19" i="80"/>
  <c r="FE18" i="79"/>
  <c r="FE412" i="79" s="1"/>
  <c r="EF18" i="80"/>
  <c r="EF412" i="80" s="1"/>
  <c r="DH18" i="80"/>
  <c r="DH412" i="80" s="1"/>
  <c r="P18" i="80"/>
  <c r="P412" i="80" s="1"/>
  <c r="FL18" i="80"/>
  <c r="FL412" i="80" s="1"/>
  <c r="CR18" i="80"/>
  <c r="CR412" i="80" s="1"/>
  <c r="X18" i="80"/>
  <c r="X412" i="80" s="1"/>
  <c r="J202" i="79"/>
  <c r="EM19" i="79"/>
  <c r="AN18" i="80"/>
  <c r="AN412" i="80" s="1"/>
  <c r="DP18" i="80"/>
  <c r="DP412" i="80" s="1"/>
  <c r="AF18" i="80"/>
  <c r="AF412" i="80" s="1"/>
  <c r="CS311" i="80"/>
  <c r="P188" i="80"/>
  <c r="EO200" i="79"/>
  <c r="AM26" i="79"/>
  <c r="AO245" i="80"/>
  <c r="AP245" i="80" s="1"/>
  <c r="DO202" i="79"/>
  <c r="EF103" i="80"/>
  <c r="BN129" i="80"/>
  <c r="EM202" i="80"/>
  <c r="FE247" i="80"/>
  <c r="FF247" i="80" s="1"/>
  <c r="FC26" i="80"/>
  <c r="BE193" i="80"/>
  <c r="DX200" i="79"/>
  <c r="CI26" i="79"/>
  <c r="DQ311" i="80"/>
  <c r="DX248" i="80"/>
  <c r="DO202" i="80"/>
  <c r="DI248" i="80"/>
  <c r="DJ248" i="80" s="1"/>
  <c r="AV23" i="80"/>
  <c r="AV399" i="80" s="1"/>
  <c r="BU245" i="80"/>
  <c r="BV245" i="80" s="1"/>
  <c r="Q247" i="80"/>
  <c r="R247" i="80" s="1"/>
  <c r="EO247" i="79"/>
  <c r="EP247" i="79" s="1"/>
  <c r="EG200" i="79"/>
  <c r="EE202" i="79"/>
  <c r="EH124" i="80"/>
  <c r="CJ247" i="79"/>
  <c r="CL247" i="79" s="1"/>
  <c r="DY23" i="80"/>
  <c r="DY399" i="80" s="1"/>
  <c r="CZ23" i="80"/>
  <c r="CZ399" i="80" s="1"/>
  <c r="BE200" i="79"/>
  <c r="DI247" i="80"/>
  <c r="DJ247" i="80" s="1"/>
  <c r="DI103" i="80"/>
  <c r="Q193" i="80"/>
  <c r="BM199" i="80"/>
  <c r="EO23" i="80"/>
  <c r="BD200" i="79"/>
  <c r="BM188" i="80"/>
  <c r="BN188" i="80" s="1"/>
  <c r="CZ310" i="80"/>
  <c r="DA23" i="80"/>
  <c r="DA399" i="80" s="1"/>
  <c r="CS247" i="80"/>
  <c r="CT247" i="80" s="1"/>
  <c r="DI200" i="79"/>
  <c r="FE245" i="80"/>
  <c r="FF245" i="80" s="1"/>
  <c r="CI202" i="79"/>
  <c r="CJ200" i="79"/>
  <c r="BT311" i="80"/>
  <c r="CZ247" i="79"/>
  <c r="DB247" i="79" s="1"/>
  <c r="CB23" i="80"/>
  <c r="CB399" i="80" s="1"/>
  <c r="BS313" i="80"/>
  <c r="W26" i="79"/>
  <c r="CY202" i="80"/>
  <c r="CA313" i="80"/>
  <c r="DG202" i="80"/>
  <c r="AV247" i="79"/>
  <c r="AX247" i="79" s="1"/>
  <c r="AV200" i="79"/>
  <c r="AG200" i="79"/>
  <c r="EO245" i="80"/>
  <c r="EP245" i="80" s="1"/>
  <c r="Q246" i="80"/>
  <c r="P245" i="80"/>
  <c r="R245" i="80" s="1"/>
  <c r="EM26" i="80"/>
  <c r="EO188" i="80"/>
  <c r="EP188" i="80" s="1"/>
  <c r="DH22" i="80"/>
  <c r="DH398" i="80" s="1"/>
  <c r="AG177" i="80"/>
  <c r="AF200" i="79"/>
  <c r="CK103" i="80"/>
  <c r="AU202" i="79"/>
  <c r="DB129" i="80"/>
  <c r="DI22" i="80"/>
  <c r="DI398" i="80" s="1"/>
  <c r="CY26" i="79"/>
  <c r="EG311" i="80"/>
  <c r="DR130" i="79"/>
  <c r="AM202" i="79"/>
  <c r="BE247" i="80"/>
  <c r="BF247" i="80" s="1"/>
  <c r="AX206" i="79"/>
  <c r="EE202" i="80"/>
  <c r="BK202" i="80"/>
  <c r="DW202" i="80"/>
  <c r="CQ202" i="80"/>
  <c r="W313" i="80"/>
  <c r="DY245" i="80"/>
  <c r="DZ245" i="80" s="1"/>
  <c r="AT476" i="80"/>
  <c r="AU476" i="80" s="1"/>
  <c r="AU480" i="80" s="1"/>
  <c r="AU487" i="80" s="1"/>
  <c r="AU488" i="80" s="1"/>
  <c r="AU26" i="80"/>
  <c r="CA202" i="79"/>
  <c r="BS202" i="80"/>
  <c r="O202" i="80"/>
  <c r="R49" i="82"/>
  <c r="R53" i="82" s="1"/>
  <c r="R1" i="82"/>
  <c r="EM480" i="79"/>
  <c r="EM481" i="79" s="1"/>
  <c r="EU480" i="79"/>
  <c r="EU481" i="79" s="1"/>
  <c r="EE480" i="79"/>
  <c r="EE487" i="79" s="1"/>
  <c r="EE488" i="79" s="1"/>
  <c r="CY480" i="79"/>
  <c r="CY487" i="79" s="1"/>
  <c r="CY488" i="79" s="1"/>
  <c r="Y311" i="80"/>
  <c r="EG247" i="79"/>
  <c r="EH247" i="79" s="1"/>
  <c r="AO247" i="79"/>
  <c r="AP247" i="79" s="1"/>
  <c r="CL309" i="80"/>
  <c r="X108" i="80"/>
  <c r="CC310" i="80"/>
  <c r="DI23" i="80"/>
  <c r="DI399" i="80" s="1"/>
  <c r="CR247" i="79"/>
  <c r="CT247" i="79" s="1"/>
  <c r="FE24" i="79"/>
  <c r="FE400" i="79" s="1"/>
  <c r="P200" i="79"/>
  <c r="EU202" i="80"/>
  <c r="AO247" i="80"/>
  <c r="AP247" i="80" s="1"/>
  <c r="BT200" i="79"/>
  <c r="AV310" i="80"/>
  <c r="BD22" i="80"/>
  <c r="BD398" i="80" s="1"/>
  <c r="CC200" i="79"/>
  <c r="DJ120" i="79"/>
  <c r="BE245" i="80"/>
  <c r="BF245" i="80" s="1"/>
  <c r="EV248" i="80"/>
  <c r="CC247" i="79"/>
  <c r="CD247" i="79" s="1"/>
  <c r="AN249" i="80"/>
  <c r="CB310" i="80"/>
  <c r="O26" i="80"/>
  <c r="EU313" i="80"/>
  <c r="H207" i="79"/>
  <c r="J143" i="80"/>
  <c r="FF153" i="80"/>
  <c r="Z58" i="80"/>
  <c r="H215" i="79"/>
  <c r="BL309" i="80"/>
  <c r="BN309" i="80" s="1"/>
  <c r="DX310" i="80"/>
  <c r="EW310" i="80"/>
  <c r="BK313" i="80"/>
  <c r="CR309" i="80"/>
  <c r="CS309" i="80"/>
  <c r="EF309" i="80"/>
  <c r="EG309" i="80"/>
  <c r="CB309" i="80"/>
  <c r="CC309" i="80"/>
  <c r="EN306" i="80"/>
  <c r="X310" i="80"/>
  <c r="AN311" i="80"/>
  <c r="EN309" i="80"/>
  <c r="EO309" i="80"/>
  <c r="AF311" i="80"/>
  <c r="CZ309" i="80"/>
  <c r="DA309" i="80"/>
  <c r="CB306" i="80"/>
  <c r="AW309" i="80"/>
  <c r="AX309" i="80" s="1"/>
  <c r="CQ313" i="80"/>
  <c r="DW313" i="80"/>
  <c r="EV306" i="80"/>
  <c r="EW309" i="80"/>
  <c r="EX309" i="80" s="1"/>
  <c r="P309" i="80"/>
  <c r="Q309" i="80"/>
  <c r="AN309" i="80"/>
  <c r="AO309" i="80"/>
  <c r="AU313" i="80"/>
  <c r="AM313" i="80"/>
  <c r="DP309" i="80"/>
  <c r="DQ309" i="80"/>
  <c r="CQ281" i="80"/>
  <c r="CI281" i="80"/>
  <c r="CI283" i="80" s="1"/>
  <c r="CI328" i="80" s="1"/>
  <c r="FK281" i="80"/>
  <c r="FK283" i="80" s="1"/>
  <c r="FK328" i="80" s="1"/>
  <c r="EU281" i="80"/>
  <c r="BM246" i="80"/>
  <c r="X245" i="80"/>
  <c r="Z245" i="80" s="1"/>
  <c r="EV247" i="79"/>
  <c r="EX247" i="79" s="1"/>
  <c r="EF246" i="80"/>
  <c r="BM247" i="79"/>
  <c r="BD248" i="80"/>
  <c r="BL247" i="79"/>
  <c r="CI235" i="80"/>
  <c r="O235" i="80"/>
  <c r="W235" i="80"/>
  <c r="P213" i="79"/>
  <c r="CA215" i="80"/>
  <c r="BS215" i="79"/>
  <c r="EE215" i="80"/>
  <c r="BK215" i="79"/>
  <c r="FD213" i="80"/>
  <c r="DG215" i="79"/>
  <c r="FD200" i="80"/>
  <c r="FC202" i="80"/>
  <c r="CA202" i="80"/>
  <c r="DY193" i="80"/>
  <c r="CC189" i="80"/>
  <c r="Q149" i="79"/>
  <c r="P149" i="79"/>
  <c r="FK156" i="80"/>
  <c r="X147" i="79"/>
  <c r="AW154" i="80"/>
  <c r="FC156" i="79"/>
  <c r="CK149" i="79"/>
  <c r="DA147" i="80"/>
  <c r="CC147" i="79"/>
  <c r="CA156" i="79"/>
  <c r="DQ153" i="79"/>
  <c r="AV149" i="79"/>
  <c r="AW149" i="79"/>
  <c r="BT154" i="79"/>
  <c r="BU154" i="79"/>
  <c r="BD150" i="80"/>
  <c r="BE150" i="80"/>
  <c r="EE156" i="80"/>
  <c r="BS156" i="79"/>
  <c r="DO156" i="79"/>
  <c r="DO158" i="79" s="1"/>
  <c r="FM148" i="79"/>
  <c r="BU148" i="80"/>
  <c r="BD147" i="79"/>
  <c r="O156" i="79"/>
  <c r="O158" i="79" s="1"/>
  <c r="BC156" i="79"/>
  <c r="X154" i="79"/>
  <c r="Y154" i="79"/>
  <c r="EN151" i="79"/>
  <c r="EO151" i="79"/>
  <c r="DP149" i="79"/>
  <c r="DQ149" i="79"/>
  <c r="EG151" i="79"/>
  <c r="BL148" i="80"/>
  <c r="BS156" i="80"/>
  <c r="AV154" i="79"/>
  <c r="AW154" i="79"/>
  <c r="BC156" i="80"/>
  <c r="BT149" i="79"/>
  <c r="BU149" i="79"/>
  <c r="AU156" i="80"/>
  <c r="EN150" i="80"/>
  <c r="FD149" i="79"/>
  <c r="FE153" i="79"/>
  <c r="FF153" i="79" s="1"/>
  <c r="EO147" i="79"/>
  <c r="CB151" i="79"/>
  <c r="CD151" i="79" s="1"/>
  <c r="CB150" i="80"/>
  <c r="P148" i="79"/>
  <c r="EU156" i="79"/>
  <c r="DX151" i="79"/>
  <c r="DY151" i="79"/>
  <c r="DQ154" i="79"/>
  <c r="DP154" i="79"/>
  <c r="CR154" i="79"/>
  <c r="CS154" i="79"/>
  <c r="DO156" i="80"/>
  <c r="CI156" i="80"/>
  <c r="CZ147" i="79"/>
  <c r="CY156" i="79"/>
  <c r="BD149" i="79"/>
  <c r="BE149" i="79"/>
  <c r="EV149" i="79"/>
  <c r="EW149" i="79"/>
  <c r="CR151" i="79"/>
  <c r="CS151" i="79"/>
  <c r="CY156" i="80"/>
  <c r="FM150" i="80"/>
  <c r="FL150" i="80"/>
  <c r="AF147" i="79"/>
  <c r="AG147" i="79"/>
  <c r="CK150" i="80"/>
  <c r="FE154" i="79"/>
  <c r="AG150" i="80"/>
  <c r="O156" i="80"/>
  <c r="O158" i="80" s="1"/>
  <c r="BU150" i="80"/>
  <c r="EN147" i="79"/>
  <c r="BL150" i="80"/>
  <c r="Y147" i="79"/>
  <c r="DH149" i="79"/>
  <c r="DI149" i="79"/>
  <c r="AN154" i="79"/>
  <c r="AO154" i="79"/>
  <c r="BM151" i="79"/>
  <c r="BL151" i="79"/>
  <c r="AE156" i="80"/>
  <c r="AN150" i="80"/>
  <c r="AO150" i="80"/>
  <c r="P154" i="79"/>
  <c r="Q154" i="79"/>
  <c r="FL120" i="79"/>
  <c r="FN120" i="79" s="1"/>
  <c r="BS133" i="79"/>
  <c r="BL130" i="79"/>
  <c r="BN130" i="79" s="1"/>
  <c r="DO133" i="80"/>
  <c r="BC133" i="80"/>
  <c r="EN124" i="80"/>
  <c r="EP124" i="80" s="1"/>
  <c r="EM133" i="80"/>
  <c r="DH130" i="79"/>
  <c r="DI130" i="79"/>
  <c r="EO126" i="80"/>
  <c r="EN126" i="80"/>
  <c r="BU126" i="80"/>
  <c r="BT126" i="80"/>
  <c r="CB120" i="79"/>
  <c r="CC120" i="79"/>
  <c r="EF129" i="80"/>
  <c r="EG129" i="80"/>
  <c r="BD130" i="79"/>
  <c r="BE130" i="79"/>
  <c r="EN129" i="80"/>
  <c r="EO129" i="80"/>
  <c r="AN130" i="79"/>
  <c r="AO130" i="79"/>
  <c r="O133" i="79"/>
  <c r="BT130" i="79"/>
  <c r="BU130" i="79"/>
  <c r="EE133" i="80"/>
  <c r="BT129" i="80"/>
  <c r="BU129" i="80"/>
  <c r="DX120" i="79"/>
  <c r="DY120" i="79"/>
  <c r="AV121" i="80"/>
  <c r="BE124" i="80"/>
  <c r="BF124" i="80" s="1"/>
  <c r="DP129" i="80"/>
  <c r="DQ129" i="80"/>
  <c r="X124" i="80"/>
  <c r="Y124" i="80"/>
  <c r="DA130" i="79"/>
  <c r="CZ130" i="79"/>
  <c r="AV120" i="79"/>
  <c r="AW120" i="79"/>
  <c r="CR129" i="80"/>
  <c r="CS129" i="80"/>
  <c r="AF130" i="79"/>
  <c r="AG130" i="79"/>
  <c r="CJ124" i="80"/>
  <c r="CK124" i="80"/>
  <c r="CZ126" i="80"/>
  <c r="DA126" i="80"/>
  <c r="FE121" i="79"/>
  <c r="FF121" i="79" s="1"/>
  <c r="Q121" i="79"/>
  <c r="R121" i="79" s="1"/>
  <c r="EG126" i="80"/>
  <c r="CC124" i="80"/>
  <c r="CB124" i="80"/>
  <c r="EG130" i="79"/>
  <c r="EH130" i="79" s="1"/>
  <c r="AO124" i="80"/>
  <c r="AP124" i="80" s="1"/>
  <c r="AU133" i="80"/>
  <c r="BK133" i="80"/>
  <c r="DA120" i="79"/>
  <c r="CZ120" i="79"/>
  <c r="X130" i="79"/>
  <c r="Y130" i="79"/>
  <c r="CB129" i="80"/>
  <c r="CC129" i="80"/>
  <c r="EV124" i="80"/>
  <c r="EW124" i="80"/>
  <c r="EV129" i="80"/>
  <c r="EW129" i="80"/>
  <c r="BC116" i="80"/>
  <c r="FL112" i="79"/>
  <c r="EE116" i="80"/>
  <c r="O116" i="80"/>
  <c r="CY93" i="79"/>
  <c r="DG93" i="79"/>
  <c r="DI91" i="80"/>
  <c r="O93" i="79"/>
  <c r="DW93" i="79"/>
  <c r="EF91" i="80"/>
  <c r="EG91" i="80"/>
  <c r="DO93" i="79"/>
  <c r="CI93" i="79"/>
  <c r="BS93" i="79"/>
  <c r="DX91" i="80"/>
  <c r="DY91" i="80"/>
  <c r="X91" i="80"/>
  <c r="Y91" i="80"/>
  <c r="BL91" i="80"/>
  <c r="BM91" i="80"/>
  <c r="BC93" i="80"/>
  <c r="EN91" i="80"/>
  <c r="EO91" i="80"/>
  <c r="DO77" i="80"/>
  <c r="AE77" i="80"/>
  <c r="CI77" i="79"/>
  <c r="CZ58" i="80"/>
  <c r="DA58" i="80"/>
  <c r="P70" i="79"/>
  <c r="DG77" i="80"/>
  <c r="DW77" i="80"/>
  <c r="AV58" i="80"/>
  <c r="AW58" i="80"/>
  <c r="EE77" i="79"/>
  <c r="AE77" i="79"/>
  <c r="CS58" i="80"/>
  <c r="CR58" i="80"/>
  <c r="AW69" i="80"/>
  <c r="AO58" i="80"/>
  <c r="AN58" i="80"/>
  <c r="EF58" i="80"/>
  <c r="EG58" i="80"/>
  <c r="EN58" i="80"/>
  <c r="EO58" i="80"/>
  <c r="EU77" i="79"/>
  <c r="AM77" i="79"/>
  <c r="DG77" i="79"/>
  <c r="BC77" i="79"/>
  <c r="DH58" i="80"/>
  <c r="DI58" i="80"/>
  <c r="BM200" i="79"/>
  <c r="BU200" i="79"/>
  <c r="DP249" i="80"/>
  <c r="DH249" i="80"/>
  <c r="BU188" i="80"/>
  <c r="BV188" i="80" s="1"/>
  <c r="FL148" i="80"/>
  <c r="EN249" i="80"/>
  <c r="X205" i="79"/>
  <c r="EG188" i="80"/>
  <c r="EH188" i="80" s="1"/>
  <c r="EF148" i="80"/>
  <c r="DP148" i="80"/>
  <c r="FE205" i="79"/>
  <c r="CC205" i="79"/>
  <c r="CB249" i="80"/>
  <c r="CS188" i="80"/>
  <c r="CT188" i="80" s="1"/>
  <c r="DA188" i="80"/>
  <c r="DB188" i="80" s="1"/>
  <c r="CK188" i="80"/>
  <c r="CL188" i="80" s="1"/>
  <c r="EV205" i="79"/>
  <c r="AG205" i="79"/>
  <c r="EV249" i="80"/>
  <c r="AV148" i="80"/>
  <c r="DA205" i="79"/>
  <c r="Q205" i="79"/>
  <c r="DI188" i="80"/>
  <c r="DJ188" i="80" s="1"/>
  <c r="AV249" i="80"/>
  <c r="EW205" i="79"/>
  <c r="EF205" i="79"/>
  <c r="DQ205" i="79"/>
  <c r="AF205" i="79"/>
  <c r="AO205" i="79"/>
  <c r="FL249" i="80"/>
  <c r="BL249" i="80"/>
  <c r="H143" i="79"/>
  <c r="BT249" i="80"/>
  <c r="G52" i="79"/>
  <c r="G79" i="79" s="1"/>
  <c r="AW188" i="80"/>
  <c r="AX188" i="80" s="1"/>
  <c r="BD249" i="80"/>
  <c r="P249" i="80"/>
  <c r="EG205" i="79"/>
  <c r="DP205" i="79"/>
  <c r="FD148" i="80"/>
  <c r="FL205" i="79"/>
  <c r="X249" i="80"/>
  <c r="AG280" i="79"/>
  <c r="AN205" i="79"/>
  <c r="AG201" i="80"/>
  <c r="DX148" i="80"/>
  <c r="FE188" i="80"/>
  <c r="FF188" i="80" s="1"/>
  <c r="FD249" i="80"/>
  <c r="EW188" i="80"/>
  <c r="EX188" i="80" s="1"/>
  <c r="CZ249" i="80"/>
  <c r="CJ249" i="80"/>
  <c r="EG90" i="80"/>
  <c r="BD148" i="80"/>
  <c r="BE205" i="79"/>
  <c r="CC188" i="80"/>
  <c r="CD188" i="80" s="1"/>
  <c r="Y188" i="80"/>
  <c r="Z188" i="80" s="1"/>
  <c r="FL206" i="80"/>
  <c r="BL206" i="80"/>
  <c r="DQ29" i="79"/>
  <c r="DQ30" i="79" s="1"/>
  <c r="DY306" i="80"/>
  <c r="BD206" i="80"/>
  <c r="EV33" i="79"/>
  <c r="CR33" i="79"/>
  <c r="H26" i="80"/>
  <c r="EW206" i="80"/>
  <c r="AN90" i="80"/>
  <c r="P250" i="79"/>
  <c r="DP206" i="80"/>
  <c r="AF206" i="80"/>
  <c r="I26" i="80"/>
  <c r="Q201" i="79"/>
  <c r="P90" i="80"/>
  <c r="I26" i="79"/>
  <c r="H207" i="80"/>
  <c r="J26" i="80"/>
  <c r="BD90" i="80"/>
  <c r="DY148" i="80"/>
  <c r="L39" i="80"/>
  <c r="EF90" i="80"/>
  <c r="AG33" i="80"/>
  <c r="AV90" i="80"/>
  <c r="DA306" i="80"/>
  <c r="X90" i="80"/>
  <c r="AF33" i="79"/>
  <c r="DI193" i="80"/>
  <c r="FE206" i="80"/>
  <c r="CR310" i="79"/>
  <c r="CK33" i="79"/>
  <c r="CB205" i="79"/>
  <c r="CJ250" i="80"/>
  <c r="CJ276" i="80"/>
  <c r="CL276" i="80" s="1"/>
  <c r="P280" i="80"/>
  <c r="DP206" i="79"/>
  <c r="FE280" i="79"/>
  <c r="CK280" i="79"/>
  <c r="BE90" i="80"/>
  <c r="AW211" i="80"/>
  <c r="AX211" i="80" s="1"/>
  <c r="EN201" i="79"/>
  <c r="AV201" i="79"/>
  <c r="BL249" i="79"/>
  <c r="AO18" i="79"/>
  <c r="AO412" i="79" s="1"/>
  <c r="BD201" i="79"/>
  <c r="EW211" i="80"/>
  <c r="EX211" i="80" s="1"/>
  <c r="BE243" i="80"/>
  <c r="DP66" i="79"/>
  <c r="DY201" i="79"/>
  <c r="DI201" i="79"/>
  <c r="BU201" i="79"/>
  <c r="CZ249" i="79"/>
  <c r="FM248" i="80"/>
  <c r="BV248" i="79"/>
  <c r="J215" i="79"/>
  <c r="EV148" i="80"/>
  <c r="AN148" i="80"/>
  <c r="AW193" i="79"/>
  <c r="AW205" i="79"/>
  <c r="AW207" i="79" s="1"/>
  <c r="Y211" i="80"/>
  <c r="Z211" i="80" s="1"/>
  <c r="CC211" i="80"/>
  <c r="CD211" i="80" s="1"/>
  <c r="AO248" i="80"/>
  <c r="AP248" i="80" s="1"/>
  <c r="DQ280" i="80"/>
  <c r="AN280" i="80"/>
  <c r="AP280" i="80" s="1"/>
  <c r="CA19" i="79"/>
  <c r="O19" i="80"/>
  <c r="CS90" i="80"/>
  <c r="BM90" i="80"/>
  <c r="CC243" i="80"/>
  <c r="AO90" i="80"/>
  <c r="EW230" i="79"/>
  <c r="AW90" i="80"/>
  <c r="EN249" i="79"/>
  <c r="EF66" i="79"/>
  <c r="FL66" i="79"/>
  <c r="DX66" i="79"/>
  <c r="DH249" i="79"/>
  <c r="EV249" i="79"/>
  <c r="AW201" i="79"/>
  <c r="BM201" i="79"/>
  <c r="BN201" i="79" s="1"/>
  <c r="P201" i="79"/>
  <c r="FL201" i="79"/>
  <c r="Q211" i="80"/>
  <c r="R211" i="80" s="1"/>
  <c r="FE201" i="79"/>
  <c r="CS280" i="79"/>
  <c r="DX201" i="79"/>
  <c r="DH201" i="79"/>
  <c r="CS201" i="79"/>
  <c r="BT201" i="79"/>
  <c r="DA201" i="79"/>
  <c r="DH148" i="80"/>
  <c r="Y193" i="79"/>
  <c r="DI193" i="79"/>
  <c r="EN205" i="79"/>
  <c r="CR206" i="80"/>
  <c r="AV205" i="79"/>
  <c r="AV207" i="79" s="1"/>
  <c r="CS211" i="80"/>
  <c r="CT211" i="80" s="1"/>
  <c r="DQ211" i="80"/>
  <c r="DR211" i="80" s="1"/>
  <c r="J34" i="80"/>
  <c r="EM19" i="80"/>
  <c r="DX249" i="79"/>
  <c r="CR66" i="79"/>
  <c r="CT66" i="79" s="1"/>
  <c r="FM280" i="79"/>
  <c r="FN280" i="79" s="1"/>
  <c r="EF201" i="79"/>
  <c r="CB249" i="79"/>
  <c r="BD249" i="79"/>
  <c r="AN249" i="79"/>
  <c r="AO201" i="79"/>
  <c r="FE211" i="80"/>
  <c r="FF211" i="80" s="1"/>
  <c r="DI211" i="80"/>
  <c r="DJ211" i="80" s="1"/>
  <c r="DA205" i="80"/>
  <c r="DY243" i="80"/>
  <c r="FK19" i="79"/>
  <c r="DI280" i="79"/>
  <c r="AV66" i="79"/>
  <c r="BD66" i="79"/>
  <c r="H202" i="80"/>
  <c r="DA193" i="80"/>
  <c r="DH66" i="79"/>
  <c r="EN66" i="79"/>
  <c r="AN148" i="79"/>
  <c r="BM205" i="79"/>
  <c r="EV206" i="80"/>
  <c r="BU211" i="80"/>
  <c r="BV211" i="80" s="1"/>
  <c r="AO211" i="80"/>
  <c r="AP211" i="80" s="1"/>
  <c r="EG211" i="80"/>
  <c r="EH211" i="80" s="1"/>
  <c r="CC280" i="79"/>
  <c r="BC19" i="80"/>
  <c r="EW279" i="79"/>
  <c r="BU279" i="79"/>
  <c r="CS279" i="79"/>
  <c r="CK279" i="79"/>
  <c r="AW279" i="79"/>
  <c r="DA279" i="79"/>
  <c r="CC279" i="79"/>
  <c r="J36" i="26"/>
  <c r="CY19" i="80"/>
  <c r="E20" i="32"/>
  <c r="AO205" i="80"/>
  <c r="AP205" i="80" s="1"/>
  <c r="D20" i="32"/>
  <c r="FM148" i="80"/>
  <c r="CS205" i="80"/>
  <c r="CS243" i="80"/>
  <c r="DP249" i="79"/>
  <c r="FD66" i="79"/>
  <c r="EV201" i="79"/>
  <c r="EG201" i="79"/>
  <c r="DQ201" i="79"/>
  <c r="BT249" i="79"/>
  <c r="AF201" i="79"/>
  <c r="P249" i="79"/>
  <c r="FM211" i="80"/>
  <c r="FN211" i="80" s="1"/>
  <c r="FE148" i="80"/>
  <c r="CK243" i="80"/>
  <c r="Y90" i="80"/>
  <c r="BE148" i="79"/>
  <c r="CK201" i="79"/>
  <c r="CK193" i="80"/>
  <c r="Q248" i="80"/>
  <c r="R248" i="80" s="1"/>
  <c r="AF249" i="80"/>
  <c r="DA248" i="80"/>
  <c r="DB248" i="80" s="1"/>
  <c r="J100" i="79"/>
  <c r="CK211" i="80"/>
  <c r="CL211" i="80" s="1"/>
  <c r="FL249" i="79"/>
  <c r="DX250" i="80"/>
  <c r="EG250" i="80"/>
  <c r="EW201" i="79"/>
  <c r="DP201" i="79"/>
  <c r="EO201" i="79"/>
  <c r="CR249" i="79"/>
  <c r="BE201" i="79"/>
  <c r="AG201" i="79"/>
  <c r="P66" i="79"/>
  <c r="BU243" i="80"/>
  <c r="AG90" i="80"/>
  <c r="AF249" i="79"/>
  <c r="AH249" i="79" s="1"/>
  <c r="CS193" i="80"/>
  <c r="CZ201" i="79"/>
  <c r="BE211" i="80"/>
  <c r="BF211" i="80" s="1"/>
  <c r="EO211" i="80"/>
  <c r="EP211" i="80" s="1"/>
  <c r="BM211" i="80"/>
  <c r="BN211" i="80" s="1"/>
  <c r="AF250" i="80"/>
  <c r="BM280" i="80"/>
  <c r="Q280" i="80"/>
  <c r="BS19" i="80"/>
  <c r="W19" i="79"/>
  <c r="DO19" i="79"/>
  <c r="BS235" i="80"/>
  <c r="AN103" i="80"/>
  <c r="DY103" i="80"/>
  <c r="BL103" i="80"/>
  <c r="FL103" i="80"/>
  <c r="DW235" i="80"/>
  <c r="BK116" i="80"/>
  <c r="P177" i="80"/>
  <c r="DA108" i="80"/>
  <c r="FM249" i="79"/>
  <c r="AN108" i="80"/>
  <c r="BC281" i="80"/>
  <c r="AV29" i="79"/>
  <c r="AV30" i="79" s="1"/>
  <c r="DX108" i="80"/>
  <c r="AO177" i="80"/>
  <c r="AE281" i="80"/>
  <c r="EU116" i="80"/>
  <c r="EW103" i="80"/>
  <c r="DI108" i="80"/>
  <c r="CH476" i="80"/>
  <c r="CI476" i="80" s="1"/>
  <c r="CI480" i="80" s="1"/>
  <c r="CI481" i="80" s="1"/>
  <c r="AU235" i="80"/>
  <c r="CZ177" i="80"/>
  <c r="DW116" i="80"/>
  <c r="AM116" i="80"/>
  <c r="FJ476" i="80"/>
  <c r="FK476" i="80" s="1"/>
  <c r="FK480" i="80" s="1"/>
  <c r="FK487" i="80" s="1"/>
  <c r="FK488" i="80" s="1"/>
  <c r="DQ24" i="80"/>
  <c r="DQ400" i="80" s="1"/>
  <c r="X103" i="80"/>
  <c r="CR246" i="80"/>
  <c r="FD185" i="79"/>
  <c r="DO235" i="80"/>
  <c r="BZ476" i="80"/>
  <c r="CA476" i="80" s="1"/>
  <c r="CA480" i="80" s="1"/>
  <c r="CA487" i="80" s="1"/>
  <c r="CA488" i="80" s="1"/>
  <c r="DX24" i="80"/>
  <c r="AW29" i="79"/>
  <c r="AW30" i="79" s="1"/>
  <c r="FD246" i="80"/>
  <c r="FD187" i="80"/>
  <c r="BD24" i="80"/>
  <c r="BD400" i="80" s="1"/>
  <c r="DG116" i="80"/>
  <c r="EV29" i="79"/>
  <c r="EV30" i="79" s="1"/>
  <c r="FL25" i="80"/>
  <c r="FL401" i="80" s="1"/>
  <c r="DP108" i="80"/>
  <c r="CY235" i="80"/>
  <c r="DA103" i="80"/>
  <c r="X193" i="79"/>
  <c r="BS116" i="80"/>
  <c r="CA235" i="80"/>
  <c r="DQ244" i="80"/>
  <c r="EN187" i="80"/>
  <c r="DP244" i="80"/>
  <c r="Q185" i="80"/>
  <c r="AM235" i="80"/>
  <c r="BJ476" i="80"/>
  <c r="BK476" i="80" s="1"/>
  <c r="BK480" i="80" s="1"/>
  <c r="BK487" i="80" s="1"/>
  <c r="BK488" i="80" s="1"/>
  <c r="G124" i="70"/>
  <c r="V474" i="80" s="1"/>
  <c r="V476" i="80" s="1"/>
  <c r="W476" i="80" s="1"/>
  <c r="W480" i="80" s="1"/>
  <c r="W487" i="80" s="1"/>
  <c r="W488" i="80" s="1"/>
  <c r="DP187" i="80"/>
  <c r="EN103" i="80"/>
  <c r="AG103" i="80"/>
  <c r="FD103" i="80"/>
  <c r="BL178" i="80"/>
  <c r="EN24" i="80"/>
  <c r="EN400" i="80" s="1"/>
  <c r="CJ108" i="80"/>
  <c r="DG235" i="80"/>
  <c r="DV476" i="80"/>
  <c r="DW476" i="80" s="1"/>
  <c r="DW480" i="80" s="1"/>
  <c r="FM310" i="80"/>
  <c r="DP103" i="80"/>
  <c r="BM108" i="80"/>
  <c r="CR103" i="80"/>
  <c r="AF108" i="80"/>
  <c r="CK178" i="80"/>
  <c r="AG176" i="79"/>
  <c r="AE116" i="80"/>
  <c r="FB476" i="80"/>
  <c r="FC476" i="80" s="1"/>
  <c r="FC480" i="80" s="1"/>
  <c r="FC481" i="80" s="1"/>
  <c r="BT108" i="80"/>
  <c r="CQ116" i="80"/>
  <c r="EL476" i="80"/>
  <c r="EM476" i="80" s="1"/>
  <c r="EM480" i="80" s="1"/>
  <c r="EM487" i="80" s="1"/>
  <c r="EM488" i="80" s="1"/>
  <c r="FC116" i="80"/>
  <c r="BB476" i="80"/>
  <c r="BC476" i="80" s="1"/>
  <c r="BC480" i="80" s="1"/>
  <c r="BC481" i="80" s="1"/>
  <c r="FL311" i="79"/>
  <c r="AV193" i="79"/>
  <c r="CY116" i="80"/>
  <c r="BC235" i="80"/>
  <c r="BM185" i="80"/>
  <c r="CX476" i="80"/>
  <c r="CY476" i="80" s="1"/>
  <c r="CY480" i="80" s="1"/>
  <c r="CY487" i="80" s="1"/>
  <c r="CY488" i="80" s="1"/>
  <c r="EU26" i="80"/>
  <c r="EV24" i="80"/>
  <c r="EV400" i="80" s="1"/>
  <c r="DA189" i="80"/>
  <c r="CR108" i="80"/>
  <c r="CB24" i="80"/>
  <c r="CB400" i="80" s="1"/>
  <c r="BU103" i="80"/>
  <c r="AG184" i="80"/>
  <c r="W281" i="80"/>
  <c r="CA26" i="80"/>
  <c r="EN29" i="79"/>
  <c r="EN30" i="79" s="1"/>
  <c r="FL244" i="79"/>
  <c r="AV246" i="80"/>
  <c r="CD104" i="79"/>
  <c r="FM193" i="79"/>
  <c r="BK235" i="80"/>
  <c r="FE311" i="80"/>
  <c r="CJ24" i="80"/>
  <c r="CJ400" i="80" s="1"/>
  <c r="ET476" i="80"/>
  <c r="EU476" i="80" s="1"/>
  <c r="EU480" i="80" s="1"/>
  <c r="EU487" i="80" s="1"/>
  <c r="EU488" i="80" s="1"/>
  <c r="DF476" i="80"/>
  <c r="DG476" i="80" s="1"/>
  <c r="DG480" i="80" s="1"/>
  <c r="DG487" i="80" s="1"/>
  <c r="DG488" i="80" s="1"/>
  <c r="BE29" i="79"/>
  <c r="BE30" i="79" s="1"/>
  <c r="BU192" i="80"/>
  <c r="BM24" i="80"/>
  <c r="BM400" i="80" s="1"/>
  <c r="AV187" i="80"/>
  <c r="CC177" i="80"/>
  <c r="BR476" i="80"/>
  <c r="BS476" i="80" s="1"/>
  <c r="BS480" i="80" s="1"/>
  <c r="BS481" i="80" s="1"/>
  <c r="ED476" i="80"/>
  <c r="EE476" i="80" s="1"/>
  <c r="EE480" i="80" s="1"/>
  <c r="EE487" i="80" s="1"/>
  <c r="EE488" i="80" s="1"/>
  <c r="DN476" i="80"/>
  <c r="DO476" i="80" s="1"/>
  <c r="DO480" i="80" s="1"/>
  <c r="DO481" i="80" s="1"/>
  <c r="CP476" i="80"/>
  <c r="CQ476" i="80" s="1"/>
  <c r="CQ480" i="80" s="1"/>
  <c r="CQ487" i="80" s="1"/>
  <c r="CQ488" i="80" s="1"/>
  <c r="AV108" i="80"/>
  <c r="AU116" i="80"/>
  <c r="W116" i="80"/>
  <c r="AW103" i="80"/>
  <c r="FM201" i="79"/>
  <c r="DO116" i="80"/>
  <c r="EM116" i="80"/>
  <c r="FD185" i="80"/>
  <c r="Q311" i="80"/>
  <c r="EO108" i="80"/>
  <c r="EM235" i="80"/>
  <c r="BM311" i="80"/>
  <c r="AG193" i="79"/>
  <c r="BF247" i="79"/>
  <c r="EV187" i="80"/>
  <c r="EE235" i="80"/>
  <c r="EN246" i="80"/>
  <c r="CC245" i="80"/>
  <c r="CD245" i="80" s="1"/>
  <c r="P311" i="80"/>
  <c r="CT104" i="79"/>
  <c r="CI116" i="80"/>
  <c r="BU24" i="80"/>
  <c r="BU400" i="80" s="1"/>
  <c r="CR178" i="80"/>
  <c r="CS178" i="80"/>
  <c r="BS26" i="80"/>
  <c r="R120" i="80"/>
  <c r="Y185" i="80"/>
  <c r="BC26" i="80"/>
  <c r="FM192" i="79"/>
  <c r="FD108" i="80"/>
  <c r="FL246" i="80"/>
  <c r="FF104" i="79"/>
  <c r="DG26" i="80"/>
  <c r="BT187" i="80"/>
  <c r="FL29" i="79"/>
  <c r="FL30" i="79" s="1"/>
  <c r="BL311" i="80"/>
  <c r="EV189" i="80"/>
  <c r="DQ192" i="80"/>
  <c r="FM245" i="79"/>
  <c r="FN245" i="79" s="1"/>
  <c r="CC103" i="80"/>
  <c r="EV244" i="80"/>
  <c r="BK26" i="80"/>
  <c r="FL245" i="80"/>
  <c r="FN245" i="80" s="1"/>
  <c r="BM192" i="80"/>
  <c r="DB104" i="79"/>
  <c r="EP114" i="79"/>
  <c r="EF24" i="80"/>
  <c r="EF400" i="80" s="1"/>
  <c r="BU193" i="79"/>
  <c r="BV193" i="79" s="1"/>
  <c r="DH193" i="79"/>
  <c r="AN192" i="80"/>
  <c r="FD200" i="79"/>
  <c r="EH147" i="79"/>
  <c r="FL248" i="79"/>
  <c r="EO193" i="79"/>
  <c r="EU26" i="79"/>
  <c r="BN104" i="79"/>
  <c r="EP104" i="79"/>
  <c r="R129" i="79"/>
  <c r="BV124" i="80"/>
  <c r="FC313" i="80"/>
  <c r="EW192" i="80"/>
  <c r="AW24" i="80"/>
  <c r="AW400" i="80" s="1"/>
  <c r="CK24" i="80"/>
  <c r="CK400" i="80" s="1"/>
  <c r="AO176" i="80"/>
  <c r="EO24" i="80"/>
  <c r="EO400" i="80" s="1"/>
  <c r="EE26" i="80"/>
  <c r="CQ26" i="80"/>
  <c r="BT24" i="80"/>
  <c r="BT400" i="80" s="1"/>
  <c r="FL187" i="80"/>
  <c r="DW26" i="80"/>
  <c r="CS24" i="80"/>
  <c r="CS400" i="80" s="1"/>
  <c r="BL187" i="80"/>
  <c r="Y192" i="80"/>
  <c r="EO192" i="80"/>
  <c r="CC108" i="80"/>
  <c r="DJ129" i="79"/>
  <c r="FL248" i="80"/>
  <c r="CJ192" i="80"/>
  <c r="CL104" i="79"/>
  <c r="DI24" i="80"/>
  <c r="DI400" i="80" s="1"/>
  <c r="AG192" i="80"/>
  <c r="CA116" i="80"/>
  <c r="DO26" i="80"/>
  <c r="DH192" i="80"/>
  <c r="BT244" i="80"/>
  <c r="Z104" i="79"/>
  <c r="FL311" i="80"/>
  <c r="FM311" i="80"/>
  <c r="FL185" i="79"/>
  <c r="BV129" i="79"/>
  <c r="DR104" i="79"/>
  <c r="CD129" i="79"/>
  <c r="AP104" i="79"/>
  <c r="EP120" i="79"/>
  <c r="DZ129" i="80"/>
  <c r="DR120" i="80"/>
  <c r="AH121" i="79"/>
  <c r="FK313" i="80"/>
  <c r="CY26" i="80"/>
  <c r="AV24" i="80"/>
  <c r="AV400" i="80" s="1"/>
  <c r="W26" i="80"/>
  <c r="EW200" i="79"/>
  <c r="EO29" i="79"/>
  <c r="EO30" i="79" s="1"/>
  <c r="DX189" i="80"/>
  <c r="BV104" i="79"/>
  <c r="I124" i="70"/>
  <c r="AL474" i="80" s="1"/>
  <c r="AL476" i="80" s="1"/>
  <c r="AM476" i="80" s="1"/>
  <c r="AM480" i="80" s="1"/>
  <c r="AM481" i="80" s="1"/>
  <c r="AW192" i="80"/>
  <c r="V180" i="80"/>
  <c r="W180" i="80" s="1"/>
  <c r="X180" i="80" s="1"/>
  <c r="N180" i="80"/>
  <c r="O180" i="80" s="1"/>
  <c r="P180" i="80" s="1"/>
  <c r="Q29" i="80"/>
  <c r="Q30" i="80" s="1"/>
  <c r="Q403" i="80" s="1"/>
  <c r="AE26" i="80"/>
  <c r="Y24" i="80"/>
  <c r="Y400" i="80" s="1"/>
  <c r="EG192" i="80"/>
  <c r="CZ24" i="80"/>
  <c r="CZ400" i="80" s="1"/>
  <c r="CR244" i="80"/>
  <c r="AX129" i="79"/>
  <c r="EP130" i="80"/>
  <c r="DB129" i="79"/>
  <c r="CS244" i="80"/>
  <c r="BE192" i="80"/>
  <c r="AF24" i="80"/>
  <c r="AF400" i="80" s="1"/>
  <c r="DZ130" i="80"/>
  <c r="AN24" i="80"/>
  <c r="AN400" i="80" s="1"/>
  <c r="AM26" i="80"/>
  <c r="AD187" i="80"/>
  <c r="AE187" i="80" s="1"/>
  <c r="AF187" i="80" s="1"/>
  <c r="N187" i="80"/>
  <c r="O187" i="80" s="1"/>
  <c r="Q187" i="80" s="1"/>
  <c r="AW306" i="80"/>
  <c r="AG306" i="80"/>
  <c r="FM306" i="80"/>
  <c r="EW306" i="80"/>
  <c r="DQ306" i="80"/>
  <c r="BU306" i="80"/>
  <c r="AO306" i="80"/>
  <c r="CK306" i="80"/>
  <c r="EO306" i="80"/>
  <c r="FE306" i="80"/>
  <c r="FL307" i="80"/>
  <c r="Y306" i="80"/>
  <c r="BT306" i="80"/>
  <c r="AV306" i="80"/>
  <c r="AN306" i="80"/>
  <c r="DH306" i="80"/>
  <c r="DA310" i="79"/>
  <c r="FL306" i="80"/>
  <c r="DI306" i="80"/>
  <c r="CR306" i="80"/>
  <c r="DP306" i="80"/>
  <c r="BM306" i="80"/>
  <c r="EW307" i="79"/>
  <c r="EG306" i="80"/>
  <c r="AF306" i="80"/>
  <c r="CZ306" i="80"/>
  <c r="BE306" i="80"/>
  <c r="BF306" i="80" s="1"/>
  <c r="Q306" i="80"/>
  <c r="CC310" i="79"/>
  <c r="FD306" i="80"/>
  <c r="AV279" i="79"/>
  <c r="X279" i="79"/>
  <c r="CZ279" i="79"/>
  <c r="EV279" i="79"/>
  <c r="EF279" i="80"/>
  <c r="DY279" i="80"/>
  <c r="CS279" i="80"/>
  <c r="DQ279" i="80"/>
  <c r="CK279" i="80"/>
  <c r="CC279" i="80"/>
  <c r="AV279" i="80"/>
  <c r="AO279" i="80"/>
  <c r="Q279" i="80"/>
  <c r="CR279" i="79"/>
  <c r="AN280" i="79"/>
  <c r="AO280" i="79"/>
  <c r="CJ279" i="79"/>
  <c r="AW279" i="80"/>
  <c r="EW280" i="79"/>
  <c r="EV280" i="79"/>
  <c r="DP279" i="80"/>
  <c r="BD279" i="79"/>
  <c r="FL276" i="80"/>
  <c r="DX279" i="79"/>
  <c r="CA281" i="79"/>
  <c r="CA283" i="79" s="1"/>
  <c r="CA328" i="79" s="1"/>
  <c r="X279" i="80"/>
  <c r="EV279" i="80"/>
  <c r="P276" i="80"/>
  <c r="CR279" i="80"/>
  <c r="FD276" i="80"/>
  <c r="FF276" i="80" s="1"/>
  <c r="DP276" i="80"/>
  <c r="DR276" i="80" s="1"/>
  <c r="CB276" i="80"/>
  <c r="EN279" i="80"/>
  <c r="AN276" i="80"/>
  <c r="AP276" i="80" s="1"/>
  <c r="EN277" i="79"/>
  <c r="CK277" i="79"/>
  <c r="BT279" i="79"/>
  <c r="CB279" i="80"/>
  <c r="AV280" i="80"/>
  <c r="AU281" i="80"/>
  <c r="DX279" i="80"/>
  <c r="CB280" i="80"/>
  <c r="CA281" i="80"/>
  <c r="CA283" i="80" s="1"/>
  <c r="CA328" i="80" s="1"/>
  <c r="EN280" i="79"/>
  <c r="EO280" i="79"/>
  <c r="DH276" i="80"/>
  <c r="AW280" i="79"/>
  <c r="AV280" i="79"/>
  <c r="AM281" i="79"/>
  <c r="AM283" i="79" s="1"/>
  <c r="AM328" i="79" s="1"/>
  <c r="CZ276" i="80"/>
  <c r="Y280" i="80"/>
  <c r="CJ280" i="79"/>
  <c r="CB280" i="79"/>
  <c r="AU281" i="79"/>
  <c r="AU283" i="79" s="1"/>
  <c r="AU328" i="79" s="1"/>
  <c r="EN276" i="80"/>
  <c r="EW277" i="79"/>
  <c r="BL279" i="79"/>
  <c r="CR276" i="80"/>
  <c r="EF280" i="79"/>
  <c r="EG280" i="79"/>
  <c r="BL280" i="79"/>
  <c r="BM280" i="79"/>
  <c r="P277" i="79"/>
  <c r="AF276" i="80"/>
  <c r="BE277" i="79"/>
  <c r="CZ280" i="80"/>
  <c r="CY281" i="80"/>
  <c r="DA280" i="80"/>
  <c r="BU280" i="80"/>
  <c r="AN277" i="79"/>
  <c r="BL279" i="80"/>
  <c r="AF279" i="79"/>
  <c r="BD279" i="80"/>
  <c r="EF279" i="79"/>
  <c r="EV276" i="80"/>
  <c r="EF276" i="80"/>
  <c r="BL276" i="80"/>
  <c r="EV280" i="80"/>
  <c r="EW280" i="80"/>
  <c r="AV276" i="80"/>
  <c r="BM279" i="80"/>
  <c r="EG279" i="80"/>
  <c r="CI281" i="79"/>
  <c r="CI283" i="79" s="1"/>
  <c r="CI328" i="79" s="1"/>
  <c r="EE281" i="80"/>
  <c r="EE283" i="80" s="1"/>
  <c r="EE328" i="80" s="1"/>
  <c r="EG280" i="80"/>
  <c r="EF280" i="80"/>
  <c r="AW280" i="80"/>
  <c r="X280" i="80"/>
  <c r="EW279" i="80"/>
  <c r="AG279" i="80"/>
  <c r="FD280" i="79"/>
  <c r="CJ280" i="80"/>
  <c r="CK280" i="80"/>
  <c r="AF279" i="80"/>
  <c r="DP280" i="79"/>
  <c r="DQ280" i="79"/>
  <c r="EF277" i="79"/>
  <c r="DI280" i="80"/>
  <c r="DG281" i="80"/>
  <c r="DG283" i="80" s="1"/>
  <c r="DG328" i="80" s="1"/>
  <c r="DH280" i="80"/>
  <c r="BT279" i="80"/>
  <c r="X276" i="80"/>
  <c r="DX277" i="79"/>
  <c r="BM277" i="79"/>
  <c r="Q277" i="79"/>
  <c r="AV277" i="79"/>
  <c r="DX276" i="80"/>
  <c r="CS280" i="80"/>
  <c r="CR280" i="80"/>
  <c r="AO277" i="79"/>
  <c r="CB279" i="79"/>
  <c r="P279" i="80"/>
  <c r="DY280" i="79"/>
  <c r="DX280" i="79"/>
  <c r="X280" i="79"/>
  <c r="Y280" i="79"/>
  <c r="AN279" i="79"/>
  <c r="CJ279" i="80"/>
  <c r="DA279" i="80"/>
  <c r="DB279" i="80" s="1"/>
  <c r="FL279" i="79"/>
  <c r="EN279" i="79"/>
  <c r="P279" i="79"/>
  <c r="FC281" i="79"/>
  <c r="FL279" i="80"/>
  <c r="BE279" i="80"/>
  <c r="BU280" i="79"/>
  <c r="DH279" i="79"/>
  <c r="DJ279" i="79" s="1"/>
  <c r="EO279" i="80"/>
  <c r="DI279" i="80"/>
  <c r="BU279" i="80"/>
  <c r="AG277" i="79"/>
  <c r="Y277" i="79"/>
  <c r="DQ277" i="79"/>
  <c r="BE280" i="79"/>
  <c r="BD280" i="79"/>
  <c r="DY277" i="79"/>
  <c r="X277" i="79"/>
  <c r="DX280" i="80"/>
  <c r="DW281" i="80"/>
  <c r="DY280" i="80"/>
  <c r="AN279" i="80"/>
  <c r="AF277" i="79"/>
  <c r="AW277" i="79"/>
  <c r="FM280" i="80"/>
  <c r="DI277" i="79"/>
  <c r="BL277" i="79"/>
  <c r="Q280" i="79"/>
  <c r="P280" i="79"/>
  <c r="O281" i="79"/>
  <c r="O283" i="79" s="1"/>
  <c r="O328" i="79" s="1"/>
  <c r="DP279" i="79"/>
  <c r="BS281" i="80"/>
  <c r="BS283" i="80" s="1"/>
  <c r="BS328" i="80" s="1"/>
  <c r="DP277" i="79"/>
  <c r="FK483" i="80"/>
  <c r="BS483" i="80"/>
  <c r="EM483" i="80"/>
  <c r="AM483" i="80"/>
  <c r="AE483" i="80"/>
  <c r="FC483" i="80"/>
  <c r="DW483" i="80"/>
  <c r="CI483" i="80"/>
  <c r="EU483" i="80"/>
  <c r="BK483" i="80"/>
  <c r="AU483" i="80"/>
  <c r="DO483" i="80"/>
  <c r="DG483" i="80"/>
  <c r="CA483" i="80"/>
  <c r="BC483" i="80"/>
  <c r="W483" i="80"/>
  <c r="EE483" i="80"/>
  <c r="CY483" i="80"/>
  <c r="CQ483" i="80"/>
  <c r="O483" i="80"/>
  <c r="EN244" i="80"/>
  <c r="EG242" i="79"/>
  <c r="EF249" i="80"/>
  <c r="FM243" i="80"/>
  <c r="CK250" i="80"/>
  <c r="DX249" i="80"/>
  <c r="FD249" i="79"/>
  <c r="Y243" i="80"/>
  <c r="CB250" i="80"/>
  <c r="Q243" i="80"/>
  <c r="AW243" i="80"/>
  <c r="X249" i="79"/>
  <c r="DY250" i="80"/>
  <c r="BD250" i="80"/>
  <c r="EV250" i="80"/>
  <c r="AV250" i="80"/>
  <c r="FM250" i="80"/>
  <c r="CC250" i="80"/>
  <c r="CJ249" i="79"/>
  <c r="FE244" i="80"/>
  <c r="EF244" i="80"/>
  <c r="BU244" i="80"/>
  <c r="DJ247" i="79"/>
  <c r="EN250" i="80"/>
  <c r="AW250" i="80"/>
  <c r="EF250" i="80"/>
  <c r="BT250" i="80"/>
  <c r="FD255" i="80"/>
  <c r="AG250" i="80"/>
  <c r="BU250" i="80"/>
  <c r="BE250" i="80"/>
  <c r="EW243" i="80"/>
  <c r="AG243" i="80"/>
  <c r="AH243" i="80" s="1"/>
  <c r="DQ243" i="80"/>
  <c r="FE243" i="80"/>
  <c r="EG243" i="80"/>
  <c r="DI243" i="80"/>
  <c r="BM243" i="80"/>
  <c r="AO243" i="80"/>
  <c r="EO243" i="80"/>
  <c r="Q250" i="80"/>
  <c r="CR249" i="80"/>
  <c r="CS250" i="80"/>
  <c r="EV232" i="79"/>
  <c r="EW227" i="79"/>
  <c r="AE235" i="80"/>
  <c r="CQ235" i="80"/>
  <c r="EN232" i="79"/>
  <c r="FM227" i="79"/>
  <c r="CR227" i="79"/>
  <c r="FD227" i="79"/>
  <c r="EU235" i="80"/>
  <c r="EO212" i="79"/>
  <c r="FC215" i="79"/>
  <c r="CI215" i="79"/>
  <c r="EV213" i="80"/>
  <c r="FD212" i="79"/>
  <c r="CA215" i="79"/>
  <c r="DY212" i="79"/>
  <c r="FD210" i="80"/>
  <c r="X211" i="79"/>
  <c r="FL212" i="79"/>
  <c r="I215" i="80"/>
  <c r="CY215" i="79"/>
  <c r="AG205" i="80"/>
  <c r="AF205" i="80"/>
  <c r="AE207" i="80"/>
  <c r="EF206" i="80"/>
  <c r="EG206" i="80"/>
  <c r="EV206" i="79"/>
  <c r="EU207" i="79"/>
  <c r="EW206" i="79"/>
  <c r="BT205" i="79"/>
  <c r="DX205" i="80"/>
  <c r="DW207" i="80"/>
  <c r="DY205" i="80"/>
  <c r="CK206" i="79"/>
  <c r="CJ206" i="79"/>
  <c r="CI207" i="79"/>
  <c r="DP205" i="80"/>
  <c r="DQ205" i="80"/>
  <c r="DO207" i="80"/>
  <c r="BE206" i="79"/>
  <c r="BD206" i="79"/>
  <c r="CJ205" i="79"/>
  <c r="EV205" i="80"/>
  <c r="EW205" i="80"/>
  <c r="EU207" i="80"/>
  <c r="DA206" i="79"/>
  <c r="CY207" i="79"/>
  <c r="CR206" i="79"/>
  <c r="CQ207" i="79"/>
  <c r="CK206" i="80"/>
  <c r="CJ206" i="80"/>
  <c r="DH206" i="80"/>
  <c r="DI206" i="80"/>
  <c r="EN206" i="79"/>
  <c r="EO206" i="79"/>
  <c r="EM207" i="79"/>
  <c r="CA207" i="79"/>
  <c r="CC206" i="79"/>
  <c r="CB206" i="79"/>
  <c r="CZ205" i="80"/>
  <c r="CZ207" i="80" s="1"/>
  <c r="CY207" i="80"/>
  <c r="Y205" i="80"/>
  <c r="Q205" i="80"/>
  <c r="FL205" i="80"/>
  <c r="CS206" i="80"/>
  <c r="CS206" i="79"/>
  <c r="I207" i="79"/>
  <c r="CS205" i="79"/>
  <c r="BT205" i="80"/>
  <c r="BS207" i="80"/>
  <c r="BU205" i="80"/>
  <c r="CK205" i="79"/>
  <c r="CR205" i="80"/>
  <c r="CQ207" i="80"/>
  <c r="EO205" i="79"/>
  <c r="X206" i="79"/>
  <c r="Y206" i="79"/>
  <c r="W207" i="79"/>
  <c r="CB206" i="80"/>
  <c r="CD206" i="80" s="1"/>
  <c r="CC205" i="80"/>
  <c r="CC207" i="80" s="1"/>
  <c r="CA207" i="80"/>
  <c r="DW207" i="79"/>
  <c r="DX206" i="79"/>
  <c r="DY206" i="79"/>
  <c r="BU206" i="79"/>
  <c r="BS207" i="79"/>
  <c r="CR205" i="79"/>
  <c r="CI207" i="80"/>
  <c r="CK205" i="80"/>
  <c r="CJ205" i="80"/>
  <c r="BL205" i="80"/>
  <c r="BM205" i="80"/>
  <c r="DH205" i="80"/>
  <c r="DG207" i="80"/>
  <c r="DI205" i="80"/>
  <c r="AN206" i="80"/>
  <c r="AN207" i="80" s="1"/>
  <c r="AO206" i="80"/>
  <c r="Q206" i="80"/>
  <c r="P206" i="80"/>
  <c r="DX206" i="80"/>
  <c r="DY206" i="80"/>
  <c r="AM207" i="80"/>
  <c r="P205" i="80"/>
  <c r="CB205" i="80"/>
  <c r="CZ206" i="79"/>
  <c r="EN206" i="80"/>
  <c r="EO206" i="80"/>
  <c r="Y205" i="79"/>
  <c r="BT206" i="80"/>
  <c r="BU206" i="80"/>
  <c r="DX205" i="79"/>
  <c r="P206" i="79"/>
  <c r="O207" i="79"/>
  <c r="Q206" i="79"/>
  <c r="BD205" i="79"/>
  <c r="AW206" i="80"/>
  <c r="AV206" i="80"/>
  <c r="BU205" i="79"/>
  <c r="FD205" i="80"/>
  <c r="FC207" i="80"/>
  <c r="BD205" i="80"/>
  <c r="X205" i="80"/>
  <c r="BE205" i="80"/>
  <c r="EF205" i="80"/>
  <c r="EE207" i="80"/>
  <c r="EG205" i="80"/>
  <c r="AW205" i="80"/>
  <c r="AV205" i="80"/>
  <c r="AU207" i="80"/>
  <c r="P205" i="79"/>
  <c r="X206" i="80"/>
  <c r="W207" i="80"/>
  <c r="DH205" i="79"/>
  <c r="DI205" i="79"/>
  <c r="BL205" i="79"/>
  <c r="EM207" i="80"/>
  <c r="EN205" i="80"/>
  <c r="EO205" i="80"/>
  <c r="DY205" i="79"/>
  <c r="DP201" i="80"/>
  <c r="BT201" i="80"/>
  <c r="CC201" i="79"/>
  <c r="AO200" i="79"/>
  <c r="FD201" i="79"/>
  <c r="DI201" i="80"/>
  <c r="FM200" i="79"/>
  <c r="X201" i="79"/>
  <c r="Y200" i="79"/>
  <c r="CS200" i="79"/>
  <c r="CJ201" i="79"/>
  <c r="CR192" i="80"/>
  <c r="Q192" i="80"/>
  <c r="EF192" i="79"/>
  <c r="FE193" i="79"/>
  <c r="DY193" i="79"/>
  <c r="EW193" i="79"/>
  <c r="BM193" i="79"/>
  <c r="EG193" i="79"/>
  <c r="AO193" i="79"/>
  <c r="CS193" i="79"/>
  <c r="DQ193" i="79"/>
  <c r="DQ192" i="79"/>
  <c r="CJ192" i="79"/>
  <c r="DA193" i="79"/>
  <c r="CK193" i="79"/>
  <c r="DA192" i="80"/>
  <c r="CC193" i="79"/>
  <c r="Q193" i="79"/>
  <c r="EW192" i="79"/>
  <c r="CZ192" i="79"/>
  <c r="DY192" i="79"/>
  <c r="BE193" i="79"/>
  <c r="DX192" i="80"/>
  <c r="DY192" i="80"/>
  <c r="DY187" i="80"/>
  <c r="CR187" i="80"/>
  <c r="AW188" i="79"/>
  <c r="AX188" i="79" s="1"/>
  <c r="BD187" i="80"/>
  <c r="CB187" i="80"/>
  <c r="CC187" i="80"/>
  <c r="CK187" i="80"/>
  <c r="DJ188" i="79"/>
  <c r="BE188" i="80"/>
  <c r="BF188" i="80" s="1"/>
  <c r="FM189" i="80"/>
  <c r="DH187" i="80"/>
  <c r="CZ187" i="80"/>
  <c r="BF129" i="79"/>
  <c r="DA148" i="80"/>
  <c r="EG148" i="80"/>
  <c r="FK156" i="79"/>
  <c r="CJ148" i="80"/>
  <c r="FL149" i="80"/>
  <c r="DH149" i="80"/>
  <c r="DJ149" i="80" s="1"/>
  <c r="DQ149" i="80"/>
  <c r="CB155" i="80"/>
  <c r="X155" i="80"/>
  <c r="BD148" i="79"/>
  <c r="CB149" i="80"/>
  <c r="EV150" i="80"/>
  <c r="EW150" i="80"/>
  <c r="AV155" i="80"/>
  <c r="EN149" i="80"/>
  <c r="CZ148" i="80"/>
  <c r="AO148" i="80"/>
  <c r="AN155" i="79"/>
  <c r="EF149" i="80"/>
  <c r="CZ155" i="80"/>
  <c r="P149" i="80"/>
  <c r="CR148" i="79"/>
  <c r="BE155" i="79"/>
  <c r="P148" i="80"/>
  <c r="CK148" i="80"/>
  <c r="DI148" i="80"/>
  <c r="EW148" i="80"/>
  <c r="DQ148" i="80"/>
  <c r="BE148" i="80"/>
  <c r="DP148" i="79"/>
  <c r="AV148" i="79"/>
  <c r="AF148" i="79"/>
  <c r="EV148" i="79"/>
  <c r="BT148" i="79"/>
  <c r="BL148" i="79"/>
  <c r="FL155" i="80"/>
  <c r="CC155" i="80"/>
  <c r="BM155" i="80"/>
  <c r="DX155" i="80"/>
  <c r="CC149" i="80"/>
  <c r="EN148" i="80"/>
  <c r="CR149" i="80"/>
  <c r="AN155" i="80"/>
  <c r="EF155" i="79"/>
  <c r="EG149" i="80"/>
  <c r="DX149" i="80"/>
  <c r="AW155" i="80"/>
  <c r="EO148" i="79"/>
  <c r="CB148" i="80"/>
  <c r="EO148" i="80"/>
  <c r="AW148" i="80"/>
  <c r="EF155" i="80"/>
  <c r="BU155" i="80"/>
  <c r="EN148" i="79"/>
  <c r="EV149" i="80"/>
  <c r="BM148" i="80"/>
  <c r="CS155" i="79"/>
  <c r="BD155" i="79"/>
  <c r="Q155" i="79"/>
  <c r="FM149" i="80"/>
  <c r="BT149" i="80"/>
  <c r="CS155" i="80"/>
  <c r="CS148" i="80"/>
  <c r="CR148" i="80"/>
  <c r="CC148" i="80"/>
  <c r="DX148" i="79"/>
  <c r="BT148" i="80"/>
  <c r="Y148" i="80"/>
  <c r="DY149" i="80"/>
  <c r="DH148" i="79"/>
  <c r="DP149" i="80"/>
  <c r="BT155" i="80"/>
  <c r="AG148" i="80"/>
  <c r="Q149" i="80"/>
  <c r="X148" i="80"/>
  <c r="Q148" i="80"/>
  <c r="DQ155" i="79"/>
  <c r="FE148" i="79"/>
  <c r="CS148" i="79"/>
  <c r="AG148" i="79"/>
  <c r="AW148" i="79"/>
  <c r="Q148" i="79"/>
  <c r="DQ148" i="79"/>
  <c r="BM148" i="79"/>
  <c r="Y148" i="79"/>
  <c r="EW148" i="79"/>
  <c r="BU148" i="79"/>
  <c r="AO155" i="80"/>
  <c r="EO149" i="80"/>
  <c r="CJ155" i="80"/>
  <c r="AG149" i="80"/>
  <c r="BL155" i="79"/>
  <c r="X148" i="79"/>
  <c r="BL149" i="80"/>
  <c r="BM155" i="79"/>
  <c r="FD149" i="80"/>
  <c r="DQ155" i="80"/>
  <c r="FE149" i="80"/>
  <c r="DP155" i="80"/>
  <c r="BU149" i="80"/>
  <c r="X149" i="80"/>
  <c r="CB155" i="79"/>
  <c r="EG148" i="79"/>
  <c r="FE155" i="80"/>
  <c r="AF148" i="80"/>
  <c r="AV132" i="80"/>
  <c r="BD132" i="80"/>
  <c r="AV123" i="80"/>
  <c r="AF132" i="80"/>
  <c r="AO132" i="80"/>
  <c r="FD132" i="80"/>
  <c r="EV132" i="80"/>
  <c r="AF124" i="79"/>
  <c r="AO125" i="80"/>
  <c r="AN125" i="80"/>
  <c r="BM125" i="80"/>
  <c r="BL125" i="80"/>
  <c r="EV121" i="80"/>
  <c r="DY126" i="79"/>
  <c r="AO121" i="80"/>
  <c r="AF121" i="80"/>
  <c r="AE133" i="80"/>
  <c r="EF126" i="79"/>
  <c r="CB126" i="79"/>
  <c r="CC126" i="79"/>
  <c r="CK124" i="79"/>
  <c r="AN121" i="79"/>
  <c r="AP121" i="79" s="1"/>
  <c r="AM133" i="79"/>
  <c r="EN124" i="79"/>
  <c r="AW132" i="80"/>
  <c r="AG132" i="80"/>
  <c r="AN132" i="80"/>
  <c r="FL132" i="80"/>
  <c r="BT125" i="80"/>
  <c r="BU125" i="80"/>
  <c r="CS125" i="80"/>
  <c r="CR125" i="80"/>
  <c r="BK133" i="79"/>
  <c r="BE121" i="80"/>
  <c r="X121" i="80"/>
  <c r="DA126" i="79"/>
  <c r="EH129" i="79"/>
  <c r="CB121" i="80"/>
  <c r="CA133" i="80"/>
  <c r="Y121" i="80"/>
  <c r="W133" i="80"/>
  <c r="EN126" i="79"/>
  <c r="DP126" i="79"/>
  <c r="EO124" i="79"/>
  <c r="FE130" i="80"/>
  <c r="FF130" i="80" s="1"/>
  <c r="CR121" i="79"/>
  <c r="CS121" i="79"/>
  <c r="CQ133" i="79"/>
  <c r="EV124" i="79"/>
  <c r="EG121" i="80"/>
  <c r="X132" i="80"/>
  <c r="DY124" i="79"/>
  <c r="FD121" i="80"/>
  <c r="DX132" i="80"/>
  <c r="EV132" i="79"/>
  <c r="EN132" i="79"/>
  <c r="DX125" i="80"/>
  <c r="DY125" i="80"/>
  <c r="EG125" i="80"/>
  <c r="EF125" i="80"/>
  <c r="DG133" i="79"/>
  <c r="AE133" i="79"/>
  <c r="EW121" i="80"/>
  <c r="BL121" i="80"/>
  <c r="CR126" i="79"/>
  <c r="CB121" i="79"/>
  <c r="CC121" i="79"/>
  <c r="BS133" i="80"/>
  <c r="BM126" i="79"/>
  <c r="X126" i="79"/>
  <c r="CJ124" i="79"/>
  <c r="EF130" i="80"/>
  <c r="EH130" i="80" s="1"/>
  <c r="BU130" i="80"/>
  <c r="BV130" i="80" s="1"/>
  <c r="BL130" i="80"/>
  <c r="BL121" i="79"/>
  <c r="BM121" i="79"/>
  <c r="CZ121" i="79"/>
  <c r="DA121" i="79"/>
  <c r="BD124" i="79"/>
  <c r="CC125" i="80"/>
  <c r="CB125" i="80"/>
  <c r="CZ121" i="80"/>
  <c r="CY133" i="80"/>
  <c r="DA121" i="80"/>
  <c r="X125" i="80"/>
  <c r="Y125" i="80"/>
  <c r="W133" i="79"/>
  <c r="DW133" i="79"/>
  <c r="EW121" i="79"/>
  <c r="EV121" i="79"/>
  <c r="BT121" i="79"/>
  <c r="BU121" i="79"/>
  <c r="Q126" i="79"/>
  <c r="P126" i="79"/>
  <c r="CK121" i="80"/>
  <c r="CI133" i="80"/>
  <c r="CS121" i="80"/>
  <c r="CQ133" i="80"/>
  <c r="AV126" i="79"/>
  <c r="BE126" i="79"/>
  <c r="DH130" i="80"/>
  <c r="DJ130" i="80" s="1"/>
  <c r="X121" i="79"/>
  <c r="Y121" i="79"/>
  <c r="BT124" i="79"/>
  <c r="DH124" i="79"/>
  <c r="DP121" i="79"/>
  <c r="DQ121" i="79"/>
  <c r="DO133" i="79"/>
  <c r="DH121" i="79"/>
  <c r="DI121" i="79"/>
  <c r="BE132" i="80"/>
  <c r="AW123" i="80"/>
  <c r="EW126" i="79"/>
  <c r="FM132" i="80"/>
  <c r="DI132" i="80"/>
  <c r="Y124" i="79"/>
  <c r="BL124" i="79"/>
  <c r="BM124" i="79"/>
  <c r="BM121" i="80"/>
  <c r="O133" i="80"/>
  <c r="DG133" i="80"/>
  <c r="DX121" i="80"/>
  <c r="DY121" i="80"/>
  <c r="DW133" i="80"/>
  <c r="DX126" i="79"/>
  <c r="BU126" i="79"/>
  <c r="BT126" i="79"/>
  <c r="CJ126" i="79"/>
  <c r="EW130" i="80"/>
  <c r="EX130" i="80" s="1"/>
  <c r="AW121" i="79"/>
  <c r="AV121" i="79"/>
  <c r="EF121" i="79"/>
  <c r="EG121" i="79"/>
  <c r="CB124" i="79"/>
  <c r="EO106" i="80"/>
  <c r="AF106" i="80"/>
  <c r="BT106" i="80"/>
  <c r="DA106" i="80"/>
  <c r="AN106" i="80"/>
  <c r="AW106" i="80"/>
  <c r="DX106" i="80"/>
  <c r="Y106" i="80"/>
  <c r="CK106" i="80"/>
  <c r="EV106" i="80"/>
  <c r="BD106" i="80"/>
  <c r="FL106" i="80"/>
  <c r="EG106" i="80"/>
  <c r="EH106" i="80" s="1"/>
  <c r="AG106" i="80"/>
  <c r="FC116" i="79"/>
  <c r="EU116" i="79"/>
  <c r="CB106" i="80"/>
  <c r="DQ106" i="80"/>
  <c r="DZ114" i="79"/>
  <c r="EW106" i="80"/>
  <c r="EN106" i="80"/>
  <c r="DI106" i="80"/>
  <c r="FD113" i="79"/>
  <c r="FF113" i="79" s="1"/>
  <c r="FK116" i="80"/>
  <c r="AO106" i="80"/>
  <c r="FM106" i="80"/>
  <c r="DH106" i="80"/>
  <c r="BU106" i="80"/>
  <c r="Q106" i="80"/>
  <c r="P106" i="80"/>
  <c r="CS106" i="80"/>
  <c r="BE106" i="80"/>
  <c r="CJ106" i="80"/>
  <c r="FD106" i="80"/>
  <c r="BM106" i="80"/>
  <c r="CZ106" i="80"/>
  <c r="DY106" i="80"/>
  <c r="FE106" i="80"/>
  <c r="CR106" i="80"/>
  <c r="R104" i="79"/>
  <c r="FM108" i="80"/>
  <c r="AV106" i="80"/>
  <c r="DP106" i="80"/>
  <c r="BL106" i="80"/>
  <c r="DB90" i="80"/>
  <c r="EV90" i="80"/>
  <c r="FM256" i="79"/>
  <c r="DY256" i="79"/>
  <c r="BT92" i="80"/>
  <c r="BU92" i="80"/>
  <c r="CK92" i="80"/>
  <c r="CR90" i="80"/>
  <c r="AF90" i="80"/>
  <c r="DI90" i="80"/>
  <c r="DH90" i="80"/>
  <c r="DG93" i="80"/>
  <c r="Q90" i="80"/>
  <c r="O93" i="80"/>
  <c r="EW92" i="80"/>
  <c r="DQ90" i="79"/>
  <c r="EG90" i="79"/>
  <c r="FL256" i="79"/>
  <c r="DX256" i="79"/>
  <c r="DH256" i="79"/>
  <c r="DJ256" i="79" s="1"/>
  <c r="EO90" i="80"/>
  <c r="EM93" i="80"/>
  <c r="EN90" i="80"/>
  <c r="CJ90" i="80"/>
  <c r="CK90" i="80"/>
  <c r="DP90" i="80"/>
  <c r="DQ90" i="80"/>
  <c r="DO93" i="80"/>
  <c r="BT90" i="80"/>
  <c r="BU90" i="80"/>
  <c r="EW256" i="80"/>
  <c r="Y89" i="80"/>
  <c r="EV89" i="80"/>
  <c r="EF256" i="79"/>
  <c r="DP256" i="79"/>
  <c r="CB90" i="80"/>
  <c r="CC90" i="80"/>
  <c r="CA93" i="80"/>
  <c r="BL90" i="80"/>
  <c r="BK93" i="80"/>
  <c r="EW90" i="80"/>
  <c r="FL90" i="79"/>
  <c r="FD90" i="79"/>
  <c r="DY90" i="80"/>
  <c r="DX90" i="80"/>
  <c r="X92" i="80"/>
  <c r="EG92" i="80"/>
  <c r="CQ93" i="80"/>
  <c r="CI93" i="80"/>
  <c r="CY77" i="80"/>
  <c r="BS77" i="80"/>
  <c r="DX70" i="79"/>
  <c r="DP71" i="79"/>
  <c r="FC77" i="79"/>
  <c r="AN66" i="79"/>
  <c r="CJ66" i="79"/>
  <c r="CZ66" i="79"/>
  <c r="EV66" i="79"/>
  <c r="X66" i="79"/>
  <c r="AU77" i="80"/>
  <c r="FM73" i="79"/>
  <c r="FL73" i="79"/>
  <c r="FK77" i="79"/>
  <c r="BT66" i="79"/>
  <c r="BK77" i="79"/>
  <c r="CB66" i="79"/>
  <c r="AM77" i="80"/>
  <c r="BK77" i="80"/>
  <c r="EM77" i="80"/>
  <c r="FD70" i="80"/>
  <c r="Y58" i="79"/>
  <c r="FM71" i="79"/>
  <c r="DO77" i="79"/>
  <c r="W77" i="80"/>
  <c r="EU77" i="80"/>
  <c r="BL66" i="79"/>
  <c r="E16" i="82"/>
  <c r="F16" i="82"/>
  <c r="G16" i="82"/>
  <c r="G376" i="79"/>
  <c r="G14" i="82"/>
  <c r="F14" i="82"/>
  <c r="E14" i="82"/>
  <c r="O373" i="79"/>
  <c r="G18" i="82"/>
  <c r="E18" i="82"/>
  <c r="F18" i="82"/>
  <c r="E14" i="35"/>
  <c r="G371" i="79"/>
  <c r="O375" i="79"/>
  <c r="G17" i="82"/>
  <c r="E17" i="82"/>
  <c r="Q17" i="82" s="1"/>
  <c r="S17" i="82" s="1"/>
  <c r="F17" i="82"/>
  <c r="I202" i="80"/>
  <c r="G13" i="82"/>
  <c r="D21" i="82"/>
  <c r="E13" i="82"/>
  <c r="F13" i="82"/>
  <c r="G15" i="82"/>
  <c r="F15" i="82"/>
  <c r="E15" i="82"/>
  <c r="H202" i="79"/>
  <c r="G13" i="35"/>
  <c r="G370" i="79"/>
  <c r="F15" i="35"/>
  <c r="G372" i="79"/>
  <c r="CS16" i="80"/>
  <c r="CS410" i="80" s="1"/>
  <c r="X33" i="80"/>
  <c r="X404" i="80" s="1"/>
  <c r="CZ33" i="80"/>
  <c r="CZ404" i="80" s="1"/>
  <c r="DH33" i="80"/>
  <c r="CS33" i="80"/>
  <c r="CB18" i="80"/>
  <c r="CB412" i="80" s="1"/>
  <c r="CK33" i="80"/>
  <c r="CK404" i="80" s="1"/>
  <c r="FL33" i="80"/>
  <c r="FL404" i="80" s="1"/>
  <c r="DP33" i="80"/>
  <c r="CK18" i="80"/>
  <c r="CK412" i="80" s="1"/>
  <c r="AG18" i="80"/>
  <c r="AG412" i="80" s="1"/>
  <c r="H143" i="80"/>
  <c r="CR33" i="80"/>
  <c r="CR404" i="80" s="1"/>
  <c r="CB33" i="80"/>
  <c r="AW33" i="80"/>
  <c r="AW404" i="80" s="1"/>
  <c r="CJ33" i="80"/>
  <c r="CJ404" i="80" s="1"/>
  <c r="BL18" i="80"/>
  <c r="BL412" i="80" s="1"/>
  <c r="DA33" i="80"/>
  <c r="DA404" i="80" s="1"/>
  <c r="AV33" i="80"/>
  <c r="AO18" i="80"/>
  <c r="AO412" i="80" s="1"/>
  <c r="AF33" i="80"/>
  <c r="AF404" i="80" s="1"/>
  <c r="I215" i="79"/>
  <c r="BE16" i="80"/>
  <c r="BE410" i="80" s="1"/>
  <c r="DX16" i="80"/>
  <c r="DX410" i="80" s="1"/>
  <c r="BD16" i="80"/>
  <c r="BD410" i="80" s="1"/>
  <c r="AF16" i="80"/>
  <c r="AF410" i="80" s="1"/>
  <c r="H34" i="79"/>
  <c r="AN33" i="79"/>
  <c r="CB33" i="79"/>
  <c r="BU33" i="79"/>
  <c r="CC33" i="79"/>
  <c r="BE33" i="79"/>
  <c r="Y33" i="79"/>
  <c r="DI33" i="79"/>
  <c r="FM33" i="79"/>
  <c r="BM33" i="79"/>
  <c r="BT33" i="79"/>
  <c r="FM33" i="80"/>
  <c r="FM404" i="80" s="1"/>
  <c r="AO33" i="80"/>
  <c r="AO404" i="80" s="1"/>
  <c r="FD33" i="80"/>
  <c r="FD404" i="80" s="1"/>
  <c r="EW33" i="79"/>
  <c r="Y33" i="80"/>
  <c r="Y404" i="80" s="1"/>
  <c r="AV33" i="79"/>
  <c r="Q33" i="80"/>
  <c r="Q404" i="80" s="1"/>
  <c r="BE33" i="80"/>
  <c r="BE404" i="80" s="1"/>
  <c r="FE33" i="80"/>
  <c r="FE404" i="80" s="1"/>
  <c r="CC16" i="80"/>
  <c r="CC410" i="80" s="1"/>
  <c r="AO33" i="79"/>
  <c r="D63" i="82"/>
  <c r="BD33" i="79"/>
  <c r="X33" i="79"/>
  <c r="EG33" i="80"/>
  <c r="EG404" i="80" s="1"/>
  <c r="DY33" i="80"/>
  <c r="DY404" i="80" s="1"/>
  <c r="BL33" i="80"/>
  <c r="BL404" i="80" s="1"/>
  <c r="P33" i="80"/>
  <c r="P404" i="80" s="1"/>
  <c r="EW33" i="80"/>
  <c r="EW404" i="80" s="1"/>
  <c r="EF33" i="80"/>
  <c r="EF404" i="80" s="1"/>
  <c r="BT33" i="80"/>
  <c r="BT404" i="80" s="1"/>
  <c r="DA33" i="79"/>
  <c r="EG33" i="79"/>
  <c r="DH33" i="79"/>
  <c r="AN33" i="80"/>
  <c r="AN404" i="80" s="1"/>
  <c r="EN33" i="80"/>
  <c r="CJ33" i="79"/>
  <c r="CZ33" i="79"/>
  <c r="BL33" i="79"/>
  <c r="CS33" i="79"/>
  <c r="BU33" i="80"/>
  <c r="BU404" i="80" s="1"/>
  <c r="EV33" i="80"/>
  <c r="EV404" i="80" s="1"/>
  <c r="EF33" i="79"/>
  <c r="X29" i="79"/>
  <c r="X30" i="79" s="1"/>
  <c r="H100" i="79"/>
  <c r="EF18" i="79"/>
  <c r="EF412" i="79" s="1"/>
  <c r="EN18" i="80"/>
  <c r="EN412" i="80" s="1"/>
  <c r="DQ16" i="80"/>
  <c r="DQ410" i="80" s="1"/>
  <c r="DA16" i="80"/>
  <c r="DA410" i="80" s="1"/>
  <c r="CK16" i="80"/>
  <c r="CK410" i="80" s="1"/>
  <c r="FE29" i="79"/>
  <c r="FE30" i="79" s="1"/>
  <c r="BT29" i="79"/>
  <c r="BT30" i="79" s="1"/>
  <c r="P25" i="79"/>
  <c r="P401" i="79" s="1"/>
  <c r="L43" i="80"/>
  <c r="I100" i="80"/>
  <c r="AO16" i="80"/>
  <c r="AO410" i="80" s="1"/>
  <c r="DY16" i="80"/>
  <c r="DY410" i="80" s="1"/>
  <c r="FE16" i="80"/>
  <c r="FE410" i="80" s="1"/>
  <c r="EW16" i="80"/>
  <c r="EW410" i="80" s="1"/>
  <c r="BM16" i="80"/>
  <c r="BM410" i="80" s="1"/>
  <c r="FM29" i="79"/>
  <c r="FM30" i="79" s="1"/>
  <c r="CB29" i="79"/>
  <c r="CB30" i="79" s="1"/>
  <c r="DH29" i="79"/>
  <c r="DH30" i="79" s="1"/>
  <c r="Q29" i="79"/>
  <c r="Q30" i="79" s="1"/>
  <c r="Q418" i="79" s="1"/>
  <c r="BU29" i="79"/>
  <c r="BU30" i="79" s="1"/>
  <c r="L44" i="80"/>
  <c r="BU16" i="80"/>
  <c r="BU410" i="80" s="1"/>
  <c r="EG16" i="80"/>
  <c r="EG410" i="80" s="1"/>
  <c r="FM16" i="80"/>
  <c r="FM410" i="80" s="1"/>
  <c r="D62" i="82"/>
  <c r="AO29" i="79"/>
  <c r="AO30" i="79" s="1"/>
  <c r="FD29" i="80"/>
  <c r="FD30" i="80" s="1"/>
  <c r="FD403" i="80" s="1"/>
  <c r="DP29" i="79"/>
  <c r="EW29" i="79"/>
  <c r="EW30" i="79" s="1"/>
  <c r="EV18" i="79"/>
  <c r="EV412" i="79" s="1"/>
  <c r="AN18" i="79"/>
  <c r="AN412" i="79" s="1"/>
  <c r="L45" i="80"/>
  <c r="EO16" i="80"/>
  <c r="EO410" i="80" s="1"/>
  <c r="H100" i="80"/>
  <c r="H26" i="79"/>
  <c r="Y16" i="80"/>
  <c r="Y410" i="80" s="1"/>
  <c r="EF23" i="80"/>
  <c r="EF399" i="80" s="1"/>
  <c r="EG23" i="79"/>
  <c r="EG399" i="79" s="1"/>
  <c r="R245" i="79"/>
  <c r="I202" i="79"/>
  <c r="AW16" i="80"/>
  <c r="AW410" i="80" s="1"/>
  <c r="AG16" i="80"/>
  <c r="AG410" i="80" s="1"/>
  <c r="Y23" i="80"/>
  <c r="Y399" i="80" s="1"/>
  <c r="AO23" i="80"/>
  <c r="AO399" i="80" s="1"/>
  <c r="FM22" i="80"/>
  <c r="FM398" i="80" s="1"/>
  <c r="EO18" i="80"/>
  <c r="EO412" i="80" s="1"/>
  <c r="K59" i="80"/>
  <c r="K59" i="79"/>
  <c r="BT18" i="79"/>
  <c r="BT412" i="79" s="1"/>
  <c r="BC19" i="79"/>
  <c r="DP18" i="79"/>
  <c r="DP412" i="79" s="1"/>
  <c r="BD18" i="79"/>
  <c r="BD412" i="79" s="1"/>
  <c r="EV18" i="80"/>
  <c r="EV412" i="80" s="1"/>
  <c r="CB18" i="79"/>
  <c r="CB412" i="79" s="1"/>
  <c r="EN18" i="79"/>
  <c r="EN412" i="79" s="1"/>
  <c r="BK19" i="79"/>
  <c r="AE19" i="79"/>
  <c r="FL18" i="79"/>
  <c r="FL412" i="79" s="1"/>
  <c r="I100" i="79"/>
  <c r="DX18" i="80"/>
  <c r="DX412" i="80" s="1"/>
  <c r="CJ18" i="80"/>
  <c r="CJ412" i="80" s="1"/>
  <c r="CR18" i="79"/>
  <c r="CR412" i="79" s="1"/>
  <c r="Y18" i="79"/>
  <c r="Y412" i="79" s="1"/>
  <c r="EG18" i="79"/>
  <c r="EG412" i="79" s="1"/>
  <c r="BM18" i="79"/>
  <c r="BM412" i="79" s="1"/>
  <c r="EO18" i="79"/>
  <c r="EO412" i="79" s="1"/>
  <c r="CQ19" i="79"/>
  <c r="EU19" i="79"/>
  <c r="DH18" i="79"/>
  <c r="DH412" i="79" s="1"/>
  <c r="AV18" i="79"/>
  <c r="AV412" i="79" s="1"/>
  <c r="BE18" i="79"/>
  <c r="BE412" i="79" s="1"/>
  <c r="EE19" i="79"/>
  <c r="CZ18" i="79"/>
  <c r="CZ412" i="79" s="1"/>
  <c r="BT18" i="80"/>
  <c r="BT412" i="80" s="1"/>
  <c r="AV18" i="80"/>
  <c r="AV412" i="80" s="1"/>
  <c r="DY18" i="80"/>
  <c r="DY412" i="80" s="1"/>
  <c r="DA18" i="80"/>
  <c r="DA412" i="80" s="1"/>
  <c r="CS18" i="80"/>
  <c r="CS412" i="80" s="1"/>
  <c r="BE18" i="80"/>
  <c r="BE412" i="80" s="1"/>
  <c r="EW18" i="80"/>
  <c r="EW412" i="80" s="1"/>
  <c r="DI18" i="80"/>
  <c r="DI412" i="80" s="1"/>
  <c r="EG18" i="80"/>
  <c r="EG412" i="80" s="1"/>
  <c r="AW18" i="80"/>
  <c r="AW412" i="80" s="1"/>
  <c r="Q18" i="80"/>
  <c r="Q412" i="80" s="1"/>
  <c r="CC18" i="80"/>
  <c r="CC412" i="80" s="1"/>
  <c r="BD18" i="80"/>
  <c r="BD412" i="80" s="1"/>
  <c r="BL18" i="79"/>
  <c r="BL412" i="79" s="1"/>
  <c r="CY19" i="79"/>
  <c r="FD18" i="79"/>
  <c r="FD412" i="79" s="1"/>
  <c r="P18" i="79"/>
  <c r="P412" i="79" s="1"/>
  <c r="X18" i="79"/>
  <c r="X412" i="79" s="1"/>
  <c r="CJ18" i="79"/>
  <c r="CJ412" i="79" s="1"/>
  <c r="DX18" i="79"/>
  <c r="DX412" i="79" s="1"/>
  <c r="AM19" i="79"/>
  <c r="DG19" i="79"/>
  <c r="AF18" i="79"/>
  <c r="AF412" i="79" s="1"/>
  <c r="Y18" i="80"/>
  <c r="Y412" i="80" s="1"/>
  <c r="FN68" i="79"/>
  <c r="AH180" i="79"/>
  <c r="AH182" i="79"/>
  <c r="FL184" i="80"/>
  <c r="FM184" i="80"/>
  <c r="FL178" i="80"/>
  <c r="FM178" i="80"/>
  <c r="FL185" i="80"/>
  <c r="FK26" i="79"/>
  <c r="FL22" i="79"/>
  <c r="FL398" i="79" s="1"/>
  <c r="CT180" i="79"/>
  <c r="DR305" i="80"/>
  <c r="FN58" i="80"/>
  <c r="FM247" i="79"/>
  <c r="FN247" i="79" s="1"/>
  <c r="EV200" i="79"/>
  <c r="FM249" i="80"/>
  <c r="DB120" i="80"/>
  <c r="FK313" i="79"/>
  <c r="DB182" i="79"/>
  <c r="Z247" i="79"/>
  <c r="FL199" i="79"/>
  <c r="FM199" i="79"/>
  <c r="FE200" i="79"/>
  <c r="BV180" i="79"/>
  <c r="FK202" i="79"/>
  <c r="AP120" i="80"/>
  <c r="CL180" i="79"/>
  <c r="FN227" i="80"/>
  <c r="DB130" i="80"/>
  <c r="F20" i="32"/>
  <c r="EH180" i="79"/>
  <c r="CD180" i="79"/>
  <c r="I34" i="80"/>
  <c r="I34" i="79"/>
  <c r="DR180" i="79"/>
  <c r="D74" i="82"/>
  <c r="Q53" i="82"/>
  <c r="R8" i="35"/>
  <c r="R9" i="35"/>
  <c r="Z120" i="80"/>
  <c r="DZ72" i="79"/>
  <c r="DJ180" i="79"/>
  <c r="EH107" i="80"/>
  <c r="EP270" i="80"/>
  <c r="CL120" i="80"/>
  <c r="DJ245" i="79"/>
  <c r="BF245" i="79"/>
  <c r="FN129" i="80"/>
  <c r="FN309" i="80"/>
  <c r="EX142" i="80"/>
  <c r="CL99" i="80"/>
  <c r="BF120" i="80"/>
  <c r="EP130" i="79"/>
  <c r="EX180" i="79"/>
  <c r="EP180" i="79"/>
  <c r="R9" i="82"/>
  <c r="R8" i="82"/>
  <c r="EX68" i="79"/>
  <c r="EP129" i="79"/>
  <c r="CT99" i="79"/>
  <c r="DB180" i="79"/>
  <c r="AP142" i="79"/>
  <c r="BL252" i="80"/>
  <c r="AV182" i="80"/>
  <c r="BD182" i="80"/>
  <c r="AN182" i="80"/>
  <c r="DX182" i="80"/>
  <c r="EF182" i="80"/>
  <c r="P182" i="80"/>
  <c r="CK182" i="80"/>
  <c r="AF182" i="80"/>
  <c r="BD181" i="80"/>
  <c r="BL181" i="80"/>
  <c r="X181" i="80"/>
  <c r="P181" i="80"/>
  <c r="AG181" i="80"/>
  <c r="AV181" i="80"/>
  <c r="BU181" i="80"/>
  <c r="AN181" i="80"/>
  <c r="BL254" i="80"/>
  <c r="BT254" i="80"/>
  <c r="CR254" i="80"/>
  <c r="AN254" i="80"/>
  <c r="BE254" i="80"/>
  <c r="X254" i="80"/>
  <c r="BD254" i="80"/>
  <c r="DH140" i="80"/>
  <c r="BL140" i="80"/>
  <c r="CB140" i="80"/>
  <c r="BE140" i="80"/>
  <c r="BD140" i="80"/>
  <c r="FN294" i="80"/>
  <c r="BM307" i="80"/>
  <c r="BL307" i="80"/>
  <c r="CB307" i="80"/>
  <c r="FM307" i="80"/>
  <c r="AF307" i="80"/>
  <c r="AO307" i="80"/>
  <c r="AV307" i="80"/>
  <c r="DP181" i="80"/>
  <c r="CR140" i="80"/>
  <c r="X71" i="80"/>
  <c r="AO71" i="80"/>
  <c r="BD71" i="80"/>
  <c r="Q71" i="80"/>
  <c r="AV71" i="80"/>
  <c r="CR115" i="80"/>
  <c r="FL115" i="80"/>
  <c r="EF115" i="80"/>
  <c r="BL115" i="80"/>
  <c r="Q115" i="80"/>
  <c r="CZ71" i="80"/>
  <c r="CZ214" i="80"/>
  <c r="Q200" i="80"/>
  <c r="EG200" i="80"/>
  <c r="AW200" i="80"/>
  <c r="BM200" i="80"/>
  <c r="BU200" i="80"/>
  <c r="DA200" i="80"/>
  <c r="Y200" i="80"/>
  <c r="X252" i="80"/>
  <c r="CR252" i="80"/>
  <c r="EV252" i="80"/>
  <c r="AF252" i="80"/>
  <c r="BM252" i="80"/>
  <c r="DI252" i="80"/>
  <c r="CS113" i="80"/>
  <c r="BT113" i="80"/>
  <c r="FL113" i="80"/>
  <c r="Q113" i="80"/>
  <c r="X113" i="80"/>
  <c r="BD113" i="80"/>
  <c r="EV200" i="80"/>
  <c r="EG254" i="80"/>
  <c r="DH115" i="80"/>
  <c r="FF270" i="80"/>
  <c r="BL29" i="80"/>
  <c r="BL30" i="80" s="1"/>
  <c r="BL403" i="80" s="1"/>
  <c r="EF254" i="80"/>
  <c r="DH254" i="80"/>
  <c r="DI200" i="80"/>
  <c r="CS252" i="80"/>
  <c r="EO29" i="80"/>
  <c r="EO30" i="80" s="1"/>
  <c r="EO403" i="80" s="1"/>
  <c r="BM29" i="80"/>
  <c r="BM30" i="80" s="1"/>
  <c r="BM403" i="80" s="1"/>
  <c r="AO214" i="80"/>
  <c r="BD214" i="80"/>
  <c r="CJ214" i="80"/>
  <c r="DP214" i="80"/>
  <c r="AW214" i="80"/>
  <c r="BT25" i="80"/>
  <c r="BT401" i="80" s="1"/>
  <c r="CR25" i="80"/>
  <c r="CR401" i="80" s="1"/>
  <c r="EF25" i="80"/>
  <c r="EF401" i="80" s="1"/>
  <c r="P25" i="80"/>
  <c r="P401" i="80" s="1"/>
  <c r="BD25" i="80"/>
  <c r="BD401" i="80" s="1"/>
  <c r="FL71" i="80"/>
  <c r="Q141" i="80"/>
  <c r="CS141" i="80"/>
  <c r="DH141" i="80"/>
  <c r="EF141" i="80"/>
  <c r="P141" i="80"/>
  <c r="BL141" i="80"/>
  <c r="FL141" i="80"/>
  <c r="X141" i="80"/>
  <c r="FE71" i="80"/>
  <c r="EW182" i="80"/>
  <c r="EF214" i="80"/>
  <c r="DH307" i="80"/>
  <c r="CR307" i="80"/>
  <c r="FM306" i="79"/>
  <c r="FM268" i="79"/>
  <c r="FF129" i="79"/>
  <c r="FD268" i="79"/>
  <c r="EN177" i="79"/>
  <c r="EN23" i="79"/>
  <c r="EN399" i="79" s="1"/>
  <c r="FL23" i="79"/>
  <c r="FL399" i="79" s="1"/>
  <c r="FE250" i="79"/>
  <c r="DX58" i="79"/>
  <c r="EO177" i="79"/>
  <c r="DX229" i="79"/>
  <c r="DP229" i="79"/>
  <c r="CK25" i="79"/>
  <c r="CK401" i="79" s="1"/>
  <c r="DJ141" i="79"/>
  <c r="DJ99" i="79"/>
  <c r="CZ73" i="79"/>
  <c r="DZ129" i="79"/>
  <c r="DH227" i="79"/>
  <c r="CS242" i="79"/>
  <c r="CT141" i="79"/>
  <c r="BU306" i="79"/>
  <c r="X98" i="79"/>
  <c r="AF98" i="79"/>
  <c r="BU98" i="79"/>
  <c r="AV98" i="79"/>
  <c r="CK98" i="79"/>
  <c r="CZ98" i="79"/>
  <c r="FM98" i="79"/>
  <c r="D38" i="35"/>
  <c r="EN230" i="80"/>
  <c r="EO230" i="80"/>
  <c r="DY230" i="80"/>
  <c r="DI230" i="80"/>
  <c r="DX230" i="80"/>
  <c r="DQ230" i="80"/>
  <c r="DA230" i="80"/>
  <c r="EG230" i="80"/>
  <c r="CZ230" i="80"/>
  <c r="AO230" i="80"/>
  <c r="BU230" i="80"/>
  <c r="BM230" i="80"/>
  <c r="AV230" i="80"/>
  <c r="AW230" i="80"/>
  <c r="BE230" i="80"/>
  <c r="P230" i="80"/>
  <c r="FK490" i="80"/>
  <c r="DW490" i="80"/>
  <c r="FC490" i="80"/>
  <c r="EU490" i="80"/>
  <c r="EM490" i="80"/>
  <c r="EE490" i="80"/>
  <c r="DG490" i="80"/>
  <c r="DO490" i="80"/>
  <c r="CY490" i="80"/>
  <c r="CQ490" i="80"/>
  <c r="AU490" i="80"/>
  <c r="BS490" i="80"/>
  <c r="BK490" i="80"/>
  <c r="BC490" i="80"/>
  <c r="CI490" i="80"/>
  <c r="CA490" i="80"/>
  <c r="AM490" i="80"/>
  <c r="AE490" i="80"/>
  <c r="O490" i="80"/>
  <c r="W490" i="80"/>
  <c r="FM244" i="80"/>
  <c r="AN29" i="79"/>
  <c r="AN30" i="79" s="1"/>
  <c r="DY29" i="79"/>
  <c r="DY30" i="79" s="1"/>
  <c r="FK298" i="80"/>
  <c r="FD250" i="80"/>
  <c r="FE250" i="80"/>
  <c r="FD278" i="80"/>
  <c r="FC281" i="80"/>
  <c r="EV180" i="80"/>
  <c r="FL244" i="80"/>
  <c r="EV295" i="80"/>
  <c r="EW295" i="80"/>
  <c r="EU298" i="80"/>
  <c r="FK77" i="80"/>
  <c r="FD279" i="80"/>
  <c r="FE279" i="80"/>
  <c r="FM230" i="80"/>
  <c r="L46" i="80"/>
  <c r="FM89" i="80"/>
  <c r="FN89" i="80" s="1"/>
  <c r="EG89" i="80"/>
  <c r="DY89" i="80"/>
  <c r="DI89" i="80"/>
  <c r="DA89" i="80"/>
  <c r="DQ89" i="80"/>
  <c r="CS89" i="80"/>
  <c r="DP89" i="80"/>
  <c r="CC89" i="80"/>
  <c r="BM89" i="80"/>
  <c r="AN89" i="80"/>
  <c r="BT89" i="80"/>
  <c r="AG89" i="80"/>
  <c r="BU89" i="80"/>
  <c r="AF89" i="80"/>
  <c r="AW89" i="80"/>
  <c r="AO89" i="80"/>
  <c r="P89" i="80"/>
  <c r="Q89" i="80"/>
  <c r="BD89" i="80"/>
  <c r="AV89" i="80"/>
  <c r="FD123" i="80"/>
  <c r="EF230" i="80"/>
  <c r="DX180" i="80"/>
  <c r="EN229" i="80"/>
  <c r="DX89" i="80"/>
  <c r="EG213" i="80"/>
  <c r="DH189" i="80"/>
  <c r="EG194" i="80"/>
  <c r="CR89" i="80"/>
  <c r="DP96" i="80"/>
  <c r="CR142" i="80"/>
  <c r="DZ99" i="80"/>
  <c r="EN123" i="80"/>
  <c r="CZ213" i="80"/>
  <c r="CJ213" i="80"/>
  <c r="CJ189" i="80"/>
  <c r="CJ132" i="80"/>
  <c r="CB123" i="80"/>
  <c r="BL89" i="80"/>
  <c r="AF229" i="80"/>
  <c r="CK244" i="80"/>
  <c r="CK89" i="80"/>
  <c r="AW244" i="80"/>
  <c r="G13" i="70"/>
  <c r="V176" i="79"/>
  <c r="W176" i="79" s="1"/>
  <c r="Y97" i="80"/>
  <c r="AF98" i="80"/>
  <c r="Q244" i="80"/>
  <c r="BU123" i="80"/>
  <c r="AO97" i="80"/>
  <c r="Q242" i="80"/>
  <c r="AH297" i="80"/>
  <c r="P22" i="80"/>
  <c r="P398" i="80" s="1"/>
  <c r="AV96" i="80"/>
  <c r="FC313" i="79"/>
  <c r="AP99" i="80"/>
  <c r="FM252" i="79"/>
  <c r="FE126" i="79"/>
  <c r="EV112" i="79"/>
  <c r="EW112" i="79"/>
  <c r="BD96" i="80"/>
  <c r="FM24" i="79"/>
  <c r="FM400" i="79" s="1"/>
  <c r="FL310" i="79"/>
  <c r="FM310" i="79"/>
  <c r="EF276" i="79"/>
  <c r="DH252" i="79"/>
  <c r="CB132" i="79"/>
  <c r="DP252" i="79"/>
  <c r="CC296" i="79"/>
  <c r="CR252" i="79"/>
  <c r="DA71" i="79"/>
  <c r="CS256" i="79"/>
  <c r="BT184" i="79"/>
  <c r="BL252" i="79"/>
  <c r="BD16" i="79"/>
  <c r="BD410" i="79" s="1"/>
  <c r="AN296" i="79"/>
  <c r="BT97" i="79"/>
  <c r="BD97" i="79"/>
  <c r="AG97" i="79"/>
  <c r="AG256" i="79"/>
  <c r="CR24" i="79"/>
  <c r="CR400" i="79" s="1"/>
  <c r="Y276" i="79"/>
  <c r="CB296" i="79"/>
  <c r="AF276" i="79"/>
  <c r="P276" i="79"/>
  <c r="BE16" i="79"/>
  <c r="BE410" i="79" s="1"/>
  <c r="X71" i="79"/>
  <c r="Q16" i="79"/>
  <c r="Q410" i="79" s="1"/>
  <c r="X256" i="79"/>
  <c r="BU212" i="80"/>
  <c r="BD256" i="80"/>
  <c r="BL268" i="80"/>
  <c r="AH130" i="80"/>
  <c r="EW177" i="79"/>
  <c r="EN250" i="79"/>
  <c r="DY194" i="79"/>
  <c r="DY229" i="79"/>
  <c r="DP87" i="79"/>
  <c r="CJ229" i="79"/>
  <c r="CR211" i="79"/>
  <c r="CR92" i="79"/>
  <c r="EN306" i="79"/>
  <c r="BU242" i="79"/>
  <c r="BM306" i="79"/>
  <c r="DH268" i="79"/>
  <c r="BU90" i="79"/>
  <c r="BE192" i="79"/>
  <c r="DI229" i="79"/>
  <c r="Q192" i="79"/>
  <c r="DY244" i="80"/>
  <c r="DA244" i="80"/>
  <c r="CC244" i="80"/>
  <c r="BD244" i="80"/>
  <c r="CB244" i="80"/>
  <c r="AV244" i="80"/>
  <c r="BE244" i="80"/>
  <c r="AO244" i="80"/>
  <c r="Y244" i="80"/>
  <c r="EV194" i="80"/>
  <c r="EW194" i="80"/>
  <c r="DY194" i="80"/>
  <c r="CS194" i="80"/>
  <c r="CR194" i="80"/>
  <c r="CC194" i="80"/>
  <c r="BL194" i="80"/>
  <c r="AG194" i="80"/>
  <c r="Q194" i="80"/>
  <c r="Y194" i="80"/>
  <c r="P194" i="80"/>
  <c r="CS29" i="79"/>
  <c r="CS30" i="79" s="1"/>
  <c r="O375" i="80"/>
  <c r="EN180" i="80"/>
  <c r="EO180" i="80"/>
  <c r="EG180" i="80"/>
  <c r="DI180" i="80"/>
  <c r="BM180" i="80"/>
  <c r="EW125" i="80"/>
  <c r="EV125" i="80"/>
  <c r="EU133" i="80"/>
  <c r="EV154" i="80"/>
  <c r="EW154" i="80"/>
  <c r="FD29" i="79"/>
  <c r="FL90" i="80"/>
  <c r="FM90" i="80"/>
  <c r="FK93" i="80"/>
  <c r="DX194" i="80"/>
  <c r="DX213" i="80"/>
  <c r="DH230" i="80"/>
  <c r="EG189" i="80"/>
  <c r="EF180" i="80"/>
  <c r="DH89" i="80"/>
  <c r="DX22" i="80"/>
  <c r="DX398" i="80" s="1"/>
  <c r="CZ89" i="80"/>
  <c r="CZ229" i="80"/>
  <c r="EF194" i="80"/>
  <c r="DQ142" i="80"/>
  <c r="CZ242" i="80"/>
  <c r="CC22" i="80"/>
  <c r="CC398" i="80" s="1"/>
  <c r="CB229" i="80"/>
  <c r="BL242" i="80"/>
  <c r="AN189" i="80"/>
  <c r="CB213" i="80"/>
  <c r="CB132" i="80"/>
  <c r="AF123" i="80"/>
  <c r="CJ244" i="80"/>
  <c r="BL213" i="80"/>
  <c r="CK123" i="80"/>
  <c r="BT230" i="80"/>
  <c r="BL230" i="80"/>
  <c r="BD180" i="80"/>
  <c r="BL98" i="80"/>
  <c r="AF194" i="80"/>
  <c r="Y22" i="80"/>
  <c r="Y398" i="80" s="1"/>
  <c r="FD310" i="79"/>
  <c r="FE310" i="79"/>
  <c r="Q132" i="80"/>
  <c r="BE96" i="80"/>
  <c r="AN97" i="80"/>
  <c r="CC230" i="80"/>
  <c r="BE89" i="80"/>
  <c r="G420" i="79"/>
  <c r="G425" i="79"/>
  <c r="AN194" i="80"/>
  <c r="X189" i="80"/>
  <c r="FM184" i="79"/>
  <c r="DQ184" i="79"/>
  <c r="DY184" i="79"/>
  <c r="EO184" i="79"/>
  <c r="BU184" i="79"/>
  <c r="CC184" i="79"/>
  <c r="Y184" i="79"/>
  <c r="DY252" i="79"/>
  <c r="EO252" i="79"/>
  <c r="FE252" i="79"/>
  <c r="EF252" i="79"/>
  <c r="DQ252" i="79"/>
  <c r="EG252" i="79"/>
  <c r="BU252" i="79"/>
  <c r="BE252" i="79"/>
  <c r="CS252" i="79"/>
  <c r="BM252" i="79"/>
  <c r="Q252" i="79"/>
  <c r="Y252" i="79"/>
  <c r="I26" i="70"/>
  <c r="AT180" i="79"/>
  <c r="AU180" i="79" s="1"/>
  <c r="AW194" i="80"/>
  <c r="Q213" i="80"/>
  <c r="FE296" i="79"/>
  <c r="EF296" i="79"/>
  <c r="DH184" i="79"/>
  <c r="BU132" i="79"/>
  <c r="EW252" i="79"/>
  <c r="DH276" i="79"/>
  <c r="EW71" i="79"/>
  <c r="BU71" i="79"/>
  <c r="DR125" i="79"/>
  <c r="DI24" i="79"/>
  <c r="DI400" i="79" s="1"/>
  <c r="AF97" i="79"/>
  <c r="CJ256" i="79"/>
  <c r="AO252" i="79"/>
  <c r="CJ97" i="79"/>
  <c r="AP99" i="79"/>
  <c r="P252" i="79"/>
  <c r="CR256" i="79"/>
  <c r="CB276" i="79"/>
  <c r="AP114" i="79"/>
  <c r="DI184" i="79"/>
  <c r="CC256" i="79"/>
  <c r="AO256" i="79"/>
  <c r="AF256" i="79"/>
  <c r="X252" i="79"/>
  <c r="X276" i="79"/>
  <c r="X132" i="79"/>
  <c r="G52" i="80"/>
  <c r="G79" i="80" s="1"/>
  <c r="Q46" i="35"/>
  <c r="Q49" i="35" s="1"/>
  <c r="FL104" i="80"/>
  <c r="FL201" i="80"/>
  <c r="EW201" i="80"/>
  <c r="EG104" i="80"/>
  <c r="DQ212" i="80"/>
  <c r="DH104" i="80"/>
  <c r="DA212" i="80"/>
  <c r="DA67" i="80"/>
  <c r="CS201" i="80"/>
  <c r="CD142" i="80"/>
  <c r="AF256" i="80"/>
  <c r="AN104" i="80"/>
  <c r="FL232" i="79"/>
  <c r="DX307" i="79"/>
  <c r="EN270" i="79"/>
  <c r="EV270" i="79"/>
  <c r="FD73" i="79"/>
  <c r="EN268" i="79"/>
  <c r="EF23" i="79"/>
  <c r="EF399" i="79" s="1"/>
  <c r="DX268" i="79"/>
  <c r="DX25" i="79"/>
  <c r="DX401" i="79" s="1"/>
  <c r="DH255" i="79"/>
  <c r="EO192" i="79"/>
  <c r="EO255" i="79"/>
  <c r="EF246" i="79"/>
  <c r="CJ70" i="79"/>
  <c r="DA58" i="79"/>
  <c r="FL306" i="79"/>
  <c r="EF177" i="79"/>
  <c r="CJ227" i="79"/>
  <c r="DH90" i="79"/>
  <c r="CT245" i="79"/>
  <c r="CB232" i="79"/>
  <c r="CR232" i="79"/>
  <c r="BU192" i="79"/>
  <c r="Y270" i="79"/>
  <c r="AG98" i="79"/>
  <c r="AN98" i="79"/>
  <c r="DP98" i="79"/>
  <c r="EO98" i="79"/>
  <c r="EN98" i="79"/>
  <c r="EW98" i="79"/>
  <c r="FL98" i="79"/>
  <c r="DZ180" i="79"/>
  <c r="DA29" i="79"/>
  <c r="DA30" i="79" s="1"/>
  <c r="CY30" i="79"/>
  <c r="FL180" i="80"/>
  <c r="DX29" i="79"/>
  <c r="DW30" i="79"/>
  <c r="FL193" i="80"/>
  <c r="Y29" i="79"/>
  <c r="Y30" i="79" s="1"/>
  <c r="EV98" i="80"/>
  <c r="FE98" i="80"/>
  <c r="EW98" i="80"/>
  <c r="EO98" i="80"/>
  <c r="EG98" i="80"/>
  <c r="DA98" i="80"/>
  <c r="CR98" i="80"/>
  <c r="AG98" i="80"/>
  <c r="CB98" i="80"/>
  <c r="CC98" i="80"/>
  <c r="BM98" i="80"/>
  <c r="BD98" i="80"/>
  <c r="Y98" i="80"/>
  <c r="AN98" i="80"/>
  <c r="Q98" i="80"/>
  <c r="P98" i="80"/>
  <c r="FE96" i="80"/>
  <c r="EW96" i="80"/>
  <c r="EV96" i="80"/>
  <c r="EO96" i="80"/>
  <c r="DA96" i="80"/>
  <c r="CR96" i="80"/>
  <c r="DY96" i="80"/>
  <c r="CS96" i="80"/>
  <c r="AN96" i="80"/>
  <c r="BU96" i="80"/>
  <c r="BL96" i="80"/>
  <c r="BM96" i="80"/>
  <c r="CC96" i="80"/>
  <c r="CB96" i="80"/>
  <c r="AO96" i="80"/>
  <c r="Y96" i="80"/>
  <c r="X96" i="80"/>
  <c r="FM98" i="80"/>
  <c r="FM194" i="80"/>
  <c r="CR29" i="79"/>
  <c r="EW97" i="80"/>
  <c r="DY97" i="80"/>
  <c r="DI97" i="80"/>
  <c r="EF97" i="80"/>
  <c r="EG97" i="80"/>
  <c r="DQ97" i="80"/>
  <c r="DH97" i="80"/>
  <c r="CC97" i="80"/>
  <c r="CR97" i="80"/>
  <c r="CS97" i="80"/>
  <c r="CB97" i="80"/>
  <c r="BU97" i="80"/>
  <c r="BT97" i="80"/>
  <c r="BL97" i="80"/>
  <c r="BM97" i="80"/>
  <c r="X97" i="80"/>
  <c r="BE97" i="80"/>
  <c r="FM18" i="80"/>
  <c r="FM412" i="80" s="1"/>
  <c r="EW180" i="80"/>
  <c r="FM180" i="80"/>
  <c r="FE18" i="80"/>
  <c r="FE412" i="80" s="1"/>
  <c r="FD18" i="80"/>
  <c r="FD412" i="80" s="1"/>
  <c r="FC19" i="80"/>
  <c r="FD125" i="80"/>
  <c r="FE125" i="80"/>
  <c r="FC133" i="80"/>
  <c r="FD98" i="80"/>
  <c r="EN22" i="80"/>
  <c r="EN398" i="80" s="1"/>
  <c r="FE229" i="80"/>
  <c r="FE22" i="80"/>
  <c r="FE398" i="80" s="1"/>
  <c r="FM193" i="80"/>
  <c r="FE213" i="80"/>
  <c r="FD90" i="80"/>
  <c r="FE90" i="80"/>
  <c r="FC93" i="80"/>
  <c r="BM29" i="79"/>
  <c r="BM30" i="79" s="1"/>
  <c r="FE89" i="80"/>
  <c r="EF89" i="80"/>
  <c r="EF96" i="80"/>
  <c r="EF242" i="80"/>
  <c r="FM142" i="80"/>
  <c r="FN142" i="80" s="1"/>
  <c r="DP132" i="80"/>
  <c r="CS189" i="80"/>
  <c r="DX123" i="80"/>
  <c r="DA97" i="80"/>
  <c r="CZ98" i="80"/>
  <c r="DP142" i="80"/>
  <c r="CJ97" i="80"/>
  <c r="CZ132" i="80"/>
  <c r="EH120" i="80"/>
  <c r="EN242" i="80"/>
  <c r="DI98" i="80"/>
  <c r="CJ242" i="80"/>
  <c r="CB22" i="80"/>
  <c r="CB398" i="80" s="1"/>
  <c r="BL142" i="80"/>
  <c r="CJ229" i="80"/>
  <c r="BD230" i="80"/>
  <c r="CJ123" i="80"/>
  <c r="BL229" i="80"/>
  <c r="BT123" i="80"/>
  <c r="BL123" i="80"/>
  <c r="BD97" i="80"/>
  <c r="BE180" i="80"/>
  <c r="AW98" i="80"/>
  <c r="AG213" i="80"/>
  <c r="AP296" i="80"/>
  <c r="X244" i="80"/>
  <c r="BM123" i="80"/>
  <c r="H13" i="70"/>
  <c r="AL176" i="79"/>
  <c r="AM176" i="79" s="1"/>
  <c r="AO194" i="80"/>
  <c r="Y189" i="80"/>
  <c r="FD126" i="79"/>
  <c r="EO296" i="79"/>
  <c r="DX296" i="79"/>
  <c r="EW296" i="79"/>
  <c r="EV296" i="79"/>
  <c r="DY296" i="79"/>
  <c r="DQ296" i="79"/>
  <c r="FD296" i="79"/>
  <c r="DA296" i="79"/>
  <c r="AO296" i="79"/>
  <c r="AG296" i="79"/>
  <c r="DP296" i="79"/>
  <c r="AO213" i="80"/>
  <c r="AF97" i="80"/>
  <c r="FE16" i="79"/>
  <c r="FE410" i="79" s="1"/>
  <c r="FD245" i="79"/>
  <c r="FF245" i="79" s="1"/>
  <c r="FD112" i="79"/>
  <c r="FE112" i="79"/>
  <c r="AN244" i="80"/>
  <c r="EN252" i="79"/>
  <c r="FE256" i="79"/>
  <c r="DI71" i="79"/>
  <c r="CJ296" i="79"/>
  <c r="EV276" i="79"/>
  <c r="DI276" i="79"/>
  <c r="BM256" i="79"/>
  <c r="EN16" i="79"/>
  <c r="EN410" i="79" s="1"/>
  <c r="BL97" i="79"/>
  <c r="DH24" i="79"/>
  <c r="DH400" i="79" s="1"/>
  <c r="CZ296" i="79"/>
  <c r="CK256" i="79"/>
  <c r="BT16" i="79"/>
  <c r="BT410" i="79" s="1"/>
  <c r="AV256" i="79"/>
  <c r="AF71" i="79"/>
  <c r="AF252" i="79"/>
  <c r="X296" i="79"/>
  <c r="P256" i="79"/>
  <c r="R256" i="79" s="1"/>
  <c r="CR276" i="79"/>
  <c r="CZ256" i="79"/>
  <c r="AN256" i="79"/>
  <c r="FE212" i="80"/>
  <c r="FD201" i="80"/>
  <c r="FF124" i="80"/>
  <c r="EF104" i="80"/>
  <c r="DP72" i="80"/>
  <c r="CZ212" i="80"/>
  <c r="DB294" i="80"/>
  <c r="CJ212" i="80"/>
  <c r="CB112" i="80"/>
  <c r="BN107" i="80"/>
  <c r="BE268" i="80"/>
  <c r="BM255" i="80"/>
  <c r="BN255" i="80" s="1"/>
  <c r="AF112" i="80"/>
  <c r="BE112" i="80"/>
  <c r="AW256" i="80"/>
  <c r="AX256" i="80" s="1"/>
  <c r="Q112" i="80"/>
  <c r="AF268" i="80"/>
  <c r="FM58" i="79"/>
  <c r="FE241" i="79"/>
  <c r="FF125" i="79"/>
  <c r="EO73" i="79"/>
  <c r="AH120" i="80"/>
  <c r="FM305" i="79"/>
  <c r="EN307" i="79"/>
  <c r="EW270" i="79"/>
  <c r="FL270" i="79"/>
  <c r="EF232" i="79"/>
  <c r="DP242" i="79"/>
  <c r="EW23" i="79"/>
  <c r="EW399" i="79" s="1"/>
  <c r="FD192" i="79"/>
  <c r="EN58" i="79"/>
  <c r="EF229" i="79"/>
  <c r="EN227" i="79"/>
  <c r="EO231" i="79"/>
  <c r="EF255" i="79"/>
  <c r="DX232" i="79"/>
  <c r="EV192" i="79"/>
  <c r="FL255" i="79"/>
  <c r="DH58" i="79"/>
  <c r="CJ211" i="79"/>
  <c r="CZ227" i="79"/>
  <c r="CJ73" i="79"/>
  <c r="BV99" i="79"/>
  <c r="BE229" i="79"/>
  <c r="AW307" i="79"/>
  <c r="BE232" i="79"/>
  <c r="DI23" i="79"/>
  <c r="DI399" i="79" s="1"/>
  <c r="BD98" i="79"/>
  <c r="BT98" i="79"/>
  <c r="DX98" i="79"/>
  <c r="CB98" i="79"/>
  <c r="DQ98" i="79"/>
  <c r="EF98" i="79"/>
  <c r="Q106" i="79"/>
  <c r="BL106" i="79"/>
  <c r="CB106" i="79"/>
  <c r="CD106" i="79" s="1"/>
  <c r="CZ106" i="79"/>
  <c r="FL106" i="79"/>
  <c r="FF180" i="79"/>
  <c r="FL22" i="80"/>
  <c r="FL398" i="80" s="1"/>
  <c r="L40" i="80"/>
  <c r="L42" i="80"/>
  <c r="FM229" i="80"/>
  <c r="L37" i="80"/>
  <c r="BD29" i="79"/>
  <c r="FL97" i="80"/>
  <c r="FL125" i="80"/>
  <c r="FM125" i="80"/>
  <c r="FK133" i="80"/>
  <c r="FD142" i="80"/>
  <c r="FF142" i="80" s="1"/>
  <c r="EO89" i="80"/>
  <c r="FD229" i="80"/>
  <c r="EN96" i="80"/>
  <c r="FM213" i="80"/>
  <c r="EW132" i="80"/>
  <c r="EG132" i="80"/>
  <c r="DY132" i="80"/>
  <c r="EF132" i="80"/>
  <c r="DQ132" i="80"/>
  <c r="CS132" i="80"/>
  <c r="CR132" i="80"/>
  <c r="DA132" i="80"/>
  <c r="EN132" i="80"/>
  <c r="BU132" i="80"/>
  <c r="BL132" i="80"/>
  <c r="CC132" i="80"/>
  <c r="BM132" i="80"/>
  <c r="EN194" i="80"/>
  <c r="FM96" i="80"/>
  <c r="FD242" i="80"/>
  <c r="DX242" i="80"/>
  <c r="EG242" i="80"/>
  <c r="DY242" i="80"/>
  <c r="EO242" i="80"/>
  <c r="CC242" i="80"/>
  <c r="DI242" i="80"/>
  <c r="BU242" i="80"/>
  <c r="CK242" i="80"/>
  <c r="Y242" i="80"/>
  <c r="X242" i="80"/>
  <c r="FE97" i="80"/>
  <c r="FE132" i="80"/>
  <c r="EW89" i="80"/>
  <c r="DP230" i="80"/>
  <c r="EF98" i="80"/>
  <c r="DX97" i="80"/>
  <c r="DI194" i="80"/>
  <c r="EO132" i="80"/>
  <c r="DI244" i="80"/>
  <c r="CZ123" i="80"/>
  <c r="DB123" i="80" s="1"/>
  <c r="CB242" i="80"/>
  <c r="CS180" i="80"/>
  <c r="DQ242" i="80"/>
  <c r="DA213" i="80"/>
  <c r="DH194" i="80"/>
  <c r="EN89" i="80"/>
  <c r="DP229" i="80"/>
  <c r="DH98" i="80"/>
  <c r="BT22" i="80"/>
  <c r="BT398" i="80" s="1"/>
  <c r="CB230" i="80"/>
  <c r="CL107" i="80"/>
  <c r="BD194" i="80"/>
  <c r="CB89" i="80"/>
  <c r="FK483" i="79"/>
  <c r="EU483" i="79"/>
  <c r="EE483" i="79"/>
  <c r="CY483" i="79"/>
  <c r="FC483" i="79"/>
  <c r="EM483" i="79"/>
  <c r="DO483" i="79"/>
  <c r="DW483" i="79"/>
  <c r="DG483" i="79"/>
  <c r="CA483" i="79"/>
  <c r="BK483" i="79"/>
  <c r="W483" i="79"/>
  <c r="CQ483" i="79"/>
  <c r="AU483" i="79"/>
  <c r="AM483" i="79"/>
  <c r="BS483" i="79"/>
  <c r="BC483" i="79"/>
  <c r="CI483" i="79"/>
  <c r="AE483" i="79"/>
  <c r="O483" i="79"/>
  <c r="AG142" i="80"/>
  <c r="BE229" i="80"/>
  <c r="AX305" i="80"/>
  <c r="AH309" i="80"/>
  <c r="AF96" i="80"/>
  <c r="FL189" i="79"/>
  <c r="FM189" i="79"/>
  <c r="FD132" i="79"/>
  <c r="DY132" i="79"/>
  <c r="CK132" i="79"/>
  <c r="AV132" i="79"/>
  <c r="CC132" i="79"/>
  <c r="DA132" i="79"/>
  <c r="DH132" i="79"/>
  <c r="AW132" i="79"/>
  <c r="P132" i="79"/>
  <c r="Q132" i="79"/>
  <c r="AG97" i="80"/>
  <c r="FD16" i="79"/>
  <c r="FD410" i="79" s="1"/>
  <c r="EV184" i="79"/>
  <c r="EN276" i="79"/>
  <c r="DI132" i="79"/>
  <c r="DH97" i="79"/>
  <c r="DI97" i="79"/>
  <c r="CB97" i="79"/>
  <c r="BU97" i="79"/>
  <c r="BE97" i="79"/>
  <c r="CS97" i="79"/>
  <c r="BM97" i="79"/>
  <c r="Q97" i="79"/>
  <c r="AO97" i="79"/>
  <c r="FE120" i="79"/>
  <c r="FF120" i="79" s="1"/>
  <c r="FD256" i="79"/>
  <c r="DQ71" i="79"/>
  <c r="EG71" i="79"/>
  <c r="CC71" i="79"/>
  <c r="AW71" i="79"/>
  <c r="AO71" i="79"/>
  <c r="AN71" i="79"/>
  <c r="Q71" i="79"/>
  <c r="P71" i="79"/>
  <c r="FE276" i="79"/>
  <c r="EF132" i="79"/>
  <c r="DX184" i="79"/>
  <c r="EW256" i="79"/>
  <c r="EX256" i="79" s="1"/>
  <c r="CC97" i="79"/>
  <c r="FL252" i="79"/>
  <c r="CB71" i="79"/>
  <c r="AW256" i="79"/>
  <c r="CJ16" i="79"/>
  <c r="CJ410" i="79" s="1"/>
  <c r="AV296" i="79"/>
  <c r="AG71" i="79"/>
  <c r="X16" i="79"/>
  <c r="X410" i="79" s="1"/>
  <c r="DA24" i="79"/>
  <c r="DA400" i="79" s="1"/>
  <c r="AG252" i="79"/>
  <c r="P16" i="79"/>
  <c r="P410" i="79" s="1"/>
  <c r="AG16" i="79"/>
  <c r="AG410" i="79" s="1"/>
  <c r="Y132" i="79"/>
  <c r="BT132" i="79"/>
  <c r="CK296" i="79"/>
  <c r="BD276" i="79"/>
  <c r="Y71" i="79"/>
  <c r="AN132" i="79"/>
  <c r="AG132" i="79"/>
  <c r="H63" i="36"/>
  <c r="H64" i="36" s="1"/>
  <c r="CS268" i="80"/>
  <c r="CR255" i="80"/>
  <c r="CS104" i="80"/>
  <c r="CC201" i="80"/>
  <c r="BD212" i="80"/>
  <c r="BL201" i="80"/>
  <c r="Y201" i="80"/>
  <c r="L38" i="79"/>
  <c r="FD309" i="79"/>
  <c r="FD270" i="79"/>
  <c r="FF270" i="79" s="1"/>
  <c r="DX242" i="79"/>
  <c r="DY23" i="79"/>
  <c r="DY399" i="79" s="1"/>
  <c r="FE23" i="79"/>
  <c r="FE399" i="79" s="1"/>
  <c r="FD107" i="79"/>
  <c r="EN70" i="79"/>
  <c r="DP194" i="79"/>
  <c r="EN192" i="79"/>
  <c r="EG192" i="79"/>
  <c r="DI192" i="79"/>
  <c r="FL192" i="79"/>
  <c r="FM90" i="79"/>
  <c r="DX87" i="79"/>
  <c r="CK192" i="79"/>
  <c r="DH211" i="79"/>
  <c r="CS270" i="79"/>
  <c r="CB90" i="79"/>
  <c r="BN141" i="79"/>
  <c r="BM192" i="79"/>
  <c r="Q98" i="79"/>
  <c r="BL98" i="79"/>
  <c r="BE98" i="79"/>
  <c r="CC98" i="79"/>
  <c r="CS98" i="79"/>
  <c r="CT98" i="79" s="1"/>
  <c r="DY98" i="79"/>
  <c r="EV98" i="79"/>
  <c r="I125" i="70"/>
  <c r="FL188" i="80"/>
  <c r="FM188" i="80"/>
  <c r="EW123" i="80"/>
  <c r="FM123" i="80"/>
  <c r="DY123" i="80"/>
  <c r="DI123" i="80"/>
  <c r="DQ123" i="80"/>
  <c r="DH123" i="80"/>
  <c r="CR123" i="80"/>
  <c r="CS123" i="80"/>
  <c r="AG123" i="80"/>
  <c r="P123" i="80"/>
  <c r="FE139" i="80"/>
  <c r="FD139" i="80"/>
  <c r="FC143" i="80"/>
  <c r="EW246" i="80"/>
  <c r="EV246" i="80"/>
  <c r="EV123" i="80"/>
  <c r="DI189" i="80"/>
  <c r="EF189" i="80"/>
  <c r="DY189" i="80"/>
  <c r="BE189" i="80"/>
  <c r="AO189" i="80"/>
  <c r="EU156" i="80"/>
  <c r="P29" i="79"/>
  <c r="FE230" i="80"/>
  <c r="FD230" i="80"/>
  <c r="FC235" i="80"/>
  <c r="EW213" i="80"/>
  <c r="EN213" i="80"/>
  <c r="EO213" i="80"/>
  <c r="DQ213" i="80"/>
  <c r="EF213" i="80"/>
  <c r="DP213" i="80"/>
  <c r="CC213" i="80"/>
  <c r="BU213" i="80"/>
  <c r="BM213" i="80"/>
  <c r="AV213" i="80"/>
  <c r="AF213" i="80"/>
  <c r="AW213" i="80"/>
  <c r="P213" i="80"/>
  <c r="FE123" i="80"/>
  <c r="FD189" i="80"/>
  <c r="EN142" i="80"/>
  <c r="EO189" i="80"/>
  <c r="EG142" i="80"/>
  <c r="EH142" i="80" s="1"/>
  <c r="DH96" i="80"/>
  <c r="EG123" i="80"/>
  <c r="DQ229" i="80"/>
  <c r="DH244" i="80"/>
  <c r="CZ244" i="80"/>
  <c r="CK98" i="80"/>
  <c r="DP242" i="80"/>
  <c r="CJ98" i="80"/>
  <c r="DH242" i="80"/>
  <c r="CR229" i="80"/>
  <c r="EN97" i="80"/>
  <c r="CR180" i="80"/>
  <c r="CC180" i="80"/>
  <c r="BD189" i="80"/>
  <c r="BT213" i="80"/>
  <c r="AN230" i="80"/>
  <c r="CK230" i="80"/>
  <c r="CB180" i="80"/>
  <c r="CJ194" i="80"/>
  <c r="BT242" i="80"/>
  <c r="AV194" i="80"/>
  <c r="AO229" i="80"/>
  <c r="AH58" i="80"/>
  <c r="F13" i="70"/>
  <c r="N176" i="79"/>
  <c r="O176" i="79" s="1"/>
  <c r="Y229" i="80"/>
  <c r="BD229" i="80"/>
  <c r="EW245" i="79"/>
  <c r="EV245" i="79"/>
  <c r="FC26" i="79"/>
  <c r="FC19" i="79"/>
  <c r="DP16" i="79"/>
  <c r="DP410" i="79" s="1"/>
  <c r="P229" i="80"/>
  <c r="FM16" i="79"/>
  <c r="FM410" i="79" s="1"/>
  <c r="AG180" i="80"/>
  <c r="Q230" i="80"/>
  <c r="EO16" i="79"/>
  <c r="EO410" i="79" s="1"/>
  <c r="EG296" i="79"/>
  <c r="FE132" i="79"/>
  <c r="X98" i="80"/>
  <c r="EO256" i="79"/>
  <c r="DQ256" i="79"/>
  <c r="BE256" i="79"/>
  <c r="EO276" i="79"/>
  <c r="EW276" i="79"/>
  <c r="DP276" i="79"/>
  <c r="FD276" i="79"/>
  <c r="EG276" i="79"/>
  <c r="DY276" i="79"/>
  <c r="DQ276" i="79"/>
  <c r="BT276" i="79"/>
  <c r="BM276" i="79"/>
  <c r="DA276" i="79"/>
  <c r="CJ276" i="79"/>
  <c r="BL276" i="79"/>
  <c r="BE276" i="79"/>
  <c r="AV276" i="79"/>
  <c r="AO276" i="79"/>
  <c r="CS276" i="79"/>
  <c r="BU276" i="79"/>
  <c r="CK276" i="79"/>
  <c r="AN276" i="79"/>
  <c r="AW276" i="79"/>
  <c r="Q276" i="79"/>
  <c r="DX252" i="79"/>
  <c r="EN296" i="79"/>
  <c r="BT256" i="79"/>
  <c r="BD256" i="79"/>
  <c r="CS132" i="79"/>
  <c r="CK71" i="79"/>
  <c r="AN97" i="79"/>
  <c r="CZ132" i="79"/>
  <c r="AV71" i="79"/>
  <c r="BU256" i="79"/>
  <c r="CZ71" i="79"/>
  <c r="BL256" i="79"/>
  <c r="P97" i="79"/>
  <c r="BT71" i="79"/>
  <c r="AF296" i="79"/>
  <c r="CS184" i="79"/>
  <c r="AO132" i="79"/>
  <c r="CZ72" i="80"/>
  <c r="CJ201" i="80"/>
  <c r="CR104" i="80"/>
  <c r="L37" i="79"/>
  <c r="AF212" i="80"/>
  <c r="Q104" i="80"/>
  <c r="FL194" i="79"/>
  <c r="FM309" i="79"/>
  <c r="FD306" i="79"/>
  <c r="FD58" i="79"/>
  <c r="FL25" i="79"/>
  <c r="FL401" i="79" s="1"/>
  <c r="FE177" i="79"/>
  <c r="DY254" i="79"/>
  <c r="DX23" i="79"/>
  <c r="DX399" i="79" s="1"/>
  <c r="FM23" i="79"/>
  <c r="FM399" i="79" s="1"/>
  <c r="CS192" i="79"/>
  <c r="DP192" i="79"/>
  <c r="DX73" i="79"/>
  <c r="DB125" i="79"/>
  <c r="DH92" i="79"/>
  <c r="CR25" i="79"/>
  <c r="CR401" i="79" s="1"/>
  <c r="CS90" i="79"/>
  <c r="CS306" i="79"/>
  <c r="CZ305" i="79"/>
  <c r="AW23" i="79"/>
  <c r="AW399" i="79" s="1"/>
  <c r="BN181" i="79"/>
  <c r="AX72" i="79"/>
  <c r="P98" i="79"/>
  <c r="AW98" i="79"/>
  <c r="BM98" i="79"/>
  <c r="FE98" i="79"/>
  <c r="DI98" i="79"/>
  <c r="DJ98" i="79" s="1"/>
  <c r="CJ98" i="79"/>
  <c r="FL230" i="80"/>
  <c r="FL192" i="80"/>
  <c r="FM192" i="80"/>
  <c r="EG229" i="80"/>
  <c r="DX229" i="80"/>
  <c r="DI229" i="80"/>
  <c r="EO229" i="80"/>
  <c r="EF229" i="80"/>
  <c r="DH229" i="80"/>
  <c r="CS229" i="80"/>
  <c r="DY229" i="80"/>
  <c r="DA229" i="80"/>
  <c r="BU229" i="80"/>
  <c r="CK229" i="80"/>
  <c r="BT229" i="80"/>
  <c r="CC229" i="80"/>
  <c r="BM229" i="80"/>
  <c r="AG229" i="80"/>
  <c r="Q229" i="80"/>
  <c r="FD192" i="80"/>
  <c r="FE192" i="80"/>
  <c r="CZ29" i="79"/>
  <c r="BL29" i="79"/>
  <c r="FL123" i="80"/>
  <c r="C15" i="32"/>
  <c r="C21" i="32" s="1"/>
  <c r="G77" i="26"/>
  <c r="DY22" i="80"/>
  <c r="DY398" i="80" s="1"/>
  <c r="EO22" i="80"/>
  <c r="EO398" i="80" s="1"/>
  <c r="DP22" i="80"/>
  <c r="DP398" i="80" s="1"/>
  <c r="DQ22" i="80"/>
  <c r="DQ398" i="80" s="1"/>
  <c r="BU22" i="80"/>
  <c r="BU398" i="80" s="1"/>
  <c r="BE22" i="80"/>
  <c r="BE398" i="80" s="1"/>
  <c r="AF22" i="80"/>
  <c r="AF398" i="80" s="1"/>
  <c r="AG22" i="80"/>
  <c r="AG398" i="80" s="1"/>
  <c r="J73" i="80"/>
  <c r="J73" i="79"/>
  <c r="FE189" i="80"/>
  <c r="DX142" i="80"/>
  <c r="EO142" i="80"/>
  <c r="DY142" i="80"/>
  <c r="DA142" i="80"/>
  <c r="CS142" i="80"/>
  <c r="CZ142" i="80"/>
  <c r="CK142" i="80"/>
  <c r="CJ142" i="80"/>
  <c r="BU142" i="80"/>
  <c r="BM142" i="80"/>
  <c r="Y142" i="80"/>
  <c r="X142" i="80"/>
  <c r="FC77" i="80"/>
  <c r="FM279" i="80"/>
  <c r="EV230" i="80"/>
  <c r="EW230" i="80"/>
  <c r="FD22" i="80"/>
  <c r="FD398" i="80" s="1"/>
  <c r="L41" i="80"/>
  <c r="FD89" i="80"/>
  <c r="EN98" i="80"/>
  <c r="EO194" i="80"/>
  <c r="DY180" i="80"/>
  <c r="DP123" i="80"/>
  <c r="EN189" i="80"/>
  <c r="DX244" i="80"/>
  <c r="EF123" i="80"/>
  <c r="CZ96" i="80"/>
  <c r="DH180" i="80"/>
  <c r="DA242" i="80"/>
  <c r="DQ96" i="80"/>
  <c r="CZ22" i="80"/>
  <c r="CZ398" i="80" s="1"/>
  <c r="DH132" i="80"/>
  <c r="CS98" i="80"/>
  <c r="EO123" i="80"/>
  <c r="CK213" i="80"/>
  <c r="BE98" i="80"/>
  <c r="CK189" i="80"/>
  <c r="CK132" i="80"/>
  <c r="BT96" i="80"/>
  <c r="CC123" i="80"/>
  <c r="AO98" i="80"/>
  <c r="CJ230" i="80"/>
  <c r="CJ89" i="80"/>
  <c r="CC34" i="80"/>
  <c r="BM194" i="80"/>
  <c r="X22" i="80"/>
  <c r="X398" i="80" s="1"/>
  <c r="AN229" i="80"/>
  <c r="X194" i="80"/>
  <c r="AW96" i="80"/>
  <c r="CB194" i="80"/>
  <c r="EV252" i="79"/>
  <c r="P132" i="80"/>
  <c r="EG16" i="79"/>
  <c r="EG410" i="79" s="1"/>
  <c r="DX16" i="79"/>
  <c r="DX410" i="79" s="1"/>
  <c r="DY16" i="79"/>
  <c r="DY410" i="79" s="1"/>
  <c r="DQ16" i="79"/>
  <c r="DQ410" i="79" s="1"/>
  <c r="EW16" i="79"/>
  <c r="EW410" i="79" s="1"/>
  <c r="BU16" i="79"/>
  <c r="BU410" i="79" s="1"/>
  <c r="BL16" i="79"/>
  <c r="BL410" i="79" s="1"/>
  <c r="CC16" i="79"/>
  <c r="CC410" i="79" s="1"/>
  <c r="AO16" i="79"/>
  <c r="AO410" i="79" s="1"/>
  <c r="CR16" i="79"/>
  <c r="CR410" i="79" s="1"/>
  <c r="CS16" i="79"/>
  <c r="CS410" i="79" s="1"/>
  <c r="CB16" i="79"/>
  <c r="CB410" i="79" s="1"/>
  <c r="BM16" i="79"/>
  <c r="BM410" i="79" s="1"/>
  <c r="DI16" i="79"/>
  <c r="DI410" i="79" s="1"/>
  <c r="DA16" i="79"/>
  <c r="DA410" i="79" s="1"/>
  <c r="CZ16" i="79"/>
  <c r="CZ410" i="79" s="1"/>
  <c r="CK16" i="79"/>
  <c r="CK410" i="79" s="1"/>
  <c r="AW16" i="79"/>
  <c r="AW410" i="79" s="1"/>
  <c r="Y16" i="79"/>
  <c r="Y410" i="79" s="1"/>
  <c r="EN184" i="79"/>
  <c r="AF180" i="80"/>
  <c r="BT142" i="80"/>
  <c r="FL24" i="79"/>
  <c r="FL400" i="79" s="1"/>
  <c r="EW24" i="79"/>
  <c r="EW400" i="79" s="1"/>
  <c r="DQ24" i="79"/>
  <c r="DQ400" i="79" s="1"/>
  <c r="EV24" i="79"/>
  <c r="EV400" i="79" s="1"/>
  <c r="DP24" i="79"/>
  <c r="DP400" i="79" s="1"/>
  <c r="AW24" i="79"/>
  <c r="AW400" i="79" s="1"/>
  <c r="AG24" i="79"/>
  <c r="AG400" i="79" s="1"/>
  <c r="DX132" i="79"/>
  <c r="EG256" i="79"/>
  <c r="DI252" i="79"/>
  <c r="CB256" i="79"/>
  <c r="AV16" i="79"/>
  <c r="AV410" i="79" s="1"/>
  <c r="CJ132" i="79"/>
  <c r="DP184" i="79"/>
  <c r="DA256" i="79"/>
  <c r="CC276" i="79"/>
  <c r="AV252" i="79"/>
  <c r="AW296" i="79"/>
  <c r="BT252" i="79"/>
  <c r="CB184" i="79"/>
  <c r="BD252" i="79"/>
  <c r="Y256" i="79"/>
  <c r="CS24" i="79"/>
  <c r="CS400" i="79" s="1"/>
  <c r="AW252" i="79"/>
  <c r="Q296" i="79"/>
  <c r="AG276" i="79"/>
  <c r="CR184" i="79"/>
  <c r="E32" i="36"/>
  <c r="E35" i="36" s="1"/>
  <c r="AE487" i="79"/>
  <c r="AE488" i="79" s="1"/>
  <c r="AE481" i="79"/>
  <c r="AE484" i="79" s="1"/>
  <c r="AE465" i="79" s="1"/>
  <c r="AE191" i="79" s="1"/>
  <c r="W487" i="79"/>
  <c r="W488" i="79" s="1"/>
  <c r="W481" i="79"/>
  <c r="AM487" i="79"/>
  <c r="AM488" i="79" s="1"/>
  <c r="AM481" i="79"/>
  <c r="V2" i="70"/>
  <c r="V3" i="70"/>
  <c r="J26" i="27"/>
  <c r="J302" i="85" s="1"/>
  <c r="J301" i="80"/>
  <c r="J302" i="80" s="1"/>
  <c r="J301" i="79"/>
  <c r="J302" i="79" s="1"/>
  <c r="J58" i="80"/>
  <c r="J58" i="79"/>
  <c r="L3" i="70"/>
  <c r="L2" i="70"/>
  <c r="Y2" i="70"/>
  <c r="Y3" i="70"/>
  <c r="I73" i="80"/>
  <c r="I73" i="79"/>
  <c r="FM29" i="80"/>
  <c r="FM30" i="80" s="1"/>
  <c r="FM403" i="80" s="1"/>
  <c r="FL29" i="80"/>
  <c r="FL30" i="80" s="1"/>
  <c r="FL403" i="80" s="1"/>
  <c r="FK30" i="80"/>
  <c r="FK403" i="80" s="1"/>
  <c r="EV29" i="80"/>
  <c r="EV30" i="80" s="1"/>
  <c r="EV403" i="80" s="1"/>
  <c r="EU30" i="80"/>
  <c r="EU403" i="80" s="1"/>
  <c r="I2" i="70"/>
  <c r="I3" i="70"/>
  <c r="H191" i="80"/>
  <c r="H196" i="80" s="1"/>
  <c r="H191" i="79"/>
  <c r="H196" i="79" s="1"/>
  <c r="H61" i="80"/>
  <c r="BT61" i="80" s="1"/>
  <c r="H61" i="79"/>
  <c r="CB61" i="79" s="1"/>
  <c r="FM210" i="80"/>
  <c r="EV210" i="80"/>
  <c r="FE210" i="80"/>
  <c r="EW210" i="80"/>
  <c r="EN210" i="80"/>
  <c r="EG210" i="80"/>
  <c r="EF210" i="80"/>
  <c r="EO210" i="80"/>
  <c r="DP210" i="80"/>
  <c r="DY210" i="80"/>
  <c r="DQ210" i="80"/>
  <c r="CC210" i="80"/>
  <c r="BU210" i="80"/>
  <c r="CB210" i="80"/>
  <c r="BM210" i="80"/>
  <c r="AO210" i="80"/>
  <c r="AV210" i="80"/>
  <c r="AW210" i="80"/>
  <c r="AF210" i="80"/>
  <c r="AN210" i="80"/>
  <c r="Q210" i="80"/>
  <c r="AG210" i="80"/>
  <c r="Y210" i="80"/>
  <c r="P210" i="80"/>
  <c r="FE231" i="80"/>
  <c r="FM231" i="80"/>
  <c r="EW231" i="80"/>
  <c r="EN231" i="80"/>
  <c r="EO231" i="80"/>
  <c r="EG231" i="80"/>
  <c r="DY231" i="80"/>
  <c r="DQ231" i="80"/>
  <c r="DX231" i="80"/>
  <c r="DI231" i="80"/>
  <c r="DA231" i="80"/>
  <c r="CZ231" i="80"/>
  <c r="CS231" i="80"/>
  <c r="CK231" i="80"/>
  <c r="CJ231" i="80"/>
  <c r="DP231" i="80"/>
  <c r="BU231" i="80"/>
  <c r="BT231" i="80"/>
  <c r="BD231" i="80"/>
  <c r="BE231" i="80"/>
  <c r="AO231" i="80"/>
  <c r="AN231" i="80"/>
  <c r="AW231" i="80"/>
  <c r="AV231" i="80"/>
  <c r="P231" i="80"/>
  <c r="Q231" i="80"/>
  <c r="Y231" i="80"/>
  <c r="FK235" i="80"/>
  <c r="FM73" i="80"/>
  <c r="EV73" i="80"/>
  <c r="FE73" i="80"/>
  <c r="EW73" i="80"/>
  <c r="EF73" i="80"/>
  <c r="DH73" i="80"/>
  <c r="EG73" i="80"/>
  <c r="DY73" i="80"/>
  <c r="DI73" i="80"/>
  <c r="CS73" i="80"/>
  <c r="CB73" i="80"/>
  <c r="CR73" i="80"/>
  <c r="BL73" i="80"/>
  <c r="BU73" i="80"/>
  <c r="CC73" i="80"/>
  <c r="AV73" i="80"/>
  <c r="BE73" i="80"/>
  <c r="BM73" i="80"/>
  <c r="AF73" i="80"/>
  <c r="AG73" i="80"/>
  <c r="BD73" i="80"/>
  <c r="AW73" i="80"/>
  <c r="P73" i="80"/>
  <c r="AO73" i="80"/>
  <c r="X73" i="80"/>
  <c r="Q73" i="80"/>
  <c r="AN73" i="80"/>
  <c r="EN69" i="80"/>
  <c r="EV199" i="80"/>
  <c r="CR195" i="80"/>
  <c r="BL114" i="80"/>
  <c r="BE68" i="80"/>
  <c r="BE210" i="80"/>
  <c r="CK200" i="80"/>
  <c r="BL231" i="80"/>
  <c r="AW114" i="80"/>
  <c r="EW89" i="79"/>
  <c r="EG89" i="79"/>
  <c r="DQ89" i="79"/>
  <c r="EV89" i="79"/>
  <c r="EF89" i="79"/>
  <c r="AV89" i="79"/>
  <c r="AW89" i="79"/>
  <c r="DP89" i="79"/>
  <c r="DI89" i="79"/>
  <c r="CS89" i="79"/>
  <c r="BE89" i="79"/>
  <c r="AO89" i="79"/>
  <c r="AF89" i="79"/>
  <c r="BU89" i="79"/>
  <c r="BM89" i="79"/>
  <c r="Y89" i="79"/>
  <c r="AG89" i="79"/>
  <c r="Q89" i="79"/>
  <c r="AN89" i="79"/>
  <c r="X68" i="80"/>
  <c r="FM109" i="79"/>
  <c r="FL109" i="79"/>
  <c r="FD214" i="79"/>
  <c r="EN107" i="79"/>
  <c r="EN142" i="79"/>
  <c r="EO142" i="79"/>
  <c r="EM143" i="79"/>
  <c r="EW181" i="79"/>
  <c r="EV181" i="79"/>
  <c r="DY231" i="79"/>
  <c r="FD231" i="79"/>
  <c r="AV255" i="79"/>
  <c r="BU255" i="79"/>
  <c r="BM255" i="79"/>
  <c r="BE255" i="79"/>
  <c r="DP255" i="79"/>
  <c r="AW255" i="79"/>
  <c r="AF255" i="79"/>
  <c r="AG255" i="79"/>
  <c r="EV255" i="79"/>
  <c r="AO255" i="79"/>
  <c r="Q255" i="79"/>
  <c r="X255" i="79"/>
  <c r="AN255" i="79"/>
  <c r="Y255" i="79"/>
  <c r="FD246" i="79"/>
  <c r="DQ230" i="79"/>
  <c r="CZ255" i="79"/>
  <c r="DA241" i="79"/>
  <c r="DX91" i="79"/>
  <c r="DH250" i="79"/>
  <c r="CZ246" i="79"/>
  <c r="CS25" i="79"/>
  <c r="CS401" i="79" s="1"/>
  <c r="DH213" i="79"/>
  <c r="CJ241" i="79"/>
  <c r="CK67" i="79"/>
  <c r="EV123" i="79"/>
  <c r="EW123" i="79"/>
  <c r="EU133" i="79"/>
  <c r="EN67" i="79"/>
  <c r="DH89" i="79"/>
  <c r="CJ212" i="79"/>
  <c r="CJ246" i="79"/>
  <c r="FM250" i="79"/>
  <c r="DA211" i="79"/>
  <c r="BU87" i="79"/>
  <c r="BE306" i="79"/>
  <c r="CB92" i="79"/>
  <c r="CB305" i="79"/>
  <c r="CB87" i="79"/>
  <c r="BU177" i="79"/>
  <c r="BL92" i="79"/>
  <c r="AV107" i="79"/>
  <c r="AV177" i="79"/>
  <c r="CB70" i="79"/>
  <c r="AO307" i="79"/>
  <c r="DH23" i="79"/>
  <c r="DH399" i="79" s="1"/>
  <c r="CC250" i="79"/>
  <c r="BT58" i="79"/>
  <c r="BD306" i="79"/>
  <c r="AO177" i="79"/>
  <c r="P67" i="79"/>
  <c r="Q25" i="79"/>
  <c r="Q401" i="79" s="1"/>
  <c r="P246" i="79"/>
  <c r="AV254" i="79"/>
  <c r="P243" i="79"/>
  <c r="Q230" i="79"/>
  <c r="AO96" i="79"/>
  <c r="AN96" i="79"/>
  <c r="AM100" i="79"/>
  <c r="CR96" i="79"/>
  <c r="CS96" i="79"/>
  <c r="CQ100" i="79"/>
  <c r="EG96" i="79"/>
  <c r="EF96" i="79"/>
  <c r="EE100" i="79"/>
  <c r="E72" i="36"/>
  <c r="C77" i="36" s="1"/>
  <c r="D77" i="36" s="1"/>
  <c r="G69" i="36"/>
  <c r="G72" i="36" s="1"/>
  <c r="G77" i="36" s="1"/>
  <c r="Q180" i="79"/>
  <c r="P180" i="79"/>
  <c r="Q2" i="70"/>
  <c r="Q3" i="70"/>
  <c r="BU29" i="80"/>
  <c r="BU30" i="80" s="1"/>
  <c r="BU403" i="80" s="1"/>
  <c r="BT29" i="80"/>
  <c r="BT30" i="80" s="1"/>
  <c r="BT403" i="80" s="1"/>
  <c r="BS30" i="80"/>
  <c r="BS403" i="80" s="1"/>
  <c r="FM69" i="80"/>
  <c r="EW69" i="80"/>
  <c r="EV69" i="80"/>
  <c r="EF69" i="80"/>
  <c r="DY69" i="80"/>
  <c r="EG69" i="80"/>
  <c r="DI69" i="80"/>
  <c r="DA69" i="80"/>
  <c r="CR69" i="80"/>
  <c r="DH69" i="80"/>
  <c r="CC69" i="80"/>
  <c r="BL69" i="80"/>
  <c r="CS69" i="80"/>
  <c r="BM69" i="80"/>
  <c r="FE69" i="80"/>
  <c r="CB69" i="80"/>
  <c r="BE69" i="80"/>
  <c r="AN69" i="80"/>
  <c r="BD69" i="80"/>
  <c r="AO69" i="80"/>
  <c r="Y69" i="80"/>
  <c r="AF69" i="80"/>
  <c r="AG69" i="80"/>
  <c r="P69" i="80"/>
  <c r="AV69" i="80"/>
  <c r="X69" i="80"/>
  <c r="Q69" i="80"/>
  <c r="R2" i="70"/>
  <c r="R3" i="70"/>
  <c r="H62" i="80"/>
  <c r="H62" i="79"/>
  <c r="J57" i="79"/>
  <c r="J57" i="80"/>
  <c r="I59" i="80"/>
  <c r="I59" i="79"/>
  <c r="FM66" i="80"/>
  <c r="EW66" i="80"/>
  <c r="EV66" i="80"/>
  <c r="EG66" i="80"/>
  <c r="EF66" i="80"/>
  <c r="DY66" i="80"/>
  <c r="DQ66" i="80"/>
  <c r="DI66" i="80"/>
  <c r="DH66" i="80"/>
  <c r="CS66" i="80"/>
  <c r="CR66" i="80"/>
  <c r="BL66" i="80"/>
  <c r="CK66" i="80"/>
  <c r="CC66" i="80"/>
  <c r="BM66" i="80"/>
  <c r="CB66" i="80"/>
  <c r="BE66" i="80"/>
  <c r="AO66" i="80"/>
  <c r="AV66" i="80"/>
  <c r="AW66" i="80"/>
  <c r="AN66" i="80"/>
  <c r="Q66" i="80"/>
  <c r="BD66" i="80"/>
  <c r="AF66" i="80"/>
  <c r="Y66" i="80"/>
  <c r="P66" i="80"/>
  <c r="X66" i="80"/>
  <c r="FM72" i="80"/>
  <c r="FE72" i="80"/>
  <c r="EW72" i="80"/>
  <c r="EV72" i="80"/>
  <c r="EG72" i="80"/>
  <c r="EF72" i="80"/>
  <c r="DY72" i="80"/>
  <c r="DQ72" i="80"/>
  <c r="DI72" i="80"/>
  <c r="DH72" i="80"/>
  <c r="DA72" i="80"/>
  <c r="CS72" i="80"/>
  <c r="CR72" i="80"/>
  <c r="BL72" i="80"/>
  <c r="CK72" i="80"/>
  <c r="CC72" i="80"/>
  <c r="BM72" i="80"/>
  <c r="CB72" i="80"/>
  <c r="BE72" i="80"/>
  <c r="BD72" i="80"/>
  <c r="AW72" i="80"/>
  <c r="AO72" i="80"/>
  <c r="BU72" i="80"/>
  <c r="Q72" i="80"/>
  <c r="AF72" i="80"/>
  <c r="X72" i="80"/>
  <c r="AN72" i="80"/>
  <c r="Y72" i="80"/>
  <c r="P72" i="80"/>
  <c r="AV72" i="80"/>
  <c r="FM67" i="80"/>
  <c r="EV67" i="80"/>
  <c r="FE67" i="80"/>
  <c r="EW67" i="80"/>
  <c r="EF67" i="80"/>
  <c r="EG67" i="80"/>
  <c r="DH67" i="80"/>
  <c r="DI67" i="80"/>
  <c r="CS67" i="80"/>
  <c r="CB67" i="80"/>
  <c r="BL67" i="80"/>
  <c r="CR67" i="80"/>
  <c r="BU67" i="80"/>
  <c r="CC67" i="80"/>
  <c r="BM67" i="80"/>
  <c r="AV67" i="80"/>
  <c r="AW67" i="80"/>
  <c r="BD67" i="80"/>
  <c r="AO67" i="80"/>
  <c r="AF67" i="80"/>
  <c r="P67" i="80"/>
  <c r="X67" i="80"/>
  <c r="AG67" i="80"/>
  <c r="BE67" i="80"/>
  <c r="AN67" i="80"/>
  <c r="Q67" i="80"/>
  <c r="FD66" i="80"/>
  <c r="EV253" i="80"/>
  <c r="DX199" i="80"/>
  <c r="DQ69" i="80"/>
  <c r="DH195" i="80"/>
  <c r="CZ195" i="80"/>
  <c r="DQ73" i="80"/>
  <c r="CJ210" i="80"/>
  <c r="CB114" i="80"/>
  <c r="DY67" i="80"/>
  <c r="CK73" i="80"/>
  <c r="BT72" i="80"/>
  <c r="BD210" i="80"/>
  <c r="BT73" i="80"/>
  <c r="BL210" i="80"/>
  <c r="BD114" i="80"/>
  <c r="AO200" i="80"/>
  <c r="AN68" i="80"/>
  <c r="BL25" i="80"/>
  <c r="BL401" i="80" s="1"/>
  <c r="FM241" i="79"/>
  <c r="EW241" i="79"/>
  <c r="EG241" i="79"/>
  <c r="DX241" i="79"/>
  <c r="EF241" i="79"/>
  <c r="EV241" i="79"/>
  <c r="DP241" i="79"/>
  <c r="DQ241" i="79"/>
  <c r="DI241" i="79"/>
  <c r="CS241" i="79"/>
  <c r="AV241" i="79"/>
  <c r="BT241" i="79"/>
  <c r="BL241" i="79"/>
  <c r="BD241" i="79"/>
  <c r="AW241" i="79"/>
  <c r="AO241" i="79"/>
  <c r="AF241" i="79"/>
  <c r="BE241" i="79"/>
  <c r="AN241" i="79"/>
  <c r="P241" i="79"/>
  <c r="AG241" i="79"/>
  <c r="BM241" i="79"/>
  <c r="Q241" i="79"/>
  <c r="BU241" i="79"/>
  <c r="FL180" i="79"/>
  <c r="FM180" i="79"/>
  <c r="FL176" i="79"/>
  <c r="FM176" i="79"/>
  <c r="FM214" i="79"/>
  <c r="FE214" i="79"/>
  <c r="EO214" i="79"/>
  <c r="DY214" i="79"/>
  <c r="EN214" i="79"/>
  <c r="DI214" i="79"/>
  <c r="CS214" i="79"/>
  <c r="EG214" i="79"/>
  <c r="EF214" i="79"/>
  <c r="DQ214" i="79"/>
  <c r="CB214" i="79"/>
  <c r="EW214" i="79"/>
  <c r="CK214" i="79"/>
  <c r="BU214" i="79"/>
  <c r="BM214" i="79"/>
  <c r="BE214" i="79"/>
  <c r="AV214" i="79"/>
  <c r="EV214" i="79"/>
  <c r="BT214" i="79"/>
  <c r="BL214" i="79"/>
  <c r="BD214" i="79"/>
  <c r="CC214" i="79"/>
  <c r="DP214" i="79"/>
  <c r="AF214" i="79"/>
  <c r="AW214" i="79"/>
  <c r="AO214" i="79"/>
  <c r="Y214" i="79"/>
  <c r="Q214" i="79"/>
  <c r="AG214" i="79"/>
  <c r="P214" i="79"/>
  <c r="AN214" i="79"/>
  <c r="FM226" i="79"/>
  <c r="EW226" i="79"/>
  <c r="EG226" i="79"/>
  <c r="EV226" i="79"/>
  <c r="CR226" i="79"/>
  <c r="DP226" i="79"/>
  <c r="DA226" i="79"/>
  <c r="CK226" i="79"/>
  <c r="DQ226" i="79"/>
  <c r="DI226" i="79"/>
  <c r="CS226" i="79"/>
  <c r="BT226" i="79"/>
  <c r="BL226" i="79"/>
  <c r="BD226" i="79"/>
  <c r="CC226" i="79"/>
  <c r="CZ226" i="79"/>
  <c r="EF226" i="79"/>
  <c r="CB226" i="79"/>
  <c r="AO226" i="79"/>
  <c r="BE226" i="79"/>
  <c r="AN226" i="79"/>
  <c r="CJ226" i="79"/>
  <c r="AF226" i="79"/>
  <c r="Y226" i="79"/>
  <c r="X226" i="79"/>
  <c r="BM226" i="79"/>
  <c r="AG226" i="79"/>
  <c r="BU226" i="79"/>
  <c r="Q199" i="80"/>
  <c r="FM210" i="79"/>
  <c r="EG210" i="79"/>
  <c r="CR210" i="79"/>
  <c r="CB210" i="79"/>
  <c r="EF210" i="79"/>
  <c r="DP210" i="79"/>
  <c r="DI210" i="79"/>
  <c r="CS210" i="79"/>
  <c r="DA210" i="79"/>
  <c r="CK210" i="79"/>
  <c r="DQ210" i="79"/>
  <c r="BT210" i="79"/>
  <c r="BL210" i="79"/>
  <c r="BD210" i="79"/>
  <c r="CJ210" i="79"/>
  <c r="EV210" i="79"/>
  <c r="BU210" i="79"/>
  <c r="BM210" i="79"/>
  <c r="BE210" i="79"/>
  <c r="EW210" i="79"/>
  <c r="FD210" i="79"/>
  <c r="CC210" i="79"/>
  <c r="AG210" i="79"/>
  <c r="CZ210" i="79"/>
  <c r="AN210" i="79"/>
  <c r="X210" i="79"/>
  <c r="AO210" i="79"/>
  <c r="AF210" i="79"/>
  <c r="Y210" i="79"/>
  <c r="AV68" i="80"/>
  <c r="FL89" i="79"/>
  <c r="FL141" i="79"/>
  <c r="FM141" i="79"/>
  <c r="Y199" i="80"/>
  <c r="FD123" i="79"/>
  <c r="EO241" i="79"/>
  <c r="EW254" i="79"/>
  <c r="FD254" i="79"/>
  <c r="FE87" i="79"/>
  <c r="FD87" i="79"/>
  <c r="FC93" i="79"/>
  <c r="BE29" i="80"/>
  <c r="BE30" i="80" s="1"/>
  <c r="BE403" i="80" s="1"/>
  <c r="EW29" i="80"/>
  <c r="EW30" i="80" s="1"/>
  <c r="EW403" i="80" s="1"/>
  <c r="O2" i="70"/>
  <c r="O3" i="70"/>
  <c r="K2" i="70"/>
  <c r="K3" i="70"/>
  <c r="T2" i="70"/>
  <c r="T3" i="70"/>
  <c r="CK29" i="80"/>
  <c r="CK30" i="80" s="1"/>
  <c r="CK403" i="80" s="1"/>
  <c r="CJ29" i="80"/>
  <c r="CJ30" i="80" s="1"/>
  <c r="CJ403" i="80" s="1"/>
  <c r="CI30" i="80"/>
  <c r="CI403" i="80" s="1"/>
  <c r="H73" i="80"/>
  <c r="H73" i="79"/>
  <c r="CB29" i="80"/>
  <c r="CB30" i="80" s="1"/>
  <c r="CB403" i="80" s="1"/>
  <c r="CC29" i="80"/>
  <c r="CC30" i="80" s="1"/>
  <c r="CC403" i="80" s="1"/>
  <c r="CA30" i="80"/>
  <c r="CA403" i="80" s="1"/>
  <c r="X29" i="80"/>
  <c r="X30" i="80" s="1"/>
  <c r="X403" i="80" s="1"/>
  <c r="Y29" i="80"/>
  <c r="Y30" i="80" s="1"/>
  <c r="Y403" i="80" s="1"/>
  <c r="W30" i="80"/>
  <c r="W403" i="80" s="1"/>
  <c r="J372" i="79"/>
  <c r="BD29" i="80"/>
  <c r="FM182" i="80"/>
  <c r="H57" i="80"/>
  <c r="CB57" i="80" s="1"/>
  <c r="H57" i="79"/>
  <c r="P57" i="79" s="1"/>
  <c r="AO29" i="80"/>
  <c r="AO30" i="80" s="1"/>
  <c r="AO403" i="80" s="1"/>
  <c r="H59" i="80"/>
  <c r="H59" i="79"/>
  <c r="FL210" i="80"/>
  <c r="FL199" i="80"/>
  <c r="FM252" i="80"/>
  <c r="EW252" i="80"/>
  <c r="FE252" i="80"/>
  <c r="FD252" i="80"/>
  <c r="EO252" i="80"/>
  <c r="EG252" i="80"/>
  <c r="DY252" i="80"/>
  <c r="DX252" i="80"/>
  <c r="DQ252" i="80"/>
  <c r="EN252" i="80"/>
  <c r="DP252" i="80"/>
  <c r="CJ252" i="80"/>
  <c r="CZ252" i="80"/>
  <c r="CK252" i="80"/>
  <c r="BU252" i="80"/>
  <c r="CC252" i="80"/>
  <c r="AW252" i="80"/>
  <c r="DA252" i="80"/>
  <c r="BD252" i="80"/>
  <c r="AN252" i="80"/>
  <c r="BT252" i="80"/>
  <c r="AV252" i="80"/>
  <c r="P252" i="80"/>
  <c r="Q252" i="80"/>
  <c r="Y252" i="80"/>
  <c r="FM115" i="80"/>
  <c r="FE115" i="80"/>
  <c r="FD115" i="80"/>
  <c r="EW115" i="80"/>
  <c r="EN115" i="80"/>
  <c r="EO115" i="80"/>
  <c r="EG115" i="80"/>
  <c r="DX115" i="80"/>
  <c r="DY115" i="80"/>
  <c r="DQ115" i="80"/>
  <c r="DP115" i="80"/>
  <c r="DI115" i="80"/>
  <c r="DA115" i="80"/>
  <c r="CS115" i="80"/>
  <c r="CJ115" i="80"/>
  <c r="CZ115" i="80"/>
  <c r="CC115" i="80"/>
  <c r="BU115" i="80"/>
  <c r="CK115" i="80"/>
  <c r="BE115" i="80"/>
  <c r="AO115" i="80"/>
  <c r="BT115" i="80"/>
  <c r="BD115" i="80"/>
  <c r="AN115" i="80"/>
  <c r="AW115" i="80"/>
  <c r="AV115" i="80"/>
  <c r="AF115" i="80"/>
  <c r="AG115" i="80"/>
  <c r="FL68" i="80"/>
  <c r="FM140" i="80"/>
  <c r="EV140" i="80"/>
  <c r="FD140" i="80"/>
  <c r="EO140" i="80"/>
  <c r="EN140" i="80"/>
  <c r="FE140" i="80"/>
  <c r="EW140" i="80"/>
  <c r="EG140" i="80"/>
  <c r="DY140" i="80"/>
  <c r="DX140" i="80"/>
  <c r="DQ140" i="80"/>
  <c r="DP140" i="80"/>
  <c r="DI140" i="80"/>
  <c r="CZ140" i="80"/>
  <c r="DA140" i="80"/>
  <c r="CK140" i="80"/>
  <c r="CJ140" i="80"/>
  <c r="CC140" i="80"/>
  <c r="BU140" i="80"/>
  <c r="BM140" i="80"/>
  <c r="CS140" i="80"/>
  <c r="AW140" i="80"/>
  <c r="AV140" i="80"/>
  <c r="AG140" i="80"/>
  <c r="Y140" i="80"/>
  <c r="P140" i="80"/>
  <c r="AF140" i="80"/>
  <c r="X140" i="80"/>
  <c r="AO140" i="80"/>
  <c r="Q140" i="80"/>
  <c r="FL114" i="80"/>
  <c r="FL69" i="80"/>
  <c r="FL140" i="80"/>
  <c r="FN153" i="80"/>
  <c r="FE307" i="80"/>
  <c r="FD307" i="80"/>
  <c r="EW307" i="80"/>
  <c r="EN307" i="80"/>
  <c r="EO307" i="80"/>
  <c r="DP307" i="80"/>
  <c r="DX307" i="80"/>
  <c r="DY307" i="80"/>
  <c r="DQ307" i="80"/>
  <c r="CZ307" i="80"/>
  <c r="DA307" i="80"/>
  <c r="BT307" i="80"/>
  <c r="CJ307" i="80"/>
  <c r="CK307" i="80"/>
  <c r="BU307" i="80"/>
  <c r="BE307" i="80"/>
  <c r="AW307" i="80"/>
  <c r="Q307" i="80"/>
  <c r="Y307" i="80"/>
  <c r="P307" i="80"/>
  <c r="AG307" i="80"/>
  <c r="X307" i="80"/>
  <c r="FN270" i="80"/>
  <c r="FD25" i="80"/>
  <c r="FD401" i="80" s="1"/>
  <c r="EV25" i="80"/>
  <c r="EV401" i="80" s="1"/>
  <c r="FF120" i="80"/>
  <c r="EN212" i="80"/>
  <c r="EV307" i="80"/>
  <c r="EN201" i="80"/>
  <c r="EN67" i="80"/>
  <c r="EV201" i="80"/>
  <c r="EO69" i="80"/>
  <c r="EN70" i="80"/>
  <c r="EF140" i="80"/>
  <c r="DX212" i="80"/>
  <c r="DX72" i="80"/>
  <c r="DX201" i="80"/>
  <c r="DX70" i="80"/>
  <c r="EG307" i="80"/>
  <c r="DY268" i="80"/>
  <c r="EN72" i="80"/>
  <c r="EP72" i="80" s="1"/>
  <c r="EF200" i="80"/>
  <c r="DP69" i="80"/>
  <c r="DH252" i="80"/>
  <c r="DQ199" i="80"/>
  <c r="DH182" i="80"/>
  <c r="DP66" i="80"/>
  <c r="DI210" i="80"/>
  <c r="DA201" i="80"/>
  <c r="DH255" i="80"/>
  <c r="CZ201" i="80"/>
  <c r="CZ66" i="80"/>
  <c r="DI104" i="80"/>
  <c r="CR141" i="80"/>
  <c r="DH201" i="80"/>
  <c r="CZ68" i="80"/>
  <c r="DA199" i="80"/>
  <c r="CZ69" i="80"/>
  <c r="CS254" i="80"/>
  <c r="CS307" i="80"/>
  <c r="CS210" i="80"/>
  <c r="CB252" i="80"/>
  <c r="BM268" i="80"/>
  <c r="DA66" i="80"/>
  <c r="CS25" i="80"/>
  <c r="CS401" i="80" s="1"/>
  <c r="CR256" i="80"/>
  <c r="CJ66" i="80"/>
  <c r="DX67" i="80"/>
  <c r="CR268" i="80"/>
  <c r="CJ73" i="80"/>
  <c r="CB115" i="80"/>
  <c r="CR253" i="80"/>
  <c r="CB255" i="80"/>
  <c r="BM256" i="80"/>
  <c r="CJ68" i="80"/>
  <c r="CB71" i="80"/>
  <c r="BM141" i="80"/>
  <c r="CK214" i="80"/>
  <c r="CC231" i="80"/>
  <c r="CB104" i="80"/>
  <c r="BM181" i="80"/>
  <c r="BD253" i="80"/>
  <c r="BD68" i="80"/>
  <c r="BE201" i="80"/>
  <c r="BD268" i="80"/>
  <c r="AW201" i="80"/>
  <c r="CJ200" i="80"/>
  <c r="AN253" i="80"/>
  <c r="BE113" i="80"/>
  <c r="AH305" i="80"/>
  <c r="BE252" i="80"/>
  <c r="AN71" i="80"/>
  <c r="X255" i="80"/>
  <c r="AG256" i="80"/>
  <c r="BE71" i="80"/>
  <c r="AV199" i="80"/>
  <c r="AN140" i="80"/>
  <c r="FM242" i="79"/>
  <c r="FD242" i="79"/>
  <c r="FE242" i="79"/>
  <c r="EW242" i="79"/>
  <c r="EO242" i="79"/>
  <c r="DQ242" i="79"/>
  <c r="CZ242" i="79"/>
  <c r="DA242" i="79"/>
  <c r="CK242" i="79"/>
  <c r="CR242" i="79"/>
  <c r="CC242" i="79"/>
  <c r="AV242" i="79"/>
  <c r="DY242" i="79"/>
  <c r="AN242" i="79"/>
  <c r="BT242" i="79"/>
  <c r="AO242" i="79"/>
  <c r="AF242" i="79"/>
  <c r="AW242" i="79"/>
  <c r="Y242" i="79"/>
  <c r="X242" i="79"/>
  <c r="P242" i="79"/>
  <c r="Q242" i="79"/>
  <c r="FE90" i="79"/>
  <c r="EW90" i="79"/>
  <c r="CZ90" i="79"/>
  <c r="CJ90" i="79"/>
  <c r="EO90" i="79"/>
  <c r="DA90" i="79"/>
  <c r="CK90" i="79"/>
  <c r="DY90" i="79"/>
  <c r="CC90" i="79"/>
  <c r="AV90" i="79"/>
  <c r="CR90" i="79"/>
  <c r="AW90" i="79"/>
  <c r="AN90" i="79"/>
  <c r="AO90" i="79"/>
  <c r="BL90" i="79"/>
  <c r="AF90" i="79"/>
  <c r="Y90" i="79"/>
  <c r="BT90" i="79"/>
  <c r="X90" i="79"/>
  <c r="P90" i="79"/>
  <c r="Q90" i="79"/>
  <c r="AV201" i="80"/>
  <c r="FL241" i="79"/>
  <c r="FL195" i="79"/>
  <c r="FL230" i="79"/>
  <c r="AX120" i="80"/>
  <c r="FL188" i="79"/>
  <c r="FM188" i="79"/>
  <c r="BT69" i="80"/>
  <c r="AF199" i="80"/>
  <c r="Y73" i="80"/>
  <c r="P104" i="80"/>
  <c r="Q68" i="80"/>
  <c r="FL213" i="79"/>
  <c r="FM232" i="79"/>
  <c r="FE232" i="79"/>
  <c r="FD232" i="79"/>
  <c r="EW232" i="79"/>
  <c r="EG232" i="79"/>
  <c r="DA232" i="79"/>
  <c r="CK232" i="79"/>
  <c r="EO232" i="79"/>
  <c r="CZ232" i="79"/>
  <c r="CC232" i="79"/>
  <c r="DI232" i="79"/>
  <c r="CS232" i="79"/>
  <c r="AW232" i="79"/>
  <c r="DY232" i="79"/>
  <c r="AV232" i="79"/>
  <c r="DH232" i="79"/>
  <c r="BU232" i="79"/>
  <c r="BM232" i="79"/>
  <c r="AO232" i="79"/>
  <c r="BL232" i="79"/>
  <c r="BD232" i="79"/>
  <c r="AN232" i="79"/>
  <c r="AG232" i="79"/>
  <c r="BT232" i="79"/>
  <c r="AF232" i="79"/>
  <c r="Q232" i="79"/>
  <c r="P232" i="79"/>
  <c r="X232" i="79"/>
  <c r="Y232" i="79"/>
  <c r="FM92" i="79"/>
  <c r="FE309" i="79"/>
  <c r="FD194" i="79"/>
  <c r="FM212" i="79"/>
  <c r="FM67" i="79"/>
  <c r="FC490" i="79"/>
  <c r="FK490" i="79"/>
  <c r="EU490" i="79"/>
  <c r="EE490" i="79"/>
  <c r="EM490" i="79"/>
  <c r="DO490" i="79"/>
  <c r="DW490" i="79"/>
  <c r="CY490" i="79"/>
  <c r="CI490" i="79"/>
  <c r="DG490" i="79"/>
  <c r="CQ490" i="79"/>
  <c r="CA490" i="79"/>
  <c r="BS490" i="79"/>
  <c r="BK490" i="79"/>
  <c r="BC490" i="79"/>
  <c r="AM490" i="79"/>
  <c r="AU490" i="79"/>
  <c r="AE490" i="79"/>
  <c r="W490" i="79"/>
  <c r="O490" i="79"/>
  <c r="FD67" i="79"/>
  <c r="X199" i="80"/>
  <c r="FN130" i="79"/>
  <c r="EW268" i="79"/>
  <c r="EG268" i="79"/>
  <c r="CR268" i="79"/>
  <c r="DQ268" i="79"/>
  <c r="EO268" i="79"/>
  <c r="DA268" i="79"/>
  <c r="CK268" i="79"/>
  <c r="EF268" i="79"/>
  <c r="DI268" i="79"/>
  <c r="CS268" i="79"/>
  <c r="BT268" i="79"/>
  <c r="BL268" i="79"/>
  <c r="BD268" i="79"/>
  <c r="FL268" i="79"/>
  <c r="CZ268" i="79"/>
  <c r="CC268" i="79"/>
  <c r="CB268" i="79"/>
  <c r="EV268" i="79"/>
  <c r="CJ268" i="79"/>
  <c r="BU268" i="79"/>
  <c r="BM268" i="79"/>
  <c r="BE268" i="79"/>
  <c r="AW268" i="79"/>
  <c r="AO268" i="79"/>
  <c r="AN268" i="79"/>
  <c r="AG268" i="79"/>
  <c r="X268" i="79"/>
  <c r="Y268" i="79"/>
  <c r="AV268" i="79"/>
  <c r="AF268" i="79"/>
  <c r="FE123" i="79"/>
  <c r="EO89" i="79"/>
  <c r="EO67" i="79"/>
  <c r="AO254" i="80"/>
  <c r="Y181" i="80"/>
  <c r="FM254" i="79"/>
  <c r="FL254" i="79"/>
  <c r="FL58" i="79"/>
  <c r="EW305" i="79"/>
  <c r="DQ307" i="79"/>
  <c r="EO307" i="79"/>
  <c r="FD213" i="79"/>
  <c r="EV90" i="79"/>
  <c r="EO243" i="79"/>
  <c r="EP121" i="79"/>
  <c r="DX195" i="79"/>
  <c r="DP23" i="79"/>
  <c r="DP399" i="79" s="1"/>
  <c r="FD23" i="79"/>
  <c r="FD399" i="79" s="1"/>
  <c r="FE107" i="79"/>
  <c r="FL67" i="79"/>
  <c r="FM142" i="79"/>
  <c r="FL142" i="79"/>
  <c r="FD250" i="79"/>
  <c r="EV309" i="79"/>
  <c r="EN25" i="79"/>
  <c r="EN401" i="79" s="1"/>
  <c r="EN90" i="79"/>
  <c r="DY243" i="79"/>
  <c r="DY181" i="79"/>
  <c r="DX181" i="79"/>
  <c r="DX231" i="79"/>
  <c r="EG230" i="79"/>
  <c r="DX309" i="79"/>
  <c r="DX192" i="79"/>
  <c r="DH192" i="79"/>
  <c r="AW192" i="79"/>
  <c r="AG192" i="79"/>
  <c r="AV192" i="79"/>
  <c r="P192" i="79"/>
  <c r="AO192" i="79"/>
  <c r="Y192" i="79"/>
  <c r="EN255" i="79"/>
  <c r="EG246" i="79"/>
  <c r="FL246" i="79"/>
  <c r="EV194" i="79"/>
  <c r="EX115" i="79"/>
  <c r="EN195" i="79"/>
  <c r="EO230" i="79"/>
  <c r="DZ245" i="79"/>
  <c r="DX67" i="79"/>
  <c r="DY210" i="79"/>
  <c r="DR99" i="79"/>
  <c r="DQ306" i="79"/>
  <c r="DI270" i="79"/>
  <c r="CJ58" i="79"/>
  <c r="DP254" i="79"/>
  <c r="CZ177" i="79"/>
  <c r="CZ250" i="79"/>
  <c r="EH182" i="79"/>
  <c r="DH254" i="79"/>
  <c r="DA70" i="79"/>
  <c r="CK241" i="79"/>
  <c r="FC133" i="79"/>
  <c r="EN73" i="79"/>
  <c r="DX123" i="79"/>
  <c r="DQ232" i="79"/>
  <c r="DR232" i="79" s="1"/>
  <c r="DH25" i="79"/>
  <c r="DH401" i="79" s="1"/>
  <c r="DA25" i="79"/>
  <c r="DA401" i="79" s="1"/>
  <c r="CZ92" i="79"/>
  <c r="CR70" i="79"/>
  <c r="CJ23" i="79"/>
  <c r="CJ399" i="79" s="1"/>
  <c r="CJ250" i="79"/>
  <c r="DX226" i="79"/>
  <c r="DH305" i="79"/>
  <c r="CR250" i="79"/>
  <c r="CK227" i="79"/>
  <c r="DP90" i="79"/>
  <c r="DH309" i="79"/>
  <c r="CT182" i="79"/>
  <c r="CC241" i="79"/>
  <c r="CD241" i="79" s="1"/>
  <c r="BT250" i="79"/>
  <c r="K124" i="76"/>
  <c r="BB474" i="79" s="1"/>
  <c r="BB476" i="79" s="1"/>
  <c r="BC476" i="79" s="1"/>
  <c r="BC480" i="79" s="1"/>
  <c r="K125" i="76"/>
  <c r="BD255" i="79"/>
  <c r="DI90" i="79"/>
  <c r="CB242" i="79"/>
  <c r="CB58" i="79"/>
  <c r="AW254" i="79"/>
  <c r="DH212" i="79"/>
  <c r="CR241" i="79"/>
  <c r="CC305" i="79"/>
  <c r="BL25" i="79"/>
  <c r="BL401" i="79" s="1"/>
  <c r="BE25" i="79"/>
  <c r="BE401" i="79" s="1"/>
  <c r="DP306" i="79"/>
  <c r="CJ232" i="79"/>
  <c r="BT177" i="79"/>
  <c r="BL23" i="79"/>
  <c r="BL399" i="79" s="1"/>
  <c r="BL306" i="79"/>
  <c r="BU25" i="79"/>
  <c r="BU401" i="79" s="1"/>
  <c r="BL192" i="79"/>
  <c r="BF99" i="79"/>
  <c r="AF23" i="79"/>
  <c r="AF399" i="79" s="1"/>
  <c r="AO230" i="79"/>
  <c r="AF192" i="79"/>
  <c r="BE194" i="79"/>
  <c r="DH229" i="79"/>
  <c r="BT192" i="79"/>
  <c r="BT270" i="79"/>
  <c r="BL212" i="79"/>
  <c r="Q210" i="79"/>
  <c r="Y177" i="79"/>
  <c r="Y305" i="79"/>
  <c r="H124" i="70"/>
  <c r="AD474" i="80" s="1"/>
  <c r="AD476" i="80" s="1"/>
  <c r="AE476" i="80" s="1"/>
  <c r="AE480" i="80" s="1"/>
  <c r="H125" i="70"/>
  <c r="G125" i="70"/>
  <c r="P230" i="79"/>
  <c r="I53" i="70"/>
  <c r="AT187" i="79"/>
  <c r="AU187" i="79" s="1"/>
  <c r="Q213" i="79"/>
  <c r="DA192" i="79"/>
  <c r="BD96" i="79"/>
  <c r="BE96" i="79"/>
  <c r="BC100" i="79"/>
  <c r="DP96" i="79"/>
  <c r="DQ96" i="79"/>
  <c r="DO100" i="79"/>
  <c r="EW96" i="79"/>
  <c r="EV96" i="79"/>
  <c r="EU100" i="79"/>
  <c r="AG106" i="79"/>
  <c r="AO106" i="79"/>
  <c r="AV106" i="79"/>
  <c r="FE106" i="79"/>
  <c r="EO106" i="79"/>
  <c r="EP106" i="79" s="1"/>
  <c r="EF106" i="79"/>
  <c r="BS481" i="79"/>
  <c r="BS487" i="79"/>
  <c r="BS488" i="79" s="1"/>
  <c r="G55" i="36"/>
  <c r="H55" i="36"/>
  <c r="EM116" i="79"/>
  <c r="FM109" i="80"/>
  <c r="FN109" i="80" s="1"/>
  <c r="FE109" i="80"/>
  <c r="FD109" i="80"/>
  <c r="EW109" i="80"/>
  <c r="EG109" i="80"/>
  <c r="EO109" i="80"/>
  <c r="EN109" i="80"/>
  <c r="DX109" i="80"/>
  <c r="DY109" i="80"/>
  <c r="DQ109" i="80"/>
  <c r="DP109" i="80"/>
  <c r="DA109" i="80"/>
  <c r="CS109" i="80"/>
  <c r="CZ109" i="80"/>
  <c r="CJ109" i="80"/>
  <c r="CK109" i="80"/>
  <c r="CC109" i="80"/>
  <c r="BU109" i="80"/>
  <c r="BT109" i="80"/>
  <c r="BE109" i="80"/>
  <c r="AO109" i="80"/>
  <c r="BM109" i="80"/>
  <c r="BD109" i="80"/>
  <c r="AN109" i="80"/>
  <c r="AW109" i="80"/>
  <c r="AV109" i="80"/>
  <c r="AG109" i="80"/>
  <c r="Y109" i="80"/>
  <c r="AF109" i="80"/>
  <c r="EV109" i="80"/>
  <c r="DP199" i="80"/>
  <c r="CB109" i="80"/>
  <c r="CJ72" i="80"/>
  <c r="BL253" i="80"/>
  <c r="DH123" i="79"/>
  <c r="AV123" i="79"/>
  <c r="CC123" i="79"/>
  <c r="AN123" i="79"/>
  <c r="AG123" i="79"/>
  <c r="AF123" i="79"/>
  <c r="AW123" i="79"/>
  <c r="AO123" i="79"/>
  <c r="Q123" i="79"/>
  <c r="X123" i="79"/>
  <c r="Y123" i="79"/>
  <c r="P123" i="79"/>
  <c r="DY67" i="79"/>
  <c r="EN213" i="79"/>
  <c r="EN243" i="79"/>
  <c r="DY230" i="79"/>
  <c r="DI107" i="79"/>
  <c r="CR107" i="79"/>
  <c r="CS107" i="79"/>
  <c r="EF107" i="79"/>
  <c r="EG107" i="79"/>
  <c r="BT107" i="79"/>
  <c r="BU107" i="79"/>
  <c r="BL107" i="79"/>
  <c r="BM107" i="79"/>
  <c r="BD107" i="79"/>
  <c r="BE107" i="79"/>
  <c r="EV107" i="79"/>
  <c r="CZ107" i="79"/>
  <c r="DA107" i="79"/>
  <c r="CK107" i="79"/>
  <c r="CB107" i="79"/>
  <c r="CC107" i="79"/>
  <c r="AW107" i="79"/>
  <c r="AN107" i="79"/>
  <c r="AO107" i="79"/>
  <c r="EW107" i="79"/>
  <c r="CJ107" i="79"/>
  <c r="AG107" i="79"/>
  <c r="Y107" i="79"/>
  <c r="X107" i="79"/>
  <c r="AF107" i="79"/>
  <c r="DX213" i="79"/>
  <c r="DX243" i="79"/>
  <c r="EO181" i="79"/>
  <c r="EN181" i="79"/>
  <c r="EV231" i="79"/>
  <c r="EW231" i="79"/>
  <c r="DP231" i="79"/>
  <c r="DI231" i="79"/>
  <c r="CS231" i="79"/>
  <c r="CB231" i="79"/>
  <c r="EF231" i="79"/>
  <c r="DQ231" i="79"/>
  <c r="AV231" i="79"/>
  <c r="BT231" i="79"/>
  <c r="BU231" i="79"/>
  <c r="BL231" i="79"/>
  <c r="BM231" i="79"/>
  <c r="BD231" i="79"/>
  <c r="BE231" i="79"/>
  <c r="CC231" i="79"/>
  <c r="AF231" i="79"/>
  <c r="AG231" i="79"/>
  <c r="AW231" i="79"/>
  <c r="EG231" i="79"/>
  <c r="P231" i="79"/>
  <c r="Q231" i="79"/>
  <c r="X231" i="79"/>
  <c r="AN231" i="79"/>
  <c r="Y231" i="79"/>
  <c r="AO231" i="79"/>
  <c r="FK281" i="79"/>
  <c r="FK283" i="79" s="1"/>
  <c r="FK328" i="79" s="1"/>
  <c r="FM246" i="79"/>
  <c r="EO246" i="79"/>
  <c r="DX246" i="79"/>
  <c r="DQ246" i="79"/>
  <c r="CR246" i="79"/>
  <c r="DI246" i="79"/>
  <c r="CS246" i="79"/>
  <c r="AW246" i="79"/>
  <c r="DY246" i="79"/>
  <c r="BU246" i="79"/>
  <c r="AG246" i="79"/>
  <c r="FF72" i="79"/>
  <c r="EN230" i="79"/>
  <c r="DX210" i="79"/>
  <c r="EO123" i="79"/>
  <c r="EN123" i="79"/>
  <c r="EM133" i="79"/>
  <c r="FM123" i="79"/>
  <c r="FK133" i="79"/>
  <c r="DY123" i="79"/>
  <c r="CK231" i="79"/>
  <c r="CZ89" i="79"/>
  <c r="CB89" i="79"/>
  <c r="AW226" i="79"/>
  <c r="BD89" i="79"/>
  <c r="CC246" i="79"/>
  <c r="FE70" i="79"/>
  <c r="AF177" i="79"/>
  <c r="AV213" i="79"/>
  <c r="AO246" i="79"/>
  <c r="AN194" i="79"/>
  <c r="BL123" i="79"/>
  <c r="P210" i="79"/>
  <c r="P305" i="79"/>
  <c r="X177" i="79"/>
  <c r="X305" i="79"/>
  <c r="P255" i="79"/>
  <c r="AW210" i="79"/>
  <c r="Y241" i="79"/>
  <c r="Y194" i="79"/>
  <c r="Q96" i="79"/>
  <c r="P96" i="79"/>
  <c r="O100" i="79"/>
  <c r="BL96" i="79"/>
  <c r="BM96" i="79"/>
  <c r="BK100" i="79"/>
  <c r="CK96" i="79"/>
  <c r="CJ96" i="79"/>
  <c r="CI100" i="79"/>
  <c r="FE96" i="79"/>
  <c r="FD96" i="79"/>
  <c r="FC100" i="79"/>
  <c r="G53" i="70"/>
  <c r="V187" i="79"/>
  <c r="W187" i="79" s="1"/>
  <c r="F33" i="70"/>
  <c r="F124" i="76"/>
  <c r="N474" i="79" s="1"/>
  <c r="N476" i="79" s="1"/>
  <c r="O476" i="79" s="1"/>
  <c r="O480" i="79" s="1"/>
  <c r="F125" i="76"/>
  <c r="CZ29" i="80"/>
  <c r="CZ30" i="80" s="1"/>
  <c r="CZ403" i="80" s="1"/>
  <c r="CY30" i="80"/>
  <c r="CY403" i="80" s="1"/>
  <c r="FL24" i="80"/>
  <c r="FL400" i="80" s="1"/>
  <c r="FM24" i="80"/>
  <c r="FM400" i="80" s="1"/>
  <c r="FM68" i="80"/>
  <c r="EW68" i="80"/>
  <c r="FD68" i="80"/>
  <c r="FE68" i="80"/>
  <c r="EN68" i="80"/>
  <c r="EO68" i="80"/>
  <c r="EF68" i="80"/>
  <c r="EG68" i="80"/>
  <c r="DY68" i="80"/>
  <c r="DX68" i="80"/>
  <c r="DQ68" i="80"/>
  <c r="DH68" i="80"/>
  <c r="CR68" i="80"/>
  <c r="CS68" i="80"/>
  <c r="BU68" i="80"/>
  <c r="DA68" i="80"/>
  <c r="BM68" i="80"/>
  <c r="BT68" i="80"/>
  <c r="CC68" i="80"/>
  <c r="CK68" i="80"/>
  <c r="AG68" i="80"/>
  <c r="BL68" i="80"/>
  <c r="Y68" i="80"/>
  <c r="AF68" i="80"/>
  <c r="P68" i="80"/>
  <c r="FM114" i="80"/>
  <c r="EN114" i="80"/>
  <c r="FE114" i="80"/>
  <c r="EO114" i="80"/>
  <c r="FD114" i="80"/>
  <c r="EW114" i="80"/>
  <c r="DY114" i="80"/>
  <c r="DP114" i="80"/>
  <c r="DQ114" i="80"/>
  <c r="EG114" i="80"/>
  <c r="DX114" i="80"/>
  <c r="DH114" i="80"/>
  <c r="DI114" i="80"/>
  <c r="CZ114" i="80"/>
  <c r="CK114" i="80"/>
  <c r="DA114" i="80"/>
  <c r="CC114" i="80"/>
  <c r="BT114" i="80"/>
  <c r="BU114" i="80"/>
  <c r="CS114" i="80"/>
  <c r="BM114" i="80"/>
  <c r="CJ114" i="80"/>
  <c r="AO114" i="80"/>
  <c r="X114" i="80"/>
  <c r="Y114" i="80"/>
  <c r="BE114" i="80"/>
  <c r="Q114" i="80"/>
  <c r="EV114" i="80"/>
  <c r="CZ199" i="80"/>
  <c r="CR210" i="80"/>
  <c r="BU66" i="80"/>
  <c r="FM91" i="79"/>
  <c r="EF91" i="79"/>
  <c r="EG91" i="79"/>
  <c r="DI91" i="79"/>
  <c r="CR91" i="79"/>
  <c r="CS91" i="79"/>
  <c r="DP91" i="79"/>
  <c r="FD91" i="79"/>
  <c r="FE91" i="79"/>
  <c r="EV91" i="79"/>
  <c r="BT91" i="79"/>
  <c r="BU91" i="79"/>
  <c r="BL91" i="79"/>
  <c r="BM91" i="79"/>
  <c r="BD91" i="79"/>
  <c r="BE91" i="79"/>
  <c r="EW91" i="79"/>
  <c r="DQ91" i="79"/>
  <c r="CZ91" i="79"/>
  <c r="CJ91" i="79"/>
  <c r="CB91" i="79"/>
  <c r="CC91" i="79"/>
  <c r="AW91" i="79"/>
  <c r="AN91" i="79"/>
  <c r="AO91" i="79"/>
  <c r="DA91" i="79"/>
  <c r="CK91" i="79"/>
  <c r="X91" i="79"/>
  <c r="AF91" i="79"/>
  <c r="AG91" i="79"/>
  <c r="Y91" i="79"/>
  <c r="FM230" i="79"/>
  <c r="DP230" i="79"/>
  <c r="CR230" i="79"/>
  <c r="DI230" i="79"/>
  <c r="CS230" i="79"/>
  <c r="EV230" i="79"/>
  <c r="CZ230" i="79"/>
  <c r="BT230" i="79"/>
  <c r="BL230" i="79"/>
  <c r="BD230" i="79"/>
  <c r="EF230" i="79"/>
  <c r="BU230" i="79"/>
  <c r="BM230" i="79"/>
  <c r="BE230" i="79"/>
  <c r="DA230" i="79"/>
  <c r="CJ230" i="79"/>
  <c r="CK230" i="79"/>
  <c r="CB230" i="79"/>
  <c r="AG230" i="79"/>
  <c r="AN230" i="79"/>
  <c r="CC230" i="79"/>
  <c r="X230" i="79"/>
  <c r="Y230" i="79"/>
  <c r="AF230" i="79"/>
  <c r="AV230" i="79"/>
  <c r="FL91" i="79"/>
  <c r="EW67" i="79"/>
  <c r="EG67" i="79"/>
  <c r="FE67" i="79"/>
  <c r="DP67" i="79"/>
  <c r="DQ67" i="79"/>
  <c r="EV67" i="79"/>
  <c r="AV67" i="79"/>
  <c r="BT67" i="79"/>
  <c r="BL67" i="79"/>
  <c r="BD67" i="79"/>
  <c r="EF67" i="79"/>
  <c r="DI67" i="79"/>
  <c r="CS67" i="79"/>
  <c r="AW67" i="79"/>
  <c r="AO67" i="79"/>
  <c r="AF67" i="79"/>
  <c r="BE67" i="79"/>
  <c r="BU67" i="79"/>
  <c r="Y67" i="79"/>
  <c r="AN67" i="79"/>
  <c r="Q67" i="79"/>
  <c r="AG67" i="79"/>
  <c r="X67" i="79"/>
  <c r="BM67" i="79"/>
  <c r="S2" i="70"/>
  <c r="S3" i="70"/>
  <c r="H256" i="80"/>
  <c r="H256" i="79"/>
  <c r="H26" i="27"/>
  <c r="H302" i="85" s="1"/>
  <c r="H301" i="80"/>
  <c r="H302" i="80" s="1"/>
  <c r="H301" i="79"/>
  <c r="H302" i="79" s="1"/>
  <c r="FM25" i="80"/>
  <c r="FM401" i="80" s="1"/>
  <c r="FE25" i="80"/>
  <c r="FE401" i="80" s="1"/>
  <c r="EO25" i="80"/>
  <c r="EO401" i="80" s="1"/>
  <c r="EG25" i="80"/>
  <c r="EG401" i="80" s="1"/>
  <c r="DP25" i="80"/>
  <c r="DP401" i="80" s="1"/>
  <c r="DY25" i="80"/>
  <c r="DY401" i="80" s="1"/>
  <c r="DQ25" i="80"/>
  <c r="DQ401" i="80" s="1"/>
  <c r="BU25" i="80"/>
  <c r="BU401" i="80" s="1"/>
  <c r="BE25" i="80"/>
  <c r="BE401" i="80" s="1"/>
  <c r="AF25" i="80"/>
  <c r="AF401" i="80" s="1"/>
  <c r="Y25" i="80"/>
  <c r="Y401" i="80" s="1"/>
  <c r="X25" i="80"/>
  <c r="X401" i="80" s="1"/>
  <c r="AG25" i="80"/>
  <c r="AG401" i="80" s="1"/>
  <c r="EF255" i="80"/>
  <c r="EF114" i="80"/>
  <c r="CZ73" i="80"/>
  <c r="DI25" i="80"/>
  <c r="DI401" i="80" s="1"/>
  <c r="DH200" i="80"/>
  <c r="DI68" i="80"/>
  <c r="CZ25" i="80"/>
  <c r="CZ401" i="80" s="1"/>
  <c r="DA73" i="80"/>
  <c r="CZ181" i="80"/>
  <c r="DH109" i="80"/>
  <c r="CZ200" i="80"/>
  <c r="CS181" i="80"/>
  <c r="CS200" i="80"/>
  <c r="CK25" i="80"/>
  <c r="CK401" i="80" s="1"/>
  <c r="CB182" i="80"/>
  <c r="BT199" i="80"/>
  <c r="CR109" i="80"/>
  <c r="CB181" i="80"/>
  <c r="BT200" i="80"/>
  <c r="BE182" i="80"/>
  <c r="BL182" i="80"/>
  <c r="BD199" i="80"/>
  <c r="BL256" i="80"/>
  <c r="BL200" i="80"/>
  <c r="BD200" i="80"/>
  <c r="BE256" i="80"/>
  <c r="AW25" i="80"/>
  <c r="AW401" i="80" s="1"/>
  <c r="AO182" i="80"/>
  <c r="AF200" i="80"/>
  <c r="AN307" i="80"/>
  <c r="BL104" i="80"/>
  <c r="AW182" i="80"/>
  <c r="AG112" i="80"/>
  <c r="Y256" i="80"/>
  <c r="AO104" i="80"/>
  <c r="FM25" i="79"/>
  <c r="FM401" i="79" s="1"/>
  <c r="EW25" i="79"/>
  <c r="EW401" i="79" s="1"/>
  <c r="FD25" i="79"/>
  <c r="FD401" i="79" s="1"/>
  <c r="EF25" i="79"/>
  <c r="EF401" i="79" s="1"/>
  <c r="DP25" i="79"/>
  <c r="DP401" i="79" s="1"/>
  <c r="EG25" i="79"/>
  <c r="EG401" i="79" s="1"/>
  <c r="DQ25" i="79"/>
  <c r="DQ401" i="79" s="1"/>
  <c r="CC25" i="79"/>
  <c r="CC401" i="79" s="1"/>
  <c r="EV25" i="79"/>
  <c r="EV401" i="79" s="1"/>
  <c r="AW25" i="79"/>
  <c r="AW401" i="79" s="1"/>
  <c r="Y25" i="79"/>
  <c r="Y401" i="79" s="1"/>
  <c r="AV25" i="79"/>
  <c r="AV401" i="79" s="1"/>
  <c r="AO25" i="79"/>
  <c r="AO401" i="79" s="1"/>
  <c r="X25" i="79"/>
  <c r="X401" i="79" s="1"/>
  <c r="AF25" i="79"/>
  <c r="AF401" i="79" s="1"/>
  <c r="CZ25" i="79"/>
  <c r="CZ401" i="79" s="1"/>
  <c r="EO250" i="79"/>
  <c r="DY250" i="79"/>
  <c r="EW250" i="79"/>
  <c r="EG250" i="79"/>
  <c r="DQ250" i="79"/>
  <c r="EV250" i="79"/>
  <c r="DI250" i="79"/>
  <c r="CS250" i="79"/>
  <c r="EF250" i="79"/>
  <c r="AV250" i="79"/>
  <c r="BU250" i="79"/>
  <c r="BM250" i="79"/>
  <c r="BE250" i="79"/>
  <c r="DP250" i="79"/>
  <c r="AW250" i="79"/>
  <c r="AG250" i="79"/>
  <c r="DA250" i="79"/>
  <c r="CK250" i="79"/>
  <c r="AF250" i="79"/>
  <c r="AO250" i="79"/>
  <c r="Q250" i="79"/>
  <c r="AN250" i="79"/>
  <c r="X250" i="79"/>
  <c r="Y250" i="79"/>
  <c r="EO92" i="79"/>
  <c r="DY92" i="79"/>
  <c r="EW92" i="79"/>
  <c r="EG92" i="79"/>
  <c r="DQ92" i="79"/>
  <c r="DI92" i="79"/>
  <c r="CS92" i="79"/>
  <c r="EF92" i="79"/>
  <c r="EV92" i="79"/>
  <c r="AV92" i="79"/>
  <c r="DP92" i="79"/>
  <c r="BU92" i="79"/>
  <c r="BM92" i="79"/>
  <c r="BE92" i="79"/>
  <c r="AW92" i="79"/>
  <c r="AG92" i="79"/>
  <c r="AF92" i="79"/>
  <c r="CC92" i="79"/>
  <c r="AO92" i="79"/>
  <c r="Q92" i="79"/>
  <c r="X92" i="79"/>
  <c r="AN92" i="79"/>
  <c r="Y92" i="79"/>
  <c r="X231" i="80"/>
  <c r="P112" i="80"/>
  <c r="P114" i="80"/>
  <c r="Q181" i="80"/>
  <c r="CC268" i="80"/>
  <c r="AG231" i="80"/>
  <c r="Y115" i="80"/>
  <c r="P109" i="80"/>
  <c r="FL103" i="79"/>
  <c r="FM103" i="79"/>
  <c r="FK116" i="79"/>
  <c r="EO70" i="79"/>
  <c r="DY70" i="79"/>
  <c r="EW70" i="79"/>
  <c r="EG70" i="79"/>
  <c r="DQ70" i="79"/>
  <c r="DP70" i="79"/>
  <c r="DI70" i="79"/>
  <c r="CS70" i="79"/>
  <c r="EF70" i="79"/>
  <c r="AV70" i="79"/>
  <c r="EV70" i="79"/>
  <c r="BU70" i="79"/>
  <c r="BM70" i="79"/>
  <c r="BE70" i="79"/>
  <c r="CK70" i="79"/>
  <c r="BT70" i="79"/>
  <c r="BL70" i="79"/>
  <c r="BD70" i="79"/>
  <c r="AW70" i="79"/>
  <c r="AG70" i="79"/>
  <c r="AF70" i="79"/>
  <c r="AO70" i="79"/>
  <c r="Q70" i="79"/>
  <c r="CC70" i="79"/>
  <c r="AN70" i="79"/>
  <c r="X70" i="79"/>
  <c r="EW309" i="79"/>
  <c r="EG309" i="79"/>
  <c r="DA309" i="79"/>
  <c r="CK309" i="79"/>
  <c r="EO309" i="79"/>
  <c r="CZ309" i="79"/>
  <c r="CJ309" i="79"/>
  <c r="DY309" i="79"/>
  <c r="CC309" i="79"/>
  <c r="CS309" i="79"/>
  <c r="AW309" i="79"/>
  <c r="FL309" i="79"/>
  <c r="AV309" i="79"/>
  <c r="AO309" i="79"/>
  <c r="BU309" i="79"/>
  <c r="AN309" i="79"/>
  <c r="BT309" i="79"/>
  <c r="AG309" i="79"/>
  <c r="AF309" i="79"/>
  <c r="X309" i="79"/>
  <c r="Q309" i="79"/>
  <c r="P309" i="79"/>
  <c r="Y309" i="79"/>
  <c r="Q182" i="80"/>
  <c r="EW212" i="79"/>
  <c r="EG212" i="79"/>
  <c r="DQ212" i="79"/>
  <c r="CZ212" i="79"/>
  <c r="DA212" i="79"/>
  <c r="CK212" i="79"/>
  <c r="DI212" i="79"/>
  <c r="AW212" i="79"/>
  <c r="BU212" i="79"/>
  <c r="AO212" i="79"/>
  <c r="AF212" i="79"/>
  <c r="AG212" i="79"/>
  <c r="BM212" i="79"/>
  <c r="BE212" i="79"/>
  <c r="X212" i="79"/>
  <c r="P212" i="79"/>
  <c r="Q212" i="79"/>
  <c r="Y212" i="79"/>
  <c r="FE99" i="79"/>
  <c r="FD99" i="79"/>
  <c r="FD241" i="79"/>
  <c r="BD195" i="80"/>
  <c r="FL140" i="79"/>
  <c r="FM140" i="79"/>
  <c r="FK143" i="79"/>
  <c r="Y67" i="80"/>
  <c r="FL123" i="79"/>
  <c r="FD211" i="79"/>
  <c r="DY73" i="79"/>
  <c r="EO254" i="79"/>
  <c r="EF87" i="79"/>
  <c r="EG87" i="79"/>
  <c r="EE93" i="79"/>
  <c r="FD89" i="79"/>
  <c r="FF89" i="79" s="1"/>
  <c r="EV212" i="79"/>
  <c r="DX212" i="79"/>
  <c r="DX230" i="79"/>
  <c r="DQ255" i="79"/>
  <c r="DY107" i="79"/>
  <c r="FL107" i="79"/>
  <c r="FN107" i="79" s="1"/>
  <c r="EN309" i="79"/>
  <c r="DZ69" i="79"/>
  <c r="FD181" i="79"/>
  <c r="FE181" i="79"/>
  <c r="EN231" i="79"/>
  <c r="EO226" i="79"/>
  <c r="DX214" i="79"/>
  <c r="CS255" i="79"/>
  <c r="CT255" i="79" s="1"/>
  <c r="FE255" i="79"/>
  <c r="EW246" i="79"/>
  <c r="EN212" i="79"/>
  <c r="EF306" i="79"/>
  <c r="DX194" i="79"/>
  <c r="DY87" i="79"/>
  <c r="DP212" i="79"/>
  <c r="DA255" i="79"/>
  <c r="EN87" i="79"/>
  <c r="DH230" i="79"/>
  <c r="DI87" i="79"/>
  <c r="DH70" i="79"/>
  <c r="CJ89" i="79"/>
  <c r="CB25" i="79"/>
  <c r="CB401" i="79" s="1"/>
  <c r="DH107" i="79"/>
  <c r="DA231" i="79"/>
  <c r="CR73" i="79"/>
  <c r="EV229" i="79"/>
  <c r="EP245" i="79"/>
  <c r="DX92" i="79"/>
  <c r="DA73" i="79"/>
  <c r="CK211" i="79"/>
  <c r="CJ123" i="79"/>
  <c r="CK123" i="79"/>
  <c r="CI133" i="79"/>
  <c r="FD230" i="79"/>
  <c r="EO210" i="79"/>
  <c r="EN241" i="79"/>
  <c r="CZ58" i="79"/>
  <c r="CJ231" i="79"/>
  <c r="FD243" i="79"/>
  <c r="EN229" i="79"/>
  <c r="EG177" i="79"/>
  <c r="DA89" i="79"/>
  <c r="CK73" i="79"/>
  <c r="DP123" i="79"/>
  <c r="CD182" i="79"/>
  <c r="CC89" i="79"/>
  <c r="BV245" i="79"/>
  <c r="DA214" i="79"/>
  <c r="CB67" i="79"/>
  <c r="BT92" i="79"/>
  <c r="L124" i="76"/>
  <c r="BJ474" i="79" s="1"/>
  <c r="BJ476" i="79" s="1"/>
  <c r="BK476" i="79" s="1"/>
  <c r="BK480" i="79" s="1"/>
  <c r="L125" i="76"/>
  <c r="BL255" i="79"/>
  <c r="BE270" i="79"/>
  <c r="EF309" i="79"/>
  <c r="DH242" i="79"/>
  <c r="CB246" i="79"/>
  <c r="BM229" i="79"/>
  <c r="AV212" i="79"/>
  <c r="DJ104" i="79"/>
  <c r="BT255" i="79"/>
  <c r="BD25" i="79"/>
  <c r="BD401" i="79" s="1"/>
  <c r="AX189" i="79"/>
  <c r="FD70" i="79"/>
  <c r="CR87" i="79"/>
  <c r="BM87" i="79"/>
  <c r="BE23" i="79"/>
  <c r="BE399" i="79" s="1"/>
  <c r="BD242" i="79"/>
  <c r="BT25" i="79"/>
  <c r="BT401" i="79" s="1"/>
  <c r="BE309" i="79"/>
  <c r="AV226" i="79"/>
  <c r="AN25" i="79"/>
  <c r="AN401" i="79" s="1"/>
  <c r="BD250" i="79"/>
  <c r="AN246" i="79"/>
  <c r="BL309" i="79"/>
  <c r="CS212" i="79"/>
  <c r="BT212" i="79"/>
  <c r="BE246" i="79"/>
  <c r="AO23" i="79"/>
  <c r="AO399" i="79" s="1"/>
  <c r="X89" i="79"/>
  <c r="P268" i="79"/>
  <c r="Q226" i="79"/>
  <c r="P89" i="79"/>
  <c r="AV210" i="79"/>
  <c r="X241" i="79"/>
  <c r="R181" i="79"/>
  <c r="Q91" i="79"/>
  <c r="Y246" i="79"/>
  <c r="X96" i="79"/>
  <c r="Y96" i="79"/>
  <c r="W100" i="79"/>
  <c r="DH96" i="79"/>
  <c r="DI96" i="79"/>
  <c r="DG100" i="79"/>
  <c r="DA96" i="79"/>
  <c r="CZ96" i="79"/>
  <c r="CY100" i="79"/>
  <c r="FM96" i="79"/>
  <c r="FK100" i="79"/>
  <c r="DX106" i="79"/>
  <c r="DZ106" i="79" s="1"/>
  <c r="DW116" i="79"/>
  <c r="CQ116" i="79"/>
  <c r="AF187" i="79"/>
  <c r="AG187" i="79"/>
  <c r="I256" i="80"/>
  <c r="I256" i="79"/>
  <c r="FM253" i="80"/>
  <c r="FE253" i="80"/>
  <c r="FD253" i="80"/>
  <c r="EN253" i="80"/>
  <c r="EO253" i="80"/>
  <c r="DY253" i="80"/>
  <c r="DP253" i="80"/>
  <c r="EG253" i="80"/>
  <c r="DQ253" i="80"/>
  <c r="DX253" i="80"/>
  <c r="DI253" i="80"/>
  <c r="CZ253" i="80"/>
  <c r="DH253" i="80"/>
  <c r="DA253" i="80"/>
  <c r="CK253" i="80"/>
  <c r="CJ253" i="80"/>
  <c r="CC253" i="80"/>
  <c r="BT253" i="80"/>
  <c r="BU253" i="80"/>
  <c r="BM253" i="80"/>
  <c r="CS253" i="80"/>
  <c r="AO253" i="80"/>
  <c r="BE253" i="80"/>
  <c r="Q253" i="80"/>
  <c r="P253" i="80"/>
  <c r="AG253" i="80"/>
  <c r="EH305" i="80"/>
  <c r="DA210" i="80"/>
  <c r="CJ69" i="80"/>
  <c r="DI109" i="80"/>
  <c r="CB231" i="80"/>
  <c r="AN114" i="80"/>
  <c r="X109" i="80"/>
  <c r="FM195" i="79"/>
  <c r="FD195" i="79"/>
  <c r="EW195" i="79"/>
  <c r="EG195" i="79"/>
  <c r="CR195" i="79"/>
  <c r="CB195" i="79"/>
  <c r="EV195" i="79"/>
  <c r="DY195" i="79"/>
  <c r="DA195" i="79"/>
  <c r="CK195" i="79"/>
  <c r="EO195" i="79"/>
  <c r="EF195" i="79"/>
  <c r="DI195" i="79"/>
  <c r="CS195" i="79"/>
  <c r="CZ195" i="79"/>
  <c r="BT195" i="79"/>
  <c r="BL195" i="79"/>
  <c r="BD195" i="79"/>
  <c r="DH195" i="79"/>
  <c r="DQ195" i="79"/>
  <c r="CC195" i="79"/>
  <c r="DP195" i="79"/>
  <c r="FE195" i="79"/>
  <c r="CJ195" i="79"/>
  <c r="BU195" i="79"/>
  <c r="BM195" i="79"/>
  <c r="BE195" i="79"/>
  <c r="AW195" i="79"/>
  <c r="AO195" i="79"/>
  <c r="AV195" i="79"/>
  <c r="AN195" i="79"/>
  <c r="AG195" i="79"/>
  <c r="Y195" i="79"/>
  <c r="AF195" i="79"/>
  <c r="X195" i="79"/>
  <c r="Q195" i="79"/>
  <c r="R195" i="79" s="1"/>
  <c r="BU69" i="80"/>
  <c r="FM213" i="79"/>
  <c r="EW213" i="79"/>
  <c r="EG213" i="79"/>
  <c r="EF213" i="79"/>
  <c r="CR213" i="79"/>
  <c r="CB213" i="79"/>
  <c r="FE213" i="79"/>
  <c r="DY213" i="79"/>
  <c r="DP213" i="79"/>
  <c r="DQ213" i="79"/>
  <c r="EV213" i="79"/>
  <c r="DA213" i="79"/>
  <c r="CK213" i="79"/>
  <c r="DI213" i="79"/>
  <c r="CS213" i="79"/>
  <c r="BT213" i="79"/>
  <c r="BL213" i="79"/>
  <c r="BD213" i="79"/>
  <c r="CZ213" i="79"/>
  <c r="CC213" i="79"/>
  <c r="CJ213" i="79"/>
  <c r="BU213" i="79"/>
  <c r="BM213" i="79"/>
  <c r="BE213" i="79"/>
  <c r="EO213" i="79"/>
  <c r="AW213" i="79"/>
  <c r="AO213" i="79"/>
  <c r="AN213" i="79"/>
  <c r="AG213" i="79"/>
  <c r="Y213" i="79"/>
  <c r="AF213" i="79"/>
  <c r="X213" i="79"/>
  <c r="BE195" i="80"/>
  <c r="EF254" i="79"/>
  <c r="CR254" i="79"/>
  <c r="DI254" i="79"/>
  <c r="CS254" i="79"/>
  <c r="EV254" i="79"/>
  <c r="FE254" i="79"/>
  <c r="DA254" i="79"/>
  <c r="CK254" i="79"/>
  <c r="BT254" i="79"/>
  <c r="BL254" i="79"/>
  <c r="BD254" i="79"/>
  <c r="BU254" i="79"/>
  <c r="BM254" i="79"/>
  <c r="BE254" i="79"/>
  <c r="CZ254" i="79"/>
  <c r="CJ254" i="79"/>
  <c r="CB254" i="79"/>
  <c r="CC254" i="79"/>
  <c r="AG254" i="79"/>
  <c r="AN254" i="79"/>
  <c r="X254" i="79"/>
  <c r="AF254" i="79"/>
  <c r="Y254" i="79"/>
  <c r="CK29" i="79"/>
  <c r="CK30" i="79" s="1"/>
  <c r="CJ29" i="79"/>
  <c r="CJ30" i="79" s="1"/>
  <c r="CI30" i="79"/>
  <c r="X2" i="70"/>
  <c r="X3" i="70"/>
  <c r="H60" i="80"/>
  <c r="H60" i="79"/>
  <c r="J191" i="80"/>
  <c r="J196" i="80" s="1"/>
  <c r="J191" i="79"/>
  <c r="J196" i="79" s="1"/>
  <c r="FM200" i="80"/>
  <c r="FK202" i="80"/>
  <c r="AW29" i="80"/>
  <c r="AW30" i="80" s="1"/>
  <c r="AW403" i="80" s="1"/>
  <c r="I64" i="80"/>
  <c r="EW64" i="80" s="1"/>
  <c r="I64" i="79"/>
  <c r="DQ64" i="79" s="1"/>
  <c r="AN29" i="80"/>
  <c r="EW200" i="80"/>
  <c r="FE200" i="80"/>
  <c r="EN200" i="80"/>
  <c r="EO200" i="80"/>
  <c r="DY200" i="80"/>
  <c r="DQ200" i="80"/>
  <c r="CC200" i="80"/>
  <c r="AG200" i="80"/>
  <c r="AV200" i="80"/>
  <c r="AN200" i="80"/>
  <c r="X200" i="80"/>
  <c r="FD72" i="80"/>
  <c r="EO67" i="80"/>
  <c r="EN25" i="80"/>
  <c r="EN401" i="80" s="1"/>
  <c r="DX73" i="80"/>
  <c r="F2" i="70"/>
  <c r="F3" i="70"/>
  <c r="J61" i="80"/>
  <c r="J61" i="79"/>
  <c r="I26" i="27"/>
  <c r="I302" i="85" s="1"/>
  <c r="I301" i="80"/>
  <c r="I302" i="80" s="1"/>
  <c r="I301" i="79"/>
  <c r="I302" i="79" s="1"/>
  <c r="FM23" i="80"/>
  <c r="FM399" i="80" s="1"/>
  <c r="FD254" i="80"/>
  <c r="FM254" i="80"/>
  <c r="EV254" i="80"/>
  <c r="EW254" i="80"/>
  <c r="FE254" i="80"/>
  <c r="EN254" i="80"/>
  <c r="DX254" i="80"/>
  <c r="EO254" i="80"/>
  <c r="DY254" i="80"/>
  <c r="DQ254" i="80"/>
  <c r="DI254" i="80"/>
  <c r="CZ254" i="80"/>
  <c r="DA254" i="80"/>
  <c r="CJ254" i="80"/>
  <c r="CK254" i="80"/>
  <c r="CC254" i="80"/>
  <c r="BU254" i="80"/>
  <c r="BM254" i="80"/>
  <c r="CB254" i="80"/>
  <c r="AV254" i="80"/>
  <c r="AG254" i="80"/>
  <c r="Q254" i="80"/>
  <c r="Y254" i="80"/>
  <c r="AW254" i="80"/>
  <c r="AF254" i="80"/>
  <c r="P254" i="80"/>
  <c r="FM70" i="80"/>
  <c r="FN70" i="80" s="1"/>
  <c r="FE70" i="80"/>
  <c r="EV70" i="80"/>
  <c r="EW70" i="80"/>
  <c r="EG70" i="80"/>
  <c r="EO70" i="80"/>
  <c r="EF70" i="80"/>
  <c r="DY70" i="80"/>
  <c r="DQ70" i="80"/>
  <c r="DR70" i="80" s="1"/>
  <c r="DH70" i="80"/>
  <c r="DI70" i="80"/>
  <c r="CS70" i="80"/>
  <c r="DA70" i="80"/>
  <c r="CB70" i="80"/>
  <c r="CC70" i="80"/>
  <c r="BU70" i="80"/>
  <c r="BL70" i="80"/>
  <c r="CR70" i="80"/>
  <c r="BM70" i="80"/>
  <c r="CK70" i="80"/>
  <c r="AV70" i="80"/>
  <c r="BE70" i="80"/>
  <c r="AN70" i="80"/>
  <c r="AG70" i="80"/>
  <c r="BD70" i="80"/>
  <c r="AW70" i="80"/>
  <c r="AF70" i="80"/>
  <c r="Q70" i="80"/>
  <c r="AO70" i="80"/>
  <c r="P70" i="80"/>
  <c r="Y70" i="80"/>
  <c r="X70" i="80"/>
  <c r="FM113" i="80"/>
  <c r="FE113" i="80"/>
  <c r="FD113" i="80"/>
  <c r="EV113" i="80"/>
  <c r="EN113" i="80"/>
  <c r="EW113" i="80"/>
  <c r="EO113" i="80"/>
  <c r="DX113" i="80"/>
  <c r="DY113" i="80"/>
  <c r="DP113" i="80"/>
  <c r="DQ113" i="80"/>
  <c r="DI113" i="80"/>
  <c r="CZ113" i="80"/>
  <c r="CJ113" i="80"/>
  <c r="CC113" i="80"/>
  <c r="BU113" i="80"/>
  <c r="CK113" i="80"/>
  <c r="BM113" i="80"/>
  <c r="DA113" i="80"/>
  <c r="AV113" i="80"/>
  <c r="AG113" i="80"/>
  <c r="AW113" i="80"/>
  <c r="P113" i="80"/>
  <c r="AO113" i="80"/>
  <c r="AF113" i="80"/>
  <c r="Y113" i="80"/>
  <c r="FM71" i="80"/>
  <c r="EW71" i="80"/>
  <c r="EN71" i="80"/>
  <c r="EF71" i="80"/>
  <c r="EG71" i="80"/>
  <c r="EO71" i="80"/>
  <c r="DY71" i="80"/>
  <c r="DQ71" i="80"/>
  <c r="DH71" i="80"/>
  <c r="DI71" i="80"/>
  <c r="DX71" i="80"/>
  <c r="CR71" i="80"/>
  <c r="CS71" i="80"/>
  <c r="CK71" i="80"/>
  <c r="CC71" i="80"/>
  <c r="BT71" i="80"/>
  <c r="BU71" i="80"/>
  <c r="BL71" i="80"/>
  <c r="BM71" i="80"/>
  <c r="AF71" i="80"/>
  <c r="Y71" i="80"/>
  <c r="AG71" i="80"/>
  <c r="P71" i="80"/>
  <c r="EW199" i="80"/>
  <c r="FD71" i="80"/>
  <c r="EV71" i="80"/>
  <c r="EV68" i="80"/>
  <c r="EO73" i="80"/>
  <c r="EP73" i="80" s="1"/>
  <c r="DX200" i="80"/>
  <c r="DQ182" i="80"/>
  <c r="DA25" i="80"/>
  <c r="DA401" i="80" s="1"/>
  <c r="DA71" i="80"/>
  <c r="CR199" i="80"/>
  <c r="DA181" i="80"/>
  <c r="CJ181" i="80"/>
  <c r="DA182" i="80"/>
  <c r="CZ210" i="80"/>
  <c r="CR181" i="80"/>
  <c r="CR114" i="80"/>
  <c r="CB253" i="80"/>
  <c r="CR200" i="80"/>
  <c r="CR113" i="80"/>
  <c r="CK67" i="80"/>
  <c r="CK69" i="80"/>
  <c r="BU199" i="80"/>
  <c r="CB200" i="80"/>
  <c r="BU182" i="80"/>
  <c r="BT210" i="80"/>
  <c r="CB113" i="80"/>
  <c r="CB25" i="80"/>
  <c r="CB401" i="80" s="1"/>
  <c r="BT70" i="80"/>
  <c r="BE200" i="80"/>
  <c r="AW268" i="80"/>
  <c r="BM115" i="80"/>
  <c r="BF129" i="80"/>
  <c r="AX129" i="80"/>
  <c r="BT104" i="80"/>
  <c r="BD307" i="80"/>
  <c r="AW253" i="80"/>
  <c r="BM25" i="80"/>
  <c r="BM401" i="80" s="1"/>
  <c r="AF214" i="80"/>
  <c r="AG182" i="80"/>
  <c r="AO268" i="80"/>
  <c r="L39" i="79"/>
  <c r="L48" i="79"/>
  <c r="L47" i="79"/>
  <c r="L42" i="79"/>
  <c r="L45" i="79"/>
  <c r="L40" i="79"/>
  <c r="L43" i="79"/>
  <c r="L46" i="79"/>
  <c r="L41" i="79"/>
  <c r="L44" i="79"/>
  <c r="CZ87" i="79"/>
  <c r="CJ87" i="79"/>
  <c r="DA87" i="79"/>
  <c r="CK87" i="79"/>
  <c r="AV87" i="79"/>
  <c r="CC87" i="79"/>
  <c r="AN87" i="79"/>
  <c r="AG87" i="79"/>
  <c r="AF87" i="79"/>
  <c r="AW87" i="79"/>
  <c r="BL87" i="79"/>
  <c r="AO87" i="79"/>
  <c r="Q87" i="79"/>
  <c r="X87" i="79"/>
  <c r="Y87" i="79"/>
  <c r="P87" i="79"/>
  <c r="BD87" i="79"/>
  <c r="AG114" i="80"/>
  <c r="AN25" i="80"/>
  <c r="AN401" i="80" s="1"/>
  <c r="Z129" i="80"/>
  <c r="FM211" i="79"/>
  <c r="EW211" i="79"/>
  <c r="EG211" i="79"/>
  <c r="EN211" i="79"/>
  <c r="DY211" i="79"/>
  <c r="CB211" i="79"/>
  <c r="EV211" i="79"/>
  <c r="DQ211" i="79"/>
  <c r="DI211" i="79"/>
  <c r="CC211" i="79"/>
  <c r="AV211" i="79"/>
  <c r="EF211" i="79"/>
  <c r="DP211" i="79"/>
  <c r="AW211" i="79"/>
  <c r="BT211" i="79"/>
  <c r="BL211" i="79"/>
  <c r="BD211" i="79"/>
  <c r="EO211" i="79"/>
  <c r="BU211" i="79"/>
  <c r="AO211" i="79"/>
  <c r="CS211" i="79"/>
  <c r="AF211" i="79"/>
  <c r="AG211" i="79"/>
  <c r="BM211" i="79"/>
  <c r="BE211" i="79"/>
  <c r="AN211" i="79"/>
  <c r="P211" i="79"/>
  <c r="Q211" i="79"/>
  <c r="Y211" i="79"/>
  <c r="AG66" i="80"/>
  <c r="Q25" i="80"/>
  <c r="Q401" i="80" s="1"/>
  <c r="FK235" i="79"/>
  <c r="AF231" i="80"/>
  <c r="X115" i="80"/>
  <c r="Q109" i="80"/>
  <c r="FE194" i="79"/>
  <c r="EW194" i="79"/>
  <c r="EG194" i="79"/>
  <c r="FM194" i="79"/>
  <c r="CZ194" i="79"/>
  <c r="DA194" i="79"/>
  <c r="CK194" i="79"/>
  <c r="DQ194" i="79"/>
  <c r="CB194" i="79"/>
  <c r="CC194" i="79"/>
  <c r="DI194" i="79"/>
  <c r="AW194" i="79"/>
  <c r="CS194" i="79"/>
  <c r="BU194" i="79"/>
  <c r="AO194" i="79"/>
  <c r="CR194" i="79"/>
  <c r="BL194" i="79"/>
  <c r="BD194" i="79"/>
  <c r="AF194" i="79"/>
  <c r="AG194" i="79"/>
  <c r="BT194" i="79"/>
  <c r="P194" i="79"/>
  <c r="Q194" i="79"/>
  <c r="X194" i="79"/>
  <c r="FL250" i="79"/>
  <c r="EW73" i="79"/>
  <c r="EG73" i="79"/>
  <c r="DP73" i="79"/>
  <c r="EF73" i="79"/>
  <c r="DQ73" i="79"/>
  <c r="AV73" i="79"/>
  <c r="DI73" i="79"/>
  <c r="CS73" i="79"/>
  <c r="BT73" i="79"/>
  <c r="BL73" i="79"/>
  <c r="BD73" i="79"/>
  <c r="EV73" i="79"/>
  <c r="BE73" i="79"/>
  <c r="AO73" i="79"/>
  <c r="AF73" i="79"/>
  <c r="BU73" i="79"/>
  <c r="BM73" i="79"/>
  <c r="AW73" i="79"/>
  <c r="Y73" i="79"/>
  <c r="AG73" i="79"/>
  <c r="AN73" i="79"/>
  <c r="Q73" i="79"/>
  <c r="X73" i="79"/>
  <c r="X253" i="80"/>
  <c r="FL182" i="79"/>
  <c r="FM182" i="79"/>
  <c r="FM99" i="79"/>
  <c r="FN99" i="79" s="1"/>
  <c r="FE306" i="79"/>
  <c r="EG306" i="79"/>
  <c r="CZ306" i="79"/>
  <c r="CJ306" i="79"/>
  <c r="EW306" i="79"/>
  <c r="DA306" i="79"/>
  <c r="CK306" i="79"/>
  <c r="AV306" i="79"/>
  <c r="CR306" i="79"/>
  <c r="AW306" i="79"/>
  <c r="AN306" i="79"/>
  <c r="AO306" i="79"/>
  <c r="AF306" i="79"/>
  <c r="Q306" i="79"/>
  <c r="CC306" i="79"/>
  <c r="AG306" i="79"/>
  <c r="X306" i="79"/>
  <c r="Y306" i="79"/>
  <c r="P306" i="79"/>
  <c r="AF253" i="80"/>
  <c r="FD206" i="79"/>
  <c r="FE206" i="79"/>
  <c r="FC207" i="79"/>
  <c r="FM177" i="79"/>
  <c r="DX177" i="79"/>
  <c r="DA177" i="79"/>
  <c r="FL177" i="79"/>
  <c r="DQ177" i="79"/>
  <c r="CS177" i="79"/>
  <c r="DI177" i="79"/>
  <c r="BM177" i="79"/>
  <c r="BE177" i="79"/>
  <c r="AG177" i="79"/>
  <c r="Q177" i="79"/>
  <c r="P177" i="79"/>
  <c r="FE25" i="79"/>
  <c r="FE401" i="79" s="1"/>
  <c r="P200" i="80"/>
  <c r="DQ254" i="79"/>
  <c r="DX254" i="79"/>
  <c r="EV87" i="79"/>
  <c r="EW87" i="79"/>
  <c r="EU93" i="79"/>
  <c r="EO305" i="79"/>
  <c r="EV305" i="79"/>
  <c r="DP305" i="79"/>
  <c r="CS305" i="79"/>
  <c r="AV305" i="79"/>
  <c r="BT305" i="79"/>
  <c r="BL305" i="79"/>
  <c r="BD305" i="79"/>
  <c r="EF305" i="79"/>
  <c r="DY305" i="79"/>
  <c r="DZ305" i="79" s="1"/>
  <c r="BU305" i="79"/>
  <c r="BM305" i="79"/>
  <c r="BE305" i="79"/>
  <c r="AW305" i="79"/>
  <c r="DQ305" i="79"/>
  <c r="AF305" i="79"/>
  <c r="AO305" i="79"/>
  <c r="AN305" i="79"/>
  <c r="Q305" i="79"/>
  <c r="DH307" i="79"/>
  <c r="CR307" i="79"/>
  <c r="EF307" i="79"/>
  <c r="DI307" i="79"/>
  <c r="CS307" i="79"/>
  <c r="FM307" i="79"/>
  <c r="BT307" i="79"/>
  <c r="BL307" i="79"/>
  <c r="BD307" i="79"/>
  <c r="FD307" i="79"/>
  <c r="FF307" i="79" s="1"/>
  <c r="BU307" i="79"/>
  <c r="BM307" i="79"/>
  <c r="BE307" i="79"/>
  <c r="EV307" i="79"/>
  <c r="CZ307" i="79"/>
  <c r="DA307" i="79"/>
  <c r="CK307" i="79"/>
  <c r="CB307" i="79"/>
  <c r="CJ307" i="79"/>
  <c r="CC307" i="79"/>
  <c r="AG307" i="79"/>
  <c r="AN307" i="79"/>
  <c r="AF307" i="79"/>
  <c r="Y307" i="79"/>
  <c r="X307" i="79"/>
  <c r="AV307" i="79"/>
  <c r="CZ23" i="79"/>
  <c r="CZ399" i="79" s="1"/>
  <c r="DA23" i="79"/>
  <c r="DA399" i="79" s="1"/>
  <c r="CK23" i="79"/>
  <c r="CK399" i="79" s="1"/>
  <c r="DQ23" i="79"/>
  <c r="DQ399" i="79" s="1"/>
  <c r="CC23" i="79"/>
  <c r="CC399" i="79" s="1"/>
  <c r="CR23" i="79"/>
  <c r="CR399" i="79" s="1"/>
  <c r="CB23" i="79"/>
  <c r="CB399" i="79" s="1"/>
  <c r="BU23" i="79"/>
  <c r="BU399" i="79" s="1"/>
  <c r="BT23" i="79"/>
  <c r="BT399" i="79" s="1"/>
  <c r="CS23" i="79"/>
  <c r="CS399" i="79" s="1"/>
  <c r="DX107" i="79"/>
  <c r="FN129" i="79"/>
  <c r="FE142" i="79"/>
  <c r="FD142" i="79"/>
  <c r="FC143" i="79"/>
  <c r="FD226" i="79"/>
  <c r="DP177" i="79"/>
  <c r="DH194" i="79"/>
  <c r="Z270" i="80"/>
  <c r="DQ181" i="79"/>
  <c r="DP181" i="79"/>
  <c r="FL181" i="79"/>
  <c r="FM181" i="79"/>
  <c r="FM231" i="79"/>
  <c r="EN226" i="79"/>
  <c r="EO91" i="79"/>
  <c r="DY25" i="79"/>
  <c r="DY401" i="79" s="1"/>
  <c r="DX250" i="79"/>
  <c r="DY255" i="79"/>
  <c r="FD255" i="79"/>
  <c r="FL70" i="79"/>
  <c r="FN70" i="79" s="1"/>
  <c r="EV246" i="79"/>
  <c r="FL92" i="79"/>
  <c r="FD177" i="79"/>
  <c r="DX211" i="79"/>
  <c r="DX306" i="79"/>
  <c r="CL68" i="79"/>
  <c r="EH72" i="79"/>
  <c r="EO87" i="79"/>
  <c r="DP246" i="79"/>
  <c r="DH241" i="79"/>
  <c r="DH91" i="79"/>
  <c r="DI306" i="79"/>
  <c r="CK89" i="79"/>
  <c r="EV242" i="79"/>
  <c r="EF90" i="79"/>
  <c r="DH231" i="79"/>
  <c r="CZ231" i="79"/>
  <c r="EF212" i="79"/>
  <c r="DY268" i="79"/>
  <c r="DP307" i="79"/>
  <c r="CS229" i="79"/>
  <c r="CJ305" i="79"/>
  <c r="CZ123" i="79"/>
  <c r="DA123" i="79"/>
  <c r="CY133" i="79"/>
  <c r="FE230" i="79"/>
  <c r="EN210" i="79"/>
  <c r="EN246" i="79"/>
  <c r="EF194" i="79"/>
  <c r="DH214" i="79"/>
  <c r="CZ70" i="79"/>
  <c r="CL182" i="79"/>
  <c r="CJ242" i="79"/>
  <c r="FE243" i="79"/>
  <c r="EN194" i="79"/>
  <c r="EO229" i="79"/>
  <c r="CZ67" i="79"/>
  <c r="DQ123" i="79"/>
  <c r="DH246" i="79"/>
  <c r="CJ177" i="79"/>
  <c r="AV23" i="79"/>
  <c r="AV399" i="79" s="1"/>
  <c r="DP309" i="79"/>
  <c r="CK92" i="79"/>
  <c r="CB212" i="79"/>
  <c r="CC255" i="79"/>
  <c r="CC67" i="79"/>
  <c r="BL89" i="79"/>
  <c r="AW177" i="79"/>
  <c r="DP107" i="79"/>
  <c r="CR123" i="79"/>
  <c r="CB177" i="79"/>
  <c r="CB250" i="79"/>
  <c r="BE90" i="79"/>
  <c r="CB73" i="79"/>
  <c r="BT89" i="79"/>
  <c r="BM123" i="79"/>
  <c r="FE92" i="79"/>
  <c r="CS87" i="79"/>
  <c r="AW230" i="79"/>
  <c r="CJ25" i="79"/>
  <c r="CJ401" i="79" s="1"/>
  <c r="BL242" i="79"/>
  <c r="BE242" i="79"/>
  <c r="AN192" i="79"/>
  <c r="BT306" i="79"/>
  <c r="BD309" i="79"/>
  <c r="BD90" i="79"/>
  <c r="AO254" i="79"/>
  <c r="DH87" i="79"/>
  <c r="BT123" i="79"/>
  <c r="BM194" i="79"/>
  <c r="AG25" i="79"/>
  <c r="AG401" i="79" s="1"/>
  <c r="CR212" i="79"/>
  <c r="BT246" i="79"/>
  <c r="BL177" i="79"/>
  <c r="BD246" i="79"/>
  <c r="Y70" i="79"/>
  <c r="P254" i="79"/>
  <c r="R254" i="79" s="1"/>
  <c r="P226" i="79"/>
  <c r="Q107" i="79"/>
  <c r="P73" i="79"/>
  <c r="BM246" i="79"/>
  <c r="P307" i="79"/>
  <c r="Y23" i="79"/>
  <c r="Y399" i="79" s="1"/>
  <c r="P91" i="79"/>
  <c r="X246" i="79"/>
  <c r="P92" i="79"/>
  <c r="X180" i="79"/>
  <c r="Y180" i="79"/>
  <c r="AG96" i="79"/>
  <c r="AF96" i="79"/>
  <c r="AE100" i="79"/>
  <c r="AW96" i="79"/>
  <c r="AV96" i="79"/>
  <c r="AU100" i="79"/>
  <c r="DX96" i="79"/>
  <c r="DY96" i="79"/>
  <c r="DW100" i="79"/>
  <c r="BT106" i="79"/>
  <c r="DG481" i="79"/>
  <c r="DG487" i="79"/>
  <c r="DG488" i="79" s="1"/>
  <c r="H53" i="36"/>
  <c r="C56" i="36"/>
  <c r="DW481" i="79"/>
  <c r="DW484" i="79" s="1"/>
  <c r="DW465" i="79" s="1"/>
  <c r="DW191" i="79" s="1"/>
  <c r="DW487" i="79"/>
  <c r="DW488" i="79" s="1"/>
  <c r="DW489" i="79" s="1"/>
  <c r="DW466" i="79" s="1"/>
  <c r="DW301" i="79" s="1"/>
  <c r="AO187" i="79"/>
  <c r="AN187" i="79"/>
  <c r="J125" i="76"/>
  <c r="P187" i="79"/>
  <c r="Q187" i="79"/>
  <c r="J2" i="70"/>
  <c r="J3" i="70"/>
  <c r="I60" i="80"/>
  <c r="FM60" i="80" s="1"/>
  <c r="I60" i="79"/>
  <c r="J64" i="79"/>
  <c r="J64" i="80"/>
  <c r="FM199" i="80"/>
  <c r="FE199" i="80"/>
  <c r="EO199" i="80"/>
  <c r="EG199" i="80"/>
  <c r="EF199" i="80"/>
  <c r="DY199" i="80"/>
  <c r="DI199" i="80"/>
  <c r="CK199" i="80"/>
  <c r="CB199" i="80"/>
  <c r="CC199" i="80"/>
  <c r="AW199" i="80"/>
  <c r="AN199" i="80"/>
  <c r="AO199" i="80"/>
  <c r="BE199" i="80"/>
  <c r="P199" i="80"/>
  <c r="FK26" i="80"/>
  <c r="FM195" i="80"/>
  <c r="EW195" i="80"/>
  <c r="EV195" i="80"/>
  <c r="FE195" i="80"/>
  <c r="EO195" i="80"/>
  <c r="EN195" i="80"/>
  <c r="EF195" i="80"/>
  <c r="EG195" i="80"/>
  <c r="DQ195" i="80"/>
  <c r="DP195" i="80"/>
  <c r="CK195" i="80"/>
  <c r="BU195" i="80"/>
  <c r="BM195" i="80"/>
  <c r="BL195" i="80"/>
  <c r="CB195" i="80"/>
  <c r="DA195" i="80"/>
  <c r="CC195" i="80"/>
  <c r="AW195" i="80"/>
  <c r="AV195" i="80"/>
  <c r="AO195" i="80"/>
  <c r="AG195" i="80"/>
  <c r="AN195" i="80"/>
  <c r="AF195" i="80"/>
  <c r="Q195" i="80"/>
  <c r="P195" i="80"/>
  <c r="Y195" i="80"/>
  <c r="X195" i="80"/>
  <c r="DP68" i="80"/>
  <c r="DH210" i="80"/>
  <c r="DH199" i="80"/>
  <c r="CJ199" i="80"/>
  <c r="CB68" i="80"/>
  <c r="CT305" i="80"/>
  <c r="AP305" i="80"/>
  <c r="FM243" i="79"/>
  <c r="EW243" i="79"/>
  <c r="DI243" i="79"/>
  <c r="CR243" i="79"/>
  <c r="CS243" i="79"/>
  <c r="DQ243" i="79"/>
  <c r="EG243" i="79"/>
  <c r="DP243" i="79"/>
  <c r="EV243" i="79"/>
  <c r="BT243" i="79"/>
  <c r="BU243" i="79"/>
  <c r="BL243" i="79"/>
  <c r="BM243" i="79"/>
  <c r="BD243" i="79"/>
  <c r="BE243" i="79"/>
  <c r="EF243" i="79"/>
  <c r="DA243" i="79"/>
  <c r="CK243" i="79"/>
  <c r="CZ243" i="79"/>
  <c r="CB243" i="79"/>
  <c r="CC243" i="79"/>
  <c r="CJ243" i="79"/>
  <c r="AN243" i="79"/>
  <c r="AO243" i="79"/>
  <c r="Y243" i="79"/>
  <c r="AG243" i="79"/>
  <c r="X243" i="79"/>
  <c r="AW243" i="79"/>
  <c r="AF243" i="79"/>
  <c r="X210" i="80"/>
  <c r="AG199" i="80"/>
  <c r="D53" i="35"/>
  <c r="D58" i="35" s="1"/>
  <c r="D50" i="35"/>
  <c r="DY29" i="80"/>
  <c r="DY30" i="80" s="1"/>
  <c r="DY403" i="80" s="1"/>
  <c r="EN29" i="80"/>
  <c r="DI29" i="80"/>
  <c r="DI30" i="80" s="1"/>
  <c r="DI403" i="80" s="1"/>
  <c r="H2" i="70"/>
  <c r="H3" i="70"/>
  <c r="EF29" i="80"/>
  <c r="EF30" i="80" s="1"/>
  <c r="EF403" i="80" s="1"/>
  <c r="EG29" i="80"/>
  <c r="EG30" i="80" s="1"/>
  <c r="EG403" i="80" s="1"/>
  <c r="EE30" i="80"/>
  <c r="EE403" i="80" s="1"/>
  <c r="DP29" i="80"/>
  <c r="DP30" i="80" s="1"/>
  <c r="DP403" i="80" s="1"/>
  <c r="DQ29" i="80"/>
  <c r="DQ30" i="80" s="1"/>
  <c r="DQ403" i="80" s="1"/>
  <c r="DO30" i="80"/>
  <c r="DO403" i="80" s="1"/>
  <c r="DX29" i="80"/>
  <c r="R46" i="35"/>
  <c r="R50" i="35" s="1"/>
  <c r="I58" i="80"/>
  <c r="I58" i="79"/>
  <c r="FL253" i="80"/>
  <c r="FM255" i="80"/>
  <c r="EW255" i="80"/>
  <c r="FE255" i="80"/>
  <c r="EG255" i="80"/>
  <c r="EN255" i="80"/>
  <c r="EO255" i="80"/>
  <c r="DX255" i="80"/>
  <c r="DY255" i="80"/>
  <c r="DQ255" i="80"/>
  <c r="DP255" i="80"/>
  <c r="DA255" i="80"/>
  <c r="CS255" i="80"/>
  <c r="CZ255" i="80"/>
  <c r="CK255" i="80"/>
  <c r="CJ255" i="80"/>
  <c r="CC255" i="80"/>
  <c r="BU255" i="80"/>
  <c r="BT255" i="80"/>
  <c r="BE255" i="80"/>
  <c r="AO255" i="80"/>
  <c r="BD255" i="80"/>
  <c r="AN255" i="80"/>
  <c r="AW255" i="80"/>
  <c r="AV255" i="80"/>
  <c r="AG255" i="80"/>
  <c r="Y255" i="80"/>
  <c r="AF255" i="80"/>
  <c r="P255" i="80"/>
  <c r="Q255" i="80"/>
  <c r="FL195" i="80"/>
  <c r="FD199" i="80"/>
  <c r="FD195" i="80"/>
  <c r="DX66" i="80"/>
  <c r="DA29" i="80"/>
  <c r="DA30" i="80" s="1"/>
  <c r="DA403" i="80" s="1"/>
  <c r="EG29" i="79"/>
  <c r="EG30" i="79" s="1"/>
  <c r="EF29" i="79"/>
  <c r="EF30" i="79" s="1"/>
  <c r="EE30" i="79"/>
  <c r="U2" i="70"/>
  <c r="U3" i="70"/>
  <c r="N2" i="70"/>
  <c r="N3" i="70"/>
  <c r="H36" i="26"/>
  <c r="H196" i="85" s="1"/>
  <c r="FE29" i="80"/>
  <c r="FE30" i="80" s="1"/>
  <c r="FE403" i="80" s="1"/>
  <c r="FC30" i="80"/>
  <c r="FC403" i="80" s="1"/>
  <c r="AV29" i="80"/>
  <c r="H64" i="80"/>
  <c r="EV64" i="80" s="1"/>
  <c r="H64" i="79"/>
  <c r="EF64" i="79" s="1"/>
  <c r="H58" i="80"/>
  <c r="H58" i="79"/>
  <c r="FE182" i="80"/>
  <c r="EV182" i="80"/>
  <c r="EG182" i="80"/>
  <c r="EN182" i="80"/>
  <c r="EO182" i="80"/>
  <c r="DY182" i="80"/>
  <c r="DI182" i="80"/>
  <c r="CS182" i="80"/>
  <c r="CR182" i="80"/>
  <c r="CC182" i="80"/>
  <c r="CJ182" i="80"/>
  <c r="BM182" i="80"/>
  <c r="X182" i="80"/>
  <c r="Y182" i="80"/>
  <c r="FM256" i="80"/>
  <c r="FD256" i="80"/>
  <c r="FE256" i="80"/>
  <c r="EN256" i="80"/>
  <c r="EG256" i="80"/>
  <c r="EO256" i="80"/>
  <c r="DP256" i="80"/>
  <c r="DX256" i="80"/>
  <c r="DY256" i="80"/>
  <c r="DH256" i="80"/>
  <c r="CZ256" i="80"/>
  <c r="DI256" i="80"/>
  <c r="DA256" i="80"/>
  <c r="CS256" i="80"/>
  <c r="DQ256" i="80"/>
  <c r="BT256" i="80"/>
  <c r="CK256" i="80"/>
  <c r="CC256" i="80"/>
  <c r="CJ256" i="80"/>
  <c r="BU256" i="80"/>
  <c r="AO256" i="80"/>
  <c r="Q256" i="80"/>
  <c r="P256" i="80"/>
  <c r="X256" i="80"/>
  <c r="AF29" i="80"/>
  <c r="AF30" i="80" s="1"/>
  <c r="AF403" i="80" s="1"/>
  <c r="FE181" i="80"/>
  <c r="EV181" i="80"/>
  <c r="EW181" i="80"/>
  <c r="FM181" i="80"/>
  <c r="EO181" i="80"/>
  <c r="DY181" i="80"/>
  <c r="DH181" i="80"/>
  <c r="DI181" i="80"/>
  <c r="CK181" i="80"/>
  <c r="CC181" i="80"/>
  <c r="AO181" i="80"/>
  <c r="AF181" i="80"/>
  <c r="BE181" i="80"/>
  <c r="FL255" i="80"/>
  <c r="FD67" i="80"/>
  <c r="EV255" i="80"/>
  <c r="EV256" i="80"/>
  <c r="FD231" i="80"/>
  <c r="DP67" i="80"/>
  <c r="EF256" i="80"/>
  <c r="DX195" i="80"/>
  <c r="DZ195" i="80" s="1"/>
  <c r="EO66" i="80"/>
  <c r="EG181" i="80"/>
  <c r="DH113" i="80"/>
  <c r="DQ181" i="80"/>
  <c r="P29" i="80"/>
  <c r="P30" i="80" s="1"/>
  <c r="P403" i="80" s="1"/>
  <c r="DH29" i="80"/>
  <c r="DH30" i="80" s="1"/>
  <c r="DH403" i="80" s="1"/>
  <c r="G3" i="70"/>
  <c r="G2" i="70"/>
  <c r="W2" i="70"/>
  <c r="W3" i="70"/>
  <c r="P2" i="70"/>
  <c r="P3" i="70"/>
  <c r="M2" i="70"/>
  <c r="M3" i="70"/>
  <c r="J62" i="80"/>
  <c r="J62" i="79"/>
  <c r="CS29" i="80"/>
  <c r="CS30" i="80" s="1"/>
  <c r="CS403" i="80" s="1"/>
  <c r="CR29" i="80"/>
  <c r="CQ30" i="80"/>
  <c r="CQ403" i="80" s="1"/>
  <c r="I62" i="80"/>
  <c r="I62" i="79"/>
  <c r="D64" i="35"/>
  <c r="I36" i="26"/>
  <c r="I196" i="85" s="1"/>
  <c r="I191" i="80"/>
  <c r="I196" i="80" s="1"/>
  <c r="I191" i="79"/>
  <c r="I196" i="79" s="1"/>
  <c r="I61" i="80"/>
  <c r="BU61" i="80" s="1"/>
  <c r="I61" i="79"/>
  <c r="EW61" i="79" s="1"/>
  <c r="FE214" i="80"/>
  <c r="FD214" i="80"/>
  <c r="FM214" i="80"/>
  <c r="EW214" i="80"/>
  <c r="EV214" i="80"/>
  <c r="EO214" i="80"/>
  <c r="DX214" i="80"/>
  <c r="DY214" i="80"/>
  <c r="EG214" i="80"/>
  <c r="DQ214" i="80"/>
  <c r="DI214" i="80"/>
  <c r="DH214" i="80"/>
  <c r="DA214" i="80"/>
  <c r="CR214" i="80"/>
  <c r="CC214" i="80"/>
  <c r="CB214" i="80"/>
  <c r="BU214" i="80"/>
  <c r="CS214" i="80"/>
  <c r="BM214" i="80"/>
  <c r="BT214" i="80"/>
  <c r="BL214" i="80"/>
  <c r="BE214" i="80"/>
  <c r="AG214" i="80"/>
  <c r="P214" i="80"/>
  <c r="X214" i="80"/>
  <c r="Y214" i="80"/>
  <c r="Q214" i="80"/>
  <c r="I57" i="80"/>
  <c r="Y57" i="80" s="1"/>
  <c r="I57" i="79"/>
  <c r="CC57" i="79" s="1"/>
  <c r="FL214" i="80"/>
  <c r="J59" i="79"/>
  <c r="J59" i="80"/>
  <c r="FL23" i="80"/>
  <c r="FL399" i="80" s="1"/>
  <c r="I374" i="79"/>
  <c r="FL256" i="80"/>
  <c r="AG29" i="80"/>
  <c r="AG30" i="80" s="1"/>
  <c r="AG403" i="80" s="1"/>
  <c r="FM212" i="80"/>
  <c r="EV212" i="80"/>
  <c r="EW212" i="80"/>
  <c r="EO212" i="80"/>
  <c r="EF212" i="80"/>
  <c r="EG212" i="80"/>
  <c r="DY212" i="80"/>
  <c r="DH212" i="80"/>
  <c r="CS212" i="80"/>
  <c r="CR212" i="80"/>
  <c r="BL212" i="80"/>
  <c r="BM212" i="80"/>
  <c r="DI212" i="80"/>
  <c r="CB212" i="80"/>
  <c r="AN212" i="80"/>
  <c r="CC212" i="80"/>
  <c r="AW212" i="80"/>
  <c r="AV212" i="80"/>
  <c r="Y212" i="80"/>
  <c r="BE212" i="80"/>
  <c r="X212" i="80"/>
  <c r="P212" i="80"/>
  <c r="AO212" i="80"/>
  <c r="AG212" i="80"/>
  <c r="Q212" i="80"/>
  <c r="FL254" i="80"/>
  <c r="FM104" i="80"/>
  <c r="FE104" i="80"/>
  <c r="EV104" i="80"/>
  <c r="FD104" i="80"/>
  <c r="EW104" i="80"/>
  <c r="EN104" i="80"/>
  <c r="EO104" i="80"/>
  <c r="DX104" i="80"/>
  <c r="DY104" i="80"/>
  <c r="DQ104" i="80"/>
  <c r="CZ104" i="80"/>
  <c r="CJ104" i="80"/>
  <c r="DA104" i="80"/>
  <c r="CK104" i="80"/>
  <c r="CC104" i="80"/>
  <c r="BM104" i="80"/>
  <c r="BU104" i="80"/>
  <c r="AG104" i="80"/>
  <c r="AW104" i="80"/>
  <c r="X104" i="80"/>
  <c r="AF104" i="80"/>
  <c r="AV104" i="80"/>
  <c r="Y104" i="80"/>
  <c r="FM112" i="80"/>
  <c r="FN112" i="80" s="1"/>
  <c r="EW112" i="80"/>
  <c r="FD112" i="80"/>
  <c r="FE112" i="80"/>
  <c r="EN112" i="80"/>
  <c r="EF112" i="80"/>
  <c r="EG112" i="80"/>
  <c r="DY112" i="80"/>
  <c r="DQ112" i="80"/>
  <c r="DX112" i="80"/>
  <c r="EO112" i="80"/>
  <c r="DI112" i="80"/>
  <c r="DP112" i="80"/>
  <c r="CZ112" i="80"/>
  <c r="DH112" i="80"/>
  <c r="DA112" i="80"/>
  <c r="CJ112" i="80"/>
  <c r="BU112" i="80"/>
  <c r="CK112" i="80"/>
  <c r="CC112" i="80"/>
  <c r="AW112" i="80"/>
  <c r="BD112" i="80"/>
  <c r="AN112" i="80"/>
  <c r="BT112" i="80"/>
  <c r="Y112" i="80"/>
  <c r="AV112" i="80"/>
  <c r="FL66" i="80"/>
  <c r="FL72" i="80"/>
  <c r="FL231" i="80"/>
  <c r="FM201" i="80"/>
  <c r="EO201" i="80"/>
  <c r="FE201" i="80"/>
  <c r="EF201" i="80"/>
  <c r="EG201" i="80"/>
  <c r="DY201" i="80"/>
  <c r="DQ201" i="80"/>
  <c r="CK201" i="80"/>
  <c r="BU201" i="80"/>
  <c r="AN201" i="80"/>
  <c r="AO201" i="80"/>
  <c r="AF201" i="80"/>
  <c r="Q201" i="80"/>
  <c r="P201" i="80"/>
  <c r="X201" i="80"/>
  <c r="FL67" i="80"/>
  <c r="FL73" i="80"/>
  <c r="FD268" i="80"/>
  <c r="FE268" i="80"/>
  <c r="EN268" i="80"/>
  <c r="EO268" i="80"/>
  <c r="DP268" i="80"/>
  <c r="DQ268" i="80"/>
  <c r="DA268" i="80"/>
  <c r="CZ268" i="80"/>
  <c r="CK268" i="80"/>
  <c r="BT268" i="80"/>
  <c r="BU268" i="80"/>
  <c r="Y268" i="80"/>
  <c r="X268" i="80"/>
  <c r="Q268" i="80"/>
  <c r="CJ268" i="80"/>
  <c r="P268" i="80"/>
  <c r="FM141" i="80"/>
  <c r="FE141" i="80"/>
  <c r="FD141" i="80"/>
  <c r="EW141" i="80"/>
  <c r="EG141" i="80"/>
  <c r="EO141" i="80"/>
  <c r="DY141" i="80"/>
  <c r="DQ141" i="80"/>
  <c r="EN141" i="80"/>
  <c r="DP141" i="80"/>
  <c r="DI141" i="80"/>
  <c r="DA141" i="80"/>
  <c r="CJ141" i="80"/>
  <c r="CC141" i="80"/>
  <c r="BU141" i="80"/>
  <c r="CB141" i="80"/>
  <c r="CZ141" i="80"/>
  <c r="CK141" i="80"/>
  <c r="BT141" i="80"/>
  <c r="BD141" i="80"/>
  <c r="AO141" i="80"/>
  <c r="BE141" i="80"/>
  <c r="AW141" i="80"/>
  <c r="AV141" i="80"/>
  <c r="AN141" i="80"/>
  <c r="AF141" i="80"/>
  <c r="AG141" i="80"/>
  <c r="Y141" i="80"/>
  <c r="FD73" i="80"/>
  <c r="FD69" i="80"/>
  <c r="EW25" i="80"/>
  <c r="EW401" i="80" s="1"/>
  <c r="EN199" i="80"/>
  <c r="FE66" i="80"/>
  <c r="EN181" i="80"/>
  <c r="EW253" i="80"/>
  <c r="EV112" i="80"/>
  <c r="EF231" i="80"/>
  <c r="EF253" i="80"/>
  <c r="EG113" i="80"/>
  <c r="DX181" i="80"/>
  <c r="EF109" i="80"/>
  <c r="DX69" i="80"/>
  <c r="DP73" i="80"/>
  <c r="EN66" i="80"/>
  <c r="EF181" i="80"/>
  <c r="DP212" i="80"/>
  <c r="DP104" i="80"/>
  <c r="DH231" i="80"/>
  <c r="EF252" i="80"/>
  <c r="DJ305" i="80"/>
  <c r="DP71" i="80"/>
  <c r="DX141" i="80"/>
  <c r="DP182" i="80"/>
  <c r="DP254" i="80"/>
  <c r="DI195" i="80"/>
  <c r="DH25" i="80"/>
  <c r="DH401" i="80" s="1"/>
  <c r="DH268" i="80"/>
  <c r="DP200" i="80"/>
  <c r="DI307" i="80"/>
  <c r="CS112" i="80"/>
  <c r="CK212" i="80"/>
  <c r="DQ67" i="80"/>
  <c r="CR231" i="80"/>
  <c r="CK210" i="80"/>
  <c r="CJ70" i="80"/>
  <c r="CB256" i="80"/>
  <c r="CS195" i="80"/>
  <c r="CJ195" i="80"/>
  <c r="CJ71" i="80"/>
  <c r="CZ182" i="80"/>
  <c r="CS199" i="80"/>
  <c r="CJ25" i="80"/>
  <c r="CJ401" i="80" s="1"/>
  <c r="CJ67" i="80"/>
  <c r="BT181" i="80"/>
  <c r="CR201" i="80"/>
  <c r="BT182" i="80"/>
  <c r="BT66" i="80"/>
  <c r="BD201" i="80"/>
  <c r="CB201" i="80"/>
  <c r="BT67" i="80"/>
  <c r="BL113" i="80"/>
  <c r="CC25" i="80"/>
  <c r="CC401" i="80" s="1"/>
  <c r="CC307" i="80"/>
  <c r="BL199" i="80"/>
  <c r="BL109" i="80"/>
  <c r="BT140" i="80"/>
  <c r="BM201" i="80"/>
  <c r="AW71" i="80"/>
  <c r="AV268" i="80"/>
  <c r="BT195" i="80"/>
  <c r="AV214" i="80"/>
  <c r="AN256" i="80"/>
  <c r="BM231" i="80"/>
  <c r="AV25" i="80"/>
  <c r="AV401" i="80" s="1"/>
  <c r="AV253" i="80"/>
  <c r="AO68" i="80"/>
  <c r="AW181" i="80"/>
  <c r="X112" i="80"/>
  <c r="AO252" i="80"/>
  <c r="AN113" i="80"/>
  <c r="BM112" i="80"/>
  <c r="AG252" i="80"/>
  <c r="BE104" i="80"/>
  <c r="AN268" i="80"/>
  <c r="AF114" i="80"/>
  <c r="AO25" i="80"/>
  <c r="AO401" i="80" s="1"/>
  <c r="FL214" i="79"/>
  <c r="FL226" i="79"/>
  <c r="AG72" i="80"/>
  <c r="FL243" i="79"/>
  <c r="AG268" i="80"/>
  <c r="P115" i="80"/>
  <c r="FL210" i="79"/>
  <c r="FM229" i="79"/>
  <c r="FD229" i="79"/>
  <c r="EW229" i="79"/>
  <c r="CZ229" i="79"/>
  <c r="EG229" i="79"/>
  <c r="DQ229" i="79"/>
  <c r="DA229" i="79"/>
  <c r="CK229" i="79"/>
  <c r="CB229" i="79"/>
  <c r="AV229" i="79"/>
  <c r="FE229" i="79"/>
  <c r="CR229" i="79"/>
  <c r="CC229" i="79"/>
  <c r="AN229" i="79"/>
  <c r="AW229" i="79"/>
  <c r="BL229" i="79"/>
  <c r="BD229" i="79"/>
  <c r="AO229" i="79"/>
  <c r="AF229" i="79"/>
  <c r="Q229" i="79"/>
  <c r="BT229" i="79"/>
  <c r="BV229" i="79" s="1"/>
  <c r="AG229" i="79"/>
  <c r="P229" i="79"/>
  <c r="X229" i="79"/>
  <c r="FL87" i="79"/>
  <c r="EO58" i="79"/>
  <c r="DY58" i="79"/>
  <c r="EW58" i="79"/>
  <c r="EG58" i="79"/>
  <c r="DQ58" i="79"/>
  <c r="EF58" i="79"/>
  <c r="DP58" i="79"/>
  <c r="DI58" i="79"/>
  <c r="CS58" i="79"/>
  <c r="EV58" i="79"/>
  <c r="AV58" i="79"/>
  <c r="BU58" i="79"/>
  <c r="BM58" i="79"/>
  <c r="BE58" i="79"/>
  <c r="CK58" i="79"/>
  <c r="BD58" i="79"/>
  <c r="AW58" i="79"/>
  <c r="AG58" i="79"/>
  <c r="AF58" i="79"/>
  <c r="CC58" i="79"/>
  <c r="AO58" i="79"/>
  <c r="Q58" i="79"/>
  <c r="X58" i="79"/>
  <c r="AN58" i="79"/>
  <c r="FD92" i="79"/>
  <c r="AN214" i="80"/>
  <c r="FE212" i="79"/>
  <c r="FE109" i="79"/>
  <c r="FD109" i="79"/>
  <c r="FM206" i="79"/>
  <c r="FL206" i="79"/>
  <c r="FK207" i="79"/>
  <c r="FN125" i="79"/>
  <c r="FE210" i="79"/>
  <c r="AO112" i="80"/>
  <c r="EG254" i="79"/>
  <c r="EN254" i="79"/>
  <c r="FM87" i="79"/>
  <c r="FK93" i="79"/>
  <c r="EG305" i="79"/>
  <c r="FD305" i="79"/>
  <c r="FL307" i="79"/>
  <c r="CZ270" i="79"/>
  <c r="CJ270" i="79"/>
  <c r="CR270" i="79"/>
  <c r="AV270" i="79"/>
  <c r="CK270" i="79"/>
  <c r="AG270" i="79"/>
  <c r="DA270" i="79"/>
  <c r="AN270" i="79"/>
  <c r="BL270" i="79"/>
  <c r="BD270" i="79"/>
  <c r="AF270" i="79"/>
  <c r="CC270" i="79"/>
  <c r="AW270" i="79"/>
  <c r="Q270" i="79"/>
  <c r="P270" i="79"/>
  <c r="X270" i="79"/>
  <c r="FE73" i="79"/>
  <c r="EV177" i="79"/>
  <c r="EN89" i="79"/>
  <c r="DY177" i="79"/>
  <c r="EO23" i="79"/>
  <c r="EO399" i="79" s="1"/>
  <c r="EV23" i="79"/>
  <c r="EV399" i="79" s="1"/>
  <c r="EO107" i="79"/>
  <c r="DX142" i="79"/>
  <c r="DY142" i="79"/>
  <c r="DW143" i="79"/>
  <c r="FE226" i="79"/>
  <c r="EO25" i="79"/>
  <c r="EO401" i="79" s="1"/>
  <c r="EF242" i="79"/>
  <c r="DX89" i="79"/>
  <c r="EG181" i="79"/>
  <c r="EF181" i="79"/>
  <c r="EO227" i="79"/>
  <c r="EF227" i="79"/>
  <c r="EV227" i="79"/>
  <c r="CB227" i="79"/>
  <c r="DI227" i="79"/>
  <c r="CS227" i="79"/>
  <c r="DQ227" i="79"/>
  <c r="AV227" i="79"/>
  <c r="DY227" i="79"/>
  <c r="CC227" i="79"/>
  <c r="BT227" i="79"/>
  <c r="BL227" i="79"/>
  <c r="BD227" i="79"/>
  <c r="DP227" i="79"/>
  <c r="BU227" i="79"/>
  <c r="BM227" i="79"/>
  <c r="BE227" i="79"/>
  <c r="AW227" i="79"/>
  <c r="AF227" i="79"/>
  <c r="AO227" i="79"/>
  <c r="AN227" i="79"/>
  <c r="Y227" i="79"/>
  <c r="P227" i="79"/>
  <c r="X227" i="79"/>
  <c r="Q227" i="79"/>
  <c r="FE231" i="79"/>
  <c r="FC487" i="79"/>
  <c r="FC488" i="79" s="1"/>
  <c r="FC481" i="79"/>
  <c r="EV306" i="79"/>
  <c r="EN91" i="79"/>
  <c r="EG255" i="79"/>
  <c r="DX90" i="79"/>
  <c r="DI255" i="79"/>
  <c r="FE192" i="79"/>
  <c r="DX255" i="79"/>
  <c r="FM255" i="79"/>
  <c r="FE246" i="79"/>
  <c r="DY241" i="79"/>
  <c r="DY306" i="79"/>
  <c r="CR192" i="79"/>
  <c r="CK255" i="79"/>
  <c r="CL255" i="79" s="1"/>
  <c r="DB68" i="79"/>
  <c r="EX72" i="79"/>
  <c r="FN72" i="79"/>
  <c r="DQ87" i="79"/>
  <c r="CZ241" i="79"/>
  <c r="CR177" i="79"/>
  <c r="CL125" i="79"/>
  <c r="DY91" i="79"/>
  <c r="DR129" i="79"/>
  <c r="DH177" i="79"/>
  <c r="DI242" i="79"/>
  <c r="DA246" i="79"/>
  <c r="CR214" i="79"/>
  <c r="CR89" i="79"/>
  <c r="EX113" i="79"/>
  <c r="DP268" i="79"/>
  <c r="DH226" i="79"/>
  <c r="CR305" i="79"/>
  <c r="CJ67" i="79"/>
  <c r="CK305" i="79"/>
  <c r="EP115" i="79"/>
  <c r="EF123" i="79"/>
  <c r="EG123" i="79"/>
  <c r="EE133" i="79"/>
  <c r="DI25" i="79"/>
  <c r="DI401" i="79" s="1"/>
  <c r="DH243" i="79"/>
  <c r="CZ214" i="79"/>
  <c r="DA227" i="79"/>
  <c r="CJ194" i="79"/>
  <c r="CK246" i="79"/>
  <c r="CB192" i="79"/>
  <c r="DP270" i="79"/>
  <c r="DI123" i="79"/>
  <c r="CZ211" i="79"/>
  <c r="DA67" i="79"/>
  <c r="CR231" i="79"/>
  <c r="CR67" i="79"/>
  <c r="CK177" i="79"/>
  <c r="BN109" i="79"/>
  <c r="AX181" i="79"/>
  <c r="DQ309" i="79"/>
  <c r="CR58" i="79"/>
  <c r="CJ92" i="79"/>
  <c r="CC212" i="79"/>
  <c r="CB255" i="79"/>
  <c r="CB309" i="79"/>
  <c r="BM270" i="79"/>
  <c r="AV194" i="79"/>
  <c r="DQ107" i="79"/>
  <c r="CS123" i="79"/>
  <c r="CC192" i="79"/>
  <c r="CB123" i="79"/>
  <c r="BM90" i="79"/>
  <c r="DH306" i="79"/>
  <c r="CC73" i="79"/>
  <c r="BU270" i="79"/>
  <c r="BM25" i="79"/>
  <c r="BM401" i="79" s="1"/>
  <c r="BL58" i="79"/>
  <c r="FE58" i="79"/>
  <c r="DA92" i="79"/>
  <c r="CR309" i="79"/>
  <c r="CB306" i="79"/>
  <c r="BE87" i="79"/>
  <c r="AV246" i="79"/>
  <c r="CB270" i="79"/>
  <c r="BM23" i="79"/>
  <c r="BM399" i="79" s="1"/>
  <c r="BM242" i="79"/>
  <c r="BD23" i="79"/>
  <c r="BD399" i="79" s="1"/>
  <c r="DH270" i="79"/>
  <c r="BD192" i="79"/>
  <c r="AP180" i="79"/>
  <c r="AG23" i="79"/>
  <c r="AG399" i="79" s="1"/>
  <c r="DI309" i="79"/>
  <c r="BD123" i="79"/>
  <c r="AN212" i="79"/>
  <c r="BU123" i="79"/>
  <c r="BL250" i="79"/>
  <c r="AG242" i="79"/>
  <c r="BD177" i="79"/>
  <c r="BD92" i="79"/>
  <c r="AN177" i="79"/>
  <c r="AN23" i="79"/>
  <c r="AN399" i="79" s="1"/>
  <c r="AG305" i="79"/>
  <c r="P58" i="79"/>
  <c r="R72" i="79"/>
  <c r="Q246" i="79"/>
  <c r="P107" i="79"/>
  <c r="BL246" i="79"/>
  <c r="X192" i="79"/>
  <c r="P23" i="79"/>
  <c r="P399" i="79" s="1"/>
  <c r="R69" i="79"/>
  <c r="AG90" i="79"/>
  <c r="X23" i="79"/>
  <c r="X399" i="79" s="1"/>
  <c r="Q243" i="79"/>
  <c r="Y229" i="79"/>
  <c r="X214" i="79"/>
  <c r="Q268" i="79"/>
  <c r="BT96" i="79"/>
  <c r="BU96" i="79"/>
  <c r="BS100" i="79"/>
  <c r="CC96" i="79"/>
  <c r="CB96" i="79"/>
  <c r="CA100" i="79"/>
  <c r="EN96" i="79"/>
  <c r="EO96" i="79"/>
  <c r="EM100" i="79"/>
  <c r="Y106" i="79"/>
  <c r="BD106" i="79"/>
  <c r="BM106" i="79"/>
  <c r="CS106" i="79"/>
  <c r="CJ106" i="79"/>
  <c r="EG106" i="79"/>
  <c r="FM106" i="79"/>
  <c r="CQ481" i="79"/>
  <c r="CQ487" i="79"/>
  <c r="CQ488" i="79" s="1"/>
  <c r="CQ489" i="79" s="1"/>
  <c r="CQ466" i="79" s="1"/>
  <c r="CQ301" i="79" s="1"/>
  <c r="J124" i="76"/>
  <c r="AT474" i="79" s="1"/>
  <c r="AT476" i="79" s="1"/>
  <c r="AU476" i="79" s="1"/>
  <c r="AU480" i="79" s="1"/>
  <c r="CD139" i="80" l="1"/>
  <c r="R142" i="80"/>
  <c r="CQ420" i="79"/>
  <c r="BC158" i="80"/>
  <c r="W420" i="79"/>
  <c r="AU420" i="79"/>
  <c r="Q50" i="35"/>
  <c r="AE158" i="80"/>
  <c r="BK420" i="79"/>
  <c r="DO419" i="80"/>
  <c r="AX248" i="79"/>
  <c r="BN150" i="80"/>
  <c r="FN193" i="79"/>
  <c r="R248" i="79"/>
  <c r="EH193" i="79"/>
  <c r="FN310" i="80"/>
  <c r="FN96" i="79"/>
  <c r="DB193" i="79"/>
  <c r="DJ310" i="80"/>
  <c r="FF92" i="80"/>
  <c r="AP126" i="80"/>
  <c r="CL232" i="80"/>
  <c r="AP242" i="80"/>
  <c r="BF276" i="80"/>
  <c r="CT242" i="80"/>
  <c r="CD150" i="80"/>
  <c r="R92" i="80"/>
  <c r="EX139" i="79"/>
  <c r="AH242" i="80"/>
  <c r="FF139" i="79"/>
  <c r="DB243" i="80"/>
  <c r="DB296" i="80"/>
  <c r="FF277" i="80"/>
  <c r="DR310" i="80"/>
  <c r="AX151" i="80"/>
  <c r="FN276" i="80"/>
  <c r="FN66" i="79"/>
  <c r="BF310" i="80"/>
  <c r="BN193" i="79"/>
  <c r="EP66" i="79"/>
  <c r="DZ243" i="80"/>
  <c r="EP232" i="80"/>
  <c r="EX232" i="80"/>
  <c r="EP150" i="80"/>
  <c r="BV140" i="79"/>
  <c r="CD92" i="80"/>
  <c r="EP132" i="79"/>
  <c r="FN243" i="80"/>
  <c r="BN242" i="80"/>
  <c r="R193" i="79"/>
  <c r="AU283" i="80"/>
  <c r="AU328" i="80" s="1"/>
  <c r="DB199" i="79"/>
  <c r="EP244" i="79"/>
  <c r="FF310" i="80"/>
  <c r="BN310" i="80"/>
  <c r="AP310" i="80"/>
  <c r="BC420" i="79"/>
  <c r="AX242" i="80"/>
  <c r="AX91" i="79"/>
  <c r="EP296" i="80"/>
  <c r="BV66" i="79"/>
  <c r="CL193" i="79"/>
  <c r="BF243" i="80"/>
  <c r="DR150" i="80"/>
  <c r="BV241" i="80"/>
  <c r="R243" i="80"/>
  <c r="EP310" i="80"/>
  <c r="DZ147" i="79"/>
  <c r="DJ243" i="80"/>
  <c r="FF194" i="80"/>
  <c r="FF248" i="79"/>
  <c r="AH232" i="80"/>
  <c r="DB205" i="79"/>
  <c r="CT193" i="79"/>
  <c r="CZ207" i="79"/>
  <c r="AH91" i="80"/>
  <c r="BV310" i="80"/>
  <c r="CL184" i="79"/>
  <c r="BF193" i="79"/>
  <c r="AX185" i="79"/>
  <c r="DZ193" i="79"/>
  <c r="BN243" i="80"/>
  <c r="DB250" i="80"/>
  <c r="CL187" i="79"/>
  <c r="AP66" i="79"/>
  <c r="FN205" i="79"/>
  <c r="AP178" i="79"/>
  <c r="AX243" i="80"/>
  <c r="CT243" i="80"/>
  <c r="AH193" i="79"/>
  <c r="FM207" i="79"/>
  <c r="CD199" i="79"/>
  <c r="EX193" i="79"/>
  <c r="DZ248" i="79"/>
  <c r="DR243" i="80"/>
  <c r="R126" i="80"/>
  <c r="BN147" i="79"/>
  <c r="BV249" i="79"/>
  <c r="CT310" i="80"/>
  <c r="BN249" i="79"/>
  <c r="EH103" i="80"/>
  <c r="EP193" i="79"/>
  <c r="EH150" i="80"/>
  <c r="DR193" i="79"/>
  <c r="AX66" i="79"/>
  <c r="AP91" i="80"/>
  <c r="AP184" i="79"/>
  <c r="FF71" i="79"/>
  <c r="AP193" i="79"/>
  <c r="AX276" i="80"/>
  <c r="Z276" i="80"/>
  <c r="DB249" i="79"/>
  <c r="FN139" i="79"/>
  <c r="BV91" i="80"/>
  <c r="EP243" i="80"/>
  <c r="DZ126" i="80"/>
  <c r="FN91" i="80"/>
  <c r="AP243" i="80"/>
  <c r="BN71" i="79"/>
  <c r="EH185" i="79"/>
  <c r="AX277" i="80"/>
  <c r="FF193" i="79"/>
  <c r="DB276" i="80"/>
  <c r="CL243" i="80"/>
  <c r="R310" i="80"/>
  <c r="EH243" i="80"/>
  <c r="AH248" i="79"/>
  <c r="CT248" i="79"/>
  <c r="CD193" i="79"/>
  <c r="AH185" i="79"/>
  <c r="BF91" i="80"/>
  <c r="EP249" i="79"/>
  <c r="EX310" i="80"/>
  <c r="EP185" i="79"/>
  <c r="AH66" i="79"/>
  <c r="BF248" i="79"/>
  <c r="R276" i="80"/>
  <c r="CT185" i="79"/>
  <c r="AH126" i="80"/>
  <c r="EX250" i="80"/>
  <c r="DZ249" i="79"/>
  <c r="EP248" i="79"/>
  <c r="EX91" i="80"/>
  <c r="FF66" i="79"/>
  <c r="DJ91" i="80"/>
  <c r="CL310" i="80"/>
  <c r="FF91" i="80"/>
  <c r="EX249" i="79"/>
  <c r="DR249" i="79"/>
  <c r="CL185" i="79"/>
  <c r="BN185" i="79"/>
  <c r="CD87" i="80"/>
  <c r="AX243" i="79"/>
  <c r="Z243" i="80"/>
  <c r="EX243" i="80"/>
  <c r="FF243" i="80"/>
  <c r="CD243" i="80"/>
  <c r="BV243" i="80"/>
  <c r="FF249" i="79"/>
  <c r="BN248" i="79"/>
  <c r="CL91" i="80"/>
  <c r="AX91" i="80"/>
  <c r="EH248" i="79"/>
  <c r="DB248" i="79"/>
  <c r="FF155" i="79"/>
  <c r="BF185" i="79"/>
  <c r="DJ248" i="79"/>
  <c r="AP249" i="79"/>
  <c r="BF249" i="79"/>
  <c r="CL249" i="79"/>
  <c r="CD185" i="79"/>
  <c r="BF87" i="80"/>
  <c r="DZ244" i="79"/>
  <c r="DZ294" i="79"/>
  <c r="AH150" i="79"/>
  <c r="BF153" i="80"/>
  <c r="Z249" i="79"/>
  <c r="BF184" i="79"/>
  <c r="AP248" i="79"/>
  <c r="AH139" i="80"/>
  <c r="CT249" i="79"/>
  <c r="AH147" i="80"/>
  <c r="DI34" i="80"/>
  <c r="DJ249" i="79"/>
  <c r="AX150" i="79"/>
  <c r="DR147" i="80"/>
  <c r="EH108" i="79"/>
  <c r="BV150" i="79"/>
  <c r="FF253" i="79"/>
  <c r="BV108" i="79"/>
  <c r="AX147" i="79"/>
  <c r="FF103" i="80"/>
  <c r="CD103" i="79"/>
  <c r="AP295" i="79"/>
  <c r="AH103" i="79"/>
  <c r="Z295" i="80"/>
  <c r="R150" i="79"/>
  <c r="CL103" i="79"/>
  <c r="R150" i="80"/>
  <c r="AH296" i="80"/>
  <c r="FN92" i="80"/>
  <c r="DJ154" i="79"/>
  <c r="EP177" i="80"/>
  <c r="CL150" i="79"/>
  <c r="Z206" i="80"/>
  <c r="EX150" i="79"/>
  <c r="EH187" i="79"/>
  <c r="DB150" i="79"/>
  <c r="EP278" i="79"/>
  <c r="BN66" i="79"/>
  <c r="EX108" i="79"/>
  <c r="BV178" i="80"/>
  <c r="DR192" i="80"/>
  <c r="DI425" i="80"/>
  <c r="DZ103" i="79"/>
  <c r="DZ108" i="79"/>
  <c r="EP311" i="80"/>
  <c r="EP92" i="80"/>
  <c r="CT192" i="80"/>
  <c r="R108" i="79"/>
  <c r="CD154" i="79"/>
  <c r="AH184" i="80"/>
  <c r="CD249" i="79"/>
  <c r="CD246" i="80"/>
  <c r="BV184" i="80"/>
  <c r="BF140" i="79"/>
  <c r="EP310" i="79"/>
  <c r="DZ150" i="80"/>
  <c r="FN108" i="79"/>
  <c r="BV277" i="80"/>
  <c r="AX92" i="80"/>
  <c r="Z103" i="79"/>
  <c r="FN200" i="79"/>
  <c r="DJ280" i="79"/>
  <c r="Y207" i="80"/>
  <c r="AX154" i="80"/>
  <c r="DZ92" i="80"/>
  <c r="BV246" i="80"/>
  <c r="BN112" i="80"/>
  <c r="FN112" i="79"/>
  <c r="BV310" i="79"/>
  <c r="R277" i="80"/>
  <c r="EH310" i="79"/>
  <c r="BF244" i="79"/>
  <c r="CT108" i="79"/>
  <c r="Z89" i="80"/>
  <c r="AO207" i="79"/>
  <c r="CT150" i="79"/>
  <c r="BF112" i="79"/>
  <c r="AH177" i="80"/>
  <c r="Z310" i="79"/>
  <c r="BN103" i="79"/>
  <c r="DJ150" i="79"/>
  <c r="BN250" i="80"/>
  <c r="BN192" i="80"/>
  <c r="EH147" i="80"/>
  <c r="EP103" i="80"/>
  <c r="R177" i="80"/>
  <c r="AH280" i="80"/>
  <c r="EH154" i="79"/>
  <c r="BN246" i="80"/>
  <c r="DZ278" i="79"/>
  <c r="BN278" i="80"/>
  <c r="EH103" i="79"/>
  <c r="BF103" i="79"/>
  <c r="DZ139" i="80"/>
  <c r="FN103" i="80"/>
  <c r="EH99" i="79"/>
  <c r="BV212" i="80"/>
  <c r="EH192" i="80"/>
  <c r="DR226" i="80"/>
  <c r="DJ178" i="79"/>
  <c r="R147" i="79"/>
  <c r="DJ139" i="80"/>
  <c r="DB176" i="79"/>
  <c r="CT296" i="80"/>
  <c r="BF206" i="80"/>
  <c r="DR310" i="79"/>
  <c r="AX178" i="80"/>
  <c r="BF132" i="79"/>
  <c r="AP185" i="79"/>
  <c r="EX276" i="80"/>
  <c r="DZ268" i="80"/>
  <c r="CT147" i="79"/>
  <c r="FN278" i="80"/>
  <c r="DB178" i="80"/>
  <c r="AX126" i="79"/>
  <c r="BN103" i="80"/>
  <c r="EX66" i="79"/>
  <c r="EX103" i="80"/>
  <c r="AP103" i="80"/>
  <c r="EX227" i="80"/>
  <c r="EX126" i="80"/>
  <c r="EP103" i="79"/>
  <c r="CT103" i="80"/>
  <c r="R108" i="80"/>
  <c r="CL199" i="79"/>
  <c r="DR132" i="79"/>
  <c r="FF103" i="79"/>
  <c r="EX178" i="80"/>
  <c r="EH140" i="79"/>
  <c r="FF150" i="79"/>
  <c r="DB87" i="80"/>
  <c r="DR103" i="80"/>
  <c r="R112" i="79"/>
  <c r="DZ108" i="80"/>
  <c r="BF176" i="80"/>
  <c r="BF22" i="79"/>
  <c r="BF398" i="79" s="1"/>
  <c r="DR206" i="79"/>
  <c r="FN244" i="79"/>
  <c r="Z103" i="80"/>
  <c r="DR66" i="79"/>
  <c r="EX154" i="79"/>
  <c r="BN108" i="79"/>
  <c r="FN155" i="79"/>
  <c r="FN139" i="80"/>
  <c r="FN150" i="79"/>
  <c r="AP148" i="79"/>
  <c r="DZ66" i="79"/>
  <c r="FN293" i="80"/>
  <c r="R199" i="79"/>
  <c r="CL108" i="79"/>
  <c r="DB140" i="79"/>
  <c r="DZ153" i="80"/>
  <c r="CL306" i="80"/>
  <c r="DB103" i="80"/>
  <c r="AX295" i="79"/>
  <c r="AH154" i="79"/>
  <c r="AP206" i="79"/>
  <c r="BV154" i="80"/>
  <c r="AH103" i="80"/>
  <c r="CT154" i="80"/>
  <c r="R113" i="79"/>
  <c r="EX139" i="80"/>
  <c r="EX155" i="79"/>
  <c r="R296" i="80"/>
  <c r="EP87" i="80"/>
  <c r="EH176" i="79"/>
  <c r="R278" i="80"/>
  <c r="BN150" i="79"/>
  <c r="BF150" i="79"/>
  <c r="FF108" i="79"/>
  <c r="R307" i="79"/>
  <c r="AX139" i="80"/>
  <c r="DZ187" i="79"/>
  <c r="FN87" i="80"/>
  <c r="EP187" i="79"/>
  <c r="AP72" i="79"/>
  <c r="EP155" i="79"/>
  <c r="EP108" i="80"/>
  <c r="BV108" i="80"/>
  <c r="CD147" i="79"/>
  <c r="DJ103" i="80"/>
  <c r="CD140" i="79"/>
  <c r="CT103" i="79"/>
  <c r="BV147" i="79"/>
  <c r="AX147" i="80"/>
  <c r="AP139" i="80"/>
  <c r="BV103" i="79"/>
  <c r="BF103" i="80"/>
  <c r="DB108" i="80"/>
  <c r="AH150" i="80"/>
  <c r="DB147" i="80"/>
  <c r="DB280" i="79"/>
  <c r="BF280" i="80"/>
  <c r="CJ143" i="79"/>
  <c r="R140" i="79"/>
  <c r="DR147" i="79"/>
  <c r="FN250" i="80"/>
  <c r="CT108" i="80"/>
  <c r="BF147" i="79"/>
  <c r="CD126" i="80"/>
  <c r="BN139" i="80"/>
  <c r="BN227" i="80"/>
  <c r="FN296" i="80"/>
  <c r="DJ150" i="80"/>
  <c r="EP150" i="79"/>
  <c r="DR97" i="80"/>
  <c r="CT280" i="79"/>
  <c r="DR126" i="80"/>
  <c r="AH295" i="79"/>
  <c r="Z108" i="79"/>
  <c r="BF108" i="79"/>
  <c r="BV296" i="80"/>
  <c r="DJ108" i="80"/>
  <c r="DB149" i="79"/>
  <c r="DR151" i="79"/>
  <c r="BV311" i="79"/>
  <c r="DR150" i="79"/>
  <c r="EP153" i="79"/>
  <c r="DB178" i="79"/>
  <c r="AP150" i="79"/>
  <c r="AN207" i="79"/>
  <c r="AH280" i="79"/>
  <c r="EP214" i="80"/>
  <c r="AX103" i="80"/>
  <c r="EH139" i="79"/>
  <c r="BV87" i="80"/>
  <c r="CT227" i="80"/>
  <c r="FF126" i="80"/>
  <c r="AH140" i="79"/>
  <c r="AH143" i="79" s="1"/>
  <c r="AX87" i="80"/>
  <c r="EP108" i="79"/>
  <c r="CT140" i="79"/>
  <c r="R66" i="79"/>
  <c r="DR87" i="80"/>
  <c r="DZ278" i="80"/>
  <c r="DR295" i="79"/>
  <c r="DJ113" i="79"/>
  <c r="R115" i="79"/>
  <c r="BF147" i="80"/>
  <c r="EX87" i="80"/>
  <c r="CD108" i="79"/>
  <c r="R154" i="80"/>
  <c r="BN310" i="79"/>
  <c r="DA143" i="79"/>
  <c r="Z150" i="80"/>
  <c r="BV193" i="80"/>
  <c r="BV112" i="79"/>
  <c r="CD112" i="79"/>
  <c r="AH279" i="79"/>
  <c r="BV150" i="80"/>
  <c r="R103" i="80"/>
  <c r="BF178" i="80"/>
  <c r="AP108" i="79"/>
  <c r="FF147" i="80"/>
  <c r="R24" i="80"/>
  <c r="R400" i="80" s="1"/>
  <c r="EP276" i="80"/>
  <c r="BN244" i="79"/>
  <c r="DR253" i="79"/>
  <c r="R103" i="79"/>
  <c r="DJ155" i="79"/>
  <c r="BV103" i="80"/>
  <c r="CL178" i="80"/>
  <c r="FN147" i="80"/>
  <c r="EP185" i="80"/>
  <c r="CT278" i="79"/>
  <c r="DB108" i="79"/>
  <c r="AX126" i="80"/>
  <c r="DJ126" i="80"/>
  <c r="DJ140" i="79"/>
  <c r="AX150" i="80"/>
  <c r="DJ103" i="79"/>
  <c r="AX108" i="79"/>
  <c r="EP306" i="79"/>
  <c r="EH87" i="80"/>
  <c r="BF139" i="80"/>
  <c r="CT278" i="80"/>
  <c r="FF278" i="80"/>
  <c r="BE207" i="80"/>
  <c r="CL150" i="80"/>
  <c r="FN278" i="79"/>
  <c r="BF92" i="80"/>
  <c r="AP149" i="79"/>
  <c r="BN147" i="80"/>
  <c r="DB310" i="79"/>
  <c r="R185" i="80"/>
  <c r="AH178" i="80"/>
  <c r="FF178" i="80"/>
  <c r="DJ126" i="79"/>
  <c r="Q143" i="79"/>
  <c r="CD278" i="79"/>
  <c r="AH92" i="80"/>
  <c r="DR103" i="79"/>
  <c r="Z147" i="80"/>
  <c r="FN126" i="79"/>
  <c r="EH155" i="79"/>
  <c r="CD108" i="80"/>
  <c r="EX185" i="80"/>
  <c r="DR178" i="80"/>
  <c r="R96" i="80"/>
  <c r="BN278" i="79"/>
  <c r="CL296" i="80"/>
  <c r="AN202" i="79"/>
  <c r="Z199" i="79"/>
  <c r="FF311" i="79"/>
  <c r="DB103" i="79"/>
  <c r="AP213" i="80"/>
  <c r="CD311" i="79"/>
  <c r="DB185" i="79"/>
  <c r="DB112" i="79"/>
  <c r="BF123" i="79"/>
  <c r="CT149" i="80"/>
  <c r="DZ310" i="79"/>
  <c r="BV297" i="80"/>
  <c r="DZ147" i="80"/>
  <c r="EP280" i="80"/>
  <c r="DB295" i="79"/>
  <c r="AX295" i="80"/>
  <c r="AX310" i="79"/>
  <c r="DB278" i="80"/>
  <c r="DZ150" i="79"/>
  <c r="Z253" i="80"/>
  <c r="AX246" i="80"/>
  <c r="BV280" i="79"/>
  <c r="DI143" i="79"/>
  <c r="DJ87" i="80"/>
  <c r="DR108" i="80"/>
  <c r="CT250" i="80"/>
  <c r="DZ87" i="80"/>
  <c r="AP149" i="80"/>
  <c r="FF87" i="80"/>
  <c r="BV185" i="79"/>
  <c r="EP295" i="79"/>
  <c r="AP147" i="80"/>
  <c r="Z250" i="80"/>
  <c r="EP199" i="79"/>
  <c r="AP87" i="80"/>
  <c r="AX140" i="79"/>
  <c r="EO425" i="80"/>
  <c r="DB311" i="79"/>
  <c r="DJ253" i="79"/>
  <c r="AX112" i="79"/>
  <c r="EH112" i="79"/>
  <c r="FF268" i="79"/>
  <c r="DJ147" i="80"/>
  <c r="EX147" i="80"/>
  <c r="EH126" i="80"/>
  <c r="DZ178" i="80"/>
  <c r="BL61" i="79"/>
  <c r="Z178" i="80"/>
  <c r="AP244" i="79"/>
  <c r="BN113" i="79"/>
  <c r="CT22" i="79"/>
  <c r="CT398" i="79" s="1"/>
  <c r="BN112" i="79"/>
  <c r="DZ103" i="80"/>
  <c r="Z246" i="80"/>
  <c r="Z244" i="79"/>
  <c r="DJ311" i="79"/>
  <c r="EO34" i="80"/>
  <c r="FN185" i="79"/>
  <c r="AP295" i="80"/>
  <c r="AP154" i="80"/>
  <c r="BN108" i="80"/>
  <c r="EH249" i="79"/>
  <c r="CT112" i="79"/>
  <c r="Z155" i="79"/>
  <c r="BF153" i="79"/>
  <c r="BF104" i="80"/>
  <c r="I373" i="79"/>
  <c r="FM373" i="79" s="1"/>
  <c r="AH276" i="80"/>
  <c r="BF310" i="79"/>
  <c r="DZ253" i="79"/>
  <c r="CT147" i="80"/>
  <c r="CD103" i="80"/>
  <c r="AP199" i="79"/>
  <c r="CD310" i="79"/>
  <c r="FN248" i="79"/>
  <c r="CL108" i="80"/>
  <c r="DB244" i="79"/>
  <c r="I368" i="85"/>
  <c r="K179" i="90" s="1"/>
  <c r="CL147" i="79"/>
  <c r="BN253" i="79"/>
  <c r="AP201" i="79"/>
  <c r="FN253" i="79"/>
  <c r="EX297" i="79"/>
  <c r="AH178" i="79"/>
  <c r="DJ278" i="79"/>
  <c r="CL112" i="79"/>
  <c r="DZ149" i="79"/>
  <c r="EH246" i="80"/>
  <c r="BF108" i="80"/>
  <c r="DB185" i="80"/>
  <c r="BV278" i="79"/>
  <c r="R147" i="80"/>
  <c r="EH108" i="80"/>
  <c r="AX114" i="80"/>
  <c r="EH276" i="80"/>
  <c r="EP192" i="80"/>
  <c r="EX192" i="80"/>
  <c r="EH200" i="79"/>
  <c r="EH92" i="80"/>
  <c r="CZ202" i="79"/>
  <c r="FN147" i="79"/>
  <c r="AP115" i="79"/>
  <c r="DR140" i="79"/>
  <c r="EX147" i="79"/>
  <c r="EF202" i="79"/>
  <c r="BF278" i="80"/>
  <c r="DZ112" i="79"/>
  <c r="FN108" i="80"/>
  <c r="FF280" i="80"/>
  <c r="DH143" i="79"/>
  <c r="BF199" i="79"/>
  <c r="BF72" i="79"/>
  <c r="DJ108" i="79"/>
  <c r="DB154" i="80"/>
  <c r="CJ59" i="79"/>
  <c r="CT132" i="79"/>
  <c r="DB147" i="79"/>
  <c r="DR250" i="80"/>
  <c r="FE143" i="79"/>
  <c r="Z66" i="79"/>
  <c r="BN149" i="80"/>
  <c r="Z87" i="80"/>
  <c r="DB294" i="79"/>
  <c r="DJ112" i="79"/>
  <c r="DZ140" i="79"/>
  <c r="CL153" i="79"/>
  <c r="EP253" i="79"/>
  <c r="BN153" i="79"/>
  <c r="H373" i="79"/>
  <c r="CB373" i="79" s="1"/>
  <c r="BF279" i="79"/>
  <c r="CL103" i="80"/>
  <c r="CL244" i="79"/>
  <c r="CL311" i="80"/>
  <c r="H368" i="85"/>
  <c r="J179" i="90" s="1"/>
  <c r="EX278" i="80"/>
  <c r="DB154" i="79"/>
  <c r="FF140" i="79"/>
  <c r="AX108" i="80"/>
  <c r="BN92" i="80"/>
  <c r="CR61" i="79"/>
  <c r="DB66" i="79"/>
  <c r="EX311" i="80"/>
  <c r="EX295" i="79"/>
  <c r="CL113" i="79"/>
  <c r="EF143" i="79"/>
  <c r="BF149" i="80"/>
  <c r="CL153" i="80"/>
  <c r="DR155" i="79"/>
  <c r="R153" i="80"/>
  <c r="EP154" i="79"/>
  <c r="BF154" i="80"/>
  <c r="DJ153" i="79"/>
  <c r="CL154" i="79"/>
  <c r="DZ154" i="80"/>
  <c r="DZ154" i="79"/>
  <c r="Z154" i="80"/>
  <c r="FN154" i="80"/>
  <c r="FN153" i="79"/>
  <c r="CD154" i="80"/>
  <c r="DB155" i="79"/>
  <c r="EH154" i="80"/>
  <c r="AH155" i="79"/>
  <c r="CL154" i="80"/>
  <c r="EX153" i="79"/>
  <c r="DB153" i="80"/>
  <c r="BV155" i="79"/>
  <c r="Z153" i="79"/>
  <c r="FF154" i="79"/>
  <c r="CD151" i="80"/>
  <c r="EX153" i="80"/>
  <c r="Z150" i="79"/>
  <c r="Z149" i="79"/>
  <c r="EX149" i="80"/>
  <c r="FF149" i="79"/>
  <c r="FN149" i="79"/>
  <c r="CL149" i="79"/>
  <c r="BN149" i="79"/>
  <c r="CL149" i="80"/>
  <c r="EP147" i="80"/>
  <c r="AP147" i="79"/>
  <c r="EH153" i="80"/>
  <c r="DR153" i="79"/>
  <c r="AP155" i="79"/>
  <c r="CD155" i="79"/>
  <c r="EP155" i="80"/>
  <c r="EH151" i="79"/>
  <c r="FN154" i="79"/>
  <c r="R153" i="79"/>
  <c r="DJ153" i="80"/>
  <c r="CQ158" i="80"/>
  <c r="EP149" i="79"/>
  <c r="DW158" i="80"/>
  <c r="EM158" i="79"/>
  <c r="CY158" i="79"/>
  <c r="DG158" i="80"/>
  <c r="CA158" i="79"/>
  <c r="EU158" i="80"/>
  <c r="AU158" i="80"/>
  <c r="DG158" i="79"/>
  <c r="EM158" i="80"/>
  <c r="AP140" i="79"/>
  <c r="BS158" i="79"/>
  <c r="FK158" i="80"/>
  <c r="AM158" i="80"/>
  <c r="CQ158" i="79"/>
  <c r="FC158" i="80"/>
  <c r="BC158" i="79"/>
  <c r="BV121" i="80"/>
  <c r="BF123" i="80"/>
  <c r="AH113" i="79"/>
  <c r="AX113" i="79"/>
  <c r="BV113" i="79"/>
  <c r="EH113" i="80"/>
  <c r="DB113" i="79"/>
  <c r="DR112" i="79"/>
  <c r="AH112" i="79"/>
  <c r="EX108" i="80"/>
  <c r="FF108" i="80"/>
  <c r="AH108" i="80"/>
  <c r="Z108" i="80"/>
  <c r="AP108" i="80"/>
  <c r="EX106" i="79"/>
  <c r="CD106" i="80"/>
  <c r="Z106" i="79"/>
  <c r="AP112" i="79"/>
  <c r="CT106" i="79"/>
  <c r="AH99" i="79"/>
  <c r="CL92" i="80"/>
  <c r="AP92" i="80"/>
  <c r="DB92" i="80"/>
  <c r="DJ66" i="79"/>
  <c r="CD66" i="79"/>
  <c r="CL66" i="79"/>
  <c r="CD72" i="79"/>
  <c r="BF66" i="79"/>
  <c r="AH72" i="79"/>
  <c r="EH66" i="79"/>
  <c r="BU57" i="80"/>
  <c r="CK57" i="80"/>
  <c r="Q57" i="80"/>
  <c r="BL57" i="80"/>
  <c r="AW57" i="80"/>
  <c r="CC57" i="80"/>
  <c r="CD57" i="80" s="1"/>
  <c r="DA57" i="80"/>
  <c r="CS57" i="80"/>
  <c r="DI57" i="80"/>
  <c r="CB57" i="79"/>
  <c r="CD57" i="79" s="1"/>
  <c r="EG57" i="80"/>
  <c r="AG57" i="79"/>
  <c r="EW57" i="79"/>
  <c r="BM57" i="79"/>
  <c r="DY57" i="80"/>
  <c r="FM57" i="79"/>
  <c r="AF57" i="80"/>
  <c r="EV57" i="80"/>
  <c r="CZ57" i="80"/>
  <c r="EN57" i="80"/>
  <c r="CR57" i="80"/>
  <c r="AV57" i="80"/>
  <c r="EW57" i="80"/>
  <c r="DX57" i="80"/>
  <c r="DP57" i="80"/>
  <c r="X57" i="79"/>
  <c r="DX57" i="79"/>
  <c r="BD57" i="79"/>
  <c r="EN57" i="79"/>
  <c r="CZ57" i="79"/>
  <c r="DH57" i="79"/>
  <c r="EF57" i="79"/>
  <c r="EV57" i="79"/>
  <c r="AV57" i="79"/>
  <c r="CJ57" i="79"/>
  <c r="FD57" i="79"/>
  <c r="CR57" i="79"/>
  <c r="FL57" i="79"/>
  <c r="BT57" i="79"/>
  <c r="AN57" i="80"/>
  <c r="FE57" i="80"/>
  <c r="DH57" i="80"/>
  <c r="EF57" i="80"/>
  <c r="BT57" i="80"/>
  <c r="BE57" i="80"/>
  <c r="EO57" i="80"/>
  <c r="AN57" i="79"/>
  <c r="CJ57" i="80"/>
  <c r="P57" i="80"/>
  <c r="BD57" i="80"/>
  <c r="CS57" i="79"/>
  <c r="EG57" i="79"/>
  <c r="DY57" i="79"/>
  <c r="BE57" i="79"/>
  <c r="DI57" i="79"/>
  <c r="AW57" i="79"/>
  <c r="Q57" i="79"/>
  <c r="R57" i="79" s="1"/>
  <c r="EO57" i="79"/>
  <c r="CK57" i="79"/>
  <c r="AO57" i="79"/>
  <c r="BU57" i="79"/>
  <c r="FE57" i="79"/>
  <c r="DA57" i="79"/>
  <c r="Y57" i="79"/>
  <c r="AG57" i="80"/>
  <c r="FD57" i="80"/>
  <c r="AF57" i="79"/>
  <c r="X57" i="80"/>
  <c r="Z57" i="80" s="1"/>
  <c r="FL57" i="80"/>
  <c r="DP57" i="79"/>
  <c r="BM57" i="80"/>
  <c r="FM57" i="80"/>
  <c r="DQ57" i="80"/>
  <c r="DQ57" i="79"/>
  <c r="AO57" i="80"/>
  <c r="BL57" i="79"/>
  <c r="BF296" i="80"/>
  <c r="DZ276" i="80"/>
  <c r="EX310" i="79"/>
  <c r="BV244" i="79"/>
  <c r="DJ199" i="79"/>
  <c r="DA202" i="79"/>
  <c r="DJ295" i="80"/>
  <c r="R310" i="79"/>
  <c r="FF226" i="80"/>
  <c r="AP192" i="80"/>
  <c r="DR187" i="79"/>
  <c r="CT187" i="79"/>
  <c r="DJ185" i="80"/>
  <c r="DJ178" i="80"/>
  <c r="FF297" i="79"/>
  <c r="BF311" i="80"/>
  <c r="CL311" i="79"/>
  <c r="Z296" i="80"/>
  <c r="DR311" i="79"/>
  <c r="AH244" i="79"/>
  <c r="EX71" i="79"/>
  <c r="FF185" i="79"/>
  <c r="DR141" i="79"/>
  <c r="BN200" i="79"/>
  <c r="AH310" i="79"/>
  <c r="DJ192" i="80"/>
  <c r="DR185" i="79"/>
  <c r="BV280" i="80"/>
  <c r="AX244" i="79"/>
  <c r="H372" i="79"/>
  <c r="BT372" i="79" s="1"/>
  <c r="AX176" i="79"/>
  <c r="DJ297" i="80"/>
  <c r="EP246" i="80"/>
  <c r="Z185" i="80"/>
  <c r="EX187" i="79"/>
  <c r="DR278" i="80"/>
  <c r="FN268" i="80"/>
  <c r="Z306" i="80"/>
  <c r="BN276" i="80"/>
  <c r="EP178" i="80"/>
  <c r="DR296" i="80"/>
  <c r="EH278" i="79"/>
  <c r="BF295" i="79"/>
  <c r="CT246" i="80"/>
  <c r="BN206" i="79"/>
  <c r="BM207" i="79"/>
  <c r="BV176" i="79"/>
  <c r="AX192" i="80"/>
  <c r="EP250" i="80"/>
  <c r="EH244" i="79"/>
  <c r="CB202" i="79"/>
  <c r="DZ227" i="80"/>
  <c r="DZ306" i="80"/>
  <c r="FN295" i="80"/>
  <c r="CD227" i="80"/>
  <c r="AP250" i="80"/>
  <c r="CL246" i="80"/>
  <c r="CL192" i="80"/>
  <c r="CT193" i="80"/>
  <c r="R178" i="80"/>
  <c r="DB176" i="80"/>
  <c r="DB295" i="80"/>
  <c r="FF187" i="80"/>
  <c r="AP310" i="79"/>
  <c r="FF244" i="79"/>
  <c r="BF311" i="79"/>
  <c r="DJ276" i="80"/>
  <c r="CT244" i="79"/>
  <c r="CT296" i="79"/>
  <c r="DR311" i="80"/>
  <c r="BV311" i="80"/>
  <c r="FN246" i="80"/>
  <c r="BV187" i="79"/>
  <c r="DB192" i="80"/>
  <c r="FF311" i="80"/>
  <c r="FF187" i="79"/>
  <c r="Z253" i="79"/>
  <c r="DJ176" i="79"/>
  <c r="R306" i="80"/>
  <c r="EG207" i="79"/>
  <c r="EH206" i="79"/>
  <c r="FN311" i="79"/>
  <c r="CD244" i="79"/>
  <c r="DJ278" i="80"/>
  <c r="AX199" i="79"/>
  <c r="EP279" i="79"/>
  <c r="CT253" i="79"/>
  <c r="DJ246" i="80"/>
  <c r="EX199" i="79"/>
  <c r="BV199" i="79"/>
  <c r="DZ279" i="79"/>
  <c r="DA207" i="80"/>
  <c r="BV192" i="80"/>
  <c r="FF199" i="79"/>
  <c r="R249" i="79"/>
  <c r="DJ277" i="79"/>
  <c r="DB246" i="80"/>
  <c r="DR244" i="79"/>
  <c r="EH311" i="79"/>
  <c r="R189" i="79"/>
  <c r="FC402" i="80"/>
  <c r="FC405" i="80" s="1"/>
  <c r="FC409" i="80" s="1"/>
  <c r="FC402" i="79"/>
  <c r="FC405" i="79" s="1"/>
  <c r="FC409" i="79" s="1"/>
  <c r="R311" i="79"/>
  <c r="D50" i="82"/>
  <c r="DJ250" i="80"/>
  <c r="EH176" i="80"/>
  <c r="BN296" i="79"/>
  <c r="EP297" i="79"/>
  <c r="Z192" i="80"/>
  <c r="AP246" i="80"/>
  <c r="CT295" i="80"/>
  <c r="Z278" i="80"/>
  <c r="DJ295" i="79"/>
  <c r="BF253" i="79"/>
  <c r="DI207" i="79"/>
  <c r="CD276" i="80"/>
  <c r="FF246" i="80"/>
  <c r="BL202" i="79"/>
  <c r="BF226" i="80"/>
  <c r="H367" i="85"/>
  <c r="J178" i="90" s="1"/>
  <c r="DZ246" i="80"/>
  <c r="DJ206" i="79"/>
  <c r="AH278" i="80"/>
  <c r="EP311" i="79"/>
  <c r="AX278" i="79"/>
  <c r="AH253" i="79"/>
  <c r="DB278" i="79"/>
  <c r="AX178" i="79"/>
  <c r="AX185" i="80"/>
  <c r="AP278" i="79"/>
  <c r="CL176" i="79"/>
  <c r="AH278" i="79"/>
  <c r="AH199" i="79"/>
  <c r="CT295" i="79"/>
  <c r="CL295" i="79"/>
  <c r="R278" i="79"/>
  <c r="BF178" i="79"/>
  <c r="EX244" i="79"/>
  <c r="EX178" i="79"/>
  <c r="CD177" i="79"/>
  <c r="DQ207" i="80"/>
  <c r="BN206" i="80"/>
  <c r="DR246" i="80"/>
  <c r="BN199" i="79"/>
  <c r="DR206" i="80"/>
  <c r="CD176" i="79"/>
  <c r="BF192" i="80"/>
  <c r="CL253" i="79"/>
  <c r="AH226" i="80"/>
  <c r="BF189" i="79"/>
  <c r="BM207" i="80"/>
  <c r="EH297" i="80"/>
  <c r="DR278" i="79"/>
  <c r="EP176" i="79"/>
  <c r="AP278" i="80"/>
  <c r="AH311" i="79"/>
  <c r="EH199" i="79"/>
  <c r="DR199" i="79"/>
  <c r="FF177" i="80"/>
  <c r="Z295" i="79"/>
  <c r="AP311" i="79"/>
  <c r="CT199" i="79"/>
  <c r="AG207" i="80"/>
  <c r="EH177" i="80"/>
  <c r="Z184" i="80"/>
  <c r="CD295" i="79"/>
  <c r="BF295" i="80"/>
  <c r="AX296" i="80"/>
  <c r="AH206" i="80"/>
  <c r="R185" i="79"/>
  <c r="CL277" i="80"/>
  <c r="DB311" i="80"/>
  <c r="BF184" i="80"/>
  <c r="CD295" i="80"/>
  <c r="EX311" i="79"/>
  <c r="FN206" i="80"/>
  <c r="R246" i="80"/>
  <c r="DZ311" i="80"/>
  <c r="EH295" i="79"/>
  <c r="EH306" i="80"/>
  <c r="DZ227" i="79"/>
  <c r="DZ294" i="80"/>
  <c r="EP226" i="80"/>
  <c r="AP193" i="80"/>
  <c r="DJ187" i="79"/>
  <c r="Z185" i="79"/>
  <c r="R192" i="80"/>
  <c r="FN187" i="79"/>
  <c r="DZ295" i="79"/>
  <c r="DZ178" i="79"/>
  <c r="DB293" i="80"/>
  <c r="AX311" i="79"/>
  <c r="E75" i="37"/>
  <c r="FF150" i="80"/>
  <c r="DB187" i="79"/>
  <c r="BF297" i="80"/>
  <c r="FN178" i="79"/>
  <c r="EP297" i="80"/>
  <c r="BN311" i="79"/>
  <c r="Z178" i="79"/>
  <c r="EH189" i="79"/>
  <c r="CT176" i="79"/>
  <c r="FK484" i="79"/>
  <c r="FK465" i="79" s="1"/>
  <c r="FK191" i="79" s="1"/>
  <c r="CT306" i="80"/>
  <c r="EH307" i="80"/>
  <c r="AP311" i="80"/>
  <c r="CD311" i="80"/>
  <c r="DJ311" i="80"/>
  <c r="AX311" i="80"/>
  <c r="Z311" i="80"/>
  <c r="CT311" i="80"/>
  <c r="DZ311" i="79"/>
  <c r="EX297" i="80"/>
  <c r="DR293" i="80"/>
  <c r="EX293" i="79"/>
  <c r="CL297" i="79"/>
  <c r="EP295" i="80"/>
  <c r="BN295" i="79"/>
  <c r="FF295" i="79"/>
  <c r="R295" i="79"/>
  <c r="CT297" i="80"/>
  <c r="O283" i="80"/>
  <c r="O328" i="80" s="1"/>
  <c r="EH278" i="80"/>
  <c r="CT276" i="80"/>
  <c r="BK283" i="80"/>
  <c r="BK328" i="80" s="1"/>
  <c r="FN226" i="80"/>
  <c r="CL227" i="80"/>
  <c r="BF227" i="80"/>
  <c r="FF227" i="80"/>
  <c r="CD226" i="80"/>
  <c r="Z226" i="80"/>
  <c r="DZ226" i="80"/>
  <c r="FN231" i="79"/>
  <c r="DZ226" i="79"/>
  <c r="AH192" i="80"/>
  <c r="BV185" i="80"/>
  <c r="DB184" i="80"/>
  <c r="BN178" i="80"/>
  <c r="EH178" i="80"/>
  <c r="CD178" i="80"/>
  <c r="BV178" i="79"/>
  <c r="EP178" i="79"/>
  <c r="BF177" i="80"/>
  <c r="DJ177" i="80"/>
  <c r="BN184" i="80"/>
  <c r="CT184" i="80"/>
  <c r="CT185" i="80"/>
  <c r="DJ185" i="79"/>
  <c r="FF178" i="79"/>
  <c r="AP176" i="80"/>
  <c r="BV189" i="79"/>
  <c r="CD185" i="80"/>
  <c r="BN185" i="80"/>
  <c r="AX184" i="80"/>
  <c r="DJ187" i="80"/>
  <c r="DR185" i="80"/>
  <c r="FF176" i="79"/>
  <c r="AP177" i="80"/>
  <c r="BN177" i="80"/>
  <c r="BV176" i="80"/>
  <c r="CD177" i="80"/>
  <c r="AX177" i="80"/>
  <c r="EX176" i="80"/>
  <c r="AP184" i="80"/>
  <c r="CD187" i="79"/>
  <c r="FN176" i="80"/>
  <c r="BV177" i="80"/>
  <c r="EX176" i="79"/>
  <c r="AH176" i="79"/>
  <c r="DB177" i="80"/>
  <c r="EX184" i="80"/>
  <c r="AH185" i="80"/>
  <c r="CL184" i="80"/>
  <c r="FN177" i="80"/>
  <c r="AP185" i="80"/>
  <c r="R184" i="80"/>
  <c r="C24" i="32"/>
  <c r="G84" i="13" s="1"/>
  <c r="G84" i="85" s="1"/>
  <c r="I40" i="90" s="1"/>
  <c r="CD184" i="80"/>
  <c r="BN176" i="80"/>
  <c r="EP184" i="80"/>
  <c r="DZ185" i="80"/>
  <c r="DZ184" i="80"/>
  <c r="EP176" i="80"/>
  <c r="FN185" i="80"/>
  <c r="DJ176" i="80"/>
  <c r="FF176" i="80"/>
  <c r="DR177" i="80"/>
  <c r="CD178" i="79"/>
  <c r="CT177" i="80"/>
  <c r="Z177" i="80"/>
  <c r="EH185" i="80"/>
  <c r="FF184" i="80"/>
  <c r="DJ184" i="80"/>
  <c r="AH184" i="79"/>
  <c r="CL176" i="80"/>
  <c r="R178" i="79"/>
  <c r="CT176" i="80"/>
  <c r="AP178" i="80"/>
  <c r="BF185" i="80"/>
  <c r="CL185" i="80"/>
  <c r="DZ177" i="80"/>
  <c r="AX176" i="80"/>
  <c r="DZ176" i="80"/>
  <c r="FF185" i="80"/>
  <c r="DR184" i="80"/>
  <c r="EX177" i="80"/>
  <c r="CT178" i="79"/>
  <c r="DR176" i="80"/>
  <c r="CD176" i="80"/>
  <c r="FN296" i="79"/>
  <c r="AM370" i="80"/>
  <c r="DW376" i="80"/>
  <c r="Q402" i="79"/>
  <c r="AU370" i="80"/>
  <c r="EE370" i="80"/>
  <c r="BK370" i="80"/>
  <c r="BC370" i="80"/>
  <c r="DJ294" i="79"/>
  <c r="EX277" i="80"/>
  <c r="CT124" i="80"/>
  <c r="Z153" i="80"/>
  <c r="AP293" i="80"/>
  <c r="FN104" i="79"/>
  <c r="EP372" i="80"/>
  <c r="FF147" i="79"/>
  <c r="CL372" i="80"/>
  <c r="DZ372" i="80"/>
  <c r="H370" i="79"/>
  <c r="AV370" i="79" s="1"/>
  <c r="BV106" i="79"/>
  <c r="CD253" i="79"/>
  <c r="DJ147" i="79"/>
  <c r="DJ294" i="80"/>
  <c r="AX106" i="79"/>
  <c r="DB372" i="80"/>
  <c r="FF151" i="79"/>
  <c r="BN126" i="80"/>
  <c r="BV194" i="80"/>
  <c r="FN270" i="79"/>
  <c r="EX294" i="80"/>
  <c r="BF294" i="79"/>
  <c r="BV182" i="79"/>
  <c r="Z98" i="79"/>
  <c r="BL143" i="79"/>
  <c r="AH372" i="80"/>
  <c r="AW374" i="80"/>
  <c r="BF372" i="80"/>
  <c r="DR372" i="80"/>
  <c r="Z372" i="80"/>
  <c r="CL278" i="79"/>
  <c r="BF246" i="80"/>
  <c r="CL226" i="80"/>
  <c r="DB181" i="79"/>
  <c r="FF295" i="80"/>
  <c r="AF143" i="79"/>
  <c r="DZ155" i="80"/>
  <c r="FF244" i="80"/>
  <c r="AP123" i="80"/>
  <c r="BF155" i="80"/>
  <c r="BF277" i="80"/>
  <c r="BF241" i="80"/>
  <c r="AG143" i="79"/>
  <c r="CL247" i="80"/>
  <c r="AX270" i="80"/>
  <c r="BV98" i="80"/>
  <c r="BV120" i="79"/>
  <c r="CD293" i="80"/>
  <c r="BN154" i="79"/>
  <c r="DJ124" i="80"/>
  <c r="EP154" i="80"/>
  <c r="AH294" i="79"/>
  <c r="Z155" i="80"/>
  <c r="P143" i="79"/>
  <c r="BF126" i="79"/>
  <c r="AH227" i="79"/>
  <c r="DA373" i="80"/>
  <c r="DJ96" i="80"/>
  <c r="EX184" i="79"/>
  <c r="BN155" i="80"/>
  <c r="FF227" i="79"/>
  <c r="CL126" i="79"/>
  <c r="EP244" i="80"/>
  <c r="DJ296" i="79"/>
  <c r="DR91" i="80"/>
  <c r="R124" i="80"/>
  <c r="BN125" i="79"/>
  <c r="CJ372" i="80"/>
  <c r="BT143" i="79"/>
  <c r="AP142" i="80"/>
  <c r="EX97" i="80"/>
  <c r="EX226" i="80"/>
  <c r="BE373" i="80"/>
  <c r="DR194" i="80"/>
  <c r="FN89" i="79"/>
  <c r="DZ307" i="79"/>
  <c r="BU373" i="80"/>
  <c r="EP294" i="79"/>
  <c r="EX241" i="80"/>
  <c r="AX184" i="79"/>
  <c r="R130" i="79"/>
  <c r="AX232" i="80"/>
  <c r="FN124" i="79"/>
  <c r="EH69" i="79"/>
  <c r="BF142" i="79"/>
  <c r="EP126" i="79"/>
  <c r="DH373" i="80"/>
  <c r="FF184" i="79"/>
  <c r="BN245" i="79"/>
  <c r="BV253" i="79"/>
  <c r="DJ125" i="80"/>
  <c r="CL278" i="80"/>
  <c r="AX193" i="80"/>
  <c r="CT126" i="80"/>
  <c r="FN182" i="80"/>
  <c r="EP270" i="79"/>
  <c r="CL97" i="79"/>
  <c r="Z293" i="80"/>
  <c r="DB150" i="80"/>
  <c r="DB305" i="79"/>
  <c r="EW143" i="79"/>
  <c r="FN98" i="80"/>
  <c r="DJ226" i="80"/>
  <c r="AH277" i="80"/>
  <c r="DZ277" i="80"/>
  <c r="CL126" i="80"/>
  <c r="CT189" i="80"/>
  <c r="AH151" i="80"/>
  <c r="AP22" i="80"/>
  <c r="AP398" i="80" s="1"/>
  <c r="AP106" i="79"/>
  <c r="EX97" i="79"/>
  <c r="EH268" i="80"/>
  <c r="EH295" i="80"/>
  <c r="AH106" i="79"/>
  <c r="Z92" i="80"/>
  <c r="DJ255" i="80"/>
  <c r="DP373" i="80"/>
  <c r="CD277" i="79"/>
  <c r="EV143" i="79"/>
  <c r="H369" i="85"/>
  <c r="J180" i="90" s="1"/>
  <c r="DB189" i="80"/>
  <c r="EF373" i="80"/>
  <c r="R125" i="80"/>
  <c r="EP305" i="79"/>
  <c r="EH24" i="79"/>
  <c r="EH400" i="79" s="1"/>
  <c r="Z229" i="80"/>
  <c r="FL100" i="80"/>
  <c r="DJ71" i="79"/>
  <c r="AF373" i="80"/>
  <c r="DR99" i="80"/>
  <c r="EH124" i="79"/>
  <c r="BL373" i="80"/>
  <c r="Z97" i="79"/>
  <c r="DB184" i="79"/>
  <c r="FN242" i="79"/>
  <c r="CR100" i="79"/>
  <c r="AO143" i="79"/>
  <c r="CB373" i="80"/>
  <c r="I420" i="79"/>
  <c r="I421" i="79" s="1"/>
  <c r="I452" i="79" s="1"/>
  <c r="DB124" i="79"/>
  <c r="BN305" i="80"/>
  <c r="R123" i="80"/>
  <c r="DZ124" i="79"/>
  <c r="CL151" i="79"/>
  <c r="CR373" i="80"/>
  <c r="FL373" i="80"/>
  <c r="EH307" i="79"/>
  <c r="CJ373" i="80"/>
  <c r="CT155" i="79"/>
  <c r="CK143" i="79"/>
  <c r="X373" i="80"/>
  <c r="DZ98" i="80"/>
  <c r="AH22" i="79"/>
  <c r="AH398" i="79" s="1"/>
  <c r="BD373" i="80"/>
  <c r="CT112" i="80"/>
  <c r="J374" i="79"/>
  <c r="EH374" i="79" s="1"/>
  <c r="FF242" i="80"/>
  <c r="EX92" i="80"/>
  <c r="BV124" i="79"/>
  <c r="EN373" i="80"/>
  <c r="J374" i="80"/>
  <c r="DZ374" i="80" s="1"/>
  <c r="DQ143" i="79"/>
  <c r="DB252" i="79"/>
  <c r="CT91" i="80"/>
  <c r="BN130" i="80"/>
  <c r="AH114" i="79"/>
  <c r="CZ373" i="80"/>
  <c r="FD373" i="80"/>
  <c r="EP256" i="79"/>
  <c r="BE143" i="79"/>
  <c r="Z124" i="79"/>
  <c r="Z149" i="80"/>
  <c r="FN189" i="80"/>
  <c r="AN373" i="80"/>
  <c r="DB107" i="80"/>
  <c r="Z277" i="80"/>
  <c r="CL177" i="80"/>
  <c r="FN97" i="79"/>
  <c r="DZ297" i="79"/>
  <c r="R129" i="80"/>
  <c r="DX370" i="80"/>
  <c r="CB370" i="80"/>
  <c r="BL370" i="80"/>
  <c r="AF370" i="80"/>
  <c r="EN370" i="80"/>
  <c r="BD370" i="80"/>
  <c r="CR370" i="80"/>
  <c r="CZ370" i="80"/>
  <c r="CJ370" i="80"/>
  <c r="FL370" i="80"/>
  <c r="FD370" i="80"/>
  <c r="X370" i="80"/>
  <c r="EF370" i="80"/>
  <c r="AN370" i="80"/>
  <c r="DP370" i="80"/>
  <c r="DH370" i="80"/>
  <c r="FL374" i="80"/>
  <c r="CB374" i="80"/>
  <c r="BF309" i="80"/>
  <c r="BN154" i="80"/>
  <c r="EH232" i="80"/>
  <c r="EH97" i="79"/>
  <c r="AH155" i="80"/>
  <c r="Z107" i="80"/>
  <c r="Z232" i="80"/>
  <c r="DZ24" i="79"/>
  <c r="DZ400" i="79" s="1"/>
  <c r="FF121" i="80"/>
  <c r="EP24" i="79"/>
  <c r="EP400" i="79" s="1"/>
  <c r="R155" i="79"/>
  <c r="DJ232" i="80"/>
  <c r="CL147" i="80"/>
  <c r="DB194" i="80"/>
  <c r="AX229" i="80"/>
  <c r="DB67" i="80"/>
  <c r="CL241" i="80"/>
  <c r="CD294" i="79"/>
  <c r="H365" i="85"/>
  <c r="J176" i="90" s="1"/>
  <c r="CD268" i="80"/>
  <c r="H374" i="79"/>
  <c r="BT374" i="79" s="1"/>
  <c r="CT294" i="79"/>
  <c r="R97" i="80"/>
  <c r="EP121" i="80"/>
  <c r="CR202" i="79"/>
  <c r="Q17" i="35"/>
  <c r="S17" i="35" s="1"/>
  <c r="DZ96" i="80"/>
  <c r="DQ404" i="80"/>
  <c r="DQ419" i="80" s="1"/>
  <c r="AP226" i="80"/>
  <c r="BV232" i="80"/>
  <c r="EP97" i="79"/>
  <c r="AX155" i="79"/>
  <c r="FF277" i="79"/>
  <c r="DJ277" i="80"/>
  <c r="DJ293" i="80"/>
  <c r="R13" i="35"/>
  <c r="CZ143" i="79"/>
  <c r="Q13" i="35"/>
  <c r="CL214" i="79"/>
  <c r="EX268" i="80"/>
  <c r="FF106" i="79"/>
  <c r="FN194" i="80"/>
  <c r="AX124" i="79"/>
  <c r="BN293" i="80"/>
  <c r="DR107" i="80"/>
  <c r="EH277" i="80"/>
  <c r="EX125" i="79"/>
  <c r="AX103" i="79"/>
  <c r="DR98" i="80"/>
  <c r="AH245" i="79"/>
  <c r="FN213" i="80"/>
  <c r="EH277" i="79"/>
  <c r="FF154" i="80"/>
  <c r="EH71" i="79"/>
  <c r="DJ227" i="80"/>
  <c r="FF97" i="79"/>
  <c r="FN252" i="80"/>
  <c r="Z126" i="79"/>
  <c r="CT153" i="79"/>
  <c r="FF69" i="79"/>
  <c r="BF194" i="80"/>
  <c r="DB139" i="79"/>
  <c r="R106" i="79"/>
  <c r="CL294" i="79"/>
  <c r="AX98" i="80"/>
  <c r="Z140" i="79"/>
  <c r="DR154" i="80"/>
  <c r="EP242" i="79"/>
  <c r="BN232" i="80"/>
  <c r="BF106" i="79"/>
  <c r="CT277" i="79"/>
  <c r="AP153" i="80"/>
  <c r="AP124" i="79"/>
  <c r="CL270" i="80"/>
  <c r="CD141" i="79"/>
  <c r="AX125" i="79"/>
  <c r="AP182" i="79"/>
  <c r="BN140" i="79"/>
  <c r="Z126" i="80"/>
  <c r="DR121" i="80"/>
  <c r="FN294" i="79"/>
  <c r="EX107" i="80"/>
  <c r="CT107" i="80"/>
  <c r="AP297" i="80"/>
  <c r="BV296" i="79"/>
  <c r="R232" i="80"/>
  <c r="Z182" i="79"/>
  <c r="BF125" i="80"/>
  <c r="R58" i="80"/>
  <c r="BN114" i="79"/>
  <c r="BF232" i="80"/>
  <c r="CL252" i="79"/>
  <c r="EX155" i="80"/>
  <c r="DB153" i="79"/>
  <c r="CD278" i="80"/>
  <c r="Z142" i="79"/>
  <c r="DJ279" i="80"/>
  <c r="Z294" i="79"/>
  <c r="EP241" i="80"/>
  <c r="R295" i="80"/>
  <c r="AH107" i="80"/>
  <c r="CT139" i="80"/>
  <c r="CT277" i="80"/>
  <c r="FN277" i="79"/>
  <c r="DR142" i="79"/>
  <c r="DR178" i="79"/>
  <c r="DB277" i="80"/>
  <c r="DR294" i="79"/>
  <c r="EH114" i="79"/>
  <c r="DB151" i="80"/>
  <c r="CL293" i="80"/>
  <c r="BN296" i="80"/>
  <c r="AP151" i="79"/>
  <c r="EP277" i="80"/>
  <c r="Y143" i="79"/>
  <c r="AX293" i="80"/>
  <c r="FF107" i="80"/>
  <c r="BF121" i="79"/>
  <c r="DR58" i="80"/>
  <c r="FN277" i="80"/>
  <c r="CT130" i="79"/>
  <c r="AH270" i="80"/>
  <c r="DB97" i="79"/>
  <c r="R155" i="80"/>
  <c r="FF182" i="79"/>
  <c r="CD252" i="79"/>
  <c r="BN58" i="80"/>
  <c r="EH294" i="79"/>
  <c r="AU419" i="80"/>
  <c r="AU420" i="80" s="1"/>
  <c r="AU425" i="80"/>
  <c r="BD187" i="79"/>
  <c r="BE187" i="79"/>
  <c r="EG59" i="80"/>
  <c r="EF59" i="80"/>
  <c r="CS59" i="80"/>
  <c r="BL59" i="80"/>
  <c r="X59" i="80"/>
  <c r="EO59" i="80"/>
  <c r="DH398" i="79"/>
  <c r="DH402" i="79" s="1"/>
  <c r="DJ22" i="79"/>
  <c r="DJ398" i="79" s="1"/>
  <c r="Z278" i="79"/>
  <c r="BV153" i="79"/>
  <c r="CA158" i="80"/>
  <c r="AU405" i="80"/>
  <c r="AU409" i="80" s="1"/>
  <c r="P400" i="79"/>
  <c r="P402" i="79" s="1"/>
  <c r="R24" i="79"/>
  <c r="R400" i="79" s="1"/>
  <c r="EW398" i="79"/>
  <c r="EW402" i="79" s="1"/>
  <c r="EX22" i="79"/>
  <c r="EX398" i="79" s="1"/>
  <c r="CD232" i="80"/>
  <c r="BF278" i="79"/>
  <c r="AP120" i="79"/>
  <c r="EP278" i="80"/>
  <c r="DO376" i="80"/>
  <c r="DG376" i="80"/>
  <c r="W376" i="80"/>
  <c r="CY376" i="80"/>
  <c r="CQ376" i="80"/>
  <c r="EM376" i="80"/>
  <c r="BK376" i="80"/>
  <c r="BC376" i="80"/>
  <c r="FK376" i="80"/>
  <c r="CA376" i="80"/>
  <c r="AU376" i="80"/>
  <c r="FC376" i="80"/>
  <c r="EU376" i="80"/>
  <c r="AM376" i="80"/>
  <c r="AE376" i="80"/>
  <c r="BS376" i="80"/>
  <c r="CI376" i="80"/>
  <c r="AX149" i="80"/>
  <c r="I370" i="79"/>
  <c r="CS370" i="79" s="1"/>
  <c r="I370" i="80"/>
  <c r="FE370" i="80" s="1"/>
  <c r="I365" i="85"/>
  <c r="K176" i="90" s="1"/>
  <c r="CL130" i="80"/>
  <c r="R184" i="79"/>
  <c r="EH226" i="80"/>
  <c r="AE283" i="80"/>
  <c r="AE328" i="80" s="1"/>
  <c r="FE373" i="80"/>
  <c r="DR22" i="79"/>
  <c r="DR398" i="79" s="1"/>
  <c r="Z106" i="80"/>
  <c r="BK372" i="80"/>
  <c r="EU370" i="80"/>
  <c r="R22" i="79"/>
  <c r="R398" i="79" s="1"/>
  <c r="FC283" i="80"/>
  <c r="FC328" i="80" s="1"/>
  <c r="CQ283" i="80"/>
  <c r="CQ328" i="80" s="1"/>
  <c r="FF252" i="79"/>
  <c r="W283" i="80"/>
  <c r="W328" i="80" s="1"/>
  <c r="BC283" i="80"/>
  <c r="BC328" i="80" s="1"/>
  <c r="W158" i="80"/>
  <c r="EO373" i="80"/>
  <c r="AE420" i="80"/>
  <c r="FC420" i="79"/>
  <c r="FF294" i="79"/>
  <c r="EU372" i="80"/>
  <c r="BN226" i="80"/>
  <c r="FK370" i="80"/>
  <c r="CQ484" i="79"/>
  <c r="CQ465" i="79" s="1"/>
  <c r="CQ191" i="79" s="1"/>
  <c r="CR191" i="79" s="1"/>
  <c r="CR196" i="79" s="1"/>
  <c r="DP143" i="79"/>
  <c r="DJ67" i="79"/>
  <c r="CK100" i="80"/>
  <c r="P100" i="80"/>
  <c r="EH126" i="79"/>
  <c r="CY283" i="80"/>
  <c r="CY328" i="80" s="1"/>
  <c r="AM158" i="79"/>
  <c r="EM283" i="80"/>
  <c r="EM328" i="80" s="1"/>
  <c r="FF372" i="80"/>
  <c r="DY373" i="80"/>
  <c r="DR139" i="80"/>
  <c r="BF99" i="80"/>
  <c r="R294" i="79"/>
  <c r="CA372" i="80"/>
  <c r="FC372" i="80"/>
  <c r="BS370" i="80"/>
  <c r="EX141" i="79"/>
  <c r="AM484" i="79"/>
  <c r="AM465" i="79" s="1"/>
  <c r="AM191" i="79" s="1"/>
  <c r="AM196" i="79" s="1"/>
  <c r="AP107" i="80"/>
  <c r="AP98" i="79"/>
  <c r="D53" i="82"/>
  <c r="D58" i="82" s="1"/>
  <c r="D59" i="82" s="1"/>
  <c r="BN126" i="79"/>
  <c r="EP277" i="79"/>
  <c r="DB149" i="80"/>
  <c r="DJ372" i="80"/>
  <c r="EG373" i="80"/>
  <c r="AE405" i="79"/>
  <c r="AE409" i="79" s="1"/>
  <c r="CI372" i="80"/>
  <c r="FK372" i="80"/>
  <c r="R226" i="80"/>
  <c r="BV226" i="80"/>
  <c r="CA370" i="80"/>
  <c r="DJ155" i="80"/>
  <c r="EP97" i="80"/>
  <c r="DX100" i="80"/>
  <c r="AH121" i="80"/>
  <c r="AG373" i="80"/>
  <c r="CL139" i="80"/>
  <c r="W372" i="80"/>
  <c r="BS372" i="80"/>
  <c r="CI370" i="80"/>
  <c r="AN143" i="79"/>
  <c r="Q50" i="82"/>
  <c r="Q72" i="82" s="1"/>
  <c r="FN244" i="80"/>
  <c r="CI158" i="80"/>
  <c r="DB277" i="79"/>
  <c r="FN71" i="79"/>
  <c r="AH124" i="79"/>
  <c r="Z22" i="79"/>
  <c r="Z398" i="79" s="1"/>
  <c r="CL194" i="80"/>
  <c r="H56" i="36"/>
  <c r="FF211" i="79"/>
  <c r="BF212" i="79"/>
  <c r="EH132" i="79"/>
  <c r="AH142" i="80"/>
  <c r="CT155" i="80"/>
  <c r="BS158" i="80"/>
  <c r="EE158" i="80"/>
  <c r="AX372" i="80"/>
  <c r="AW373" i="80"/>
  <c r="AE372" i="80"/>
  <c r="CQ370" i="80"/>
  <c r="R141" i="79"/>
  <c r="Z141" i="79"/>
  <c r="CL141" i="79"/>
  <c r="CD277" i="80"/>
  <c r="EM370" i="80"/>
  <c r="FF181" i="80"/>
  <c r="EU420" i="79"/>
  <c r="J421" i="79"/>
  <c r="J452" i="79" s="1"/>
  <c r="FK487" i="79"/>
  <c r="FK488" i="79" s="1"/>
  <c r="FK489" i="79" s="1"/>
  <c r="FK466" i="79" s="1"/>
  <c r="FK301" i="79" s="1"/>
  <c r="FC489" i="79"/>
  <c r="FC466" i="79" s="1"/>
  <c r="FC301" i="79" s="1"/>
  <c r="FE301" i="79" s="1"/>
  <c r="FE302" i="79" s="1"/>
  <c r="FF182" i="80"/>
  <c r="EX231" i="80"/>
  <c r="FF98" i="79"/>
  <c r="FF97" i="80"/>
  <c r="DB106" i="79"/>
  <c r="AP252" i="79"/>
  <c r="AH149" i="80"/>
  <c r="DW283" i="80"/>
  <c r="DW328" i="80" s="1"/>
  <c r="CY158" i="80"/>
  <c r="BD143" i="79"/>
  <c r="CD372" i="80"/>
  <c r="CC373" i="80"/>
  <c r="AM420" i="80"/>
  <c r="DO420" i="79"/>
  <c r="DB232" i="80"/>
  <c r="AM372" i="80"/>
  <c r="CY370" i="80"/>
  <c r="BN277" i="80"/>
  <c r="FN229" i="80"/>
  <c r="Z296" i="79"/>
  <c r="FC370" i="80"/>
  <c r="AH295" i="80"/>
  <c r="Z132" i="80"/>
  <c r="CL155" i="80"/>
  <c r="FC283" i="79"/>
  <c r="FC328" i="79" s="1"/>
  <c r="EU158" i="79"/>
  <c r="BK158" i="79"/>
  <c r="CT372" i="80"/>
  <c r="CS373" i="80"/>
  <c r="EU405" i="79"/>
  <c r="EU409" i="79" s="1"/>
  <c r="AU372" i="80"/>
  <c r="DG370" i="80"/>
  <c r="BF71" i="79"/>
  <c r="Z151" i="79"/>
  <c r="DR277" i="80"/>
  <c r="AP277" i="80"/>
  <c r="EX277" i="79"/>
  <c r="EU283" i="80"/>
  <c r="EU328" i="80" s="1"/>
  <c r="CQ38" i="79"/>
  <c r="CQ434" i="79" s="1"/>
  <c r="AO373" i="80"/>
  <c r="CQ48" i="79"/>
  <c r="CQ393" i="79" s="1"/>
  <c r="DG484" i="79"/>
  <c r="DG465" i="79" s="1"/>
  <c r="DG191" i="79" s="1"/>
  <c r="DB70" i="80"/>
  <c r="DA100" i="79"/>
  <c r="EP92" i="79"/>
  <c r="BV24" i="79"/>
  <c r="BV400" i="79" s="1"/>
  <c r="EH121" i="80"/>
  <c r="D22" i="35"/>
  <c r="G374" i="85" s="1"/>
  <c r="G373" i="85"/>
  <c r="AU158" i="79"/>
  <c r="BU143" i="79"/>
  <c r="EX372" i="80"/>
  <c r="EW373" i="80"/>
  <c r="DG402" i="80"/>
  <c r="DG405" i="80" s="1"/>
  <c r="DG409" i="80" s="1"/>
  <c r="AE402" i="80"/>
  <c r="AE405" i="80" s="1"/>
  <c r="AE409" i="80" s="1"/>
  <c r="FK420" i="79"/>
  <c r="BC372" i="80"/>
  <c r="W370" i="80"/>
  <c r="DO370" i="80"/>
  <c r="CD149" i="79"/>
  <c r="EM372" i="80"/>
  <c r="BF277" i="79"/>
  <c r="CL106" i="79"/>
  <c r="R242" i="80"/>
  <c r="CI158" i="79"/>
  <c r="Y373" i="80"/>
  <c r="EM420" i="79"/>
  <c r="AE370" i="80"/>
  <c r="O420" i="79"/>
  <c r="DG420" i="79"/>
  <c r="EM405" i="80"/>
  <c r="EM409" i="80" s="1"/>
  <c r="BS420" i="79"/>
  <c r="AP126" i="79"/>
  <c r="FF124" i="79"/>
  <c r="BN184" i="79"/>
  <c r="DO402" i="80"/>
  <c r="DO405" i="80" s="1"/>
  <c r="DO409" i="80" s="1"/>
  <c r="BC402" i="80"/>
  <c r="BC405" i="80" s="1"/>
  <c r="BC409" i="80" s="1"/>
  <c r="DG405" i="79"/>
  <c r="DG409" i="79" s="1"/>
  <c r="DO405" i="79"/>
  <c r="DO409" i="79" s="1"/>
  <c r="CD297" i="79"/>
  <c r="BN297" i="79"/>
  <c r="G100" i="26"/>
  <c r="G237" i="85"/>
  <c r="AH149" i="79"/>
  <c r="AX97" i="80"/>
  <c r="DR189" i="80"/>
  <c r="EF374" i="80"/>
  <c r="FM374" i="80"/>
  <c r="DH372" i="80"/>
  <c r="CJ374" i="80"/>
  <c r="CK374" i="80"/>
  <c r="AV372" i="80"/>
  <c r="DH374" i="80"/>
  <c r="CC374" i="80"/>
  <c r="EG374" i="80"/>
  <c r="EV372" i="80"/>
  <c r="DR124" i="79"/>
  <c r="DZ71" i="79"/>
  <c r="DR180" i="80"/>
  <c r="CT124" i="79"/>
  <c r="BN132" i="79"/>
  <c r="AH125" i="80"/>
  <c r="DR106" i="79"/>
  <c r="BN244" i="80"/>
  <c r="BT370" i="80"/>
  <c r="AV370" i="80"/>
  <c r="EV370" i="80"/>
  <c r="BT373" i="80"/>
  <c r="AV373" i="80"/>
  <c r="EV373" i="80"/>
  <c r="EH372" i="80"/>
  <c r="BV372" i="80"/>
  <c r="AP372" i="80"/>
  <c r="BN372" i="80"/>
  <c r="DI373" i="80"/>
  <c r="DQ373" i="80"/>
  <c r="BM373" i="80"/>
  <c r="FM373" i="80"/>
  <c r="H405" i="79"/>
  <c r="H409" i="79" s="1"/>
  <c r="X374" i="80"/>
  <c r="DX374" i="80"/>
  <c r="CZ374" i="80"/>
  <c r="AF374" i="80"/>
  <c r="CR374" i="80"/>
  <c r="AO374" i="80"/>
  <c r="Y374" i="80"/>
  <c r="DY374" i="80"/>
  <c r="DA374" i="80"/>
  <c r="X372" i="80"/>
  <c r="CZ372" i="80"/>
  <c r="DP372" i="80"/>
  <c r="BL372" i="80"/>
  <c r="FL372" i="80"/>
  <c r="FN121" i="80"/>
  <c r="BD374" i="80"/>
  <c r="EN374" i="80"/>
  <c r="FD374" i="80"/>
  <c r="AV374" i="80"/>
  <c r="EV374" i="80"/>
  <c r="DI374" i="80"/>
  <c r="AG374" i="80"/>
  <c r="BE374" i="80"/>
  <c r="EO374" i="80"/>
  <c r="FE374" i="80"/>
  <c r="BT372" i="80"/>
  <c r="FD372" i="80"/>
  <c r="EF372" i="80"/>
  <c r="CB372" i="80"/>
  <c r="DX372" i="80"/>
  <c r="EP71" i="79"/>
  <c r="DP374" i="80"/>
  <c r="BT374" i="80"/>
  <c r="AN374" i="80"/>
  <c r="BL374" i="80"/>
  <c r="BM374" i="80"/>
  <c r="CS374" i="80"/>
  <c r="EW374" i="80"/>
  <c r="BU374" i="80"/>
  <c r="BD372" i="80"/>
  <c r="AN372" i="80"/>
  <c r="AF372" i="80"/>
  <c r="CR372" i="80"/>
  <c r="DR92" i="80"/>
  <c r="AX125" i="80"/>
  <c r="EH184" i="79"/>
  <c r="EH294" i="80"/>
  <c r="BV139" i="80"/>
  <c r="DJ121" i="80"/>
  <c r="CD24" i="79"/>
  <c r="CD400" i="79" s="1"/>
  <c r="BF24" i="79"/>
  <c r="BF400" i="79" s="1"/>
  <c r="FN200" i="80"/>
  <c r="DJ305" i="79"/>
  <c r="EG100" i="79"/>
  <c r="CT97" i="79"/>
  <c r="AP24" i="79"/>
  <c r="AP400" i="79" s="1"/>
  <c r="FD100" i="80"/>
  <c r="FN184" i="79"/>
  <c r="DJ124" i="79"/>
  <c r="CT126" i="79"/>
  <c r="DB126" i="79"/>
  <c r="FN155" i="80"/>
  <c r="Z279" i="80"/>
  <c r="AX189" i="80"/>
  <c r="AP270" i="80"/>
  <c r="EX255" i="79"/>
  <c r="CR402" i="80"/>
  <c r="BM34" i="80"/>
  <c r="BF124" i="79"/>
  <c r="CD121" i="80"/>
  <c r="FF155" i="80"/>
  <c r="FN227" i="79"/>
  <c r="AX180" i="80"/>
  <c r="R296" i="79"/>
  <c r="EH98" i="79"/>
  <c r="FN305" i="79"/>
  <c r="CT121" i="80"/>
  <c r="BF121" i="80"/>
  <c r="DJ106" i="79"/>
  <c r="BV99" i="80"/>
  <c r="R124" i="79"/>
  <c r="EX229" i="80"/>
  <c r="BN87" i="80"/>
  <c r="EX124" i="79"/>
  <c r="Q100" i="80"/>
  <c r="DP100" i="80"/>
  <c r="AX22" i="79"/>
  <c r="AX398" i="79" s="1"/>
  <c r="CL277" i="79"/>
  <c r="Z213" i="80"/>
  <c r="EH155" i="80"/>
  <c r="DB155" i="80"/>
  <c r="CD189" i="80"/>
  <c r="FF180" i="80"/>
  <c r="BV180" i="80"/>
  <c r="AH244" i="80"/>
  <c r="CL180" i="80"/>
  <c r="EH139" i="80"/>
  <c r="DB180" i="80"/>
  <c r="EH244" i="80"/>
  <c r="EX244" i="80"/>
  <c r="AX121" i="80"/>
  <c r="AH126" i="79"/>
  <c r="CL121" i="80"/>
  <c r="AH189" i="80"/>
  <c r="CT232" i="80"/>
  <c r="DB139" i="80"/>
  <c r="CL87" i="80"/>
  <c r="EO402" i="79"/>
  <c r="Y402" i="79"/>
  <c r="BN295" i="80"/>
  <c r="FN276" i="79"/>
  <c r="J375" i="80"/>
  <c r="CT375" i="80" s="1"/>
  <c r="J370" i="85"/>
  <c r="L181" i="90" s="1"/>
  <c r="DR97" i="79"/>
  <c r="J370" i="80"/>
  <c r="EX370" i="80" s="1"/>
  <c r="J365" i="85"/>
  <c r="L176" i="90" s="1"/>
  <c r="H371" i="80"/>
  <c r="CR371" i="80" s="1"/>
  <c r="H366" i="85"/>
  <c r="J177" i="90" s="1"/>
  <c r="J373" i="80"/>
  <c r="FN373" i="80" s="1"/>
  <c r="J368" i="85"/>
  <c r="L179" i="90" s="1"/>
  <c r="H420" i="79"/>
  <c r="H421" i="79" s="1"/>
  <c r="H452" i="79" s="1"/>
  <c r="DB226" i="80"/>
  <c r="AX294" i="80"/>
  <c r="I371" i="80"/>
  <c r="Q371" i="80" s="1"/>
  <c r="I366" i="85"/>
  <c r="K177" i="90" s="1"/>
  <c r="I372" i="80"/>
  <c r="BE372" i="80" s="1"/>
  <c r="I367" i="85"/>
  <c r="K178" i="90" s="1"/>
  <c r="F15" i="32"/>
  <c r="J196" i="85"/>
  <c r="DJ296" i="80"/>
  <c r="BF294" i="80"/>
  <c r="EX296" i="80"/>
  <c r="FN211" i="79"/>
  <c r="Y100" i="79"/>
  <c r="BN24" i="79"/>
  <c r="BN400" i="79" s="1"/>
  <c r="EX126" i="79"/>
  <c r="BV277" i="79"/>
  <c r="DR270" i="79"/>
  <c r="EH227" i="79"/>
  <c r="AP270" i="79"/>
  <c r="BU402" i="79"/>
  <c r="CL71" i="79"/>
  <c r="CD124" i="79"/>
  <c r="EX132" i="79"/>
  <c r="AX294" i="79"/>
  <c r="CL24" i="79"/>
  <c r="CL400" i="79" s="1"/>
  <c r="DZ89" i="79"/>
  <c r="Z24" i="79"/>
  <c r="Z400" i="79" s="1"/>
  <c r="Z184" i="79"/>
  <c r="DB98" i="79"/>
  <c r="DR126" i="79"/>
  <c r="BS405" i="79"/>
  <c r="BS409" i="79" s="1"/>
  <c r="BN294" i="79"/>
  <c r="EH296" i="80"/>
  <c r="CD296" i="80"/>
  <c r="R99" i="80"/>
  <c r="CL295" i="80"/>
  <c r="X402" i="79"/>
  <c r="BE402" i="79"/>
  <c r="DZ270" i="80"/>
  <c r="BD176" i="79"/>
  <c r="BE176" i="79"/>
  <c r="BL187" i="79"/>
  <c r="BM187" i="79"/>
  <c r="BM176" i="79"/>
  <c r="BL176" i="79"/>
  <c r="BE180" i="79"/>
  <c r="BD180" i="79"/>
  <c r="BL180" i="79"/>
  <c r="BM180" i="79"/>
  <c r="BV252" i="80"/>
  <c r="DX59" i="80"/>
  <c r="CK59" i="80"/>
  <c r="EN59" i="80"/>
  <c r="CC59" i="80"/>
  <c r="DI207" i="80"/>
  <c r="CA402" i="80"/>
  <c r="CA405" i="80" s="1"/>
  <c r="CA409" i="80" s="1"/>
  <c r="W402" i="80"/>
  <c r="W405" i="80" s="1"/>
  <c r="W409" i="80" s="1"/>
  <c r="CY405" i="80"/>
  <c r="CY409" i="80" s="1"/>
  <c r="FK405" i="79"/>
  <c r="FK409" i="79" s="1"/>
  <c r="AP294" i="80"/>
  <c r="CD270" i="80"/>
  <c r="CQ419" i="80"/>
  <c r="CQ425" i="80"/>
  <c r="Z99" i="80"/>
  <c r="AH99" i="80"/>
  <c r="BF270" i="80"/>
  <c r="G418" i="80"/>
  <c r="G420" i="80" s="1"/>
  <c r="G424" i="80"/>
  <c r="FK374" i="79"/>
  <c r="EE374" i="79"/>
  <c r="CY374" i="79"/>
  <c r="BS374" i="79"/>
  <c r="CQ374" i="79"/>
  <c r="CI374" i="79"/>
  <c r="CA374" i="79"/>
  <c r="W374" i="79"/>
  <c r="DW374" i="79"/>
  <c r="DO374" i="79"/>
  <c r="DG374" i="79"/>
  <c r="FC374" i="79"/>
  <c r="EU374" i="79"/>
  <c r="EM374" i="79"/>
  <c r="AM374" i="79"/>
  <c r="BK374" i="79"/>
  <c r="BC374" i="79"/>
  <c r="AU374" i="79"/>
  <c r="AE374" i="79"/>
  <c r="CC402" i="79"/>
  <c r="FK370" i="79"/>
  <c r="EE370" i="79"/>
  <c r="CY370" i="79"/>
  <c r="BS370" i="79"/>
  <c r="DW370" i="79"/>
  <c r="DO370" i="79"/>
  <c r="DG370" i="79"/>
  <c r="W370" i="79"/>
  <c r="FC370" i="79"/>
  <c r="EU370" i="79"/>
  <c r="EM370" i="79"/>
  <c r="BK370" i="79"/>
  <c r="BC370" i="79"/>
  <c r="AU370" i="79"/>
  <c r="AM370" i="79"/>
  <c r="CQ370" i="79"/>
  <c r="AE370" i="79"/>
  <c r="CI370" i="79"/>
  <c r="CA370" i="79"/>
  <c r="FC371" i="79"/>
  <c r="DW371" i="79"/>
  <c r="CQ371" i="79"/>
  <c r="BK371" i="79"/>
  <c r="DO371" i="79"/>
  <c r="DG371" i="79"/>
  <c r="EU371" i="79"/>
  <c r="EM371" i="79"/>
  <c r="EE371" i="79"/>
  <c r="CY371" i="79"/>
  <c r="FK371" i="79"/>
  <c r="BC371" i="79"/>
  <c r="AU371" i="79"/>
  <c r="AM371" i="79"/>
  <c r="CI371" i="79"/>
  <c r="CA371" i="79"/>
  <c r="BS371" i="79"/>
  <c r="AE371" i="79"/>
  <c r="W371" i="79"/>
  <c r="G409" i="79"/>
  <c r="G414" i="79" s="1"/>
  <c r="DO484" i="79"/>
  <c r="DO465" i="79" s="1"/>
  <c r="DO191" i="79" s="1"/>
  <c r="DO196" i="79" s="1"/>
  <c r="DO237" i="79" s="1"/>
  <c r="J406" i="80"/>
  <c r="G409" i="80"/>
  <c r="G414" i="80" s="1"/>
  <c r="BN294" i="80"/>
  <c r="DG419" i="80"/>
  <c r="DG420" i="80" s="1"/>
  <c r="DG425" i="80"/>
  <c r="AX99" i="80"/>
  <c r="DW375" i="80"/>
  <c r="DO375" i="80"/>
  <c r="DG375" i="80"/>
  <c r="CY375" i="80"/>
  <c r="CQ375" i="80"/>
  <c r="CI375" i="80"/>
  <c r="CA375" i="80"/>
  <c r="BS375" i="80"/>
  <c r="FK375" i="80"/>
  <c r="FC375" i="80"/>
  <c r="EU375" i="80"/>
  <c r="EM375" i="80"/>
  <c r="BK375" i="80"/>
  <c r="EE375" i="80"/>
  <c r="BC375" i="80"/>
  <c r="AU375" i="80"/>
  <c r="AM375" i="80"/>
  <c r="AE375" i="80"/>
  <c r="W375" i="80"/>
  <c r="FK373" i="80"/>
  <c r="FC373" i="80"/>
  <c r="EU373" i="80"/>
  <c r="EM373" i="80"/>
  <c r="BK373" i="80"/>
  <c r="EE373" i="80"/>
  <c r="DW373" i="80"/>
  <c r="DO373" i="80"/>
  <c r="DG373" i="80"/>
  <c r="CY373" i="80"/>
  <c r="CQ373" i="80"/>
  <c r="CI373" i="80"/>
  <c r="CA373" i="80"/>
  <c r="BS373" i="80"/>
  <c r="W373" i="80"/>
  <c r="BC373" i="80"/>
  <c r="AU373" i="80"/>
  <c r="AM373" i="80"/>
  <c r="AE373" i="80"/>
  <c r="EU376" i="79"/>
  <c r="DO376" i="79"/>
  <c r="CI376" i="79"/>
  <c r="BC376" i="79"/>
  <c r="DG376" i="79"/>
  <c r="EM376" i="79"/>
  <c r="EE376" i="79"/>
  <c r="DW376" i="79"/>
  <c r="AM376" i="79"/>
  <c r="FK376" i="79"/>
  <c r="FC376" i="79"/>
  <c r="AU376" i="79"/>
  <c r="AE376" i="79"/>
  <c r="CA376" i="79"/>
  <c r="BS376" i="79"/>
  <c r="BK376" i="79"/>
  <c r="W376" i="79"/>
  <c r="CY376" i="79"/>
  <c r="CQ376" i="79"/>
  <c r="CD294" i="80"/>
  <c r="DZ296" i="80"/>
  <c r="BV294" i="80"/>
  <c r="DZ232" i="80"/>
  <c r="DB91" i="80"/>
  <c r="BV295" i="80"/>
  <c r="FC375" i="79"/>
  <c r="DW375" i="79"/>
  <c r="CQ375" i="79"/>
  <c r="BK375" i="79"/>
  <c r="DO375" i="79"/>
  <c r="DG375" i="79"/>
  <c r="CY375" i="79"/>
  <c r="EU375" i="79"/>
  <c r="EM375" i="79"/>
  <c r="EE375" i="79"/>
  <c r="AM375" i="79"/>
  <c r="FK375" i="79"/>
  <c r="BC375" i="79"/>
  <c r="AU375" i="79"/>
  <c r="AE375" i="79"/>
  <c r="W375" i="79"/>
  <c r="CI375" i="79"/>
  <c r="BS375" i="79"/>
  <c r="CA375" i="79"/>
  <c r="DW371" i="80"/>
  <c r="DO371" i="80"/>
  <c r="DG371" i="80"/>
  <c r="CY371" i="80"/>
  <c r="CQ371" i="80"/>
  <c r="CI371" i="80"/>
  <c r="CA371" i="80"/>
  <c r="BS371" i="80"/>
  <c r="FK371" i="80"/>
  <c r="FC371" i="80"/>
  <c r="EU371" i="80"/>
  <c r="EM371" i="80"/>
  <c r="BK371" i="80"/>
  <c r="EE371" i="80"/>
  <c r="BC371" i="80"/>
  <c r="AU371" i="80"/>
  <c r="AM371" i="80"/>
  <c r="AE371" i="80"/>
  <c r="W371" i="80"/>
  <c r="FF296" i="80"/>
  <c r="AX226" i="80"/>
  <c r="EM373" i="79"/>
  <c r="DG373" i="79"/>
  <c r="CA373" i="79"/>
  <c r="AU373" i="79"/>
  <c r="FK373" i="79"/>
  <c r="FC373" i="79"/>
  <c r="EU373" i="79"/>
  <c r="BS373" i="79"/>
  <c r="BK373" i="79"/>
  <c r="BC373" i="79"/>
  <c r="AE373" i="79"/>
  <c r="CY373" i="79"/>
  <c r="CQ373" i="79"/>
  <c r="CI373" i="79"/>
  <c r="W373" i="79"/>
  <c r="EE373" i="79"/>
  <c r="DW373" i="79"/>
  <c r="DO373" i="79"/>
  <c r="AM373" i="79"/>
  <c r="G378" i="80"/>
  <c r="CD210" i="79"/>
  <c r="CR59" i="80"/>
  <c r="BT59" i="80"/>
  <c r="Y59" i="80"/>
  <c r="EU372" i="79"/>
  <c r="DO372" i="79"/>
  <c r="CI372" i="79"/>
  <c r="BC372" i="79"/>
  <c r="EM372" i="79"/>
  <c r="EE372" i="79"/>
  <c r="DW372" i="79"/>
  <c r="FK372" i="79"/>
  <c r="FC372" i="79"/>
  <c r="AU372" i="79"/>
  <c r="AM372" i="79"/>
  <c r="CA372" i="79"/>
  <c r="BS372" i="79"/>
  <c r="BK372" i="79"/>
  <c r="AE372" i="79"/>
  <c r="DG372" i="79"/>
  <c r="CY372" i="79"/>
  <c r="CQ372" i="79"/>
  <c r="W372" i="79"/>
  <c r="DW402" i="80"/>
  <c r="DW405" i="80" s="1"/>
  <c r="DW409" i="80" s="1"/>
  <c r="EU402" i="80"/>
  <c r="EU405" i="80" s="1"/>
  <c r="EU409" i="80" s="1"/>
  <c r="AM402" i="80"/>
  <c r="AM405" i="80" s="1"/>
  <c r="AM409" i="80" s="1"/>
  <c r="EE405" i="80"/>
  <c r="EE409" i="80" s="1"/>
  <c r="EM405" i="79"/>
  <c r="EM409" i="79" s="1"/>
  <c r="Z139" i="80"/>
  <c r="AP294" i="79"/>
  <c r="EX140" i="79"/>
  <c r="DB99" i="80"/>
  <c r="CT87" i="80"/>
  <c r="BN99" i="80"/>
  <c r="EM419" i="80"/>
  <c r="EM420" i="80" s="1"/>
  <c r="EM425" i="80"/>
  <c r="BC425" i="80"/>
  <c r="BC419" i="80"/>
  <c r="BC420" i="80" s="1"/>
  <c r="DR297" i="80"/>
  <c r="EE374" i="80"/>
  <c r="DW374" i="80"/>
  <c r="DO374" i="80"/>
  <c r="DG374" i="80"/>
  <c r="CY374" i="80"/>
  <c r="CQ374" i="80"/>
  <c r="CI374" i="80"/>
  <c r="CA374" i="80"/>
  <c r="BS374" i="80"/>
  <c r="FK374" i="80"/>
  <c r="FC374" i="80"/>
  <c r="EU374" i="80"/>
  <c r="EM374" i="80"/>
  <c r="BK374" i="80"/>
  <c r="BC374" i="80"/>
  <c r="AU374" i="80"/>
  <c r="AM374" i="80"/>
  <c r="AE374" i="80"/>
  <c r="W374" i="80"/>
  <c r="I405" i="80"/>
  <c r="I409" i="80" s="1"/>
  <c r="CZ402" i="79"/>
  <c r="EV402" i="79"/>
  <c r="H405" i="80"/>
  <c r="H409" i="80" s="1"/>
  <c r="AV402" i="79"/>
  <c r="J405" i="79"/>
  <c r="J409" i="79" s="1"/>
  <c r="CQ383" i="79"/>
  <c r="AG34" i="79"/>
  <c r="W405" i="79"/>
  <c r="W409" i="79" s="1"/>
  <c r="BK405" i="79"/>
  <c r="BK409" i="79" s="1"/>
  <c r="DW418" i="79"/>
  <c r="DW420" i="79" s="1"/>
  <c r="DW403" i="79"/>
  <c r="CI418" i="79"/>
  <c r="CI420" i="79" s="1"/>
  <c r="CI403" i="79"/>
  <c r="CI424" i="79" s="1"/>
  <c r="AP22" i="79"/>
  <c r="AP398" i="79" s="1"/>
  <c r="AN402" i="79"/>
  <c r="EE418" i="79"/>
  <c r="EE420" i="79" s="1"/>
  <c r="EE403" i="79"/>
  <c r="EE424" i="79" s="1"/>
  <c r="CR402" i="79"/>
  <c r="EP22" i="79"/>
  <c r="EP398" i="79" s="1"/>
  <c r="CY418" i="79"/>
  <c r="CY420" i="79" s="1"/>
  <c r="CY403" i="79"/>
  <c r="CY424" i="79" s="1"/>
  <c r="CQ405" i="79"/>
  <c r="CQ409" i="79" s="1"/>
  <c r="CI405" i="79"/>
  <c r="CI409" i="79" s="1"/>
  <c r="AU405" i="79"/>
  <c r="AU409" i="79" s="1"/>
  <c r="DQ402" i="79"/>
  <c r="AM405" i="79"/>
  <c r="AM409" i="79" s="1"/>
  <c r="BC405" i="79"/>
  <c r="BC409" i="79" s="1"/>
  <c r="O405" i="79"/>
  <c r="O409" i="79" s="1"/>
  <c r="EE418" i="80"/>
  <c r="EE420" i="80" s="1"/>
  <c r="EE424" i="80"/>
  <c r="CI418" i="80"/>
  <c r="CI420" i="80" s="1"/>
  <c r="CI424" i="80"/>
  <c r="BS424" i="80"/>
  <c r="BS418" i="80"/>
  <c r="BS420" i="80" s="1"/>
  <c r="EU418" i="80"/>
  <c r="EU420" i="80" s="1"/>
  <c r="EU424" i="80"/>
  <c r="CQ424" i="80"/>
  <c r="CQ418" i="80"/>
  <c r="CA418" i="80"/>
  <c r="CA420" i="80" s="1"/>
  <c r="CA424" i="80"/>
  <c r="CQ402" i="80"/>
  <c r="CQ405" i="80" s="1"/>
  <c r="CQ409" i="80" s="1"/>
  <c r="FK418" i="80"/>
  <c r="FK420" i="80" s="1"/>
  <c r="FK424" i="80"/>
  <c r="CI405" i="80"/>
  <c r="CI409" i="80" s="1"/>
  <c r="DO418" i="80"/>
  <c r="DO420" i="80" s="1"/>
  <c r="DO424" i="80"/>
  <c r="W418" i="80"/>
  <c r="W420" i="80" s="1"/>
  <c r="W424" i="80"/>
  <c r="FK405" i="80"/>
  <c r="FK409" i="80" s="1"/>
  <c r="FC418" i="80"/>
  <c r="FC420" i="80" s="1"/>
  <c r="FC424" i="80"/>
  <c r="CY418" i="80"/>
  <c r="CY420" i="80" s="1"/>
  <c r="CY424" i="80"/>
  <c r="BS405" i="80"/>
  <c r="BS409" i="80" s="1"/>
  <c r="AF402" i="79"/>
  <c r="BL402" i="79"/>
  <c r="DP402" i="79"/>
  <c r="J420" i="80"/>
  <c r="FM402" i="79"/>
  <c r="AO402" i="79"/>
  <c r="BM425" i="80"/>
  <c r="J371" i="79"/>
  <c r="R371" i="79" s="1"/>
  <c r="J371" i="80"/>
  <c r="R371" i="80" s="1"/>
  <c r="AG404" i="79"/>
  <c r="AG425" i="79" s="1"/>
  <c r="FF373" i="79"/>
  <c r="AX373" i="79"/>
  <c r="FN373" i="79"/>
  <c r="CT373" i="79"/>
  <c r="CD373" i="79"/>
  <c r="BN373" i="79"/>
  <c r="Z373" i="79"/>
  <c r="AH373" i="79"/>
  <c r="EP373" i="79"/>
  <c r="DR373" i="79"/>
  <c r="DB373" i="79"/>
  <c r="CL373" i="79"/>
  <c r="BV373" i="79"/>
  <c r="BF373" i="79"/>
  <c r="EH373" i="79"/>
  <c r="AP373" i="79"/>
  <c r="EX373" i="79"/>
  <c r="DZ373" i="79"/>
  <c r="DJ373" i="79"/>
  <c r="EP375" i="79"/>
  <c r="DR375" i="79"/>
  <c r="DB375" i="79"/>
  <c r="AX375" i="79"/>
  <c r="AH375" i="79"/>
  <c r="DZ375" i="79"/>
  <c r="CL375" i="79"/>
  <c r="BV375" i="79"/>
  <c r="BF375" i="79"/>
  <c r="FF375" i="79"/>
  <c r="FN375" i="79"/>
  <c r="EX375" i="79"/>
  <c r="BN375" i="79"/>
  <c r="CD375" i="79"/>
  <c r="EH375" i="79"/>
  <c r="AP375" i="79"/>
  <c r="Z375" i="79"/>
  <c r="DJ375" i="79"/>
  <c r="CT375" i="79"/>
  <c r="CR143" i="79"/>
  <c r="EF402" i="79"/>
  <c r="H375" i="79"/>
  <c r="P375" i="79" s="1"/>
  <c r="H375" i="80"/>
  <c r="P375" i="80" s="1"/>
  <c r="I428" i="80"/>
  <c r="G428" i="80"/>
  <c r="BD402" i="79"/>
  <c r="CS402" i="79"/>
  <c r="I375" i="79"/>
  <c r="Q375" i="79" s="1"/>
  <c r="I375" i="80"/>
  <c r="I419" i="80"/>
  <c r="I420" i="80" s="1"/>
  <c r="I425" i="80"/>
  <c r="I426" i="80"/>
  <c r="G426" i="80"/>
  <c r="DY374" i="79"/>
  <c r="AO374" i="79"/>
  <c r="CK374" i="79"/>
  <c r="BU374" i="79"/>
  <c r="BE374" i="79"/>
  <c r="EW374" i="79"/>
  <c r="EG374" i="79"/>
  <c r="DI374" i="79"/>
  <c r="FM374" i="79"/>
  <c r="CS374" i="79"/>
  <c r="CC374" i="79"/>
  <c r="BM374" i="79"/>
  <c r="Y374" i="79"/>
  <c r="DQ374" i="79"/>
  <c r="AG374" i="79"/>
  <c r="AW374" i="79"/>
  <c r="EO374" i="79"/>
  <c r="FE374" i="79"/>
  <c r="DA374" i="79"/>
  <c r="CJ402" i="79"/>
  <c r="AW402" i="79"/>
  <c r="DA402" i="80"/>
  <c r="DA405" i="80" s="1"/>
  <c r="DA409" i="80" s="1"/>
  <c r="AW402" i="80"/>
  <c r="AW405" i="80" s="1"/>
  <c r="AW409" i="80" s="1"/>
  <c r="H419" i="80"/>
  <c r="H420" i="80" s="1"/>
  <c r="H425" i="80"/>
  <c r="H430" i="80" s="1"/>
  <c r="AG402" i="79"/>
  <c r="DY371" i="79"/>
  <c r="CK371" i="79"/>
  <c r="BU371" i="79"/>
  <c r="BE371" i="79"/>
  <c r="AO371" i="79"/>
  <c r="EW371" i="79"/>
  <c r="EG371" i="79"/>
  <c r="DI371" i="79"/>
  <c r="FM371" i="79"/>
  <c r="CS371" i="79"/>
  <c r="CC371" i="79"/>
  <c r="BM371" i="79"/>
  <c r="Y371" i="79"/>
  <c r="FE371" i="79"/>
  <c r="DA371" i="79"/>
  <c r="AG371" i="79"/>
  <c r="AW371" i="79"/>
  <c r="DQ371" i="79"/>
  <c r="EO371" i="79"/>
  <c r="FD402" i="79"/>
  <c r="EP372" i="79"/>
  <c r="DR372" i="79"/>
  <c r="DB372" i="79"/>
  <c r="AX372" i="79"/>
  <c r="AH372" i="79"/>
  <c r="DZ372" i="79"/>
  <c r="CL372" i="79"/>
  <c r="BV372" i="79"/>
  <c r="BF372" i="79"/>
  <c r="FF372" i="79"/>
  <c r="DJ372" i="79"/>
  <c r="CT372" i="79"/>
  <c r="EH372" i="79"/>
  <c r="AP372" i="79"/>
  <c r="EX372" i="79"/>
  <c r="BN372" i="79"/>
  <c r="Z372" i="79"/>
  <c r="FN372" i="79"/>
  <c r="CD372" i="79"/>
  <c r="DI402" i="79"/>
  <c r="EN402" i="79"/>
  <c r="FM419" i="79"/>
  <c r="FM404" i="79"/>
  <c r="FM425" i="79" s="1"/>
  <c r="FM403" i="79"/>
  <c r="FM424" i="79" s="1"/>
  <c r="FM418" i="79"/>
  <c r="FL402" i="79"/>
  <c r="FM426" i="79"/>
  <c r="FM428" i="79"/>
  <c r="FL418" i="79"/>
  <c r="FL403" i="79"/>
  <c r="FL424" i="79" s="1"/>
  <c r="FL419" i="79"/>
  <c r="FL404" i="79"/>
  <c r="FL425" i="79" s="1"/>
  <c r="FE428" i="79"/>
  <c r="FE403" i="79"/>
  <c r="FE424" i="79" s="1"/>
  <c r="FE418" i="79"/>
  <c r="FE426" i="79"/>
  <c r="FD419" i="79"/>
  <c r="FD404" i="79"/>
  <c r="FD425" i="79" s="1"/>
  <c r="FE419" i="79"/>
  <c r="FE404" i="79"/>
  <c r="FE425" i="79" s="1"/>
  <c r="FE402" i="79"/>
  <c r="EV419" i="79"/>
  <c r="EV404" i="79"/>
  <c r="EV425" i="79" s="1"/>
  <c r="EW428" i="79"/>
  <c r="EW426" i="79"/>
  <c r="EV418" i="79"/>
  <c r="EV403" i="79"/>
  <c r="EV424" i="79" s="1"/>
  <c r="EW404" i="79"/>
  <c r="EW425" i="79" s="1"/>
  <c r="EW419" i="79"/>
  <c r="EW403" i="79"/>
  <c r="EW424" i="79" s="1"/>
  <c r="EW418" i="79"/>
  <c r="EX201" i="79"/>
  <c r="EO428" i="79"/>
  <c r="EN418" i="79"/>
  <c r="EN403" i="79"/>
  <c r="EN424" i="79" s="1"/>
  <c r="EO426" i="79"/>
  <c r="EO403" i="79"/>
  <c r="EO424" i="79" s="1"/>
  <c r="EO418" i="79"/>
  <c r="EN419" i="79"/>
  <c r="EN404" i="79"/>
  <c r="EN425" i="79" s="1"/>
  <c r="EO404" i="79"/>
  <c r="EO425" i="79" s="1"/>
  <c r="EO419" i="79"/>
  <c r="EG403" i="79"/>
  <c r="EG424" i="79" s="1"/>
  <c r="EG418" i="79"/>
  <c r="EG426" i="79"/>
  <c r="EF419" i="79"/>
  <c r="EF404" i="79"/>
  <c r="EF425" i="79" s="1"/>
  <c r="EG402" i="79"/>
  <c r="EG428" i="79"/>
  <c r="EF418" i="79"/>
  <c r="EF403" i="79"/>
  <c r="EF424" i="79" s="1"/>
  <c r="EG419" i="79"/>
  <c r="EG404" i="79"/>
  <c r="EG425" i="79" s="1"/>
  <c r="DX402" i="79"/>
  <c r="DY402" i="79"/>
  <c r="DX419" i="79"/>
  <c r="DX404" i="79"/>
  <c r="DX425" i="79" s="1"/>
  <c r="DY418" i="79"/>
  <c r="DY403" i="79"/>
  <c r="DY424" i="79" s="1"/>
  <c r="DY426" i="79"/>
  <c r="DY428" i="79"/>
  <c r="DY419" i="79"/>
  <c r="DY404" i="79"/>
  <c r="DY425" i="79" s="1"/>
  <c r="DQ419" i="79"/>
  <c r="DQ404" i="79"/>
  <c r="DQ425" i="79" s="1"/>
  <c r="DP419" i="79"/>
  <c r="DP404" i="79"/>
  <c r="DP425" i="79" s="1"/>
  <c r="DQ426" i="79"/>
  <c r="DQ403" i="79"/>
  <c r="DQ424" i="79" s="1"/>
  <c r="DQ418" i="79"/>
  <c r="DQ428" i="79"/>
  <c r="DI403" i="79"/>
  <c r="DI424" i="79" s="1"/>
  <c r="DI418" i="79"/>
  <c r="DH418" i="79"/>
  <c r="DH403" i="79"/>
  <c r="DH424" i="79" s="1"/>
  <c r="DI404" i="79"/>
  <c r="DI425" i="79" s="1"/>
  <c r="DI419" i="79"/>
  <c r="DI428" i="79"/>
  <c r="DH419" i="79"/>
  <c r="DH404" i="79"/>
  <c r="DH425" i="79" s="1"/>
  <c r="DI426" i="79"/>
  <c r="CZ419" i="79"/>
  <c r="CZ404" i="79"/>
  <c r="CZ425" i="79" s="1"/>
  <c r="DA419" i="79"/>
  <c r="DA404" i="79"/>
  <c r="DA425" i="79" s="1"/>
  <c r="DA402" i="79"/>
  <c r="DA428" i="79"/>
  <c r="DA426" i="79"/>
  <c r="DA403" i="79"/>
  <c r="DA424" i="79" s="1"/>
  <c r="DA418" i="79"/>
  <c r="CS419" i="79"/>
  <c r="CS404" i="79"/>
  <c r="CS425" i="79" s="1"/>
  <c r="CS428" i="79"/>
  <c r="CS426" i="79"/>
  <c r="CS403" i="79"/>
  <c r="CS424" i="79" s="1"/>
  <c r="CS418" i="79"/>
  <c r="CR419" i="79"/>
  <c r="CR404" i="79"/>
  <c r="CR425" i="79" s="1"/>
  <c r="CK402" i="79"/>
  <c r="CK404" i="79"/>
  <c r="CK425" i="79" s="1"/>
  <c r="CK419" i="79"/>
  <c r="CJ419" i="79"/>
  <c r="CJ404" i="79"/>
  <c r="CJ425" i="79" s="1"/>
  <c r="CK428" i="79"/>
  <c r="CJ418" i="79"/>
  <c r="CJ403" i="79"/>
  <c r="CJ424" i="79" s="1"/>
  <c r="CK426" i="79"/>
  <c r="CK403" i="79"/>
  <c r="CK424" i="79" s="1"/>
  <c r="CK418" i="79"/>
  <c r="CC426" i="79"/>
  <c r="CC419" i="79"/>
  <c r="CC404" i="79"/>
  <c r="CC425" i="79" s="1"/>
  <c r="CB418" i="79"/>
  <c r="CB403" i="79"/>
  <c r="CB424" i="79" s="1"/>
  <c r="CB419" i="79"/>
  <c r="CB404" i="79"/>
  <c r="CB425" i="79" s="1"/>
  <c r="CC428" i="79"/>
  <c r="CB402" i="79"/>
  <c r="CC403" i="79"/>
  <c r="CC424" i="79" s="1"/>
  <c r="CC418" i="79"/>
  <c r="BT419" i="79"/>
  <c r="BT404" i="79"/>
  <c r="BT425" i="79" s="1"/>
  <c r="BT418" i="79"/>
  <c r="BT403" i="79"/>
  <c r="BT424" i="79" s="1"/>
  <c r="BU419" i="79"/>
  <c r="BU404" i="79"/>
  <c r="BU425" i="79" s="1"/>
  <c r="BU403" i="79"/>
  <c r="BU424" i="79" s="1"/>
  <c r="BU418" i="79"/>
  <c r="BU426" i="79"/>
  <c r="BU428" i="79"/>
  <c r="BT402" i="79"/>
  <c r="BM426" i="79"/>
  <c r="BM419" i="79"/>
  <c r="BM404" i="79"/>
  <c r="BM425" i="79" s="1"/>
  <c r="BM402" i="79"/>
  <c r="BM428" i="79"/>
  <c r="BM403" i="79"/>
  <c r="BM424" i="79" s="1"/>
  <c r="BM418" i="79"/>
  <c r="BL419" i="79"/>
  <c r="BL404" i="79"/>
  <c r="BL425" i="79" s="1"/>
  <c r="BE426" i="79"/>
  <c r="BE403" i="79"/>
  <c r="BE424" i="79" s="1"/>
  <c r="BE418" i="79"/>
  <c r="BE428" i="79"/>
  <c r="BD419" i="79"/>
  <c r="BD404" i="79"/>
  <c r="BD425" i="79" s="1"/>
  <c r="BE404" i="79"/>
  <c r="BE425" i="79" s="1"/>
  <c r="BE419" i="79"/>
  <c r="AW426" i="79"/>
  <c r="AW403" i="79"/>
  <c r="AW424" i="79" s="1"/>
  <c r="AW418" i="79"/>
  <c r="AW419" i="79"/>
  <c r="AW404" i="79"/>
  <c r="AW425" i="79" s="1"/>
  <c r="AV419" i="79"/>
  <c r="AV404" i="79"/>
  <c r="AV425" i="79" s="1"/>
  <c r="AV418" i="79"/>
  <c r="AV403" i="79"/>
  <c r="AV424" i="79" s="1"/>
  <c r="AW428" i="79"/>
  <c r="AO419" i="79"/>
  <c r="AO404" i="79"/>
  <c r="AO425" i="79" s="1"/>
  <c r="AO403" i="79"/>
  <c r="AO424" i="79" s="1"/>
  <c r="AO418" i="79"/>
  <c r="AN419" i="79"/>
  <c r="AN404" i="79"/>
  <c r="AN425" i="79" s="1"/>
  <c r="AO428" i="79"/>
  <c r="AN418" i="79"/>
  <c r="AN403" i="79"/>
  <c r="AN424" i="79" s="1"/>
  <c r="AO426" i="79"/>
  <c r="AF419" i="79"/>
  <c r="AF404" i="79"/>
  <c r="AF425" i="79" s="1"/>
  <c r="AF418" i="79"/>
  <c r="AF403" i="79"/>
  <c r="AF424" i="79" s="1"/>
  <c r="AG403" i="79"/>
  <c r="AG424" i="79" s="1"/>
  <c r="AG418" i="79"/>
  <c r="AG420" i="79" s="1"/>
  <c r="AG421" i="79" s="1"/>
  <c r="AG452" i="79" s="1"/>
  <c r="AG426" i="79"/>
  <c r="AG428" i="79"/>
  <c r="Y426" i="79"/>
  <c r="X418" i="79"/>
  <c r="X403" i="79"/>
  <c r="X424" i="79" s="1"/>
  <c r="Y428" i="79"/>
  <c r="X419" i="79"/>
  <c r="X404" i="79"/>
  <c r="X425" i="79" s="1"/>
  <c r="Y419" i="79"/>
  <c r="Y404" i="79"/>
  <c r="Y425" i="79" s="1"/>
  <c r="Y403" i="79"/>
  <c r="Y424" i="79" s="1"/>
  <c r="Y418" i="79"/>
  <c r="CD22" i="79"/>
  <c r="CD398" i="79" s="1"/>
  <c r="AH206" i="79"/>
  <c r="FM424" i="80"/>
  <c r="FM418" i="80"/>
  <c r="FM428" i="80"/>
  <c r="FL402" i="80"/>
  <c r="FL405" i="80" s="1"/>
  <c r="FL409" i="80" s="1"/>
  <c r="FM426" i="80"/>
  <c r="FM419" i="80"/>
  <c r="FM425" i="80"/>
  <c r="FM402" i="80"/>
  <c r="FM405" i="80" s="1"/>
  <c r="FM409" i="80" s="1"/>
  <c r="FL419" i="80"/>
  <c r="FL425" i="80"/>
  <c r="FL418" i="80"/>
  <c r="FL424" i="80"/>
  <c r="FE426" i="80"/>
  <c r="FE424" i="80"/>
  <c r="FE418" i="80"/>
  <c r="FE402" i="80"/>
  <c r="FE405" i="80" s="1"/>
  <c r="FE409" i="80" s="1"/>
  <c r="FD418" i="80"/>
  <c r="FD424" i="80"/>
  <c r="FE419" i="80"/>
  <c r="FE425" i="80"/>
  <c r="FD419" i="80"/>
  <c r="FD425" i="80"/>
  <c r="FF24" i="80"/>
  <c r="FF400" i="80" s="1"/>
  <c r="FD400" i="80"/>
  <c r="FD402" i="80" s="1"/>
  <c r="FD405" i="80" s="1"/>
  <c r="FD409" i="80" s="1"/>
  <c r="FE428" i="80"/>
  <c r="EV402" i="80"/>
  <c r="EV405" i="80" s="1"/>
  <c r="EV409" i="80" s="1"/>
  <c r="EW428" i="80"/>
  <c r="EW402" i="80"/>
  <c r="EW405" i="80" s="1"/>
  <c r="EW409" i="80" s="1"/>
  <c r="EW426" i="80"/>
  <c r="EW419" i="80"/>
  <c r="EW425" i="80"/>
  <c r="EV418" i="80"/>
  <c r="EV424" i="80"/>
  <c r="EW418" i="80"/>
  <c r="EW424" i="80"/>
  <c r="EV419" i="80"/>
  <c r="EV425" i="80"/>
  <c r="EO426" i="80"/>
  <c r="EP23" i="80"/>
  <c r="EP399" i="80" s="1"/>
  <c r="EO399" i="80"/>
  <c r="EO402" i="80" s="1"/>
  <c r="EO405" i="80" s="1"/>
  <c r="EO409" i="80" s="1"/>
  <c r="EP33" i="80"/>
  <c r="EP404" i="80" s="1"/>
  <c r="EN404" i="80"/>
  <c r="EN402" i="80"/>
  <c r="EO424" i="80"/>
  <c r="EO418" i="80"/>
  <c r="EO420" i="80" s="1"/>
  <c r="EO428" i="80"/>
  <c r="EG425" i="80"/>
  <c r="EG419" i="80"/>
  <c r="EF425" i="80"/>
  <c r="EF419" i="80"/>
  <c r="EF402" i="80"/>
  <c r="EF405" i="80" s="1"/>
  <c r="EF409" i="80" s="1"/>
  <c r="EG424" i="80"/>
  <c r="EG418" i="80"/>
  <c r="EF418" i="80"/>
  <c r="EF424" i="80"/>
  <c r="EG428" i="80"/>
  <c r="EG426" i="80"/>
  <c r="EG402" i="80"/>
  <c r="EG405" i="80" s="1"/>
  <c r="EG409" i="80" s="1"/>
  <c r="DY428" i="80"/>
  <c r="DX34" i="80"/>
  <c r="DX404" i="80"/>
  <c r="DY424" i="80"/>
  <c r="DY418" i="80"/>
  <c r="DY402" i="80"/>
  <c r="DY405" i="80" s="1"/>
  <c r="DY409" i="80" s="1"/>
  <c r="DY426" i="80"/>
  <c r="DZ24" i="80"/>
  <c r="DZ400" i="80" s="1"/>
  <c r="DX400" i="80"/>
  <c r="DX402" i="80" s="1"/>
  <c r="DY425" i="80"/>
  <c r="DY419" i="80"/>
  <c r="DQ402" i="80"/>
  <c r="DP402" i="80"/>
  <c r="DQ428" i="80"/>
  <c r="DQ424" i="80"/>
  <c r="DQ418" i="80"/>
  <c r="DQ426" i="80"/>
  <c r="DP418" i="80"/>
  <c r="DP424" i="80"/>
  <c r="DP34" i="80"/>
  <c r="DP404" i="80"/>
  <c r="DH418" i="80"/>
  <c r="DH424" i="80"/>
  <c r="DI424" i="80"/>
  <c r="DI418" i="80"/>
  <c r="DI420" i="80" s="1"/>
  <c r="DI428" i="80"/>
  <c r="DI402" i="80"/>
  <c r="DI405" i="80" s="1"/>
  <c r="DI409" i="80" s="1"/>
  <c r="DH402" i="80"/>
  <c r="DI426" i="80"/>
  <c r="DJ33" i="80"/>
  <c r="DJ404" i="80" s="1"/>
  <c r="DH404" i="80"/>
  <c r="DA426" i="80"/>
  <c r="CZ418" i="80"/>
  <c r="CZ424" i="80"/>
  <c r="DA419" i="80"/>
  <c r="DA425" i="80"/>
  <c r="DA424" i="80"/>
  <c r="DA418" i="80"/>
  <c r="CZ402" i="80"/>
  <c r="CZ405" i="80" s="1"/>
  <c r="CZ409" i="80" s="1"/>
  <c r="DA428" i="80"/>
  <c r="CZ419" i="80"/>
  <c r="CZ425" i="80"/>
  <c r="CT22" i="80"/>
  <c r="CT398" i="80" s="1"/>
  <c r="CS398" i="80"/>
  <c r="CS402" i="80" s="1"/>
  <c r="CS424" i="80"/>
  <c r="CS418" i="80"/>
  <c r="CS428" i="80"/>
  <c r="CS426" i="80"/>
  <c r="CR419" i="80"/>
  <c r="CR425" i="80"/>
  <c r="CS34" i="80"/>
  <c r="CS404" i="80"/>
  <c r="CJ418" i="80"/>
  <c r="CJ424" i="80"/>
  <c r="CK428" i="80"/>
  <c r="CK419" i="80"/>
  <c r="CK425" i="80"/>
  <c r="CK424" i="80"/>
  <c r="CK418" i="80"/>
  <c r="CJ419" i="80"/>
  <c r="CJ425" i="80"/>
  <c r="CK402" i="80"/>
  <c r="CK405" i="80" s="1"/>
  <c r="CK409" i="80" s="1"/>
  <c r="CK426" i="80"/>
  <c r="CJ402" i="80"/>
  <c r="CJ405" i="80" s="1"/>
  <c r="CJ409" i="80" s="1"/>
  <c r="CC402" i="80"/>
  <c r="CC405" i="80" s="1"/>
  <c r="CC409" i="80" s="1"/>
  <c r="CC426" i="80"/>
  <c r="CC424" i="80"/>
  <c r="CC418" i="80"/>
  <c r="CC420" i="80" s="1"/>
  <c r="CB418" i="80"/>
  <c r="CB424" i="80"/>
  <c r="CB402" i="80"/>
  <c r="CC428" i="80"/>
  <c r="CD33" i="80"/>
  <c r="CD404" i="80" s="1"/>
  <c r="CB404" i="80"/>
  <c r="BT418" i="80"/>
  <c r="BT424" i="80"/>
  <c r="BT402" i="80"/>
  <c r="BT405" i="80" s="1"/>
  <c r="BT409" i="80" s="1"/>
  <c r="BU425" i="80"/>
  <c r="BU419" i="80"/>
  <c r="BU424" i="80"/>
  <c r="BU418" i="80"/>
  <c r="BU426" i="80"/>
  <c r="BU402" i="80"/>
  <c r="BU405" i="80" s="1"/>
  <c r="BU409" i="80" s="1"/>
  <c r="BT419" i="80"/>
  <c r="BT425" i="80"/>
  <c r="BM402" i="80"/>
  <c r="BM405" i="80" s="1"/>
  <c r="BM409" i="80" s="1"/>
  <c r="BM424" i="80"/>
  <c r="BM418" i="80"/>
  <c r="BM420" i="80" s="1"/>
  <c r="BM426" i="80"/>
  <c r="BL402" i="80"/>
  <c r="BL405" i="80" s="1"/>
  <c r="BL409" i="80" s="1"/>
  <c r="BL418" i="80"/>
  <c r="BL424" i="80"/>
  <c r="BL419" i="80"/>
  <c r="BL425" i="80"/>
  <c r="BM428" i="80"/>
  <c r="BE402" i="80"/>
  <c r="BE405" i="80" s="1"/>
  <c r="BE409" i="80" s="1"/>
  <c r="BE419" i="80"/>
  <c r="BE425" i="80"/>
  <c r="BE426" i="80"/>
  <c r="BD419" i="80"/>
  <c r="BD425" i="80"/>
  <c r="BF23" i="80"/>
  <c r="BF399" i="80" s="1"/>
  <c r="BD399" i="80"/>
  <c r="BD402" i="80" s="1"/>
  <c r="BE428" i="80"/>
  <c r="BE424" i="80"/>
  <c r="BE418" i="80"/>
  <c r="AW419" i="80"/>
  <c r="AW425" i="80"/>
  <c r="AV34" i="80"/>
  <c r="AV404" i="80"/>
  <c r="AW424" i="80"/>
  <c r="AW418" i="80"/>
  <c r="AV402" i="80"/>
  <c r="AW428" i="80"/>
  <c r="AW426" i="80"/>
  <c r="AO402" i="80"/>
  <c r="AO405" i="80" s="1"/>
  <c r="AO409" i="80" s="1"/>
  <c r="AN402" i="80"/>
  <c r="AO428" i="80"/>
  <c r="AO426" i="80"/>
  <c r="AO419" i="80"/>
  <c r="AO425" i="80"/>
  <c r="AO424" i="80"/>
  <c r="AO418" i="80"/>
  <c r="AN419" i="80"/>
  <c r="AN425" i="80"/>
  <c r="AG424" i="80"/>
  <c r="AG418" i="80"/>
  <c r="AG402" i="80"/>
  <c r="AG34" i="80"/>
  <c r="AG404" i="80"/>
  <c r="AG426" i="80"/>
  <c r="AG428" i="80"/>
  <c r="AF425" i="80"/>
  <c r="AF419" i="80"/>
  <c r="AH23" i="80"/>
  <c r="AH399" i="80" s="1"/>
  <c r="AF399" i="80"/>
  <c r="AF402" i="80" s="1"/>
  <c r="AF405" i="80" s="1"/>
  <c r="AF409" i="80" s="1"/>
  <c r="AF418" i="80"/>
  <c r="AF424" i="80"/>
  <c r="X402" i="80"/>
  <c r="X405" i="80" s="1"/>
  <c r="X409" i="80" s="1"/>
  <c r="Y402" i="80"/>
  <c r="Y405" i="80" s="1"/>
  <c r="Y409" i="80" s="1"/>
  <c r="X418" i="80"/>
  <c r="X424" i="80"/>
  <c r="Y419" i="80"/>
  <c r="Y425" i="80"/>
  <c r="Y428" i="80"/>
  <c r="Y424" i="80"/>
  <c r="Y418" i="80"/>
  <c r="Y426" i="80"/>
  <c r="X419" i="80"/>
  <c r="X425" i="80"/>
  <c r="Q402" i="80"/>
  <c r="Q405" i="80" s="1"/>
  <c r="Q409" i="80" s="1"/>
  <c r="P419" i="80"/>
  <c r="P425" i="80"/>
  <c r="Q419" i="80"/>
  <c r="Q425" i="80"/>
  <c r="P418" i="80"/>
  <c r="P424" i="80"/>
  <c r="Q428" i="80"/>
  <c r="Q424" i="80"/>
  <c r="Q418" i="80"/>
  <c r="P402" i="80"/>
  <c r="P405" i="80" s="1"/>
  <c r="P409" i="80" s="1"/>
  <c r="FN229" i="79"/>
  <c r="BV87" i="79"/>
  <c r="BN309" i="79"/>
  <c r="FD34" i="79"/>
  <c r="EH22" i="79"/>
  <c r="EH398" i="79" s="1"/>
  <c r="DQ34" i="79"/>
  <c r="DB22" i="79"/>
  <c r="DB398" i="79" s="1"/>
  <c r="CL22" i="79"/>
  <c r="CL398" i="79" s="1"/>
  <c r="AW34" i="79"/>
  <c r="AF34" i="79"/>
  <c r="Q426" i="79"/>
  <c r="Q428" i="79"/>
  <c r="Q403" i="79"/>
  <c r="Q404" i="79"/>
  <c r="P404" i="79"/>
  <c r="DZ148" i="79"/>
  <c r="BF139" i="79"/>
  <c r="BF213" i="80"/>
  <c r="DZ276" i="79"/>
  <c r="BM143" i="79"/>
  <c r="EP194" i="79"/>
  <c r="AX68" i="80"/>
  <c r="DJ148" i="79"/>
  <c r="BV22" i="79"/>
  <c r="BV398" i="79" s="1"/>
  <c r="FF22" i="79"/>
  <c r="FF398" i="79" s="1"/>
  <c r="DZ22" i="79"/>
  <c r="DZ398" i="79" s="1"/>
  <c r="EV143" i="80"/>
  <c r="AV100" i="80"/>
  <c r="EX248" i="79"/>
  <c r="AE40" i="79"/>
  <c r="AE385" i="79" s="1"/>
  <c r="DX143" i="79"/>
  <c r="DO487" i="79"/>
  <c r="DO488" i="79" s="1"/>
  <c r="BV132" i="80"/>
  <c r="DY143" i="79"/>
  <c r="FD207" i="79"/>
  <c r="AE43" i="79"/>
  <c r="AE388" i="79" s="1"/>
  <c r="DJ68" i="79"/>
  <c r="DB227" i="80"/>
  <c r="DR227" i="80"/>
  <c r="EH227" i="80"/>
  <c r="AX249" i="80"/>
  <c r="DR68" i="79"/>
  <c r="EO143" i="79"/>
  <c r="AE37" i="79"/>
  <c r="AE382" i="79" s="1"/>
  <c r="BV187" i="80"/>
  <c r="AX227" i="80"/>
  <c r="AH227" i="80"/>
  <c r="EN143" i="79"/>
  <c r="AH132" i="79"/>
  <c r="CD142" i="79"/>
  <c r="BN22" i="79"/>
  <c r="BN398" i="79" s="1"/>
  <c r="EF207" i="79"/>
  <c r="DJ73" i="79"/>
  <c r="CI481" i="79"/>
  <c r="CI484" i="79" s="1"/>
  <c r="CI465" i="79" s="1"/>
  <c r="CI191" i="79" s="1"/>
  <c r="CJ191" i="79" s="1"/>
  <c r="CJ196" i="79" s="1"/>
  <c r="CT249" i="80"/>
  <c r="Z125" i="79"/>
  <c r="EH247" i="80"/>
  <c r="EP139" i="79"/>
  <c r="DJ139" i="79"/>
  <c r="EX187" i="80"/>
  <c r="CT230" i="80"/>
  <c r="DR188" i="80"/>
  <c r="AP139" i="79"/>
  <c r="CT142" i="79"/>
  <c r="CS143" i="79"/>
  <c r="R139" i="79"/>
  <c r="FN187" i="80"/>
  <c r="BN139" i="79"/>
  <c r="AH200" i="79"/>
  <c r="AP68" i="79"/>
  <c r="R125" i="79"/>
  <c r="CT68" i="79"/>
  <c r="BV68" i="79"/>
  <c r="EP227" i="80"/>
  <c r="R227" i="80"/>
  <c r="Z227" i="80"/>
  <c r="DG489" i="79"/>
  <c r="DG466" i="79" s="1"/>
  <c r="DG301" i="79" s="1"/>
  <c r="DH301" i="79" s="1"/>
  <c r="DH302" i="79" s="1"/>
  <c r="W484" i="79"/>
  <c r="W465" i="79" s="1"/>
  <c r="W191" i="79" s="1"/>
  <c r="X191" i="79" s="1"/>
  <c r="EU484" i="79"/>
  <c r="EU465" i="79" s="1"/>
  <c r="EU191" i="79" s="1"/>
  <c r="EU196" i="79" s="1"/>
  <c r="BS484" i="79"/>
  <c r="BS465" i="79" s="1"/>
  <c r="BS191" i="79" s="1"/>
  <c r="BS196" i="79" s="1"/>
  <c r="BS84" i="79" s="1"/>
  <c r="CA484" i="79"/>
  <c r="CA465" i="79" s="1"/>
  <c r="CA191" i="79" s="1"/>
  <c r="CA196" i="79" s="1"/>
  <c r="CA84" i="79" s="1"/>
  <c r="CL248" i="79"/>
  <c r="BV227" i="80"/>
  <c r="AP227" i="80"/>
  <c r="BV206" i="79"/>
  <c r="BT207" i="79"/>
  <c r="BF187" i="80"/>
  <c r="CD193" i="80"/>
  <c r="CT187" i="80"/>
  <c r="EH187" i="80"/>
  <c r="DW158" i="79"/>
  <c r="EG143" i="79"/>
  <c r="DZ139" i="79"/>
  <c r="Z139" i="79"/>
  <c r="X143" i="79"/>
  <c r="CC143" i="79"/>
  <c r="W158" i="79"/>
  <c r="CT139" i="79"/>
  <c r="CL139" i="79"/>
  <c r="AX142" i="79"/>
  <c r="AW143" i="79"/>
  <c r="BV139" i="79"/>
  <c r="DO158" i="80"/>
  <c r="CB143" i="79"/>
  <c r="CD139" i="79"/>
  <c r="AV143" i="79"/>
  <c r="AX139" i="79"/>
  <c r="R68" i="79"/>
  <c r="DB276" i="79"/>
  <c r="FN280" i="80"/>
  <c r="BN187" i="80"/>
  <c r="CD148" i="79"/>
  <c r="EX22" i="80"/>
  <c r="EX398" i="80" s="1"/>
  <c r="FF205" i="79"/>
  <c r="CD280" i="80"/>
  <c r="AH249" i="80"/>
  <c r="BN180" i="80"/>
  <c r="FD207" i="80"/>
  <c r="DR187" i="80"/>
  <c r="EP187" i="80"/>
  <c r="DR280" i="80"/>
  <c r="EH310" i="80"/>
  <c r="R244" i="80"/>
  <c r="FF249" i="80"/>
  <c r="DR249" i="80"/>
  <c r="Z193" i="80"/>
  <c r="Z249" i="80"/>
  <c r="R250" i="80"/>
  <c r="FF206" i="80"/>
  <c r="CL148" i="79"/>
  <c r="AH310" i="80"/>
  <c r="DR193" i="80"/>
  <c r="AX187" i="80"/>
  <c r="AF207" i="79"/>
  <c r="CD248" i="80"/>
  <c r="AH188" i="80"/>
  <c r="AU44" i="80"/>
  <c r="AU389" i="80" s="1"/>
  <c r="DB187" i="80"/>
  <c r="BN280" i="80"/>
  <c r="R249" i="80"/>
  <c r="CD200" i="79"/>
  <c r="FF193" i="80"/>
  <c r="CT248" i="80"/>
  <c r="EX189" i="80"/>
  <c r="EP249" i="80"/>
  <c r="BC37" i="79"/>
  <c r="BC382" i="79" s="1"/>
  <c r="EP193" i="80"/>
  <c r="BN189" i="80"/>
  <c r="BV248" i="80"/>
  <c r="CD248" i="79"/>
  <c r="EH248" i="80"/>
  <c r="DZ247" i="80"/>
  <c r="CD192" i="80"/>
  <c r="DZ188" i="80"/>
  <c r="BN193" i="80"/>
  <c r="AH246" i="80"/>
  <c r="EH16" i="79"/>
  <c r="EH410" i="79" s="1"/>
  <c r="EH426" i="79" s="1"/>
  <c r="AP279" i="79"/>
  <c r="CD249" i="80"/>
  <c r="AH246" i="79"/>
  <c r="CA487" i="79"/>
  <c r="CA488" i="79" s="1"/>
  <c r="CA489" i="79" s="1"/>
  <c r="CA466" i="79" s="1"/>
  <c r="CA301" i="79" s="1"/>
  <c r="CC301" i="79" s="1"/>
  <c r="CC302" i="79" s="1"/>
  <c r="AH193" i="80"/>
  <c r="BC42" i="79"/>
  <c r="BC387" i="79" s="1"/>
  <c r="DY34" i="79"/>
  <c r="FL34" i="79"/>
  <c r="EX115" i="80"/>
  <c r="DQ202" i="79"/>
  <c r="DJ249" i="80"/>
  <c r="R189" i="80"/>
  <c r="EH279" i="79"/>
  <c r="BN22" i="80"/>
  <c r="BN398" i="80" s="1"/>
  <c r="DR23" i="80"/>
  <c r="DR399" i="80" s="1"/>
  <c r="DZ187" i="80"/>
  <c r="CT310" i="79"/>
  <c r="BV200" i="79"/>
  <c r="EH193" i="80"/>
  <c r="CD306" i="80"/>
  <c r="DZ310" i="80"/>
  <c r="BN23" i="80"/>
  <c r="BN399" i="80" s="1"/>
  <c r="DJ244" i="79"/>
  <c r="CL187" i="80"/>
  <c r="CL22" i="80"/>
  <c r="CL398" i="80" s="1"/>
  <c r="BN279" i="79"/>
  <c r="BV189" i="80"/>
  <c r="AU45" i="80"/>
  <c r="AU390" i="80" s="1"/>
  <c r="AU436" i="80" s="1"/>
  <c r="FF23" i="80"/>
  <c r="FF399" i="80" s="1"/>
  <c r="BD34" i="80"/>
  <c r="AU47" i="80"/>
  <c r="AU392" i="80" s="1"/>
  <c r="CL249" i="80"/>
  <c r="BF193" i="80"/>
  <c r="AU42" i="80"/>
  <c r="AU387" i="80" s="1"/>
  <c r="Z310" i="80"/>
  <c r="AH16" i="79"/>
  <c r="AH410" i="79" s="1"/>
  <c r="AH426" i="79" s="1"/>
  <c r="BN306" i="80"/>
  <c r="EX249" i="80"/>
  <c r="R193" i="80"/>
  <c r="DR200" i="79"/>
  <c r="AP121" i="80"/>
  <c r="Z279" i="79"/>
  <c r="CT201" i="79"/>
  <c r="FN279" i="79"/>
  <c r="DB193" i="80"/>
  <c r="DB249" i="80"/>
  <c r="BV249" i="80"/>
  <c r="DR248" i="79"/>
  <c r="AU38" i="80"/>
  <c r="AU383" i="80" s="1"/>
  <c r="AU434" i="80" s="1"/>
  <c r="R16" i="80"/>
  <c r="R410" i="80" s="1"/>
  <c r="DZ248" i="80"/>
  <c r="R151" i="80"/>
  <c r="BN151" i="80"/>
  <c r="DR241" i="80"/>
  <c r="Z241" i="80"/>
  <c r="DJ193" i="80"/>
  <c r="CL200" i="79"/>
  <c r="BF33" i="80"/>
  <c r="BF404" i="80" s="1"/>
  <c r="DZ249" i="80"/>
  <c r="CL193" i="80"/>
  <c r="BF249" i="80"/>
  <c r="EP33" i="79"/>
  <c r="EH148" i="79"/>
  <c r="CK202" i="79"/>
  <c r="AP249" i="80"/>
  <c r="EX193" i="80"/>
  <c r="R253" i="79"/>
  <c r="AX253" i="79"/>
  <c r="Q34" i="79"/>
  <c r="AH29" i="79"/>
  <c r="AH30" i="79" s="1"/>
  <c r="CT70" i="80"/>
  <c r="EH249" i="80"/>
  <c r="DZ193" i="80"/>
  <c r="R188" i="80"/>
  <c r="DR279" i="79"/>
  <c r="FN148" i="79"/>
  <c r="BN249" i="80"/>
  <c r="AW202" i="79"/>
  <c r="BN153" i="80"/>
  <c r="AX241" i="80"/>
  <c r="AX310" i="80"/>
  <c r="R279" i="79"/>
  <c r="EU489" i="80"/>
  <c r="EU466" i="80" s="1"/>
  <c r="EU301" i="80" s="1"/>
  <c r="EU302" i="80" s="1"/>
  <c r="EU315" i="80" s="1"/>
  <c r="EU331" i="80" s="1"/>
  <c r="AU489" i="80"/>
  <c r="AU466" i="80" s="1"/>
  <c r="AU301" i="80" s="1"/>
  <c r="AV301" i="80" s="1"/>
  <c r="AV302" i="80" s="1"/>
  <c r="EE489" i="79"/>
  <c r="EE466" i="79" s="1"/>
  <c r="EE301" i="79" s="1"/>
  <c r="EG301" i="79" s="1"/>
  <c r="EG302" i="79" s="1"/>
  <c r="EM484" i="79"/>
  <c r="EM465" i="79" s="1"/>
  <c r="EM191" i="79" s="1"/>
  <c r="EM196" i="79" s="1"/>
  <c r="FC484" i="79"/>
  <c r="FC465" i="79" s="1"/>
  <c r="FC191" i="79" s="1"/>
  <c r="FC196" i="79" s="1"/>
  <c r="BF248" i="80"/>
  <c r="CT241" i="80"/>
  <c r="AP253" i="79"/>
  <c r="EH253" i="79"/>
  <c r="DZ241" i="80"/>
  <c r="R241" i="80"/>
  <c r="EX248" i="80"/>
  <c r="AP241" i="80"/>
  <c r="EH151" i="80"/>
  <c r="BV151" i="80"/>
  <c r="EP153" i="80"/>
  <c r="CT151" i="80"/>
  <c r="DR151" i="80"/>
  <c r="FF148" i="79"/>
  <c r="FK158" i="79"/>
  <c r="BF151" i="80"/>
  <c r="AH153" i="80"/>
  <c r="CT153" i="80"/>
  <c r="DJ151" i="80"/>
  <c r="CL151" i="80"/>
  <c r="CD153" i="80"/>
  <c r="DR33" i="79"/>
  <c r="DZ33" i="79"/>
  <c r="DP34" i="79"/>
  <c r="FN16" i="79"/>
  <c r="FN410" i="79" s="1"/>
  <c r="FN426" i="79" s="1"/>
  <c r="DZ33" i="80"/>
  <c r="DZ404" i="80" s="1"/>
  <c r="FF33" i="79"/>
  <c r="DJ23" i="80"/>
  <c r="DJ399" i="80" s="1"/>
  <c r="AX69" i="80"/>
  <c r="AX33" i="79"/>
  <c r="DJ200" i="79"/>
  <c r="FE34" i="79"/>
  <c r="DX34" i="79"/>
  <c r="EN34" i="79"/>
  <c r="DJ16" i="79"/>
  <c r="DJ410" i="79" s="1"/>
  <c r="DJ426" i="79" s="1"/>
  <c r="EO34" i="79"/>
  <c r="AP67" i="80"/>
  <c r="R33" i="79"/>
  <c r="R419" i="79" s="1"/>
  <c r="P34" i="79"/>
  <c r="AU38" i="79"/>
  <c r="R69" i="82"/>
  <c r="DJ16" i="80"/>
  <c r="DJ410" i="80" s="1"/>
  <c r="DJ426" i="80" s="1"/>
  <c r="DZ25" i="80"/>
  <c r="DZ401" i="80" s="1"/>
  <c r="Z200" i="79"/>
  <c r="AU46" i="80"/>
  <c r="AU391" i="80" s="1"/>
  <c r="AU437" i="80" s="1"/>
  <c r="FF24" i="79"/>
  <c r="FF400" i="79" s="1"/>
  <c r="AU37" i="80"/>
  <c r="AU382" i="80" s="1"/>
  <c r="BK37" i="79"/>
  <c r="BK382" i="79" s="1"/>
  <c r="AU48" i="80"/>
  <c r="AU393" i="80" s="1"/>
  <c r="EM37" i="79"/>
  <c r="EM382" i="79" s="1"/>
  <c r="DI202" i="79"/>
  <c r="AU39" i="80"/>
  <c r="AU384" i="80" s="1"/>
  <c r="AU435" i="80" s="1"/>
  <c r="O42" i="80"/>
  <c r="O387" i="80" s="1"/>
  <c r="AU43" i="80"/>
  <c r="AU388" i="80" s="1"/>
  <c r="BN18" i="80"/>
  <c r="BN412" i="80" s="1"/>
  <c r="BN428" i="80" s="1"/>
  <c r="AU37" i="79"/>
  <c r="AU382" i="79" s="1"/>
  <c r="O37" i="80"/>
  <c r="O382" i="80" s="1"/>
  <c r="EM42" i="80"/>
  <c r="EM387" i="80" s="1"/>
  <c r="F49" i="35"/>
  <c r="F53" i="35" s="1"/>
  <c r="EM38" i="80"/>
  <c r="EM383" i="80" s="1"/>
  <c r="EM434" i="80" s="1"/>
  <c r="CT16" i="80"/>
  <c r="CT410" i="80" s="1"/>
  <c r="CT426" i="80" s="1"/>
  <c r="G49" i="35"/>
  <c r="W37" i="79"/>
  <c r="W382" i="79" s="1"/>
  <c r="AM44" i="79"/>
  <c r="AM389" i="79" s="1"/>
  <c r="CT23" i="80"/>
  <c r="CT399" i="80" s="1"/>
  <c r="Q13" i="82"/>
  <c r="AH311" i="80"/>
  <c r="EP16" i="80"/>
  <c r="EP410" i="80" s="1"/>
  <c r="EP426" i="80" s="1"/>
  <c r="BV23" i="80"/>
  <c r="BV399" i="80" s="1"/>
  <c r="E49" i="35"/>
  <c r="AX22" i="80"/>
  <c r="AX398" i="80" s="1"/>
  <c r="X202" i="79"/>
  <c r="R23" i="80"/>
  <c r="R399" i="80" s="1"/>
  <c r="EM487" i="79"/>
  <c r="EM488" i="79" s="1"/>
  <c r="EM489" i="79" s="1"/>
  <c r="EM466" i="79" s="1"/>
  <c r="EM301" i="79" s="1"/>
  <c r="EM302" i="79" s="1"/>
  <c r="EM315" i="79" s="1"/>
  <c r="EM331" i="79" s="1"/>
  <c r="AM45" i="79"/>
  <c r="O38" i="80"/>
  <c r="O383" i="80" s="1"/>
  <c r="O434" i="80" s="1"/>
  <c r="EM39" i="80"/>
  <c r="EM384" i="80" s="1"/>
  <c r="EM435" i="80" s="1"/>
  <c r="O47" i="80"/>
  <c r="O392" i="80" s="1"/>
  <c r="EM37" i="80"/>
  <c r="EM382" i="80" s="1"/>
  <c r="EM41" i="80"/>
  <c r="EM386" i="80" s="1"/>
  <c r="O45" i="80"/>
  <c r="O390" i="80" s="1"/>
  <c r="O436" i="80" s="1"/>
  <c r="EM48" i="80"/>
  <c r="EM393" i="80" s="1"/>
  <c r="O46" i="80"/>
  <c r="O391" i="80" s="1"/>
  <c r="O437" i="80" s="1"/>
  <c r="O39" i="80"/>
  <c r="O384" i="80" s="1"/>
  <c r="O435" i="80" s="1"/>
  <c r="CL23" i="80"/>
  <c r="CL399" i="80" s="1"/>
  <c r="EM45" i="80"/>
  <c r="EM390" i="80" s="1"/>
  <c r="EM436" i="80" s="1"/>
  <c r="EM46" i="80"/>
  <c r="EM391" i="80" s="1"/>
  <c r="EM437" i="80" s="1"/>
  <c r="DO39" i="79"/>
  <c r="O48" i="80"/>
  <c r="O393" i="80" s="1"/>
  <c r="EM47" i="80"/>
  <c r="EM392" i="80" s="1"/>
  <c r="EH311" i="80"/>
  <c r="EH22" i="80"/>
  <c r="EH398" i="80" s="1"/>
  <c r="AX268" i="79"/>
  <c r="EX214" i="79"/>
  <c r="DR92" i="79"/>
  <c r="EX23" i="80"/>
  <c r="EX399" i="80" s="1"/>
  <c r="EX92" i="79"/>
  <c r="EU487" i="79"/>
  <c r="EU488" i="79" s="1"/>
  <c r="EU489" i="79" s="1"/>
  <c r="EU466" i="79" s="1"/>
  <c r="EU301" i="79" s="1"/>
  <c r="EV207" i="79"/>
  <c r="R200" i="79"/>
  <c r="FF212" i="80"/>
  <c r="DB310" i="80"/>
  <c r="AH230" i="80"/>
  <c r="EP147" i="79"/>
  <c r="DJ22" i="80"/>
  <c r="DJ398" i="80" s="1"/>
  <c r="R13" i="82"/>
  <c r="EP306" i="80"/>
  <c r="FF200" i="80"/>
  <c r="EP200" i="79"/>
  <c r="AX148" i="80"/>
  <c r="AV202" i="79"/>
  <c r="DJ213" i="80"/>
  <c r="DZ213" i="80"/>
  <c r="AX200" i="79"/>
  <c r="DP202" i="79"/>
  <c r="DY202" i="79"/>
  <c r="Z230" i="80"/>
  <c r="DZ200" i="79"/>
  <c r="FN212" i="80"/>
  <c r="CT213" i="80"/>
  <c r="BV201" i="79"/>
  <c r="AM37" i="79"/>
  <c r="AM382" i="79" s="1"/>
  <c r="AM47" i="79"/>
  <c r="AM392" i="79" s="1"/>
  <c r="AU481" i="80"/>
  <c r="AU484" i="80" s="1"/>
  <c r="AU465" i="80" s="1"/>
  <c r="AU191" i="80" s="1"/>
  <c r="AW191" i="80" s="1"/>
  <c r="AW196" i="80" s="1"/>
  <c r="AM41" i="79"/>
  <c r="AM386" i="79" s="1"/>
  <c r="AM42" i="79"/>
  <c r="AM387" i="79" s="1"/>
  <c r="EX306" i="80"/>
  <c r="BD202" i="79"/>
  <c r="EG202" i="79"/>
  <c r="P202" i="79"/>
  <c r="CD23" i="80"/>
  <c r="CD399" i="80" s="1"/>
  <c r="AX23" i="80"/>
  <c r="AX399" i="80" s="1"/>
  <c r="Q207" i="79"/>
  <c r="CJ202" i="79"/>
  <c r="AH33" i="79"/>
  <c r="AF202" i="79"/>
  <c r="BF148" i="80"/>
  <c r="DB279" i="79"/>
  <c r="EV207" i="80"/>
  <c r="BF200" i="79"/>
  <c r="FN249" i="80"/>
  <c r="DJ193" i="79"/>
  <c r="R280" i="80"/>
  <c r="DJ201" i="79"/>
  <c r="DZ23" i="80"/>
  <c r="DZ399" i="80" s="1"/>
  <c r="DB23" i="80"/>
  <c r="DB399" i="80" s="1"/>
  <c r="DR18" i="80"/>
  <c r="DR412" i="80" s="1"/>
  <c r="DR428" i="80" s="1"/>
  <c r="EO202" i="79"/>
  <c r="BF148" i="79"/>
  <c r="EW207" i="79"/>
  <c r="AF207" i="80"/>
  <c r="AG202" i="79"/>
  <c r="CS202" i="79"/>
  <c r="Z205" i="79"/>
  <c r="X207" i="79"/>
  <c r="AX193" i="79"/>
  <c r="BU202" i="79"/>
  <c r="DX202" i="79"/>
  <c r="CT206" i="80"/>
  <c r="FF280" i="79"/>
  <c r="CR207" i="80"/>
  <c r="R72" i="82"/>
  <c r="R36" i="82"/>
  <c r="R30" i="82"/>
  <c r="S49" i="82"/>
  <c r="R33" i="82"/>
  <c r="R31" i="82"/>
  <c r="R25" i="82"/>
  <c r="R34" i="82"/>
  <c r="R26" i="82"/>
  <c r="BE202" i="79"/>
  <c r="CD280" i="79"/>
  <c r="CL279" i="79"/>
  <c r="AP90" i="80"/>
  <c r="CT309" i="80"/>
  <c r="R213" i="79"/>
  <c r="DZ148" i="80"/>
  <c r="EX205" i="79"/>
  <c r="R90" i="80"/>
  <c r="EX148" i="80"/>
  <c r="R250" i="79"/>
  <c r="FE207" i="79"/>
  <c r="CL250" i="80"/>
  <c r="DB306" i="80"/>
  <c r="DR201" i="79"/>
  <c r="CC202" i="79"/>
  <c r="EV34" i="79"/>
  <c r="AX90" i="80"/>
  <c r="AX154" i="79"/>
  <c r="EP309" i="80"/>
  <c r="EE481" i="79"/>
  <c r="EE484" i="79" s="1"/>
  <c r="EE465" i="79" s="1"/>
  <c r="EE191" i="79" s="1"/>
  <c r="EE196" i="79" s="1"/>
  <c r="EE84" i="79" s="1"/>
  <c r="R205" i="79"/>
  <c r="EP58" i="80"/>
  <c r="BN91" i="80"/>
  <c r="CD129" i="80"/>
  <c r="CL124" i="80"/>
  <c r="AX120" i="79"/>
  <c r="DR129" i="80"/>
  <c r="BV129" i="80"/>
  <c r="AP130" i="79"/>
  <c r="EH129" i="80"/>
  <c r="AP309" i="80"/>
  <c r="CI484" i="80"/>
  <c r="CI465" i="80" s="1"/>
  <c r="CI191" i="80" s="1"/>
  <c r="CI196" i="80" s="1"/>
  <c r="CI84" i="80" s="1"/>
  <c r="AH130" i="79"/>
  <c r="FN249" i="79"/>
  <c r="EX149" i="79"/>
  <c r="Z154" i="79"/>
  <c r="R149" i="79"/>
  <c r="CQ489" i="80"/>
  <c r="CQ466" i="80" s="1"/>
  <c r="CQ301" i="80" s="1"/>
  <c r="CR301" i="80" s="1"/>
  <c r="CR302" i="80" s="1"/>
  <c r="DG489" i="80"/>
  <c r="DG466" i="80" s="1"/>
  <c r="DG301" i="80" s="1"/>
  <c r="DI301" i="80" s="1"/>
  <c r="DI302" i="80" s="1"/>
  <c r="CA489" i="80"/>
  <c r="CA466" i="80" s="1"/>
  <c r="CA301" i="80" s="1"/>
  <c r="CA302" i="80" s="1"/>
  <c r="CA315" i="80" s="1"/>
  <c r="CA331" i="80" s="1"/>
  <c r="EE489" i="80"/>
  <c r="EE466" i="80" s="1"/>
  <c r="EE301" i="80" s="1"/>
  <c r="EG301" i="80" s="1"/>
  <c r="EG302" i="80" s="1"/>
  <c r="FK489" i="80"/>
  <c r="FK466" i="80" s="1"/>
  <c r="FK301" i="80" s="1"/>
  <c r="FM301" i="80" s="1"/>
  <c r="FM302" i="80" s="1"/>
  <c r="BK489" i="80"/>
  <c r="BK466" i="80" s="1"/>
  <c r="BK301" i="80" s="1"/>
  <c r="BM301" i="80" s="1"/>
  <c r="BM302" i="80" s="1"/>
  <c r="AM484" i="80"/>
  <c r="AM465" i="80" s="1"/>
  <c r="AM191" i="80" s="1"/>
  <c r="AN191" i="80" s="1"/>
  <c r="FC484" i="80"/>
  <c r="FC465" i="80" s="1"/>
  <c r="FC191" i="80" s="1"/>
  <c r="FD191" i="80" s="1"/>
  <c r="FD196" i="80" s="1"/>
  <c r="BS484" i="80"/>
  <c r="BS465" i="80" s="1"/>
  <c r="BS191" i="80" s="1"/>
  <c r="BT191" i="80" s="1"/>
  <c r="BT196" i="80" s="1"/>
  <c r="CY481" i="79"/>
  <c r="CY484" i="79" s="1"/>
  <c r="CY465" i="79" s="1"/>
  <c r="CY191" i="79" s="1"/>
  <c r="CY196" i="79" s="1"/>
  <c r="CY84" i="79" s="1"/>
  <c r="BC484" i="80"/>
  <c r="BC465" i="80" s="1"/>
  <c r="BC191" i="80" s="1"/>
  <c r="BC196" i="80" s="1"/>
  <c r="BC84" i="80" s="1"/>
  <c r="BM202" i="79"/>
  <c r="FN201" i="79"/>
  <c r="AH147" i="79"/>
  <c r="DH202" i="79"/>
  <c r="BN148" i="80"/>
  <c r="CT279" i="79"/>
  <c r="AP58" i="80"/>
  <c r="EP91" i="80"/>
  <c r="EH91" i="80"/>
  <c r="DB126" i="80"/>
  <c r="BV126" i="80"/>
  <c r="BN151" i="79"/>
  <c r="FN150" i="80"/>
  <c r="BV149" i="79"/>
  <c r="AP148" i="80"/>
  <c r="AH250" i="80"/>
  <c r="BF201" i="79"/>
  <c r="CD205" i="79"/>
  <c r="CT226" i="79"/>
  <c r="R70" i="79"/>
  <c r="EX230" i="79"/>
  <c r="Z193" i="79"/>
  <c r="BF149" i="79"/>
  <c r="CT154" i="79"/>
  <c r="DR149" i="79"/>
  <c r="AX149" i="79"/>
  <c r="FL202" i="79"/>
  <c r="Z90" i="80"/>
  <c r="CD310" i="80"/>
  <c r="BE207" i="79"/>
  <c r="CT151" i="79"/>
  <c r="EP129" i="80"/>
  <c r="CD120" i="79"/>
  <c r="DJ149" i="79"/>
  <c r="DR29" i="79"/>
  <c r="DR30" i="79" s="1"/>
  <c r="AH201" i="79"/>
  <c r="DB309" i="80"/>
  <c r="DR205" i="79"/>
  <c r="AX58" i="80"/>
  <c r="AH205" i="79"/>
  <c r="EX129" i="80"/>
  <c r="Z130" i="79"/>
  <c r="DR154" i="79"/>
  <c r="EP151" i="79"/>
  <c r="BN247" i="79"/>
  <c r="FN148" i="80"/>
  <c r="Z147" i="79"/>
  <c r="CD309" i="80"/>
  <c r="DZ91" i="80"/>
  <c r="EX124" i="80"/>
  <c r="DR309" i="80"/>
  <c r="R309" i="80"/>
  <c r="EH309" i="80"/>
  <c r="BV279" i="79"/>
  <c r="EH250" i="80"/>
  <c r="FF213" i="80"/>
  <c r="AH201" i="80"/>
  <c r="AO202" i="79"/>
  <c r="DZ201" i="79"/>
  <c r="EP201" i="79"/>
  <c r="R148" i="79"/>
  <c r="BV148" i="80"/>
  <c r="DR148" i="80"/>
  <c r="FF148" i="80"/>
  <c r="AP150" i="80"/>
  <c r="BF150" i="80"/>
  <c r="R154" i="79"/>
  <c r="FC158" i="79"/>
  <c r="DJ148" i="80"/>
  <c r="AP154" i="79"/>
  <c r="DZ151" i="79"/>
  <c r="BV154" i="79"/>
  <c r="EP126" i="80"/>
  <c r="DB120" i="79"/>
  <c r="CD124" i="80"/>
  <c r="DB130" i="79"/>
  <c r="DJ130" i="79"/>
  <c r="BV130" i="79"/>
  <c r="CT129" i="80"/>
  <c r="Z124" i="80"/>
  <c r="DZ120" i="79"/>
  <c r="BF130" i="79"/>
  <c r="BN90" i="80"/>
  <c r="Z91" i="80"/>
  <c r="DB58" i="80"/>
  <c r="DJ58" i="80"/>
  <c r="CT58" i="80"/>
  <c r="EH58" i="80"/>
  <c r="EH205" i="79"/>
  <c r="FD61" i="79"/>
  <c r="X61" i="79"/>
  <c r="CJ61" i="79"/>
  <c r="DA207" i="79"/>
  <c r="AH33" i="80"/>
  <c r="EN202" i="79"/>
  <c r="EW207" i="80"/>
  <c r="DQ207" i="79"/>
  <c r="EH90" i="80"/>
  <c r="BC47" i="79"/>
  <c r="BC392" i="79" s="1"/>
  <c r="EH148" i="80"/>
  <c r="EX206" i="80"/>
  <c r="BF90" i="80"/>
  <c r="CT270" i="79"/>
  <c r="DP61" i="79"/>
  <c r="CR34" i="79"/>
  <c r="CD279" i="79"/>
  <c r="AM48" i="79"/>
  <c r="AM393" i="79" s="1"/>
  <c r="FL61" i="79"/>
  <c r="AN61" i="79"/>
  <c r="AG207" i="79"/>
  <c r="AF61" i="79"/>
  <c r="FE207" i="80"/>
  <c r="CL280" i="79"/>
  <c r="R201" i="79"/>
  <c r="EN61" i="79"/>
  <c r="DH61" i="79"/>
  <c r="P61" i="79"/>
  <c r="AV61" i="79"/>
  <c r="AP205" i="79"/>
  <c r="FL207" i="80"/>
  <c r="CC207" i="79"/>
  <c r="EX279" i="79"/>
  <c r="AX205" i="79"/>
  <c r="AX207" i="79" s="1"/>
  <c r="FL207" i="79"/>
  <c r="BT61" i="79"/>
  <c r="EF61" i="79"/>
  <c r="DX61" i="79"/>
  <c r="CT33" i="79"/>
  <c r="O43" i="80"/>
  <c r="O388" i="80" s="1"/>
  <c r="EM43" i="80"/>
  <c r="EM388" i="80" s="1"/>
  <c r="DB201" i="79"/>
  <c r="AH90" i="80"/>
  <c r="DZ250" i="80"/>
  <c r="BD61" i="79"/>
  <c r="CA37" i="79"/>
  <c r="CA382" i="79" s="1"/>
  <c r="AX201" i="79"/>
  <c r="EG207" i="80"/>
  <c r="Q202" i="79"/>
  <c r="DO38" i="79"/>
  <c r="BS37" i="79"/>
  <c r="BS382" i="79" s="1"/>
  <c r="EM38" i="79"/>
  <c r="CQ37" i="79"/>
  <c r="CQ382" i="79" s="1"/>
  <c r="FE202" i="79"/>
  <c r="CK34" i="79"/>
  <c r="FK38" i="79"/>
  <c r="BK46" i="80"/>
  <c r="BK391" i="80" s="1"/>
  <c r="BK437" i="80" s="1"/>
  <c r="BC43" i="80"/>
  <c r="BC388" i="80" s="1"/>
  <c r="W38" i="79"/>
  <c r="EH201" i="79"/>
  <c r="R71" i="82"/>
  <c r="R85" i="82"/>
  <c r="BT202" i="79"/>
  <c r="E49" i="82"/>
  <c r="E53" i="82" s="1"/>
  <c r="CT90" i="80"/>
  <c r="FF201" i="79"/>
  <c r="AM43" i="80"/>
  <c r="AM388" i="80" s="1"/>
  <c r="AE37" i="80"/>
  <c r="AE382" i="80" s="1"/>
  <c r="EU37" i="79"/>
  <c r="EU382" i="79" s="1"/>
  <c r="BK38" i="79"/>
  <c r="CA38" i="79"/>
  <c r="FC37" i="79"/>
  <c r="FC382" i="79" s="1"/>
  <c r="AX279" i="79"/>
  <c r="FN248" i="80"/>
  <c r="DG41" i="80"/>
  <c r="DG386" i="80" s="1"/>
  <c r="BC38" i="79"/>
  <c r="DG38" i="79"/>
  <c r="O38" i="79"/>
  <c r="AE38" i="79"/>
  <c r="DP207" i="79"/>
  <c r="EN207" i="79"/>
  <c r="AM38" i="79"/>
  <c r="DG37" i="79"/>
  <c r="DG382" i="79" s="1"/>
  <c r="DO37" i="79"/>
  <c r="DO382" i="79" s="1"/>
  <c r="O37" i="79"/>
  <c r="O382" i="79" s="1"/>
  <c r="BS38" i="79"/>
  <c r="R19" i="82"/>
  <c r="R29" i="82"/>
  <c r="CL33" i="79"/>
  <c r="BN205" i="79"/>
  <c r="EW202" i="79"/>
  <c r="DW43" i="80"/>
  <c r="DW388" i="80" s="1"/>
  <c r="FM61" i="79"/>
  <c r="CZ64" i="80"/>
  <c r="FL64" i="80"/>
  <c r="EO61" i="79"/>
  <c r="BE61" i="79"/>
  <c r="BM64" i="80"/>
  <c r="AO61" i="80"/>
  <c r="BE61" i="80"/>
  <c r="CB64" i="80"/>
  <c r="G49" i="82"/>
  <c r="G53" i="82" s="1"/>
  <c r="DQ64" i="80"/>
  <c r="DX61" i="80"/>
  <c r="AW61" i="80"/>
  <c r="FE64" i="80"/>
  <c r="FE60" i="80"/>
  <c r="BM61" i="80"/>
  <c r="CK64" i="79"/>
  <c r="EH268" i="79"/>
  <c r="FD64" i="80"/>
  <c r="FM64" i="80"/>
  <c r="Q64" i="79"/>
  <c r="Y61" i="79"/>
  <c r="EV61" i="79"/>
  <c r="EX61" i="79" s="1"/>
  <c r="EN64" i="80"/>
  <c r="AO64" i="80"/>
  <c r="CZ61" i="79"/>
  <c r="EG64" i="79"/>
  <c r="EH64" i="79" s="1"/>
  <c r="AN64" i="80"/>
  <c r="BV112" i="80"/>
  <c r="CI487" i="80"/>
  <c r="CI488" i="80" s="1"/>
  <c r="CI489" i="80" s="1"/>
  <c r="CI466" i="80" s="1"/>
  <c r="CI301" i="80" s="1"/>
  <c r="CK301" i="80" s="1"/>
  <c r="CK302" i="80" s="1"/>
  <c r="DG48" i="80"/>
  <c r="DG393" i="80" s="1"/>
  <c r="AX106" i="80"/>
  <c r="CY44" i="79"/>
  <c r="CY389" i="79" s="1"/>
  <c r="DG481" i="80"/>
  <c r="DG484" i="80" s="1"/>
  <c r="DG465" i="80" s="1"/>
  <c r="DG191" i="80" s="1"/>
  <c r="DH191" i="80" s="1"/>
  <c r="DH196" i="80" s="1"/>
  <c r="DR192" i="79"/>
  <c r="BC44" i="80"/>
  <c r="BC389" i="80" s="1"/>
  <c r="CT244" i="80"/>
  <c r="FK481" i="80"/>
  <c r="FK484" i="80" s="1"/>
  <c r="FK465" i="80" s="1"/>
  <c r="FK191" i="80" s="1"/>
  <c r="FK196" i="80" s="1"/>
  <c r="FK84" i="80" s="1"/>
  <c r="AM39" i="80"/>
  <c r="AM384" i="80" s="1"/>
  <c r="AM435" i="80" s="1"/>
  <c r="EE481" i="80"/>
  <c r="EE484" i="80" s="1"/>
  <c r="EE465" i="80" s="1"/>
  <c r="EE191" i="80" s="1"/>
  <c r="EF191" i="80" s="1"/>
  <c r="EF196" i="80" s="1"/>
  <c r="BN24" i="80"/>
  <c r="BN400" i="80" s="1"/>
  <c r="DR24" i="80"/>
  <c r="DR400" i="80" s="1"/>
  <c r="AE42" i="80"/>
  <c r="AE387" i="80" s="1"/>
  <c r="AE41" i="80"/>
  <c r="AE386" i="80" s="1"/>
  <c r="BF24" i="80"/>
  <c r="BF400" i="80" s="1"/>
  <c r="AE48" i="80"/>
  <c r="AE393" i="80" s="1"/>
  <c r="BF66" i="80"/>
  <c r="CD24" i="80"/>
  <c r="CD400" i="80" s="1"/>
  <c r="BC48" i="80"/>
  <c r="BC393" i="80" s="1"/>
  <c r="BC47" i="80"/>
  <c r="BC392" i="80" s="1"/>
  <c r="BC487" i="80"/>
  <c r="BC488" i="80" s="1"/>
  <c r="BC489" i="80" s="1"/>
  <c r="BC466" i="80" s="1"/>
  <c r="BC301" i="80" s="1"/>
  <c r="FF71" i="80"/>
  <c r="CA481" i="80"/>
  <c r="CA484" i="80" s="1"/>
  <c r="CA465" i="80" s="1"/>
  <c r="CA191" i="80" s="1"/>
  <c r="CC191" i="80" s="1"/>
  <c r="CC196" i="80" s="1"/>
  <c r="AM487" i="80"/>
  <c r="AM488" i="80" s="1"/>
  <c r="AM489" i="80" s="1"/>
  <c r="AM466" i="80" s="1"/>
  <c r="AM301" i="80" s="1"/>
  <c r="AN301" i="80" s="1"/>
  <c r="AN302" i="80" s="1"/>
  <c r="DZ189" i="80"/>
  <c r="FC487" i="80"/>
  <c r="FC488" i="80" s="1"/>
  <c r="FC489" i="80" s="1"/>
  <c r="FC466" i="80" s="1"/>
  <c r="FC301" i="80" s="1"/>
  <c r="FD301" i="80" s="1"/>
  <c r="FD302" i="80" s="1"/>
  <c r="AX29" i="79"/>
  <c r="AX30" i="79" s="1"/>
  <c r="CL201" i="80"/>
  <c r="DR244" i="80"/>
  <c r="CY489" i="80"/>
  <c r="CY466" i="80" s="1"/>
  <c r="CY301" i="80" s="1"/>
  <c r="CY302" i="80" s="1"/>
  <c r="CY315" i="80" s="1"/>
  <c r="CY331" i="80" s="1"/>
  <c r="CY481" i="80"/>
  <c r="CY484" i="80" s="1"/>
  <c r="CY465" i="80" s="1"/>
  <c r="CY191" i="80" s="1"/>
  <c r="EP227" i="79"/>
  <c r="EH18" i="80"/>
  <c r="EH412" i="80" s="1"/>
  <c r="EH428" i="80" s="1"/>
  <c r="CK34" i="80"/>
  <c r="DJ18" i="79"/>
  <c r="DJ412" i="79" s="1"/>
  <c r="DJ428" i="79" s="1"/>
  <c r="BN311" i="80"/>
  <c r="DZ212" i="79"/>
  <c r="EX242" i="79"/>
  <c r="FF306" i="79"/>
  <c r="DJ201" i="80"/>
  <c r="R311" i="80"/>
  <c r="EP212" i="79"/>
  <c r="Z256" i="79"/>
  <c r="R200" i="80"/>
  <c r="BN268" i="80"/>
  <c r="BK45" i="80"/>
  <c r="BK390" i="80" s="1"/>
  <c r="BK436" i="80" s="1"/>
  <c r="FF231" i="80"/>
  <c r="BK48" i="80"/>
  <c r="BK393" i="80" s="1"/>
  <c r="BK481" i="80"/>
  <c r="BK484" i="80" s="1"/>
  <c r="BK465" i="80" s="1"/>
  <c r="BK191" i="80" s="1"/>
  <c r="BM191" i="80" s="1"/>
  <c r="BM196" i="80" s="1"/>
  <c r="BD143" i="80"/>
  <c r="AX132" i="80"/>
  <c r="AX24" i="80"/>
  <c r="AX400" i="80" s="1"/>
  <c r="EU42" i="80"/>
  <c r="EU387" i="80" s="1"/>
  <c r="EX177" i="79"/>
  <c r="AE44" i="80"/>
  <c r="AE389" i="80" s="1"/>
  <c r="BK38" i="80"/>
  <c r="BK383" i="80" s="1"/>
  <c r="BK434" i="80" s="1"/>
  <c r="EU44" i="79"/>
  <c r="EU389" i="79" s="1"/>
  <c r="EX232" i="79"/>
  <c r="EH229" i="79"/>
  <c r="CD29" i="79"/>
  <c r="CD30" i="79" s="1"/>
  <c r="CD201" i="79"/>
  <c r="Z214" i="79"/>
  <c r="AE47" i="80"/>
  <c r="AE392" i="80" s="1"/>
  <c r="Z255" i="80"/>
  <c r="DZ132" i="80"/>
  <c r="DZ58" i="79"/>
  <c r="DJ141" i="80"/>
  <c r="BF112" i="80"/>
  <c r="BV67" i="80"/>
  <c r="EX24" i="80"/>
  <c r="EX400" i="80" s="1"/>
  <c r="DB214" i="80"/>
  <c r="AE38" i="80"/>
  <c r="AE383" i="80" s="1"/>
  <c r="AE434" i="80" s="1"/>
  <c r="BN201" i="80"/>
  <c r="FN212" i="79"/>
  <c r="AE46" i="80"/>
  <c r="AE391" i="80" s="1"/>
  <c r="AE437" i="80" s="1"/>
  <c r="AE43" i="80"/>
  <c r="AE388" i="80" s="1"/>
  <c r="DG37" i="80"/>
  <c r="DG382" i="80" s="1"/>
  <c r="EU38" i="79"/>
  <c r="AM48" i="80"/>
  <c r="AM393" i="80" s="1"/>
  <c r="AE39" i="80"/>
  <c r="AE384" i="80" s="1"/>
  <c r="AE435" i="80" s="1"/>
  <c r="AE40" i="80"/>
  <c r="AE385" i="80" s="1"/>
  <c r="BK39" i="80"/>
  <c r="BK384" i="80" s="1"/>
  <c r="BK435" i="80" s="1"/>
  <c r="DZ254" i="79"/>
  <c r="FN106" i="79"/>
  <c r="R22" i="80"/>
  <c r="R398" i="80" s="1"/>
  <c r="BE100" i="79"/>
  <c r="DJ180" i="80"/>
  <c r="AE45" i="80"/>
  <c r="AE390" i="80" s="1"/>
  <c r="AE436" i="80" s="1"/>
  <c r="FF69" i="80"/>
  <c r="BK44" i="80"/>
  <c r="BK389" i="80" s="1"/>
  <c r="EM489" i="80"/>
  <c r="EM466" i="80" s="1"/>
  <c r="EM301" i="80" s="1"/>
  <c r="EO301" i="80" s="1"/>
  <c r="EO302" i="80" s="1"/>
  <c r="EM481" i="80"/>
  <c r="EM484" i="80" s="1"/>
  <c r="EM465" i="80" s="1"/>
  <c r="EM191" i="80" s="1"/>
  <c r="EN191" i="80" s="1"/>
  <c r="EN196" i="80" s="1"/>
  <c r="BV270" i="79"/>
  <c r="DZ70" i="79"/>
  <c r="CL189" i="80"/>
  <c r="DZ184" i="79"/>
  <c r="DQ100" i="79"/>
  <c r="CD194" i="80"/>
  <c r="BN254" i="80"/>
  <c r="DW45" i="80"/>
  <c r="DW390" i="80" s="1"/>
  <c r="DW436" i="80" s="1"/>
  <c r="DR72" i="80"/>
  <c r="BK43" i="80"/>
  <c r="BK388" i="80" s="1"/>
  <c r="BK42" i="80"/>
  <c r="BK387" i="80" s="1"/>
  <c r="DI100" i="79"/>
  <c r="AH24" i="80"/>
  <c r="AH400" i="80" s="1"/>
  <c r="AH18" i="80"/>
  <c r="AH412" i="80" s="1"/>
  <c r="AH428" i="80" s="1"/>
  <c r="DG39" i="80"/>
  <c r="DG384" i="80" s="1"/>
  <c r="DG435" i="80" s="1"/>
  <c r="BK37" i="80"/>
  <c r="BK382" i="80" s="1"/>
  <c r="DB18" i="79"/>
  <c r="DB412" i="79" s="1"/>
  <c r="DB428" i="79" s="1"/>
  <c r="CL192" i="79"/>
  <c r="BS487" i="80"/>
  <c r="BS488" i="80" s="1"/>
  <c r="BS489" i="80" s="1"/>
  <c r="BS466" i="80" s="1"/>
  <c r="BS301" i="80" s="1"/>
  <c r="BU301" i="80" s="1"/>
  <c r="BU302" i="80" s="1"/>
  <c r="FF73" i="79"/>
  <c r="CD58" i="79"/>
  <c r="AP24" i="80"/>
  <c r="AP400" i="80" s="1"/>
  <c r="CJ100" i="79"/>
  <c r="FF250" i="79"/>
  <c r="CD123" i="79"/>
  <c r="AW143" i="80"/>
  <c r="BK47" i="80"/>
  <c r="BK392" i="80" s="1"/>
  <c r="FN90" i="79"/>
  <c r="EF26" i="80"/>
  <c r="EU481" i="80"/>
  <c r="EU484" i="80" s="1"/>
  <c r="EU465" i="80" s="1"/>
  <c r="EU191" i="80" s="1"/>
  <c r="R279" i="80"/>
  <c r="DW47" i="80"/>
  <c r="DW392" i="80" s="1"/>
  <c r="DW39" i="80"/>
  <c r="DW384" i="80" s="1"/>
  <c r="DW435" i="80" s="1"/>
  <c r="DZ242" i="79"/>
  <c r="Y180" i="80"/>
  <c r="Z180" i="80" s="1"/>
  <c r="EP89" i="79"/>
  <c r="CD201" i="80"/>
  <c r="CQ481" i="80"/>
  <c r="CQ484" i="80" s="1"/>
  <c r="CQ465" i="80" s="1"/>
  <c r="CQ191" i="80" s="1"/>
  <c r="CQ196" i="80" s="1"/>
  <c r="CQ84" i="80" s="1"/>
  <c r="DH34" i="80"/>
  <c r="FN141" i="80"/>
  <c r="BN200" i="80"/>
  <c r="DW42" i="80"/>
  <c r="DW387" i="80" s="1"/>
  <c r="DJ226" i="79"/>
  <c r="DG42" i="80"/>
  <c r="DG387" i="80" s="1"/>
  <c r="DG47" i="80"/>
  <c r="DG392" i="80" s="1"/>
  <c r="FF70" i="80"/>
  <c r="Q180" i="80"/>
  <c r="R180" i="80" s="1"/>
  <c r="FN268" i="79"/>
  <c r="EP232" i="79"/>
  <c r="FK37" i="79"/>
  <c r="FK382" i="79" s="1"/>
  <c r="FL202" i="80"/>
  <c r="FC41" i="79"/>
  <c r="FC386" i="79" s="1"/>
  <c r="CD140" i="80"/>
  <c r="AG187" i="80"/>
  <c r="AH187" i="80" s="1"/>
  <c r="CY37" i="79"/>
  <c r="CY382" i="79" s="1"/>
  <c r="BN306" i="79"/>
  <c r="DZ180" i="80"/>
  <c r="EX132" i="80"/>
  <c r="Z58" i="79"/>
  <c r="DJ268" i="79"/>
  <c r="DW48" i="80"/>
  <c r="DW393" i="80" s="1"/>
  <c r="DG44" i="80"/>
  <c r="DG389" i="80" s="1"/>
  <c r="DG45" i="80"/>
  <c r="DG390" i="80" s="1"/>
  <c r="DG436" i="80" s="1"/>
  <c r="DX26" i="79"/>
  <c r="DG38" i="80"/>
  <c r="DG383" i="80" s="1"/>
  <c r="DG434" i="80" s="1"/>
  <c r="DG43" i="80"/>
  <c r="DG388" i="80" s="1"/>
  <c r="DR181" i="80"/>
  <c r="EH24" i="80"/>
  <c r="EH400" i="80" s="1"/>
  <c r="EX18" i="79"/>
  <c r="EX412" i="79" s="1"/>
  <c r="EX428" i="79" s="1"/>
  <c r="CY38" i="79"/>
  <c r="CT232" i="79"/>
  <c r="CT254" i="80"/>
  <c r="FL143" i="80"/>
  <c r="EX90" i="80"/>
  <c r="CT178" i="80"/>
  <c r="Z211" i="79"/>
  <c r="FC47" i="79"/>
  <c r="FC392" i="79" s="1"/>
  <c r="DW38" i="80"/>
  <c r="DW383" i="80" s="1"/>
  <c r="DW434" i="80" s="1"/>
  <c r="FD215" i="80"/>
  <c r="AX23" i="79"/>
  <c r="AX399" i="79" s="1"/>
  <c r="AP200" i="80"/>
  <c r="DJ309" i="79"/>
  <c r="DJ58" i="79"/>
  <c r="CT195" i="80"/>
  <c r="CL229" i="79"/>
  <c r="DR201" i="80"/>
  <c r="EP212" i="80"/>
  <c r="DG46" i="80"/>
  <c r="DG391" i="80" s="1"/>
  <c r="DG437" i="80" s="1"/>
  <c r="CD181" i="80"/>
  <c r="EX254" i="79"/>
  <c r="DW46" i="80"/>
  <c r="DW391" i="80" s="1"/>
  <c r="DW437" i="80" s="1"/>
  <c r="BN140" i="80"/>
  <c r="Z132" i="79"/>
  <c r="AH106" i="80"/>
  <c r="AX123" i="80"/>
  <c r="BF98" i="79"/>
  <c r="DB211" i="79"/>
  <c r="CT227" i="79"/>
  <c r="Z270" i="79"/>
  <c r="EV26" i="80"/>
  <c r="FF73" i="80"/>
  <c r="FN231" i="80"/>
  <c r="FF255" i="80"/>
  <c r="EH90" i="79"/>
  <c r="DJ23" i="79"/>
  <c r="DJ399" i="79" s="1"/>
  <c r="BN29" i="80"/>
  <c r="BN30" i="80" s="1"/>
  <c r="BN403" i="80" s="1"/>
  <c r="CT205" i="80"/>
  <c r="BC39" i="80"/>
  <c r="BC384" i="80" s="1"/>
  <c r="BC435" i="80" s="1"/>
  <c r="Y202" i="79"/>
  <c r="EP24" i="80"/>
  <c r="EP400" i="80" s="1"/>
  <c r="EW100" i="79"/>
  <c r="BD100" i="79"/>
  <c r="DZ192" i="79"/>
  <c r="Z181" i="80"/>
  <c r="DJ132" i="80"/>
  <c r="EX200" i="79"/>
  <c r="BV244" i="80"/>
  <c r="DJ195" i="79"/>
  <c r="CC100" i="79"/>
  <c r="EP58" i="79"/>
  <c r="CL33" i="80"/>
  <c r="CL404" i="80" s="1"/>
  <c r="AF143" i="80"/>
  <c r="CD68" i="80"/>
  <c r="DB192" i="79"/>
  <c r="W481" i="80"/>
  <c r="W484" i="80" s="1"/>
  <c r="W465" i="80" s="1"/>
  <c r="W191" i="80" s="1"/>
  <c r="Y191" i="80" s="1"/>
  <c r="EP184" i="79"/>
  <c r="Z71" i="79"/>
  <c r="BC42" i="80"/>
  <c r="BC387" i="80" s="1"/>
  <c r="BC46" i="80"/>
  <c r="BC391" i="80" s="1"/>
  <c r="BC437" i="80" s="1"/>
  <c r="BC38" i="80"/>
  <c r="BC383" i="80" s="1"/>
  <c r="BC434" i="80" s="1"/>
  <c r="CD112" i="80"/>
  <c r="EH182" i="80"/>
  <c r="AP307" i="80"/>
  <c r="CT309" i="79"/>
  <c r="FN255" i="79"/>
  <c r="CD18" i="80"/>
  <c r="CD412" i="80" s="1"/>
  <c r="CD428" i="80" s="1"/>
  <c r="CT231" i="80"/>
  <c r="CL24" i="80"/>
  <c r="CL400" i="80" s="1"/>
  <c r="FC45" i="79"/>
  <c r="FN192" i="79"/>
  <c r="BC40" i="80"/>
  <c r="BC385" i="80" s="1"/>
  <c r="BV18" i="79"/>
  <c r="BV412" i="79" s="1"/>
  <c r="BV428" i="79" s="1"/>
  <c r="FF16" i="80"/>
  <c r="FF410" i="80" s="1"/>
  <c r="FF426" i="80" s="1"/>
  <c r="BC45" i="80"/>
  <c r="BC390" i="80" s="1"/>
  <c r="BC436" i="80" s="1"/>
  <c r="R255" i="79"/>
  <c r="CD229" i="80"/>
  <c r="BF106" i="80"/>
  <c r="BF132" i="80"/>
  <c r="BV98" i="79"/>
  <c r="FM202" i="79"/>
  <c r="BN194" i="80"/>
  <c r="P207" i="80"/>
  <c r="EH254" i="80"/>
  <c r="DZ90" i="80"/>
  <c r="AP211" i="79"/>
  <c r="FF254" i="79"/>
  <c r="BF97" i="79"/>
  <c r="DB195" i="79"/>
  <c r="FF89" i="80"/>
  <c r="CD279" i="80"/>
  <c r="FN132" i="80"/>
  <c r="FN311" i="80"/>
  <c r="R181" i="80"/>
  <c r="EP192" i="79"/>
  <c r="AX280" i="79"/>
  <c r="CT279" i="80"/>
  <c r="EX194" i="79"/>
  <c r="EX29" i="79"/>
  <c r="EX30" i="79" s="1"/>
  <c r="FD202" i="79"/>
  <c r="DB58" i="79"/>
  <c r="AM46" i="80"/>
  <c r="AM391" i="80" s="1"/>
  <c r="AM437" i="80" s="1"/>
  <c r="CT18" i="80"/>
  <c r="CT412" i="80" s="1"/>
  <c r="CT428" i="80" s="1"/>
  <c r="R18" i="80"/>
  <c r="R412" i="80" s="1"/>
  <c r="R428" i="80" s="1"/>
  <c r="EX270" i="79"/>
  <c r="BN121" i="80"/>
  <c r="Z280" i="80"/>
  <c r="AV100" i="79"/>
  <c r="EO100" i="79"/>
  <c r="EH242" i="79"/>
  <c r="BN109" i="80"/>
  <c r="CD250" i="79"/>
  <c r="EH23" i="79"/>
  <c r="EH399" i="79" s="1"/>
  <c r="AM42" i="80"/>
  <c r="AM387" i="80" s="1"/>
  <c r="CD123" i="80"/>
  <c r="DR18" i="79"/>
  <c r="DR412" i="79" s="1"/>
  <c r="DR428" i="79" s="1"/>
  <c r="EH18" i="79"/>
  <c r="EH412" i="79" s="1"/>
  <c r="EH428" i="79" s="1"/>
  <c r="CT200" i="79"/>
  <c r="DZ149" i="80"/>
  <c r="DR277" i="79"/>
  <c r="DJ29" i="79"/>
  <c r="DJ30" i="79" s="1"/>
  <c r="AM44" i="80"/>
  <c r="AM389" i="80" s="1"/>
  <c r="AM47" i="80"/>
  <c r="AM392" i="80" s="1"/>
  <c r="CT24" i="80"/>
  <c r="CT400" i="80" s="1"/>
  <c r="DZ18" i="79"/>
  <c r="DZ412" i="79" s="1"/>
  <c r="DZ428" i="79" s="1"/>
  <c r="Z33" i="80"/>
  <c r="Z404" i="80" s="1"/>
  <c r="CD205" i="80"/>
  <c r="CD207" i="80" s="1"/>
  <c r="EP18" i="80"/>
  <c r="EP412" i="80" s="1"/>
  <c r="EP428" i="80" s="1"/>
  <c r="CS26" i="80"/>
  <c r="Z18" i="80"/>
  <c r="Z412" i="80" s="1"/>
  <c r="Z428" i="80" s="1"/>
  <c r="DZ73" i="80"/>
  <c r="AM37" i="80"/>
  <c r="AM382" i="80" s="1"/>
  <c r="AM45" i="80"/>
  <c r="AM390" i="80" s="1"/>
  <c r="AM436" i="80" s="1"/>
  <c r="Z24" i="80"/>
  <c r="Z400" i="80" s="1"/>
  <c r="CZ34" i="80"/>
  <c r="CT142" i="80"/>
  <c r="AP230" i="80"/>
  <c r="DI100" i="80"/>
  <c r="BN181" i="80"/>
  <c r="AM38" i="80"/>
  <c r="AM383" i="80" s="1"/>
  <c r="AM434" i="80" s="1"/>
  <c r="DB229" i="80"/>
  <c r="EH276" i="79"/>
  <c r="BN213" i="80"/>
  <c r="DR149" i="80"/>
  <c r="DZ91" i="79"/>
  <c r="BF92" i="79"/>
  <c r="CJ34" i="80"/>
  <c r="BF212" i="80"/>
  <c r="FC46" i="79"/>
  <c r="DJ18" i="80"/>
  <c r="DJ412" i="80" s="1"/>
  <c r="DJ428" i="80" s="1"/>
  <c r="DW37" i="79"/>
  <c r="DW382" i="79" s="1"/>
  <c r="R205" i="80"/>
  <c r="FN115" i="80"/>
  <c r="BF306" i="79"/>
  <c r="CD305" i="79"/>
  <c r="CS207" i="80"/>
  <c r="EH256" i="79"/>
  <c r="EP229" i="80"/>
  <c r="X34" i="80"/>
  <c r="CD276" i="79"/>
  <c r="AX98" i="79"/>
  <c r="DR194" i="79"/>
  <c r="EH246" i="79"/>
  <c r="DR242" i="79"/>
  <c r="CL214" i="80"/>
  <c r="EF143" i="80"/>
  <c r="P187" i="80"/>
  <c r="R187" i="80" s="1"/>
  <c r="BN106" i="79"/>
  <c r="P26" i="80"/>
  <c r="BV66" i="80"/>
  <c r="DZ212" i="80"/>
  <c r="DP30" i="79"/>
  <c r="EH255" i="80"/>
  <c r="DJ246" i="79"/>
  <c r="DR23" i="79"/>
  <c r="DR399" i="79" s="1"/>
  <c r="EX307" i="79"/>
  <c r="CT211" i="79"/>
  <c r="DJ211" i="79"/>
  <c r="BV210" i="80"/>
  <c r="Z71" i="80"/>
  <c r="Z254" i="80"/>
  <c r="DJ254" i="80"/>
  <c r="X100" i="79"/>
  <c r="BF89" i="79"/>
  <c r="BT26" i="80"/>
  <c r="BV24" i="80"/>
  <c r="BV400" i="80" s="1"/>
  <c r="FF210" i="80"/>
  <c r="BV16" i="79"/>
  <c r="BV410" i="79" s="1"/>
  <c r="BV426" i="79" s="1"/>
  <c r="EP98" i="80"/>
  <c r="BN142" i="80"/>
  <c r="DB244" i="80"/>
  <c r="EH189" i="80"/>
  <c r="AP244" i="80"/>
  <c r="FN18" i="79"/>
  <c r="FN412" i="79" s="1"/>
  <c r="FN428" i="79" s="1"/>
  <c r="BL207" i="79"/>
  <c r="CL124" i="79"/>
  <c r="CR207" i="79"/>
  <c r="DO487" i="80"/>
  <c r="DO488" i="80" s="1"/>
  <c r="DO489" i="80" s="1"/>
  <c r="DO466" i="80" s="1"/>
  <c r="DO301" i="80" s="1"/>
  <c r="DP301" i="80" s="1"/>
  <c r="DP302" i="80" s="1"/>
  <c r="EX280" i="79"/>
  <c r="CL242" i="79"/>
  <c r="AX18" i="79"/>
  <c r="AX412" i="79" s="1"/>
  <c r="AX428" i="79" s="1"/>
  <c r="DZ69" i="80"/>
  <c r="EH141" i="80"/>
  <c r="DW45" i="79"/>
  <c r="BV201" i="80"/>
  <c r="FN66" i="80"/>
  <c r="AP181" i="80"/>
  <c r="AX199" i="80"/>
  <c r="BN115" i="80"/>
  <c r="BV113" i="80"/>
  <c r="Z200" i="80"/>
  <c r="DJ200" i="80"/>
  <c r="AP18" i="79"/>
  <c r="AP412" i="79" s="1"/>
  <c r="AP428" i="79" s="1"/>
  <c r="DB24" i="79"/>
  <c r="DB400" i="79" s="1"/>
  <c r="EP67" i="79"/>
  <c r="CT242" i="79"/>
  <c r="DB33" i="80"/>
  <c r="DB404" i="80" s="1"/>
  <c r="EX252" i="79"/>
  <c r="AP98" i="80"/>
  <c r="EH296" i="79"/>
  <c r="DR71" i="79"/>
  <c r="BF230" i="80"/>
  <c r="EX180" i="80"/>
  <c r="FF205" i="80"/>
  <c r="CB207" i="80"/>
  <c r="Z201" i="79"/>
  <c r="DJ24" i="80"/>
  <c r="DJ400" i="80" s="1"/>
  <c r="CT148" i="79"/>
  <c r="EO207" i="80"/>
  <c r="BF279" i="80"/>
  <c r="EX227" i="79"/>
  <c r="FN226" i="79"/>
  <c r="EH231" i="80"/>
  <c r="EX253" i="80"/>
  <c r="DZ182" i="80"/>
  <c r="FN18" i="80"/>
  <c r="FN412" i="80" s="1"/>
  <c r="FN428" i="80" s="1"/>
  <c r="AW100" i="79"/>
  <c r="FC42" i="79"/>
  <c r="FC387" i="79" s="1"/>
  <c r="DW38" i="79"/>
  <c r="BF71" i="80"/>
  <c r="BF113" i="80"/>
  <c r="CD256" i="79"/>
  <c r="BV96" i="80"/>
  <c r="CT98" i="80"/>
  <c r="DR123" i="80"/>
  <c r="EP177" i="79"/>
  <c r="FN205" i="80"/>
  <c r="AP16" i="80"/>
  <c r="AP410" i="80" s="1"/>
  <c r="AP426" i="80" s="1"/>
  <c r="BF16" i="80"/>
  <c r="BF410" i="80" s="1"/>
  <c r="BF426" i="80" s="1"/>
  <c r="DZ125" i="80"/>
  <c r="BU207" i="79"/>
  <c r="CL279" i="80"/>
  <c r="FF67" i="80"/>
  <c r="BS40" i="80"/>
  <c r="BS385" i="80" s="1"/>
  <c r="EH279" i="80"/>
  <c r="DB177" i="79"/>
  <c r="CD242" i="79"/>
  <c r="Z98" i="80"/>
  <c r="AX280" i="80"/>
  <c r="AP212" i="79"/>
  <c r="AX253" i="80"/>
  <c r="DB22" i="80"/>
  <c r="DB398" i="80" s="1"/>
  <c r="BD207" i="79"/>
  <c r="DH207" i="80"/>
  <c r="CT192" i="79"/>
  <c r="DB181" i="80"/>
  <c r="BS39" i="80"/>
  <c r="BS384" i="80" s="1"/>
  <c r="BS435" i="80" s="1"/>
  <c r="EX150" i="80"/>
  <c r="EX279" i="80"/>
  <c r="DR306" i="80"/>
  <c r="DR280" i="79"/>
  <c r="AX279" i="80"/>
  <c r="BF114" i="80"/>
  <c r="CD121" i="79"/>
  <c r="CD255" i="79"/>
  <c r="CT181" i="80"/>
  <c r="CL70" i="80"/>
  <c r="EU38" i="80"/>
  <c r="EU383" i="80" s="1"/>
  <c r="EU434" i="80" s="1"/>
  <c r="EU46" i="80"/>
  <c r="EU391" i="80" s="1"/>
  <c r="EU437" i="80" s="1"/>
  <c r="BV230" i="80"/>
  <c r="AP206" i="80"/>
  <c r="AP207" i="80" s="1"/>
  <c r="BV106" i="80"/>
  <c r="CK207" i="80"/>
  <c r="CD206" i="79"/>
  <c r="BV92" i="80"/>
  <c r="BN106" i="80"/>
  <c r="FF106" i="80"/>
  <c r="CT125" i="80"/>
  <c r="EO207" i="79"/>
  <c r="CL206" i="80"/>
  <c r="R280" i="79"/>
  <c r="Z280" i="79"/>
  <c r="EP280" i="79"/>
  <c r="EX307" i="80"/>
  <c r="CD18" i="79"/>
  <c r="CD412" i="79" s="1"/>
  <c r="CD428" i="79" s="1"/>
  <c r="DB121" i="80"/>
  <c r="BV125" i="80"/>
  <c r="DR155" i="80"/>
  <c r="EP106" i="80"/>
  <c r="BN155" i="79"/>
  <c r="DB148" i="80"/>
  <c r="AX182" i="80"/>
  <c r="DR106" i="80"/>
  <c r="CT106" i="80"/>
  <c r="CL106" i="80"/>
  <c r="EH125" i="80"/>
  <c r="BF206" i="79"/>
  <c r="CL206" i="79"/>
  <c r="BV279" i="80"/>
  <c r="DR279" i="80"/>
  <c r="EU45" i="80"/>
  <c r="EU390" i="80" s="1"/>
  <c r="EU436" i="80" s="1"/>
  <c r="EU41" i="80"/>
  <c r="EU386" i="80" s="1"/>
  <c r="DZ106" i="80"/>
  <c r="BV155" i="80"/>
  <c r="EH192" i="79"/>
  <c r="Y207" i="79"/>
  <c r="Z277" i="79"/>
  <c r="EU37" i="80"/>
  <c r="EU382" i="80" s="1"/>
  <c r="CL90" i="80"/>
  <c r="AP106" i="80"/>
  <c r="DR121" i="79"/>
  <c r="Z125" i="80"/>
  <c r="AP277" i="79"/>
  <c r="DZ279" i="80"/>
  <c r="AP306" i="80"/>
  <c r="EX106" i="80"/>
  <c r="EX121" i="79"/>
  <c r="DB121" i="79"/>
  <c r="Z121" i="80"/>
  <c r="AH148" i="80"/>
  <c r="Z148" i="79"/>
  <c r="EP206" i="80"/>
  <c r="CK207" i="79"/>
  <c r="CS207" i="79"/>
  <c r="BF250" i="80"/>
  <c r="DZ280" i="79"/>
  <c r="AH306" i="80"/>
  <c r="AX306" i="80"/>
  <c r="W3" i="80"/>
  <c r="AL187" i="80"/>
  <c r="AM187" i="80" s="1"/>
  <c r="AN187" i="80" s="1"/>
  <c r="CD104" i="80"/>
  <c r="BS3" i="80"/>
  <c r="V187" i="80"/>
  <c r="W187" i="80" s="1"/>
  <c r="Y187" i="80" s="1"/>
  <c r="EV202" i="79"/>
  <c r="DB24" i="80"/>
  <c r="DB400" i="80" s="1"/>
  <c r="AM3" i="80"/>
  <c r="EM3" i="80"/>
  <c r="DB16" i="80"/>
  <c r="DB410" i="80" s="1"/>
  <c r="DB426" i="80" s="1"/>
  <c r="EH121" i="79"/>
  <c r="Z121" i="79"/>
  <c r="CD126" i="79"/>
  <c r="DZ206" i="80"/>
  <c r="DZ206" i="79"/>
  <c r="DR205" i="80"/>
  <c r="EH206" i="80"/>
  <c r="AH277" i="79"/>
  <c r="EH280" i="79"/>
  <c r="DW3" i="80"/>
  <c r="CL182" i="80"/>
  <c r="FC3" i="80"/>
  <c r="DJ270" i="79"/>
  <c r="DO46" i="80"/>
  <c r="DO391" i="80" s="1"/>
  <c r="DO437" i="80" s="1"/>
  <c r="EX256" i="80"/>
  <c r="AH181" i="80"/>
  <c r="CD182" i="80"/>
  <c r="R112" i="80"/>
  <c r="FF90" i="79"/>
  <c r="BC3" i="80"/>
  <c r="DG3" i="80"/>
  <c r="CZ100" i="80"/>
  <c r="FN279" i="80"/>
  <c r="N176" i="80"/>
  <c r="O176" i="80" s="1"/>
  <c r="Q176" i="80" s="1"/>
  <c r="CD230" i="80"/>
  <c r="DB212" i="80"/>
  <c r="DR296" i="79"/>
  <c r="EP29" i="79"/>
  <c r="EP30" i="79" s="1"/>
  <c r="FN33" i="80"/>
  <c r="FN404" i="80" s="1"/>
  <c r="FN73" i="79"/>
  <c r="BV90" i="80"/>
  <c r="FN256" i="79"/>
  <c r="R106" i="80"/>
  <c r="AX121" i="79"/>
  <c r="DZ126" i="79"/>
  <c r="CD125" i="80"/>
  <c r="EP124" i="79"/>
  <c r="AH132" i="80"/>
  <c r="DZ192" i="80"/>
  <c r="EF207" i="80"/>
  <c r="DJ205" i="80"/>
  <c r="Z206" i="79"/>
  <c r="DJ206" i="80"/>
  <c r="AP279" i="80"/>
  <c r="AP280" i="79"/>
  <c r="FF306" i="80"/>
  <c r="DJ306" i="80"/>
  <c r="R71" i="80"/>
  <c r="O3" i="80"/>
  <c r="FN29" i="79"/>
  <c r="FN30" i="79" s="1"/>
  <c r="FM143" i="79"/>
  <c r="Z305" i="79"/>
  <c r="BV252" i="79"/>
  <c r="DR96" i="80"/>
  <c r="AD176" i="80"/>
  <c r="AE176" i="80" s="1"/>
  <c r="AG176" i="80" s="1"/>
  <c r="FL34" i="80"/>
  <c r="R206" i="79"/>
  <c r="DO3" i="80"/>
  <c r="V176" i="80"/>
  <c r="W176" i="80" s="1"/>
  <c r="X176" i="80" s="1"/>
  <c r="BT100" i="80"/>
  <c r="CQ3" i="80"/>
  <c r="EE38" i="80"/>
  <c r="EE383" i="80" s="1"/>
  <c r="EE434" i="80" s="1"/>
  <c r="CA3" i="80"/>
  <c r="BU100" i="79"/>
  <c r="EP254" i="79"/>
  <c r="AE3" i="80"/>
  <c r="CT114" i="80"/>
  <c r="W48" i="80"/>
  <c r="W393" i="80" s="1"/>
  <c r="FN114" i="80"/>
  <c r="AP16" i="79"/>
  <c r="AP410" i="79" s="1"/>
  <c r="AP426" i="79" s="1"/>
  <c r="CT90" i="79"/>
  <c r="CA44" i="80"/>
  <c r="CA389" i="80" s="1"/>
  <c r="CI3" i="80"/>
  <c r="FK3" i="80"/>
  <c r="AP189" i="80"/>
  <c r="EX192" i="79"/>
  <c r="EH104" i="80"/>
  <c r="CT206" i="79"/>
  <c r="FN307" i="80"/>
  <c r="CT33" i="80"/>
  <c r="CT404" i="80" s="1"/>
  <c r="DB106" i="80"/>
  <c r="DJ121" i="79"/>
  <c r="CT148" i="80"/>
  <c r="AP155" i="80"/>
  <c r="CD149" i="80"/>
  <c r="FN149" i="80"/>
  <c r="DY207" i="79"/>
  <c r="EX205" i="80"/>
  <c r="CT205" i="79"/>
  <c r="BN277" i="79"/>
  <c r="CY3" i="80"/>
  <c r="AL180" i="80"/>
  <c r="AM180" i="80" s="1"/>
  <c r="AN180" i="80" s="1"/>
  <c r="CT67" i="79"/>
  <c r="AU3" i="80"/>
  <c r="BE26" i="79"/>
  <c r="FN307" i="79"/>
  <c r="EU3" i="80"/>
  <c r="EE3" i="80"/>
  <c r="AP29" i="79"/>
  <c r="AP30" i="79" s="1"/>
  <c r="BF309" i="79"/>
  <c r="DJ250" i="79"/>
  <c r="BK3" i="80"/>
  <c r="FN22" i="79"/>
  <c r="FN398" i="79" s="1"/>
  <c r="CD22" i="80"/>
  <c r="CD398" i="80" s="1"/>
  <c r="AH296" i="79"/>
  <c r="DR230" i="80"/>
  <c r="BF205" i="79"/>
  <c r="DB205" i="80"/>
  <c r="DB207" i="80" s="1"/>
  <c r="DZ256" i="79"/>
  <c r="DJ106" i="80"/>
  <c r="AP132" i="80"/>
  <c r="DR148" i="79"/>
  <c r="EH205" i="80"/>
  <c r="BV206" i="80"/>
  <c r="DB206" i="79"/>
  <c r="EX280" i="80"/>
  <c r="BV306" i="80"/>
  <c r="AX307" i="79"/>
  <c r="FN306" i="80"/>
  <c r="BF280" i="79"/>
  <c r="CT280" i="80"/>
  <c r="DZ277" i="79"/>
  <c r="CL280" i="80"/>
  <c r="EH280" i="80"/>
  <c r="R277" i="79"/>
  <c r="AH279" i="80"/>
  <c r="BN280" i="79"/>
  <c r="EP279" i="80"/>
  <c r="DZ280" i="80"/>
  <c r="AX277" i="79"/>
  <c r="DJ280" i="80"/>
  <c r="DB280" i="80"/>
  <c r="BN279" i="80"/>
  <c r="W489" i="80"/>
  <c r="W466" i="80" s="1"/>
  <c r="W301" i="80" s="1"/>
  <c r="X301" i="80" s="1"/>
  <c r="X302" i="80" s="1"/>
  <c r="DW487" i="80"/>
  <c r="DW488" i="80" s="1"/>
  <c r="DW489" i="80" s="1"/>
  <c r="DW466" i="80" s="1"/>
  <c r="DW301" i="80" s="1"/>
  <c r="DW481" i="80"/>
  <c r="DW484" i="80" s="1"/>
  <c r="DW465" i="80" s="1"/>
  <c r="DW191" i="80" s="1"/>
  <c r="DO484" i="80"/>
  <c r="DO465" i="80" s="1"/>
  <c r="DO191" i="80" s="1"/>
  <c r="BF256" i="80"/>
  <c r="CT255" i="80"/>
  <c r="BN246" i="79"/>
  <c r="CD255" i="80"/>
  <c r="CD250" i="80"/>
  <c r="EH255" i="79"/>
  <c r="DR246" i="79"/>
  <c r="FF241" i="79"/>
  <c r="DJ252" i="80"/>
  <c r="DR256" i="79"/>
  <c r="R246" i="79"/>
  <c r="FN250" i="79"/>
  <c r="BF253" i="80"/>
  <c r="BV250" i="80"/>
  <c r="AX250" i="80"/>
  <c r="R243" i="79"/>
  <c r="BF246" i="79"/>
  <c r="DR254" i="79"/>
  <c r="BF229" i="79"/>
  <c r="CD231" i="80"/>
  <c r="CL227" i="79"/>
  <c r="EP229" i="79"/>
  <c r="DB227" i="79"/>
  <c r="AH212" i="80"/>
  <c r="EX213" i="80"/>
  <c r="AH213" i="80"/>
  <c r="BF214" i="80"/>
  <c r="FF212" i="79"/>
  <c r="EH213" i="80"/>
  <c r="CL213" i="80"/>
  <c r="EN207" i="80"/>
  <c r="EP205" i="80"/>
  <c r="BF205" i="80"/>
  <c r="BN205" i="80"/>
  <c r="DP207" i="80"/>
  <c r="CL205" i="79"/>
  <c r="CJ207" i="79"/>
  <c r="BV205" i="79"/>
  <c r="P207" i="79"/>
  <c r="CL205" i="80"/>
  <c r="CJ207" i="80"/>
  <c r="AO207" i="80"/>
  <c r="AH205" i="80"/>
  <c r="R206" i="80"/>
  <c r="BU207" i="80"/>
  <c r="EP206" i="79"/>
  <c r="BL207" i="80"/>
  <c r="AV207" i="80"/>
  <c r="AX205" i="80"/>
  <c r="DY207" i="80"/>
  <c r="EX206" i="79"/>
  <c r="DH207" i="79"/>
  <c r="DJ205" i="79"/>
  <c r="AW207" i="80"/>
  <c r="AX206" i="80"/>
  <c r="DZ205" i="79"/>
  <c r="DX207" i="79"/>
  <c r="BV205" i="80"/>
  <c r="BT207" i="80"/>
  <c r="Q207" i="80"/>
  <c r="CB207" i="79"/>
  <c r="X207" i="80"/>
  <c r="Z205" i="80"/>
  <c r="BD207" i="80"/>
  <c r="DZ205" i="80"/>
  <c r="DX207" i="80"/>
  <c r="EP205" i="79"/>
  <c r="CT201" i="80"/>
  <c r="BF199" i="80"/>
  <c r="DI202" i="80"/>
  <c r="AP200" i="79"/>
  <c r="CL201" i="79"/>
  <c r="BF201" i="80"/>
  <c r="DR200" i="80"/>
  <c r="FN201" i="80"/>
  <c r="AX200" i="80"/>
  <c r="BN192" i="79"/>
  <c r="FF192" i="79"/>
  <c r="DJ192" i="79"/>
  <c r="DB195" i="80"/>
  <c r="Z194" i="79"/>
  <c r="R192" i="79"/>
  <c r="CD187" i="80"/>
  <c r="Z148" i="80"/>
  <c r="BV149" i="80"/>
  <c r="EP148" i="80"/>
  <c r="BN148" i="79"/>
  <c r="CL148" i="80"/>
  <c r="FF149" i="80"/>
  <c r="EP148" i="79"/>
  <c r="BV148" i="79"/>
  <c r="R149" i="80"/>
  <c r="EP149" i="80"/>
  <c r="EX148" i="79"/>
  <c r="AX155" i="80"/>
  <c r="CD155" i="80"/>
  <c r="BF155" i="79"/>
  <c r="AH148" i="79"/>
  <c r="EH149" i="80"/>
  <c r="CD148" i="80"/>
  <c r="AX148" i="79"/>
  <c r="R148" i="80"/>
  <c r="AH123" i="80"/>
  <c r="R126" i="79"/>
  <c r="CT121" i="79"/>
  <c r="AP125" i="80"/>
  <c r="R132" i="80"/>
  <c r="BV132" i="79"/>
  <c r="DZ121" i="80"/>
  <c r="BN121" i="79"/>
  <c r="EX121" i="80"/>
  <c r="FF123" i="80"/>
  <c r="FF132" i="80"/>
  <c r="BV126" i="79"/>
  <c r="BN124" i="79"/>
  <c r="BV121" i="79"/>
  <c r="BN125" i="80"/>
  <c r="AP104" i="80"/>
  <c r="AH112" i="80"/>
  <c r="FN106" i="80"/>
  <c r="FN113" i="80"/>
  <c r="FF107" i="79"/>
  <c r="EH89" i="80"/>
  <c r="CD90" i="80"/>
  <c r="EP90" i="80"/>
  <c r="BN256" i="80"/>
  <c r="EX89" i="80"/>
  <c r="DJ90" i="80"/>
  <c r="DR90" i="79"/>
  <c r="DR90" i="80"/>
  <c r="DZ87" i="79"/>
  <c r="BV61" i="80"/>
  <c r="DY60" i="79"/>
  <c r="CC60" i="79"/>
  <c r="CS60" i="79"/>
  <c r="BU60" i="79"/>
  <c r="FM60" i="79"/>
  <c r="AO60" i="79"/>
  <c r="DQ60" i="79"/>
  <c r="Y60" i="79"/>
  <c r="DI60" i="79"/>
  <c r="EW60" i="79"/>
  <c r="AG60" i="79"/>
  <c r="EO60" i="79"/>
  <c r="EG60" i="79"/>
  <c r="CK60" i="79"/>
  <c r="BM60" i="79"/>
  <c r="DA60" i="79"/>
  <c r="AW60" i="79"/>
  <c r="BE60" i="79"/>
  <c r="Q60" i="79"/>
  <c r="FE60" i="79"/>
  <c r="AN60" i="80"/>
  <c r="P60" i="80"/>
  <c r="BL60" i="80"/>
  <c r="X60" i="80"/>
  <c r="DH60" i="80"/>
  <c r="CB60" i="80"/>
  <c r="AF60" i="80"/>
  <c r="EF60" i="80"/>
  <c r="CZ60" i="80"/>
  <c r="DX60" i="80"/>
  <c r="DP60" i="80"/>
  <c r="EV60" i="80"/>
  <c r="AV60" i="80"/>
  <c r="CR60" i="80"/>
  <c r="BT60" i="80"/>
  <c r="CJ60" i="80"/>
  <c r="FL60" i="80"/>
  <c r="FN60" i="80" s="1"/>
  <c r="BD60" i="80"/>
  <c r="EN60" i="80"/>
  <c r="CD70" i="79"/>
  <c r="R67" i="79"/>
  <c r="AO64" i="79"/>
  <c r="BT64" i="79"/>
  <c r="CS64" i="79"/>
  <c r="EW64" i="79"/>
  <c r="BM61" i="79"/>
  <c r="CS61" i="79"/>
  <c r="FE61" i="79"/>
  <c r="X64" i="80"/>
  <c r="BE64" i="80"/>
  <c r="BL64" i="80"/>
  <c r="DA64" i="80"/>
  <c r="DY64" i="80"/>
  <c r="P62" i="79"/>
  <c r="EV62" i="79"/>
  <c r="X62" i="79"/>
  <c r="BT62" i="79"/>
  <c r="BL62" i="79"/>
  <c r="DH62" i="79"/>
  <c r="DP62" i="79"/>
  <c r="CB62" i="79"/>
  <c r="BD62" i="79"/>
  <c r="FL62" i="79"/>
  <c r="DX62" i="79"/>
  <c r="EF62" i="79"/>
  <c r="AV62" i="79"/>
  <c r="AF62" i="79"/>
  <c r="EN62" i="79"/>
  <c r="CJ62" i="79"/>
  <c r="CZ62" i="79"/>
  <c r="AN62" i="79"/>
  <c r="CR62" i="79"/>
  <c r="FD62" i="79"/>
  <c r="FD60" i="80"/>
  <c r="FM64" i="79"/>
  <c r="DX64" i="80"/>
  <c r="AW59" i="79"/>
  <c r="Q61" i="80"/>
  <c r="AN61" i="80"/>
  <c r="CS61" i="80"/>
  <c r="BD61" i="80"/>
  <c r="DP60" i="79"/>
  <c r="BT60" i="79"/>
  <c r="CZ60" i="79"/>
  <c r="CB60" i="79"/>
  <c r="FD60" i="79"/>
  <c r="BD60" i="79"/>
  <c r="DH60" i="79"/>
  <c r="EV60" i="79"/>
  <c r="FL60" i="79"/>
  <c r="EN60" i="79"/>
  <c r="AN60" i="79"/>
  <c r="BL60" i="79"/>
  <c r="CR60" i="79"/>
  <c r="AF60" i="79"/>
  <c r="DX60" i="79"/>
  <c r="P60" i="79"/>
  <c r="CJ60" i="79"/>
  <c r="EF60" i="79"/>
  <c r="X60" i="79"/>
  <c r="AV60" i="79"/>
  <c r="FL64" i="79"/>
  <c r="AG61" i="80"/>
  <c r="FE61" i="80"/>
  <c r="FM61" i="80"/>
  <c r="EG61" i="80"/>
  <c r="DI61" i="80"/>
  <c r="CK61" i="80"/>
  <c r="EG60" i="80"/>
  <c r="DQ60" i="80"/>
  <c r="BE60" i="80"/>
  <c r="DY60" i="80"/>
  <c r="CK60" i="80"/>
  <c r="Q60" i="80"/>
  <c r="EW60" i="80"/>
  <c r="DI60" i="80"/>
  <c r="BM60" i="80"/>
  <c r="AO60" i="80"/>
  <c r="EO60" i="80"/>
  <c r="BU60" i="80"/>
  <c r="CC60" i="80"/>
  <c r="Y60" i="80"/>
  <c r="AG60" i="80"/>
  <c r="AW60" i="80"/>
  <c r="DA60" i="80"/>
  <c r="CS60" i="80"/>
  <c r="CZ64" i="79"/>
  <c r="CB64" i="79"/>
  <c r="CJ64" i="79"/>
  <c r="BT64" i="80"/>
  <c r="AF64" i="79"/>
  <c r="BE64" i="79"/>
  <c r="DI64" i="79"/>
  <c r="DY64" i="79"/>
  <c r="BU61" i="79"/>
  <c r="DI61" i="79"/>
  <c r="Y64" i="80"/>
  <c r="AG64" i="80"/>
  <c r="BU64" i="80"/>
  <c r="CS64" i="80"/>
  <c r="EO64" i="80"/>
  <c r="DB72" i="80"/>
  <c r="BL62" i="80"/>
  <c r="DX62" i="80"/>
  <c r="BT62" i="80"/>
  <c r="AF62" i="80"/>
  <c r="FD62" i="80"/>
  <c r="AV62" i="80"/>
  <c r="CR62" i="80"/>
  <c r="EV62" i="80"/>
  <c r="P62" i="80"/>
  <c r="AN62" i="80"/>
  <c r="EF62" i="80"/>
  <c r="X62" i="80"/>
  <c r="CB62" i="80"/>
  <c r="DH62" i="80"/>
  <c r="BD62" i="80"/>
  <c r="FL62" i="80"/>
  <c r="EN62" i="80"/>
  <c r="DP62" i="80"/>
  <c r="CZ62" i="80"/>
  <c r="CJ62" i="80"/>
  <c r="BV71" i="79"/>
  <c r="FE64" i="79"/>
  <c r="Y59" i="79"/>
  <c r="DQ61" i="80"/>
  <c r="P61" i="80"/>
  <c r="EO61" i="80"/>
  <c r="BL61" i="80"/>
  <c r="DP64" i="80"/>
  <c r="CR61" i="80"/>
  <c r="AV64" i="79"/>
  <c r="CR64" i="79"/>
  <c r="DX64" i="79"/>
  <c r="FD64" i="79"/>
  <c r="BL64" i="79"/>
  <c r="DA61" i="79"/>
  <c r="AG64" i="79"/>
  <c r="BM64" i="79"/>
  <c r="DP64" i="79"/>
  <c r="DR64" i="79" s="1"/>
  <c r="EO64" i="79"/>
  <c r="AW61" i="79"/>
  <c r="P64" i="80"/>
  <c r="AW64" i="80"/>
  <c r="CC64" i="80"/>
  <c r="EF64" i="80"/>
  <c r="EG64" i="80"/>
  <c r="FD61" i="80"/>
  <c r="DH61" i="80"/>
  <c r="DP61" i="80"/>
  <c r="CJ61" i="80"/>
  <c r="CZ61" i="80"/>
  <c r="AF61" i="80"/>
  <c r="EF61" i="80"/>
  <c r="FL61" i="80"/>
  <c r="CC59" i="79"/>
  <c r="CB61" i="80"/>
  <c r="EW61" i="80"/>
  <c r="X61" i="80"/>
  <c r="DA61" i="80"/>
  <c r="P64" i="79"/>
  <c r="DH64" i="79"/>
  <c r="EN64" i="79"/>
  <c r="CC62" i="79"/>
  <c r="CS62" i="79"/>
  <c r="BU62" i="79"/>
  <c r="FE62" i="79"/>
  <c r="BE62" i="79"/>
  <c r="CK62" i="79"/>
  <c r="BM62" i="79"/>
  <c r="DI62" i="79"/>
  <c r="AO62" i="79"/>
  <c r="AG62" i="79"/>
  <c r="EG62" i="79"/>
  <c r="DY62" i="79"/>
  <c r="DQ62" i="79"/>
  <c r="Q62" i="79"/>
  <c r="AW62" i="79"/>
  <c r="Y62" i="79"/>
  <c r="DA62" i="79"/>
  <c r="FM62" i="79"/>
  <c r="EO62" i="79"/>
  <c r="EW62" i="79"/>
  <c r="CJ64" i="80"/>
  <c r="CL70" i="79"/>
  <c r="CC61" i="79"/>
  <c r="CD61" i="79" s="1"/>
  <c r="DY61" i="79"/>
  <c r="X64" i="79"/>
  <c r="CC64" i="79"/>
  <c r="BU64" i="79"/>
  <c r="EV64" i="79"/>
  <c r="Q61" i="79"/>
  <c r="DQ61" i="79"/>
  <c r="EG61" i="79"/>
  <c r="Q64" i="80"/>
  <c r="BD64" i="80"/>
  <c r="CK64" i="80"/>
  <c r="DI64" i="80"/>
  <c r="DA64" i="79"/>
  <c r="P59" i="79"/>
  <c r="AF59" i="80"/>
  <c r="CC61" i="80"/>
  <c r="EV61" i="80"/>
  <c r="Y61" i="80"/>
  <c r="Y64" i="79"/>
  <c r="BD64" i="79"/>
  <c r="EW62" i="80"/>
  <c r="DQ62" i="80"/>
  <c r="AG62" i="80"/>
  <c r="CC62" i="80"/>
  <c r="DY62" i="80"/>
  <c r="CS62" i="80"/>
  <c r="Y62" i="80"/>
  <c r="CK62" i="80"/>
  <c r="AW62" i="80"/>
  <c r="EG62" i="80"/>
  <c r="FE62" i="80"/>
  <c r="BM62" i="80"/>
  <c r="DA62" i="80"/>
  <c r="BE62" i="80"/>
  <c r="EO62" i="80"/>
  <c r="BU62" i="80"/>
  <c r="Q62" i="80"/>
  <c r="AO62" i="80"/>
  <c r="DI62" i="80"/>
  <c r="FM62" i="80"/>
  <c r="CK61" i="79"/>
  <c r="AN64" i="79"/>
  <c r="AW64" i="79"/>
  <c r="AG61" i="79"/>
  <c r="AO61" i="79"/>
  <c r="AF64" i="80"/>
  <c r="AV64" i="80"/>
  <c r="CR64" i="80"/>
  <c r="DH64" i="80"/>
  <c r="DQ59" i="79"/>
  <c r="DY61" i="80"/>
  <c r="EN61" i="80"/>
  <c r="AV61" i="80"/>
  <c r="FN58" i="79"/>
  <c r="AH256" i="79"/>
  <c r="BN141" i="80"/>
  <c r="O370" i="79"/>
  <c r="G378" i="79"/>
  <c r="R226" i="79"/>
  <c r="AX71" i="79"/>
  <c r="CD98" i="79"/>
  <c r="EP73" i="79"/>
  <c r="CL98" i="79"/>
  <c r="O370" i="80"/>
  <c r="D22" i="82"/>
  <c r="O376" i="79"/>
  <c r="J370" i="79"/>
  <c r="O376" i="80"/>
  <c r="O372" i="80"/>
  <c r="O371" i="79"/>
  <c r="CL200" i="80"/>
  <c r="O372" i="79"/>
  <c r="H371" i="79"/>
  <c r="DZ213" i="79"/>
  <c r="CL68" i="80"/>
  <c r="R98" i="79"/>
  <c r="EP98" i="79"/>
  <c r="EH177" i="79"/>
  <c r="DJ229" i="79"/>
  <c r="CT256" i="79"/>
  <c r="BF140" i="80"/>
  <c r="BF254" i="80"/>
  <c r="AX33" i="80"/>
  <c r="AX404" i="80" s="1"/>
  <c r="I372" i="79"/>
  <c r="EH106" i="79"/>
  <c r="CD309" i="79"/>
  <c r="DJ123" i="79"/>
  <c r="DZ90" i="79"/>
  <c r="BU26" i="80"/>
  <c r="CL212" i="80"/>
  <c r="EP201" i="80"/>
  <c r="DZ112" i="80"/>
  <c r="DX215" i="80"/>
  <c r="F64" i="35"/>
  <c r="CJ202" i="80"/>
  <c r="AP192" i="79"/>
  <c r="DJ214" i="79"/>
  <c r="CT306" i="79"/>
  <c r="FN71" i="80"/>
  <c r="FF72" i="80"/>
  <c r="BN16" i="80"/>
  <c r="BN410" i="80" s="1"/>
  <c r="BN426" i="80" s="1"/>
  <c r="BN253" i="80"/>
  <c r="DH100" i="79"/>
  <c r="AH24" i="79"/>
  <c r="AH400" i="79" s="1"/>
  <c r="BV255" i="79"/>
  <c r="DJ212" i="79"/>
  <c r="AM40" i="80"/>
  <c r="AM385" i="80" s="1"/>
  <c r="R25" i="79"/>
  <c r="R401" i="79" s="1"/>
  <c r="AU41" i="80"/>
  <c r="AU386" i="80" s="1"/>
  <c r="DR230" i="79"/>
  <c r="BM100" i="79"/>
  <c r="O41" i="80"/>
  <c r="O386" i="80" s="1"/>
  <c r="CR34" i="80"/>
  <c r="DJ104" i="80"/>
  <c r="EX16" i="80"/>
  <c r="EX410" i="80" s="1"/>
  <c r="EX426" i="80" s="1"/>
  <c r="R276" i="79"/>
  <c r="Z29" i="79"/>
  <c r="Z30" i="79" s="1"/>
  <c r="AG100" i="80"/>
  <c r="DB213" i="80"/>
  <c r="DW44" i="80"/>
  <c r="DW389" i="80" s="1"/>
  <c r="AF34" i="80"/>
  <c r="BN229" i="79"/>
  <c r="FN73" i="80"/>
  <c r="DZ23" i="79"/>
  <c r="DZ399" i="79" s="1"/>
  <c r="FN194" i="79"/>
  <c r="EP268" i="79"/>
  <c r="BF276" i="79"/>
  <c r="BT100" i="79"/>
  <c r="AX213" i="79"/>
  <c r="CL211" i="79"/>
  <c r="AH256" i="80"/>
  <c r="AM43" i="79"/>
  <c r="AM388" i="79" s="1"/>
  <c r="BF270" i="79"/>
  <c r="AP68" i="80"/>
  <c r="AX214" i="80"/>
  <c r="AX71" i="80"/>
  <c r="CK26" i="80"/>
  <c r="FN67" i="80"/>
  <c r="FN104" i="80"/>
  <c r="FN199" i="80"/>
  <c r="DY100" i="79"/>
  <c r="EX305" i="79"/>
  <c r="AP194" i="79"/>
  <c r="EP195" i="79"/>
  <c r="CL73" i="79"/>
  <c r="AP182" i="80"/>
  <c r="AU40" i="80"/>
  <c r="AU385" i="80" s="1"/>
  <c r="P100" i="79"/>
  <c r="EP230" i="79"/>
  <c r="BV177" i="79"/>
  <c r="R104" i="80"/>
  <c r="CJ215" i="80"/>
  <c r="EM44" i="80"/>
  <c r="EM389" i="80" s="1"/>
  <c r="BN256" i="79"/>
  <c r="EP296" i="79"/>
  <c r="AP18" i="80"/>
  <c r="AP412" i="80" s="1"/>
  <c r="AP428" i="80" s="1"/>
  <c r="CL18" i="80"/>
  <c r="CL412" i="80" s="1"/>
  <c r="CL428" i="80" s="1"/>
  <c r="F49" i="82"/>
  <c r="F53" i="82" s="1"/>
  <c r="DA34" i="80"/>
  <c r="AW34" i="80"/>
  <c r="EN100" i="79"/>
  <c r="G64" i="35"/>
  <c r="BN89" i="79"/>
  <c r="FF255" i="79"/>
  <c r="CB100" i="79"/>
  <c r="FF246" i="79"/>
  <c r="DJ255" i="79"/>
  <c r="FF231" i="79"/>
  <c r="DJ227" i="79"/>
  <c r="EP107" i="79"/>
  <c r="AH252" i="80"/>
  <c r="CL67" i="80"/>
  <c r="DQ26" i="80"/>
  <c r="BE143" i="80"/>
  <c r="EH214" i="80"/>
  <c r="DW40" i="80"/>
  <c r="DW385" i="80" s="1"/>
  <c r="DZ66" i="80"/>
  <c r="BK41" i="80"/>
  <c r="BK386" i="80" s="1"/>
  <c r="DX100" i="79"/>
  <c r="FN92" i="79"/>
  <c r="R113" i="80"/>
  <c r="DJ254" i="79"/>
  <c r="AP253" i="80"/>
  <c r="FL26" i="79"/>
  <c r="AM41" i="80"/>
  <c r="AM386" i="80" s="1"/>
  <c r="BV200" i="80"/>
  <c r="CK100" i="79"/>
  <c r="O40" i="80"/>
  <c r="O385" i="80" s="1"/>
  <c r="CT268" i="80"/>
  <c r="EX201" i="80"/>
  <c r="CT140" i="80"/>
  <c r="DR33" i="80"/>
  <c r="DR404" i="80" s="1"/>
  <c r="DZ252" i="79"/>
  <c r="BV97" i="79"/>
  <c r="CB34" i="80"/>
  <c r="DG40" i="80"/>
  <c r="DG385" i="80" s="1"/>
  <c r="DB71" i="80"/>
  <c r="AF26" i="79"/>
  <c r="AM40" i="79"/>
  <c r="AM385" i="79" s="1"/>
  <c r="BN90" i="79"/>
  <c r="BL202" i="80"/>
  <c r="BV181" i="80"/>
  <c r="DR254" i="80"/>
  <c r="BV104" i="80"/>
  <c r="BV29" i="79"/>
  <c r="BV30" i="79" s="1"/>
  <c r="BF181" i="80"/>
  <c r="BK40" i="80"/>
  <c r="BK385" i="80" s="1"/>
  <c r="DR68" i="80"/>
  <c r="BV89" i="79"/>
  <c r="FN16" i="80"/>
  <c r="FN410" i="80" s="1"/>
  <c r="FN426" i="80" s="1"/>
  <c r="BN255" i="79"/>
  <c r="DJ92" i="79"/>
  <c r="CD114" i="80"/>
  <c r="BV192" i="79"/>
  <c r="FF309" i="79"/>
  <c r="DZ232" i="79"/>
  <c r="O44" i="80"/>
  <c r="O389" i="80" s="1"/>
  <c r="BV242" i="79"/>
  <c r="CR143" i="80"/>
  <c r="EM40" i="80"/>
  <c r="EM385" i="80" s="1"/>
  <c r="BF252" i="79"/>
  <c r="FN230" i="80"/>
  <c r="EP252" i="79"/>
  <c r="CD16" i="80"/>
  <c r="CD410" i="80" s="1"/>
  <c r="CD426" i="80" s="1"/>
  <c r="BN33" i="79"/>
  <c r="BL34" i="79"/>
  <c r="DH34" i="79"/>
  <c r="DJ33" i="79"/>
  <c r="R33" i="80"/>
  <c r="R404" i="80" s="1"/>
  <c r="P34" i="80"/>
  <c r="X34" i="79"/>
  <c r="Z33" i="79"/>
  <c r="AO34" i="79"/>
  <c r="AV34" i="79"/>
  <c r="AO34" i="80"/>
  <c r="FM34" i="79"/>
  <c r="CB34" i="79"/>
  <c r="EU47" i="79"/>
  <c r="EU392" i="79" s="1"/>
  <c r="BN230" i="80"/>
  <c r="DB33" i="79"/>
  <c r="CZ34" i="79"/>
  <c r="BD34" i="79"/>
  <c r="BF33" i="79"/>
  <c r="Y34" i="80"/>
  <c r="FM34" i="80"/>
  <c r="DI34" i="79"/>
  <c r="AP33" i="79"/>
  <c r="AN34" i="79"/>
  <c r="EU41" i="79"/>
  <c r="EU386" i="79" s="1"/>
  <c r="EH306" i="79"/>
  <c r="EH33" i="79"/>
  <c r="EF34" i="79"/>
  <c r="EW34" i="79"/>
  <c r="Y34" i="79"/>
  <c r="BF96" i="80"/>
  <c r="EV34" i="80"/>
  <c r="EX33" i="80"/>
  <c r="EX404" i="80" s="1"/>
  <c r="EN34" i="80"/>
  <c r="EG34" i="79"/>
  <c r="BN33" i="80"/>
  <c r="BN404" i="80" s="1"/>
  <c r="BL34" i="80"/>
  <c r="FE34" i="80"/>
  <c r="FD34" i="80"/>
  <c r="FF33" i="80"/>
  <c r="FF404" i="80" s="1"/>
  <c r="BE34" i="79"/>
  <c r="DW47" i="79"/>
  <c r="DW392" i="79" s="1"/>
  <c r="BC40" i="79"/>
  <c r="BC385" i="79" s="1"/>
  <c r="EU46" i="79"/>
  <c r="CD296" i="79"/>
  <c r="EX112" i="79"/>
  <c r="BU34" i="80"/>
  <c r="CJ34" i="79"/>
  <c r="AN34" i="80"/>
  <c r="AP33" i="80"/>
  <c r="AP404" i="80" s="1"/>
  <c r="DA34" i="79"/>
  <c r="EF34" i="80"/>
  <c r="EH33" i="80"/>
  <c r="EH404" i="80" s="1"/>
  <c r="DY34" i="80"/>
  <c r="BE34" i="80"/>
  <c r="EX33" i="79"/>
  <c r="BT34" i="79"/>
  <c r="BV33" i="79"/>
  <c r="CD33" i="79"/>
  <c r="CC34" i="79"/>
  <c r="DW41" i="79"/>
  <c r="DW386" i="79" s="1"/>
  <c r="CS34" i="79"/>
  <c r="BV33" i="80"/>
  <c r="BV404" i="80" s="1"/>
  <c r="BT34" i="80"/>
  <c r="EW34" i="80"/>
  <c r="EG34" i="80"/>
  <c r="Q34" i="80"/>
  <c r="FN33" i="79"/>
  <c r="BM34" i="79"/>
  <c r="BU34" i="79"/>
  <c r="BC46" i="79"/>
  <c r="AH211" i="79"/>
  <c r="DR253" i="80"/>
  <c r="CT104" i="80"/>
  <c r="EX276" i="79"/>
  <c r="EX98" i="79"/>
  <c r="BF180" i="80"/>
  <c r="CT18" i="79"/>
  <c r="CT412" i="79" s="1"/>
  <c r="CT428" i="79" s="1"/>
  <c r="D64" i="82"/>
  <c r="DJ306" i="79"/>
  <c r="DW46" i="79"/>
  <c r="AX230" i="79"/>
  <c r="Z307" i="79"/>
  <c r="CL16" i="80"/>
  <c r="CL410" i="80" s="1"/>
  <c r="CL426" i="80" s="1"/>
  <c r="DZ16" i="80"/>
  <c r="DZ410" i="80" s="1"/>
  <c r="DZ426" i="80" s="1"/>
  <c r="AM46" i="79"/>
  <c r="FN256" i="80"/>
  <c r="AG202" i="80"/>
  <c r="EU48" i="79"/>
  <c r="EU393" i="79" s="1"/>
  <c r="CI43" i="79"/>
  <c r="CI388" i="79" s="1"/>
  <c r="Z115" i="80"/>
  <c r="CA45" i="80"/>
  <c r="CA390" i="80" s="1"/>
  <c r="CA436" i="80" s="1"/>
  <c r="DZ72" i="80"/>
  <c r="DB256" i="79"/>
  <c r="DR132" i="80"/>
  <c r="CL256" i="79"/>
  <c r="Z244" i="80"/>
  <c r="BV123" i="80"/>
  <c r="BF89" i="80"/>
  <c r="AH194" i="80"/>
  <c r="BV16" i="80"/>
  <c r="BV410" i="80" s="1"/>
  <c r="BV426" i="80" s="1"/>
  <c r="DR16" i="80"/>
  <c r="DR410" i="80" s="1"/>
  <c r="DR426" i="80" s="1"/>
  <c r="BC48" i="79"/>
  <c r="BC393" i="79" s="1"/>
  <c r="DR69" i="80"/>
  <c r="EH16" i="80"/>
  <c r="EH410" i="80" s="1"/>
  <c r="EH426" i="80" s="1"/>
  <c r="Z16" i="80"/>
  <c r="Z410" i="80" s="1"/>
  <c r="Z426" i="80" s="1"/>
  <c r="AH89" i="80"/>
  <c r="EW59" i="79"/>
  <c r="BU59" i="80"/>
  <c r="AH16" i="80"/>
  <c r="AH410" i="80" s="1"/>
  <c r="AH426" i="80" s="1"/>
  <c r="DR112" i="80"/>
  <c r="BV212" i="79"/>
  <c r="R68" i="80"/>
  <c r="CT97" i="80"/>
  <c r="BU59" i="79"/>
  <c r="DP59" i="79"/>
  <c r="DI59" i="79"/>
  <c r="EO59" i="79"/>
  <c r="FD59" i="79"/>
  <c r="CS59" i="79"/>
  <c r="DH59" i="79"/>
  <c r="BT59" i="79"/>
  <c r="EN59" i="79"/>
  <c r="FM59" i="79"/>
  <c r="BE59" i="79"/>
  <c r="FL59" i="79"/>
  <c r="CB59" i="79"/>
  <c r="X59" i="79"/>
  <c r="AV59" i="79"/>
  <c r="CR59" i="79"/>
  <c r="BM59" i="79"/>
  <c r="EV59" i="79"/>
  <c r="AN59" i="79"/>
  <c r="DY59" i="79"/>
  <c r="EF59" i="79"/>
  <c r="AO59" i="79"/>
  <c r="BL59" i="79"/>
  <c r="DX59" i="79"/>
  <c r="FE59" i="79"/>
  <c r="AX16" i="80"/>
  <c r="AX410" i="80" s="1"/>
  <c r="AX426" i="80" s="1"/>
  <c r="EH23" i="80"/>
  <c r="EH399" i="80" s="1"/>
  <c r="AP232" i="79"/>
  <c r="DJ276" i="79"/>
  <c r="Q59" i="79"/>
  <c r="FE59" i="80"/>
  <c r="DQ59" i="80"/>
  <c r="EX112" i="80"/>
  <c r="AH194" i="79"/>
  <c r="FN195" i="79"/>
  <c r="BD59" i="79"/>
  <c r="AG59" i="79"/>
  <c r="AG59" i="80"/>
  <c r="DY59" i="80"/>
  <c r="AP23" i="80"/>
  <c r="AP399" i="80" s="1"/>
  <c r="FF112" i="80"/>
  <c r="DR114" i="80"/>
  <c r="M48" i="80"/>
  <c r="AF59" i="79"/>
  <c r="DA59" i="79"/>
  <c r="CK59" i="79"/>
  <c r="DI59" i="80"/>
  <c r="M48" i="79"/>
  <c r="Z18" i="79"/>
  <c r="Z412" i="79" s="1"/>
  <c r="Z428" i="79" s="1"/>
  <c r="CL18" i="79"/>
  <c r="CL412" i="79" s="1"/>
  <c r="CL428" i="79" s="1"/>
  <c r="EG59" i="79"/>
  <c r="CZ59" i="79"/>
  <c r="DH59" i="80"/>
  <c r="EV59" i="80"/>
  <c r="Q59" i="80"/>
  <c r="BM59" i="80"/>
  <c r="DP59" i="80"/>
  <c r="FD59" i="80"/>
  <c r="AN59" i="80"/>
  <c r="BE59" i="80"/>
  <c r="DA59" i="80"/>
  <c r="CB59" i="80"/>
  <c r="AO59" i="80"/>
  <c r="P59" i="80"/>
  <c r="EW59" i="80"/>
  <c r="CJ59" i="80"/>
  <c r="CZ59" i="80"/>
  <c r="FM59" i="80"/>
  <c r="AV59" i="80"/>
  <c r="FL59" i="80"/>
  <c r="BD59" i="80"/>
  <c r="AW59" i="80"/>
  <c r="Z23" i="80"/>
  <c r="Z399" i="80" s="1"/>
  <c r="Z112" i="80"/>
  <c r="Z92" i="79"/>
  <c r="Z250" i="79"/>
  <c r="BN68" i="80"/>
  <c r="EP243" i="79"/>
  <c r="AX201" i="80"/>
  <c r="CL307" i="80"/>
  <c r="FF307" i="80"/>
  <c r="AX140" i="80"/>
  <c r="CL140" i="80"/>
  <c r="EP140" i="80"/>
  <c r="DR115" i="80"/>
  <c r="R97" i="79"/>
  <c r="EP276" i="79"/>
  <c r="AP71" i="79"/>
  <c r="DJ132" i="79"/>
  <c r="CL123" i="80"/>
  <c r="DR142" i="80"/>
  <c r="CT141" i="80"/>
  <c r="AP254" i="80"/>
  <c r="BF182" i="80"/>
  <c r="BN18" i="79"/>
  <c r="BN412" i="79" s="1"/>
  <c r="BN428" i="79" s="1"/>
  <c r="BF18" i="79"/>
  <c r="BF412" i="79" s="1"/>
  <c r="BF428" i="79" s="1"/>
  <c r="DZ18" i="80"/>
  <c r="DZ412" i="80" s="1"/>
  <c r="DZ428" i="80" s="1"/>
  <c r="EX73" i="80"/>
  <c r="BF268" i="80"/>
  <c r="BN123" i="80"/>
  <c r="FF229" i="80"/>
  <c r="BF18" i="80"/>
  <c r="BF412" i="80" s="1"/>
  <c r="BF428" i="80" s="1"/>
  <c r="BF252" i="80"/>
  <c r="CL210" i="79"/>
  <c r="AX254" i="79"/>
  <c r="EP307" i="79"/>
  <c r="AX18" i="80"/>
  <c r="AX412" i="80" s="1"/>
  <c r="AX428" i="80" s="1"/>
  <c r="CL268" i="80"/>
  <c r="AP268" i="80"/>
  <c r="BV195" i="80"/>
  <c r="DB182" i="80"/>
  <c r="EH253" i="80"/>
  <c r="R214" i="80"/>
  <c r="EP226" i="79"/>
  <c r="AH253" i="80"/>
  <c r="EP213" i="79"/>
  <c r="DJ107" i="79"/>
  <c r="FF67" i="79"/>
  <c r="EH230" i="79"/>
  <c r="AX107" i="79"/>
  <c r="CL66" i="80"/>
  <c r="FN210" i="80"/>
  <c r="CL132" i="79"/>
  <c r="AH180" i="80"/>
  <c r="CT276" i="79"/>
  <c r="BV18" i="80"/>
  <c r="BV412" i="80" s="1"/>
  <c r="AH18" i="79"/>
  <c r="AH412" i="79" s="1"/>
  <c r="AH428" i="79" s="1"/>
  <c r="FF18" i="79"/>
  <c r="FF412" i="79" s="1"/>
  <c r="FF428" i="79" s="1"/>
  <c r="BN182" i="80"/>
  <c r="DR250" i="79"/>
  <c r="CT250" i="79"/>
  <c r="DZ243" i="79"/>
  <c r="BV109" i="80"/>
  <c r="DB201" i="80"/>
  <c r="Z307" i="80"/>
  <c r="Z140" i="80"/>
  <c r="DB115" i="80"/>
  <c r="FN123" i="80"/>
  <c r="FF132" i="79"/>
  <c r="FF230" i="80"/>
  <c r="EP18" i="79"/>
  <c r="EP412" i="79" s="1"/>
  <c r="EP428" i="79" s="1"/>
  <c r="EX18" i="80"/>
  <c r="EX412" i="80" s="1"/>
  <c r="EX428" i="80" s="1"/>
  <c r="DB18" i="80"/>
  <c r="DB412" i="80" s="1"/>
  <c r="DB428" i="80" s="1"/>
  <c r="R18" i="79"/>
  <c r="R412" i="79" s="1"/>
  <c r="R428" i="79" s="1"/>
  <c r="Z201" i="80"/>
  <c r="FF201" i="80"/>
  <c r="EP70" i="80"/>
  <c r="W39" i="80"/>
  <c r="W384" i="80" s="1"/>
  <c r="W435" i="80" s="1"/>
  <c r="BS38" i="80"/>
  <c r="BS383" i="80" s="1"/>
  <c r="BS434" i="80" s="1"/>
  <c r="BS42" i="80"/>
  <c r="BS387" i="80" s="1"/>
  <c r="Z68" i="80"/>
  <c r="CL132" i="80"/>
  <c r="AP214" i="80"/>
  <c r="DJ231" i="80"/>
  <c r="EH109" i="80"/>
  <c r="BF200" i="80"/>
  <c r="CR26" i="80"/>
  <c r="CZ215" i="80"/>
  <c r="W40" i="80"/>
  <c r="W385" i="80" s="1"/>
  <c r="CT25" i="80"/>
  <c r="CT401" i="80" s="1"/>
  <c r="BS47" i="80"/>
  <c r="BS392" i="80" s="1"/>
  <c r="BS37" i="80"/>
  <c r="BS382" i="80" s="1"/>
  <c r="CD252" i="80"/>
  <c r="EH200" i="80"/>
  <c r="Z252" i="80"/>
  <c r="BE100" i="80"/>
  <c r="DR242" i="80"/>
  <c r="DB98" i="80"/>
  <c r="BN104" i="80"/>
  <c r="Z256" i="80"/>
  <c r="Z210" i="80"/>
  <c r="DZ200" i="80"/>
  <c r="W38" i="80"/>
  <c r="W383" i="80" s="1"/>
  <c r="W434" i="80" s="1"/>
  <c r="CY46" i="80"/>
  <c r="CY391" i="80" s="1"/>
  <c r="CY437" i="80" s="1"/>
  <c r="BS45" i="80"/>
  <c r="BS390" i="80" s="1"/>
  <c r="BS436" i="80" s="1"/>
  <c r="BS48" i="80"/>
  <c r="BS393" i="80" s="1"/>
  <c r="DB66" i="80"/>
  <c r="DR199" i="80"/>
  <c r="AX181" i="80"/>
  <c r="DR73" i="80"/>
  <c r="EN202" i="80"/>
  <c r="FD202" i="80"/>
  <c r="CT113" i="80"/>
  <c r="EX200" i="80"/>
  <c r="CL253" i="80"/>
  <c r="W41" i="80"/>
  <c r="W386" i="80" s="1"/>
  <c r="BS43" i="80"/>
  <c r="BS388" i="80" s="1"/>
  <c r="BS46" i="80"/>
  <c r="BS391" i="80" s="1"/>
  <c r="BS437" i="80" s="1"/>
  <c r="X143" i="80"/>
  <c r="DZ244" i="80"/>
  <c r="CL142" i="80"/>
  <c r="CT229" i="80"/>
  <c r="EX123" i="80"/>
  <c r="R115" i="80"/>
  <c r="BV140" i="80"/>
  <c r="Z141" i="80"/>
  <c r="CB143" i="80"/>
  <c r="EW143" i="80"/>
  <c r="FN72" i="80"/>
  <c r="W46" i="80"/>
  <c r="W391" i="80" s="1"/>
  <c r="W437" i="80" s="1"/>
  <c r="BS41" i="80"/>
  <c r="BS386" i="80" s="1"/>
  <c r="BS44" i="80"/>
  <c r="BS389" i="80" s="1"/>
  <c r="EP123" i="80"/>
  <c r="DJ244" i="80"/>
  <c r="CD213" i="80"/>
  <c r="DZ123" i="80"/>
  <c r="AH98" i="80"/>
  <c r="CT231" i="79"/>
  <c r="DB214" i="79"/>
  <c r="CT89" i="79"/>
  <c r="EX16" i="79"/>
  <c r="EX410" i="79" s="1"/>
  <c r="EX426" i="79" s="1"/>
  <c r="DB270" i="79"/>
  <c r="EX229" i="79"/>
  <c r="Z89" i="79"/>
  <c r="AX90" i="79"/>
  <c r="CD184" i="79"/>
  <c r="DR16" i="79"/>
  <c r="DR410" i="79" s="1"/>
  <c r="DR426" i="79" s="1"/>
  <c r="FN309" i="79"/>
  <c r="BN250" i="79"/>
  <c r="AX246" i="79"/>
  <c r="EN26" i="79"/>
  <c r="BF305" i="79"/>
  <c r="CD213" i="79"/>
  <c r="CZ100" i="79"/>
  <c r="EP70" i="79"/>
  <c r="EH91" i="79"/>
  <c r="BF232" i="79"/>
  <c r="DZ194" i="79"/>
  <c r="Q100" i="79"/>
  <c r="EV100" i="79"/>
  <c r="BF255" i="79"/>
  <c r="BF192" i="79"/>
  <c r="CL246" i="79"/>
  <c r="CL67" i="79"/>
  <c r="EX58" i="79"/>
  <c r="DR229" i="79"/>
  <c r="AG100" i="79"/>
  <c r="FF243" i="79"/>
  <c r="FF177" i="79"/>
  <c r="EH73" i="79"/>
  <c r="BF194" i="79"/>
  <c r="DZ214" i="79"/>
  <c r="EP231" i="79"/>
  <c r="R230" i="79"/>
  <c r="EX309" i="79"/>
  <c r="FF194" i="79"/>
  <c r="FN306" i="79"/>
  <c r="Z192" i="79"/>
  <c r="R91" i="79"/>
  <c r="BV306" i="79"/>
  <c r="EP246" i="79"/>
  <c r="DR307" i="79"/>
  <c r="CS100" i="79"/>
  <c r="FF126" i="79"/>
  <c r="CT214" i="79"/>
  <c r="AP58" i="79"/>
  <c r="BV58" i="79"/>
  <c r="DB255" i="80"/>
  <c r="FN23" i="79"/>
  <c r="FN399" i="79" s="1"/>
  <c r="CT25" i="79"/>
  <c r="CT401" i="79" s="1"/>
  <c r="Z230" i="79"/>
  <c r="BF68" i="80"/>
  <c r="EX230" i="80"/>
  <c r="EP213" i="80"/>
  <c r="DZ255" i="79"/>
  <c r="FN214" i="79"/>
  <c r="CS202" i="80"/>
  <c r="AV143" i="80"/>
  <c r="FN214" i="80"/>
  <c r="BV255" i="80"/>
  <c r="EG26" i="79"/>
  <c r="DJ213" i="79"/>
  <c r="DZ73" i="79"/>
  <c r="R231" i="79"/>
  <c r="CD231" i="79"/>
  <c r="BN69" i="80"/>
  <c r="CD16" i="79"/>
  <c r="CD410" i="79" s="1"/>
  <c r="CD426" i="79" s="1"/>
  <c r="BN98" i="80"/>
  <c r="FN193" i="80"/>
  <c r="FN178" i="80"/>
  <c r="R87" i="79"/>
  <c r="DZ70" i="80"/>
  <c r="Q26" i="79"/>
  <c r="CL194" i="79"/>
  <c r="AH114" i="80"/>
  <c r="BV182" i="80"/>
  <c r="EH252" i="80"/>
  <c r="EO26" i="80"/>
  <c r="R255" i="80"/>
  <c r="FN253" i="80"/>
  <c r="CT243" i="79"/>
  <c r="CI44" i="79"/>
  <c r="CI389" i="79" s="1"/>
  <c r="DB70" i="79"/>
  <c r="AP307" i="79"/>
  <c r="CD87" i="79"/>
  <c r="EH70" i="80"/>
  <c r="AH73" i="80"/>
  <c r="EH229" i="80"/>
  <c r="AP276" i="79"/>
  <c r="CD306" i="79"/>
  <c r="CI48" i="79"/>
  <c r="CI393" i="79" s="1"/>
  <c r="BF177" i="79"/>
  <c r="EP66" i="80"/>
  <c r="FF66" i="80"/>
  <c r="AO143" i="80"/>
  <c r="AP195" i="80"/>
  <c r="CI38" i="79"/>
  <c r="CD92" i="79"/>
  <c r="DB69" i="80"/>
  <c r="BV73" i="80"/>
  <c r="AH255" i="79"/>
  <c r="FN22" i="80"/>
  <c r="FN398" i="80" s="1"/>
  <c r="BF97" i="80"/>
  <c r="R210" i="79"/>
  <c r="EP69" i="80"/>
  <c r="DJ89" i="79"/>
  <c r="Z189" i="80"/>
  <c r="AX194" i="79"/>
  <c r="FF92" i="79"/>
  <c r="BV254" i="79"/>
  <c r="BV70" i="79"/>
  <c r="DZ114" i="80"/>
  <c r="CT107" i="79"/>
  <c r="FN230" i="79"/>
  <c r="R90" i="79"/>
  <c r="R66" i="80"/>
  <c r="DZ132" i="79"/>
  <c r="EH68" i="80"/>
  <c r="FN184" i="80"/>
  <c r="R212" i="80"/>
  <c r="CD214" i="80"/>
  <c r="CT212" i="79"/>
  <c r="DJ91" i="79"/>
  <c r="EX246" i="79"/>
  <c r="DB253" i="80"/>
  <c r="BF70" i="79"/>
  <c r="AP109" i="80"/>
  <c r="AH140" i="80"/>
  <c r="R107" i="79"/>
  <c r="CL92" i="79"/>
  <c r="FF213" i="79"/>
  <c r="R253" i="80"/>
  <c r="FF181" i="79"/>
  <c r="CT109" i="80"/>
  <c r="AX123" i="79"/>
  <c r="Z210" i="79"/>
  <c r="BF72" i="80"/>
  <c r="EH66" i="80"/>
  <c r="EH112" i="80"/>
  <c r="Z212" i="80"/>
  <c r="AX195" i="80"/>
  <c r="FF114" i="80"/>
  <c r="AP242" i="79"/>
  <c r="BF67" i="80"/>
  <c r="CT184" i="79"/>
  <c r="AP229" i="80"/>
  <c r="EP189" i="80"/>
  <c r="BV229" i="80"/>
  <c r="CL242" i="80"/>
  <c r="EX194" i="80"/>
  <c r="BV89" i="80"/>
  <c r="DR89" i="80"/>
  <c r="BN307" i="80"/>
  <c r="CT182" i="80"/>
  <c r="EP195" i="80"/>
  <c r="AH113" i="80"/>
  <c r="Z254" i="79"/>
  <c r="DB309" i="79"/>
  <c r="EH92" i="79"/>
  <c r="EX67" i="79"/>
  <c r="CL230" i="79"/>
  <c r="CL114" i="80"/>
  <c r="CT68" i="80"/>
  <c r="BN73" i="80"/>
  <c r="CD210" i="80"/>
  <c r="DB16" i="79"/>
  <c r="DB410" i="79" s="1"/>
  <c r="DB426" i="79" s="1"/>
  <c r="BV142" i="80"/>
  <c r="DZ142" i="80"/>
  <c r="DZ242" i="80"/>
  <c r="FN180" i="80"/>
  <c r="CT96" i="80"/>
  <c r="EP71" i="80"/>
  <c r="BT202" i="80"/>
  <c r="AX242" i="79"/>
  <c r="EP91" i="79"/>
  <c r="DO42" i="80"/>
  <c r="DO387" i="80" s="1"/>
  <c r="EH199" i="80"/>
  <c r="CD67" i="79"/>
  <c r="EX73" i="79"/>
  <c r="AX73" i="79"/>
  <c r="CL181" i="80"/>
  <c r="AH71" i="80"/>
  <c r="CD70" i="80"/>
  <c r="AX226" i="79"/>
  <c r="R212" i="79"/>
  <c r="DB212" i="79"/>
  <c r="CL109" i="80"/>
  <c r="CL230" i="80"/>
  <c r="BF22" i="80"/>
  <c r="BF398" i="80" s="1"/>
  <c r="AX132" i="79"/>
  <c r="FF310" i="79"/>
  <c r="EH230" i="80"/>
  <c r="AH229" i="79"/>
  <c r="AX229" i="79"/>
  <c r="CL195" i="80"/>
  <c r="Z268" i="80"/>
  <c r="AH214" i="80"/>
  <c r="EE37" i="80"/>
  <c r="EE382" i="80" s="1"/>
  <c r="AH195" i="80"/>
  <c r="CD195" i="80"/>
  <c r="Z246" i="79"/>
  <c r="Z73" i="79"/>
  <c r="BF73" i="79"/>
  <c r="CD113" i="80"/>
  <c r="CT200" i="80"/>
  <c r="CT71" i="80"/>
  <c r="AX212" i="79"/>
  <c r="EP309" i="79"/>
  <c r="Z25" i="80"/>
  <c r="Z401" i="80" s="1"/>
  <c r="FF252" i="80"/>
  <c r="EH123" i="80"/>
  <c r="BF256" i="79"/>
  <c r="DR229" i="80"/>
  <c r="Z242" i="80"/>
  <c r="EP242" i="80"/>
  <c r="Z96" i="80"/>
  <c r="FF279" i="80"/>
  <c r="EH210" i="79"/>
  <c r="CD270" i="79"/>
  <c r="DR58" i="79"/>
  <c r="AO26" i="80"/>
  <c r="R256" i="80"/>
  <c r="FF195" i="80"/>
  <c r="AH243" i="79"/>
  <c r="CD243" i="79"/>
  <c r="BF243" i="79"/>
  <c r="CI42" i="79"/>
  <c r="CI387" i="79" s="1"/>
  <c r="CL306" i="79"/>
  <c r="AP87" i="79"/>
  <c r="AH254" i="80"/>
  <c r="DZ254" i="80"/>
  <c r="CT70" i="79"/>
  <c r="W42" i="80"/>
  <c r="W387" i="80" s="1"/>
  <c r="W47" i="80"/>
  <c r="W392" i="80" s="1"/>
  <c r="AH91" i="79"/>
  <c r="CT91" i="79"/>
  <c r="AH123" i="79"/>
  <c r="BN268" i="79"/>
  <c r="CT268" i="79"/>
  <c r="DZ67" i="80"/>
  <c r="BV241" i="79"/>
  <c r="EX64" i="80"/>
  <c r="Z72" i="80"/>
  <c r="AP69" i="80"/>
  <c r="FF214" i="79"/>
  <c r="EH89" i="79"/>
  <c r="FF192" i="80"/>
  <c r="FF256" i="79"/>
  <c r="Z276" i="79"/>
  <c r="EX154" i="80"/>
  <c r="BF244" i="80"/>
  <c r="EX306" i="79"/>
  <c r="BF58" i="79"/>
  <c r="DR104" i="80"/>
  <c r="DZ181" i="80"/>
  <c r="BV141" i="80"/>
  <c r="CL141" i="80"/>
  <c r="FN254" i="80"/>
  <c r="BV214" i="80"/>
  <c r="DR256" i="80"/>
  <c r="DB243" i="79"/>
  <c r="CI40" i="79"/>
  <c r="CI385" i="79" s="1"/>
  <c r="BV73" i="79"/>
  <c r="BV194" i="79"/>
  <c r="AX87" i="79"/>
  <c r="R70" i="80"/>
  <c r="AX254" i="80"/>
  <c r="AP246" i="79"/>
  <c r="Z309" i="79"/>
  <c r="AP309" i="79"/>
  <c r="AP70" i="79"/>
  <c r="BN70" i="79"/>
  <c r="W44" i="80"/>
  <c r="W389" i="80" s="1"/>
  <c r="W45" i="80"/>
  <c r="W390" i="80" s="1"/>
  <c r="W436" i="80" s="1"/>
  <c r="AP230" i="79"/>
  <c r="BV230" i="79"/>
  <c r="EX114" i="80"/>
  <c r="BV268" i="79"/>
  <c r="EP115" i="80"/>
  <c r="BN67" i="80"/>
  <c r="AP73" i="80"/>
  <c r="CD71" i="79"/>
  <c r="DZ98" i="79"/>
  <c r="EX98" i="80"/>
  <c r="R194" i="80"/>
  <c r="CT194" i="80"/>
  <c r="CT229" i="79"/>
  <c r="BN214" i="80"/>
  <c r="DO45" i="80"/>
  <c r="DO390" i="80" s="1"/>
  <c r="DO436" i="80" s="1"/>
  <c r="EX255" i="80"/>
  <c r="AP243" i="79"/>
  <c r="CI37" i="79"/>
  <c r="CI382" i="79" s="1"/>
  <c r="CD246" i="79"/>
  <c r="BN212" i="79"/>
  <c r="AX309" i="79"/>
  <c r="W37" i="80"/>
  <c r="W382" i="80" s="1"/>
  <c r="W43" i="80"/>
  <c r="W388" i="80" s="1"/>
  <c r="DB250" i="79"/>
  <c r="EP68" i="80"/>
  <c r="Z231" i="79"/>
  <c r="EP181" i="79"/>
  <c r="CL72" i="80"/>
  <c r="AH109" i="80"/>
  <c r="Z90" i="79"/>
  <c r="CD72" i="80"/>
  <c r="CT72" i="80"/>
  <c r="DJ66" i="80"/>
  <c r="AH69" i="80"/>
  <c r="CD69" i="80"/>
  <c r="DJ69" i="80"/>
  <c r="Z142" i="80"/>
  <c r="R229" i="80"/>
  <c r="BN98" i="79"/>
  <c r="FF276" i="79"/>
  <c r="BN97" i="79"/>
  <c r="DZ296" i="79"/>
  <c r="FF125" i="80"/>
  <c r="AP97" i="80"/>
  <c r="DB89" i="80"/>
  <c r="AH307" i="80"/>
  <c r="FN199" i="79"/>
  <c r="FF104" i="80"/>
  <c r="CT212" i="80"/>
  <c r="DJ214" i="80"/>
  <c r="DO41" i="80"/>
  <c r="DO386" i="80" s="1"/>
  <c r="EH256" i="80"/>
  <c r="AP187" i="79"/>
  <c r="EP113" i="80"/>
  <c r="FN123" i="79"/>
  <c r="DZ67" i="79"/>
  <c r="FF189" i="80"/>
  <c r="FF142" i="79"/>
  <c r="CL123" i="79"/>
  <c r="FN103" i="79"/>
  <c r="FF25" i="80"/>
  <c r="FF401" i="80" s="1"/>
  <c r="CL232" i="79"/>
  <c r="EX140" i="80"/>
  <c r="BF214" i="79"/>
  <c r="R67" i="80"/>
  <c r="BF189" i="80"/>
  <c r="R71" i="79"/>
  <c r="EP89" i="80"/>
  <c r="FF112" i="79"/>
  <c r="DZ194" i="80"/>
  <c r="AX244" i="80"/>
  <c r="DB230" i="80"/>
  <c r="Z255" i="79"/>
  <c r="BN114" i="80"/>
  <c r="AX16" i="79"/>
  <c r="AX410" i="79" s="1"/>
  <c r="AX426" i="79" s="1"/>
  <c r="CT132" i="80"/>
  <c r="EP250" i="79"/>
  <c r="CT252" i="79"/>
  <c r="EP230" i="80"/>
  <c r="FF200" i="79"/>
  <c r="FF268" i="80"/>
  <c r="DZ104" i="80"/>
  <c r="Z243" i="79"/>
  <c r="AX305" i="79"/>
  <c r="BF87" i="79"/>
  <c r="FF16" i="79"/>
  <c r="FF410" i="79" s="1"/>
  <c r="FF426" i="79" s="1"/>
  <c r="R16" i="79"/>
  <c r="R410" i="79" s="1"/>
  <c r="R426" i="79" s="1"/>
  <c r="BV213" i="79"/>
  <c r="Z227" i="79"/>
  <c r="AX227" i="79"/>
  <c r="BN227" i="79"/>
  <c r="AX270" i="79"/>
  <c r="AX104" i="80"/>
  <c r="DB104" i="80"/>
  <c r="DJ212" i="80"/>
  <c r="DZ256" i="80"/>
  <c r="FF256" i="80"/>
  <c r="Z182" i="80"/>
  <c r="R73" i="79"/>
  <c r="EH194" i="79"/>
  <c r="EX87" i="79"/>
  <c r="AP306" i="79"/>
  <c r="AX211" i="79"/>
  <c r="DR113" i="80"/>
  <c r="DJ70" i="80"/>
  <c r="AH309" i="79"/>
  <c r="EV100" i="80"/>
  <c r="EX96" i="80"/>
  <c r="DZ142" i="79"/>
  <c r="EH254" i="79"/>
  <c r="CL71" i="80"/>
  <c r="DR71" i="80"/>
  <c r="EX141" i="80"/>
  <c r="BV268" i="80"/>
  <c r="AH104" i="80"/>
  <c r="CL104" i="80"/>
  <c r="CL256" i="80"/>
  <c r="DR177" i="79"/>
  <c r="CT307" i="79"/>
  <c r="EP211" i="79"/>
  <c r="DB87" i="79"/>
  <c r="EX68" i="80"/>
  <c r="DZ71" i="80"/>
  <c r="AX70" i="80"/>
  <c r="DJ24" i="79"/>
  <c r="DJ400" i="79" s="1"/>
  <c r="DH26" i="79"/>
  <c r="AP296" i="79"/>
  <c r="EX296" i="79"/>
  <c r="CJ100" i="80"/>
  <c r="CL97" i="80"/>
  <c r="CD227" i="79"/>
  <c r="R229" i="79"/>
  <c r="FF229" i="79"/>
  <c r="EX104" i="80"/>
  <c r="AH255" i="80"/>
  <c r="BF255" i="80"/>
  <c r="CL255" i="80"/>
  <c r="CL307" i="79"/>
  <c r="BV307" i="79"/>
  <c r="AX306" i="79"/>
  <c r="DR73" i="79"/>
  <c r="AN26" i="80"/>
  <c r="FN24" i="80"/>
  <c r="FN400" i="80" s="1"/>
  <c r="BV231" i="79"/>
  <c r="DR109" i="80"/>
  <c r="EP182" i="80"/>
  <c r="FL100" i="79"/>
  <c r="FN98" i="79"/>
  <c r="AH98" i="79"/>
  <c r="EP255" i="79"/>
  <c r="CT307" i="80"/>
  <c r="CT115" i="80"/>
  <c r="DR214" i="79"/>
  <c r="BD215" i="80"/>
  <c r="AX67" i="80"/>
  <c r="EX66" i="80"/>
  <c r="AN100" i="79"/>
  <c r="CL231" i="80"/>
  <c r="AW100" i="80"/>
  <c r="CL89" i="80"/>
  <c r="BN229" i="80"/>
  <c r="BV213" i="80"/>
  <c r="DJ242" i="80"/>
  <c r="DB132" i="80"/>
  <c r="BV97" i="80"/>
  <c r="EX125" i="80"/>
  <c r="AX89" i="80"/>
  <c r="DZ89" i="80"/>
  <c r="DZ230" i="79"/>
  <c r="AH212" i="79"/>
  <c r="DR70" i="79"/>
  <c r="Z67" i="79"/>
  <c r="AX67" i="79"/>
  <c r="AX231" i="79"/>
  <c r="EH107" i="79"/>
  <c r="AP210" i="79"/>
  <c r="BF241" i="79"/>
  <c r="EX241" i="79"/>
  <c r="BV72" i="80"/>
  <c r="Z66" i="80"/>
  <c r="AX66" i="80"/>
  <c r="BF73" i="80"/>
  <c r="DJ73" i="80"/>
  <c r="AX24" i="79"/>
  <c r="AX400" i="79" s="1"/>
  <c r="DZ16" i="79"/>
  <c r="DZ410" i="79" s="1"/>
  <c r="DZ426" i="79" s="1"/>
  <c r="AX213" i="80"/>
  <c r="DR213" i="80"/>
  <c r="FF139" i="80"/>
  <c r="FN252" i="79"/>
  <c r="FN189" i="79"/>
  <c r="CD242" i="80"/>
  <c r="CD96" i="80"/>
  <c r="BN252" i="79"/>
  <c r="DJ89" i="80"/>
  <c r="FF250" i="80"/>
  <c r="I405" i="79"/>
  <c r="I409" i="79" s="1"/>
  <c r="DR123" i="79"/>
  <c r="Z231" i="80"/>
  <c r="CL91" i="79"/>
  <c r="BF231" i="79"/>
  <c r="AX109" i="80"/>
  <c r="BF109" i="80"/>
  <c r="FF109" i="80"/>
  <c r="CT241" i="79"/>
  <c r="EX268" i="79"/>
  <c r="EH232" i="79"/>
  <c r="DJ115" i="80"/>
  <c r="EX252" i="80"/>
  <c r="FF87" i="79"/>
  <c r="FF123" i="79"/>
  <c r="DB210" i="79"/>
  <c r="BV210" i="79"/>
  <c r="Z226" i="79"/>
  <c r="AP241" i="79"/>
  <c r="BN241" i="79"/>
  <c r="BN210" i="80"/>
  <c r="AH67" i="80"/>
  <c r="AP66" i="80"/>
  <c r="BN66" i="80"/>
  <c r="DR89" i="79"/>
  <c r="AX231" i="80"/>
  <c r="BV231" i="80"/>
  <c r="DB231" i="80"/>
  <c r="DJ252" i="79"/>
  <c r="DJ229" i="80"/>
  <c r="BF229" i="80"/>
  <c r="AX194" i="80"/>
  <c r="DH100" i="80"/>
  <c r="EX246" i="80"/>
  <c r="AH71" i="79"/>
  <c r="DJ97" i="79"/>
  <c r="AF100" i="80"/>
  <c r="AP256" i="79"/>
  <c r="AX256" i="79"/>
  <c r="R252" i="79"/>
  <c r="DJ184" i="79"/>
  <c r="DJ189" i="80"/>
  <c r="R89" i="80"/>
  <c r="AX230" i="80"/>
  <c r="Z195" i="79"/>
  <c r="FF195" i="79"/>
  <c r="BN195" i="79"/>
  <c r="Z109" i="80"/>
  <c r="Z212" i="79"/>
  <c r="BF230" i="79"/>
  <c r="Z91" i="79"/>
  <c r="DJ90" i="79"/>
  <c r="CL73" i="80"/>
  <c r="BF115" i="80"/>
  <c r="CD226" i="79"/>
  <c r="BN72" i="80"/>
  <c r="R69" i="80"/>
  <c r="EH69" i="80"/>
  <c r="EH73" i="80"/>
  <c r="R210" i="80"/>
  <c r="CL229" i="80"/>
  <c r="BV256" i="79"/>
  <c r="DR276" i="79"/>
  <c r="CT180" i="80"/>
  <c r="EH98" i="80"/>
  <c r="DJ97" i="80"/>
  <c r="DR98" i="79"/>
  <c r="CD232" i="79"/>
  <c r="DR252" i="79"/>
  <c r="DZ229" i="79"/>
  <c r="P143" i="80"/>
  <c r="DR214" i="80"/>
  <c r="CT252" i="80"/>
  <c r="BN252" i="80"/>
  <c r="R182" i="80"/>
  <c r="DB213" i="79"/>
  <c r="AH195" i="79"/>
  <c r="DR195" i="79"/>
  <c r="AP114" i="80"/>
  <c r="R89" i="79"/>
  <c r="DZ309" i="79"/>
  <c r="BN92" i="79"/>
  <c r="CT92" i="79"/>
  <c r="AH67" i="79"/>
  <c r="DR67" i="79"/>
  <c r="DB68" i="80"/>
  <c r="DZ68" i="80"/>
  <c r="FE100" i="79"/>
  <c r="BL100" i="79"/>
  <c r="AP107" i="79"/>
  <c r="Z123" i="79"/>
  <c r="AP123" i="79"/>
  <c r="CL250" i="79"/>
  <c r="R232" i="79"/>
  <c r="AX232" i="79"/>
  <c r="FF232" i="79"/>
  <c r="BV90" i="79"/>
  <c r="Z242" i="79"/>
  <c r="DB242" i="79"/>
  <c r="FF242" i="79"/>
  <c r="DB252" i="80"/>
  <c r="Z29" i="80"/>
  <c r="Z30" i="80" s="1"/>
  <c r="Z403" i="80" s="1"/>
  <c r="AH210" i="79"/>
  <c r="EX210" i="79"/>
  <c r="AH214" i="79"/>
  <c r="EH241" i="79"/>
  <c r="EX123" i="79"/>
  <c r="AX255" i="79"/>
  <c r="EX181" i="79"/>
  <c r="AH89" i="79"/>
  <c r="CT73" i="80"/>
  <c r="CL16" i="79"/>
  <c r="CL410" i="79" s="1"/>
  <c r="CL426" i="79" s="1"/>
  <c r="EP22" i="80"/>
  <c r="EP398" i="80" s="1"/>
  <c r="BV276" i="79"/>
  <c r="EH132" i="80"/>
  <c r="FN125" i="80"/>
  <c r="BN97" i="80"/>
  <c r="DJ230" i="80"/>
  <c r="CD244" i="80"/>
  <c r="AH97" i="79"/>
  <c r="BF16" i="79"/>
  <c r="BF410" i="79" s="1"/>
  <c r="BF426" i="79" s="1"/>
  <c r="CD132" i="79"/>
  <c r="DZ230" i="80"/>
  <c r="BF227" i="79"/>
  <c r="R270" i="79"/>
  <c r="BN270" i="79"/>
  <c r="FN87" i="79"/>
  <c r="CT214" i="80"/>
  <c r="FN195" i="80"/>
  <c r="BN195" i="80"/>
  <c r="EH195" i="80"/>
  <c r="CC202" i="80"/>
  <c r="CD200" i="80"/>
  <c r="EW202" i="80"/>
  <c r="DB254" i="80"/>
  <c r="BD26" i="80"/>
  <c r="BF25" i="80"/>
  <c r="BF401" i="80" s="1"/>
  <c r="DJ140" i="80"/>
  <c r="DH143" i="80"/>
  <c r="BN243" i="79"/>
  <c r="AF100" i="79"/>
  <c r="AH96" i="79"/>
  <c r="BN242" i="79"/>
  <c r="DR305" i="79"/>
  <c r="BF213" i="79"/>
  <c r="DB73" i="79"/>
  <c r="CL89" i="79"/>
  <c r="AP71" i="80"/>
  <c r="Z229" i="79"/>
  <c r="DB141" i="80"/>
  <c r="DR268" i="80"/>
  <c r="AP201" i="80"/>
  <c r="EH201" i="80"/>
  <c r="Z104" i="80"/>
  <c r="EX212" i="80"/>
  <c r="DR67" i="80"/>
  <c r="DR255" i="80"/>
  <c r="CD307" i="79"/>
  <c r="Z306" i="79"/>
  <c r="EX113" i="80"/>
  <c r="BF70" i="80"/>
  <c r="EN26" i="80"/>
  <c r="FL143" i="79"/>
  <c r="FN140" i="79"/>
  <c r="EH181" i="79"/>
  <c r="BN113" i="80"/>
  <c r="DR212" i="80"/>
  <c r="BV227" i="79"/>
  <c r="AP113" i="80"/>
  <c r="DZ141" i="80"/>
  <c r="R141" i="80"/>
  <c r="DB112" i="80"/>
  <c r="AP199" i="80"/>
  <c r="EP87" i="79"/>
  <c r="DZ211" i="79"/>
  <c r="DJ194" i="79"/>
  <c r="EH71" i="80"/>
  <c r="EX70" i="80"/>
  <c r="DZ229" i="80"/>
  <c r="FN243" i="79"/>
  <c r="EP104" i="80"/>
  <c r="DR227" i="79"/>
  <c r="DZ177" i="79"/>
  <c r="FN206" i="79"/>
  <c r="CD229" i="79"/>
  <c r="AP256" i="80"/>
  <c r="CD141" i="80"/>
  <c r="EP268" i="80"/>
  <c r="R201" i="80"/>
  <c r="AX212" i="80"/>
  <c r="DJ182" i="80"/>
  <c r="BL26" i="79"/>
  <c r="DB123" i="79"/>
  <c r="DB306" i="79"/>
  <c r="EP200" i="80"/>
  <c r="DB114" i="80"/>
  <c r="EX109" i="80"/>
  <c r="FN67" i="79"/>
  <c r="DB200" i="80"/>
  <c r="FF91" i="79"/>
  <c r="EP123" i="79"/>
  <c r="Z107" i="79"/>
  <c r="DP100" i="79"/>
  <c r="EP90" i="79"/>
  <c r="BN226" i="79"/>
  <c r="DR22" i="80"/>
  <c r="DR398" i="80" s="1"/>
  <c r="BN73" i="79"/>
  <c r="CD71" i="80"/>
  <c r="DJ71" i="80"/>
  <c r="Z70" i="80"/>
  <c r="BV254" i="80"/>
  <c r="AH213" i="79"/>
  <c r="BN213" i="79"/>
  <c r="AX195" i="79"/>
  <c r="CL195" i="79"/>
  <c r="EH195" i="79"/>
  <c r="BV253" i="80"/>
  <c r="EH309" i="79"/>
  <c r="DZ92" i="79"/>
  <c r="DJ70" i="79"/>
  <c r="EH87" i="79"/>
  <c r="Z70" i="79"/>
  <c r="DB91" i="79"/>
  <c r="BN91" i="79"/>
  <c r="DR91" i="79"/>
  <c r="DZ246" i="79"/>
  <c r="CD107" i="79"/>
  <c r="BF107" i="79"/>
  <c r="DZ181" i="79"/>
  <c r="FN232" i="79"/>
  <c r="DR24" i="79"/>
  <c r="DR400" i="79" s="1"/>
  <c r="CC100" i="80"/>
  <c r="CD97" i="80"/>
  <c r="BF195" i="79"/>
  <c r="CD195" i="79"/>
  <c r="DJ253" i="80"/>
  <c r="FF70" i="79"/>
  <c r="Z67" i="80"/>
  <c r="EH114" i="80"/>
  <c r="EP114" i="80"/>
  <c r="DR306" i="79"/>
  <c r="AH268" i="79"/>
  <c r="DB90" i="79"/>
  <c r="DA202" i="80"/>
  <c r="CL252" i="80"/>
  <c r="DR241" i="79"/>
  <c r="CD67" i="80"/>
  <c r="EX67" i="80"/>
  <c r="EH210" i="80"/>
  <c r="BN16" i="79"/>
  <c r="BN410" i="79" s="1"/>
  <c r="BN426" i="79" s="1"/>
  <c r="CD90" i="79"/>
  <c r="CD132" i="80"/>
  <c r="EH243" i="79"/>
  <c r="BV243" i="79"/>
  <c r="DH202" i="80"/>
  <c r="BN177" i="79"/>
  <c r="EN215" i="79"/>
  <c r="DB231" i="79"/>
  <c r="FN181" i="79"/>
  <c r="DJ307" i="79"/>
  <c r="R194" i="79"/>
  <c r="CT194" i="79"/>
  <c r="AH231" i="80"/>
  <c r="BV211" i="79"/>
  <c r="DR211" i="79"/>
  <c r="EX211" i="79"/>
  <c r="CD253" i="80"/>
  <c r="EX71" i="80"/>
  <c r="AH70" i="80"/>
  <c r="CL213" i="79"/>
  <c r="DR213" i="79"/>
  <c r="DZ195" i="79"/>
  <c r="DZ253" i="80"/>
  <c r="BV250" i="79"/>
  <c r="BV91" i="79"/>
  <c r="CT246" i="79"/>
  <c r="CL107" i="79"/>
  <c r="DR96" i="79"/>
  <c r="AX115" i="80"/>
  <c r="EH115" i="80"/>
  <c r="R214" i="79"/>
  <c r="EX182" i="80"/>
  <c r="BE202" i="80"/>
  <c r="R187" i="79"/>
  <c r="R92" i="79"/>
  <c r="BV246" i="79"/>
  <c r="CT87" i="79"/>
  <c r="DR309" i="79"/>
  <c r="EH212" i="79"/>
  <c r="DJ231" i="79"/>
  <c r="DZ250" i="79"/>
  <c r="DR181" i="79"/>
  <c r="DZ107" i="79"/>
  <c r="AH307" i="79"/>
  <c r="AP305" i="79"/>
  <c r="BV305" i="79"/>
  <c r="AX113" i="80"/>
  <c r="DZ113" i="80"/>
  <c r="BN70" i="80"/>
  <c r="DB254" i="79"/>
  <c r="AP195" i="79"/>
  <c r="CT253" i="80"/>
  <c r="BF250" i="79"/>
  <c r="DR212" i="79"/>
  <c r="FF99" i="79"/>
  <c r="BV309" i="79"/>
  <c r="AX92" i="79"/>
  <c r="AP250" i="79"/>
  <c r="AH250" i="79"/>
  <c r="AX250" i="79"/>
  <c r="Z25" i="79"/>
  <c r="Z401" i="79" s="1"/>
  <c r="DB73" i="80"/>
  <c r="BF67" i="79"/>
  <c r="EH67" i="79"/>
  <c r="AH230" i="79"/>
  <c r="DJ68" i="80"/>
  <c r="AH231" i="79"/>
  <c r="BN231" i="79"/>
  <c r="R123" i="79"/>
  <c r="DB109" i="80"/>
  <c r="EP109" i="80"/>
  <c r="AX192" i="79"/>
  <c r="FN142" i="79"/>
  <c r="EX90" i="79"/>
  <c r="CD268" i="79"/>
  <c r="AX276" i="79"/>
  <c r="EH252" i="79"/>
  <c r="EH194" i="80"/>
  <c r="Z268" i="79"/>
  <c r="Z232" i="79"/>
  <c r="AH232" i="79"/>
  <c r="DJ232" i="79"/>
  <c r="FN188" i="79"/>
  <c r="FN69" i="80"/>
  <c r="DB140" i="80"/>
  <c r="FF140" i="80"/>
  <c r="AP115" i="80"/>
  <c r="BV115" i="80"/>
  <c r="DZ252" i="80"/>
  <c r="Y202" i="80"/>
  <c r="AX214" i="79"/>
  <c r="EP214" i="79"/>
  <c r="FN176" i="79"/>
  <c r="AP72" i="80"/>
  <c r="DJ72" i="80"/>
  <c r="EX72" i="80"/>
  <c r="BF69" i="80"/>
  <c r="AH276" i="79"/>
  <c r="DR184" i="79"/>
  <c r="Z194" i="80"/>
  <c r="DB242" i="80"/>
  <c r="EP142" i="80"/>
  <c r="AP97" i="79"/>
  <c r="CL98" i="80"/>
  <c r="FN188" i="80"/>
  <c r="DJ98" i="80"/>
  <c r="FM100" i="80"/>
  <c r="EP194" i="80"/>
  <c r="BN132" i="80"/>
  <c r="FF296" i="79"/>
  <c r="R98" i="80"/>
  <c r="CD98" i="80"/>
  <c r="Z252" i="79"/>
  <c r="FN90" i="80"/>
  <c r="EP180" i="80"/>
  <c r="BN89" i="80"/>
  <c r="R230" i="80"/>
  <c r="R4" i="82"/>
  <c r="R3" i="82"/>
  <c r="CD97" i="79"/>
  <c r="AH252" i="79"/>
  <c r="DB296" i="79"/>
  <c r="BU100" i="80"/>
  <c r="EO100" i="80"/>
  <c r="R252" i="80"/>
  <c r="FN141" i="79"/>
  <c r="CL226" i="79"/>
  <c r="DB226" i="79"/>
  <c r="EX226" i="79"/>
  <c r="FN180" i="79"/>
  <c r="CD66" i="80"/>
  <c r="EF100" i="79"/>
  <c r="DB142" i="80"/>
  <c r="FN192" i="80"/>
  <c r="CL276" i="79"/>
  <c r="CD180" i="80"/>
  <c r="CT123" i="80"/>
  <c r="AP132" i="79"/>
  <c r="R132" i="79"/>
  <c r="FF90" i="80"/>
  <c r="EG100" i="80"/>
  <c r="AN100" i="80"/>
  <c r="BV184" i="79"/>
  <c r="AP194" i="80"/>
  <c r="CL244" i="80"/>
  <c r="EH180" i="80"/>
  <c r="CT89" i="80"/>
  <c r="S53" i="82"/>
  <c r="AP140" i="80"/>
  <c r="CD115" i="80"/>
  <c r="DR66" i="80"/>
  <c r="DB307" i="80"/>
  <c r="R140" i="80"/>
  <c r="AH115" i="80"/>
  <c r="DZ115" i="80"/>
  <c r="CT210" i="79"/>
  <c r="AH226" i="79"/>
  <c r="AP214" i="79"/>
  <c r="BN214" i="79"/>
  <c r="BV214" i="79"/>
  <c r="EH214" i="79"/>
  <c r="AX241" i="79"/>
  <c r="CT67" i="80"/>
  <c r="Z69" i="80"/>
  <c r="EX69" i="80"/>
  <c r="AO100" i="79"/>
  <c r="R73" i="80"/>
  <c r="CD73" i="80"/>
  <c r="AP231" i="80"/>
  <c r="DR231" i="80"/>
  <c r="EP231" i="80"/>
  <c r="AX252" i="79"/>
  <c r="EX24" i="79"/>
  <c r="EX400" i="79" s="1"/>
  <c r="DB71" i="79"/>
  <c r="DB132" i="79"/>
  <c r="EX245" i="79"/>
  <c r="BV242" i="80"/>
  <c r="R213" i="80"/>
  <c r="DJ123" i="80"/>
  <c r="AX296" i="79"/>
  <c r="DJ194" i="80"/>
  <c r="EP132" i="80"/>
  <c r="EH242" i="80"/>
  <c r="EH97" i="80"/>
  <c r="FF98" i="80"/>
  <c r="AP89" i="80"/>
  <c r="AX72" i="80"/>
  <c r="R72" i="80"/>
  <c r="EH72" i="80"/>
  <c r="AP89" i="79"/>
  <c r="AH229" i="80"/>
  <c r="BN276" i="79"/>
  <c r="CD89" i="80"/>
  <c r="FN310" i="79"/>
  <c r="EH58" i="79"/>
  <c r="AP229" i="79"/>
  <c r="AP141" i="80"/>
  <c r="BV96" i="79"/>
  <c r="CD192" i="79"/>
  <c r="R227" i="79"/>
  <c r="AX58" i="79"/>
  <c r="DB229" i="79"/>
  <c r="CD256" i="80"/>
  <c r="EP181" i="80"/>
  <c r="EP141" i="80"/>
  <c r="R268" i="80"/>
  <c r="AX112" i="80"/>
  <c r="DJ112" i="80"/>
  <c r="AP212" i="80"/>
  <c r="DO43" i="80"/>
  <c r="DO388" i="80" s="1"/>
  <c r="DO40" i="80"/>
  <c r="DO385" i="80" s="1"/>
  <c r="FN255" i="80"/>
  <c r="DB256" i="80"/>
  <c r="R29" i="80"/>
  <c r="R30" i="80" s="1"/>
  <c r="R403" i="80" s="1"/>
  <c r="AX255" i="80"/>
  <c r="EP255" i="80"/>
  <c r="EX243" i="79"/>
  <c r="DJ243" i="79"/>
  <c r="P202" i="80"/>
  <c r="CB202" i="80"/>
  <c r="EO202" i="80"/>
  <c r="BC41" i="79"/>
  <c r="BC386" i="79" s="1"/>
  <c r="CT123" i="79"/>
  <c r="CL177" i="79"/>
  <c r="CI41" i="79"/>
  <c r="CI386" i="79" s="1"/>
  <c r="DB307" i="79"/>
  <c r="BF307" i="79"/>
  <c r="FN182" i="79"/>
  <c r="BN194" i="79"/>
  <c r="DB194" i="79"/>
  <c r="BN211" i="79"/>
  <c r="EH211" i="79"/>
  <c r="CD211" i="79"/>
  <c r="BN71" i="80"/>
  <c r="DB113" i="80"/>
  <c r="EP254" i="80"/>
  <c r="Z213" i="79"/>
  <c r="EX213" i="79"/>
  <c r="AH187" i="79"/>
  <c r="BV92" i="79"/>
  <c r="FF230" i="79"/>
  <c r="CT73" i="79"/>
  <c r="EX212" i="79"/>
  <c r="BF195" i="80"/>
  <c r="R309" i="79"/>
  <c r="AH70" i="79"/>
  <c r="EH70" i="79"/>
  <c r="EX70" i="79"/>
  <c r="R109" i="80"/>
  <c r="R114" i="80"/>
  <c r="AH92" i="79"/>
  <c r="BV25" i="79"/>
  <c r="BV401" i="79" s="1"/>
  <c r="AP67" i="79"/>
  <c r="BV67" i="79"/>
  <c r="FD100" i="79"/>
  <c r="BN96" i="79"/>
  <c r="BN123" i="79"/>
  <c r="CD89" i="79"/>
  <c r="CY40" i="79"/>
  <c r="CY385" i="79" s="1"/>
  <c r="Z177" i="79"/>
  <c r="AU42" i="79"/>
  <c r="AU387" i="79" s="1"/>
  <c r="DZ123" i="79"/>
  <c r="AH90" i="79"/>
  <c r="CL90" i="79"/>
  <c r="AH242" i="79"/>
  <c r="EP67" i="80"/>
  <c r="BM143" i="80"/>
  <c r="FF115" i="80"/>
  <c r="AP252" i="80"/>
  <c r="AP226" i="79"/>
  <c r="DR226" i="79"/>
  <c r="EH226" i="79"/>
  <c r="DJ67" i="80"/>
  <c r="EM40" i="79"/>
  <c r="EM385" i="79" s="1"/>
  <c r="DB255" i="79"/>
  <c r="EU39" i="80"/>
  <c r="EU384" i="80" s="1"/>
  <c r="EU435" i="80" s="1"/>
  <c r="EU40" i="80"/>
  <c r="EU385" i="80" s="1"/>
  <c r="FC46" i="80"/>
  <c r="FC391" i="80" s="1"/>
  <c r="FC437" i="80" s="1"/>
  <c r="DZ22" i="80"/>
  <c r="DZ398" i="80" s="1"/>
  <c r="DA100" i="80"/>
  <c r="FN97" i="80"/>
  <c r="AX96" i="80"/>
  <c r="FN96" i="80"/>
  <c r="CB100" i="80"/>
  <c r="CS100" i="80"/>
  <c r="EW100" i="80"/>
  <c r="DX30" i="79"/>
  <c r="DZ29" i="79"/>
  <c r="DZ30" i="79" s="1"/>
  <c r="DQ100" i="80"/>
  <c r="FD30" i="79"/>
  <c r="FF29" i="79"/>
  <c r="FF30" i="79" s="1"/>
  <c r="BD100" i="80"/>
  <c r="BV256" i="80"/>
  <c r="DJ256" i="80"/>
  <c r="EP256" i="80"/>
  <c r="EH29" i="80"/>
  <c r="EH30" i="80" s="1"/>
  <c r="EH403" i="80" s="1"/>
  <c r="DR243" i="79"/>
  <c r="CK202" i="80"/>
  <c r="CD73" i="79"/>
  <c r="DR107" i="79"/>
  <c r="DB67" i="79"/>
  <c r="EP23" i="79"/>
  <c r="EP399" i="79" s="1"/>
  <c r="BN307" i="79"/>
  <c r="AH305" i="79"/>
  <c r="BF211" i="79"/>
  <c r="BT215" i="80"/>
  <c r="CR202" i="80"/>
  <c r="FF254" i="80"/>
  <c r="AP254" i="79"/>
  <c r="CL254" i="79"/>
  <c r="CT254" i="79"/>
  <c r="BF242" i="79"/>
  <c r="DB25" i="80"/>
  <c r="DB401" i="80" s="1"/>
  <c r="DB89" i="79"/>
  <c r="CL231" i="79"/>
  <c r="DH215" i="79"/>
  <c r="CL58" i="79"/>
  <c r="X202" i="80"/>
  <c r="CT256" i="80"/>
  <c r="DZ307" i="80"/>
  <c r="DI143" i="80"/>
  <c r="CL115" i="80"/>
  <c r="BF226" i="79"/>
  <c r="DB246" i="79"/>
  <c r="CA44" i="79"/>
  <c r="CA389" i="79" s="1"/>
  <c r="DR255" i="79"/>
  <c r="Y215" i="80"/>
  <c r="AV215" i="80"/>
  <c r="DQ215" i="80"/>
  <c r="EN215" i="80"/>
  <c r="W489" i="79"/>
  <c r="W466" i="79" s="1"/>
  <c r="W301" i="79" s="1"/>
  <c r="Y301" i="79" s="1"/>
  <c r="Y302" i="79" s="1"/>
  <c r="CT24" i="79"/>
  <c r="CT400" i="79" s="1"/>
  <c r="AH22" i="80"/>
  <c r="AH398" i="80" s="1"/>
  <c r="BL30" i="79"/>
  <c r="BN29" i="79"/>
  <c r="BN30" i="79" s="1"/>
  <c r="P176" i="79"/>
  <c r="Q176" i="79"/>
  <c r="P30" i="79"/>
  <c r="P418" i="79" s="1"/>
  <c r="R29" i="79"/>
  <c r="R30" i="79" s="1"/>
  <c r="R418" i="79" s="1"/>
  <c r="X100" i="80"/>
  <c r="CT29" i="79"/>
  <c r="CT30" i="79" s="1"/>
  <c r="CR30" i="79"/>
  <c r="DY100" i="80"/>
  <c r="FE100" i="80"/>
  <c r="BL143" i="80"/>
  <c r="AP227" i="79"/>
  <c r="CL270" i="79"/>
  <c r="FF109" i="79"/>
  <c r="Z214" i="80"/>
  <c r="FF214" i="80"/>
  <c r="DO39" i="80"/>
  <c r="DO384" i="80" s="1"/>
  <c r="DO435" i="80" s="1"/>
  <c r="DR182" i="80"/>
  <c r="Z195" i="80"/>
  <c r="DR195" i="80"/>
  <c r="EX195" i="80"/>
  <c r="BN199" i="80"/>
  <c r="AO202" i="80"/>
  <c r="BF90" i="79"/>
  <c r="EU45" i="79"/>
  <c r="EH305" i="79"/>
  <c r="FN177" i="79"/>
  <c r="FF206" i="79"/>
  <c r="CD194" i="79"/>
  <c r="R211" i="79"/>
  <c r="Z87" i="79"/>
  <c r="BV71" i="80"/>
  <c r="AP70" i="80"/>
  <c r="CD254" i="80"/>
  <c r="EX254" i="80"/>
  <c r="AH254" i="79"/>
  <c r="BN254" i="79"/>
  <c r="BV195" i="79"/>
  <c r="EP253" i="80"/>
  <c r="DY26" i="79"/>
  <c r="CL309" i="79"/>
  <c r="AX70" i="79"/>
  <c r="BN25" i="79"/>
  <c r="BN401" i="79" s="1"/>
  <c r="CQ38" i="80"/>
  <c r="CQ383" i="80" s="1"/>
  <c r="CQ434" i="80" s="1"/>
  <c r="EH25" i="80"/>
  <c r="EH401" i="80" s="1"/>
  <c r="FN91" i="79"/>
  <c r="AP91" i="79"/>
  <c r="Z114" i="80"/>
  <c r="BV114" i="80"/>
  <c r="DJ114" i="80"/>
  <c r="AH68" i="80"/>
  <c r="BV68" i="80"/>
  <c r="FF68" i="80"/>
  <c r="DR231" i="79"/>
  <c r="AH107" i="79"/>
  <c r="DB107" i="79"/>
  <c r="BN107" i="79"/>
  <c r="DH26" i="80"/>
  <c r="DG40" i="79"/>
  <c r="DG385" i="79" s="1"/>
  <c r="AP90" i="79"/>
  <c r="R242" i="79"/>
  <c r="AG143" i="80"/>
  <c r="CC143" i="80"/>
  <c r="DP143" i="80"/>
  <c r="FN68" i="80"/>
  <c r="BL215" i="79"/>
  <c r="DI215" i="79"/>
  <c r="CD214" i="79"/>
  <c r="DZ241" i="79"/>
  <c r="DJ195" i="80"/>
  <c r="EH67" i="80"/>
  <c r="BV29" i="80"/>
  <c r="BV30" i="80" s="1"/>
  <c r="BV403" i="80" s="1"/>
  <c r="R180" i="79"/>
  <c r="BS41" i="79"/>
  <c r="BS386" i="79" s="1"/>
  <c r="AP255" i="79"/>
  <c r="AX89" i="79"/>
  <c r="EU47" i="80"/>
  <c r="EU392" i="80" s="1"/>
  <c r="EU48" i="80"/>
  <c r="EU393" i="80" s="1"/>
  <c r="AX73" i="80"/>
  <c r="AH210" i="80"/>
  <c r="CZ30" i="79"/>
  <c r="DB29" i="79"/>
  <c r="DB30" i="79" s="1"/>
  <c r="BD30" i="79"/>
  <c r="BF29" i="79"/>
  <c r="BF30" i="79" s="1"/>
  <c r="CL296" i="79"/>
  <c r="BC37" i="80"/>
  <c r="BC382" i="80" s="1"/>
  <c r="EF100" i="80"/>
  <c r="Z97" i="80"/>
  <c r="BM100" i="80"/>
  <c r="DB96" i="80"/>
  <c r="AP96" i="80"/>
  <c r="CR100" i="80"/>
  <c r="AW180" i="79"/>
  <c r="AV180" i="79"/>
  <c r="DY202" i="80"/>
  <c r="AH23" i="79"/>
  <c r="AH399" i="79" s="1"/>
  <c r="DB96" i="79"/>
  <c r="BN87" i="79"/>
  <c r="BD202" i="80"/>
  <c r="CQ45" i="80"/>
  <c r="CQ390" i="80" s="1"/>
  <c r="CQ436" i="80" s="1"/>
  <c r="DJ109" i="80"/>
  <c r="CZ202" i="80"/>
  <c r="BK40" i="79"/>
  <c r="BK385" i="79" s="1"/>
  <c r="CY41" i="79"/>
  <c r="CY386" i="79" s="1"/>
  <c r="AP231" i="79"/>
  <c r="AU47" i="79"/>
  <c r="AU392" i="79" s="1"/>
  <c r="FN246" i="79"/>
  <c r="AH199" i="80"/>
  <c r="DR252" i="80"/>
  <c r="CD29" i="80"/>
  <c r="CD30" i="80" s="1"/>
  <c r="CD403" i="80" s="1"/>
  <c r="CL29" i="80"/>
  <c r="CL30" i="80" s="1"/>
  <c r="CL403" i="80" s="1"/>
  <c r="EP210" i="79"/>
  <c r="BV226" i="79"/>
  <c r="AH66" i="80"/>
  <c r="EH96" i="79"/>
  <c r="O40" i="79"/>
  <c r="O385" i="79" s="1"/>
  <c r="DR210" i="80"/>
  <c r="G63" i="36"/>
  <c r="G64" i="36" s="1"/>
  <c r="G76" i="36" s="1"/>
  <c r="E64" i="36"/>
  <c r="C76" i="36" s="1"/>
  <c r="D76" i="36" s="1"/>
  <c r="AO176" i="79"/>
  <c r="AN176" i="79"/>
  <c r="AH97" i="80"/>
  <c r="DZ97" i="80"/>
  <c r="BL100" i="80"/>
  <c r="BF98" i="80"/>
  <c r="DX26" i="80"/>
  <c r="EP96" i="79"/>
  <c r="R58" i="79"/>
  <c r="EH123" i="79"/>
  <c r="AH270" i="79"/>
  <c r="AX141" i="80"/>
  <c r="DR141" i="80"/>
  <c r="FF141" i="80"/>
  <c r="AP112" i="80"/>
  <c r="CL112" i="80"/>
  <c r="EP112" i="80"/>
  <c r="BN212" i="80"/>
  <c r="EH212" i="80"/>
  <c r="EX214" i="80"/>
  <c r="DO44" i="80"/>
  <c r="DO389" i="80" s="1"/>
  <c r="EX181" i="80"/>
  <c r="FF29" i="80"/>
  <c r="FF30" i="80" s="1"/>
  <c r="FF403" i="80" s="1"/>
  <c r="AP255" i="80"/>
  <c r="DZ255" i="80"/>
  <c r="R195" i="80"/>
  <c r="Z180" i="79"/>
  <c r="CD212" i="79"/>
  <c r="R306" i="79"/>
  <c r="AH306" i="79"/>
  <c r="AH73" i="79"/>
  <c r="AP73" i="79"/>
  <c r="BV70" i="80"/>
  <c r="FF113" i="80"/>
  <c r="R254" i="80"/>
  <c r="CL254" i="80"/>
  <c r="CD254" i="79"/>
  <c r="BF254" i="79"/>
  <c r="AP213" i="79"/>
  <c r="EH213" i="79"/>
  <c r="CT195" i="79"/>
  <c r="CL69" i="80"/>
  <c r="FF253" i="80"/>
  <c r="Z96" i="79"/>
  <c r="AV215" i="79"/>
  <c r="R268" i="79"/>
  <c r="DJ242" i="79"/>
  <c r="DJ230" i="79"/>
  <c r="AP92" i="79"/>
  <c r="EH250" i="79"/>
  <c r="EX250" i="79"/>
  <c r="DZ25" i="79"/>
  <c r="DZ401" i="79" s="1"/>
  <c r="CY45" i="80"/>
  <c r="CY390" i="80" s="1"/>
  <c r="CY436" i="80" s="1"/>
  <c r="AH25" i="80"/>
  <c r="AH401" i="80" s="1"/>
  <c r="DR25" i="80"/>
  <c r="DR401" i="80" s="1"/>
  <c r="CD230" i="79"/>
  <c r="DB230" i="79"/>
  <c r="BN230" i="79"/>
  <c r="CT230" i="79"/>
  <c r="CD91" i="79"/>
  <c r="BF91" i="79"/>
  <c r="EX91" i="79"/>
  <c r="R96" i="79"/>
  <c r="W47" i="79"/>
  <c r="W392" i="79" s="1"/>
  <c r="EH231" i="79"/>
  <c r="EX231" i="79"/>
  <c r="EX107" i="79"/>
  <c r="BV107" i="79"/>
  <c r="CD109" i="80"/>
  <c r="DZ109" i="80"/>
  <c r="AH192" i="79"/>
  <c r="DO40" i="79"/>
  <c r="DO385" i="79" s="1"/>
  <c r="FN254" i="79"/>
  <c r="BF268" i="79"/>
  <c r="BV232" i="79"/>
  <c r="BN232" i="79"/>
  <c r="DB232" i="79"/>
  <c r="FN213" i="79"/>
  <c r="BV69" i="80"/>
  <c r="DR140" i="80"/>
  <c r="DZ140" i="80"/>
  <c r="AX252" i="80"/>
  <c r="EP252" i="80"/>
  <c r="R241" i="79"/>
  <c r="AH72" i="80"/>
  <c r="CT66" i="80"/>
  <c r="CT69" i="80"/>
  <c r="AP96" i="79"/>
  <c r="BS42" i="79"/>
  <c r="BS387" i="79" s="1"/>
  <c r="CQ44" i="79"/>
  <c r="CQ389" i="79" s="1"/>
  <c r="FN109" i="79"/>
  <c r="EX89" i="79"/>
  <c r="BN231" i="80"/>
  <c r="EU43" i="80"/>
  <c r="EU388" i="80" s="1"/>
  <c r="EU44" i="80"/>
  <c r="EU389" i="80" s="1"/>
  <c r="R231" i="80"/>
  <c r="BF231" i="80"/>
  <c r="DZ231" i="80"/>
  <c r="EX210" i="80"/>
  <c r="FN24" i="79"/>
  <c r="FN400" i="79" s="1"/>
  <c r="Z16" i="79"/>
  <c r="Z410" i="79" s="1"/>
  <c r="Z426" i="79" s="1"/>
  <c r="CT16" i="79"/>
  <c r="CT410" i="79" s="1"/>
  <c r="CT426" i="79" s="1"/>
  <c r="EP16" i="79"/>
  <c r="EP410" i="79" s="1"/>
  <c r="EP426" i="79" s="1"/>
  <c r="BC41" i="80"/>
  <c r="BC386" i="80" s="1"/>
  <c r="DW41" i="80"/>
  <c r="DW386" i="80" s="1"/>
  <c r="Z22" i="80"/>
  <c r="Z398" i="80" s="1"/>
  <c r="BV22" i="80"/>
  <c r="BV398" i="80" s="1"/>
  <c r="FC38" i="79"/>
  <c r="BN96" i="80"/>
  <c r="EH96" i="80"/>
  <c r="FF96" i="80"/>
  <c r="Y100" i="80"/>
  <c r="X176" i="79"/>
  <c r="Y176" i="79"/>
  <c r="EX295" i="80"/>
  <c r="DB97" i="80"/>
  <c r="CD212" i="80"/>
  <c r="CL243" i="79"/>
  <c r="BV123" i="79"/>
  <c r="DZ306" i="79"/>
  <c r="FF226" i="79"/>
  <c r="AN143" i="80"/>
  <c r="CT213" i="79"/>
  <c r="EX195" i="79"/>
  <c r="AH200" i="80"/>
  <c r="EX25" i="80"/>
  <c r="EX401" i="80" s="1"/>
  <c r="BN67" i="79"/>
  <c r="R305" i="79"/>
  <c r="BF96" i="79"/>
  <c r="DB92" i="79"/>
  <c r="EE41" i="79"/>
  <c r="EE386" i="79" s="1"/>
  <c r="FK41" i="79"/>
  <c r="FK386" i="79" s="1"/>
  <c r="DZ201" i="80"/>
  <c r="CL212" i="79"/>
  <c r="CA41" i="79"/>
  <c r="CA386" i="79" s="1"/>
  <c r="DZ231" i="79"/>
  <c r="EX199" i="80"/>
  <c r="FC41" i="80"/>
  <c r="FC386" i="80" s="1"/>
  <c r="Z73" i="80"/>
  <c r="FF22" i="80"/>
  <c r="FF398" i="80" s="1"/>
  <c r="EN100" i="80"/>
  <c r="FF18" i="80"/>
  <c r="FF412" i="80" s="1"/>
  <c r="FF428" i="80" s="1"/>
  <c r="R375" i="79"/>
  <c r="AH96" i="80"/>
  <c r="EP96" i="80"/>
  <c r="AO100" i="80"/>
  <c r="DW37" i="80"/>
  <c r="DW382" i="80" s="1"/>
  <c r="E11" i="36"/>
  <c r="F41" i="36"/>
  <c r="H41" i="36"/>
  <c r="G41" i="36"/>
  <c r="E41" i="36"/>
  <c r="DY301" i="79"/>
  <c r="DY302" i="79" s="1"/>
  <c r="DX301" i="79"/>
  <c r="DX302" i="79" s="1"/>
  <c r="DW302" i="79"/>
  <c r="DW315" i="79" s="1"/>
  <c r="DW331" i="79" s="1"/>
  <c r="FM301" i="79"/>
  <c r="FM302" i="79" s="1"/>
  <c r="FK302" i="79"/>
  <c r="FK315" i="79" s="1"/>
  <c r="FK331" i="79" s="1"/>
  <c r="FL301" i="79"/>
  <c r="FL302" i="79" s="1"/>
  <c r="EE46" i="80"/>
  <c r="EE391" i="80" s="1"/>
  <c r="EE437" i="80" s="1"/>
  <c r="AM39" i="79"/>
  <c r="X26" i="79"/>
  <c r="DZ214" i="80"/>
  <c r="R65" i="35"/>
  <c r="R87" i="35" s="1"/>
  <c r="Q65" i="35"/>
  <c r="D65" i="35"/>
  <c r="EE45" i="80"/>
  <c r="EE390" i="80" s="1"/>
  <c r="EE436" i="80" s="1"/>
  <c r="AU487" i="79"/>
  <c r="AU488" i="79" s="1"/>
  <c r="AU489" i="79" s="1"/>
  <c r="AU466" i="79" s="1"/>
  <c r="AU301" i="79" s="1"/>
  <c r="AU481" i="79"/>
  <c r="AU484" i="79" s="1"/>
  <c r="AU465" i="79" s="1"/>
  <c r="AU191" i="79" s="1"/>
  <c r="AU196" i="79" s="1"/>
  <c r="AU84" i="79" s="1"/>
  <c r="CD96" i="79"/>
  <c r="FE215" i="79"/>
  <c r="CB26" i="80"/>
  <c r="BM26" i="80"/>
  <c r="CK215" i="80"/>
  <c r="Q374" i="80"/>
  <c r="DO37" i="80"/>
  <c r="DO382" i="80" s="1"/>
  <c r="DO38" i="80"/>
  <c r="DO383" i="80" s="1"/>
  <c r="DO434" i="80" s="1"/>
  <c r="EE48" i="80"/>
  <c r="EE393" i="80" s="1"/>
  <c r="EE43" i="80"/>
  <c r="EE388" i="80" s="1"/>
  <c r="EW26" i="80"/>
  <c r="AV30" i="80"/>
  <c r="AV403" i="80" s="1"/>
  <c r="AX29" i="80"/>
  <c r="AX30" i="80" s="1"/>
  <c r="AX403" i="80" s="1"/>
  <c r="DR29" i="80"/>
  <c r="DR30" i="80" s="1"/>
  <c r="DR403" i="80" s="1"/>
  <c r="D59" i="35"/>
  <c r="DH215" i="80"/>
  <c r="R199" i="80"/>
  <c r="Z199" i="80"/>
  <c r="FF199" i="80"/>
  <c r="DZ199" i="80"/>
  <c r="AW202" i="80"/>
  <c r="EF202" i="80"/>
  <c r="AX96" i="79"/>
  <c r="BC45" i="79"/>
  <c r="EU42" i="79"/>
  <c r="EU387" i="79" s="1"/>
  <c r="EU43" i="79"/>
  <c r="EU388" i="79" s="1"/>
  <c r="CI39" i="79"/>
  <c r="CI47" i="79"/>
  <c r="CI392" i="79" s="1"/>
  <c r="CL23" i="79"/>
  <c r="CL399" i="79" s="1"/>
  <c r="BV23" i="79"/>
  <c r="BV399" i="79" s="1"/>
  <c r="BF23" i="79"/>
  <c r="BF399" i="79" s="1"/>
  <c r="CZ26" i="79"/>
  <c r="CT305" i="79"/>
  <c r="AH177" i="79"/>
  <c r="R177" i="79"/>
  <c r="AX177" i="79"/>
  <c r="DR87" i="79"/>
  <c r="BU202" i="80"/>
  <c r="DA215" i="80"/>
  <c r="DJ96" i="79"/>
  <c r="EW26" i="79"/>
  <c r="EX25" i="79"/>
  <c r="EX401" i="79" s="1"/>
  <c r="EH25" i="79"/>
  <c r="EH401" i="79" s="1"/>
  <c r="DR25" i="79"/>
  <c r="DR401" i="79" s="1"/>
  <c r="CQ42" i="80"/>
  <c r="CQ387" i="80" s="1"/>
  <c r="CQ37" i="80"/>
  <c r="CQ382" i="80" s="1"/>
  <c r="CY37" i="80"/>
  <c r="CY382" i="80" s="1"/>
  <c r="CY38" i="80"/>
  <c r="CY383" i="80" s="1"/>
  <c r="CY434" i="80" s="1"/>
  <c r="DA26" i="80"/>
  <c r="AP25" i="80"/>
  <c r="AP401" i="80" s="1"/>
  <c r="DJ25" i="80"/>
  <c r="DJ401" i="80" s="1"/>
  <c r="CR215" i="80"/>
  <c r="R373" i="79"/>
  <c r="O481" i="79"/>
  <c r="O484" i="79" s="1"/>
  <c r="O465" i="79" s="1"/>
  <c r="O191" i="79" s="1"/>
  <c r="O487" i="79"/>
  <c r="O488" i="79" s="1"/>
  <c r="O489" i="79" s="1"/>
  <c r="O466" i="79" s="1"/>
  <c r="O301" i="79" s="1"/>
  <c r="Y187" i="79"/>
  <c r="X187" i="79"/>
  <c r="CL96" i="79"/>
  <c r="W45" i="79"/>
  <c r="BK43" i="79"/>
  <c r="BK388" i="79" s="1"/>
  <c r="BK44" i="79"/>
  <c r="BK389" i="79" s="1"/>
  <c r="CY39" i="79"/>
  <c r="CY45" i="79"/>
  <c r="DX215" i="79"/>
  <c r="FD143" i="79"/>
  <c r="AU44" i="79"/>
  <c r="AU389" i="79" s="1"/>
  <c r="CJ26" i="79"/>
  <c r="DA26" i="79"/>
  <c r="DG41" i="79"/>
  <c r="DG386" i="79" s="1"/>
  <c r="DG44" i="79"/>
  <c r="DG389" i="79" s="1"/>
  <c r="CB26" i="79"/>
  <c r="CS26" i="79"/>
  <c r="DO48" i="79"/>
  <c r="DO393" i="79" s="1"/>
  <c r="DO41" i="79"/>
  <c r="DO386" i="79" s="1"/>
  <c r="EE42" i="79"/>
  <c r="EE387" i="79" s="1"/>
  <c r="EE45" i="79"/>
  <c r="FK39" i="79"/>
  <c r="FK43" i="79"/>
  <c r="FK388" i="79" s="1"/>
  <c r="CA48" i="80"/>
  <c r="CA393" i="80" s="1"/>
  <c r="CA39" i="80"/>
  <c r="CA384" i="80" s="1"/>
  <c r="CA435" i="80" s="1"/>
  <c r="EG26" i="80"/>
  <c r="R307" i="80"/>
  <c r="CZ143" i="80"/>
  <c r="EG143" i="80"/>
  <c r="FL215" i="80"/>
  <c r="R372" i="80"/>
  <c r="DJ210" i="79"/>
  <c r="AO215" i="79"/>
  <c r="FD215" i="79"/>
  <c r="CJ215" i="79"/>
  <c r="DA215" i="79"/>
  <c r="CR215" i="79"/>
  <c r="Q202" i="80"/>
  <c r="DB241" i="79"/>
  <c r="CS143" i="80"/>
  <c r="Q53" i="35"/>
  <c r="CI489" i="79"/>
  <c r="CI466" i="79" s="1"/>
  <c r="CI301" i="79" s="1"/>
  <c r="CT96" i="79"/>
  <c r="O43" i="79"/>
  <c r="O388" i="79" s="1"/>
  <c r="O44" i="79"/>
  <c r="O389" i="79" s="1"/>
  <c r="AE44" i="79"/>
  <c r="AE389" i="79" s="1"/>
  <c r="BS46" i="79"/>
  <c r="EM45" i="79"/>
  <c r="EM44" i="79"/>
  <c r="EM389" i="79" s="1"/>
  <c r="CA48" i="79"/>
  <c r="CA393" i="79" s="1"/>
  <c r="CQ41" i="79"/>
  <c r="CQ386" i="79" s="1"/>
  <c r="FC45" i="80"/>
  <c r="FC390" i="80" s="1"/>
  <c r="FC436" i="80" s="1"/>
  <c r="FC37" i="80"/>
  <c r="FC382" i="80" s="1"/>
  <c r="DJ210" i="80"/>
  <c r="BF210" i="80"/>
  <c r="AF215" i="80"/>
  <c r="BU215" i="80"/>
  <c r="EF215" i="80"/>
  <c r="FM215" i="80"/>
  <c r="EX29" i="80"/>
  <c r="EX30" i="80" s="1"/>
  <c r="EX403" i="80" s="1"/>
  <c r="AM489" i="79"/>
  <c r="AM466" i="79" s="1"/>
  <c r="AM301" i="79" s="1"/>
  <c r="DJ29" i="80"/>
  <c r="DJ30" i="80" s="1"/>
  <c r="DJ403" i="80" s="1"/>
  <c r="BM202" i="80"/>
  <c r="DI191" i="79"/>
  <c r="DI196" i="79" s="1"/>
  <c r="DH191" i="79"/>
  <c r="DH196" i="79" s="1"/>
  <c r="DG196" i="79"/>
  <c r="DG84" i="79" s="1"/>
  <c r="CC26" i="79"/>
  <c r="FC43" i="79"/>
  <c r="FC388" i="79" s="1"/>
  <c r="DW43" i="79"/>
  <c r="DW388" i="79" s="1"/>
  <c r="E64" i="35"/>
  <c r="E65" i="35" s="1"/>
  <c r="E87" i="35" s="1"/>
  <c r="E389" i="85" s="1"/>
  <c r="P373" i="80"/>
  <c r="CS191" i="79"/>
  <c r="CS196" i="79" s="1"/>
  <c r="FL215" i="79"/>
  <c r="CR30" i="80"/>
  <c r="CR403" i="80" s="1"/>
  <c r="CT29" i="80"/>
  <c r="CT30" i="80" s="1"/>
  <c r="CT403" i="80" s="1"/>
  <c r="BN58" i="79"/>
  <c r="FF58" i="79"/>
  <c r="AH141" i="80"/>
  <c r="BF141" i="80"/>
  <c r="AH268" i="80"/>
  <c r="DB268" i="80"/>
  <c r="FL26" i="80"/>
  <c r="E15" i="32"/>
  <c r="DO47" i="80"/>
  <c r="DO392" i="80" s="1"/>
  <c r="DO48" i="80"/>
  <c r="DO393" i="80" s="1"/>
  <c r="EE42" i="80"/>
  <c r="EE387" i="80" s="1"/>
  <c r="EE41" i="80"/>
  <c r="EE386" i="80" s="1"/>
  <c r="DJ181" i="80"/>
  <c r="FN181" i="80"/>
  <c r="AH182" i="80"/>
  <c r="D15" i="32"/>
  <c r="DX30" i="80"/>
  <c r="DX403" i="80" s="1"/>
  <c r="DZ29" i="80"/>
  <c r="DZ30" i="80" s="1"/>
  <c r="DZ403" i="80" s="1"/>
  <c r="AV26" i="80"/>
  <c r="CT199" i="80"/>
  <c r="EG202" i="80"/>
  <c r="DZ96" i="79"/>
  <c r="BC43" i="79"/>
  <c r="BC388" i="79" s="1"/>
  <c r="BC44" i="79"/>
  <c r="BC389" i="79" s="1"/>
  <c r="EU39" i="79"/>
  <c r="CI46" i="79"/>
  <c r="CI45" i="79"/>
  <c r="R23" i="79"/>
  <c r="R399" i="79" s="1"/>
  <c r="DB23" i="79"/>
  <c r="DB399" i="79" s="1"/>
  <c r="DW48" i="79"/>
  <c r="DW393" i="79" s="1"/>
  <c r="FC48" i="79"/>
  <c r="FC393" i="79" s="1"/>
  <c r="CL29" i="79"/>
  <c r="CL30" i="79" s="1"/>
  <c r="FM100" i="79"/>
  <c r="BM26" i="79"/>
  <c r="CK26" i="79"/>
  <c r="EO215" i="79"/>
  <c r="Q143" i="80"/>
  <c r="FF25" i="79"/>
  <c r="FF401" i="79" s="1"/>
  <c r="AX25" i="79"/>
  <c r="AX401" i="79" s="1"/>
  <c r="AH25" i="79"/>
  <c r="AH401" i="79" s="1"/>
  <c r="FN25" i="79"/>
  <c r="FN401" i="79" s="1"/>
  <c r="CQ44" i="80"/>
  <c r="CQ389" i="80" s="1"/>
  <c r="CQ47" i="80"/>
  <c r="CQ392" i="80" s="1"/>
  <c r="CY47" i="80"/>
  <c r="CY392" i="80" s="1"/>
  <c r="CY48" i="80"/>
  <c r="CY393" i="80" s="1"/>
  <c r="AX25" i="80"/>
  <c r="AX401" i="80" s="1"/>
  <c r="BE26" i="80"/>
  <c r="F125" i="70"/>
  <c r="F124" i="70"/>
  <c r="N474" i="80" s="1"/>
  <c r="N476" i="80" s="1"/>
  <c r="O476" i="80" s="1"/>
  <c r="O480" i="80" s="1"/>
  <c r="FF96" i="79"/>
  <c r="W41" i="79"/>
  <c r="W386" i="79" s="1"/>
  <c r="BT26" i="79"/>
  <c r="AW26" i="79"/>
  <c r="BK42" i="79"/>
  <c r="BK387" i="79" s="1"/>
  <c r="EV26" i="79"/>
  <c r="CY46" i="79"/>
  <c r="CY43" i="79"/>
  <c r="CY388" i="79" s="1"/>
  <c r="CY489" i="79"/>
  <c r="CY466" i="79" s="1"/>
  <c r="CY301" i="79" s="1"/>
  <c r="BS489" i="79"/>
  <c r="BS466" i="79" s="1"/>
  <c r="BS301" i="79" s="1"/>
  <c r="EX96" i="79"/>
  <c r="AU48" i="79"/>
  <c r="AU393" i="79" s="1"/>
  <c r="DG45" i="79"/>
  <c r="DG42" i="79"/>
  <c r="DG387" i="79" s="1"/>
  <c r="DO44" i="79"/>
  <c r="DO389" i="79" s="1"/>
  <c r="EE44" i="79"/>
  <c r="EE389" i="79" s="1"/>
  <c r="EE43" i="79"/>
  <c r="EE388" i="79" s="1"/>
  <c r="FE26" i="79"/>
  <c r="FK42" i="79"/>
  <c r="FK387" i="79" s="1"/>
  <c r="CA42" i="80"/>
  <c r="CA387" i="80" s="1"/>
  <c r="CA47" i="80"/>
  <c r="CA392" i="80" s="1"/>
  <c r="DI215" i="80"/>
  <c r="DQ202" i="80"/>
  <c r="DP26" i="80"/>
  <c r="Y143" i="80"/>
  <c r="BU143" i="80"/>
  <c r="FM143" i="80"/>
  <c r="FN210" i="79"/>
  <c r="DZ210" i="79"/>
  <c r="X215" i="79"/>
  <c r="EW215" i="79"/>
  <c r="BD215" i="79"/>
  <c r="CS215" i="79"/>
  <c r="EG215" i="79"/>
  <c r="EP241" i="79"/>
  <c r="O41" i="79"/>
  <c r="O386" i="79" s="1"/>
  <c r="O42" i="79"/>
  <c r="O387" i="79" s="1"/>
  <c r="AE42" i="79"/>
  <c r="AE387" i="79" s="1"/>
  <c r="AE41" i="79"/>
  <c r="AE386" i="79" s="1"/>
  <c r="BS47" i="79"/>
  <c r="BS392" i="79" s="1"/>
  <c r="BS44" i="79"/>
  <c r="BS389" i="79" s="1"/>
  <c r="Y26" i="79"/>
  <c r="EM42" i="79"/>
  <c r="EM387" i="79" s="1"/>
  <c r="CA47" i="79"/>
  <c r="CA392" i="79" s="1"/>
  <c r="CA46" i="79"/>
  <c r="CQ45" i="79"/>
  <c r="CQ46" i="79"/>
  <c r="EP142" i="79"/>
  <c r="FC43" i="80"/>
  <c r="FC388" i="80" s="1"/>
  <c r="FC48" i="80"/>
  <c r="FC393" i="80" s="1"/>
  <c r="EP210" i="80"/>
  <c r="P215" i="80"/>
  <c r="AW215" i="80"/>
  <c r="CC215" i="80"/>
  <c r="EG215" i="80"/>
  <c r="DW39" i="79"/>
  <c r="FC39" i="79"/>
  <c r="AF202" i="80"/>
  <c r="FE143" i="80"/>
  <c r="AX210" i="79"/>
  <c r="FM191" i="79"/>
  <c r="FM196" i="79" s="1"/>
  <c r="FL191" i="79"/>
  <c r="FL196" i="79" s="1"/>
  <c r="EH181" i="80"/>
  <c r="Q31" i="35"/>
  <c r="Q25" i="35"/>
  <c r="S50" i="35"/>
  <c r="Q19" i="35"/>
  <c r="Q33" i="35"/>
  <c r="Q71" i="35"/>
  <c r="Q34" i="35"/>
  <c r="Q72" i="35"/>
  <c r="Q36" i="35"/>
  <c r="Q26" i="35"/>
  <c r="Q30" i="35"/>
  <c r="Q85" i="35"/>
  <c r="Q69" i="35"/>
  <c r="Q29" i="35"/>
  <c r="E56" i="36"/>
  <c r="C75" i="36" s="1"/>
  <c r="D75" i="36" s="1"/>
  <c r="G53" i="36"/>
  <c r="G56" i="36" s="1"/>
  <c r="EX23" i="79"/>
  <c r="EX399" i="79" s="1"/>
  <c r="AN30" i="80"/>
  <c r="AN403" i="80" s="1"/>
  <c r="AP29" i="80"/>
  <c r="AP30" i="80" s="1"/>
  <c r="AP403" i="80" s="1"/>
  <c r="W39" i="79"/>
  <c r="BK39" i="79"/>
  <c r="FD26" i="79"/>
  <c r="AH58" i="79"/>
  <c r="EE44" i="80"/>
  <c r="EE389" i="80" s="1"/>
  <c r="BC39" i="79"/>
  <c r="CD23" i="79"/>
  <c r="CD399" i="79" s="1"/>
  <c r="BN23" i="79"/>
  <c r="BN399" i="79" s="1"/>
  <c r="DQ26" i="79"/>
  <c r="CL305" i="79"/>
  <c r="CT177" i="79"/>
  <c r="AH87" i="79"/>
  <c r="DJ87" i="79"/>
  <c r="FC40" i="79"/>
  <c r="FC385" i="79" s="1"/>
  <c r="DW40" i="79"/>
  <c r="DW385" i="79" s="1"/>
  <c r="Q371" i="79"/>
  <c r="Q26" i="80"/>
  <c r="DJ25" i="79"/>
  <c r="DJ401" i="79" s="1"/>
  <c r="EP25" i="79"/>
  <c r="EP401" i="79" s="1"/>
  <c r="CQ46" i="80"/>
  <c r="CQ391" i="80" s="1"/>
  <c r="CQ437" i="80" s="1"/>
  <c r="CQ43" i="80"/>
  <c r="CQ388" i="80" s="1"/>
  <c r="CY43" i="80"/>
  <c r="CY388" i="80" s="1"/>
  <c r="CY44" i="80"/>
  <c r="CY389" i="80" s="1"/>
  <c r="CZ26" i="80"/>
  <c r="BV25" i="80"/>
  <c r="BV401" i="80" s="1"/>
  <c r="CL25" i="80"/>
  <c r="CL401" i="80" s="1"/>
  <c r="EP25" i="80"/>
  <c r="EP401" i="80" s="1"/>
  <c r="AG26" i="80"/>
  <c r="DB29" i="80"/>
  <c r="DB30" i="80" s="1"/>
  <c r="DB403" i="80" s="1"/>
  <c r="W46" i="79"/>
  <c r="W40" i="79"/>
  <c r="W385" i="79" s="1"/>
  <c r="BK41" i="79"/>
  <c r="BK386" i="79" s="1"/>
  <c r="CR26" i="79"/>
  <c r="AE481" i="80"/>
  <c r="AE484" i="80" s="1"/>
  <c r="AE465" i="80" s="1"/>
  <c r="AE191" i="80" s="1"/>
  <c r="AE487" i="80"/>
  <c r="AE488" i="80" s="1"/>
  <c r="AE489" i="80" s="1"/>
  <c r="AE466" i="80" s="1"/>
  <c r="AE301" i="80" s="1"/>
  <c r="BU26" i="79"/>
  <c r="BC481" i="79"/>
  <c r="BC484" i="79" s="1"/>
  <c r="BC465" i="79" s="1"/>
  <c r="BC191" i="79" s="1"/>
  <c r="BC487" i="79"/>
  <c r="BC488" i="79" s="1"/>
  <c r="BC489" i="79" s="1"/>
  <c r="BC466" i="79" s="1"/>
  <c r="BC301" i="79" s="1"/>
  <c r="AU46" i="79"/>
  <c r="AU45" i="79"/>
  <c r="DG43" i="79"/>
  <c r="DG388" i="79" s="1"/>
  <c r="DO46" i="79"/>
  <c r="EE40" i="79"/>
  <c r="EE385" i="79" s="1"/>
  <c r="EE37" i="79"/>
  <c r="EE382" i="79" s="1"/>
  <c r="DP26" i="79"/>
  <c r="CL268" i="79"/>
  <c r="FK46" i="79"/>
  <c r="FK40" i="79"/>
  <c r="FK385" i="79" s="1"/>
  <c r="AF26" i="80"/>
  <c r="CA37" i="80"/>
  <c r="CA382" i="80" s="1"/>
  <c r="CA43" i="80"/>
  <c r="CA388" i="80" s="1"/>
  <c r="CS215" i="80"/>
  <c r="BF307" i="80"/>
  <c r="CJ143" i="80"/>
  <c r="DQ143" i="80"/>
  <c r="EN143" i="80"/>
  <c r="P372" i="80"/>
  <c r="CI37" i="80"/>
  <c r="CI382" i="80" s="1"/>
  <c r="CI38" i="80"/>
  <c r="CI383" i="80" s="1"/>
  <c r="CI434" i="80" s="1"/>
  <c r="CI40" i="80"/>
  <c r="CI385" i="80" s="1"/>
  <c r="CI39" i="80"/>
  <c r="CI384" i="80" s="1"/>
  <c r="CI435" i="80" s="1"/>
  <c r="CI42" i="80"/>
  <c r="CI387" i="80" s="1"/>
  <c r="CI41" i="80"/>
  <c r="CI386" i="80" s="1"/>
  <c r="CI44" i="80"/>
  <c r="CI389" i="80" s="1"/>
  <c r="CI43" i="80"/>
  <c r="CI388" i="80" s="1"/>
  <c r="CI46" i="80"/>
  <c r="CI391" i="80" s="1"/>
  <c r="CI437" i="80" s="1"/>
  <c r="CI45" i="80"/>
  <c r="CI390" i="80" s="1"/>
  <c r="CI436" i="80" s="1"/>
  <c r="CI48" i="80"/>
  <c r="CI393" i="80" s="1"/>
  <c r="CI47" i="80"/>
  <c r="CI392" i="80" s="1"/>
  <c r="BN210" i="79"/>
  <c r="FF210" i="79"/>
  <c r="CZ215" i="79"/>
  <c r="BM215" i="79"/>
  <c r="BT215" i="79"/>
  <c r="DP215" i="79"/>
  <c r="BL215" i="80"/>
  <c r="CJ26" i="80"/>
  <c r="BS39" i="79"/>
  <c r="BS40" i="79"/>
  <c r="BS385" i="79" s="1"/>
  <c r="BD26" i="79"/>
  <c r="EM41" i="79"/>
  <c r="EM386" i="79" s="1"/>
  <c r="CA45" i="79"/>
  <c r="CA42" i="79"/>
  <c r="CA387" i="79" s="1"/>
  <c r="CQ42" i="79"/>
  <c r="CQ387" i="79" s="1"/>
  <c r="FC47" i="80"/>
  <c r="FC392" i="80" s="1"/>
  <c r="FC44" i="80"/>
  <c r="FC389" i="80" s="1"/>
  <c r="CL210" i="80"/>
  <c r="AG215" i="80"/>
  <c r="AO215" i="80"/>
  <c r="DY215" i="80"/>
  <c r="EW215" i="80"/>
  <c r="P374" i="80"/>
  <c r="AG191" i="79"/>
  <c r="AG196" i="79" s="1"/>
  <c r="AF191" i="79"/>
  <c r="AE196" i="79"/>
  <c r="AE84" i="79" s="1"/>
  <c r="BT191" i="79"/>
  <c r="BT196" i="79" s="1"/>
  <c r="BE215" i="79"/>
  <c r="FK196" i="79"/>
  <c r="FK84" i="79" s="1"/>
  <c r="FE202" i="80"/>
  <c r="BT143" i="80"/>
  <c r="DJ268" i="80"/>
  <c r="EE40" i="80"/>
  <c r="EE385" i="80" s="1"/>
  <c r="EE47" i="80"/>
  <c r="EE392" i="80" s="1"/>
  <c r="EH29" i="79"/>
  <c r="EH30" i="79" s="1"/>
  <c r="P370" i="80"/>
  <c r="J22" i="77"/>
  <c r="R25" i="35"/>
  <c r="R31" i="35"/>
  <c r="R26" i="35"/>
  <c r="R33" i="35"/>
  <c r="R34" i="35"/>
  <c r="R72" i="35"/>
  <c r="R29" i="35"/>
  <c r="R69" i="35"/>
  <c r="R71" i="35"/>
  <c r="R85" i="35"/>
  <c r="R19" i="35"/>
  <c r="R36" i="35"/>
  <c r="R30" i="35"/>
  <c r="CL199" i="80"/>
  <c r="DJ199" i="80"/>
  <c r="FM202" i="80"/>
  <c r="DY191" i="79"/>
  <c r="DY196" i="79" s="1"/>
  <c r="DX191" i="79"/>
  <c r="DX196" i="79" s="1"/>
  <c r="P26" i="79"/>
  <c r="EU40" i="79"/>
  <c r="EU385" i="79" s="1"/>
  <c r="CT23" i="79"/>
  <c r="CT399" i="79" s="1"/>
  <c r="BN305" i="79"/>
  <c r="FF305" i="79"/>
  <c r="AP177" i="79"/>
  <c r="DJ177" i="79"/>
  <c r="CL113" i="80"/>
  <c r="FN23" i="80"/>
  <c r="FN399" i="80" s="1"/>
  <c r="BK481" i="79"/>
  <c r="BK484" i="79" s="1"/>
  <c r="BK465" i="79" s="1"/>
  <c r="BK191" i="79" s="1"/>
  <c r="BK487" i="79"/>
  <c r="BK488" i="79" s="1"/>
  <c r="BK489" i="79" s="1"/>
  <c r="BK466" i="79" s="1"/>
  <c r="BK301" i="79" s="1"/>
  <c r="EF26" i="79"/>
  <c r="EO26" i="79"/>
  <c r="BF25" i="79"/>
  <c r="BF401" i="79" s="1"/>
  <c r="AP25" i="79"/>
  <c r="AP401" i="79" s="1"/>
  <c r="CQ40" i="80"/>
  <c r="CQ385" i="80" s="1"/>
  <c r="CQ41" i="80"/>
  <c r="CQ386" i="80" s="1"/>
  <c r="CY41" i="80"/>
  <c r="CY386" i="80" s="1"/>
  <c r="CY42" i="80"/>
  <c r="CY387" i="80" s="1"/>
  <c r="R25" i="80"/>
  <c r="R401" i="80" s="1"/>
  <c r="FN25" i="80"/>
  <c r="FN401" i="80" s="1"/>
  <c r="X26" i="80"/>
  <c r="DY26" i="80"/>
  <c r="AW215" i="79"/>
  <c r="P215" i="79"/>
  <c r="W48" i="79"/>
  <c r="W393" i="79" s="1"/>
  <c r="W42" i="79"/>
  <c r="W387" i="79" s="1"/>
  <c r="BK47" i="79"/>
  <c r="BK392" i="79" s="1"/>
  <c r="BK48" i="79"/>
  <c r="BK393" i="79" s="1"/>
  <c r="CY48" i="79"/>
  <c r="CY393" i="79" s="1"/>
  <c r="DI26" i="79"/>
  <c r="FM26" i="79"/>
  <c r="DP202" i="80"/>
  <c r="AV187" i="79"/>
  <c r="AW187" i="79"/>
  <c r="AU40" i="79"/>
  <c r="AU385" i="79" s="1"/>
  <c r="AU43" i="79"/>
  <c r="AU388" i="79" s="1"/>
  <c r="DG48" i="79"/>
  <c r="DG393" i="79" s="1"/>
  <c r="DO47" i="79"/>
  <c r="DO392" i="79" s="1"/>
  <c r="DO42" i="79"/>
  <c r="DO387" i="79" s="1"/>
  <c r="EE46" i="79"/>
  <c r="EE38" i="79"/>
  <c r="DZ268" i="79"/>
  <c r="DB268" i="79"/>
  <c r="FK47" i="79"/>
  <c r="FK392" i="79" s="1"/>
  <c r="FK45" i="79"/>
  <c r="AW26" i="80"/>
  <c r="BL26" i="80"/>
  <c r="CA46" i="80"/>
  <c r="CA391" i="80" s="1"/>
  <c r="CA437" i="80" s="1"/>
  <c r="CA41" i="80"/>
  <c r="CA386" i="80" s="1"/>
  <c r="FE26" i="80"/>
  <c r="AX307" i="80"/>
  <c r="CD307" i="80"/>
  <c r="DR307" i="80"/>
  <c r="FN140" i="80"/>
  <c r="CK143" i="80"/>
  <c r="DX143" i="80"/>
  <c r="EO143" i="80"/>
  <c r="BD30" i="80"/>
  <c r="BD403" i="80" s="1"/>
  <c r="BF29" i="80"/>
  <c r="BF30" i="80" s="1"/>
  <c r="BF403" i="80" s="1"/>
  <c r="DR210" i="79"/>
  <c r="Y215" i="79"/>
  <c r="AG215" i="79"/>
  <c r="BU215" i="79"/>
  <c r="DQ215" i="79"/>
  <c r="EF215" i="79"/>
  <c r="AH241" i="79"/>
  <c r="FN241" i="79"/>
  <c r="DX202" i="80"/>
  <c r="DO489" i="79"/>
  <c r="DO466" i="79" s="1"/>
  <c r="DO301" i="79" s="1"/>
  <c r="O47" i="79"/>
  <c r="O392" i="79" s="1"/>
  <c r="O48" i="79"/>
  <c r="O393" i="79" s="1"/>
  <c r="AE48" i="79"/>
  <c r="AE393" i="79" s="1"/>
  <c r="AE47" i="79"/>
  <c r="AE392" i="79" s="1"/>
  <c r="BS45" i="79"/>
  <c r="EM47" i="79"/>
  <c r="EM392" i="79" s="1"/>
  <c r="EM48" i="79"/>
  <c r="EM393" i="79" s="1"/>
  <c r="CA39" i="79"/>
  <c r="CA40" i="79"/>
  <c r="CA385" i="79" s="1"/>
  <c r="CQ39" i="79"/>
  <c r="CQ40" i="79"/>
  <c r="CQ385" i="79" s="1"/>
  <c r="BE215" i="80"/>
  <c r="FC38" i="80"/>
  <c r="FC383" i="80" s="1"/>
  <c r="FC434" i="80" s="1"/>
  <c r="FC42" i="80"/>
  <c r="FC387" i="80" s="1"/>
  <c r="DB210" i="80"/>
  <c r="Q215" i="80"/>
  <c r="BM215" i="80"/>
  <c r="DP215" i="80"/>
  <c r="FE215" i="80"/>
  <c r="FN29" i="80"/>
  <c r="FN30" i="80" s="1"/>
  <c r="FN403" i="80" s="1"/>
  <c r="AE489" i="79"/>
  <c r="AE466" i="79" s="1"/>
  <c r="AE301" i="79" s="1"/>
  <c r="AX268" i="80"/>
  <c r="AV26" i="79"/>
  <c r="CD25" i="79"/>
  <c r="CD401" i="79" s="1"/>
  <c r="DG39" i="79"/>
  <c r="EE39" i="79"/>
  <c r="AN215" i="79"/>
  <c r="FM215" i="79"/>
  <c r="O39" i="79"/>
  <c r="AE39" i="79"/>
  <c r="EM39" i="79"/>
  <c r="CQ43" i="79"/>
  <c r="CQ388" i="79" s="1"/>
  <c r="EV202" i="80"/>
  <c r="CT58" i="79"/>
  <c r="Q373" i="80"/>
  <c r="X215" i="80"/>
  <c r="BV199" i="80"/>
  <c r="EP199" i="80"/>
  <c r="CR301" i="79"/>
  <c r="CR302" i="79" s="1"/>
  <c r="CS301" i="79"/>
  <c r="CS302" i="79" s="1"/>
  <c r="CQ302" i="79"/>
  <c r="CQ315" i="79" s="1"/>
  <c r="CQ331" i="79" s="1"/>
  <c r="Q374" i="79"/>
  <c r="EE39" i="80"/>
  <c r="EE384" i="80" s="1"/>
  <c r="EE435" i="80" s="1"/>
  <c r="R49" i="35"/>
  <c r="R53" i="35" s="1"/>
  <c r="R1" i="35"/>
  <c r="R3" i="35" s="1"/>
  <c r="R56" i="35" s="1"/>
  <c r="EN30" i="80"/>
  <c r="EN403" i="80" s="1"/>
  <c r="EP29" i="80"/>
  <c r="EP30" i="80" s="1"/>
  <c r="EP403" i="80" s="1"/>
  <c r="FK40" i="80"/>
  <c r="FK385" i="80" s="1"/>
  <c r="FK41" i="80"/>
  <c r="FK386" i="80" s="1"/>
  <c r="FK42" i="80"/>
  <c r="FK387" i="80" s="1"/>
  <c r="FK43" i="80"/>
  <c r="FK388" i="80" s="1"/>
  <c r="FK44" i="80"/>
  <c r="FK389" i="80" s="1"/>
  <c r="FK46" i="80"/>
  <c r="FK391" i="80" s="1"/>
  <c r="FK437" i="80" s="1"/>
  <c r="FK38" i="80"/>
  <c r="FK383" i="80" s="1"/>
  <c r="FK434" i="80" s="1"/>
  <c r="FK48" i="80"/>
  <c r="FK393" i="80" s="1"/>
  <c r="FK45" i="80"/>
  <c r="FK390" i="80" s="1"/>
  <c r="FK436" i="80" s="1"/>
  <c r="FK37" i="80"/>
  <c r="FK382" i="80" s="1"/>
  <c r="FK39" i="80"/>
  <c r="FK384" i="80" s="1"/>
  <c r="FK435" i="80" s="1"/>
  <c r="FK47" i="80"/>
  <c r="FK392" i="80" s="1"/>
  <c r="CD199" i="80"/>
  <c r="DB199" i="80"/>
  <c r="AN202" i="80"/>
  <c r="AN26" i="79"/>
  <c r="AP23" i="79"/>
  <c r="AP399" i="79" s="1"/>
  <c r="Z23" i="79"/>
  <c r="Z399" i="79" s="1"/>
  <c r="FF23" i="79"/>
  <c r="FF399" i="79" s="1"/>
  <c r="CL87" i="79"/>
  <c r="FC44" i="79"/>
  <c r="FC389" i="79" s="1"/>
  <c r="DW44" i="79"/>
  <c r="DW389" i="79" s="1"/>
  <c r="Z113" i="80"/>
  <c r="DJ113" i="80"/>
  <c r="FM26" i="80"/>
  <c r="AH29" i="80"/>
  <c r="AH30" i="80" s="1"/>
  <c r="AH403" i="80" s="1"/>
  <c r="DW196" i="79"/>
  <c r="DW84" i="79" s="1"/>
  <c r="AO26" i="79"/>
  <c r="DB25" i="79"/>
  <c r="DB401" i="79" s="1"/>
  <c r="CL25" i="79"/>
  <c r="CL401" i="79" s="1"/>
  <c r="CQ48" i="80"/>
  <c r="CQ393" i="80" s="1"/>
  <c r="CQ39" i="80"/>
  <c r="CQ384" i="80" s="1"/>
  <c r="CQ435" i="80" s="1"/>
  <c r="CY39" i="80"/>
  <c r="CY384" i="80" s="1"/>
  <c r="CY435" i="80" s="1"/>
  <c r="CY40" i="80"/>
  <c r="CY385" i="80" s="1"/>
  <c r="DI26" i="80"/>
  <c r="BN25" i="80"/>
  <c r="BN401" i="80" s="1"/>
  <c r="CD25" i="80"/>
  <c r="CD401" i="80" s="1"/>
  <c r="Y26" i="80"/>
  <c r="AG26" i="79"/>
  <c r="W43" i="79"/>
  <c r="W388" i="79" s="1"/>
  <c r="W44" i="79"/>
  <c r="W389" i="79" s="1"/>
  <c r="BK45" i="79"/>
  <c r="BK46" i="79"/>
  <c r="CY42" i="79"/>
  <c r="CY387" i="79" s="1"/>
  <c r="CY47" i="79"/>
  <c r="CY392" i="79" s="1"/>
  <c r="Q215" i="79"/>
  <c r="AU39" i="79"/>
  <c r="AU41" i="79"/>
  <c r="AU386" i="79" s="1"/>
  <c r="DG47" i="79"/>
  <c r="DG392" i="79" s="1"/>
  <c r="DG46" i="79"/>
  <c r="DY215" i="79"/>
  <c r="DO43" i="79"/>
  <c r="DO388" i="79" s="1"/>
  <c r="DO45" i="79"/>
  <c r="EE48" i="79"/>
  <c r="EE393" i="79" s="1"/>
  <c r="EE47" i="79"/>
  <c r="EE392" i="79" s="1"/>
  <c r="AP268" i="79"/>
  <c r="DR268" i="79"/>
  <c r="FK48" i="79"/>
  <c r="FK393" i="79" s="1"/>
  <c r="FK44" i="79"/>
  <c r="FK389" i="79" s="1"/>
  <c r="AV202" i="80"/>
  <c r="CC26" i="80"/>
  <c r="CA38" i="80"/>
  <c r="CA383" i="80" s="1"/>
  <c r="CA434" i="80" s="1"/>
  <c r="CA40" i="80"/>
  <c r="CA385" i="80" s="1"/>
  <c r="FD26" i="80"/>
  <c r="BV307" i="80"/>
  <c r="DJ307" i="80"/>
  <c r="EP307" i="80"/>
  <c r="EH140" i="80"/>
  <c r="DA143" i="80"/>
  <c r="DY143" i="80"/>
  <c r="FD143" i="80"/>
  <c r="R372" i="79"/>
  <c r="BF210" i="79"/>
  <c r="AF215" i="79"/>
  <c r="CC215" i="79"/>
  <c r="EV215" i="79"/>
  <c r="CK215" i="79"/>
  <c r="CB215" i="79"/>
  <c r="Z241" i="79"/>
  <c r="DJ241" i="79"/>
  <c r="CL241" i="79"/>
  <c r="S46" i="35"/>
  <c r="O45" i="79"/>
  <c r="O46" i="79"/>
  <c r="AE46" i="79"/>
  <c r="AE45" i="79"/>
  <c r="BS43" i="79"/>
  <c r="BS388" i="79" s="1"/>
  <c r="BS48" i="79"/>
  <c r="BS393" i="79" s="1"/>
  <c r="EM43" i="79"/>
  <c r="EM388" i="79" s="1"/>
  <c r="EM46" i="79"/>
  <c r="CA43" i="79"/>
  <c r="CA388" i="79" s="1"/>
  <c r="CQ47" i="79"/>
  <c r="CQ392" i="79" s="1"/>
  <c r="FC39" i="80"/>
  <c r="FC384" i="80" s="1"/>
  <c r="FC435" i="80" s="1"/>
  <c r="FC40" i="80"/>
  <c r="FC385" i="80" s="1"/>
  <c r="AX210" i="80"/>
  <c r="AP210" i="80"/>
  <c r="CT210" i="80"/>
  <c r="DZ210" i="80"/>
  <c r="AN215" i="80"/>
  <c r="CB215" i="80"/>
  <c r="EO215" i="80"/>
  <c r="EV215" i="80"/>
  <c r="AN191" i="79"/>
  <c r="AO191" i="79"/>
  <c r="DW42" i="79"/>
  <c r="DW387" i="79" s="1"/>
  <c r="G65" i="35" l="1"/>
  <c r="G53" i="35"/>
  <c r="G50" i="35"/>
  <c r="BV143" i="79"/>
  <c r="DB202" i="79"/>
  <c r="AU378" i="80"/>
  <c r="DB207" i="79"/>
  <c r="FN207" i="79"/>
  <c r="F87" i="35"/>
  <c r="F389" i="85" s="1"/>
  <c r="F269" i="136"/>
  <c r="G87" i="35"/>
  <c r="G389" i="85" s="1"/>
  <c r="G269" i="136"/>
  <c r="EH57" i="80"/>
  <c r="Z207" i="80"/>
  <c r="DR57" i="80"/>
  <c r="AP207" i="79"/>
  <c r="DJ207" i="79"/>
  <c r="DR207" i="79"/>
  <c r="AF373" i="79"/>
  <c r="BF207" i="80"/>
  <c r="DB143" i="79"/>
  <c r="EH207" i="79"/>
  <c r="FE373" i="79"/>
  <c r="EH143" i="79"/>
  <c r="FF143" i="79"/>
  <c r="BN207" i="79"/>
  <c r="AP143" i="79"/>
  <c r="CJ372" i="79"/>
  <c r="DJ143" i="79"/>
  <c r="DP372" i="79"/>
  <c r="DB57" i="80"/>
  <c r="CZ372" i="79"/>
  <c r="EN372" i="79"/>
  <c r="AH207" i="80"/>
  <c r="BN61" i="79"/>
  <c r="AH57" i="80"/>
  <c r="AX57" i="80"/>
  <c r="R57" i="80"/>
  <c r="BN202" i="79"/>
  <c r="EP57" i="80"/>
  <c r="Y373" i="79"/>
  <c r="AO373" i="79"/>
  <c r="CL59" i="79"/>
  <c r="BN57" i="80"/>
  <c r="EN373" i="79"/>
  <c r="BU373" i="79"/>
  <c r="AN373" i="79"/>
  <c r="BF57" i="80"/>
  <c r="CZ373" i="79"/>
  <c r="DP373" i="79"/>
  <c r="AG373" i="79"/>
  <c r="DH373" i="79"/>
  <c r="BV57" i="80"/>
  <c r="AV373" i="79"/>
  <c r="EG373" i="79"/>
  <c r="AW373" i="79"/>
  <c r="EW373" i="79"/>
  <c r="FD373" i="79"/>
  <c r="P373" i="79"/>
  <c r="DQ373" i="79"/>
  <c r="EF373" i="79"/>
  <c r="DR143" i="79"/>
  <c r="CK373" i="79"/>
  <c r="EV373" i="79"/>
  <c r="DA373" i="79"/>
  <c r="FL373" i="79"/>
  <c r="FF57" i="80"/>
  <c r="DY373" i="79"/>
  <c r="CR373" i="79"/>
  <c r="BD373" i="79"/>
  <c r="EO373" i="79"/>
  <c r="BM373" i="79"/>
  <c r="DX373" i="79"/>
  <c r="BT373" i="79"/>
  <c r="EX57" i="80"/>
  <c r="DI373" i="79"/>
  <c r="CC373" i="79"/>
  <c r="X373" i="79"/>
  <c r="CJ373" i="79"/>
  <c r="FN57" i="79"/>
  <c r="Q373" i="79"/>
  <c r="CS373" i="79"/>
  <c r="BL373" i="79"/>
  <c r="CT57" i="79"/>
  <c r="CT57" i="80"/>
  <c r="BE373" i="79"/>
  <c r="DZ57" i="79"/>
  <c r="FN57" i="80"/>
  <c r="J406" i="79"/>
  <c r="J450" i="79" s="1"/>
  <c r="CL57" i="80"/>
  <c r="BN57" i="79"/>
  <c r="AV372" i="79"/>
  <c r="X372" i="79"/>
  <c r="BL372" i="79"/>
  <c r="AP57" i="80"/>
  <c r="CB372" i="79"/>
  <c r="CR372" i="79"/>
  <c r="AN372" i="79"/>
  <c r="FL372" i="79"/>
  <c r="DH372" i="79"/>
  <c r="AF372" i="79"/>
  <c r="DX372" i="79"/>
  <c r="FD372" i="79"/>
  <c r="CT61" i="79"/>
  <c r="EV372" i="79"/>
  <c r="AP202" i="79"/>
  <c r="EF372" i="79"/>
  <c r="P372" i="79"/>
  <c r="BD372" i="79"/>
  <c r="BN207" i="80"/>
  <c r="EH202" i="79"/>
  <c r="DJ57" i="80"/>
  <c r="BV57" i="79"/>
  <c r="DZ57" i="80"/>
  <c r="AH57" i="79"/>
  <c r="EX57" i="79"/>
  <c r="EH57" i="79"/>
  <c r="AP57" i="79"/>
  <c r="FF57" i="79"/>
  <c r="CL57" i="79"/>
  <c r="AX57" i="79"/>
  <c r="DR57" i="79"/>
  <c r="Z57" i="79"/>
  <c r="DJ57" i="79"/>
  <c r="DB57" i="79"/>
  <c r="EP57" i="79"/>
  <c r="BF57" i="79"/>
  <c r="FN207" i="80"/>
  <c r="DR207" i="80"/>
  <c r="S50" i="82"/>
  <c r="Q19" i="82"/>
  <c r="Q21" i="82" s="1"/>
  <c r="Q22" i="82" s="1"/>
  <c r="Q30" i="82"/>
  <c r="S30" i="82" s="1"/>
  <c r="Q69" i="82"/>
  <c r="S69" i="82" s="1"/>
  <c r="Q34" i="82"/>
  <c r="S34" i="82" s="1"/>
  <c r="S72" i="82"/>
  <c r="Q25" i="82"/>
  <c r="S25" i="82" s="1"/>
  <c r="Q71" i="82"/>
  <c r="Q29" i="82"/>
  <c r="Q31" i="82"/>
  <c r="Q85" i="82"/>
  <c r="Q26" i="82"/>
  <c r="Q33" i="82"/>
  <c r="Q36" i="82"/>
  <c r="S36" i="82" s="1"/>
  <c r="H406" i="79"/>
  <c r="H450" i="79" s="1"/>
  <c r="W394" i="80"/>
  <c r="W413" i="80" s="1"/>
  <c r="W414" i="80" s="1"/>
  <c r="DW394" i="80"/>
  <c r="DW413" i="80" s="1"/>
  <c r="DW414" i="80" s="1"/>
  <c r="DO438" i="80"/>
  <c r="CA438" i="80"/>
  <c r="FC302" i="79"/>
  <c r="FC315" i="79" s="1"/>
  <c r="FC331" i="79" s="1"/>
  <c r="FD301" i="79"/>
  <c r="FD302" i="79" s="1"/>
  <c r="G84" i="79"/>
  <c r="G135" i="79" s="1"/>
  <c r="G161" i="79" s="1"/>
  <c r="G84" i="80"/>
  <c r="G135" i="80" s="1"/>
  <c r="G161" i="80" s="1"/>
  <c r="G135" i="13"/>
  <c r="G135" i="85" s="1"/>
  <c r="EM378" i="80"/>
  <c r="CQ378" i="80"/>
  <c r="CY378" i="80"/>
  <c r="CZ370" i="79"/>
  <c r="DH370" i="79"/>
  <c r="AN370" i="79"/>
  <c r="DP370" i="79"/>
  <c r="FD370" i="79"/>
  <c r="EN370" i="79"/>
  <c r="EV370" i="79"/>
  <c r="X370" i="79"/>
  <c r="BD370" i="79"/>
  <c r="EF370" i="79"/>
  <c r="CR370" i="79"/>
  <c r="BT370" i="79"/>
  <c r="P370" i="79"/>
  <c r="CB370" i="79"/>
  <c r="CJ370" i="79"/>
  <c r="DX370" i="79"/>
  <c r="BL370" i="79"/>
  <c r="FL370" i="79"/>
  <c r="AF370" i="79"/>
  <c r="DB60" i="80"/>
  <c r="BN143" i="79"/>
  <c r="BN374" i="79"/>
  <c r="CT374" i="79"/>
  <c r="BV374" i="79"/>
  <c r="BF143" i="79"/>
  <c r="BF374" i="79"/>
  <c r="Z100" i="79"/>
  <c r="EX374" i="79"/>
  <c r="FM370" i="79"/>
  <c r="AX374" i="80"/>
  <c r="FE370" i="79"/>
  <c r="DR374" i="80"/>
  <c r="CD374" i="80"/>
  <c r="R374" i="80"/>
  <c r="FN374" i="80"/>
  <c r="BN374" i="80"/>
  <c r="EX374" i="80"/>
  <c r="BV59" i="80"/>
  <c r="DJ374" i="80"/>
  <c r="BF374" i="80"/>
  <c r="DZ100" i="80"/>
  <c r="R100" i="80"/>
  <c r="FN100" i="79"/>
  <c r="CT374" i="80"/>
  <c r="AH374" i="80"/>
  <c r="BV374" i="80"/>
  <c r="AP374" i="80"/>
  <c r="Z374" i="80"/>
  <c r="EH374" i="80"/>
  <c r="FF374" i="80"/>
  <c r="DB374" i="80"/>
  <c r="EP374" i="80"/>
  <c r="CL374" i="80"/>
  <c r="S13" i="35"/>
  <c r="CJ374" i="79"/>
  <c r="DX374" i="79"/>
  <c r="AF374" i="79"/>
  <c r="CL374" i="79"/>
  <c r="EP59" i="80"/>
  <c r="DZ374" i="79"/>
  <c r="DH374" i="79"/>
  <c r="CZ374" i="79"/>
  <c r="CD374" i="79"/>
  <c r="FL374" i="79"/>
  <c r="DP374" i="79"/>
  <c r="R143" i="79"/>
  <c r="AH374" i="79"/>
  <c r="CB374" i="79"/>
  <c r="EN374" i="79"/>
  <c r="AX374" i="79"/>
  <c r="AN374" i="79"/>
  <c r="R374" i="79"/>
  <c r="DB374" i="79"/>
  <c r="EF374" i="79"/>
  <c r="DR374" i="79"/>
  <c r="CR374" i="79"/>
  <c r="EP374" i="79"/>
  <c r="X374" i="79"/>
  <c r="FF374" i="79"/>
  <c r="BL374" i="79"/>
  <c r="P374" i="79"/>
  <c r="FN374" i="79"/>
  <c r="EV374" i="79"/>
  <c r="AP374" i="79"/>
  <c r="FD374" i="79"/>
  <c r="DJ374" i="79"/>
  <c r="BD374" i="79"/>
  <c r="Z374" i="79"/>
  <c r="AV374" i="79"/>
  <c r="DR100" i="80"/>
  <c r="CD34" i="80"/>
  <c r="R21" i="35"/>
  <c r="R22" i="35" s="1"/>
  <c r="Z59" i="80"/>
  <c r="DQ405" i="80"/>
  <c r="DQ409" i="80" s="1"/>
  <c r="DB100" i="79"/>
  <c r="DQ425" i="80"/>
  <c r="Q21" i="35"/>
  <c r="Q22" i="35" s="1"/>
  <c r="Q84" i="35" s="1"/>
  <c r="BF187" i="79"/>
  <c r="Z143" i="79"/>
  <c r="AX60" i="79"/>
  <c r="CT59" i="80"/>
  <c r="BN176" i="79"/>
  <c r="BN59" i="80"/>
  <c r="DZ59" i="80"/>
  <c r="CL143" i="79"/>
  <c r="EH59" i="80"/>
  <c r="EH100" i="79"/>
  <c r="FF61" i="80"/>
  <c r="Y370" i="79"/>
  <c r="Y370" i="80"/>
  <c r="EG370" i="79"/>
  <c r="EG370" i="80"/>
  <c r="DY370" i="80"/>
  <c r="AH60" i="79"/>
  <c r="FF375" i="80"/>
  <c r="BE370" i="79"/>
  <c r="EW370" i="79"/>
  <c r="AO370" i="80"/>
  <c r="EO370" i="80"/>
  <c r="AX375" i="80"/>
  <c r="DQ370" i="79"/>
  <c r="CK370" i="79"/>
  <c r="AE378" i="80"/>
  <c r="EW370" i="80"/>
  <c r="CC370" i="80"/>
  <c r="CK370" i="80"/>
  <c r="AW370" i="80"/>
  <c r="CL59" i="80"/>
  <c r="AW370" i="79"/>
  <c r="BU370" i="80"/>
  <c r="BM370" i="80"/>
  <c r="DI370" i="79"/>
  <c r="DA370" i="79"/>
  <c r="AM378" i="80"/>
  <c r="R373" i="80"/>
  <c r="Q370" i="79"/>
  <c r="BU370" i="79"/>
  <c r="EX143" i="79"/>
  <c r="BE370" i="80"/>
  <c r="AX100" i="80"/>
  <c r="EO370" i="79"/>
  <c r="AG370" i="80"/>
  <c r="R375" i="80"/>
  <c r="DY370" i="79"/>
  <c r="DI370" i="80"/>
  <c r="AO370" i="79"/>
  <c r="AG370" i="79"/>
  <c r="Q370" i="80"/>
  <c r="FM370" i="80"/>
  <c r="CT100" i="79"/>
  <c r="DR62" i="79"/>
  <c r="BM370" i="79"/>
  <c r="BT371" i="80"/>
  <c r="FK378" i="80"/>
  <c r="CI378" i="80"/>
  <c r="DA370" i="80"/>
  <c r="CQ196" i="79"/>
  <c r="CQ84" i="79" s="1"/>
  <c r="CQ135" i="79" s="1"/>
  <c r="CC370" i="79"/>
  <c r="DQ370" i="80"/>
  <c r="CS370" i="80"/>
  <c r="AM438" i="80"/>
  <c r="BN180" i="79"/>
  <c r="BF176" i="79"/>
  <c r="FK394" i="80"/>
  <c r="FK413" i="80" s="1"/>
  <c r="FK414" i="80" s="1"/>
  <c r="BC394" i="80"/>
  <c r="BC413" i="80" s="1"/>
  <c r="BC414" i="80" s="1"/>
  <c r="FK438" i="80"/>
  <c r="FC438" i="80"/>
  <c r="EE394" i="80"/>
  <c r="EE413" i="80" s="1"/>
  <c r="EE414" i="80" s="1"/>
  <c r="BS438" i="80"/>
  <c r="EU438" i="80"/>
  <c r="BC438" i="80"/>
  <c r="DW438" i="80"/>
  <c r="AE394" i="80"/>
  <c r="AE413" i="80" s="1"/>
  <c r="AE414" i="80" s="1"/>
  <c r="AU394" i="80"/>
  <c r="AU413" i="80" s="1"/>
  <c r="AU414" i="80" s="1"/>
  <c r="AU438" i="80"/>
  <c r="Y406" i="80"/>
  <c r="AO406" i="80"/>
  <c r="BL406" i="80"/>
  <c r="BM406" i="80"/>
  <c r="BM450" i="80" s="1"/>
  <c r="EW406" i="80"/>
  <c r="BU406" i="80"/>
  <c r="CZ406" i="80"/>
  <c r="DA406" i="80"/>
  <c r="EF406" i="80"/>
  <c r="FC394" i="80"/>
  <c r="FC413" i="80" s="1"/>
  <c r="FC414" i="80" s="1"/>
  <c r="CY438" i="80"/>
  <c r="DG438" i="80"/>
  <c r="DG394" i="80"/>
  <c r="DG413" i="80" s="1"/>
  <c r="DG414" i="80" s="1"/>
  <c r="O394" i="80"/>
  <c r="O413" i="80" s="1"/>
  <c r="O414" i="80" s="1"/>
  <c r="P406" i="80"/>
  <c r="AF406" i="80"/>
  <c r="AW406" i="80"/>
  <c r="EV406" i="80"/>
  <c r="BT406" i="80"/>
  <c r="FE406" i="80"/>
  <c r="CC406" i="80"/>
  <c r="CC450" i="80" s="1"/>
  <c r="DI406" i="80"/>
  <c r="DI450" i="80" s="1"/>
  <c r="CI438" i="80"/>
  <c r="CY394" i="80"/>
  <c r="CY413" i="80" s="1"/>
  <c r="CY414" i="80" s="1"/>
  <c r="BS394" i="80"/>
  <c r="BS413" i="80" s="1"/>
  <c r="BS414" i="80" s="1"/>
  <c r="EE438" i="80"/>
  <c r="BK394" i="80"/>
  <c r="BK413" i="80" s="1"/>
  <c r="BK414" i="80" s="1"/>
  <c r="AE438" i="80"/>
  <c r="BK438" i="80"/>
  <c r="O438" i="80"/>
  <c r="EM438" i="80"/>
  <c r="H406" i="80"/>
  <c r="X406" i="80"/>
  <c r="BE406" i="80"/>
  <c r="FD406" i="80"/>
  <c r="FM406" i="80"/>
  <c r="CJ406" i="80"/>
  <c r="CK406" i="80"/>
  <c r="CI394" i="80"/>
  <c r="CI413" i="80" s="1"/>
  <c r="CI414" i="80" s="1"/>
  <c r="CA394" i="80"/>
  <c r="CA413" i="80" s="1"/>
  <c r="CA414" i="80" s="1"/>
  <c r="CQ394" i="80"/>
  <c r="CQ413" i="80" s="1"/>
  <c r="CQ414" i="80" s="1"/>
  <c r="DO394" i="80"/>
  <c r="DO413" i="80" s="1"/>
  <c r="DO414" i="80" s="1"/>
  <c r="CQ438" i="80"/>
  <c r="W438" i="80"/>
  <c r="EU394" i="80"/>
  <c r="EU413" i="80" s="1"/>
  <c r="EU414" i="80" s="1"/>
  <c r="AM394" i="80"/>
  <c r="AM413" i="80" s="1"/>
  <c r="AM414" i="80" s="1"/>
  <c r="EM394" i="80"/>
  <c r="EM413" i="80" s="1"/>
  <c r="EM414" i="80" s="1"/>
  <c r="I406" i="80"/>
  <c r="I450" i="80" s="1"/>
  <c r="Q406" i="80"/>
  <c r="EG406" i="80"/>
  <c r="FL406" i="80"/>
  <c r="EO406" i="80"/>
  <c r="EO450" i="80" s="1"/>
  <c r="DY406" i="80"/>
  <c r="C13" i="7"/>
  <c r="G322" i="85" s="1"/>
  <c r="G260" i="85"/>
  <c r="BF180" i="79"/>
  <c r="DR375" i="80"/>
  <c r="EX375" i="80"/>
  <c r="G421" i="79"/>
  <c r="CD59" i="80"/>
  <c r="EP375" i="80"/>
  <c r="FE372" i="80"/>
  <c r="CD373" i="80"/>
  <c r="Z370" i="80"/>
  <c r="DR370" i="80"/>
  <c r="DQ372" i="80"/>
  <c r="CL373" i="80"/>
  <c r="DZ373" i="80"/>
  <c r="BN370" i="80"/>
  <c r="CC372" i="80"/>
  <c r="FF373" i="80"/>
  <c r="BV370" i="80"/>
  <c r="FN370" i="80"/>
  <c r="AW372" i="80"/>
  <c r="EH373" i="80"/>
  <c r="BL371" i="80"/>
  <c r="BD371" i="80"/>
  <c r="EV371" i="80"/>
  <c r="FD371" i="80"/>
  <c r="CL370" i="80"/>
  <c r="AP370" i="80"/>
  <c r="EH370" i="80"/>
  <c r="CD370" i="80"/>
  <c r="DZ370" i="80"/>
  <c r="DY372" i="80"/>
  <c r="CS372" i="80"/>
  <c r="BU372" i="80"/>
  <c r="EO372" i="80"/>
  <c r="EG372" i="80"/>
  <c r="DB373" i="80"/>
  <c r="AP373" i="80"/>
  <c r="AH373" i="80"/>
  <c r="CT373" i="80"/>
  <c r="EP373" i="80"/>
  <c r="DB370" i="80"/>
  <c r="DJ370" i="80"/>
  <c r="AH370" i="80"/>
  <c r="CT370" i="80"/>
  <c r="EP370" i="80"/>
  <c r="AG372" i="80"/>
  <c r="EW372" i="80"/>
  <c r="CK372" i="80"/>
  <c r="AO372" i="80"/>
  <c r="Y372" i="80"/>
  <c r="Z373" i="80"/>
  <c r="DJ373" i="80"/>
  <c r="AX373" i="80"/>
  <c r="EX373" i="80"/>
  <c r="BF370" i="80"/>
  <c r="FF370" i="80"/>
  <c r="AX370" i="80"/>
  <c r="BM372" i="80"/>
  <c r="FM372" i="80"/>
  <c r="DA372" i="80"/>
  <c r="DI372" i="80"/>
  <c r="BV373" i="80"/>
  <c r="BF373" i="80"/>
  <c r="DR373" i="80"/>
  <c r="BN373" i="80"/>
  <c r="DP371" i="80"/>
  <c r="AN371" i="80"/>
  <c r="FL371" i="80"/>
  <c r="EN371" i="80"/>
  <c r="AV371" i="80"/>
  <c r="X371" i="80"/>
  <c r="CJ371" i="80"/>
  <c r="DH371" i="80"/>
  <c r="CB371" i="80"/>
  <c r="EF430" i="80"/>
  <c r="EF371" i="80"/>
  <c r="DX371" i="80"/>
  <c r="CZ371" i="80"/>
  <c r="AF371" i="80"/>
  <c r="EH375" i="80"/>
  <c r="BV375" i="80"/>
  <c r="AP375" i="80"/>
  <c r="BN375" i="80"/>
  <c r="FN375" i="80"/>
  <c r="BF375" i="80"/>
  <c r="CL375" i="80"/>
  <c r="DJ375" i="80"/>
  <c r="CD375" i="80"/>
  <c r="Z375" i="80"/>
  <c r="DZ375" i="80"/>
  <c r="DB375" i="80"/>
  <c r="AH375" i="80"/>
  <c r="Q420" i="80"/>
  <c r="Q421" i="80" s="1"/>
  <c r="Q452" i="80" s="1"/>
  <c r="BN187" i="79"/>
  <c r="EG371" i="80"/>
  <c r="CK371" i="80"/>
  <c r="FM371" i="80"/>
  <c r="CS371" i="80"/>
  <c r="AW371" i="80"/>
  <c r="DQ371" i="80"/>
  <c r="BU371" i="80"/>
  <c r="EW371" i="80"/>
  <c r="CC371" i="80"/>
  <c r="AG371" i="80"/>
  <c r="FE371" i="80"/>
  <c r="EO371" i="80"/>
  <c r="BE371" i="80"/>
  <c r="BM371" i="80"/>
  <c r="AO371" i="80"/>
  <c r="DA371" i="80"/>
  <c r="DY371" i="80"/>
  <c r="Y371" i="80"/>
  <c r="DI371" i="80"/>
  <c r="DQ191" i="79"/>
  <c r="DQ196" i="79" s="1"/>
  <c r="CT402" i="79"/>
  <c r="DP191" i="79"/>
  <c r="DP196" i="79" s="1"/>
  <c r="DO84" i="79"/>
  <c r="DO135" i="79" s="1"/>
  <c r="EW191" i="79"/>
  <c r="EW196" i="79" s="1"/>
  <c r="BF64" i="79"/>
  <c r="FF60" i="79"/>
  <c r="D78" i="36"/>
  <c r="BK378" i="80"/>
  <c r="DW378" i="80"/>
  <c r="AE378" i="79"/>
  <c r="AM378" i="79"/>
  <c r="CY378" i="79"/>
  <c r="DG378" i="79"/>
  <c r="DW378" i="79"/>
  <c r="DA420" i="79"/>
  <c r="DA421" i="79" s="1"/>
  <c r="DA452" i="79" s="1"/>
  <c r="BS378" i="80"/>
  <c r="BS378" i="79"/>
  <c r="AU378" i="79"/>
  <c r="EE378" i="79"/>
  <c r="DO378" i="79"/>
  <c r="FC378" i="79"/>
  <c r="X420" i="80"/>
  <c r="X421" i="80" s="1"/>
  <c r="CB420" i="79"/>
  <c r="CB421" i="79" s="1"/>
  <c r="CB452" i="79" s="1"/>
  <c r="CQ420" i="80"/>
  <c r="W378" i="80"/>
  <c r="BC378" i="80"/>
  <c r="EU378" i="80"/>
  <c r="CA378" i="80"/>
  <c r="DG378" i="80"/>
  <c r="CA378" i="79"/>
  <c r="BC378" i="79"/>
  <c r="EM378" i="79"/>
  <c r="BK378" i="79"/>
  <c r="E87" i="36"/>
  <c r="E90" i="36" s="1"/>
  <c r="BF64" i="80"/>
  <c r="CC420" i="79"/>
  <c r="CC421" i="79" s="1"/>
  <c r="CC452" i="79" s="1"/>
  <c r="EE378" i="80"/>
  <c r="FC378" i="80"/>
  <c r="DO378" i="80"/>
  <c r="W378" i="79"/>
  <c r="CI378" i="79"/>
  <c r="FK378" i="79"/>
  <c r="EU378" i="79"/>
  <c r="CQ378" i="79"/>
  <c r="BM421" i="80"/>
  <c r="BM452" i="80" s="1"/>
  <c r="EO421" i="80"/>
  <c r="EO452" i="80" s="1"/>
  <c r="DI421" i="80"/>
  <c r="DI452" i="80" s="1"/>
  <c r="CC421" i="80"/>
  <c r="CC452" i="80" s="1"/>
  <c r="I421" i="80"/>
  <c r="I452" i="80" s="1"/>
  <c r="H421" i="80"/>
  <c r="J421" i="80"/>
  <c r="J452" i="80" s="1"/>
  <c r="BM420" i="79"/>
  <c r="BM421" i="79" s="1"/>
  <c r="BM452" i="79" s="1"/>
  <c r="EP402" i="79"/>
  <c r="DG435" i="79"/>
  <c r="DG384" i="79"/>
  <c r="CQ391" i="79"/>
  <c r="CQ437" i="79"/>
  <c r="EE390" i="79"/>
  <c r="EE436" i="79"/>
  <c r="DW383" i="79"/>
  <c r="DW434" i="79"/>
  <c r="AM434" i="79"/>
  <c r="AM383" i="79"/>
  <c r="BC383" i="79"/>
  <c r="BC434" i="79"/>
  <c r="DO384" i="79"/>
  <c r="DO435" i="79"/>
  <c r="AE391" i="79"/>
  <c r="AE437" i="79"/>
  <c r="O435" i="79"/>
  <c r="O384" i="79"/>
  <c r="CA435" i="79"/>
  <c r="CA384" i="79"/>
  <c r="EE434" i="79"/>
  <c r="EE383" i="79"/>
  <c r="BS435" i="79"/>
  <c r="BS384" i="79"/>
  <c r="DO437" i="79"/>
  <c r="DO391" i="79"/>
  <c r="W391" i="79"/>
  <c r="W437" i="79"/>
  <c r="BK384" i="79"/>
  <c r="BK435" i="79"/>
  <c r="DW435" i="79"/>
  <c r="DW384" i="79"/>
  <c r="CQ390" i="79"/>
  <c r="CQ436" i="79"/>
  <c r="CI390" i="79"/>
  <c r="CI436" i="79"/>
  <c r="CY390" i="79"/>
  <c r="CY436" i="79"/>
  <c r="EU436" i="79"/>
  <c r="EU390" i="79"/>
  <c r="AM391" i="79"/>
  <c r="AM437" i="79"/>
  <c r="DW437" i="79"/>
  <c r="DW391" i="79"/>
  <c r="CY434" i="79"/>
  <c r="CY383" i="79"/>
  <c r="EM383" i="79"/>
  <c r="EM434" i="79"/>
  <c r="AM436" i="79"/>
  <c r="AM390" i="79"/>
  <c r="CY405" i="79"/>
  <c r="CY409" i="79" s="1"/>
  <c r="BK434" i="79"/>
  <c r="BK383" i="79"/>
  <c r="W434" i="79"/>
  <c r="W383" i="79"/>
  <c r="EM84" i="79"/>
  <c r="EM135" i="79" s="1"/>
  <c r="EM437" i="79"/>
  <c r="EM391" i="79"/>
  <c r="O437" i="79"/>
  <c r="O391" i="79"/>
  <c r="DG437" i="79"/>
  <c r="DG391" i="79"/>
  <c r="EE391" i="79"/>
  <c r="EE437" i="79"/>
  <c r="FK391" i="79"/>
  <c r="FK437" i="79"/>
  <c r="BC435" i="79"/>
  <c r="BC384" i="79"/>
  <c r="W384" i="79"/>
  <c r="W435" i="79"/>
  <c r="CA437" i="79"/>
  <c r="CA391" i="79"/>
  <c r="CI437" i="79"/>
  <c r="CI391" i="79"/>
  <c r="CY384" i="79"/>
  <c r="CY435" i="79"/>
  <c r="CI384" i="79"/>
  <c r="CI435" i="79"/>
  <c r="EU434" i="79"/>
  <c r="EU383" i="79"/>
  <c r="BS434" i="79"/>
  <c r="BS383" i="79"/>
  <c r="AU383" i="79"/>
  <c r="AU434" i="79"/>
  <c r="AV420" i="79"/>
  <c r="AV421" i="79" s="1"/>
  <c r="AV452" i="79" s="1"/>
  <c r="FC383" i="79"/>
  <c r="FC434" i="79"/>
  <c r="O436" i="79"/>
  <c r="O390" i="79"/>
  <c r="BK437" i="79"/>
  <c r="BK391" i="79"/>
  <c r="FK436" i="79"/>
  <c r="FK390" i="79"/>
  <c r="CA390" i="79"/>
  <c r="CA436" i="79"/>
  <c r="AU390" i="79"/>
  <c r="AU436" i="79"/>
  <c r="EU435" i="79"/>
  <c r="EU384" i="79"/>
  <c r="EM390" i="79"/>
  <c r="EM436" i="79"/>
  <c r="AM435" i="79"/>
  <c r="AM384" i="79"/>
  <c r="EU437" i="79"/>
  <c r="EU391" i="79"/>
  <c r="AM237" i="79"/>
  <c r="AM84" i="79"/>
  <c r="AM135" i="79" s="1"/>
  <c r="DW390" i="79"/>
  <c r="DW436" i="79"/>
  <c r="FC390" i="79"/>
  <c r="FC436" i="79"/>
  <c r="EX202" i="79"/>
  <c r="AE434" i="79"/>
  <c r="AE383" i="79"/>
  <c r="FK434" i="79"/>
  <c r="FK383" i="79"/>
  <c r="DO434" i="79"/>
  <c r="DO383" i="79"/>
  <c r="X430" i="79"/>
  <c r="BE420" i="79"/>
  <c r="BE421" i="79" s="1"/>
  <c r="BE452" i="79" s="1"/>
  <c r="DW424" i="79"/>
  <c r="DW405" i="79"/>
  <c r="DW409" i="79" s="1"/>
  <c r="FC391" i="79"/>
  <c r="FC437" i="79"/>
  <c r="O434" i="79"/>
  <c r="O383" i="79"/>
  <c r="EU84" i="79"/>
  <c r="EU135" i="79" s="1"/>
  <c r="EE405" i="79"/>
  <c r="EE409" i="79" s="1"/>
  <c r="AE436" i="79"/>
  <c r="AE390" i="79"/>
  <c r="AE435" i="79"/>
  <c r="AE384" i="79"/>
  <c r="FC384" i="79"/>
  <c r="FC435" i="79"/>
  <c r="BK390" i="79"/>
  <c r="BK436" i="79"/>
  <c r="BS390" i="79"/>
  <c r="BS436" i="79"/>
  <c r="AU437" i="79"/>
  <c r="AU391" i="79"/>
  <c r="BS437" i="79"/>
  <c r="BS391" i="79"/>
  <c r="CI434" i="79"/>
  <c r="CI383" i="79"/>
  <c r="DO390" i="79"/>
  <c r="DO436" i="79"/>
  <c r="AU435" i="79"/>
  <c r="AU384" i="79"/>
  <c r="Z402" i="79"/>
  <c r="EM384" i="79"/>
  <c r="EM435" i="79"/>
  <c r="EE435" i="79"/>
  <c r="EE384" i="79"/>
  <c r="CQ435" i="79"/>
  <c r="CQ384" i="79"/>
  <c r="CQ394" i="79" s="1"/>
  <c r="EX402" i="79"/>
  <c r="DG390" i="79"/>
  <c r="DG436" i="79"/>
  <c r="CY437" i="79"/>
  <c r="CY391" i="79"/>
  <c r="FK435" i="79"/>
  <c r="FK384" i="79"/>
  <c r="W436" i="79"/>
  <c r="W390" i="79"/>
  <c r="BC390" i="79"/>
  <c r="BC436" i="79"/>
  <c r="BC437" i="79"/>
  <c r="BC391" i="79"/>
  <c r="DG434" i="79"/>
  <c r="DG383" i="79"/>
  <c r="CA383" i="79"/>
  <c r="CA434" i="79"/>
  <c r="FC237" i="79"/>
  <c r="FC84" i="79"/>
  <c r="FC135" i="79" s="1"/>
  <c r="BT420" i="79"/>
  <c r="BT421" i="79" s="1"/>
  <c r="BT452" i="79" s="1"/>
  <c r="FE405" i="79"/>
  <c r="P420" i="80"/>
  <c r="P421" i="80" s="1"/>
  <c r="FF402" i="80"/>
  <c r="FF405" i="80" s="1"/>
  <c r="BU420" i="79"/>
  <c r="BU421" i="79" s="1"/>
  <c r="BU452" i="79" s="1"/>
  <c r="AP402" i="79"/>
  <c r="DH420" i="79"/>
  <c r="DH421" i="79" s="1"/>
  <c r="DH452" i="79" s="1"/>
  <c r="EV420" i="79"/>
  <c r="EV421" i="79" s="1"/>
  <c r="EV452" i="79" s="1"/>
  <c r="AX402" i="79"/>
  <c r="AO420" i="80"/>
  <c r="AO421" i="80" s="1"/>
  <c r="AO452" i="80" s="1"/>
  <c r="DG426" i="79"/>
  <c r="BV402" i="80"/>
  <c r="BV405" i="80" s="1"/>
  <c r="AH402" i="79"/>
  <c r="BK426" i="80"/>
  <c r="EV420" i="80"/>
  <c r="EV421" i="80" s="1"/>
  <c r="AF420" i="79"/>
  <c r="AF421" i="79" s="1"/>
  <c r="AF452" i="79" s="1"/>
  <c r="BC426" i="79"/>
  <c r="BT430" i="79"/>
  <c r="CB405" i="79"/>
  <c r="EW420" i="79"/>
  <c r="EW421" i="79" s="1"/>
  <c r="EW452" i="79" s="1"/>
  <c r="Z402" i="80"/>
  <c r="Z405" i="80" s="1"/>
  <c r="DR402" i="79"/>
  <c r="DJ402" i="79"/>
  <c r="AW420" i="80"/>
  <c r="AW421" i="80" s="1"/>
  <c r="AW452" i="80" s="1"/>
  <c r="BE420" i="80"/>
  <c r="BE421" i="80" s="1"/>
  <c r="BE452" i="80" s="1"/>
  <c r="EN430" i="79"/>
  <c r="DZ402" i="79"/>
  <c r="CY428" i="80"/>
  <c r="BF402" i="79"/>
  <c r="AP402" i="80"/>
  <c r="AP405" i="80" s="1"/>
  <c r="EN371" i="79"/>
  <c r="DP371" i="79"/>
  <c r="CZ371" i="79"/>
  <c r="AV371" i="79"/>
  <c r="AF371" i="79"/>
  <c r="DX371" i="79"/>
  <c r="CJ371" i="79"/>
  <c r="BT371" i="79"/>
  <c r="BD371" i="79"/>
  <c r="FD371" i="79"/>
  <c r="DH371" i="79"/>
  <c r="CR371" i="79"/>
  <c r="AN371" i="79"/>
  <c r="BL371" i="79"/>
  <c r="X371" i="79"/>
  <c r="CB371" i="79"/>
  <c r="EF371" i="79"/>
  <c r="FL371" i="79"/>
  <c r="EV371" i="79"/>
  <c r="FF370" i="79"/>
  <c r="FN370" i="79"/>
  <c r="CT370" i="79"/>
  <c r="CD370" i="79"/>
  <c r="BN370" i="79"/>
  <c r="Z370" i="79"/>
  <c r="AX370" i="79"/>
  <c r="AH370" i="79"/>
  <c r="EP370" i="79"/>
  <c r="DR370" i="79"/>
  <c r="DB370" i="79"/>
  <c r="CL370" i="79"/>
  <c r="BV370" i="79"/>
  <c r="BF370" i="79"/>
  <c r="EX370" i="79"/>
  <c r="DJ370" i="79"/>
  <c r="EH370" i="79"/>
  <c r="AP370" i="79"/>
  <c r="DZ370" i="79"/>
  <c r="FL420" i="80"/>
  <c r="FL421" i="80" s="1"/>
  <c r="CK420" i="79"/>
  <c r="CK421" i="79" s="1"/>
  <c r="CK452" i="79" s="1"/>
  <c r="DA405" i="79"/>
  <c r="EF430" i="79"/>
  <c r="EM428" i="79"/>
  <c r="FL430" i="79"/>
  <c r="DJ371" i="80"/>
  <c r="AP371" i="80"/>
  <c r="EP371" i="80"/>
  <c r="DZ371" i="80"/>
  <c r="BF371" i="80"/>
  <c r="Z371" i="80"/>
  <c r="FN371" i="80"/>
  <c r="EX371" i="80"/>
  <c r="CT371" i="80"/>
  <c r="CD371" i="80"/>
  <c r="BN371" i="80"/>
  <c r="AX371" i="80"/>
  <c r="AH371" i="80"/>
  <c r="EH371" i="80"/>
  <c r="DB371" i="80"/>
  <c r="CL371" i="80"/>
  <c r="BV371" i="80"/>
  <c r="DR371" i="80"/>
  <c r="FF371" i="80"/>
  <c r="FM372" i="79"/>
  <c r="CS372" i="79"/>
  <c r="CC372" i="79"/>
  <c r="BM372" i="79"/>
  <c r="Y372" i="79"/>
  <c r="EO372" i="79"/>
  <c r="DQ372" i="79"/>
  <c r="DA372" i="79"/>
  <c r="AW372" i="79"/>
  <c r="AG372" i="79"/>
  <c r="DY372" i="79"/>
  <c r="EW372" i="79"/>
  <c r="EG372" i="79"/>
  <c r="DI372" i="79"/>
  <c r="AO372" i="79"/>
  <c r="BE372" i="79"/>
  <c r="BU372" i="79"/>
  <c r="FE372" i="79"/>
  <c r="CK372" i="79"/>
  <c r="CL402" i="79"/>
  <c r="EW420" i="80"/>
  <c r="EW421" i="80" s="1"/>
  <c r="EW452" i="80" s="1"/>
  <c r="EF420" i="79"/>
  <c r="EF421" i="79" s="1"/>
  <c r="EG420" i="79"/>
  <c r="EG421" i="79" s="1"/>
  <c r="EG452" i="79" s="1"/>
  <c r="EV430" i="79"/>
  <c r="FL420" i="79"/>
  <c r="FL421" i="79" s="1"/>
  <c r="FL452" i="79" s="1"/>
  <c r="BE375" i="80"/>
  <c r="Y375" i="80"/>
  <c r="EG375" i="80"/>
  <c r="DQ375" i="80"/>
  <c r="DI375" i="80"/>
  <c r="AO375" i="80"/>
  <c r="EO375" i="80"/>
  <c r="FE375" i="80"/>
  <c r="DA375" i="80"/>
  <c r="CK375" i="80"/>
  <c r="BU375" i="80"/>
  <c r="FM375" i="80"/>
  <c r="EW375" i="80"/>
  <c r="AG375" i="80"/>
  <c r="DY375" i="80"/>
  <c r="BM375" i="80"/>
  <c r="AW375" i="80"/>
  <c r="CS375" i="80"/>
  <c r="CC375" i="80"/>
  <c r="EN375" i="80"/>
  <c r="DX375" i="80"/>
  <c r="FL375" i="80"/>
  <c r="EV375" i="80"/>
  <c r="CR375" i="80"/>
  <c r="CB375" i="80"/>
  <c r="BL375" i="80"/>
  <c r="AV375" i="80"/>
  <c r="AF375" i="80"/>
  <c r="EF375" i="80"/>
  <c r="DP375" i="80"/>
  <c r="FD375" i="80"/>
  <c r="DH375" i="80"/>
  <c r="AN375" i="80"/>
  <c r="CZ375" i="80"/>
  <c r="CJ375" i="80"/>
  <c r="BT375" i="80"/>
  <c r="BD375" i="80"/>
  <c r="X375" i="80"/>
  <c r="CL371" i="79"/>
  <c r="BV371" i="79"/>
  <c r="BF371" i="79"/>
  <c r="EX371" i="79"/>
  <c r="EH371" i="79"/>
  <c r="DJ371" i="79"/>
  <c r="AP371" i="79"/>
  <c r="FN371" i="79"/>
  <c r="FF371" i="79"/>
  <c r="EP371" i="79"/>
  <c r="DR371" i="79"/>
  <c r="DB371" i="79"/>
  <c r="AX371" i="79"/>
  <c r="AH371" i="79"/>
  <c r="DZ371" i="79"/>
  <c r="BN371" i="79"/>
  <c r="Z371" i="79"/>
  <c r="CD371" i="79"/>
  <c r="CT371" i="79"/>
  <c r="DY420" i="80"/>
  <c r="DY421" i="80" s="1"/>
  <c r="DY452" i="80" s="1"/>
  <c r="X420" i="79"/>
  <c r="X421" i="79" s="1"/>
  <c r="X452" i="79" s="1"/>
  <c r="AN420" i="79"/>
  <c r="AN421" i="79" s="1"/>
  <c r="AN452" i="79" s="1"/>
  <c r="CI426" i="79"/>
  <c r="FK428" i="79"/>
  <c r="FM375" i="79"/>
  <c r="CS375" i="79"/>
  <c r="CC375" i="79"/>
  <c r="BM375" i="79"/>
  <c r="Y375" i="79"/>
  <c r="EO375" i="79"/>
  <c r="DQ375" i="79"/>
  <c r="DA375" i="79"/>
  <c r="AW375" i="79"/>
  <c r="AG375" i="79"/>
  <c r="DY375" i="79"/>
  <c r="EW375" i="79"/>
  <c r="EG375" i="79"/>
  <c r="DI375" i="79"/>
  <c r="AO375" i="79"/>
  <c r="CK375" i="79"/>
  <c r="BE375" i="79"/>
  <c r="FE375" i="79"/>
  <c r="BU375" i="79"/>
  <c r="FD375" i="79"/>
  <c r="FL375" i="79"/>
  <c r="CR375" i="79"/>
  <c r="CB375" i="79"/>
  <c r="BL375" i="79"/>
  <c r="X375" i="79"/>
  <c r="AV375" i="79"/>
  <c r="AF375" i="79"/>
  <c r="EN375" i="79"/>
  <c r="DP375" i="79"/>
  <c r="CZ375" i="79"/>
  <c r="CJ375" i="79"/>
  <c r="BT375" i="79"/>
  <c r="BD375" i="79"/>
  <c r="DX375" i="79"/>
  <c r="DH375" i="79"/>
  <c r="EF375" i="79"/>
  <c r="AN375" i="79"/>
  <c r="EV375" i="79"/>
  <c r="FL405" i="79"/>
  <c r="FM420" i="79"/>
  <c r="FM421" i="79" s="1"/>
  <c r="FM452" i="79" s="1"/>
  <c r="FN402" i="79"/>
  <c r="FN403" i="79"/>
  <c r="FN424" i="79" s="1"/>
  <c r="FN418" i="79"/>
  <c r="FK426" i="79"/>
  <c r="FN419" i="79"/>
  <c r="FN404" i="79"/>
  <c r="FN425" i="79" s="1"/>
  <c r="FM405" i="79"/>
  <c r="FE420" i="79"/>
  <c r="FE421" i="79" s="1"/>
  <c r="FE452" i="79" s="1"/>
  <c r="FF403" i="79"/>
  <c r="FF424" i="79" s="1"/>
  <c r="FF418" i="79"/>
  <c r="FC428" i="79"/>
  <c r="FD418" i="79"/>
  <c r="FD420" i="79" s="1"/>
  <c r="FD421" i="79" s="1"/>
  <c r="FD452" i="79" s="1"/>
  <c r="FD403" i="79"/>
  <c r="FF419" i="79"/>
  <c r="FF404" i="79"/>
  <c r="FF425" i="79" s="1"/>
  <c r="FF402" i="79"/>
  <c r="FC426" i="79"/>
  <c r="EU428" i="79"/>
  <c r="EX419" i="79"/>
  <c r="EX404" i="79"/>
  <c r="EX425" i="79" s="1"/>
  <c r="EX403" i="79"/>
  <c r="EX424" i="79" s="1"/>
  <c r="EX418" i="79"/>
  <c r="EU426" i="79"/>
  <c r="EW405" i="79"/>
  <c r="EV405" i="79"/>
  <c r="EP403" i="79"/>
  <c r="EP424" i="79" s="1"/>
  <c r="EP418" i="79"/>
  <c r="EP419" i="79"/>
  <c r="EP404" i="79"/>
  <c r="EP425" i="79" s="1"/>
  <c r="EO420" i="79"/>
  <c r="EO421" i="79" s="1"/>
  <c r="EO452" i="79" s="1"/>
  <c r="EN420" i="79"/>
  <c r="EN421" i="79" s="1"/>
  <c r="EN452" i="79" s="1"/>
  <c r="EM426" i="79"/>
  <c r="EN405" i="79"/>
  <c r="EO405" i="79"/>
  <c r="EH403" i="79"/>
  <c r="EH424" i="79" s="1"/>
  <c r="EH418" i="79"/>
  <c r="EE426" i="79"/>
  <c r="EE428" i="79"/>
  <c r="EH402" i="79"/>
  <c r="EG405" i="79"/>
  <c r="EH419" i="79"/>
  <c r="EH404" i="79"/>
  <c r="EH425" i="79" s="1"/>
  <c r="EF405" i="79"/>
  <c r="DY420" i="79"/>
  <c r="DY421" i="79" s="1"/>
  <c r="DY452" i="79" s="1"/>
  <c r="DZ403" i="79"/>
  <c r="DZ424" i="79" s="1"/>
  <c r="DZ418" i="79"/>
  <c r="DW428" i="79"/>
  <c r="DX418" i="79"/>
  <c r="DX420" i="79" s="1"/>
  <c r="DX421" i="79" s="1"/>
  <c r="DX403" i="79"/>
  <c r="DX424" i="79" s="1"/>
  <c r="DX430" i="79" s="1"/>
  <c r="DZ419" i="79"/>
  <c r="DZ404" i="79"/>
  <c r="DZ425" i="79" s="1"/>
  <c r="DW426" i="79"/>
  <c r="DY405" i="79"/>
  <c r="DR403" i="79"/>
  <c r="DR424" i="79" s="1"/>
  <c r="DR418" i="79"/>
  <c r="DQ420" i="79"/>
  <c r="DQ421" i="79" s="1"/>
  <c r="DQ452" i="79" s="1"/>
  <c r="DR419" i="79"/>
  <c r="DR404" i="79"/>
  <c r="DR425" i="79" s="1"/>
  <c r="DO426" i="79"/>
  <c r="DP418" i="79"/>
  <c r="DP420" i="79" s="1"/>
  <c r="DP421" i="79" s="1"/>
  <c r="DP452" i="79" s="1"/>
  <c r="DP403" i="79"/>
  <c r="DO428" i="79"/>
  <c r="DQ405" i="79"/>
  <c r="DH430" i="79"/>
  <c r="DG428" i="79"/>
  <c r="DJ419" i="79"/>
  <c r="DJ404" i="79"/>
  <c r="DJ425" i="79" s="1"/>
  <c r="DI420" i="79"/>
  <c r="DI421" i="79" s="1"/>
  <c r="DI452" i="79" s="1"/>
  <c r="DI405" i="79"/>
  <c r="DJ403" i="79"/>
  <c r="DJ424" i="79" s="1"/>
  <c r="DJ418" i="79"/>
  <c r="DH405" i="79"/>
  <c r="DB402" i="79"/>
  <c r="CY426" i="79"/>
  <c r="DB403" i="79"/>
  <c r="DB424" i="79" s="1"/>
  <c r="DB418" i="79"/>
  <c r="CY428" i="79"/>
  <c r="CZ418" i="79"/>
  <c r="CZ420" i="79" s="1"/>
  <c r="CZ421" i="79" s="1"/>
  <c r="CZ403" i="79"/>
  <c r="DB419" i="79"/>
  <c r="DB404" i="79"/>
  <c r="DB425" i="79" s="1"/>
  <c r="CT419" i="79"/>
  <c r="CT404" i="79"/>
  <c r="CT425" i="79" s="1"/>
  <c r="CS420" i="79"/>
  <c r="CS421" i="79" s="1"/>
  <c r="CS452" i="79" s="1"/>
  <c r="CT403" i="79"/>
  <c r="CT424" i="79" s="1"/>
  <c r="CT418" i="79"/>
  <c r="CQ426" i="79"/>
  <c r="CR418" i="79"/>
  <c r="CR420" i="79" s="1"/>
  <c r="CR421" i="79" s="1"/>
  <c r="CR452" i="79" s="1"/>
  <c r="CR403" i="79"/>
  <c r="CQ428" i="79"/>
  <c r="CS405" i="79"/>
  <c r="CL403" i="79"/>
  <c r="CL424" i="79" s="1"/>
  <c r="CL418" i="79"/>
  <c r="CJ430" i="79"/>
  <c r="CJ420" i="79"/>
  <c r="CJ421" i="79" s="1"/>
  <c r="CL419" i="79"/>
  <c r="CL404" i="79"/>
  <c r="CL425" i="79" s="1"/>
  <c r="CI428" i="79"/>
  <c r="CK405" i="79"/>
  <c r="CJ405" i="79"/>
  <c r="CD419" i="79"/>
  <c r="CD404" i="79"/>
  <c r="CD425" i="79" s="1"/>
  <c r="CA428" i="79"/>
  <c r="CD403" i="79"/>
  <c r="CD424" i="79" s="1"/>
  <c r="CD418" i="79"/>
  <c r="CA426" i="79"/>
  <c r="CD402" i="79"/>
  <c r="CB430" i="79"/>
  <c r="CC405" i="79"/>
  <c r="BV419" i="79"/>
  <c r="BV404" i="79"/>
  <c r="BV425" i="79" s="1"/>
  <c r="BS426" i="79"/>
  <c r="BV403" i="79"/>
  <c r="BV424" i="79" s="1"/>
  <c r="BV418" i="79"/>
  <c r="BT405" i="79"/>
  <c r="BV402" i="79"/>
  <c r="BS428" i="79"/>
  <c r="BU405" i="79"/>
  <c r="BL418" i="79"/>
  <c r="BL420" i="79" s="1"/>
  <c r="BL421" i="79" s="1"/>
  <c r="BL452" i="79" s="1"/>
  <c r="BL403" i="79"/>
  <c r="BM405" i="79"/>
  <c r="BN402" i="79"/>
  <c r="BK426" i="79"/>
  <c r="BK428" i="79"/>
  <c r="BN403" i="79"/>
  <c r="BN424" i="79" s="1"/>
  <c r="BN418" i="79"/>
  <c r="BN419" i="79"/>
  <c r="BN404" i="79"/>
  <c r="BN425" i="79" s="1"/>
  <c r="BD418" i="79"/>
  <c r="BD420" i="79" s="1"/>
  <c r="BD421" i="79" s="1"/>
  <c r="BD452" i="79" s="1"/>
  <c r="BD403" i="79"/>
  <c r="BC428" i="79"/>
  <c r="BF403" i="79"/>
  <c r="BF424" i="79" s="1"/>
  <c r="BF418" i="79"/>
  <c r="BF419" i="79"/>
  <c r="BF404" i="79"/>
  <c r="BF425" i="79" s="1"/>
  <c r="BE405" i="79"/>
  <c r="AX403" i="79"/>
  <c r="AX424" i="79" s="1"/>
  <c r="AX418" i="79"/>
  <c r="AX419" i="79"/>
  <c r="AX404" i="79"/>
  <c r="AX425" i="79" s="1"/>
  <c r="AU426" i="79"/>
  <c r="AU428" i="79"/>
  <c r="AW405" i="79"/>
  <c r="AV430" i="79"/>
  <c r="AW420" i="79"/>
  <c r="AW421" i="79" s="1"/>
  <c r="AW452" i="79" s="1"/>
  <c r="AV405" i="79"/>
  <c r="AP403" i="79"/>
  <c r="AP424" i="79" s="1"/>
  <c r="AP418" i="79"/>
  <c r="AM428" i="79"/>
  <c r="AP419" i="79"/>
  <c r="AP404" i="79"/>
  <c r="AP425" i="79" s="1"/>
  <c r="AM426" i="79"/>
  <c r="AN405" i="79"/>
  <c r="AN430" i="79"/>
  <c r="AO420" i="79"/>
  <c r="AO421" i="79" s="1"/>
  <c r="AO452" i="79" s="1"/>
  <c r="AO405" i="79"/>
  <c r="AH403" i="79"/>
  <c r="AH424" i="79" s="1"/>
  <c r="AH418" i="79"/>
  <c r="AF405" i="79"/>
  <c r="AE426" i="79"/>
  <c r="AH419" i="79"/>
  <c r="AH404" i="79"/>
  <c r="AH425" i="79" s="1"/>
  <c r="AE428" i="79"/>
  <c r="AF430" i="79"/>
  <c r="AG405" i="79"/>
  <c r="Y420" i="79"/>
  <c r="Y421" i="79" s="1"/>
  <c r="Y452" i="79" s="1"/>
  <c r="W426" i="79"/>
  <c r="Z403" i="79"/>
  <c r="Z424" i="79" s="1"/>
  <c r="Z418" i="79"/>
  <c r="W428" i="79"/>
  <c r="Z419" i="79"/>
  <c r="Z404" i="79"/>
  <c r="Z425" i="79" s="1"/>
  <c r="X405" i="79"/>
  <c r="Y405" i="79"/>
  <c r="AH207" i="79"/>
  <c r="R402" i="79"/>
  <c r="FK428" i="80"/>
  <c r="FN402" i="80"/>
  <c r="FN405" i="80" s="1"/>
  <c r="FK426" i="80"/>
  <c r="FN424" i="80"/>
  <c r="FN418" i="80"/>
  <c r="FL430" i="80"/>
  <c r="FM420" i="80"/>
  <c r="FM421" i="80" s="1"/>
  <c r="FM452" i="80" s="1"/>
  <c r="FN419" i="80"/>
  <c r="FN425" i="80"/>
  <c r="FD420" i="80"/>
  <c r="FD421" i="80" s="1"/>
  <c r="FF424" i="80"/>
  <c r="FF418" i="80"/>
  <c r="FF419" i="80"/>
  <c r="FF425" i="80"/>
  <c r="FC428" i="80"/>
  <c r="FE420" i="80"/>
  <c r="FE421" i="80" s="1"/>
  <c r="FE452" i="80" s="1"/>
  <c r="FC426" i="80"/>
  <c r="FD430" i="80"/>
  <c r="EV430" i="80"/>
  <c r="EU426" i="80"/>
  <c r="EX419" i="80"/>
  <c r="EX425" i="80"/>
  <c r="EX424" i="80"/>
  <c r="EX418" i="80"/>
  <c r="EX402" i="80"/>
  <c r="EX405" i="80" s="1"/>
  <c r="EU428" i="80"/>
  <c r="EP34" i="80"/>
  <c r="EM428" i="80"/>
  <c r="EP419" i="80"/>
  <c r="EP425" i="80"/>
  <c r="EP424" i="80"/>
  <c r="EP418" i="80"/>
  <c r="EP402" i="80"/>
  <c r="EP405" i="80" s="1"/>
  <c r="EN405" i="80"/>
  <c r="EM426" i="80"/>
  <c r="EN418" i="80"/>
  <c r="EN424" i="80"/>
  <c r="EN419" i="80"/>
  <c r="EN425" i="80"/>
  <c r="EE428" i="80"/>
  <c r="EH424" i="80"/>
  <c r="EH418" i="80"/>
  <c r="EH419" i="80"/>
  <c r="EH425" i="80"/>
  <c r="EH402" i="80"/>
  <c r="EH405" i="80" s="1"/>
  <c r="EF420" i="80"/>
  <c r="EF421" i="80" s="1"/>
  <c r="EE426" i="80"/>
  <c r="EG420" i="80"/>
  <c r="EG421" i="80" s="1"/>
  <c r="EG452" i="80" s="1"/>
  <c r="DZ424" i="80"/>
  <c r="DZ418" i="80"/>
  <c r="DX425" i="80"/>
  <c r="DX419" i="80"/>
  <c r="DX418" i="80"/>
  <c r="DX424" i="80"/>
  <c r="DZ402" i="80"/>
  <c r="DZ405" i="80" s="1"/>
  <c r="DW426" i="80"/>
  <c r="DX405" i="80"/>
  <c r="DW428" i="80"/>
  <c r="DZ419" i="80"/>
  <c r="DZ425" i="80"/>
  <c r="DQ420" i="80"/>
  <c r="DQ421" i="80" s="1"/>
  <c r="DQ452" i="80" s="1"/>
  <c r="DR402" i="80"/>
  <c r="DR405" i="80" s="1"/>
  <c r="DO428" i="80"/>
  <c r="DR419" i="80"/>
  <c r="DR425" i="80"/>
  <c r="DP419" i="80"/>
  <c r="DP420" i="80" s="1"/>
  <c r="DP421" i="80" s="1"/>
  <c r="DP425" i="80"/>
  <c r="DP430" i="80" s="1"/>
  <c r="DO426" i="80"/>
  <c r="DP405" i="80"/>
  <c r="DR424" i="80"/>
  <c r="DR418" i="80"/>
  <c r="DG428" i="80"/>
  <c r="DG426" i="80"/>
  <c r="DJ34" i="80"/>
  <c r="DJ402" i="80"/>
  <c r="DJ405" i="80" s="1"/>
  <c r="DH419" i="80"/>
  <c r="DH420" i="80" s="1"/>
  <c r="DH421" i="80" s="1"/>
  <c r="DH425" i="80"/>
  <c r="DH430" i="80" s="1"/>
  <c r="DJ419" i="80"/>
  <c r="DJ425" i="80"/>
  <c r="DJ424" i="80"/>
  <c r="DJ418" i="80"/>
  <c r="DH405" i="80"/>
  <c r="DB424" i="80"/>
  <c r="DB418" i="80"/>
  <c r="CZ430" i="80"/>
  <c r="DB402" i="80"/>
  <c r="DB405" i="80" s="1"/>
  <c r="DB419" i="80"/>
  <c r="DB425" i="80"/>
  <c r="CZ420" i="80"/>
  <c r="CZ421" i="80" s="1"/>
  <c r="DA420" i="80"/>
  <c r="DA421" i="80" s="1"/>
  <c r="DA452" i="80" s="1"/>
  <c r="CY426" i="80"/>
  <c r="CS405" i="80"/>
  <c r="CT419" i="80"/>
  <c r="CT425" i="80"/>
  <c r="CQ426" i="80"/>
  <c r="CT402" i="80"/>
  <c r="CT405" i="80" s="1"/>
  <c r="CR418" i="80"/>
  <c r="CR420" i="80" s="1"/>
  <c r="CR421" i="80" s="1"/>
  <c r="CR424" i="80"/>
  <c r="CR430" i="80" s="1"/>
  <c r="CT424" i="80"/>
  <c r="CT418" i="80"/>
  <c r="CS425" i="80"/>
  <c r="CS419" i="80"/>
  <c r="CS420" i="80" s="1"/>
  <c r="CS421" i="80" s="1"/>
  <c r="CS452" i="80" s="1"/>
  <c r="CQ428" i="80"/>
  <c r="CR405" i="80"/>
  <c r="CK420" i="80"/>
  <c r="CK421" i="80" s="1"/>
  <c r="CL402" i="80"/>
  <c r="CL405" i="80" s="1"/>
  <c r="CI428" i="80"/>
  <c r="CL419" i="80"/>
  <c r="CL425" i="80"/>
  <c r="CJ430" i="80"/>
  <c r="CL424" i="80"/>
  <c r="CL418" i="80"/>
  <c r="CI426" i="80"/>
  <c r="CJ420" i="80"/>
  <c r="CJ421" i="80" s="1"/>
  <c r="CB419" i="80"/>
  <c r="CB420" i="80" s="1"/>
  <c r="CB421" i="80" s="1"/>
  <c r="CB425" i="80"/>
  <c r="CB430" i="80" s="1"/>
  <c r="CD419" i="80"/>
  <c r="CD425" i="80"/>
  <c r="CD402" i="80"/>
  <c r="CD405" i="80" s="1"/>
  <c r="CA428" i="80"/>
  <c r="CA426" i="80"/>
  <c r="CD424" i="80"/>
  <c r="CD418" i="80"/>
  <c r="CB405" i="80"/>
  <c r="BV419" i="80"/>
  <c r="BV425" i="80"/>
  <c r="BV428" i="80"/>
  <c r="BS428" i="80"/>
  <c r="BS426" i="80"/>
  <c r="BT430" i="80"/>
  <c r="BV424" i="80"/>
  <c r="BV418" i="80"/>
  <c r="BU420" i="80"/>
  <c r="BU421" i="80" s="1"/>
  <c r="BU452" i="80" s="1"/>
  <c r="BT420" i="80"/>
  <c r="BT421" i="80" s="1"/>
  <c r="BK428" i="80"/>
  <c r="BL420" i="80"/>
  <c r="BL421" i="80" s="1"/>
  <c r="BN402" i="80"/>
  <c r="BN405" i="80" s="1"/>
  <c r="BL430" i="80"/>
  <c r="BN419" i="80"/>
  <c r="BN425" i="80"/>
  <c r="BN424" i="80"/>
  <c r="BN418" i="80"/>
  <c r="BF402" i="80"/>
  <c r="BF405" i="80" s="1"/>
  <c r="BD405" i="80"/>
  <c r="BC428" i="80"/>
  <c r="BD418" i="80"/>
  <c r="BD420" i="80" s="1"/>
  <c r="BD421" i="80" s="1"/>
  <c r="BD424" i="80"/>
  <c r="BD430" i="80" s="1"/>
  <c r="BC426" i="80"/>
  <c r="BF424" i="80"/>
  <c r="BF418" i="80"/>
  <c r="BF419" i="80"/>
  <c r="BF425" i="80"/>
  <c r="AV418" i="80"/>
  <c r="AV424" i="80"/>
  <c r="AU426" i="80"/>
  <c r="AX424" i="80"/>
  <c r="AX418" i="80"/>
  <c r="AV419" i="80"/>
  <c r="AV425" i="80"/>
  <c r="AX402" i="80"/>
  <c r="AX405" i="80" s="1"/>
  <c r="AU428" i="80"/>
  <c r="AX419" i="80"/>
  <c r="AX425" i="80"/>
  <c r="AV405" i="80"/>
  <c r="AP419" i="80"/>
  <c r="AP425" i="80"/>
  <c r="AM428" i="80"/>
  <c r="AP424" i="80"/>
  <c r="AP418" i="80"/>
  <c r="AN418" i="80"/>
  <c r="AN420" i="80" s="1"/>
  <c r="AN421" i="80" s="1"/>
  <c r="AN424" i="80"/>
  <c r="AN430" i="80" s="1"/>
  <c r="AN405" i="80"/>
  <c r="AM426" i="80"/>
  <c r="AF430" i="80"/>
  <c r="AE428" i="80"/>
  <c r="AH402" i="80"/>
  <c r="AF420" i="80"/>
  <c r="AF421" i="80" s="1"/>
  <c r="AG405" i="80"/>
  <c r="AG419" i="80"/>
  <c r="AG420" i="80" s="1"/>
  <c r="AG421" i="80" s="1"/>
  <c r="AG452" i="80" s="1"/>
  <c r="AG425" i="80"/>
  <c r="AE426" i="80"/>
  <c r="AH424" i="80"/>
  <c r="AH418" i="80"/>
  <c r="AH34" i="80"/>
  <c r="AH404" i="80"/>
  <c r="X430" i="80"/>
  <c r="W426" i="80"/>
  <c r="Z424" i="80"/>
  <c r="Z418" i="80"/>
  <c r="Y420" i="80"/>
  <c r="Y421" i="80" s="1"/>
  <c r="Y452" i="80" s="1"/>
  <c r="Z419" i="80"/>
  <c r="Z425" i="80"/>
  <c r="W428" i="80"/>
  <c r="R419" i="80"/>
  <c r="R425" i="80"/>
  <c r="O428" i="80"/>
  <c r="R426" i="80"/>
  <c r="O426" i="80"/>
  <c r="R424" i="80"/>
  <c r="R418" i="80"/>
  <c r="R402" i="80"/>
  <c r="R405" i="80" s="1"/>
  <c r="P430" i="80"/>
  <c r="DJ202" i="79"/>
  <c r="CT34" i="79"/>
  <c r="CL34" i="79"/>
  <c r="BV202" i="79"/>
  <c r="O428" i="79"/>
  <c r="Q424" i="79"/>
  <c r="P425" i="79"/>
  <c r="O426" i="79"/>
  <c r="Q425" i="79"/>
  <c r="Q405" i="79"/>
  <c r="R34" i="79"/>
  <c r="R404" i="79"/>
  <c r="P403" i="79"/>
  <c r="P424" i="79" s="1"/>
  <c r="R403" i="79"/>
  <c r="DZ143" i="79"/>
  <c r="FF207" i="80"/>
  <c r="FK237" i="80"/>
  <c r="CI135" i="80"/>
  <c r="BC135" i="80"/>
  <c r="EV191" i="79"/>
  <c r="EV196" i="79" s="1"/>
  <c r="BV207" i="79"/>
  <c r="FF207" i="79"/>
  <c r="EU237" i="79"/>
  <c r="CD202" i="79"/>
  <c r="EP143" i="79"/>
  <c r="Q375" i="80"/>
  <c r="CT143" i="79"/>
  <c r="W196" i="79"/>
  <c r="Y191" i="79"/>
  <c r="Y196" i="79" s="1"/>
  <c r="BU191" i="79"/>
  <c r="BU196" i="79" s="1"/>
  <c r="CD143" i="79"/>
  <c r="DG302" i="79"/>
  <c r="DG315" i="79" s="1"/>
  <c r="DG331" i="79" s="1"/>
  <c r="DI301" i="79"/>
  <c r="DI302" i="79" s="1"/>
  <c r="AH202" i="79"/>
  <c r="CC191" i="79"/>
  <c r="CC196" i="79" s="1"/>
  <c r="CB191" i="79"/>
  <c r="CB196" i="79" s="1"/>
  <c r="S13" i="82"/>
  <c r="AX143" i="79"/>
  <c r="S31" i="82"/>
  <c r="FF34" i="79"/>
  <c r="AU302" i="80"/>
  <c r="AU315" i="80" s="1"/>
  <c r="AU331" i="80" s="1"/>
  <c r="CL202" i="79"/>
  <c r="AW301" i="80"/>
  <c r="AW302" i="80" s="1"/>
  <c r="CA302" i="79"/>
  <c r="CA315" i="79" s="1"/>
  <c r="CA331" i="79" s="1"/>
  <c r="CB301" i="79"/>
  <c r="CB302" i="79" s="1"/>
  <c r="DR34" i="79"/>
  <c r="EN301" i="79"/>
  <c r="EN302" i="79" s="1"/>
  <c r="EO301" i="79"/>
  <c r="EO302" i="79" s="1"/>
  <c r="AX34" i="79"/>
  <c r="BF34" i="80"/>
  <c r="EE302" i="79"/>
  <c r="EE315" i="79" s="1"/>
  <c r="EE331" i="79" s="1"/>
  <c r="EP34" i="79"/>
  <c r="EF301" i="79"/>
  <c r="EF302" i="79" s="1"/>
  <c r="CT202" i="79"/>
  <c r="EF301" i="80"/>
  <c r="EF302" i="80" s="1"/>
  <c r="FD191" i="79"/>
  <c r="FD196" i="79" s="1"/>
  <c r="FE191" i="79"/>
  <c r="FE196" i="79" s="1"/>
  <c r="DR202" i="79"/>
  <c r="CI237" i="80"/>
  <c r="EN191" i="79"/>
  <c r="EN196" i="79" s="1"/>
  <c r="EM237" i="79"/>
  <c r="CK191" i="79"/>
  <c r="CK196" i="79" s="1"/>
  <c r="DZ202" i="79"/>
  <c r="CI196" i="79"/>
  <c r="EO191" i="79"/>
  <c r="EO196" i="79" s="1"/>
  <c r="CS301" i="80"/>
  <c r="CS302" i="80" s="1"/>
  <c r="EV301" i="80"/>
  <c r="EV302" i="80" s="1"/>
  <c r="DZ34" i="80"/>
  <c r="EW301" i="80"/>
  <c r="EW302" i="80" s="1"/>
  <c r="R4" i="35"/>
  <c r="Q56" i="35" s="1"/>
  <c r="S56" i="35" s="1"/>
  <c r="S71" i="82"/>
  <c r="DZ34" i="79"/>
  <c r="R60" i="79"/>
  <c r="R202" i="79"/>
  <c r="O378" i="80"/>
  <c r="Z202" i="79"/>
  <c r="S26" i="82"/>
  <c r="E50" i="82"/>
  <c r="E85" i="82" s="1"/>
  <c r="E19" i="82" s="1"/>
  <c r="E21" i="82" s="1"/>
  <c r="E22" i="82" s="1"/>
  <c r="E84" i="82" s="1"/>
  <c r="S29" i="82"/>
  <c r="AH34" i="79"/>
  <c r="S85" i="82"/>
  <c r="E53" i="35"/>
  <c r="E50" i="35"/>
  <c r="EE302" i="80"/>
  <c r="EE315" i="80" s="1"/>
  <c r="EE331" i="80" s="1"/>
  <c r="FL191" i="80"/>
  <c r="FL196" i="80" s="1"/>
  <c r="BK302" i="80"/>
  <c r="BK315" i="80" s="1"/>
  <c r="BK331" i="80" s="1"/>
  <c r="FL301" i="80"/>
  <c r="FL302" i="80" s="1"/>
  <c r="DA191" i="79"/>
  <c r="DA196" i="79" s="1"/>
  <c r="EP202" i="79"/>
  <c r="AU196" i="80"/>
  <c r="AU84" i="80" s="1"/>
  <c r="CJ191" i="80"/>
  <c r="CJ196" i="80" s="1"/>
  <c r="AX202" i="79"/>
  <c r="Z207" i="79"/>
  <c r="CD207" i="79"/>
  <c r="AH61" i="79"/>
  <c r="CD64" i="80"/>
  <c r="DH301" i="80"/>
  <c r="DH302" i="80" s="1"/>
  <c r="BF202" i="79"/>
  <c r="CL61" i="79"/>
  <c r="FK302" i="80"/>
  <c r="FK315" i="80" s="1"/>
  <c r="FK331" i="80" s="1"/>
  <c r="CZ191" i="79"/>
  <c r="CZ196" i="79" s="1"/>
  <c r="AV191" i="80"/>
  <c r="AV196" i="80" s="1"/>
  <c r="CC301" i="80"/>
  <c r="CC302" i="80" s="1"/>
  <c r="CT207" i="80"/>
  <c r="EX207" i="79"/>
  <c r="R21" i="82"/>
  <c r="R22" i="82" s="1"/>
  <c r="AA39" i="83" s="1"/>
  <c r="S33" i="82"/>
  <c r="EP64" i="80"/>
  <c r="R207" i="79"/>
  <c r="CQ302" i="80"/>
  <c r="CQ315" i="80" s="1"/>
  <c r="CQ331" i="80" s="1"/>
  <c r="DG196" i="80"/>
  <c r="DG84" i="80" s="1"/>
  <c r="EG191" i="79"/>
  <c r="EG196" i="79" s="1"/>
  <c r="EF191" i="79"/>
  <c r="EF196" i="79" s="1"/>
  <c r="EH61" i="79"/>
  <c r="CK191" i="80"/>
  <c r="CK196" i="80" s="1"/>
  <c r="CB301" i="80"/>
  <c r="CB302" i="80" s="1"/>
  <c r="AO191" i="80"/>
  <c r="AP191" i="80" s="1"/>
  <c r="DG302" i="80"/>
  <c r="DG315" i="80" s="1"/>
  <c r="DG331" i="80" s="1"/>
  <c r="FN202" i="79"/>
  <c r="FF202" i="79"/>
  <c r="CL64" i="79"/>
  <c r="FC196" i="80"/>
  <c r="FC84" i="80" s="1"/>
  <c r="FE191" i="80"/>
  <c r="FE196" i="80" s="1"/>
  <c r="BF61" i="79"/>
  <c r="EG191" i="80"/>
  <c r="EG196" i="80" s="1"/>
  <c r="DJ61" i="79"/>
  <c r="BL301" i="80"/>
  <c r="BL302" i="80" s="1"/>
  <c r="BV61" i="79"/>
  <c r="BE191" i="80"/>
  <c r="BE196" i="80" s="1"/>
  <c r="Z61" i="79"/>
  <c r="BD191" i="80"/>
  <c r="BD196" i="80" s="1"/>
  <c r="FN61" i="79"/>
  <c r="BS196" i="80"/>
  <c r="BS84" i="80" s="1"/>
  <c r="BU191" i="80"/>
  <c r="BU196" i="80" s="1"/>
  <c r="AX61" i="79"/>
  <c r="EX207" i="80"/>
  <c r="FF61" i="79"/>
  <c r="AP64" i="80"/>
  <c r="EP61" i="79"/>
  <c r="BN59" i="79"/>
  <c r="R61" i="79"/>
  <c r="DB64" i="80"/>
  <c r="AX61" i="80"/>
  <c r="R64" i="79"/>
  <c r="DR61" i="79"/>
  <c r="DZ61" i="79"/>
  <c r="BN64" i="80"/>
  <c r="AP61" i="79"/>
  <c r="FF64" i="80"/>
  <c r="FF60" i="80"/>
  <c r="DZ61" i="80"/>
  <c r="AP61" i="80"/>
  <c r="FN64" i="80"/>
  <c r="G50" i="82"/>
  <c r="G85" i="82" s="1"/>
  <c r="DB61" i="79"/>
  <c r="BF61" i="80"/>
  <c r="DR64" i="80"/>
  <c r="BN61" i="80"/>
  <c r="CB191" i="80"/>
  <c r="CB196" i="80" s="1"/>
  <c r="CA196" i="80"/>
  <c r="CA84" i="80" s="1"/>
  <c r="AM302" i="80"/>
  <c r="AM315" i="80" s="1"/>
  <c r="AM331" i="80" s="1"/>
  <c r="FK135" i="80"/>
  <c r="CI302" i="80"/>
  <c r="CI315" i="80" s="1"/>
  <c r="CI331" i="80" s="1"/>
  <c r="CJ301" i="80"/>
  <c r="CJ302" i="80" s="1"/>
  <c r="FC302" i="80"/>
  <c r="FC315" i="80" s="1"/>
  <c r="FC331" i="80" s="1"/>
  <c r="FM191" i="80"/>
  <c r="FM196" i="80" s="1"/>
  <c r="EE196" i="80"/>
  <c r="EE84" i="80" s="1"/>
  <c r="DI191" i="80"/>
  <c r="DI196" i="80" s="1"/>
  <c r="DA301" i="80"/>
  <c r="DA302" i="80" s="1"/>
  <c r="FN143" i="80"/>
  <c r="AO301" i="80"/>
  <c r="AO302" i="80" s="1"/>
  <c r="CL34" i="80"/>
  <c r="AX64" i="80"/>
  <c r="BL191" i="80"/>
  <c r="BL196" i="80" s="1"/>
  <c r="EP100" i="79"/>
  <c r="FE301" i="80"/>
  <c r="FE302" i="80" s="1"/>
  <c r="CZ301" i="80"/>
  <c r="CZ302" i="80" s="1"/>
  <c r="EO191" i="80"/>
  <c r="EO196" i="80" s="1"/>
  <c r="EM196" i="80"/>
  <c r="EM84" i="80" s="1"/>
  <c r="CS191" i="80"/>
  <c r="CS196" i="80" s="1"/>
  <c r="CR191" i="80"/>
  <c r="CR196" i="80" s="1"/>
  <c r="X191" i="80"/>
  <c r="Z191" i="80" s="1"/>
  <c r="BK196" i="80"/>
  <c r="BK84" i="80" s="1"/>
  <c r="Y176" i="80"/>
  <c r="Z176" i="80" s="1"/>
  <c r="AP64" i="79"/>
  <c r="AE50" i="80"/>
  <c r="DJ143" i="80"/>
  <c r="Z34" i="80"/>
  <c r="CD143" i="80"/>
  <c r="EN301" i="80"/>
  <c r="EN302" i="80" s="1"/>
  <c r="EM302" i="80"/>
  <c r="EM315" i="80" s="1"/>
  <c r="EM331" i="80" s="1"/>
  <c r="BN143" i="80"/>
  <c r="AX34" i="80"/>
  <c r="AX202" i="80"/>
  <c r="BN202" i="80"/>
  <c r="BF215" i="80"/>
  <c r="BF100" i="79"/>
  <c r="X187" i="80"/>
  <c r="EH143" i="80"/>
  <c r="P176" i="80"/>
  <c r="R176" i="80" s="1"/>
  <c r="DR202" i="80"/>
  <c r="DR34" i="80"/>
  <c r="CT100" i="80"/>
  <c r="BV100" i="80"/>
  <c r="BF143" i="80"/>
  <c r="AF176" i="80"/>
  <c r="AH176" i="80" s="1"/>
  <c r="BN100" i="79"/>
  <c r="BC237" i="80"/>
  <c r="DG50" i="80"/>
  <c r="CL207" i="80"/>
  <c r="EX26" i="80"/>
  <c r="DZ207" i="79"/>
  <c r="CT64" i="79"/>
  <c r="DJ64" i="80"/>
  <c r="AX64" i="79"/>
  <c r="CT143" i="80"/>
  <c r="AU50" i="80"/>
  <c r="EX100" i="80"/>
  <c r="CD59" i="79"/>
  <c r="CL100" i="79"/>
  <c r="Z202" i="80"/>
  <c r="CT202" i="80"/>
  <c r="AX59" i="79"/>
  <c r="AH62" i="80"/>
  <c r="Z62" i="79"/>
  <c r="CT61" i="80"/>
  <c r="BF60" i="80"/>
  <c r="EH207" i="80"/>
  <c r="AH64" i="79"/>
  <c r="DZ64" i="79"/>
  <c r="BV60" i="80"/>
  <c r="FN60" i="79"/>
  <c r="DB62" i="80"/>
  <c r="AX100" i="79"/>
  <c r="BK50" i="80"/>
  <c r="DB34" i="80"/>
  <c r="EP100" i="80"/>
  <c r="CT64" i="80"/>
  <c r="Z60" i="79"/>
  <c r="DJ207" i="80"/>
  <c r="Z59" i="79"/>
  <c r="AM50" i="80"/>
  <c r="R64" i="80"/>
  <c r="CD64" i="79"/>
  <c r="EP64" i="79"/>
  <c r="FF64" i="79"/>
  <c r="Z64" i="80"/>
  <c r="R207" i="80"/>
  <c r="BT301" i="80"/>
  <c r="BT302" i="80" s="1"/>
  <c r="FN202" i="80"/>
  <c r="AH64" i="80"/>
  <c r="AO180" i="80"/>
  <c r="AP180" i="80" s="1"/>
  <c r="BV202" i="80"/>
  <c r="DR60" i="79"/>
  <c r="DZ207" i="80"/>
  <c r="EP207" i="80"/>
  <c r="AM196" i="80"/>
  <c r="AM84" i="80" s="1"/>
  <c r="FF215" i="80"/>
  <c r="AH59" i="80"/>
  <c r="AO187" i="80"/>
  <c r="AP187" i="80" s="1"/>
  <c r="AP100" i="80"/>
  <c r="DR59" i="79"/>
  <c r="CL61" i="80"/>
  <c r="AX215" i="80"/>
  <c r="DB215" i="80"/>
  <c r="EX100" i="79"/>
  <c r="FN34" i="80"/>
  <c r="DO302" i="80"/>
  <c r="DO315" i="80" s="1"/>
  <c r="DO331" i="80" s="1"/>
  <c r="CT34" i="80"/>
  <c r="DJ202" i="80"/>
  <c r="BN100" i="80"/>
  <c r="BS302" i="80"/>
  <c r="BS315" i="80" s="1"/>
  <c r="BS331" i="80" s="1"/>
  <c r="DQ301" i="80"/>
  <c r="DQ302" i="80" s="1"/>
  <c r="EX61" i="80"/>
  <c r="DJ61" i="80"/>
  <c r="BF60" i="79"/>
  <c r="R59" i="79"/>
  <c r="R61" i="80"/>
  <c r="BV100" i="79"/>
  <c r="W302" i="79"/>
  <c r="W315" i="79" s="1"/>
  <c r="W331" i="79" s="1"/>
  <c r="AH143" i="80"/>
  <c r="Z100" i="80"/>
  <c r="BV64" i="79"/>
  <c r="CL207" i="79"/>
  <c r="BF207" i="79"/>
  <c r="W196" i="80"/>
  <c r="W84" i="80" s="1"/>
  <c r="EP60" i="79"/>
  <c r="CD60" i="79"/>
  <c r="EH26" i="80"/>
  <c r="CT207" i="79"/>
  <c r="EH61" i="80"/>
  <c r="DZ26" i="79"/>
  <c r="FN64" i="79"/>
  <c r="AM50" i="79"/>
  <c r="AM251" i="79" s="1"/>
  <c r="AM257" i="79" s="1"/>
  <c r="DZ64" i="80"/>
  <c r="EP60" i="80"/>
  <c r="CL64" i="80"/>
  <c r="BN64" i="79"/>
  <c r="BF62" i="80"/>
  <c r="R62" i="80"/>
  <c r="DJ64" i="79"/>
  <c r="O50" i="80"/>
  <c r="DJ215" i="79"/>
  <c r="BV62" i="79"/>
  <c r="EX64" i="79"/>
  <c r="AX60" i="80"/>
  <c r="AH60" i="80"/>
  <c r="AP60" i="80"/>
  <c r="BN60" i="79"/>
  <c r="FF143" i="80"/>
  <c r="R143" i="80"/>
  <c r="DB61" i="80"/>
  <c r="EH64" i="80"/>
  <c r="CD61" i="80"/>
  <c r="BV64" i="80"/>
  <c r="W302" i="80"/>
  <c r="W315" i="80" s="1"/>
  <c r="W331" i="80" s="1"/>
  <c r="Y301" i="80"/>
  <c r="Y302" i="80" s="1"/>
  <c r="EP62" i="80"/>
  <c r="DR61" i="80"/>
  <c r="EP61" i="80"/>
  <c r="CL62" i="80"/>
  <c r="DJ62" i="80"/>
  <c r="EX62" i="80"/>
  <c r="DZ60" i="79"/>
  <c r="BV207" i="80"/>
  <c r="CL202" i="80"/>
  <c r="FN61" i="80"/>
  <c r="EX60" i="79"/>
  <c r="BV60" i="79"/>
  <c r="X301" i="79"/>
  <c r="X302" i="79" s="1"/>
  <c r="BE301" i="80"/>
  <c r="BE302" i="80" s="1"/>
  <c r="BC302" i="80"/>
  <c r="BC315" i="80" s="1"/>
  <c r="BC331" i="80" s="1"/>
  <c r="BD301" i="80"/>
  <c r="DP191" i="80"/>
  <c r="DQ191" i="80"/>
  <c r="DQ196" i="80" s="1"/>
  <c r="DO196" i="80"/>
  <c r="DO84" i="80" s="1"/>
  <c r="DA191" i="80"/>
  <c r="DA196" i="80" s="1"/>
  <c r="CY196" i="80"/>
  <c r="CY84" i="80" s="1"/>
  <c r="CZ191" i="80"/>
  <c r="EW191" i="80"/>
  <c r="EW196" i="80" s="1"/>
  <c r="EV191" i="80"/>
  <c r="EU196" i="80"/>
  <c r="EU84" i="80" s="1"/>
  <c r="DW196" i="80"/>
  <c r="DW84" i="80" s="1"/>
  <c r="DX191" i="80"/>
  <c r="DY191" i="80"/>
  <c r="DY196" i="80" s="1"/>
  <c r="DX301" i="80"/>
  <c r="DY301" i="80"/>
  <c r="DY302" i="80" s="1"/>
  <c r="DW302" i="80"/>
  <c r="DW315" i="80" s="1"/>
  <c r="DW331" i="80" s="1"/>
  <c r="AP215" i="79"/>
  <c r="CL215" i="80"/>
  <c r="AX207" i="80"/>
  <c r="EP207" i="79"/>
  <c r="BF202" i="80"/>
  <c r="FF202" i="80"/>
  <c r="AP202" i="80"/>
  <c r="Z64" i="79"/>
  <c r="FN62" i="80"/>
  <c r="AP62" i="80"/>
  <c r="CT60" i="79"/>
  <c r="DJ60" i="79"/>
  <c r="DB62" i="79"/>
  <c r="DZ62" i="79"/>
  <c r="BN62" i="79"/>
  <c r="CT60" i="80"/>
  <c r="EH60" i="80"/>
  <c r="R60" i="80"/>
  <c r="DB60" i="79"/>
  <c r="CL62" i="79"/>
  <c r="DZ62" i="80"/>
  <c r="EP62" i="79"/>
  <c r="BF62" i="79"/>
  <c r="EX60" i="80"/>
  <c r="CD60" i="80"/>
  <c r="CL60" i="79"/>
  <c r="CD62" i="80"/>
  <c r="CT62" i="80"/>
  <c r="BN62" i="80"/>
  <c r="FF62" i="79"/>
  <c r="AH62" i="79"/>
  <c r="CD62" i="79"/>
  <c r="EX62" i="79"/>
  <c r="DR60" i="80"/>
  <c r="DJ60" i="80"/>
  <c r="EH60" i="79"/>
  <c r="BV62" i="80"/>
  <c r="DB64" i="79"/>
  <c r="FN62" i="79"/>
  <c r="DR62" i="80"/>
  <c r="Z62" i="80"/>
  <c r="AX62" i="80"/>
  <c r="CT62" i="79"/>
  <c r="AX62" i="79"/>
  <c r="R62" i="79"/>
  <c r="CL60" i="80"/>
  <c r="DZ60" i="80"/>
  <c r="Z60" i="80"/>
  <c r="AP60" i="79"/>
  <c r="Z61" i="80"/>
  <c r="AH61" i="80"/>
  <c r="EH62" i="80"/>
  <c r="FF62" i="80"/>
  <c r="AP62" i="79"/>
  <c r="EH62" i="79"/>
  <c r="DJ62" i="79"/>
  <c r="BN60" i="80"/>
  <c r="EX59" i="79"/>
  <c r="AX143" i="80"/>
  <c r="P371" i="79"/>
  <c r="R370" i="79"/>
  <c r="AH59" i="79"/>
  <c r="DB59" i="79"/>
  <c r="DJ59" i="80"/>
  <c r="Q372" i="79"/>
  <c r="FN215" i="80"/>
  <c r="BF59" i="80"/>
  <c r="DB59" i="80"/>
  <c r="DR59" i="80"/>
  <c r="BV215" i="79"/>
  <c r="Q372" i="80"/>
  <c r="P371" i="80"/>
  <c r="R370" i="80"/>
  <c r="O378" i="79"/>
  <c r="BF26" i="80"/>
  <c r="Z215" i="79"/>
  <c r="CT26" i="80"/>
  <c r="DJ59" i="79"/>
  <c r="G64" i="82"/>
  <c r="G65" i="82" s="1"/>
  <c r="G87" i="82" s="1"/>
  <c r="EM50" i="80"/>
  <c r="BN215" i="80"/>
  <c r="EH202" i="80"/>
  <c r="AX59" i="80"/>
  <c r="E64" i="82"/>
  <c r="E65" i="82" s="1"/>
  <c r="E87" i="82" s="1"/>
  <c r="F50" i="82"/>
  <c r="F85" i="82" s="1"/>
  <c r="FF215" i="79"/>
  <c r="BC50" i="79"/>
  <c r="BC251" i="79" s="1"/>
  <c r="BC257" i="79" s="1"/>
  <c r="AH215" i="80"/>
  <c r="CT59" i="79"/>
  <c r="FN59" i="79"/>
  <c r="FF34" i="80"/>
  <c r="R34" i="80"/>
  <c r="DR215" i="80"/>
  <c r="F64" i="82"/>
  <c r="F65" i="82" s="1"/>
  <c r="F87" i="82" s="1"/>
  <c r="CD34" i="79"/>
  <c r="BN34" i="80"/>
  <c r="AP34" i="79"/>
  <c r="Z34" i="79"/>
  <c r="DJ34" i="79"/>
  <c r="AU50" i="79"/>
  <c r="AU251" i="79" s="1"/>
  <c r="AU257" i="79" s="1"/>
  <c r="AP100" i="79"/>
  <c r="EX143" i="80"/>
  <c r="BV59" i="79"/>
  <c r="FN34" i="79"/>
  <c r="BV34" i="79"/>
  <c r="CA50" i="79"/>
  <c r="CA251" i="79" s="1"/>
  <c r="CA257" i="79" s="1"/>
  <c r="EU50" i="80"/>
  <c r="DJ100" i="80"/>
  <c r="EX34" i="80"/>
  <c r="BF34" i="79"/>
  <c r="DB34" i="79"/>
  <c r="AO196" i="79"/>
  <c r="DZ26" i="80"/>
  <c r="CD215" i="80"/>
  <c r="Z143" i="80"/>
  <c r="EH34" i="80"/>
  <c r="AP34" i="80"/>
  <c r="EH34" i="79"/>
  <c r="BV215" i="80"/>
  <c r="BV34" i="80"/>
  <c r="EX34" i="79"/>
  <c r="BN34" i="79"/>
  <c r="DW50" i="79"/>
  <c r="DW251" i="79" s="1"/>
  <c r="DW257" i="79" s="1"/>
  <c r="Q65" i="82"/>
  <c r="D65" i="82"/>
  <c r="R65" i="82"/>
  <c r="R87" i="82" s="1"/>
  <c r="AX26" i="80"/>
  <c r="O50" i="79"/>
  <c r="O251" i="79" s="1"/>
  <c r="O257" i="79" s="1"/>
  <c r="EP215" i="80"/>
  <c r="BS50" i="79"/>
  <c r="BS251" i="79" s="1"/>
  <c r="BS257" i="79" s="1"/>
  <c r="FF100" i="79"/>
  <c r="CD100" i="80"/>
  <c r="EX59" i="80"/>
  <c r="BV143" i="80"/>
  <c r="DB202" i="80"/>
  <c r="EE50" i="80"/>
  <c r="EP202" i="80"/>
  <c r="FK50" i="79"/>
  <c r="FK251" i="79" s="1"/>
  <c r="FK257" i="79" s="1"/>
  <c r="W50" i="79"/>
  <c r="W251" i="79" s="1"/>
  <c r="W257" i="79" s="1"/>
  <c r="EU50" i="79"/>
  <c r="EU251" i="79" s="1"/>
  <c r="EU257" i="79" s="1"/>
  <c r="CY50" i="79"/>
  <c r="CY251" i="79" s="1"/>
  <c r="CY257" i="79" s="1"/>
  <c r="EP143" i="80"/>
  <c r="DB143" i="80"/>
  <c r="EH215" i="80"/>
  <c r="AP59" i="80"/>
  <c r="DG50" i="79"/>
  <c r="DG251" i="79" s="1"/>
  <c r="DG257" i="79" s="1"/>
  <c r="EM50" i="79"/>
  <c r="EM251" i="79" s="1"/>
  <c r="EM257" i="79" s="1"/>
  <c r="Z26" i="80"/>
  <c r="FC50" i="79"/>
  <c r="FC251" i="79" s="1"/>
  <c r="FC257" i="79" s="1"/>
  <c r="DJ100" i="79"/>
  <c r="DR143" i="80"/>
  <c r="R100" i="79"/>
  <c r="CL143" i="80"/>
  <c r="FF59" i="80"/>
  <c r="BK50" i="79"/>
  <c r="BK251" i="79" s="1"/>
  <c r="BK257" i="79" s="1"/>
  <c r="AE50" i="79"/>
  <c r="AE251" i="79" s="1"/>
  <c r="AE257" i="79" s="1"/>
  <c r="DO50" i="79"/>
  <c r="DO251" i="79" s="1"/>
  <c r="DO257" i="79" s="1"/>
  <c r="DO260" i="79" s="1"/>
  <c r="DO322" i="79" s="1"/>
  <c r="CQ50" i="79"/>
  <c r="CQ251" i="79" s="1"/>
  <c r="CQ257" i="79" s="1"/>
  <c r="DJ26" i="79"/>
  <c r="DJ26" i="80"/>
  <c r="AP59" i="79"/>
  <c r="Z215" i="80"/>
  <c r="R59" i="80"/>
  <c r="DZ59" i="79"/>
  <c r="CI50" i="79"/>
  <c r="CI251" i="79" s="1"/>
  <c r="CI257" i="79" s="1"/>
  <c r="DZ100" i="79"/>
  <c r="I406" i="79"/>
  <c r="BF59" i="79"/>
  <c r="FF59" i="79"/>
  <c r="BS50" i="80"/>
  <c r="EP215" i="79"/>
  <c r="CL100" i="80"/>
  <c r="FN59" i="80"/>
  <c r="EH59" i="79"/>
  <c r="EP59" i="79"/>
  <c r="DB215" i="79"/>
  <c r="R215" i="79"/>
  <c r="FN215" i="79"/>
  <c r="CL215" i="79"/>
  <c r="AH215" i="79"/>
  <c r="CT215" i="79"/>
  <c r="AH26" i="80"/>
  <c r="W50" i="80"/>
  <c r="R202" i="80"/>
  <c r="EX202" i="80"/>
  <c r="EH100" i="80"/>
  <c r="R215" i="80"/>
  <c r="FF26" i="80"/>
  <c r="DJ215" i="80"/>
  <c r="BF100" i="80"/>
  <c r="BF215" i="79"/>
  <c r="CD100" i="79"/>
  <c r="AN196" i="79"/>
  <c r="AH100" i="79"/>
  <c r="FN143" i="79"/>
  <c r="AP143" i="80"/>
  <c r="FF100" i="80"/>
  <c r="AP26" i="80"/>
  <c r="AH191" i="79"/>
  <c r="AH196" i="79" s="1"/>
  <c r="DZ143" i="80"/>
  <c r="DR100" i="79"/>
  <c r="EH215" i="79"/>
  <c r="EX215" i="79"/>
  <c r="EX215" i="80"/>
  <c r="CD215" i="79"/>
  <c r="FN26" i="79"/>
  <c r="AH100" i="80"/>
  <c r="AX215" i="79"/>
  <c r="DB100" i="80"/>
  <c r="DZ215" i="80"/>
  <c r="AP215" i="80"/>
  <c r="DB26" i="79"/>
  <c r="BV26" i="79"/>
  <c r="DR26" i="80"/>
  <c r="FN191" i="79"/>
  <c r="FN196" i="79" s="1"/>
  <c r="EH26" i="79"/>
  <c r="AX180" i="79"/>
  <c r="DR215" i="79"/>
  <c r="R56" i="82"/>
  <c r="DZ215" i="79"/>
  <c r="EP26" i="80"/>
  <c r="CD202" i="80"/>
  <c r="Z187" i="79"/>
  <c r="AP176" i="79"/>
  <c r="AN196" i="80"/>
  <c r="BN26" i="79"/>
  <c r="DB26" i="80"/>
  <c r="BN215" i="79"/>
  <c r="FN100" i="80"/>
  <c r="Q56" i="82"/>
  <c r="CT215" i="80"/>
  <c r="DZ202" i="80"/>
  <c r="Z176" i="79"/>
  <c r="CT301" i="79"/>
  <c r="CT302" i="79" s="1"/>
  <c r="R26" i="79"/>
  <c r="AP191" i="79"/>
  <c r="DZ301" i="79"/>
  <c r="DZ302" i="79" s="1"/>
  <c r="J450" i="80"/>
  <c r="DW50" i="80"/>
  <c r="R176" i="79"/>
  <c r="CD26" i="79"/>
  <c r="AH202" i="80"/>
  <c r="X196" i="79"/>
  <c r="BC50" i="80"/>
  <c r="Z26" i="79"/>
  <c r="BL301" i="79"/>
  <c r="BL302" i="79" s="1"/>
  <c r="BM301" i="79"/>
  <c r="BM302" i="79" s="1"/>
  <c r="BK302" i="79"/>
  <c r="BK315" i="79" s="1"/>
  <c r="BK331" i="79" s="1"/>
  <c r="BS135" i="79"/>
  <c r="BS237" i="79"/>
  <c r="BD191" i="79"/>
  <c r="BD196" i="79" s="1"/>
  <c r="BE191" i="79"/>
  <c r="BE196" i="79" s="1"/>
  <c r="BC196" i="79"/>
  <c r="BC84" i="79" s="1"/>
  <c r="S36" i="35"/>
  <c r="BT301" i="79"/>
  <c r="BT302" i="79" s="1"/>
  <c r="BU301" i="79"/>
  <c r="BU302" i="79" s="1"/>
  <c r="BS302" i="79"/>
  <c r="BS315" i="79" s="1"/>
  <c r="BS331" i="79" s="1"/>
  <c r="CT191" i="79"/>
  <c r="CT196" i="79" s="1"/>
  <c r="AO301" i="79"/>
  <c r="AO302" i="79" s="1"/>
  <c r="AN301" i="79"/>
  <c r="AN302" i="79" s="1"/>
  <c r="AM302" i="79"/>
  <c r="AM315" i="79" s="1"/>
  <c r="AM331" i="79" s="1"/>
  <c r="CK301" i="79"/>
  <c r="CK302" i="79" s="1"/>
  <c r="CJ301" i="79"/>
  <c r="CJ302" i="79" s="1"/>
  <c r="CI302" i="79"/>
  <c r="CI315" i="79" s="1"/>
  <c r="CI331" i="79" s="1"/>
  <c r="FF26" i="79"/>
  <c r="Q87" i="35"/>
  <c r="S87" i="35" s="1"/>
  <c r="S65" i="35"/>
  <c r="DR26" i="79"/>
  <c r="DW237" i="79"/>
  <c r="DW135" i="79"/>
  <c r="FK50" i="80"/>
  <c r="AX187" i="79"/>
  <c r="BL191" i="79"/>
  <c r="BL196" i="79" s="1"/>
  <c r="BM191" i="79"/>
  <c r="BM196" i="79" s="1"/>
  <c r="BK196" i="79"/>
  <c r="BK84" i="79" s="1"/>
  <c r="S29" i="35"/>
  <c r="S72" i="35"/>
  <c r="S25" i="35"/>
  <c r="EW301" i="79"/>
  <c r="EW302" i="79" s="1"/>
  <c r="EV301" i="79"/>
  <c r="EV302" i="79" s="1"/>
  <c r="EU302" i="79"/>
  <c r="EU315" i="79" s="1"/>
  <c r="EU331" i="79" s="1"/>
  <c r="CL26" i="80"/>
  <c r="BV26" i="80"/>
  <c r="DA301" i="79"/>
  <c r="DA302" i="79" s="1"/>
  <c r="CZ301" i="79"/>
  <c r="CZ302" i="79" s="1"/>
  <c r="CY302" i="79"/>
  <c r="CY315" i="79" s="1"/>
  <c r="CY331" i="79" s="1"/>
  <c r="O487" i="80"/>
  <c r="O488" i="80" s="1"/>
  <c r="O489" i="80" s="1"/>
  <c r="O466" i="80" s="1"/>
  <c r="O301" i="80" s="1"/>
  <c r="O481" i="80"/>
  <c r="O484" i="80" s="1"/>
  <c r="O465" i="80" s="1"/>
  <c r="O191" i="80" s="1"/>
  <c r="DG237" i="79"/>
  <c r="DG135" i="79"/>
  <c r="S49" i="35"/>
  <c r="AG301" i="79"/>
  <c r="AG302" i="79" s="1"/>
  <c r="AF301" i="79"/>
  <c r="AF302" i="79" s="1"/>
  <c r="AE302" i="79"/>
  <c r="AE315" i="79" s="1"/>
  <c r="AE331" i="79" s="1"/>
  <c r="AU237" i="79"/>
  <c r="AU135" i="79"/>
  <c r="FN26" i="80"/>
  <c r="FK135" i="79"/>
  <c r="FK237" i="79"/>
  <c r="CI50" i="80"/>
  <c r="EE50" i="79"/>
  <c r="EE251" i="79" s="1"/>
  <c r="EE257" i="79" s="1"/>
  <c r="AF301" i="80"/>
  <c r="AF302" i="80" s="1"/>
  <c r="AG301" i="80"/>
  <c r="AG302" i="80" s="1"/>
  <c r="AE302" i="80"/>
  <c r="AE315" i="80" s="1"/>
  <c r="AE331" i="80" s="1"/>
  <c r="S69" i="35"/>
  <c r="S34" i="35"/>
  <c r="S31" i="35"/>
  <c r="BF26" i="79"/>
  <c r="AH26" i="79"/>
  <c r="CA237" i="79"/>
  <c r="CA135" i="79"/>
  <c r="DJ191" i="79"/>
  <c r="DJ196" i="79" s="1"/>
  <c r="S53" i="35"/>
  <c r="CL26" i="79"/>
  <c r="AW191" i="79"/>
  <c r="AW196" i="79" s="1"/>
  <c r="AV191" i="79"/>
  <c r="AV196" i="79" s="1"/>
  <c r="AF196" i="79"/>
  <c r="DQ301" i="79"/>
  <c r="DQ302" i="79" s="1"/>
  <c r="DP301" i="79"/>
  <c r="DP302" i="79" s="1"/>
  <c r="DO302" i="79"/>
  <c r="DO315" i="79" s="1"/>
  <c r="DO331" i="79" s="1"/>
  <c r="AE135" i="79"/>
  <c r="AE237" i="79"/>
  <c r="AG191" i="80"/>
  <c r="AG196" i="80" s="1"/>
  <c r="AF191" i="80"/>
  <c r="AE196" i="80"/>
  <c r="AE84" i="80" s="1"/>
  <c r="S85" i="35"/>
  <c r="S71" i="35"/>
  <c r="BN26" i="80"/>
  <c r="CT26" i="79"/>
  <c r="EE135" i="79"/>
  <c r="EE237" i="79"/>
  <c r="FC50" i="80"/>
  <c r="AW301" i="79"/>
  <c r="AW302" i="79" s="1"/>
  <c r="AV301" i="79"/>
  <c r="AV302" i="79" s="1"/>
  <c r="AU302" i="79"/>
  <c r="AU315" i="79" s="1"/>
  <c r="AU331" i="79" s="1"/>
  <c r="I44" i="13"/>
  <c r="I44" i="85" s="1"/>
  <c r="K18" i="90" s="1"/>
  <c r="I40" i="13"/>
  <c r="I40" i="85" s="1"/>
  <c r="K14" i="90" s="1"/>
  <c r="I32" i="27"/>
  <c r="I308" i="85" s="1"/>
  <c r="K172" i="90" s="1"/>
  <c r="FN301" i="79"/>
  <c r="FN302" i="79" s="1"/>
  <c r="AP26" i="79"/>
  <c r="DZ191" i="79"/>
  <c r="DZ196" i="79" s="1"/>
  <c r="CA50" i="80"/>
  <c r="S30" i="35"/>
  <c r="S33" i="35"/>
  <c r="CY135" i="79"/>
  <c r="CY237" i="79"/>
  <c r="EX26" i="79"/>
  <c r="Q301" i="79"/>
  <c r="Q302" i="79" s="1"/>
  <c r="P301" i="79"/>
  <c r="P302" i="79" s="1"/>
  <c r="O302" i="79"/>
  <c r="O315" i="79" s="1"/>
  <c r="O331" i="79" s="1"/>
  <c r="CQ50" i="80"/>
  <c r="H44" i="13"/>
  <c r="H44" i="85" s="1"/>
  <c r="J18" i="90" s="1"/>
  <c r="H40" i="13"/>
  <c r="H40" i="85" s="1"/>
  <c r="J14" i="90" s="1"/>
  <c r="H32" i="27"/>
  <c r="H308" i="85" s="1"/>
  <c r="J172" i="90" s="1"/>
  <c r="AX26" i="79"/>
  <c r="CD26" i="80"/>
  <c r="CQ237" i="80"/>
  <c r="CQ135" i="80"/>
  <c r="BD301" i="79"/>
  <c r="BD302" i="79" s="1"/>
  <c r="BE301" i="79"/>
  <c r="BE302" i="79" s="1"/>
  <c r="BC302" i="79"/>
  <c r="BC315" i="79" s="1"/>
  <c r="BC331" i="79" s="1"/>
  <c r="E75" i="36"/>
  <c r="E77" i="36"/>
  <c r="E76" i="36"/>
  <c r="S26" i="35"/>
  <c r="S19" i="35"/>
  <c r="R26" i="80"/>
  <c r="EP26" i="79"/>
  <c r="Q191" i="79"/>
  <c r="Q196" i="79" s="1"/>
  <c r="P191" i="79"/>
  <c r="P196" i="79" s="1"/>
  <c r="O196" i="79"/>
  <c r="O84" i="79" s="1"/>
  <c r="CY50" i="80"/>
  <c r="DO50" i="80"/>
  <c r="J44" i="13" l="1"/>
  <c r="J44" i="85" s="1"/>
  <c r="L18" i="90" s="1"/>
  <c r="J32" i="27"/>
  <c r="J308" i="85" s="1"/>
  <c r="L172" i="90" s="1"/>
  <c r="J40" i="13"/>
  <c r="J40" i="85" s="1"/>
  <c r="L14" i="90" s="1"/>
  <c r="CQ438" i="79"/>
  <c r="S19" i="82"/>
  <c r="O394" i="79"/>
  <c r="E294" i="136"/>
  <c r="F85" i="35"/>
  <c r="I42" i="13" s="1"/>
  <c r="F273" i="136"/>
  <c r="F268" i="136"/>
  <c r="F267" i="136"/>
  <c r="F264" i="136"/>
  <c r="F262" i="136"/>
  <c r="F266" i="136"/>
  <c r="F271" i="136"/>
  <c r="E85" i="35"/>
  <c r="E387" i="85" s="1"/>
  <c r="E267" i="136"/>
  <c r="E264" i="136"/>
  <c r="E295" i="136"/>
  <c r="E273" i="136"/>
  <c r="E262" i="136"/>
  <c r="E266" i="136"/>
  <c r="E296" i="136"/>
  <c r="E271" i="136"/>
  <c r="E268" i="136"/>
  <c r="G85" i="35"/>
  <c r="J111" i="13" s="1"/>
  <c r="G264" i="136"/>
  <c r="G273" i="136"/>
  <c r="G262" i="136"/>
  <c r="G271" i="136"/>
  <c r="G268" i="136"/>
  <c r="G267" i="136"/>
  <c r="G266" i="136"/>
  <c r="R27" i="35"/>
  <c r="DQ406" i="80"/>
  <c r="DQ450" i="80" s="1"/>
  <c r="DQ48" i="80" s="1"/>
  <c r="DQ393" i="80" s="1"/>
  <c r="CA438" i="79"/>
  <c r="DG394" i="79"/>
  <c r="CI438" i="79"/>
  <c r="O438" i="79"/>
  <c r="CI394" i="79"/>
  <c r="CA394" i="79"/>
  <c r="FF301" i="79"/>
  <c r="FF302" i="79" s="1"/>
  <c r="G161" i="13"/>
  <c r="G161" i="85" s="1"/>
  <c r="CQ237" i="79"/>
  <c r="CQ260" i="79" s="1"/>
  <c r="CQ322" i="79" s="1"/>
  <c r="J38" i="77"/>
  <c r="G406" i="80"/>
  <c r="R70" i="35"/>
  <c r="R73" i="35" s="1"/>
  <c r="R74" i="35" s="1"/>
  <c r="R83" i="35" s="1"/>
  <c r="J39" i="77"/>
  <c r="Q70" i="35"/>
  <c r="Q73" i="35" s="1"/>
  <c r="S22" i="35"/>
  <c r="Q27" i="35"/>
  <c r="S21" i="35"/>
  <c r="R84" i="35"/>
  <c r="S84" i="35" s="1"/>
  <c r="DG438" i="79"/>
  <c r="BK394" i="79"/>
  <c r="FK394" i="79"/>
  <c r="EU394" i="79"/>
  <c r="AU394" i="79"/>
  <c r="W394" i="79"/>
  <c r="EM394" i="79"/>
  <c r="BC394" i="79"/>
  <c r="DW394" i="79"/>
  <c r="DO394" i="79"/>
  <c r="AE394" i="79"/>
  <c r="FC394" i="79"/>
  <c r="BS394" i="79"/>
  <c r="CY394" i="79"/>
  <c r="EE394" i="79"/>
  <c r="AM394" i="79"/>
  <c r="CY260" i="79"/>
  <c r="CY322" i="79" s="1"/>
  <c r="AE260" i="79"/>
  <c r="AE322" i="79" s="1"/>
  <c r="BF409" i="80"/>
  <c r="BF406" i="80"/>
  <c r="BF450" i="80" s="1"/>
  <c r="CD409" i="80"/>
  <c r="CD406" i="80"/>
  <c r="CD450" i="80" s="1"/>
  <c r="DJ409" i="80"/>
  <c r="DJ406" i="80"/>
  <c r="DJ450" i="80" s="1"/>
  <c r="DZ409" i="80"/>
  <c r="DZ406" i="80"/>
  <c r="DZ450" i="80" s="1"/>
  <c r="Y409" i="79"/>
  <c r="Y406" i="79"/>
  <c r="Y450" i="79" s="1"/>
  <c r="AV409" i="79"/>
  <c r="AV406" i="79"/>
  <c r="AV450" i="79" s="1"/>
  <c r="BU409" i="79"/>
  <c r="BU406" i="79"/>
  <c r="BU450" i="79" s="1"/>
  <c r="EO409" i="79"/>
  <c r="EO406" i="79"/>
  <c r="EO450" i="79" s="1"/>
  <c r="AP409" i="80"/>
  <c r="AP406" i="80"/>
  <c r="CB409" i="79"/>
  <c r="CB406" i="79"/>
  <c r="CB450" i="79" s="1"/>
  <c r="FK438" i="79"/>
  <c r="FC438" i="79"/>
  <c r="EU438" i="79"/>
  <c r="AG409" i="80"/>
  <c r="AG406" i="80"/>
  <c r="AG450" i="80" s="1"/>
  <c r="CL409" i="80"/>
  <c r="CL406" i="80"/>
  <c r="CI406" i="80" s="1"/>
  <c r="DB409" i="80"/>
  <c r="DB406" i="80"/>
  <c r="CY406" i="80" s="1"/>
  <c r="DH409" i="80"/>
  <c r="DH406" i="80"/>
  <c r="DH450" i="80" s="1"/>
  <c r="DR409" i="80"/>
  <c r="DR406" i="80"/>
  <c r="DR450" i="80" s="1"/>
  <c r="EN409" i="80"/>
  <c r="EN406" i="80"/>
  <c r="EN450" i="80" s="1"/>
  <c r="FN409" i="80"/>
  <c r="FN406" i="80"/>
  <c r="FK406" i="80" s="1"/>
  <c r="X409" i="79"/>
  <c r="X406" i="79"/>
  <c r="X450" i="79" s="1"/>
  <c r="AG409" i="79"/>
  <c r="AG406" i="79"/>
  <c r="AG450" i="79" s="1"/>
  <c r="AN409" i="79"/>
  <c r="AN406" i="79"/>
  <c r="AN450" i="79" s="1"/>
  <c r="BM409" i="79"/>
  <c r="BM406" i="79"/>
  <c r="BM450" i="79" s="1"/>
  <c r="CC409" i="79"/>
  <c r="CC406" i="79"/>
  <c r="CC450" i="79" s="1"/>
  <c r="DI409" i="79"/>
  <c r="DI406" i="79"/>
  <c r="DI450" i="79" s="1"/>
  <c r="DY409" i="79"/>
  <c r="DY406" i="79"/>
  <c r="DY450" i="79" s="1"/>
  <c r="EN409" i="79"/>
  <c r="EN406" i="79"/>
  <c r="EN450" i="79" s="1"/>
  <c r="EV409" i="79"/>
  <c r="EV406" i="79"/>
  <c r="EV450" i="79" s="1"/>
  <c r="FF409" i="80"/>
  <c r="FF406" i="80"/>
  <c r="FC406" i="80" s="1"/>
  <c r="W438" i="79"/>
  <c r="Q409" i="79"/>
  <c r="Q406" i="79"/>
  <c r="Q450" i="79" s="1"/>
  <c r="R409" i="80"/>
  <c r="R406" i="80"/>
  <c r="O406" i="80" s="1"/>
  <c r="BN409" i="80"/>
  <c r="BN406" i="80"/>
  <c r="BK406" i="80" s="1"/>
  <c r="DP409" i="80"/>
  <c r="DP406" i="80"/>
  <c r="DP450" i="80" s="1"/>
  <c r="DX409" i="80"/>
  <c r="DX406" i="80"/>
  <c r="DX450" i="80" s="1"/>
  <c r="EH409" i="80"/>
  <c r="EH406" i="80"/>
  <c r="EE406" i="80" s="1"/>
  <c r="EP409" i="80"/>
  <c r="EP406" i="80"/>
  <c r="EX409" i="80"/>
  <c r="EX406" i="80"/>
  <c r="EU406" i="80" s="1"/>
  <c r="AO409" i="79"/>
  <c r="AO406" i="79"/>
  <c r="AO450" i="79" s="1"/>
  <c r="BE409" i="79"/>
  <c r="BE406" i="79"/>
  <c r="BE450" i="79" s="1"/>
  <c r="CJ409" i="79"/>
  <c r="CJ406" i="79"/>
  <c r="CJ450" i="79" s="1"/>
  <c r="DH409" i="79"/>
  <c r="DH406" i="79"/>
  <c r="DH450" i="79" s="1"/>
  <c r="EG409" i="79"/>
  <c r="EG406" i="79"/>
  <c r="EG450" i="79" s="1"/>
  <c r="EW409" i="79"/>
  <c r="EW406" i="79"/>
  <c r="EW450" i="79" s="1"/>
  <c r="Z409" i="80"/>
  <c r="Z406" i="80"/>
  <c r="W406" i="80" s="1"/>
  <c r="DO438" i="79"/>
  <c r="AE438" i="79"/>
  <c r="BS438" i="79"/>
  <c r="CY438" i="79"/>
  <c r="EE438" i="79"/>
  <c r="AM438" i="79"/>
  <c r="AN409" i="80"/>
  <c r="AN406" i="80"/>
  <c r="AN450" i="80" s="1"/>
  <c r="AV409" i="80"/>
  <c r="AV406" i="80"/>
  <c r="AV450" i="80" s="1"/>
  <c r="AX409" i="80"/>
  <c r="AX406" i="80"/>
  <c r="AX450" i="80" s="1"/>
  <c r="BD409" i="80"/>
  <c r="BD406" i="80"/>
  <c r="CB409" i="80"/>
  <c r="CB406" i="80"/>
  <c r="CR409" i="80"/>
  <c r="CR406" i="80"/>
  <c r="CR450" i="80" s="1"/>
  <c r="CT409" i="80"/>
  <c r="CT406" i="80"/>
  <c r="CT450" i="80" s="1"/>
  <c r="CS409" i="80"/>
  <c r="CS406" i="80"/>
  <c r="CS450" i="80" s="1"/>
  <c r="AF409" i="79"/>
  <c r="AF406" i="79"/>
  <c r="AF450" i="79" s="1"/>
  <c r="AW409" i="79"/>
  <c r="AW406" i="79"/>
  <c r="AW450" i="79" s="1"/>
  <c r="BT409" i="79"/>
  <c r="BT406" i="79"/>
  <c r="BT450" i="79" s="1"/>
  <c r="CK409" i="79"/>
  <c r="CK406" i="79"/>
  <c r="CK450" i="79" s="1"/>
  <c r="CS409" i="79"/>
  <c r="CS406" i="79"/>
  <c r="CS450" i="79" s="1"/>
  <c r="DQ409" i="79"/>
  <c r="DQ406" i="79"/>
  <c r="DQ450" i="79" s="1"/>
  <c r="EF409" i="79"/>
  <c r="EF406" i="79"/>
  <c r="EF450" i="79" s="1"/>
  <c r="FM409" i="79"/>
  <c r="FM406" i="79"/>
  <c r="FM450" i="79" s="1"/>
  <c r="FL409" i="79"/>
  <c r="FL406" i="79"/>
  <c r="FL450" i="79" s="1"/>
  <c r="DA409" i="79"/>
  <c r="DA406" i="79"/>
  <c r="DA450" i="79" s="1"/>
  <c r="BV409" i="80"/>
  <c r="BV406" i="80"/>
  <c r="BS406" i="80" s="1"/>
  <c r="FE409" i="79"/>
  <c r="FE406" i="79"/>
  <c r="FE450" i="79" s="1"/>
  <c r="AU438" i="79"/>
  <c r="BK438" i="79"/>
  <c r="EM438" i="79"/>
  <c r="BC438" i="79"/>
  <c r="DW438" i="79"/>
  <c r="CA260" i="79"/>
  <c r="CA322" i="79" s="1"/>
  <c r="DW260" i="79"/>
  <c r="DW322" i="79" s="1"/>
  <c r="DR191" i="79"/>
  <c r="DR196" i="79" s="1"/>
  <c r="G421" i="80"/>
  <c r="EE260" i="79"/>
  <c r="EE322" i="79" s="1"/>
  <c r="CY52" i="80"/>
  <c r="CY79" i="80" s="1"/>
  <c r="CY251" i="80"/>
  <c r="CY257" i="80" s="1"/>
  <c r="DG260" i="79"/>
  <c r="DG322" i="79" s="1"/>
  <c r="BS260" i="79"/>
  <c r="BS322" i="79" s="1"/>
  <c r="W52" i="80"/>
  <c r="W79" i="80" s="1"/>
  <c r="W251" i="80"/>
  <c r="W257" i="80" s="1"/>
  <c r="EE52" i="80"/>
  <c r="EE79" i="80" s="1"/>
  <c r="EE251" i="80"/>
  <c r="EE257" i="80" s="1"/>
  <c r="O52" i="80"/>
  <c r="O79" i="80" s="1"/>
  <c r="O251" i="80"/>
  <c r="O257" i="80" s="1"/>
  <c r="AM52" i="80"/>
  <c r="AM79" i="80" s="1"/>
  <c r="AM251" i="80"/>
  <c r="AM257" i="80" s="1"/>
  <c r="AE52" i="80"/>
  <c r="AE79" i="80" s="1"/>
  <c r="AE251" i="80"/>
  <c r="AE257" i="80" s="1"/>
  <c r="EM260" i="79"/>
  <c r="EM322" i="79" s="1"/>
  <c r="BS52" i="80"/>
  <c r="BS79" i="80" s="1"/>
  <c r="BS251" i="80"/>
  <c r="BS257" i="80" s="1"/>
  <c r="EU52" i="80"/>
  <c r="EU79" i="80" s="1"/>
  <c r="EU251" i="80"/>
  <c r="EU257" i="80" s="1"/>
  <c r="DO52" i="80"/>
  <c r="DO79" i="80" s="1"/>
  <c r="DO251" i="80"/>
  <c r="DO257" i="80" s="1"/>
  <c r="FC52" i="80"/>
  <c r="FC79" i="80" s="1"/>
  <c r="FC251" i="80"/>
  <c r="FC257" i="80" s="1"/>
  <c r="CA52" i="80"/>
  <c r="CA79" i="80" s="1"/>
  <c r="CA251" i="80"/>
  <c r="CA257" i="80" s="1"/>
  <c r="BC52" i="80"/>
  <c r="BC79" i="80" s="1"/>
  <c r="BC161" i="80" s="1"/>
  <c r="BC251" i="80"/>
  <c r="BC257" i="80" s="1"/>
  <c r="BC260" i="80" s="1"/>
  <c r="BC322" i="80" s="1"/>
  <c r="AU52" i="80"/>
  <c r="AU79" i="80" s="1"/>
  <c r="AU251" i="80"/>
  <c r="AU257" i="80" s="1"/>
  <c r="R420" i="80"/>
  <c r="R421" i="80" s="1"/>
  <c r="R452" i="80" s="1"/>
  <c r="DG52" i="80"/>
  <c r="DG79" i="80" s="1"/>
  <c r="DG251" i="80"/>
  <c r="DG257" i="80" s="1"/>
  <c r="EU260" i="79"/>
  <c r="EU322" i="79" s="1"/>
  <c r="CI52" i="80"/>
  <c r="CI79" i="80" s="1"/>
  <c r="CI161" i="80" s="1"/>
  <c r="CI251" i="80"/>
  <c r="CI257" i="80" s="1"/>
  <c r="CI260" i="80" s="1"/>
  <c r="CI322" i="80" s="1"/>
  <c r="FK52" i="80"/>
  <c r="FK79" i="80" s="1"/>
  <c r="FK161" i="80" s="1"/>
  <c r="FK251" i="80"/>
  <c r="FK257" i="80" s="1"/>
  <c r="FK260" i="80" s="1"/>
  <c r="FK322" i="80" s="1"/>
  <c r="EM52" i="80"/>
  <c r="EM79" i="80" s="1"/>
  <c r="EM251" i="80"/>
  <c r="EM257" i="80" s="1"/>
  <c r="CQ52" i="80"/>
  <c r="CQ79" i="80" s="1"/>
  <c r="CQ161" i="80" s="1"/>
  <c r="CQ251" i="80"/>
  <c r="CQ257" i="80" s="1"/>
  <c r="CQ260" i="80" s="1"/>
  <c r="CQ322" i="80" s="1"/>
  <c r="FK260" i="79"/>
  <c r="FK322" i="79" s="1"/>
  <c r="AU260" i="79"/>
  <c r="AU322" i="79" s="1"/>
  <c r="DW52" i="80"/>
  <c r="DW79" i="80" s="1"/>
  <c r="DW251" i="80"/>
  <c r="DW257" i="80" s="1"/>
  <c r="BK52" i="80"/>
  <c r="BK79" i="80" s="1"/>
  <c r="BK251" i="80"/>
  <c r="BK257" i="80" s="1"/>
  <c r="FC260" i="79"/>
  <c r="FC322" i="79" s="1"/>
  <c r="AM260" i="79"/>
  <c r="AM322" i="79" s="1"/>
  <c r="FN420" i="79"/>
  <c r="FN421" i="79" s="1"/>
  <c r="FN452" i="79" s="1"/>
  <c r="DG52" i="79"/>
  <c r="DG79" i="79" s="1"/>
  <c r="DG161" i="79" s="1"/>
  <c r="DG413" i="79"/>
  <c r="DG414" i="79" s="1"/>
  <c r="CI52" i="79"/>
  <c r="CI79" i="79" s="1"/>
  <c r="CI413" i="79"/>
  <c r="CI414" i="79" s="1"/>
  <c r="AE52" i="79"/>
  <c r="AE79" i="79" s="1"/>
  <c r="AE161" i="79" s="1"/>
  <c r="AE413" i="79"/>
  <c r="AE414" i="79" s="1"/>
  <c r="W52" i="79"/>
  <c r="W79" i="79" s="1"/>
  <c r="W413" i="79"/>
  <c r="W414" i="79" s="1"/>
  <c r="CA52" i="79"/>
  <c r="CA79" i="79" s="1"/>
  <c r="CA161" i="79" s="1"/>
  <c r="CA413" i="79"/>
  <c r="CA414" i="79" s="1"/>
  <c r="W237" i="79"/>
  <c r="W260" i="79" s="1"/>
  <c r="W322" i="79" s="1"/>
  <c r="W84" i="79"/>
  <c r="W135" i="79" s="1"/>
  <c r="AH420" i="79"/>
  <c r="AH421" i="79" s="1"/>
  <c r="AH452" i="79" s="1"/>
  <c r="CT420" i="79"/>
  <c r="CT421" i="79" s="1"/>
  <c r="CQ421" i="79" s="1"/>
  <c r="DO52" i="79"/>
  <c r="DO79" i="79" s="1"/>
  <c r="DO161" i="79" s="1"/>
  <c r="DO413" i="79"/>
  <c r="DO414" i="79" s="1"/>
  <c r="EU52" i="79"/>
  <c r="EU79" i="79" s="1"/>
  <c r="EU161" i="79" s="1"/>
  <c r="EU413" i="79"/>
  <c r="EU414" i="79" s="1"/>
  <c r="BK52" i="79"/>
  <c r="BK79" i="79" s="1"/>
  <c r="BK413" i="79"/>
  <c r="BK414" i="79" s="1"/>
  <c r="FK52" i="79"/>
  <c r="FK79" i="79" s="1"/>
  <c r="FK161" i="79" s="1"/>
  <c r="FK413" i="79"/>
  <c r="FK414" i="79" s="1"/>
  <c r="AU52" i="79"/>
  <c r="AU79" i="79" s="1"/>
  <c r="AU161" i="79" s="1"/>
  <c r="AU413" i="79"/>
  <c r="AU414" i="79" s="1"/>
  <c r="O52" i="79"/>
  <c r="O79" i="79" s="1"/>
  <c r="O413" i="79"/>
  <c r="O414" i="79" s="1"/>
  <c r="EE52" i="79"/>
  <c r="EE79" i="79" s="1"/>
  <c r="EE161" i="79" s="1"/>
  <c r="EE413" i="79"/>
  <c r="EE414" i="79" s="1"/>
  <c r="FC52" i="79"/>
  <c r="FC79" i="79" s="1"/>
  <c r="FC161" i="79" s="1"/>
  <c r="FC413" i="79"/>
  <c r="FC414" i="79" s="1"/>
  <c r="EH420" i="79"/>
  <c r="EH421" i="79" s="1"/>
  <c r="EH452" i="79" s="1"/>
  <c r="BS52" i="79"/>
  <c r="BS79" i="79" s="1"/>
  <c r="BS161" i="79" s="1"/>
  <c r="BS413" i="79"/>
  <c r="BS414" i="79" s="1"/>
  <c r="BC52" i="79"/>
  <c r="BC79" i="79" s="1"/>
  <c r="BC413" i="79"/>
  <c r="BC414" i="79" s="1"/>
  <c r="AM52" i="79"/>
  <c r="AM79" i="79" s="1"/>
  <c r="AM161" i="79" s="1"/>
  <c r="AM413" i="79"/>
  <c r="AM414" i="79" s="1"/>
  <c r="CQ52" i="79"/>
  <c r="CQ79" i="79" s="1"/>
  <c r="CQ161" i="79" s="1"/>
  <c r="CQ413" i="79"/>
  <c r="CQ414" i="79" s="1"/>
  <c r="EM52" i="79"/>
  <c r="EM79" i="79" s="1"/>
  <c r="EM161" i="79" s="1"/>
  <c r="EM413" i="79"/>
  <c r="EM414" i="79" s="1"/>
  <c r="CY52" i="79"/>
  <c r="CY79" i="79" s="1"/>
  <c r="CY161" i="79" s="1"/>
  <c r="CY413" i="79"/>
  <c r="CY414" i="79" s="1"/>
  <c r="DW52" i="79"/>
  <c r="DW79" i="79" s="1"/>
  <c r="DW161" i="79" s="1"/>
  <c r="DW413" i="79"/>
  <c r="DW414" i="79" s="1"/>
  <c r="CI237" i="79"/>
  <c r="CI260" i="79" s="1"/>
  <c r="CI322" i="79" s="1"/>
  <c r="CI84" i="79"/>
  <c r="CI135" i="79" s="1"/>
  <c r="DB420" i="80"/>
  <c r="DB421" i="80" s="1"/>
  <c r="DB452" i="80" s="1"/>
  <c r="DX420" i="80"/>
  <c r="DX421" i="80" s="1"/>
  <c r="DX452" i="80" s="1"/>
  <c r="BN405" i="79"/>
  <c r="BV405" i="79"/>
  <c r="EN430" i="80"/>
  <c r="Z420" i="79"/>
  <c r="Z421" i="79" s="1"/>
  <c r="Z452" i="79" s="1"/>
  <c r="EN420" i="80"/>
  <c r="EN421" i="80" s="1"/>
  <c r="EN452" i="80" s="1"/>
  <c r="AX420" i="79"/>
  <c r="AX421" i="79" s="1"/>
  <c r="AX452" i="79" s="1"/>
  <c r="BV420" i="79"/>
  <c r="BV421" i="79" s="1"/>
  <c r="BS421" i="79" s="1"/>
  <c r="DR420" i="79"/>
  <c r="DR421" i="79" s="1"/>
  <c r="DR452" i="79" s="1"/>
  <c r="CD405" i="79"/>
  <c r="BV420" i="80"/>
  <c r="BV421" i="80" s="1"/>
  <c r="BV452" i="80" s="1"/>
  <c r="DJ420" i="80"/>
  <c r="DJ421" i="80" s="1"/>
  <c r="DJ452" i="80" s="1"/>
  <c r="CD420" i="79"/>
  <c r="CD421" i="79" s="1"/>
  <c r="CA421" i="79" s="1"/>
  <c r="CL405" i="79"/>
  <c r="DZ420" i="79"/>
  <c r="DZ421" i="79" s="1"/>
  <c r="DZ452" i="79" s="1"/>
  <c r="EX420" i="79"/>
  <c r="EX421" i="79" s="1"/>
  <c r="EX452" i="79" s="1"/>
  <c r="FN405" i="79"/>
  <c r="FF405" i="79"/>
  <c r="FF420" i="79"/>
  <c r="FF421" i="79" s="1"/>
  <c r="FF452" i="79" s="1"/>
  <c r="FD424" i="79"/>
  <c r="FD430" i="79" s="1"/>
  <c r="FD405" i="79"/>
  <c r="EX405" i="79"/>
  <c r="EP420" i="79"/>
  <c r="EP421" i="79" s="1"/>
  <c r="EP452" i="79" s="1"/>
  <c r="EP405" i="79"/>
  <c r="EH405" i="79"/>
  <c r="DZ405" i="79"/>
  <c r="DX405" i="79"/>
  <c r="DP424" i="79"/>
  <c r="DP430" i="79" s="1"/>
  <c r="DP405" i="79"/>
  <c r="DR405" i="79"/>
  <c r="DJ420" i="79"/>
  <c r="DJ421" i="79" s="1"/>
  <c r="DG421" i="79" s="1"/>
  <c r="DJ405" i="79"/>
  <c r="DB420" i="79"/>
  <c r="DB421" i="79" s="1"/>
  <c r="DB452" i="79" s="1"/>
  <c r="CZ424" i="79"/>
  <c r="CZ430" i="79" s="1"/>
  <c r="CZ405" i="79"/>
  <c r="DB405" i="79"/>
  <c r="CR424" i="79"/>
  <c r="CR430" i="79" s="1"/>
  <c r="CR405" i="79"/>
  <c r="CT405" i="79"/>
  <c r="CL420" i="79"/>
  <c r="CL421" i="79" s="1"/>
  <c r="CL452" i="79" s="1"/>
  <c r="BN420" i="79"/>
  <c r="BN421" i="79" s="1"/>
  <c r="BK421" i="79" s="1"/>
  <c r="BL424" i="79"/>
  <c r="BL430" i="79" s="1"/>
  <c r="BL405" i="79"/>
  <c r="BD424" i="79"/>
  <c r="BD430" i="79" s="1"/>
  <c r="BD405" i="79"/>
  <c r="BF420" i="79"/>
  <c r="BF421" i="79" s="1"/>
  <c r="BC421" i="79" s="1"/>
  <c r="BF405" i="79"/>
  <c r="AX405" i="79"/>
  <c r="AP420" i="79"/>
  <c r="AP421" i="79" s="1"/>
  <c r="AM421" i="79" s="1"/>
  <c r="AP405" i="79"/>
  <c r="AH405" i="79"/>
  <c r="Z405" i="79"/>
  <c r="FN420" i="80"/>
  <c r="FN421" i="80" s="1"/>
  <c r="FN452" i="80" s="1"/>
  <c r="FF420" i="80"/>
  <c r="FF421" i="80" s="1"/>
  <c r="FF452" i="80" s="1"/>
  <c r="EX420" i="80"/>
  <c r="EX421" i="80" s="1"/>
  <c r="EX452" i="80" s="1"/>
  <c r="EP420" i="80"/>
  <c r="EP421" i="80" s="1"/>
  <c r="EP452" i="80" s="1"/>
  <c r="EH420" i="80"/>
  <c r="EH421" i="80" s="1"/>
  <c r="EH452" i="80" s="1"/>
  <c r="DZ420" i="80"/>
  <c r="DZ421" i="80" s="1"/>
  <c r="DZ452" i="80" s="1"/>
  <c r="DX430" i="80"/>
  <c r="DR420" i="80"/>
  <c r="DR421" i="80" s="1"/>
  <c r="DR452" i="80" s="1"/>
  <c r="CT420" i="80"/>
  <c r="CT421" i="80" s="1"/>
  <c r="CT452" i="80" s="1"/>
  <c r="CL420" i="80"/>
  <c r="CL421" i="80" s="1"/>
  <c r="CI421" i="80" s="1"/>
  <c r="CD420" i="80"/>
  <c r="CD421" i="80" s="1"/>
  <c r="CD452" i="80" s="1"/>
  <c r="BN420" i="80"/>
  <c r="BN421" i="80" s="1"/>
  <c r="BN452" i="80" s="1"/>
  <c r="BF420" i="80"/>
  <c r="BF421" i="80" s="1"/>
  <c r="BF452" i="80" s="1"/>
  <c r="AX420" i="80"/>
  <c r="AX421" i="80" s="1"/>
  <c r="AX452" i="80" s="1"/>
  <c r="AV430" i="80"/>
  <c r="AV420" i="80"/>
  <c r="AV421" i="80" s="1"/>
  <c r="AV452" i="80" s="1"/>
  <c r="AP420" i="80"/>
  <c r="AP421" i="80" s="1"/>
  <c r="AP452" i="80" s="1"/>
  <c r="AH405" i="80"/>
  <c r="AH419" i="80"/>
  <c r="AH420" i="80" s="1"/>
  <c r="AH421" i="80" s="1"/>
  <c r="AH452" i="80" s="1"/>
  <c r="AH425" i="80"/>
  <c r="Z420" i="80"/>
  <c r="Z421" i="80" s="1"/>
  <c r="Z452" i="80" s="1"/>
  <c r="Q420" i="79"/>
  <c r="Q421" i="79" s="1"/>
  <c r="Q452" i="79" s="1"/>
  <c r="R424" i="79"/>
  <c r="P430" i="79"/>
  <c r="R425" i="79"/>
  <c r="P405" i="79"/>
  <c r="P420" i="79"/>
  <c r="P421" i="79" s="1"/>
  <c r="P452" i="79" s="1"/>
  <c r="R405" i="79"/>
  <c r="Z191" i="79"/>
  <c r="Z196" i="79" s="1"/>
  <c r="EX191" i="79"/>
  <c r="EX196" i="79" s="1"/>
  <c r="BV191" i="79"/>
  <c r="BV196" i="79" s="1"/>
  <c r="AU135" i="80"/>
  <c r="CA135" i="80"/>
  <c r="EE135" i="80"/>
  <c r="EM135" i="80"/>
  <c r="BK237" i="80"/>
  <c r="FC237" i="80"/>
  <c r="DG237" i="80"/>
  <c r="AM135" i="80"/>
  <c r="BS135" i="80"/>
  <c r="S21" i="82"/>
  <c r="DJ301" i="79"/>
  <c r="DJ302" i="79" s="1"/>
  <c r="CD191" i="79"/>
  <c r="CD196" i="79" s="1"/>
  <c r="I65" i="13"/>
  <c r="I65" i="80" s="1"/>
  <c r="I47" i="13"/>
  <c r="J65" i="13"/>
  <c r="I17" i="13"/>
  <c r="J47" i="13"/>
  <c r="J47" i="79" s="1"/>
  <c r="J392" i="79" s="1"/>
  <c r="J17" i="13"/>
  <c r="J17" i="79" s="1"/>
  <c r="J411" i="79" s="1"/>
  <c r="J427" i="79" s="1"/>
  <c r="AX301" i="80"/>
  <c r="AX302" i="80" s="1"/>
  <c r="CD301" i="79"/>
  <c r="CD302" i="79" s="1"/>
  <c r="EH301" i="79"/>
  <c r="EH302" i="79" s="1"/>
  <c r="FF191" i="79"/>
  <c r="FF196" i="79" s="1"/>
  <c r="EP301" i="79"/>
  <c r="EP302" i="79" s="1"/>
  <c r="EH301" i="80"/>
  <c r="EH302" i="80" s="1"/>
  <c r="CL191" i="79"/>
  <c r="CL196" i="79" s="1"/>
  <c r="EP191" i="79"/>
  <c r="EP196" i="79" s="1"/>
  <c r="CT301" i="80"/>
  <c r="CT302" i="80" s="1"/>
  <c r="EX301" i="80"/>
  <c r="EX302" i="80" s="1"/>
  <c r="H47" i="13"/>
  <c r="H65" i="13"/>
  <c r="H65" i="85" s="1"/>
  <c r="J31" i="90" s="1"/>
  <c r="AW450" i="80"/>
  <c r="BU450" i="80"/>
  <c r="H17" i="13"/>
  <c r="H17" i="85" s="1"/>
  <c r="J3" i="90" s="1"/>
  <c r="F28" i="35"/>
  <c r="F28" i="82"/>
  <c r="F32" i="35"/>
  <c r="F32" i="82"/>
  <c r="E28" i="35"/>
  <c r="E28" i="82"/>
  <c r="G28" i="35"/>
  <c r="G28" i="82"/>
  <c r="FN301" i="80"/>
  <c r="FN302" i="80" s="1"/>
  <c r="E32" i="35"/>
  <c r="E32" i="82"/>
  <c r="G32" i="35"/>
  <c r="G32" i="82"/>
  <c r="AU237" i="80"/>
  <c r="DJ301" i="80"/>
  <c r="DJ302" i="80" s="1"/>
  <c r="DB191" i="79"/>
  <c r="DB196" i="79" s="1"/>
  <c r="FN191" i="80"/>
  <c r="FN196" i="80" s="1"/>
  <c r="AX191" i="80"/>
  <c r="AX196" i="80" s="1"/>
  <c r="BN301" i="80"/>
  <c r="BN302" i="80" s="1"/>
  <c r="CD301" i="80"/>
  <c r="CD302" i="80" s="1"/>
  <c r="BS237" i="80"/>
  <c r="EH191" i="80"/>
  <c r="EH196" i="80" s="1"/>
  <c r="R27" i="82"/>
  <c r="R70" i="82"/>
  <c r="R73" i="82" s="1"/>
  <c r="R74" i="82" s="1"/>
  <c r="R83" i="82" s="1"/>
  <c r="AA38" i="83"/>
  <c r="R84" i="82"/>
  <c r="CL191" i="80"/>
  <c r="CL196" i="80" s="1"/>
  <c r="Y196" i="80"/>
  <c r="FC135" i="80"/>
  <c r="DG135" i="80"/>
  <c r="FF191" i="80"/>
  <c r="FF196" i="80" s="1"/>
  <c r="EH191" i="79"/>
  <c r="EH196" i="79" s="1"/>
  <c r="BF191" i="80"/>
  <c r="BF196" i="80" s="1"/>
  <c r="BV191" i="80"/>
  <c r="BV196" i="80" s="1"/>
  <c r="AP301" i="80"/>
  <c r="AP302" i="80" s="1"/>
  <c r="EM237" i="80"/>
  <c r="CA237" i="80"/>
  <c r="G19" i="82"/>
  <c r="G21" i="82" s="1"/>
  <c r="G22" i="82" s="1"/>
  <c r="G84" i="82" s="1"/>
  <c r="DJ191" i="80"/>
  <c r="DJ196" i="80" s="1"/>
  <c r="CD191" i="80"/>
  <c r="CD196" i="80" s="1"/>
  <c r="BL450" i="80"/>
  <c r="BE450" i="80"/>
  <c r="CL301" i="80"/>
  <c r="CL302" i="80" s="1"/>
  <c r="FE450" i="80"/>
  <c r="EP191" i="80"/>
  <c r="EP196" i="80" s="1"/>
  <c r="F19" i="82"/>
  <c r="F21" i="82" s="1"/>
  <c r="F22" i="82" s="1"/>
  <c r="F84" i="82" s="1"/>
  <c r="EE237" i="80"/>
  <c r="DB301" i="80"/>
  <c r="DB302" i="80" s="1"/>
  <c r="BN191" i="80"/>
  <c r="BN196" i="80" s="1"/>
  <c r="CT191" i="80"/>
  <c r="CT196" i="80" s="1"/>
  <c r="X196" i="80"/>
  <c r="FF301" i="80"/>
  <c r="FF302" i="80" s="1"/>
  <c r="BK135" i="80"/>
  <c r="EG450" i="80"/>
  <c r="Z187" i="80"/>
  <c r="Z196" i="80" s="1"/>
  <c r="DY450" i="80"/>
  <c r="BV301" i="80"/>
  <c r="BV302" i="80" s="1"/>
  <c r="AF196" i="80"/>
  <c r="BT450" i="80"/>
  <c r="EW450" i="80"/>
  <c r="Q450" i="80"/>
  <c r="EP301" i="80"/>
  <c r="EP302" i="80" s="1"/>
  <c r="AO450" i="80"/>
  <c r="Y450" i="80"/>
  <c r="AM237" i="80"/>
  <c r="DA450" i="80"/>
  <c r="DR301" i="80"/>
  <c r="DR302" i="80" s="1"/>
  <c r="AF450" i="80"/>
  <c r="EF450" i="80"/>
  <c r="AO196" i="80"/>
  <c r="P450" i="80"/>
  <c r="W135" i="80"/>
  <c r="W237" i="80"/>
  <c r="FM450" i="80"/>
  <c r="Z301" i="80"/>
  <c r="Z302" i="80" s="1"/>
  <c r="Z301" i="79"/>
  <c r="Z302" i="79" s="1"/>
  <c r="BD302" i="80"/>
  <c r="BF301" i="80"/>
  <c r="BF302" i="80" s="1"/>
  <c r="DW237" i="80"/>
  <c r="DW135" i="80"/>
  <c r="DB191" i="80"/>
  <c r="DB196" i="80" s="1"/>
  <c r="CZ196" i="80"/>
  <c r="EU237" i="80"/>
  <c r="EU135" i="80"/>
  <c r="CY135" i="80"/>
  <c r="CY237" i="80"/>
  <c r="EX191" i="80"/>
  <c r="EX196" i="80" s="1"/>
  <c r="EV196" i="80"/>
  <c r="DX302" i="80"/>
  <c r="DZ301" i="80"/>
  <c r="DZ302" i="80" s="1"/>
  <c r="DO237" i="80"/>
  <c r="DO135" i="80"/>
  <c r="DX196" i="80"/>
  <c r="DZ191" i="80"/>
  <c r="DZ196" i="80" s="1"/>
  <c r="DP196" i="80"/>
  <c r="DR191" i="80"/>
  <c r="DR196" i="80" s="1"/>
  <c r="EV450" i="80"/>
  <c r="Q84" i="82"/>
  <c r="S22" i="82"/>
  <c r="Q27" i="82"/>
  <c r="Q70" i="82"/>
  <c r="FD450" i="80"/>
  <c r="CK452" i="80"/>
  <c r="Q87" i="82"/>
  <c r="S87" i="82" s="1"/>
  <c r="S65" i="82"/>
  <c r="CJ450" i="80"/>
  <c r="DX452" i="79"/>
  <c r="CJ452" i="79"/>
  <c r="CZ452" i="79"/>
  <c r="EF452" i="79"/>
  <c r="CK450" i="80"/>
  <c r="I450" i="79"/>
  <c r="G406" i="79"/>
  <c r="AP196" i="80"/>
  <c r="AP196" i="79"/>
  <c r="DR301" i="79"/>
  <c r="DR302" i="79" s="1"/>
  <c r="CL301" i="79"/>
  <c r="CL302" i="79" s="1"/>
  <c r="CC48" i="80"/>
  <c r="CC393" i="80" s="1"/>
  <c r="S56" i="82"/>
  <c r="X452" i="80"/>
  <c r="BL452" i="80"/>
  <c r="AN452" i="80"/>
  <c r="DI48" i="80"/>
  <c r="DI393" i="80" s="1"/>
  <c r="AX191" i="79"/>
  <c r="AX196" i="79" s="1"/>
  <c r="BN191" i="79"/>
  <c r="BN196" i="79" s="1"/>
  <c r="FD452" i="80"/>
  <c r="BT452" i="80"/>
  <c r="R301" i="79"/>
  <c r="R302" i="79" s="1"/>
  <c r="DP452" i="80"/>
  <c r="CJ452" i="80"/>
  <c r="EO48" i="80"/>
  <c r="EO393" i="80" s="1"/>
  <c r="BM48" i="80"/>
  <c r="BM393" i="80" s="1"/>
  <c r="CZ450" i="80"/>
  <c r="EV452" i="80"/>
  <c r="DB301" i="79"/>
  <c r="DB302" i="79" s="1"/>
  <c r="BV301" i="79"/>
  <c r="BV302" i="79" s="1"/>
  <c r="CR452" i="80"/>
  <c r="CB452" i="80"/>
  <c r="EF452" i="80"/>
  <c r="CZ452" i="80"/>
  <c r="AF452" i="80"/>
  <c r="FL452" i="80"/>
  <c r="H452" i="80"/>
  <c r="DH452" i="80"/>
  <c r="P452" i="80"/>
  <c r="X450" i="80"/>
  <c r="H450" i="80"/>
  <c r="FL450" i="80"/>
  <c r="E12" i="36"/>
  <c r="F97" i="36"/>
  <c r="H165" i="85" s="1"/>
  <c r="J94" i="90" s="1"/>
  <c r="E97" i="36"/>
  <c r="H97" i="36"/>
  <c r="J165" i="85" s="1"/>
  <c r="L94" i="90" s="1"/>
  <c r="G97" i="36"/>
  <c r="I165" i="85" s="1"/>
  <c r="K94" i="90" s="1"/>
  <c r="I40" i="80"/>
  <c r="I40" i="79"/>
  <c r="I385" i="79" s="1"/>
  <c r="BN301" i="79"/>
  <c r="BN302" i="79" s="1"/>
  <c r="I44" i="80"/>
  <c r="I44" i="79"/>
  <c r="J44" i="79"/>
  <c r="J389" i="79" s="1"/>
  <c r="J44" i="80"/>
  <c r="J389" i="80" s="1"/>
  <c r="O237" i="79"/>
  <c r="O260" i="79" s="1"/>
  <c r="O322" i="79" s="1"/>
  <c r="O135" i="79"/>
  <c r="AH301" i="79"/>
  <c r="AH302" i="79" s="1"/>
  <c r="J37" i="27"/>
  <c r="J308" i="79"/>
  <c r="J313" i="79" s="1"/>
  <c r="J308" i="80"/>
  <c r="J313" i="80" s="1"/>
  <c r="R191" i="79"/>
  <c r="R196" i="79" s="1"/>
  <c r="E78" i="36"/>
  <c r="AX301" i="79"/>
  <c r="AX302" i="79" s="1"/>
  <c r="AE135" i="80"/>
  <c r="AE237" i="80"/>
  <c r="J40" i="80"/>
  <c r="J385" i="80" s="1"/>
  <c r="J40" i="79"/>
  <c r="J385" i="79" s="1"/>
  <c r="Q191" i="80"/>
  <c r="Q196" i="80" s="1"/>
  <c r="P191" i="80"/>
  <c r="P196" i="80" s="1"/>
  <c r="O196" i="80"/>
  <c r="O84" i="80" s="1"/>
  <c r="BC135" i="79"/>
  <c r="BC237" i="79"/>
  <c r="BC260" i="79" s="1"/>
  <c r="BC322" i="79" s="1"/>
  <c r="H44" i="80"/>
  <c r="H389" i="80" s="1"/>
  <c r="H44" i="79"/>
  <c r="H389" i="79" s="1"/>
  <c r="BF301" i="79"/>
  <c r="BF302" i="79" s="1"/>
  <c r="H37" i="27"/>
  <c r="H308" i="80"/>
  <c r="H313" i="80" s="1"/>
  <c r="H308" i="79"/>
  <c r="AH191" i="80"/>
  <c r="AH196" i="80" s="1"/>
  <c r="AH301" i="80"/>
  <c r="AH302" i="80" s="1"/>
  <c r="Q301" i="80"/>
  <c r="Q302" i="80" s="1"/>
  <c r="P301" i="80"/>
  <c r="P302" i="80" s="1"/>
  <c r="O302" i="80"/>
  <c r="O315" i="80" s="1"/>
  <c r="O331" i="80" s="1"/>
  <c r="EX301" i="79"/>
  <c r="EX302" i="79" s="1"/>
  <c r="AP301" i="79"/>
  <c r="AP302" i="79" s="1"/>
  <c r="BF191" i="79"/>
  <c r="BF196" i="79" s="1"/>
  <c r="H40" i="80"/>
  <c r="H385" i="80" s="1"/>
  <c r="H40" i="79"/>
  <c r="I37" i="27"/>
  <c r="I308" i="80"/>
  <c r="I313" i="80" s="1"/>
  <c r="I308" i="79"/>
  <c r="FM308" i="79" s="1"/>
  <c r="FM313" i="79" s="1"/>
  <c r="BK237" i="79"/>
  <c r="BK260" i="79" s="1"/>
  <c r="BK322" i="79" s="1"/>
  <c r="BK135" i="79"/>
  <c r="J41" i="13" l="1"/>
  <c r="J41" i="85" s="1"/>
  <c r="L15" i="90" s="1"/>
  <c r="J110" i="13"/>
  <c r="J110" i="85" s="1"/>
  <c r="L59" i="90" s="1"/>
  <c r="J45" i="13"/>
  <c r="G19" i="35"/>
  <c r="J371" i="85" s="1"/>
  <c r="L182" i="90" s="1"/>
  <c r="J46" i="13"/>
  <c r="G34" i="82" s="1"/>
  <c r="G72" i="82" s="1"/>
  <c r="J48" i="13"/>
  <c r="G36" i="35" s="1"/>
  <c r="J43" i="13"/>
  <c r="J43" i="79" s="1"/>
  <c r="J388" i="79" s="1"/>
  <c r="J105" i="13"/>
  <c r="J105" i="85" s="1"/>
  <c r="L54" i="90" s="1"/>
  <c r="G387" i="85"/>
  <c r="J37" i="13"/>
  <c r="G25" i="82" s="1"/>
  <c r="J38" i="13"/>
  <c r="G26" i="35" s="1"/>
  <c r="G69" i="35" s="1"/>
  <c r="J42" i="13"/>
  <c r="J42" i="80" s="1"/>
  <c r="J387" i="80" s="1"/>
  <c r="J88" i="13"/>
  <c r="J88" i="85" s="1"/>
  <c r="L43" i="90" s="1"/>
  <c r="S27" i="35"/>
  <c r="N16" i="131"/>
  <c r="H41" i="13"/>
  <c r="H41" i="85" s="1"/>
  <c r="J15" i="90" s="1"/>
  <c r="H37" i="13"/>
  <c r="H37" i="85" s="1"/>
  <c r="J11" i="90" s="1"/>
  <c r="H38" i="13"/>
  <c r="H38" i="85" s="1"/>
  <c r="J12" i="90" s="1"/>
  <c r="H88" i="13"/>
  <c r="H88" i="85" s="1"/>
  <c r="J43" i="90" s="1"/>
  <c r="H110" i="13"/>
  <c r="H110" i="85" s="1"/>
  <c r="J59" i="90" s="1"/>
  <c r="H43" i="13"/>
  <c r="H43" i="85" s="1"/>
  <c r="J17" i="90" s="1"/>
  <c r="E19" i="35"/>
  <c r="H376" i="79" s="1"/>
  <c r="CJ376" i="79" s="1"/>
  <c r="CJ378" i="79" s="1"/>
  <c r="CJ379" i="79" s="1"/>
  <c r="H111" i="13"/>
  <c r="H111" i="85" s="1"/>
  <c r="J60" i="90" s="1"/>
  <c r="H48" i="13"/>
  <c r="H48" i="85" s="1"/>
  <c r="J22" i="90" s="1"/>
  <c r="H105" i="13"/>
  <c r="H105" i="85" s="1"/>
  <c r="J54" i="90" s="1"/>
  <c r="H46" i="13"/>
  <c r="H46" i="85" s="1"/>
  <c r="J20" i="90" s="1"/>
  <c r="H42" i="13"/>
  <c r="H42" i="85" s="1"/>
  <c r="J16" i="90" s="1"/>
  <c r="H45" i="13"/>
  <c r="H45" i="85" s="1"/>
  <c r="J19" i="90" s="1"/>
  <c r="I48" i="13"/>
  <c r="I48" i="85" s="1"/>
  <c r="K22" i="90" s="1"/>
  <c r="I46" i="13"/>
  <c r="I46" i="79" s="1"/>
  <c r="I437" i="79" s="1"/>
  <c r="I110" i="13"/>
  <c r="I110" i="80" s="1"/>
  <c r="EG110" i="80" s="1"/>
  <c r="I43" i="13"/>
  <c r="F31" i="35" s="1"/>
  <c r="I41" i="13"/>
  <c r="F29" i="35" s="1"/>
  <c r="F387" i="85"/>
  <c r="I88" i="13"/>
  <c r="I88" i="85" s="1"/>
  <c r="K43" i="90" s="1"/>
  <c r="I111" i="13"/>
  <c r="I111" i="80" s="1"/>
  <c r="DI111" i="80" s="1"/>
  <c r="I45" i="13"/>
  <c r="I45" i="80" s="1"/>
  <c r="DQ45" i="80" s="1"/>
  <c r="DQ390" i="80" s="1"/>
  <c r="DQ436" i="80" s="1"/>
  <c r="I37" i="13"/>
  <c r="F25" i="35" s="1"/>
  <c r="I38" i="13"/>
  <c r="I38" i="79" s="1"/>
  <c r="I434" i="79" s="1"/>
  <c r="F19" i="35"/>
  <c r="I371" i="85" s="1"/>
  <c r="K182" i="90" s="1"/>
  <c r="I105" i="13"/>
  <c r="I105" i="79" s="1"/>
  <c r="BM105" i="79" s="1"/>
  <c r="G48" i="130"/>
  <c r="M122" i="13" s="1"/>
  <c r="I122" i="13" s="1"/>
  <c r="H21" i="131"/>
  <c r="M128" i="13" s="1"/>
  <c r="I128" i="13" s="1"/>
  <c r="G302" i="136"/>
  <c r="N16" i="27" s="1"/>
  <c r="J16" i="27" s="1"/>
  <c r="J292" i="79" s="1"/>
  <c r="F48" i="130"/>
  <c r="N14" i="131"/>
  <c r="N9" i="131"/>
  <c r="G21" i="131"/>
  <c r="H48" i="130"/>
  <c r="N122" i="13" s="1"/>
  <c r="J122" i="13" s="1"/>
  <c r="I21" i="131"/>
  <c r="N128" i="13" s="1"/>
  <c r="J128" i="13" s="1"/>
  <c r="G279" i="136"/>
  <c r="F302" i="136"/>
  <c r="M16" i="27" s="1"/>
  <c r="I16" i="27" s="1"/>
  <c r="F279" i="136"/>
  <c r="E279" i="136"/>
  <c r="L15" i="27" s="1"/>
  <c r="H15" i="27" s="1"/>
  <c r="W260" i="80"/>
  <c r="W322" i="80" s="1"/>
  <c r="DG260" i="80"/>
  <c r="DG322" i="80" s="1"/>
  <c r="BS260" i="80"/>
  <c r="BS322" i="80" s="1"/>
  <c r="BC161" i="79"/>
  <c r="FC260" i="80"/>
  <c r="FC322" i="80" s="1"/>
  <c r="CA260" i="80"/>
  <c r="CA322" i="80" s="1"/>
  <c r="AM260" i="80"/>
  <c r="AM322" i="80" s="1"/>
  <c r="AE260" i="80"/>
  <c r="AE322" i="80" s="1"/>
  <c r="BK260" i="80"/>
  <c r="BK322" i="80" s="1"/>
  <c r="E96" i="36"/>
  <c r="E98" i="36" s="1"/>
  <c r="G167" i="85" s="1"/>
  <c r="I95" i="90" s="1"/>
  <c r="E40" i="36"/>
  <c r="E42" i="36" s="1"/>
  <c r="E123" i="36"/>
  <c r="CL452" i="80"/>
  <c r="S73" i="35"/>
  <c r="CD452" i="79"/>
  <c r="DJ452" i="79"/>
  <c r="S70" i="35"/>
  <c r="DY48" i="79"/>
  <c r="DY393" i="79" s="1"/>
  <c r="CA406" i="80"/>
  <c r="Q48" i="79"/>
  <c r="Q393" i="79" s="1"/>
  <c r="BV450" i="80"/>
  <c r="BC406" i="80"/>
  <c r="EO48" i="79"/>
  <c r="EO393" i="79" s="1"/>
  <c r="AW48" i="79"/>
  <c r="AW393" i="79" s="1"/>
  <c r="FN450" i="80"/>
  <c r="DA48" i="79"/>
  <c r="DA393" i="79" s="1"/>
  <c r="Z450" i="80"/>
  <c r="CB450" i="80"/>
  <c r="DW161" i="80"/>
  <c r="AU260" i="80"/>
  <c r="AU322" i="80" s="1"/>
  <c r="AE161" i="80"/>
  <c r="DO161" i="80"/>
  <c r="CK110" i="79"/>
  <c r="EE260" i="80"/>
  <c r="EE322" i="80" s="1"/>
  <c r="EM260" i="80"/>
  <c r="EM322" i="80" s="1"/>
  <c r="AP452" i="79"/>
  <c r="O161" i="79"/>
  <c r="CK48" i="79"/>
  <c r="CK393" i="79" s="1"/>
  <c r="BV452" i="79"/>
  <c r="BF452" i="79"/>
  <c r="CY161" i="80"/>
  <c r="CT452" i="79"/>
  <c r="BN452" i="79"/>
  <c r="DG161" i="80"/>
  <c r="EU260" i="80"/>
  <c r="EU322" i="80" s="1"/>
  <c r="BK161" i="80"/>
  <c r="DW406" i="80"/>
  <c r="DO260" i="80"/>
  <c r="DO322" i="80" s="1"/>
  <c r="DB450" i="80"/>
  <c r="CY260" i="80"/>
  <c r="CY322" i="80" s="1"/>
  <c r="W161" i="80"/>
  <c r="G165" i="85"/>
  <c r="I94" i="90" s="1"/>
  <c r="EX450" i="80"/>
  <c r="DW260" i="80"/>
  <c r="DW322" i="80" s="1"/>
  <c r="CL450" i="80"/>
  <c r="AM406" i="80"/>
  <c r="DO406" i="80"/>
  <c r="DG406" i="80"/>
  <c r="AU421" i="80"/>
  <c r="O421" i="80"/>
  <c r="AU406" i="80"/>
  <c r="DW421" i="80"/>
  <c r="EM421" i="80"/>
  <c r="EM406" i="80"/>
  <c r="P409" i="79"/>
  <c r="P406" i="79"/>
  <c r="P450" i="79" s="1"/>
  <c r="AH409" i="80"/>
  <c r="AH406" i="80"/>
  <c r="AE406" i="80" s="1"/>
  <c r="AP409" i="79"/>
  <c r="AP406" i="79"/>
  <c r="AM406" i="79" s="1"/>
  <c r="CR409" i="79"/>
  <c r="CR406" i="79"/>
  <c r="CR450" i="79" s="1"/>
  <c r="DR409" i="79"/>
  <c r="DR406" i="79"/>
  <c r="DR450" i="79" s="1"/>
  <c r="DZ409" i="79"/>
  <c r="DZ406" i="79"/>
  <c r="DZ450" i="79" s="1"/>
  <c r="EX409" i="79"/>
  <c r="EX406" i="79"/>
  <c r="EU406" i="79" s="1"/>
  <c r="FF409" i="79"/>
  <c r="FF406" i="79"/>
  <c r="FF450" i="79" s="1"/>
  <c r="CL409" i="79"/>
  <c r="CL406" i="79"/>
  <c r="CI406" i="79" s="1"/>
  <c r="CA421" i="80"/>
  <c r="AM421" i="80"/>
  <c r="CY421" i="79"/>
  <c r="DO421" i="79"/>
  <c r="BD409" i="79"/>
  <c r="BD406" i="79"/>
  <c r="BD450" i="79" s="1"/>
  <c r="DP409" i="79"/>
  <c r="DP406" i="79"/>
  <c r="EH409" i="79"/>
  <c r="EH406" i="79"/>
  <c r="EE406" i="79" s="1"/>
  <c r="FD409" i="79"/>
  <c r="FD406" i="79"/>
  <c r="FN409" i="79"/>
  <c r="FN406" i="79"/>
  <c r="FN450" i="79" s="1"/>
  <c r="CD409" i="79"/>
  <c r="CD406" i="79"/>
  <c r="CA406" i="79" s="1"/>
  <c r="FC421" i="80"/>
  <c r="DO421" i="80"/>
  <c r="W421" i="80"/>
  <c r="CY421" i="80"/>
  <c r="FK421" i="80"/>
  <c r="CQ406" i="80"/>
  <c r="EE421" i="79"/>
  <c r="AU421" i="79"/>
  <c r="R409" i="79"/>
  <c r="R406" i="79"/>
  <c r="R450" i="79" s="1"/>
  <c r="Z409" i="79"/>
  <c r="Z406" i="79"/>
  <c r="Z450" i="79" s="1"/>
  <c r="AX409" i="79"/>
  <c r="AX406" i="79"/>
  <c r="AX450" i="79" s="1"/>
  <c r="DB409" i="79"/>
  <c r="DB406" i="79"/>
  <c r="DB450" i="79" s="1"/>
  <c r="DJ409" i="79"/>
  <c r="DJ406" i="79"/>
  <c r="DG406" i="79" s="1"/>
  <c r="EP409" i="79"/>
  <c r="EP406" i="79"/>
  <c r="EP450" i="79" s="1"/>
  <c r="BV409" i="79"/>
  <c r="BV406" i="79"/>
  <c r="BS406" i="79" s="1"/>
  <c r="CQ421" i="80"/>
  <c r="BS421" i="80"/>
  <c r="EE421" i="80"/>
  <c r="EU421" i="79"/>
  <c r="AE421" i="79"/>
  <c r="EM421" i="79"/>
  <c r="FC421" i="79"/>
  <c r="W421" i="79"/>
  <c r="AH409" i="79"/>
  <c r="AH406" i="79"/>
  <c r="AH450" i="79" s="1"/>
  <c r="BF409" i="79"/>
  <c r="BF406" i="79"/>
  <c r="BF450" i="79" s="1"/>
  <c r="BL409" i="79"/>
  <c r="BL406" i="79"/>
  <c r="BL450" i="79" s="1"/>
  <c r="CT409" i="79"/>
  <c r="CT406" i="79"/>
  <c r="CT450" i="79" s="1"/>
  <c r="CZ409" i="79"/>
  <c r="CZ406" i="79"/>
  <c r="CZ450" i="79" s="1"/>
  <c r="DX409" i="79"/>
  <c r="DX406" i="79"/>
  <c r="DX450" i="79" s="1"/>
  <c r="BN409" i="79"/>
  <c r="BN406" i="79"/>
  <c r="BN450" i="79" s="1"/>
  <c r="DG421" i="80"/>
  <c r="AE421" i="80"/>
  <c r="BK421" i="80"/>
  <c r="BC421" i="80"/>
  <c r="EU421" i="80"/>
  <c r="FK421" i="79"/>
  <c r="CI421" i="79"/>
  <c r="DW421" i="79"/>
  <c r="BK161" i="79"/>
  <c r="W161" i="79"/>
  <c r="J47" i="80"/>
  <c r="J392" i="80" s="1"/>
  <c r="FC161" i="80"/>
  <c r="EE161" i="80"/>
  <c r="AM161" i="80"/>
  <c r="EU161" i="80"/>
  <c r="J43" i="80"/>
  <c r="J388" i="80" s="1"/>
  <c r="F35" i="35"/>
  <c r="I47" i="85"/>
  <c r="K21" i="90" s="1"/>
  <c r="I42" i="79"/>
  <c r="I387" i="79" s="1"/>
  <c r="I42" i="85"/>
  <c r="K16" i="90" s="1"/>
  <c r="E35" i="35"/>
  <c r="R35" i="35" s="1"/>
  <c r="R37" i="35" s="1"/>
  <c r="H47" i="85"/>
  <c r="J21" i="90" s="1"/>
  <c r="G29" i="82"/>
  <c r="G33" i="82"/>
  <c r="G71" i="82" s="1"/>
  <c r="J45" i="85"/>
  <c r="L19" i="90" s="1"/>
  <c r="J111" i="80"/>
  <c r="J111" i="85"/>
  <c r="L60" i="90" s="1"/>
  <c r="I65" i="79"/>
  <c r="DA65" i="79" s="1"/>
  <c r="I65" i="85"/>
  <c r="K31" i="90" s="1"/>
  <c r="BS161" i="80"/>
  <c r="G36" i="82"/>
  <c r="I313" i="85"/>
  <c r="J313" i="85"/>
  <c r="CI161" i="79"/>
  <c r="G55" i="82"/>
  <c r="J17" i="85"/>
  <c r="L3" i="90" s="1"/>
  <c r="F55" i="82"/>
  <c r="I17" i="85"/>
  <c r="K3" i="90" s="1"/>
  <c r="J110" i="79"/>
  <c r="EM161" i="80"/>
  <c r="CA161" i="80"/>
  <c r="H313" i="85"/>
  <c r="J45" i="80"/>
  <c r="J390" i="80" s="1"/>
  <c r="J436" i="80" s="1"/>
  <c r="J41" i="80"/>
  <c r="J386" i="80" s="1"/>
  <c r="G35" i="82"/>
  <c r="J47" i="85"/>
  <c r="L21" i="90" s="1"/>
  <c r="J65" i="79"/>
  <c r="J65" i="85"/>
  <c r="L31" i="90" s="1"/>
  <c r="AU161" i="80"/>
  <c r="DA44" i="79"/>
  <c r="DA389" i="79" s="1"/>
  <c r="I389" i="79"/>
  <c r="J376" i="79"/>
  <c r="J378" i="79" s="1"/>
  <c r="J379" i="79" s="1"/>
  <c r="J449" i="79" s="1"/>
  <c r="J376" i="80"/>
  <c r="J378" i="80" s="1"/>
  <c r="J379" i="80" s="1"/>
  <c r="J449" i="80" s="1"/>
  <c r="AW44" i="80"/>
  <c r="AW389" i="80" s="1"/>
  <c r="I389" i="80"/>
  <c r="FM40" i="80"/>
  <c r="FM385" i="80" s="1"/>
  <c r="I385" i="80"/>
  <c r="BL40" i="79"/>
  <c r="BL385" i="79" s="1"/>
  <c r="H385" i="79"/>
  <c r="R420" i="79"/>
  <c r="R421" i="79" s="1"/>
  <c r="O421" i="79" s="1"/>
  <c r="AF48" i="79"/>
  <c r="AF393" i="79" s="1"/>
  <c r="J46" i="80"/>
  <c r="J391" i="80" s="1"/>
  <c r="J437" i="80" s="1"/>
  <c r="J111" i="79"/>
  <c r="G34" i="35"/>
  <c r="G72" i="35" s="1"/>
  <c r="J46" i="79"/>
  <c r="J65" i="80"/>
  <c r="G33" i="35"/>
  <c r="G71" i="35" s="1"/>
  <c r="F30" i="82"/>
  <c r="I19" i="13"/>
  <c r="I19" i="85" s="1"/>
  <c r="G31" i="82"/>
  <c r="I47" i="80"/>
  <c r="Q47" i="80" s="1"/>
  <c r="Q392" i="80" s="1"/>
  <c r="J41" i="79"/>
  <c r="J386" i="79" s="1"/>
  <c r="G35" i="35"/>
  <c r="G55" i="35"/>
  <c r="J19" i="13"/>
  <c r="J19" i="85" s="1"/>
  <c r="J45" i="79"/>
  <c r="J17" i="80"/>
  <c r="J411" i="80" s="1"/>
  <c r="G29" i="35"/>
  <c r="E35" i="82"/>
  <c r="R35" i="82" s="1"/>
  <c r="R37" i="82" s="1"/>
  <c r="R38" i="82" s="1"/>
  <c r="I47" i="79"/>
  <c r="I392" i="79" s="1"/>
  <c r="G31" i="35"/>
  <c r="F30" i="35"/>
  <c r="G21" i="35"/>
  <c r="F35" i="82"/>
  <c r="I17" i="79"/>
  <c r="FM17" i="79" s="1"/>
  <c r="FM411" i="79" s="1"/>
  <c r="I42" i="80"/>
  <c r="I387" i="80" s="1"/>
  <c r="J110" i="80"/>
  <c r="I17" i="80"/>
  <c r="DQ17" i="80" s="1"/>
  <c r="F55" i="35"/>
  <c r="H47" i="79"/>
  <c r="H392" i="79" s="1"/>
  <c r="H47" i="80"/>
  <c r="H392" i="80" s="1"/>
  <c r="FE48" i="79"/>
  <c r="FE393" i="79" s="1"/>
  <c r="AW48" i="80"/>
  <c r="AW393" i="80" s="1"/>
  <c r="Y48" i="79"/>
  <c r="Y393" i="79" s="1"/>
  <c r="Y47" i="79"/>
  <c r="Y392" i="79" s="1"/>
  <c r="AG88" i="80"/>
  <c r="AG93" i="80" s="1"/>
  <c r="AG48" i="80"/>
  <c r="AG393" i="80" s="1"/>
  <c r="BU88" i="80"/>
  <c r="BU93" i="80" s="1"/>
  <c r="BU48" i="80"/>
  <c r="BU393" i="80" s="1"/>
  <c r="AW88" i="80"/>
  <c r="AW93" i="80" s="1"/>
  <c r="H65" i="80"/>
  <c r="EN65" i="80" s="1"/>
  <c r="H65" i="79"/>
  <c r="AF65" i="79" s="1"/>
  <c r="CK65" i="80"/>
  <c r="AF47" i="79"/>
  <c r="AF392" i="79" s="1"/>
  <c r="Q74" i="35"/>
  <c r="Q83" i="35" s="1"/>
  <c r="S83" i="35" s="1"/>
  <c r="E26" i="82"/>
  <c r="E69" i="82" s="1"/>
  <c r="E55" i="35"/>
  <c r="H19" i="13"/>
  <c r="H19" i="85" s="1"/>
  <c r="E55" i="82"/>
  <c r="H17" i="79"/>
  <c r="H411" i="79" s="1"/>
  <c r="H17" i="80"/>
  <c r="H411" i="80" s="1"/>
  <c r="S27" i="82"/>
  <c r="S84" i="82"/>
  <c r="FE110" i="80"/>
  <c r="FE48" i="80"/>
  <c r="FE393" i="80" s="1"/>
  <c r="FE88" i="80"/>
  <c r="FE93" i="80" s="1"/>
  <c r="BE65" i="80"/>
  <c r="BE48" i="80"/>
  <c r="BE393" i="80" s="1"/>
  <c r="BE88" i="80"/>
  <c r="BE93" i="80" s="1"/>
  <c r="EW65" i="80"/>
  <c r="AW65" i="80"/>
  <c r="DQ308" i="80"/>
  <c r="DQ313" i="80" s="1"/>
  <c r="AG308" i="80"/>
  <c r="AG313" i="80" s="1"/>
  <c r="CS88" i="79"/>
  <c r="CS93" i="79" s="1"/>
  <c r="DQ65" i="80"/>
  <c r="Y65" i="80"/>
  <c r="Q65" i="80"/>
  <c r="AG65" i="80"/>
  <c r="EG65" i="80"/>
  <c r="FE65" i="80"/>
  <c r="CS48" i="79"/>
  <c r="CS393" i="79" s="1"/>
  <c r="FE47" i="79"/>
  <c r="FE392" i="79" s="1"/>
  <c r="DY308" i="79"/>
  <c r="DY313" i="79" s="1"/>
  <c r="BM65" i="80"/>
  <c r="EO65" i="80"/>
  <c r="CC65" i="80"/>
  <c r="BU65" i="80"/>
  <c r="DA65" i="80"/>
  <c r="DY65" i="80"/>
  <c r="DI65" i="80"/>
  <c r="DY88" i="80"/>
  <c r="DY93" i="80" s="1"/>
  <c r="EW48" i="80"/>
  <c r="EW393" i="80" s="1"/>
  <c r="FM48" i="79"/>
  <c r="FM393" i="79" s="1"/>
  <c r="DY48" i="80"/>
  <c r="DY393" i="80" s="1"/>
  <c r="EG88" i="80"/>
  <c r="EG93" i="80" s="1"/>
  <c r="EG48" i="80"/>
  <c r="EG393" i="80" s="1"/>
  <c r="BM110" i="79"/>
  <c r="Q48" i="80"/>
  <c r="Q393" i="80" s="1"/>
  <c r="AO88" i="80"/>
  <c r="AO93" i="80" s="1"/>
  <c r="AO48" i="80"/>
  <c r="AO393" i="80" s="1"/>
  <c r="FF450" i="80"/>
  <c r="AO65" i="80"/>
  <c r="DA88" i="80"/>
  <c r="DA93" i="80" s="1"/>
  <c r="Q88" i="80"/>
  <c r="Q93" i="80" s="1"/>
  <c r="CS48" i="80"/>
  <c r="CS393" i="80" s="1"/>
  <c r="CS88" i="80"/>
  <c r="CS93" i="80" s="1"/>
  <c r="Y88" i="80"/>
  <c r="Y93" i="80" s="1"/>
  <c r="Y48" i="80"/>
  <c r="Y393" i="80" s="1"/>
  <c r="EW88" i="80"/>
  <c r="EW93" i="80" s="1"/>
  <c r="Y110" i="80"/>
  <c r="DA48" i="80"/>
  <c r="DA393" i="80" s="1"/>
  <c r="BM48" i="79"/>
  <c r="BM393" i="79" s="1"/>
  <c r="BM88" i="79"/>
  <c r="BM93" i="79" s="1"/>
  <c r="CS65" i="80"/>
  <c r="EG48" i="79"/>
  <c r="EG393" i="79" s="1"/>
  <c r="FM88" i="80"/>
  <c r="FM93" i="80" s="1"/>
  <c r="AO47" i="79"/>
  <c r="AO392" i="79" s="1"/>
  <c r="AO48" i="79"/>
  <c r="AO393" i="79" s="1"/>
  <c r="AO88" i="79"/>
  <c r="AO93" i="79" s="1"/>
  <c r="DQ88" i="79"/>
  <c r="DQ93" i="79" s="1"/>
  <c r="EW110" i="79"/>
  <c r="EW48" i="79"/>
  <c r="EW393" i="79" s="1"/>
  <c r="BU48" i="79"/>
  <c r="BU393" i="79" s="1"/>
  <c r="DI48" i="79"/>
  <c r="DI393" i="79" s="1"/>
  <c r="CK88" i="80"/>
  <c r="CK93" i="80" s="1"/>
  <c r="CK48" i="80"/>
  <c r="CK393" i="80" s="1"/>
  <c r="CC48" i="79"/>
  <c r="CC393" i="79" s="1"/>
  <c r="CK110" i="80"/>
  <c r="BN450" i="80"/>
  <c r="EG88" i="79"/>
  <c r="EG93" i="79" s="1"/>
  <c r="DQ48" i="79"/>
  <c r="DQ393" i="79" s="1"/>
  <c r="FM110" i="80"/>
  <c r="FM65" i="80"/>
  <c r="FM48" i="80"/>
  <c r="FM393" i="80" s="1"/>
  <c r="BE88" i="79"/>
  <c r="BE93" i="79" s="1"/>
  <c r="DH47" i="79"/>
  <c r="DH392" i="79" s="1"/>
  <c r="AV47" i="79"/>
  <c r="AV392" i="79" s="1"/>
  <c r="FD47" i="80"/>
  <c r="FD392" i="80" s="1"/>
  <c r="FL47" i="79"/>
  <c r="FL392" i="79" s="1"/>
  <c r="BE48" i="79"/>
  <c r="BE393" i="79" s="1"/>
  <c r="EN47" i="79"/>
  <c r="EN392" i="79" s="1"/>
  <c r="EF47" i="79"/>
  <c r="EF392" i="79" s="1"/>
  <c r="CB47" i="79"/>
  <c r="CB392" i="79" s="1"/>
  <c r="X47" i="79"/>
  <c r="X392" i="79" s="1"/>
  <c r="BT47" i="79"/>
  <c r="BT392" i="79" s="1"/>
  <c r="AN47" i="79"/>
  <c r="AN392" i="79" s="1"/>
  <c r="CJ47" i="79"/>
  <c r="CJ392" i="79" s="1"/>
  <c r="DP47" i="79"/>
  <c r="DP392" i="79" s="1"/>
  <c r="H313" i="79"/>
  <c r="EV308" i="79"/>
  <c r="CR308" i="79"/>
  <c r="CR313" i="79" s="1"/>
  <c r="AF308" i="79"/>
  <c r="AN308" i="79"/>
  <c r="AN313" i="79" s="1"/>
  <c r="BT308" i="79"/>
  <c r="BT313" i="79" s="1"/>
  <c r="AV308" i="79"/>
  <c r="FD308" i="79"/>
  <c r="DH308" i="79"/>
  <c r="DH313" i="79" s="1"/>
  <c r="DP308" i="79"/>
  <c r="CB308" i="79"/>
  <c r="CB313" i="79" s="1"/>
  <c r="P308" i="79"/>
  <c r="FL308" i="79"/>
  <c r="EN308" i="79"/>
  <c r="EO308" i="80"/>
  <c r="EO313" i="80" s="1"/>
  <c r="DA308" i="80"/>
  <c r="DA313" i="80" s="1"/>
  <c r="I313" i="79"/>
  <c r="Q308" i="79"/>
  <c r="Q313" i="79" s="1"/>
  <c r="AW308" i="79"/>
  <c r="AW313" i="79" s="1"/>
  <c r="DQ308" i="79"/>
  <c r="DQ313" i="79" s="1"/>
  <c r="AG308" i="79"/>
  <c r="AG313" i="79" s="1"/>
  <c r="FE308" i="79"/>
  <c r="FE313" i="79" s="1"/>
  <c r="EO308" i="79"/>
  <c r="EO313" i="79" s="1"/>
  <c r="CC308" i="79"/>
  <c r="CC313" i="79" s="1"/>
  <c r="BU308" i="79"/>
  <c r="BU313" i="79" s="1"/>
  <c r="BE308" i="79"/>
  <c r="BE313" i="79" s="1"/>
  <c r="DI308" i="79"/>
  <c r="DI313" i="79" s="1"/>
  <c r="EW308" i="79"/>
  <c r="EW313" i="79" s="1"/>
  <c r="AO308" i="79"/>
  <c r="AO313" i="79" s="1"/>
  <c r="Y308" i="79"/>
  <c r="Y313" i="79" s="1"/>
  <c r="BM308" i="79"/>
  <c r="BM313" i="79" s="1"/>
  <c r="CS308" i="79"/>
  <c r="CS313" i="79" s="1"/>
  <c r="CK308" i="79"/>
  <c r="CK313" i="79" s="1"/>
  <c r="AO308" i="80"/>
  <c r="AO313" i="80" s="1"/>
  <c r="DI308" i="80"/>
  <c r="DI313" i="80" s="1"/>
  <c r="Y308" i="80"/>
  <c r="Y313" i="80" s="1"/>
  <c r="FM308" i="80"/>
  <c r="FM313" i="80" s="1"/>
  <c r="BD308" i="79"/>
  <c r="BD313" i="79" s="1"/>
  <c r="EG308" i="79"/>
  <c r="EG313" i="79" s="1"/>
  <c r="Q308" i="80"/>
  <c r="Q313" i="80" s="1"/>
  <c r="DY308" i="80"/>
  <c r="DY313" i="80" s="1"/>
  <c r="EG308" i="80"/>
  <c r="EG313" i="80" s="1"/>
  <c r="BL308" i="79"/>
  <c r="BL313" i="79" s="1"/>
  <c r="FE308" i="80"/>
  <c r="FE313" i="80" s="1"/>
  <c r="BU308" i="80"/>
  <c r="BU313" i="80" s="1"/>
  <c r="EW308" i="80"/>
  <c r="EW313" i="80" s="1"/>
  <c r="BM308" i="80"/>
  <c r="BM313" i="80" s="1"/>
  <c r="DA308" i="79"/>
  <c r="DA313" i="79" s="1"/>
  <c r="BE308" i="80"/>
  <c r="BE313" i="80" s="1"/>
  <c r="CC308" i="80"/>
  <c r="CC313" i="80" s="1"/>
  <c r="AW308" i="80"/>
  <c r="AW313" i="80" s="1"/>
  <c r="CS308" i="80"/>
  <c r="CS313" i="80" s="1"/>
  <c r="X308" i="79"/>
  <c r="DY47" i="80"/>
  <c r="DY392" i="80" s="1"/>
  <c r="BE40" i="80"/>
  <c r="BE385" i="80" s="1"/>
  <c r="AO40" i="80"/>
  <c r="AO385" i="80" s="1"/>
  <c r="DA47" i="79"/>
  <c r="DA392" i="79" s="1"/>
  <c r="DI40" i="80"/>
  <c r="DI385" i="80" s="1"/>
  <c r="DQ47" i="79"/>
  <c r="DQ392" i="79" s="1"/>
  <c r="Q73" i="82"/>
  <c r="S70" i="82"/>
  <c r="DY47" i="79"/>
  <c r="DY392" i="79" s="1"/>
  <c r="DQ40" i="80"/>
  <c r="DQ385" i="80" s="1"/>
  <c r="CR47" i="80"/>
  <c r="CR392" i="80" s="1"/>
  <c r="DY44" i="80"/>
  <c r="DY389" i="80" s="1"/>
  <c r="AO44" i="80"/>
  <c r="AO389" i="80" s="1"/>
  <c r="EO40" i="80"/>
  <c r="EO385" i="80" s="1"/>
  <c r="Q40" i="80"/>
  <c r="Q385" i="80" s="1"/>
  <c r="DI44" i="80"/>
  <c r="DI389" i="80" s="1"/>
  <c r="AG40" i="80"/>
  <c r="AG385" i="80" s="1"/>
  <c r="EW40" i="80"/>
  <c r="EW385" i="80" s="1"/>
  <c r="BM44" i="80"/>
  <c r="BM389" i="80" s="1"/>
  <c r="FE44" i="80"/>
  <c r="FE389" i="80" s="1"/>
  <c r="EV47" i="79"/>
  <c r="EV392" i="79" s="1"/>
  <c r="CK47" i="80"/>
  <c r="CK392" i="80" s="1"/>
  <c r="EG40" i="80"/>
  <c r="EG385" i="80" s="1"/>
  <c r="BE47" i="80"/>
  <c r="BE392" i="80" s="1"/>
  <c r="AO47" i="80"/>
  <c r="AO392" i="80" s="1"/>
  <c r="EO47" i="80"/>
  <c r="EO392" i="80" s="1"/>
  <c r="FL47" i="80"/>
  <c r="FL392" i="80" s="1"/>
  <c r="CJ47" i="80"/>
  <c r="CJ392" i="80" s="1"/>
  <c r="J19" i="79"/>
  <c r="DQ40" i="79"/>
  <c r="DQ385" i="79" s="1"/>
  <c r="DI40" i="79"/>
  <c r="DI385" i="79" s="1"/>
  <c r="AO40" i="79"/>
  <c r="AO385" i="79" s="1"/>
  <c r="AG40" i="79"/>
  <c r="AG385" i="79" s="1"/>
  <c r="BM40" i="79"/>
  <c r="BM385" i="79" s="1"/>
  <c r="DY40" i="79"/>
  <c r="DY385" i="79" s="1"/>
  <c r="FE40" i="79"/>
  <c r="FE385" i="79" s="1"/>
  <c r="CK40" i="79"/>
  <c r="CK385" i="79" s="1"/>
  <c r="EO40" i="79"/>
  <c r="EO385" i="79" s="1"/>
  <c r="Q40" i="79"/>
  <c r="Q385" i="79" s="1"/>
  <c r="AW40" i="79"/>
  <c r="AW385" i="79" s="1"/>
  <c r="EG40" i="79"/>
  <c r="EG385" i="79" s="1"/>
  <c r="EW40" i="79"/>
  <c r="EW385" i="79" s="1"/>
  <c r="BU40" i="79"/>
  <c r="BU385" i="79" s="1"/>
  <c r="FM40" i="79"/>
  <c r="FM385" i="79" s="1"/>
  <c r="BE40" i="79"/>
  <c r="BE385" i="79" s="1"/>
  <c r="CS40" i="79"/>
  <c r="CS385" i="79" s="1"/>
  <c r="Y40" i="79"/>
  <c r="Y385" i="79" s="1"/>
  <c r="CC40" i="79"/>
  <c r="CC385" i="79" s="1"/>
  <c r="AF47" i="80"/>
  <c r="AF392" i="80" s="1"/>
  <c r="EO44" i="80"/>
  <c r="EO389" i="80" s="1"/>
  <c r="P47" i="80"/>
  <c r="P392" i="80" s="1"/>
  <c r="Q44" i="80"/>
  <c r="Q389" i="80" s="1"/>
  <c r="BT47" i="80"/>
  <c r="BT392" i="80" s="1"/>
  <c r="BU44" i="80"/>
  <c r="BU389" i="80" s="1"/>
  <c r="AG44" i="80"/>
  <c r="AG389" i="80" s="1"/>
  <c r="CC44" i="80"/>
  <c r="CC389" i="80" s="1"/>
  <c r="CB47" i="80"/>
  <c r="CB392" i="80" s="1"/>
  <c r="Y40" i="80"/>
  <c r="Y385" i="80" s="1"/>
  <c r="BM40" i="80"/>
  <c r="BM385" i="80" s="1"/>
  <c r="FE40" i="80"/>
  <c r="FE385" i="80" s="1"/>
  <c r="DA44" i="80"/>
  <c r="DA389" i="80" s="1"/>
  <c r="CC40" i="80"/>
  <c r="CC385" i="80" s="1"/>
  <c r="DH47" i="80"/>
  <c r="DH392" i="80" s="1"/>
  <c r="FL44" i="79"/>
  <c r="FL389" i="79" s="1"/>
  <c r="P44" i="79"/>
  <c r="P389" i="79" s="1"/>
  <c r="X44" i="79"/>
  <c r="X389" i="79" s="1"/>
  <c r="CR44" i="79"/>
  <c r="CR389" i="79" s="1"/>
  <c r="AV44" i="79"/>
  <c r="AV389" i="79" s="1"/>
  <c r="DP44" i="79"/>
  <c r="DP389" i="79" s="1"/>
  <c r="AN44" i="79"/>
  <c r="AN389" i="79" s="1"/>
  <c r="EN44" i="79"/>
  <c r="EN389" i="79" s="1"/>
  <c r="AF44" i="79"/>
  <c r="AF389" i="79" s="1"/>
  <c r="DH44" i="79"/>
  <c r="DH389" i="79" s="1"/>
  <c r="BT44" i="79"/>
  <c r="BT389" i="79" s="1"/>
  <c r="EV44" i="79"/>
  <c r="EV389" i="79" s="1"/>
  <c r="BD44" i="79"/>
  <c r="BD389" i="79" s="1"/>
  <c r="FD44" i="79"/>
  <c r="FD389" i="79" s="1"/>
  <c r="CB44" i="79"/>
  <c r="CB389" i="79" s="1"/>
  <c r="DQ44" i="80"/>
  <c r="DQ389" i="80" s="1"/>
  <c r="BU40" i="80"/>
  <c r="BU385" i="80" s="1"/>
  <c r="AV47" i="80"/>
  <c r="AV392" i="80" s="1"/>
  <c r="AW40" i="80"/>
  <c r="AW385" i="80" s="1"/>
  <c r="Y44" i="80"/>
  <c r="Y389" i="80" s="1"/>
  <c r="DA40" i="80"/>
  <c r="DA385" i="80" s="1"/>
  <c r="DQ47" i="80"/>
  <c r="DQ392" i="80" s="1"/>
  <c r="EG47" i="80"/>
  <c r="EG392" i="80" s="1"/>
  <c r="FE47" i="80"/>
  <c r="FE392" i="80" s="1"/>
  <c r="FM47" i="80"/>
  <c r="FM392" i="80" s="1"/>
  <c r="DA47" i="80"/>
  <c r="DA392" i="80" s="1"/>
  <c r="CS47" i="80"/>
  <c r="CS392" i="80" s="1"/>
  <c r="CC47" i="80"/>
  <c r="CC392" i="80" s="1"/>
  <c r="CB40" i="79"/>
  <c r="CB385" i="79" s="1"/>
  <c r="DP40" i="79"/>
  <c r="DP385" i="79" s="1"/>
  <c r="AN40" i="79"/>
  <c r="AN385" i="79" s="1"/>
  <c r="X40" i="79"/>
  <c r="X385" i="79" s="1"/>
  <c r="FD40" i="79"/>
  <c r="FD385" i="79" s="1"/>
  <c r="AV40" i="79"/>
  <c r="AV385" i="79" s="1"/>
  <c r="EV40" i="79"/>
  <c r="EV385" i="79" s="1"/>
  <c r="BT40" i="79"/>
  <c r="BT385" i="79" s="1"/>
  <c r="BD40" i="79"/>
  <c r="BD385" i="79" s="1"/>
  <c r="AF40" i="79"/>
  <c r="AF385" i="79" s="1"/>
  <c r="DH40" i="79"/>
  <c r="DH385" i="79" s="1"/>
  <c r="CR40" i="79"/>
  <c r="CR385" i="79" s="1"/>
  <c r="P40" i="79"/>
  <c r="P385" i="79" s="1"/>
  <c r="EN40" i="79"/>
  <c r="EN385" i="79" s="1"/>
  <c r="FL40" i="79"/>
  <c r="FL385" i="79" s="1"/>
  <c r="CS40" i="80"/>
  <c r="CS385" i="80" s="1"/>
  <c r="DI47" i="80"/>
  <c r="DI392" i="80" s="1"/>
  <c r="CS47" i="79"/>
  <c r="CS392" i="79" s="1"/>
  <c r="DI47" i="79"/>
  <c r="DI392" i="79" s="1"/>
  <c r="CC47" i="79"/>
  <c r="CC392" i="79" s="1"/>
  <c r="CK47" i="79"/>
  <c r="CK392" i="79" s="1"/>
  <c r="EO47" i="79"/>
  <c r="EO392" i="79" s="1"/>
  <c r="Q47" i="79"/>
  <c r="Q392" i="79" s="1"/>
  <c r="BE47" i="79"/>
  <c r="BE392" i="79" s="1"/>
  <c r="FM47" i="79"/>
  <c r="FM392" i="79" s="1"/>
  <c r="BM47" i="79"/>
  <c r="BM392" i="79" s="1"/>
  <c r="EG47" i="79"/>
  <c r="EG392" i="79" s="1"/>
  <c r="BU47" i="79"/>
  <c r="BU392" i="79" s="1"/>
  <c r="AG47" i="80"/>
  <c r="AG392" i="80" s="1"/>
  <c r="AW47" i="80"/>
  <c r="AW392" i="80" s="1"/>
  <c r="DA40" i="79"/>
  <c r="DA385" i="79" s="1"/>
  <c r="CS44" i="80"/>
  <c r="CS389" i="80" s="1"/>
  <c r="EG44" i="80"/>
  <c r="EG389" i="80" s="1"/>
  <c r="EW44" i="80"/>
  <c r="EW389" i="80" s="1"/>
  <c r="AO44" i="79"/>
  <c r="AO389" i="79" s="1"/>
  <c r="CK44" i="79"/>
  <c r="CK389" i="79" s="1"/>
  <c r="DQ44" i="79"/>
  <c r="DQ389" i="79" s="1"/>
  <c r="DI44" i="79"/>
  <c r="DI389" i="79" s="1"/>
  <c r="BU44" i="79"/>
  <c r="BU389" i="79" s="1"/>
  <c r="FM44" i="79"/>
  <c r="FM389" i="79" s="1"/>
  <c r="DY44" i="79"/>
  <c r="DY389" i="79" s="1"/>
  <c r="BE44" i="79"/>
  <c r="BE389" i="79" s="1"/>
  <c r="CS44" i="79"/>
  <c r="CS389" i="79" s="1"/>
  <c r="CC44" i="79"/>
  <c r="CC389" i="79" s="1"/>
  <c r="EG44" i="79"/>
  <c r="EG389" i="79" s="1"/>
  <c r="AW44" i="79"/>
  <c r="AW389" i="79" s="1"/>
  <c r="Y44" i="79"/>
  <c r="Y389" i="79" s="1"/>
  <c r="EW44" i="79"/>
  <c r="EW389" i="79" s="1"/>
  <c r="AG44" i="79"/>
  <c r="AG389" i="79" s="1"/>
  <c r="EO44" i="79"/>
  <c r="EO389" i="79" s="1"/>
  <c r="BM44" i="79"/>
  <c r="BM389" i="79" s="1"/>
  <c r="Q44" i="79"/>
  <c r="Q389" i="79" s="1"/>
  <c r="FE44" i="79"/>
  <c r="FE389" i="79" s="1"/>
  <c r="X47" i="80"/>
  <c r="X392" i="80" s="1"/>
  <c r="BE44" i="80"/>
  <c r="BE389" i="80" s="1"/>
  <c r="DY40" i="80"/>
  <c r="DY385" i="80" s="1"/>
  <c r="FM44" i="80"/>
  <c r="FM389" i="80" s="1"/>
  <c r="AG47" i="79"/>
  <c r="AG392" i="79" s="1"/>
  <c r="BL44" i="79"/>
  <c r="BL389" i="79" s="1"/>
  <c r="Y47" i="80"/>
  <c r="Y392" i="80" s="1"/>
  <c r="AW47" i="79"/>
  <c r="AW392" i="79" s="1"/>
  <c r="BU47" i="80"/>
  <c r="BU392" i="80" s="1"/>
  <c r="CJ308" i="79"/>
  <c r="CJ40" i="79"/>
  <c r="CJ385" i="79" s="1"/>
  <c r="CJ44" i="79"/>
  <c r="CJ389" i="79" s="1"/>
  <c r="CK308" i="80"/>
  <c r="CK313" i="80" s="1"/>
  <c r="CK40" i="80"/>
  <c r="CK385" i="80" s="1"/>
  <c r="CK44" i="80"/>
  <c r="CK389" i="80" s="1"/>
  <c r="BD452" i="80"/>
  <c r="CZ308" i="79"/>
  <c r="CZ40" i="79"/>
  <c r="CZ385" i="79" s="1"/>
  <c r="CZ44" i="79"/>
  <c r="CZ389" i="79" s="1"/>
  <c r="DX308" i="79"/>
  <c r="DX40" i="79"/>
  <c r="DX385" i="79" s="1"/>
  <c r="DX44" i="79"/>
  <c r="DX389" i="79" s="1"/>
  <c r="EF308" i="79"/>
  <c r="EF44" i="79"/>
  <c r="EF389" i="79" s="1"/>
  <c r="EF40" i="79"/>
  <c r="EF385" i="79" s="1"/>
  <c r="EP450" i="80"/>
  <c r="DH48" i="79"/>
  <c r="DH393" i="79" s="1"/>
  <c r="X48" i="79"/>
  <c r="X393" i="79" s="1"/>
  <c r="AV88" i="79"/>
  <c r="AV48" i="79"/>
  <c r="AV393" i="79" s="1"/>
  <c r="BT88" i="79"/>
  <c r="BT48" i="79"/>
  <c r="BT393" i="79" s="1"/>
  <c r="EN48" i="79"/>
  <c r="EN393" i="79" s="1"/>
  <c r="EN88" i="79"/>
  <c r="AN88" i="79"/>
  <c r="AN48" i="79"/>
  <c r="AN393" i="79" s="1"/>
  <c r="CB88" i="79"/>
  <c r="CB48" i="79"/>
  <c r="CB393" i="79" s="1"/>
  <c r="AG88" i="79"/>
  <c r="AG110" i="79"/>
  <c r="AG48" i="79"/>
  <c r="AG393" i="79" s="1"/>
  <c r="FL48" i="79"/>
  <c r="FL393" i="79" s="1"/>
  <c r="FL88" i="79"/>
  <c r="EV48" i="79"/>
  <c r="EV393" i="79" s="1"/>
  <c r="EV88" i="79"/>
  <c r="EF88" i="79"/>
  <c r="EF48" i="79"/>
  <c r="EF393" i="79" s="1"/>
  <c r="CJ48" i="79"/>
  <c r="CJ393" i="79" s="1"/>
  <c r="CJ88" i="79"/>
  <c r="R301" i="80"/>
  <c r="R302" i="80" s="1"/>
  <c r="FL88" i="80"/>
  <c r="FL48" i="80"/>
  <c r="FL393" i="80" s="1"/>
  <c r="AF308" i="80"/>
  <c r="AF40" i="80"/>
  <c r="AF385" i="80" s="1"/>
  <c r="AF44" i="80"/>
  <c r="AF389" i="80" s="1"/>
  <c r="CZ88" i="80"/>
  <c r="CZ48" i="80"/>
  <c r="CZ393" i="80" s="1"/>
  <c r="CJ308" i="80"/>
  <c r="CJ40" i="80"/>
  <c r="CJ385" i="80" s="1"/>
  <c r="CJ44" i="80"/>
  <c r="CJ389" i="80" s="1"/>
  <c r="X308" i="80"/>
  <c r="X44" i="80"/>
  <c r="X389" i="80" s="1"/>
  <c r="X40" i="80"/>
  <c r="X385" i="80" s="1"/>
  <c r="BL48" i="80"/>
  <c r="BL393" i="80" s="1"/>
  <c r="BL88" i="80"/>
  <c r="P308" i="80"/>
  <c r="P40" i="80"/>
  <c r="P385" i="80" s="1"/>
  <c r="P44" i="80"/>
  <c r="P389" i="80" s="1"/>
  <c r="CB308" i="80"/>
  <c r="CB44" i="80"/>
  <c r="CB389" i="80" s="1"/>
  <c r="CB40" i="80"/>
  <c r="CB385" i="80" s="1"/>
  <c r="EN308" i="80"/>
  <c r="EN44" i="80"/>
  <c r="EN389" i="80" s="1"/>
  <c r="EN40" i="80"/>
  <c r="EN385" i="80" s="1"/>
  <c r="DX88" i="80"/>
  <c r="DX48" i="80"/>
  <c r="DX393" i="80" s="1"/>
  <c r="DP308" i="80"/>
  <c r="DP40" i="80"/>
  <c r="DP385" i="80" s="1"/>
  <c r="DP44" i="80"/>
  <c r="DP389" i="80" s="1"/>
  <c r="BL308" i="80"/>
  <c r="BL40" i="80"/>
  <c r="BL385" i="80" s="1"/>
  <c r="BL44" i="80"/>
  <c r="BL389" i="80" s="1"/>
  <c r="AF48" i="80"/>
  <c r="AF393" i="80" s="1"/>
  <c r="AF88" i="80"/>
  <c r="EV48" i="80"/>
  <c r="EV393" i="80" s="1"/>
  <c r="CJ88" i="80"/>
  <c r="CJ48" i="80"/>
  <c r="CJ393" i="80" s="1"/>
  <c r="BT48" i="80"/>
  <c r="BT393" i="80" s="1"/>
  <c r="BT88" i="80"/>
  <c r="AN308" i="80"/>
  <c r="AN40" i="80"/>
  <c r="AN385" i="80" s="1"/>
  <c r="AN44" i="80"/>
  <c r="AN389" i="80" s="1"/>
  <c r="DH308" i="80"/>
  <c r="DH40" i="80"/>
  <c r="DH385" i="80" s="1"/>
  <c r="DH44" i="80"/>
  <c r="DH389" i="80" s="1"/>
  <c r="EF48" i="80"/>
  <c r="EF393" i="80" s="1"/>
  <c r="EF88" i="80"/>
  <c r="AV308" i="80"/>
  <c r="AV44" i="80"/>
  <c r="AV40" i="80"/>
  <c r="AV385" i="80" s="1"/>
  <c r="FD308" i="80"/>
  <c r="FD44" i="80"/>
  <c r="FD389" i="80" s="1"/>
  <c r="FD40" i="80"/>
  <c r="FD385" i="80" s="1"/>
  <c r="EN48" i="80"/>
  <c r="EN393" i="80" s="1"/>
  <c r="EN88" i="80"/>
  <c r="FL308" i="80"/>
  <c r="FL40" i="80"/>
  <c r="FL44" i="80"/>
  <c r="FL389" i="80" s="1"/>
  <c r="P48" i="80"/>
  <c r="P393" i="80" s="1"/>
  <c r="P88" i="80"/>
  <c r="CR308" i="80"/>
  <c r="CR44" i="80"/>
  <c r="CR389" i="80" s="1"/>
  <c r="CR40" i="80"/>
  <c r="CR385" i="80" s="1"/>
  <c r="FD48" i="80"/>
  <c r="FD393" i="80" s="1"/>
  <c r="FD88" i="80"/>
  <c r="AN48" i="80"/>
  <c r="AN393" i="80" s="1"/>
  <c r="AN88" i="80"/>
  <c r="AV48" i="80"/>
  <c r="AV393" i="80" s="1"/>
  <c r="AV88" i="80"/>
  <c r="DH88" i="80"/>
  <c r="DH48" i="80"/>
  <c r="DP88" i="80"/>
  <c r="DP48" i="80"/>
  <c r="X48" i="80"/>
  <c r="X393" i="80" s="1"/>
  <c r="X88" i="80"/>
  <c r="CZ308" i="80"/>
  <c r="CZ40" i="80"/>
  <c r="CZ385" i="80" s="1"/>
  <c r="CZ44" i="80"/>
  <c r="CZ389" i="80" s="1"/>
  <c r="EF308" i="80"/>
  <c r="EF40" i="80"/>
  <c r="EF385" i="80" s="1"/>
  <c r="EF44" i="80"/>
  <c r="EF389" i="80" s="1"/>
  <c r="CR48" i="80"/>
  <c r="CR393" i="80" s="1"/>
  <c r="CR88" i="80"/>
  <c r="EV308" i="80"/>
  <c r="EV44" i="80"/>
  <c r="EV389" i="80" s="1"/>
  <c r="EV40" i="80"/>
  <c r="EV385" i="80" s="1"/>
  <c r="BT308" i="80"/>
  <c r="BT40" i="80"/>
  <c r="BT385" i="80" s="1"/>
  <c r="BT44" i="80"/>
  <c r="BT389" i="80" s="1"/>
  <c r="DX40" i="80"/>
  <c r="DX385" i="80" s="1"/>
  <c r="DX44" i="80"/>
  <c r="DX389" i="80" s="1"/>
  <c r="DX308" i="80"/>
  <c r="O135" i="80"/>
  <c r="O161" i="80" s="1"/>
  <c r="O237" i="80"/>
  <c r="O260" i="80" s="1"/>
  <c r="O322" i="80" s="1"/>
  <c r="R191" i="80"/>
  <c r="R196" i="80" s="1"/>
  <c r="J46" i="85" l="1"/>
  <c r="L20" i="90" s="1"/>
  <c r="J43" i="85"/>
  <c r="L17" i="90" s="1"/>
  <c r="E29" i="82"/>
  <c r="H110" i="80"/>
  <c r="BL110" i="80" s="1"/>
  <c r="J37" i="80"/>
  <c r="J382" i="80" s="1"/>
  <c r="I46" i="85"/>
  <c r="K20" i="90" s="1"/>
  <c r="J88" i="79"/>
  <c r="J93" i="79" s="1"/>
  <c r="I93" i="13"/>
  <c r="I93" i="85" s="1"/>
  <c r="I88" i="79"/>
  <c r="I93" i="79" s="1"/>
  <c r="G30" i="82"/>
  <c r="FD47" i="79"/>
  <c r="FD392" i="79" s="1"/>
  <c r="EW47" i="79"/>
  <c r="EW392" i="79" s="1"/>
  <c r="I88" i="80"/>
  <c r="I93" i="80" s="1"/>
  <c r="H110" i="79"/>
  <c r="AF110" i="79" s="1"/>
  <c r="AH110" i="79" s="1"/>
  <c r="J37" i="79"/>
  <c r="J382" i="79" s="1"/>
  <c r="J42" i="79"/>
  <c r="J387" i="79" s="1"/>
  <c r="J93" i="13"/>
  <c r="J93" i="85" s="1"/>
  <c r="J42" i="85"/>
  <c r="L16" i="90" s="1"/>
  <c r="G30" i="35"/>
  <c r="J38" i="80"/>
  <c r="J383" i="80" s="1"/>
  <c r="J434" i="80" s="1"/>
  <c r="E30" i="82"/>
  <c r="J88" i="80"/>
  <c r="J93" i="80" s="1"/>
  <c r="J38" i="85"/>
  <c r="L12" i="90" s="1"/>
  <c r="G26" i="82"/>
  <c r="G69" i="82" s="1"/>
  <c r="H38" i="80"/>
  <c r="H42" i="80"/>
  <c r="H387" i="80" s="1"/>
  <c r="H42" i="79"/>
  <c r="BT42" i="79" s="1"/>
  <c r="BT387" i="79" s="1"/>
  <c r="E30" i="35"/>
  <c r="J37" i="85"/>
  <c r="L11" i="90" s="1"/>
  <c r="G25" i="35"/>
  <c r="H45" i="79"/>
  <c r="AV45" i="79" s="1"/>
  <c r="AV436" i="79" s="1"/>
  <c r="J105" i="79"/>
  <c r="J116" i="79" s="1"/>
  <c r="E33" i="35"/>
  <c r="E71" i="35" s="1"/>
  <c r="BM111" i="80"/>
  <c r="J48" i="79"/>
  <c r="J393" i="79" s="1"/>
  <c r="H45" i="80"/>
  <c r="H390" i="80" s="1"/>
  <c r="H436" i="80" s="1"/>
  <c r="J116" i="13"/>
  <c r="I111" i="79"/>
  <c r="AW111" i="79" s="1"/>
  <c r="J48" i="80"/>
  <c r="J393" i="80" s="1"/>
  <c r="FM111" i="80"/>
  <c r="BU111" i="80"/>
  <c r="E31" i="82"/>
  <c r="J105" i="80"/>
  <c r="J116" i="80" s="1"/>
  <c r="J48" i="85"/>
  <c r="L22" i="90" s="1"/>
  <c r="E26" i="35"/>
  <c r="E69" i="35" s="1"/>
  <c r="E29" i="35"/>
  <c r="F31" i="82"/>
  <c r="H41" i="80"/>
  <c r="AF41" i="80" s="1"/>
  <c r="I46" i="80"/>
  <c r="I391" i="80" s="1"/>
  <c r="I437" i="80" s="1"/>
  <c r="H37" i="80"/>
  <c r="EF37" i="80" s="1"/>
  <c r="EF382" i="80" s="1"/>
  <c r="F34" i="35"/>
  <c r="F72" i="35" s="1"/>
  <c r="H93" i="13"/>
  <c r="H93" i="85" s="1"/>
  <c r="H88" i="80"/>
  <c r="H93" i="80" s="1"/>
  <c r="F34" i="82"/>
  <c r="F72" i="82" s="1"/>
  <c r="E33" i="82"/>
  <c r="E71" i="82" s="1"/>
  <c r="F29" i="82"/>
  <c r="J38" i="79"/>
  <c r="J434" i="79" s="1"/>
  <c r="I41" i="85"/>
  <c r="K15" i="90" s="1"/>
  <c r="H88" i="79"/>
  <c r="H93" i="79" s="1"/>
  <c r="H41" i="79"/>
  <c r="X41" i="79" s="1"/>
  <c r="X386" i="79" s="1"/>
  <c r="M15" i="27"/>
  <c r="I15" i="27" s="1"/>
  <c r="N15" i="27"/>
  <c r="J15" i="27" s="1"/>
  <c r="I45" i="85"/>
  <c r="K19" i="90" s="1"/>
  <c r="CK45" i="80"/>
  <c r="CK390" i="80" s="1"/>
  <c r="CK436" i="80" s="1"/>
  <c r="I110" i="85"/>
  <c r="K59" i="90" s="1"/>
  <c r="F33" i="82"/>
  <c r="F71" i="82" s="1"/>
  <c r="DI45" i="80"/>
  <c r="DI390" i="80" s="1"/>
  <c r="DI436" i="80" s="1"/>
  <c r="I110" i="79"/>
  <c r="DY110" i="79" s="1"/>
  <c r="EG45" i="80"/>
  <c r="EG390" i="80" s="1"/>
  <c r="EG436" i="80" s="1"/>
  <c r="AG45" i="80"/>
  <c r="AG390" i="80" s="1"/>
  <c r="AG436" i="80" s="1"/>
  <c r="CC45" i="80"/>
  <c r="CC390" i="80" s="1"/>
  <c r="CC436" i="80" s="1"/>
  <c r="Q45" i="80"/>
  <c r="Q390" i="80" s="1"/>
  <c r="Q436" i="80" s="1"/>
  <c r="CS45" i="80"/>
  <c r="CS390" i="80" s="1"/>
  <c r="CS436" i="80" s="1"/>
  <c r="E36" i="35"/>
  <c r="Y111" i="80"/>
  <c r="I116" i="13"/>
  <c r="EW111" i="80"/>
  <c r="AO111" i="80"/>
  <c r="I105" i="85"/>
  <c r="K54" i="90" s="1"/>
  <c r="Q111" i="80"/>
  <c r="I105" i="80"/>
  <c r="FE105" i="80" s="1"/>
  <c r="BE111" i="80"/>
  <c r="E31" i="35"/>
  <c r="AW111" i="80"/>
  <c r="EG111" i="80"/>
  <c r="H43" i="79"/>
  <c r="CJ43" i="79" s="1"/>
  <c r="CJ388" i="79" s="1"/>
  <c r="H43" i="80"/>
  <c r="H388" i="80" s="1"/>
  <c r="FE111" i="80"/>
  <c r="CK111" i="80"/>
  <c r="CS111" i="80"/>
  <c r="DY111" i="80"/>
  <c r="AG111" i="80"/>
  <c r="DQ111" i="80"/>
  <c r="DA111" i="80"/>
  <c r="I111" i="85"/>
  <c r="K60" i="90" s="1"/>
  <c r="H48" i="79"/>
  <c r="H393" i="79" s="1"/>
  <c r="F25" i="82"/>
  <c r="E36" i="82"/>
  <c r="I41" i="79"/>
  <c r="I386" i="79" s="1"/>
  <c r="I41" i="80"/>
  <c r="CC41" i="80" s="1"/>
  <c r="CC386" i="80" s="1"/>
  <c r="H38" i="79"/>
  <c r="X38" i="79" s="1"/>
  <c r="X383" i="79" s="1"/>
  <c r="AO45" i="80"/>
  <c r="AO390" i="80" s="1"/>
  <c r="AO436" i="80" s="1"/>
  <c r="EO45" i="80"/>
  <c r="EO390" i="80" s="1"/>
  <c r="EO436" i="80" s="1"/>
  <c r="BM45" i="80"/>
  <c r="BM390" i="80" s="1"/>
  <c r="BM436" i="80" s="1"/>
  <c r="DY45" i="80"/>
  <c r="DY390" i="80" s="1"/>
  <c r="DY436" i="80" s="1"/>
  <c r="FE45" i="80"/>
  <c r="FE390" i="80" s="1"/>
  <c r="FE436" i="80" s="1"/>
  <c r="AW45" i="80"/>
  <c r="AW390" i="80" s="1"/>
  <c r="AW436" i="80" s="1"/>
  <c r="BU45" i="80"/>
  <c r="BU390" i="80" s="1"/>
  <c r="BU436" i="80" s="1"/>
  <c r="BE45" i="80"/>
  <c r="BE390" i="80" s="1"/>
  <c r="BE436" i="80" s="1"/>
  <c r="Y45" i="80"/>
  <c r="Y390" i="80" s="1"/>
  <c r="Y436" i="80" s="1"/>
  <c r="I45" i="79"/>
  <c r="CK45" i="79" s="1"/>
  <c r="CK390" i="79" s="1"/>
  <c r="FM45" i="80"/>
  <c r="FM390" i="80" s="1"/>
  <c r="FM436" i="80" s="1"/>
  <c r="DA45" i="80"/>
  <c r="DA390" i="80" s="1"/>
  <c r="DA436" i="80" s="1"/>
  <c r="I37" i="85"/>
  <c r="K11" i="90" s="1"/>
  <c r="EW45" i="80"/>
  <c r="EW390" i="80" s="1"/>
  <c r="EW436" i="80" s="1"/>
  <c r="H111" i="79"/>
  <c r="X111" i="79" s="1"/>
  <c r="H111" i="80"/>
  <c r="EF111" i="80" s="1"/>
  <c r="I37" i="80"/>
  <c r="EO37" i="80" s="1"/>
  <c r="EO382" i="80" s="1"/>
  <c r="I390" i="80"/>
  <c r="I436" i="80" s="1"/>
  <c r="H48" i="80"/>
  <c r="H393" i="80" s="1"/>
  <c r="F33" i="35"/>
  <c r="F71" i="35" s="1"/>
  <c r="H105" i="79"/>
  <c r="AF105" i="79" s="1"/>
  <c r="H105" i="80"/>
  <c r="X105" i="80" s="1"/>
  <c r="F26" i="35"/>
  <c r="F69" i="35" s="1"/>
  <c r="I38" i="80"/>
  <c r="CK38" i="80" s="1"/>
  <c r="CK383" i="80" s="1"/>
  <c r="CK434" i="80" s="1"/>
  <c r="F26" i="82"/>
  <c r="F69" i="82" s="1"/>
  <c r="H116" i="13"/>
  <c r="H46" i="79"/>
  <c r="EV46" i="79" s="1"/>
  <c r="EV391" i="79" s="1"/>
  <c r="E34" i="82"/>
  <c r="E72" i="82" s="1"/>
  <c r="H46" i="80"/>
  <c r="AV46" i="80" s="1"/>
  <c r="E34" i="35"/>
  <c r="E72" i="35" s="1"/>
  <c r="I376" i="79"/>
  <c r="Y376" i="79" s="1"/>
  <c r="Y378" i="79" s="1"/>
  <c r="Y379" i="79" s="1"/>
  <c r="Y449" i="79" s="1"/>
  <c r="CC111" i="80"/>
  <c r="F21" i="35"/>
  <c r="I373" i="85" s="1"/>
  <c r="I376" i="80"/>
  <c r="AO376" i="80" s="1"/>
  <c r="AO378" i="80" s="1"/>
  <c r="AO379" i="80" s="1"/>
  <c r="AO449" i="80" s="1"/>
  <c r="E25" i="82"/>
  <c r="I43" i="85"/>
  <c r="K17" i="90" s="1"/>
  <c r="E25" i="35"/>
  <c r="H291" i="85"/>
  <c r="J161" i="90" s="1"/>
  <c r="H291" i="80"/>
  <c r="H291" i="79"/>
  <c r="I43" i="80"/>
  <c r="I388" i="80" s="1"/>
  <c r="I43" i="79"/>
  <c r="EO43" i="79" s="1"/>
  <c r="EO388" i="79" s="1"/>
  <c r="H37" i="79"/>
  <c r="FL37" i="79" s="1"/>
  <c r="FL382" i="79" s="1"/>
  <c r="I37" i="79"/>
  <c r="I382" i="79" s="1"/>
  <c r="H371" i="85"/>
  <c r="J182" i="90" s="1"/>
  <c r="H376" i="80"/>
  <c r="H378" i="80" s="1"/>
  <c r="H379" i="80" s="1"/>
  <c r="H449" i="80" s="1"/>
  <c r="EO111" i="80"/>
  <c r="E21" i="35"/>
  <c r="E22" i="35" s="1"/>
  <c r="I48" i="80"/>
  <c r="I393" i="80" s="1"/>
  <c r="J292" i="85"/>
  <c r="L162" i="90" s="1"/>
  <c r="J292" i="80"/>
  <c r="F36" i="35"/>
  <c r="R38" i="35"/>
  <c r="I48" i="79"/>
  <c r="I393" i="79" s="1"/>
  <c r="F36" i="82"/>
  <c r="I38" i="85"/>
  <c r="K12" i="90" s="1"/>
  <c r="N21" i="131"/>
  <c r="J128" i="85"/>
  <c r="L74" i="90" s="1"/>
  <c r="J128" i="79"/>
  <c r="J128" i="80"/>
  <c r="J122" i="79"/>
  <c r="J122" i="85"/>
  <c r="L68" i="90" s="1"/>
  <c r="J122" i="80"/>
  <c r="L128" i="13"/>
  <c r="H128" i="13" s="1"/>
  <c r="F23" i="131"/>
  <c r="I128" i="80"/>
  <c r="I128" i="85"/>
  <c r="K74" i="90" s="1"/>
  <c r="I128" i="79"/>
  <c r="I122" i="79"/>
  <c r="I122" i="80"/>
  <c r="I122" i="85"/>
  <c r="K68" i="90" s="1"/>
  <c r="I292" i="85"/>
  <c r="K162" i="90" s="1"/>
  <c r="I292" i="80"/>
  <c r="I292" i="79"/>
  <c r="X65" i="79"/>
  <c r="EO65" i="79"/>
  <c r="CK42" i="79"/>
  <c r="CK387" i="79" s="1"/>
  <c r="DA42" i="79"/>
  <c r="DA387" i="79" s="1"/>
  <c r="BU42" i="79"/>
  <c r="BU387" i="79" s="1"/>
  <c r="Y42" i="79"/>
  <c r="Y387" i="79" s="1"/>
  <c r="CS105" i="79"/>
  <c r="DI105" i="79"/>
  <c r="BM111" i="79"/>
  <c r="BM116" i="79" s="1"/>
  <c r="BE105" i="79"/>
  <c r="CS111" i="79"/>
  <c r="Y105" i="79"/>
  <c r="CK105" i="79"/>
  <c r="EG111" i="79"/>
  <c r="BU111" i="79"/>
  <c r="CC105" i="79"/>
  <c r="DA105" i="79"/>
  <c r="FM105" i="79"/>
  <c r="DQ105" i="79"/>
  <c r="Q105" i="79"/>
  <c r="Y111" i="79"/>
  <c r="AW105" i="79"/>
  <c r="AO105" i="79"/>
  <c r="AG105" i="79"/>
  <c r="EG105" i="79"/>
  <c r="BU105" i="79"/>
  <c r="EG42" i="80"/>
  <c r="EG387" i="80" s="1"/>
  <c r="DA111" i="79"/>
  <c r="AG42" i="80"/>
  <c r="AG387" i="80" s="1"/>
  <c r="EO105" i="79"/>
  <c r="CK42" i="80"/>
  <c r="CK387" i="80" s="1"/>
  <c r="EW42" i="80"/>
  <c r="EW387" i="80" s="1"/>
  <c r="DA42" i="80"/>
  <c r="DA387" i="80" s="1"/>
  <c r="DY42" i="80"/>
  <c r="DY387" i="80" s="1"/>
  <c r="CS42" i="80"/>
  <c r="CS387" i="80" s="1"/>
  <c r="Q42" i="80"/>
  <c r="Q387" i="80" s="1"/>
  <c r="FM42" i="80"/>
  <c r="FM387" i="80" s="1"/>
  <c r="FE42" i="80"/>
  <c r="FE387" i="80" s="1"/>
  <c r="BE42" i="80"/>
  <c r="BE387" i="80" s="1"/>
  <c r="Y42" i="80"/>
  <c r="Y387" i="80" s="1"/>
  <c r="BU46" i="79"/>
  <c r="BU437" i="79" s="1"/>
  <c r="AO46" i="79"/>
  <c r="AO437" i="79" s="1"/>
  <c r="AG46" i="79"/>
  <c r="AG391" i="79" s="1"/>
  <c r="AO42" i="80"/>
  <c r="AO387" i="80" s="1"/>
  <c r="CS46" i="79"/>
  <c r="CS437" i="79" s="1"/>
  <c r="FE105" i="79"/>
  <c r="CC46" i="79"/>
  <c r="CC437" i="79" s="1"/>
  <c r="EG46" i="79"/>
  <c r="EG391" i="79" s="1"/>
  <c r="DI46" i="79"/>
  <c r="DI437" i="79" s="1"/>
  <c r="Q111" i="79"/>
  <c r="DQ46" i="79"/>
  <c r="DQ391" i="79" s="1"/>
  <c r="FE46" i="79"/>
  <c r="FE437" i="79" s="1"/>
  <c r="EW46" i="79"/>
  <c r="EW391" i="79" s="1"/>
  <c r="BM46" i="79"/>
  <c r="BM437" i="79" s="1"/>
  <c r="BE46" i="79"/>
  <c r="BE437" i="79" s="1"/>
  <c r="FM46" i="79"/>
  <c r="FM391" i="79" s="1"/>
  <c r="AW42" i="80"/>
  <c r="AW387" i="80" s="1"/>
  <c r="Y46" i="79"/>
  <c r="Y391" i="79" s="1"/>
  <c r="DY105" i="79"/>
  <c r="EW105" i="79"/>
  <c r="EN110" i="79"/>
  <c r="EO110" i="79"/>
  <c r="BT110" i="79"/>
  <c r="AO110" i="80"/>
  <c r="BU110" i="80"/>
  <c r="DA110" i="80"/>
  <c r="AW110" i="80"/>
  <c r="CR110" i="80"/>
  <c r="CZ110" i="80"/>
  <c r="EF110" i="79"/>
  <c r="BE110" i="79"/>
  <c r="CC110" i="79"/>
  <c r="CS110" i="79"/>
  <c r="Y110" i="79"/>
  <c r="CS110" i="80"/>
  <c r="EV110" i="79"/>
  <c r="EW110" i="80"/>
  <c r="Q110" i="79"/>
  <c r="EN110" i="80"/>
  <c r="DQ110" i="79"/>
  <c r="DA110" i="79"/>
  <c r="Q110" i="80"/>
  <c r="BE110" i="80"/>
  <c r="DI110" i="79"/>
  <c r="DY110" i="80"/>
  <c r="AG110" i="80"/>
  <c r="FE110" i="79"/>
  <c r="AW110" i="79"/>
  <c r="X110" i="79"/>
  <c r="AO110" i="79"/>
  <c r="FD110" i="80"/>
  <c r="FF110" i="80" s="1"/>
  <c r="CJ110" i="80"/>
  <c r="CL110" i="80" s="1"/>
  <c r="BU110" i="79"/>
  <c r="EG110" i="79"/>
  <c r="FM110" i="79"/>
  <c r="FM88" i="79"/>
  <c r="FM93" i="79" s="1"/>
  <c r="EO88" i="79"/>
  <c r="EO93" i="79" s="1"/>
  <c r="EV88" i="80"/>
  <c r="EV93" i="80" s="1"/>
  <c r="DH88" i="79"/>
  <c r="DH93" i="79" s="1"/>
  <c r="EW88" i="79"/>
  <c r="EW93" i="79" s="1"/>
  <c r="AF88" i="79"/>
  <c r="AF93" i="79" s="1"/>
  <c r="CC88" i="79"/>
  <c r="CC93" i="79" s="1"/>
  <c r="X88" i="79"/>
  <c r="X93" i="79" s="1"/>
  <c r="DI88" i="80"/>
  <c r="DI93" i="80" s="1"/>
  <c r="CC88" i="80"/>
  <c r="CC93" i="80" s="1"/>
  <c r="DQ88" i="80"/>
  <c r="DQ93" i="80" s="1"/>
  <c r="BM88" i="80"/>
  <c r="BM93" i="80" s="1"/>
  <c r="EO88" i="80"/>
  <c r="EO93" i="80" s="1"/>
  <c r="FE88" i="79"/>
  <c r="FE93" i="79" s="1"/>
  <c r="DI88" i="79"/>
  <c r="DI93" i="79" s="1"/>
  <c r="Q88" i="79"/>
  <c r="Q93" i="79" s="1"/>
  <c r="AW88" i="79"/>
  <c r="AW93" i="79" s="1"/>
  <c r="DA88" i="79"/>
  <c r="DA93" i="79" s="1"/>
  <c r="BU88" i="79"/>
  <c r="BU93" i="79" s="1"/>
  <c r="Y88" i="79"/>
  <c r="Y93" i="79" s="1"/>
  <c r="CK88" i="79"/>
  <c r="CK93" i="79" s="1"/>
  <c r="DY88" i="79"/>
  <c r="DY93" i="79" s="1"/>
  <c r="CC65" i="79"/>
  <c r="DY65" i="79"/>
  <c r="AG65" i="79"/>
  <c r="AH65" i="79" s="1"/>
  <c r="CS65" i="79"/>
  <c r="EG65" i="79"/>
  <c r="Q65" i="79"/>
  <c r="BU65" i="79"/>
  <c r="EN65" i="79"/>
  <c r="EW65" i="79"/>
  <c r="FM65" i="79"/>
  <c r="BM65" i="79"/>
  <c r="DQ65" i="79"/>
  <c r="AW65" i="79"/>
  <c r="CK65" i="79"/>
  <c r="DI65" i="79"/>
  <c r="Y65" i="79"/>
  <c r="AO65" i="79"/>
  <c r="BE65" i="79"/>
  <c r="FE65" i="79"/>
  <c r="FL65" i="79"/>
  <c r="EW42" i="79"/>
  <c r="EW387" i="79" s="1"/>
  <c r="FM42" i="79"/>
  <c r="FM387" i="79" s="1"/>
  <c r="CS42" i="79"/>
  <c r="CS387" i="79" s="1"/>
  <c r="DQ42" i="79"/>
  <c r="DQ387" i="79" s="1"/>
  <c r="BE42" i="79"/>
  <c r="BE387" i="79" s="1"/>
  <c r="DI42" i="79"/>
  <c r="DI387" i="79" s="1"/>
  <c r="DY42" i="79"/>
  <c r="DY387" i="79" s="1"/>
  <c r="EN42" i="80"/>
  <c r="EN387" i="80" s="1"/>
  <c r="EG42" i="79"/>
  <c r="EG387" i="79" s="1"/>
  <c r="EO42" i="79"/>
  <c r="EO387" i="79" s="1"/>
  <c r="DI17" i="79"/>
  <c r="DI411" i="79" s="1"/>
  <c r="DI427" i="79" s="1"/>
  <c r="AO42" i="79"/>
  <c r="AO387" i="79" s="1"/>
  <c r="CR42" i="80"/>
  <c r="CR387" i="80" s="1"/>
  <c r="DP42" i="80"/>
  <c r="DP387" i="80" s="1"/>
  <c r="BM42" i="79"/>
  <c r="BM387" i="79" s="1"/>
  <c r="AG42" i="79"/>
  <c r="AG387" i="79" s="1"/>
  <c r="CC42" i="79"/>
  <c r="CC387" i="79" s="1"/>
  <c r="FE42" i="79"/>
  <c r="FE387" i="79" s="1"/>
  <c r="Q42" i="79"/>
  <c r="Q387" i="79" s="1"/>
  <c r="CZ42" i="80"/>
  <c r="CZ387" i="80" s="1"/>
  <c r="AG38" i="79"/>
  <c r="AG383" i="79" s="1"/>
  <c r="DH42" i="80"/>
  <c r="DH387" i="80" s="1"/>
  <c r="BT42" i="80"/>
  <c r="BT387" i="80" s="1"/>
  <c r="AV42" i="80"/>
  <c r="AV387" i="80" s="1"/>
  <c r="FE38" i="79"/>
  <c r="FE383" i="79" s="1"/>
  <c r="AO38" i="79"/>
  <c r="AO383" i="79" s="1"/>
  <c r="FM38" i="79"/>
  <c r="FM434" i="79" s="1"/>
  <c r="CJ42" i="80"/>
  <c r="CJ387" i="80" s="1"/>
  <c r="X42" i="80"/>
  <c r="X387" i="80" s="1"/>
  <c r="EF42" i="80"/>
  <c r="EF387" i="80" s="1"/>
  <c r="FL42" i="80"/>
  <c r="FL387" i="80" s="1"/>
  <c r="EG38" i="79"/>
  <c r="EG383" i="79" s="1"/>
  <c r="CS38" i="79"/>
  <c r="CS383" i="79" s="1"/>
  <c r="BL42" i="80"/>
  <c r="BL387" i="80" s="1"/>
  <c r="DQ38" i="79"/>
  <c r="DQ434" i="79" s="1"/>
  <c r="EO38" i="79"/>
  <c r="EO383" i="79" s="1"/>
  <c r="BE38" i="79"/>
  <c r="BE383" i="79" s="1"/>
  <c r="EW38" i="79"/>
  <c r="EW383" i="79" s="1"/>
  <c r="DI38" i="79"/>
  <c r="DI383" i="79" s="1"/>
  <c r="CC38" i="79"/>
  <c r="CC383" i="79" s="1"/>
  <c r="Y38" i="79"/>
  <c r="BM38" i="79"/>
  <c r="BM383" i="79" s="1"/>
  <c r="FD42" i="80"/>
  <c r="FD387" i="80" s="1"/>
  <c r="EV42" i="80"/>
  <c r="EV387" i="80" s="1"/>
  <c r="BU38" i="79"/>
  <c r="BU383" i="79" s="1"/>
  <c r="DA38" i="79"/>
  <c r="DA383" i="79" s="1"/>
  <c r="CK46" i="79"/>
  <c r="CK437" i="79" s="1"/>
  <c r="Q46" i="79"/>
  <c r="Q38" i="79"/>
  <c r="Q434" i="79" s="1"/>
  <c r="CK38" i="79"/>
  <c r="CK434" i="79" s="1"/>
  <c r="DA46" i="79"/>
  <c r="DA437" i="79" s="1"/>
  <c r="EO46" i="79"/>
  <c r="EO437" i="79" s="1"/>
  <c r="DY46" i="79"/>
  <c r="DY391" i="79" s="1"/>
  <c r="DY38" i="79"/>
  <c r="DY383" i="79" s="1"/>
  <c r="AW46" i="79"/>
  <c r="AW437" i="79" s="1"/>
  <c r="BU42" i="80"/>
  <c r="BU387" i="80" s="1"/>
  <c r="AW42" i="79"/>
  <c r="AW387" i="79" s="1"/>
  <c r="AW38" i="79"/>
  <c r="AW383" i="79" s="1"/>
  <c r="EF17" i="80"/>
  <c r="EF411" i="80" s="1"/>
  <c r="FD17" i="80"/>
  <c r="FD411" i="80" s="1"/>
  <c r="EN17" i="80"/>
  <c r="EN19" i="80" s="1"/>
  <c r="CB17" i="79"/>
  <c r="CB411" i="79" s="1"/>
  <c r="DX376" i="79"/>
  <c r="DX378" i="79" s="1"/>
  <c r="DX379" i="79" s="1"/>
  <c r="CZ376" i="79"/>
  <c r="CZ378" i="79" s="1"/>
  <c r="CZ379" i="79" s="1"/>
  <c r="CB17" i="80"/>
  <c r="CB411" i="80" s="1"/>
  <c r="BD376" i="79"/>
  <c r="BD378" i="79" s="1"/>
  <c r="BD379" i="79" s="1"/>
  <c r="CR376" i="79"/>
  <c r="CR378" i="79" s="1"/>
  <c r="CR379" i="79" s="1"/>
  <c r="FL376" i="79"/>
  <c r="FL378" i="79" s="1"/>
  <c r="FL379" i="79" s="1"/>
  <c r="DX17" i="80"/>
  <c r="DX411" i="80" s="1"/>
  <c r="FL17" i="80"/>
  <c r="FL411" i="80" s="1"/>
  <c r="BL17" i="80"/>
  <c r="BL411" i="80" s="1"/>
  <c r="BL376" i="79"/>
  <c r="BL378" i="79" s="1"/>
  <c r="BL379" i="79" s="1"/>
  <c r="X17" i="80"/>
  <c r="X411" i="80" s="1"/>
  <c r="BT376" i="79"/>
  <c r="BT378" i="79" s="1"/>
  <c r="BT379" i="79" s="1"/>
  <c r="CZ17" i="80"/>
  <c r="CZ411" i="80" s="1"/>
  <c r="AV17" i="80"/>
  <c r="AV411" i="80" s="1"/>
  <c r="CR17" i="80"/>
  <c r="CR411" i="80" s="1"/>
  <c r="P17" i="80"/>
  <c r="P411" i="80" s="1"/>
  <c r="AF376" i="79"/>
  <c r="AF378" i="79" s="1"/>
  <c r="AF379" i="79" s="1"/>
  <c r="AF449" i="79" s="1"/>
  <c r="X376" i="79"/>
  <c r="X378" i="79" s="1"/>
  <c r="X379" i="79" s="1"/>
  <c r="AF17" i="80"/>
  <c r="AF411" i="80" s="1"/>
  <c r="AN376" i="79"/>
  <c r="AN378" i="79" s="1"/>
  <c r="AN379" i="79" s="1"/>
  <c r="DP17" i="80"/>
  <c r="DP411" i="80" s="1"/>
  <c r="EF376" i="79"/>
  <c r="EF378" i="79" s="1"/>
  <c r="EF379" i="79" s="1"/>
  <c r="FD17" i="79"/>
  <c r="FD411" i="79" s="1"/>
  <c r="CB376" i="79"/>
  <c r="CB378" i="79" s="1"/>
  <c r="CB379" i="79" s="1"/>
  <c r="BT17" i="79"/>
  <c r="BT411" i="79" s="1"/>
  <c r="DH376" i="79"/>
  <c r="DH378" i="79" s="1"/>
  <c r="DH379" i="79" s="1"/>
  <c r="EV376" i="79"/>
  <c r="EV378" i="79" s="1"/>
  <c r="EV379" i="79" s="1"/>
  <c r="EV17" i="79"/>
  <c r="EV411" i="79" s="1"/>
  <c r="DH17" i="79"/>
  <c r="DH411" i="79" s="1"/>
  <c r="EN376" i="79"/>
  <c r="EN378" i="79" s="1"/>
  <c r="EN379" i="79" s="1"/>
  <c r="AV376" i="79"/>
  <c r="AV378" i="79" s="1"/>
  <c r="AV379" i="79" s="1"/>
  <c r="CJ17" i="79"/>
  <c r="CJ411" i="79" s="1"/>
  <c r="EF17" i="79"/>
  <c r="EF411" i="79" s="1"/>
  <c r="AN17" i="79"/>
  <c r="AN411" i="79" s="1"/>
  <c r="FL17" i="79"/>
  <c r="FL411" i="79" s="1"/>
  <c r="AV17" i="79"/>
  <c r="AV411" i="79" s="1"/>
  <c r="X17" i="79"/>
  <c r="X411" i="79" s="1"/>
  <c r="DP17" i="79"/>
  <c r="DP411" i="79" s="1"/>
  <c r="EN17" i="79"/>
  <c r="EN411" i="79" s="1"/>
  <c r="AG17" i="79"/>
  <c r="AG411" i="79" s="1"/>
  <c r="AG427" i="79" s="1"/>
  <c r="BM17" i="80"/>
  <c r="BM411" i="80" s="1"/>
  <c r="BM427" i="80" s="1"/>
  <c r="DQ17" i="79"/>
  <c r="DQ411" i="79" s="1"/>
  <c r="DQ427" i="79" s="1"/>
  <c r="EW17" i="79"/>
  <c r="EW411" i="79" s="1"/>
  <c r="EW427" i="79" s="1"/>
  <c r="DA17" i="80"/>
  <c r="DA411" i="80" s="1"/>
  <c r="DA427" i="80" s="1"/>
  <c r="FE17" i="79"/>
  <c r="FE411" i="79" s="1"/>
  <c r="FE427" i="79" s="1"/>
  <c r="EO17" i="79"/>
  <c r="EO411" i="79" s="1"/>
  <c r="EO427" i="79" s="1"/>
  <c r="Q17" i="79"/>
  <c r="Q411" i="79" s="1"/>
  <c r="Q427" i="79" s="1"/>
  <c r="CK17" i="79"/>
  <c r="CK411" i="79" s="1"/>
  <c r="CK427" i="79" s="1"/>
  <c r="AW17" i="79"/>
  <c r="AW411" i="79" s="1"/>
  <c r="AW427" i="79" s="1"/>
  <c r="Y17" i="79"/>
  <c r="Y411" i="79" s="1"/>
  <c r="Y427" i="79" s="1"/>
  <c r="AO17" i="79"/>
  <c r="AO411" i="79" s="1"/>
  <c r="AO427" i="79" s="1"/>
  <c r="BE17" i="79"/>
  <c r="BE411" i="79" s="1"/>
  <c r="BE427" i="79" s="1"/>
  <c r="Q17" i="80"/>
  <c r="Q19" i="80" s="1"/>
  <c r="DA17" i="79"/>
  <c r="DA411" i="79" s="1"/>
  <c r="DA427" i="79" s="1"/>
  <c r="EG17" i="79"/>
  <c r="EG411" i="79" s="1"/>
  <c r="EG427" i="79" s="1"/>
  <c r="CS17" i="79"/>
  <c r="CS411" i="79" s="1"/>
  <c r="CS427" i="79" s="1"/>
  <c r="AH450" i="80"/>
  <c r="AP450" i="79"/>
  <c r="BV450" i="79"/>
  <c r="DJ450" i="79"/>
  <c r="EH450" i="79"/>
  <c r="CB42" i="80"/>
  <c r="CB387" i="80" s="1"/>
  <c r="CB88" i="80"/>
  <c r="CB93" i="80" s="1"/>
  <c r="CB48" i="80"/>
  <c r="CD48" i="80" s="1"/>
  <c r="CD393" i="80" s="1"/>
  <c r="J19" i="80"/>
  <c r="CD450" i="79"/>
  <c r="EX450" i="79"/>
  <c r="R57" i="35"/>
  <c r="CL450" i="79"/>
  <c r="FK406" i="79"/>
  <c r="DW406" i="79"/>
  <c r="AE406" i="79"/>
  <c r="R452" i="79"/>
  <c r="R44" i="79" s="1"/>
  <c r="R389" i="79" s="1"/>
  <c r="CY406" i="79"/>
  <c r="W406" i="79"/>
  <c r="BC406" i="79"/>
  <c r="O406" i="79"/>
  <c r="BK406" i="79"/>
  <c r="FC406" i="79"/>
  <c r="FD450" i="79"/>
  <c r="DO406" i="79"/>
  <c r="DP450" i="79"/>
  <c r="CQ406" i="79"/>
  <c r="EM406" i="79"/>
  <c r="AU406" i="79"/>
  <c r="EW47" i="80"/>
  <c r="EW392" i="80" s="1"/>
  <c r="FM17" i="80"/>
  <c r="FM411" i="80" s="1"/>
  <c r="FM427" i="80" s="1"/>
  <c r="AW17" i="80"/>
  <c r="AW411" i="80" s="1"/>
  <c r="AW427" i="80" s="1"/>
  <c r="CC17" i="80"/>
  <c r="CC411" i="80" s="1"/>
  <c r="CC427" i="80" s="1"/>
  <c r="EV17" i="80"/>
  <c r="EV411" i="80" s="1"/>
  <c r="AN17" i="80"/>
  <c r="AN411" i="80" s="1"/>
  <c r="BT17" i="80"/>
  <c r="BT411" i="80" s="1"/>
  <c r="CJ17" i="80"/>
  <c r="CJ411" i="80" s="1"/>
  <c r="DH17" i="80"/>
  <c r="DH411" i="80" s="1"/>
  <c r="I383" i="79"/>
  <c r="AO17" i="80"/>
  <c r="AO411" i="80" s="1"/>
  <c r="AO427" i="80" s="1"/>
  <c r="BU17" i="80"/>
  <c r="BU411" i="80" s="1"/>
  <c r="BU427" i="80" s="1"/>
  <c r="Y17" i="80"/>
  <c r="Y411" i="80" s="1"/>
  <c r="Y427" i="80" s="1"/>
  <c r="CS17" i="80"/>
  <c r="CS19" i="80" s="1"/>
  <c r="DY17" i="80"/>
  <c r="DY19" i="80" s="1"/>
  <c r="EO17" i="80"/>
  <c r="EO411" i="80" s="1"/>
  <c r="EO427" i="80" s="1"/>
  <c r="CK17" i="80"/>
  <c r="CK411" i="80" s="1"/>
  <c r="CK427" i="80" s="1"/>
  <c r="EW17" i="80"/>
  <c r="EW411" i="80" s="1"/>
  <c r="EW427" i="80" s="1"/>
  <c r="EG17" i="80"/>
  <c r="EG411" i="80" s="1"/>
  <c r="EG427" i="80" s="1"/>
  <c r="BE17" i="80"/>
  <c r="BE411" i="80" s="1"/>
  <c r="BE427" i="80" s="1"/>
  <c r="AG17" i="80"/>
  <c r="AG411" i="80" s="1"/>
  <c r="AG427" i="80" s="1"/>
  <c r="CC17" i="79"/>
  <c r="CC411" i="79" s="1"/>
  <c r="CC427" i="79" s="1"/>
  <c r="FE17" i="80"/>
  <c r="FE411" i="80" s="1"/>
  <c r="FE427" i="80" s="1"/>
  <c r="I391" i="79"/>
  <c r="BU17" i="79"/>
  <c r="BU411" i="79" s="1"/>
  <c r="BU427" i="79" s="1"/>
  <c r="BM17" i="79"/>
  <c r="BM411" i="79" s="1"/>
  <c r="BM427" i="79" s="1"/>
  <c r="Q35" i="35"/>
  <c r="Q37" i="35" s="1"/>
  <c r="Q38" i="35" s="1"/>
  <c r="Q82" i="35" s="1"/>
  <c r="J373" i="85"/>
  <c r="FL38" i="80"/>
  <c r="FL383" i="80" s="1"/>
  <c r="FL434" i="80" s="1"/>
  <c r="H383" i="80"/>
  <c r="H434" i="80" s="1"/>
  <c r="DI17" i="80"/>
  <c r="DI411" i="80" s="1"/>
  <c r="I411" i="80"/>
  <c r="J436" i="79"/>
  <c r="J390" i="79"/>
  <c r="DY17" i="79"/>
  <c r="DY411" i="79" s="1"/>
  <c r="DY427" i="79" s="1"/>
  <c r="I411" i="79"/>
  <c r="J427" i="80"/>
  <c r="BM47" i="80"/>
  <c r="BM392" i="80" s="1"/>
  <c r="I392" i="80"/>
  <c r="J437" i="79"/>
  <c r="J391" i="79"/>
  <c r="FM427" i="79"/>
  <c r="FN40" i="80"/>
  <c r="FN385" i="80" s="1"/>
  <c r="FL385" i="80"/>
  <c r="DR48" i="80"/>
  <c r="DR393" i="80" s="1"/>
  <c r="DP393" i="80"/>
  <c r="DQ19" i="80"/>
  <c r="DQ411" i="80"/>
  <c r="DJ48" i="80"/>
  <c r="DJ393" i="80" s="1"/>
  <c r="DH393" i="80"/>
  <c r="AX44" i="80"/>
  <c r="AX389" i="80" s="1"/>
  <c r="AV389" i="80"/>
  <c r="FM19" i="79"/>
  <c r="EP48" i="79"/>
  <c r="EP393" i="79" s="1"/>
  <c r="DB44" i="79"/>
  <c r="DB389" i="79" s="1"/>
  <c r="BN40" i="79"/>
  <c r="BN385" i="79" s="1"/>
  <c r="AX48" i="79"/>
  <c r="AX393" i="79" s="1"/>
  <c r="AH48" i="79"/>
  <c r="AH393" i="79" s="1"/>
  <c r="I19" i="79"/>
  <c r="S74" i="35"/>
  <c r="R82" i="82"/>
  <c r="AA30" i="83"/>
  <c r="AA31" i="83" s="1"/>
  <c r="DP65" i="80"/>
  <c r="DR65" i="80" s="1"/>
  <c r="DQ110" i="80"/>
  <c r="CC110" i="80"/>
  <c r="EO110" i="80"/>
  <c r="BM110" i="80"/>
  <c r="DI110" i="80"/>
  <c r="I19" i="80"/>
  <c r="Q35" i="82"/>
  <c r="Q37" i="82" s="1"/>
  <c r="Q57" i="82" s="1"/>
  <c r="DP110" i="80"/>
  <c r="EF110" i="80"/>
  <c r="AF110" i="80"/>
  <c r="EO42" i="80"/>
  <c r="EO387" i="80" s="1"/>
  <c r="BM42" i="80"/>
  <c r="DI42" i="80"/>
  <c r="DQ42" i="80"/>
  <c r="CC42" i="80"/>
  <c r="EV110" i="80"/>
  <c r="P110" i="80"/>
  <c r="CB110" i="80"/>
  <c r="FL110" i="80"/>
  <c r="FN110" i="80" s="1"/>
  <c r="R57" i="82"/>
  <c r="AA23" i="83"/>
  <c r="AA24" i="83" s="1"/>
  <c r="CR38" i="80"/>
  <c r="CR383" i="80" s="1"/>
  <c r="CR434" i="80" s="1"/>
  <c r="EN47" i="80"/>
  <c r="EN392" i="80" s="1"/>
  <c r="EF47" i="80"/>
  <c r="EF392" i="80" s="1"/>
  <c r="CZ47" i="80"/>
  <c r="CJ65" i="79"/>
  <c r="DH65" i="79"/>
  <c r="AN65" i="79"/>
  <c r="BL47" i="80"/>
  <c r="BL392" i="80" s="1"/>
  <c r="AN47" i="80"/>
  <c r="AN392" i="80" s="1"/>
  <c r="EF65" i="80"/>
  <c r="CB65" i="79"/>
  <c r="FD65" i="80"/>
  <c r="FF65" i="80" s="1"/>
  <c r="DP47" i="80"/>
  <c r="DP392" i="80" s="1"/>
  <c r="DP65" i="79"/>
  <c r="BT65" i="79"/>
  <c r="AV65" i="79"/>
  <c r="DX47" i="80"/>
  <c r="DX392" i="80" s="1"/>
  <c r="EV47" i="80"/>
  <c r="EV392" i="80" s="1"/>
  <c r="EF65" i="79"/>
  <c r="DH65" i="80"/>
  <c r="DJ65" i="80" s="1"/>
  <c r="BT65" i="80"/>
  <c r="BV65" i="80" s="1"/>
  <c r="FD65" i="79"/>
  <c r="EV65" i="79"/>
  <c r="BV48" i="80"/>
  <c r="BV393" i="80" s="1"/>
  <c r="Z48" i="79"/>
  <c r="Z393" i="79" s="1"/>
  <c r="AX48" i="80"/>
  <c r="AX393" i="80" s="1"/>
  <c r="X65" i="80"/>
  <c r="Z65" i="80" s="1"/>
  <c r="DX65" i="80"/>
  <c r="DZ65" i="80" s="1"/>
  <c r="CB65" i="80"/>
  <c r="CD65" i="80" s="1"/>
  <c r="CR65" i="80"/>
  <c r="CT65" i="80" s="1"/>
  <c r="EV65" i="80"/>
  <c r="EX65" i="80" s="1"/>
  <c r="AV65" i="80"/>
  <c r="AX65" i="80" s="1"/>
  <c r="FL65" i="80"/>
  <c r="FN65" i="80" s="1"/>
  <c r="CZ65" i="80"/>
  <c r="DB65" i="80" s="1"/>
  <c r="P65" i="80"/>
  <c r="BL65" i="80"/>
  <c r="BN65" i="80" s="1"/>
  <c r="AF65" i="80"/>
  <c r="AH65" i="80" s="1"/>
  <c r="CJ65" i="80"/>
  <c r="CL65" i="80" s="1"/>
  <c r="AN65" i="80"/>
  <c r="DH110" i="80"/>
  <c r="BT110" i="80"/>
  <c r="AN110" i="79"/>
  <c r="AV110" i="79"/>
  <c r="AN110" i="80"/>
  <c r="DX110" i="80"/>
  <c r="CJ110" i="79"/>
  <c r="FL110" i="79"/>
  <c r="DH110" i="79"/>
  <c r="X110" i="80"/>
  <c r="Z110" i="80" s="1"/>
  <c r="AV110" i="80"/>
  <c r="CB110" i="79"/>
  <c r="H378" i="79"/>
  <c r="H379" i="79" s="1"/>
  <c r="H449" i="79" s="1"/>
  <c r="AF38" i="80"/>
  <c r="DH38" i="80"/>
  <c r="AN38" i="80"/>
  <c r="AN383" i="80" s="1"/>
  <c r="AN434" i="80" s="1"/>
  <c r="EV41" i="80"/>
  <c r="DX38" i="80"/>
  <c r="DP38" i="80"/>
  <c r="BT38" i="80"/>
  <c r="X38" i="80"/>
  <c r="EN38" i="80"/>
  <c r="CB38" i="80"/>
  <c r="CZ38" i="80"/>
  <c r="EV38" i="80"/>
  <c r="AV38" i="80"/>
  <c r="P38" i="80"/>
  <c r="P383" i="80" s="1"/>
  <c r="P434" i="80" s="1"/>
  <c r="EF38" i="80"/>
  <c r="EF383" i="80" s="1"/>
  <c r="EF434" i="80" s="1"/>
  <c r="CJ38" i="80"/>
  <c r="BL38" i="80"/>
  <c r="FD38" i="80"/>
  <c r="Q55" i="35"/>
  <c r="R55" i="35"/>
  <c r="H19" i="80"/>
  <c r="H19" i="79"/>
  <c r="AF17" i="79"/>
  <c r="AF411" i="79" s="1"/>
  <c r="R55" i="82"/>
  <c r="Q55" i="82"/>
  <c r="EP65" i="80"/>
  <c r="DZ48" i="80"/>
  <c r="DZ393" i="80" s="1"/>
  <c r="EX48" i="80"/>
  <c r="EX393" i="80" s="1"/>
  <c r="FN48" i="79"/>
  <c r="FN393" i="79" s="1"/>
  <c r="Z48" i="80"/>
  <c r="Z393" i="80" s="1"/>
  <c r="CT48" i="80"/>
  <c r="CT393" i="80" s="1"/>
  <c r="FF48" i="80"/>
  <c r="FF393" i="80" s="1"/>
  <c r="AP450" i="80"/>
  <c r="DB48" i="80"/>
  <c r="DB393" i="80" s="1"/>
  <c r="EP44" i="80"/>
  <c r="EP389" i="80" s="1"/>
  <c r="EH44" i="80"/>
  <c r="EH389" i="80" s="1"/>
  <c r="BV40" i="80"/>
  <c r="BV385" i="80" s="1"/>
  <c r="FN48" i="80"/>
  <c r="FN393" i="80" s="1"/>
  <c r="EX40" i="80"/>
  <c r="EX385" i="80" s="1"/>
  <c r="R44" i="80"/>
  <c r="R389" i="80" s="1"/>
  <c r="CT40" i="80"/>
  <c r="CT385" i="80" s="1"/>
  <c r="Z47" i="79"/>
  <c r="Z392" i="79" s="1"/>
  <c r="CL48" i="80"/>
  <c r="CL393" i="80" s="1"/>
  <c r="BN48" i="80"/>
  <c r="BN393" i="80" s="1"/>
  <c r="EH40" i="79"/>
  <c r="EH385" i="79" s="1"/>
  <c r="AP47" i="79"/>
  <c r="AP392" i="79" s="1"/>
  <c r="DB40" i="79"/>
  <c r="DB385" i="79" s="1"/>
  <c r="FF44" i="80"/>
  <c r="FF389" i="80" s="1"/>
  <c r="EH450" i="80"/>
  <c r="EH40" i="80"/>
  <c r="EH385" i="80" s="1"/>
  <c r="BD308" i="80"/>
  <c r="BF308" i="80" s="1"/>
  <c r="BF313" i="80" s="1"/>
  <c r="FN44" i="80"/>
  <c r="FN389" i="80" s="1"/>
  <c r="FF40" i="80"/>
  <c r="FF385" i="80" s="1"/>
  <c r="AX40" i="80"/>
  <c r="AX385" i="80" s="1"/>
  <c r="BD40" i="80"/>
  <c r="BD44" i="80"/>
  <c r="DZ44" i="80"/>
  <c r="DZ389" i="80" s="1"/>
  <c r="CD44" i="80"/>
  <c r="CD389" i="80" s="1"/>
  <c r="R40" i="80"/>
  <c r="R385" i="80" s="1"/>
  <c r="AP308" i="79"/>
  <c r="AP313" i="79" s="1"/>
  <c r="DB40" i="80"/>
  <c r="DB385" i="80" s="1"/>
  <c r="AP40" i="80"/>
  <c r="AP385" i="80" s="1"/>
  <c r="EP40" i="80"/>
  <c r="EP385" i="80" s="1"/>
  <c r="AH40" i="80"/>
  <c r="AH385" i="80" s="1"/>
  <c r="DZ40" i="79"/>
  <c r="DZ385" i="79" s="1"/>
  <c r="BV308" i="79"/>
  <c r="BV313" i="79" s="1"/>
  <c r="DB44" i="80"/>
  <c r="DB389" i="80" s="1"/>
  <c r="DR40" i="79"/>
  <c r="DR385" i="79" s="1"/>
  <c r="EX40" i="79"/>
  <c r="EX385" i="79" s="1"/>
  <c r="CD40" i="79"/>
  <c r="CD385" i="79" s="1"/>
  <c r="EX44" i="80"/>
  <c r="EX389" i="80" s="1"/>
  <c r="EH44" i="79"/>
  <c r="EH389" i="79" s="1"/>
  <c r="CT44" i="80"/>
  <c r="CT389" i="80" s="1"/>
  <c r="CD40" i="80"/>
  <c r="CD385" i="80" s="1"/>
  <c r="BV40" i="79"/>
  <c r="BV385" i="79" s="1"/>
  <c r="AP44" i="80"/>
  <c r="AP389" i="80" s="1"/>
  <c r="DR44" i="80"/>
  <c r="DR389" i="80" s="1"/>
  <c r="DJ44" i="80"/>
  <c r="DJ389" i="80" s="1"/>
  <c r="DZ40" i="80"/>
  <c r="DZ385" i="80" s="1"/>
  <c r="CL40" i="79"/>
  <c r="CL385" i="79" s="1"/>
  <c r="Z44" i="80"/>
  <c r="Z389" i="80" s="1"/>
  <c r="BN308" i="79"/>
  <c r="BN313" i="79" s="1"/>
  <c r="BF308" i="79"/>
  <c r="BF313" i="79" s="1"/>
  <c r="AH40" i="79"/>
  <c r="AH385" i="79" s="1"/>
  <c r="BF40" i="79"/>
  <c r="BF385" i="79" s="1"/>
  <c r="BV44" i="80"/>
  <c r="BV389" i="80" s="1"/>
  <c r="DJ40" i="80"/>
  <c r="DJ385" i="80" s="1"/>
  <c r="P47" i="79"/>
  <c r="P392" i="79" s="1"/>
  <c r="P65" i="79"/>
  <c r="CR47" i="79"/>
  <c r="CR392" i="79" s="1"/>
  <c r="CR65" i="79"/>
  <c r="CZ47" i="79"/>
  <c r="CZ392" i="79" s="1"/>
  <c r="CZ65" i="79"/>
  <c r="DB65" i="79" s="1"/>
  <c r="CT40" i="79"/>
  <c r="CT385" i="79" s="1"/>
  <c r="AX40" i="79"/>
  <c r="AX385" i="79" s="1"/>
  <c r="BN44" i="80"/>
  <c r="BN389" i="80" s="1"/>
  <c r="DR40" i="80"/>
  <c r="DR385" i="80" s="1"/>
  <c r="AH44" i="80"/>
  <c r="AH389" i="80" s="1"/>
  <c r="CT308" i="79"/>
  <c r="CT313" i="79" s="1"/>
  <c r="R450" i="80"/>
  <c r="R48" i="80" s="1"/>
  <c r="R393" i="80" s="1"/>
  <c r="BN40" i="80"/>
  <c r="BN385" i="80" s="1"/>
  <c r="CL40" i="80"/>
  <c r="CL385" i="80" s="1"/>
  <c r="DX47" i="79"/>
  <c r="DX392" i="79" s="1"/>
  <c r="DX65" i="79"/>
  <c r="BL47" i="79"/>
  <c r="BL392" i="79" s="1"/>
  <c r="BL65" i="79"/>
  <c r="BD47" i="79"/>
  <c r="BD392" i="79" s="1"/>
  <c r="BD65" i="79"/>
  <c r="DZ44" i="79"/>
  <c r="DZ389" i="79" s="1"/>
  <c r="DJ308" i="79"/>
  <c r="DJ313" i="79" s="1"/>
  <c r="DR308" i="79"/>
  <c r="DR313" i="79" s="1"/>
  <c r="DP313" i="79"/>
  <c r="AF313" i="79"/>
  <c r="AH308" i="79"/>
  <c r="AH313" i="79" s="1"/>
  <c r="EP308" i="79"/>
  <c r="EP313" i="79" s="1"/>
  <c r="EN313" i="79"/>
  <c r="FD313" i="79"/>
  <c r="FF308" i="79"/>
  <c r="FF313" i="79" s="1"/>
  <c r="EV313" i="79"/>
  <c r="EX308" i="79"/>
  <c r="EX313" i="79" s="1"/>
  <c r="FN308" i="79"/>
  <c r="FN313" i="79" s="1"/>
  <c r="FL313" i="79"/>
  <c r="AV313" i="79"/>
  <c r="AX308" i="79"/>
  <c r="AX313" i="79" s="1"/>
  <c r="CD308" i="79"/>
  <c r="CD313" i="79" s="1"/>
  <c r="X313" i="79"/>
  <c r="Z308" i="79"/>
  <c r="Z313" i="79" s="1"/>
  <c r="P313" i="79"/>
  <c r="DJ40" i="79"/>
  <c r="DJ385" i="79" s="1"/>
  <c r="FF40" i="79"/>
  <c r="FF385" i="79" s="1"/>
  <c r="CD44" i="79"/>
  <c r="CD389" i="79" s="1"/>
  <c r="Z40" i="79"/>
  <c r="Z385" i="79" s="1"/>
  <c r="AP44" i="79"/>
  <c r="AP389" i="79" s="1"/>
  <c r="DR47" i="79"/>
  <c r="DR392" i="79" s="1"/>
  <c r="S73" i="82"/>
  <c r="Q74" i="82"/>
  <c r="DJ44" i="79"/>
  <c r="DJ389" i="79" s="1"/>
  <c r="CT44" i="79"/>
  <c r="CT389" i="79" s="1"/>
  <c r="AP40" i="79"/>
  <c r="AP385" i="79" s="1"/>
  <c r="CL44" i="79"/>
  <c r="CL389" i="79" s="1"/>
  <c r="FN47" i="80"/>
  <c r="FN392" i="80" s="1"/>
  <c r="AH44" i="79"/>
  <c r="AH389" i="79" s="1"/>
  <c r="Z44" i="79"/>
  <c r="Z389" i="79" s="1"/>
  <c r="AX47" i="79"/>
  <c r="AX392" i="79" s="1"/>
  <c r="CD47" i="80"/>
  <c r="CD392" i="80" s="1"/>
  <c r="CL47" i="80"/>
  <c r="CL392" i="80" s="1"/>
  <c r="Z40" i="80"/>
  <c r="Z385" i="80" s="1"/>
  <c r="Z47" i="80"/>
  <c r="Z392" i="80" s="1"/>
  <c r="BV47" i="79"/>
  <c r="BV392" i="79" s="1"/>
  <c r="EP47" i="79"/>
  <c r="EP392" i="79" s="1"/>
  <c r="FF44" i="79"/>
  <c r="FF389" i="79" s="1"/>
  <c r="EP44" i="79"/>
  <c r="EP389" i="79" s="1"/>
  <c r="DJ47" i="80"/>
  <c r="DJ392" i="80" s="1"/>
  <c r="CT47" i="80"/>
  <c r="CT392" i="80" s="1"/>
  <c r="EH47" i="79"/>
  <c r="EH392" i="79" s="1"/>
  <c r="CL47" i="79"/>
  <c r="CL392" i="79" s="1"/>
  <c r="FN40" i="79"/>
  <c r="FN385" i="79" s="1"/>
  <c r="BF44" i="79"/>
  <c r="BF389" i="79" s="1"/>
  <c r="FN44" i="79"/>
  <c r="FN389" i="79" s="1"/>
  <c r="BV47" i="80"/>
  <c r="BV392" i="80" s="1"/>
  <c r="BN44" i="79"/>
  <c r="BN389" i="79" s="1"/>
  <c r="AH47" i="80"/>
  <c r="AH392" i="80" s="1"/>
  <c r="CD47" i="79"/>
  <c r="CD392" i="79" s="1"/>
  <c r="EP40" i="79"/>
  <c r="EP385" i="79" s="1"/>
  <c r="FF47" i="80"/>
  <c r="FF392" i="80" s="1"/>
  <c r="EX44" i="79"/>
  <c r="EX389" i="79" s="1"/>
  <c r="DR44" i="79"/>
  <c r="DR389" i="79" s="1"/>
  <c r="AH47" i="79"/>
  <c r="AH392" i="79" s="1"/>
  <c r="FN47" i="79"/>
  <c r="FN392" i="79" s="1"/>
  <c r="DJ47" i="79"/>
  <c r="DJ392" i="79" s="1"/>
  <c r="BV44" i="79"/>
  <c r="BV389" i="79" s="1"/>
  <c r="AX44" i="79"/>
  <c r="AX389" i="79" s="1"/>
  <c r="AX47" i="80"/>
  <c r="AX392" i="80" s="1"/>
  <c r="CL44" i="80"/>
  <c r="CL389" i="80" s="1"/>
  <c r="DB308" i="79"/>
  <c r="DB313" i="79" s="1"/>
  <c r="CZ313" i="79"/>
  <c r="CL308" i="79"/>
  <c r="CL313" i="79" s="1"/>
  <c r="CJ313" i="79"/>
  <c r="EH308" i="79"/>
  <c r="EH313" i="79" s="1"/>
  <c r="EF313" i="79"/>
  <c r="DZ308" i="79"/>
  <c r="DZ313" i="79" s="1"/>
  <c r="DX313" i="79"/>
  <c r="BD450" i="80"/>
  <c r="BL17" i="79"/>
  <c r="BL411" i="79" s="1"/>
  <c r="BL110" i="79"/>
  <c r="BN110" i="79" s="1"/>
  <c r="BL48" i="79"/>
  <c r="BL393" i="79" s="1"/>
  <c r="BL88" i="79"/>
  <c r="CB93" i="79"/>
  <c r="AN93" i="79"/>
  <c r="AG93" i="79"/>
  <c r="CZ42" i="79"/>
  <c r="CZ387" i="79" s="1"/>
  <c r="CZ17" i="79"/>
  <c r="CZ411" i="79" s="1"/>
  <c r="CZ88" i="79"/>
  <c r="CZ43" i="79"/>
  <c r="CZ388" i="79" s="1"/>
  <c r="CZ48" i="79"/>
  <c r="CZ393" i="79" s="1"/>
  <c r="CZ110" i="79"/>
  <c r="BT93" i="79"/>
  <c r="CR17" i="79"/>
  <c r="CR411" i="79" s="1"/>
  <c r="CR88" i="79"/>
  <c r="CR110" i="79"/>
  <c r="CR48" i="79"/>
  <c r="CR393" i="79" s="1"/>
  <c r="BD48" i="79"/>
  <c r="BD393" i="79" s="1"/>
  <c r="BD17" i="79"/>
  <c r="BD411" i="79" s="1"/>
  <c r="BD110" i="79"/>
  <c r="BD88" i="79"/>
  <c r="BD43" i="79"/>
  <c r="BD388" i="79" s="1"/>
  <c r="EF93" i="79"/>
  <c r="EP48" i="80"/>
  <c r="EP393" i="80" s="1"/>
  <c r="CJ93" i="79"/>
  <c r="EV93" i="79"/>
  <c r="FL93" i="79"/>
  <c r="P17" i="79"/>
  <c r="P411" i="79" s="1"/>
  <c r="P48" i="79"/>
  <c r="P393" i="79" s="1"/>
  <c r="P376" i="79"/>
  <c r="P110" i="79"/>
  <c r="P88" i="79"/>
  <c r="EN93" i="79"/>
  <c r="AV93" i="79"/>
  <c r="DX17" i="79"/>
  <c r="DX411" i="79" s="1"/>
  <c r="DX110" i="79"/>
  <c r="DX88" i="79"/>
  <c r="DX42" i="79"/>
  <c r="DX387" i="79" s="1"/>
  <c r="DX48" i="79"/>
  <c r="DX393" i="79" s="1"/>
  <c r="BV308" i="80"/>
  <c r="BV313" i="80" s="1"/>
  <c r="BT313" i="80"/>
  <c r="AX88" i="80"/>
  <c r="AX93" i="80" s="1"/>
  <c r="AV93" i="80"/>
  <c r="FF88" i="80"/>
  <c r="FF93" i="80" s="1"/>
  <c r="FD93" i="80"/>
  <c r="EF93" i="80"/>
  <c r="DB308" i="80"/>
  <c r="DB313" i="80" s="1"/>
  <c r="CZ313" i="80"/>
  <c r="DP93" i="80"/>
  <c r="CT308" i="80"/>
  <c r="CT313" i="80" s="1"/>
  <c r="CR313" i="80"/>
  <c r="DH313" i="80"/>
  <c r="DJ308" i="80"/>
  <c r="DJ313" i="80" s="1"/>
  <c r="DX93" i="80"/>
  <c r="DZ88" i="80"/>
  <c r="DZ93" i="80" s="1"/>
  <c r="AH308" i="80"/>
  <c r="AH313" i="80" s="1"/>
  <c r="AF313" i="80"/>
  <c r="DZ308" i="80"/>
  <c r="DZ313" i="80" s="1"/>
  <c r="DX313" i="80"/>
  <c r="AN93" i="80"/>
  <c r="AF93" i="80"/>
  <c r="DR308" i="80"/>
  <c r="DR313" i="80" s="1"/>
  <c r="DP313" i="80"/>
  <c r="Z308" i="80"/>
  <c r="Z313" i="80" s="1"/>
  <c r="X313" i="80"/>
  <c r="EX308" i="80"/>
  <c r="EX313" i="80" s="1"/>
  <c r="EV313" i="80"/>
  <c r="X93" i="80"/>
  <c r="Z88" i="80"/>
  <c r="Z93" i="80" s="1"/>
  <c r="DH93" i="80"/>
  <c r="P93" i="80"/>
  <c r="FN308" i="80"/>
  <c r="FN313" i="80" s="1"/>
  <c r="FL313" i="80"/>
  <c r="AX308" i="80"/>
  <c r="AX313" i="80" s="1"/>
  <c r="AV313" i="80"/>
  <c r="CL88" i="80"/>
  <c r="CL93" i="80" s="1"/>
  <c r="CJ93" i="80"/>
  <c r="CD308" i="80"/>
  <c r="CD313" i="80" s="1"/>
  <c r="CB313" i="80"/>
  <c r="R308" i="80"/>
  <c r="R313" i="80" s="1"/>
  <c r="P313" i="80"/>
  <c r="CL308" i="80"/>
  <c r="CL313" i="80" s="1"/>
  <c r="CJ313" i="80"/>
  <c r="FN88" i="80"/>
  <c r="FN93" i="80" s="1"/>
  <c r="FL93" i="80"/>
  <c r="EF313" i="80"/>
  <c r="EH308" i="80"/>
  <c r="EH313" i="80" s="1"/>
  <c r="AP308" i="80"/>
  <c r="AP313" i="80" s="1"/>
  <c r="AN313" i="80"/>
  <c r="BV88" i="80"/>
  <c r="BV93" i="80" s="1"/>
  <c r="BT93" i="80"/>
  <c r="BN308" i="80"/>
  <c r="BN313" i="80" s="1"/>
  <c r="BL313" i="80"/>
  <c r="BL93" i="80"/>
  <c r="CT88" i="80"/>
  <c r="CT93" i="80" s="1"/>
  <c r="CR93" i="80"/>
  <c r="EN93" i="80"/>
  <c r="FF308" i="80"/>
  <c r="FF313" i="80" s="1"/>
  <c r="FD313" i="80"/>
  <c r="EP308" i="80"/>
  <c r="EP313" i="80" s="1"/>
  <c r="EN313" i="80"/>
  <c r="DB88" i="80"/>
  <c r="DB93" i="80" s="1"/>
  <c r="CZ93" i="80"/>
  <c r="EN42" i="79" l="1"/>
  <c r="EN387" i="79" s="1"/>
  <c r="BD42" i="79"/>
  <c r="BD387" i="79" s="1"/>
  <c r="FL42" i="79"/>
  <c r="FL387" i="79" s="1"/>
  <c r="P42" i="79"/>
  <c r="P387" i="79" s="1"/>
  <c r="CR42" i="79"/>
  <c r="CR387" i="79" s="1"/>
  <c r="BL42" i="79"/>
  <c r="BL387" i="79" s="1"/>
  <c r="FF47" i="79"/>
  <c r="FF392" i="79" s="1"/>
  <c r="DH42" i="79"/>
  <c r="DH387" i="79" s="1"/>
  <c r="EV42" i="79"/>
  <c r="EV387" i="79" s="1"/>
  <c r="CJ42" i="79"/>
  <c r="CJ387" i="79" s="1"/>
  <c r="H387" i="79"/>
  <c r="AV42" i="79"/>
  <c r="AV387" i="79" s="1"/>
  <c r="EN111" i="80"/>
  <c r="AF111" i="80"/>
  <c r="Q37" i="80"/>
  <c r="Q382" i="80" s="1"/>
  <c r="EW37" i="80"/>
  <c r="EW382" i="80" s="1"/>
  <c r="X42" i="79"/>
  <c r="X387" i="79" s="1"/>
  <c r="BL43" i="79"/>
  <c r="BL388" i="79" s="1"/>
  <c r="AN42" i="79"/>
  <c r="AN387" i="79" s="1"/>
  <c r="EF42" i="79"/>
  <c r="EF387" i="79" s="1"/>
  <c r="CB42" i="79"/>
  <c r="CB387" i="79" s="1"/>
  <c r="AF42" i="79"/>
  <c r="AF387" i="79" s="1"/>
  <c r="AF42" i="80"/>
  <c r="AF387" i="80" s="1"/>
  <c r="DX42" i="80"/>
  <c r="DX387" i="80" s="1"/>
  <c r="AN42" i="80"/>
  <c r="AN387" i="80" s="1"/>
  <c r="P42" i="80"/>
  <c r="P387" i="80" s="1"/>
  <c r="CB37" i="79"/>
  <c r="CB382" i="79" s="1"/>
  <c r="X37" i="79"/>
  <c r="X382" i="79" s="1"/>
  <c r="AV43" i="79"/>
  <c r="AV388" i="79" s="1"/>
  <c r="G22" i="35"/>
  <c r="EV37" i="79"/>
  <c r="EV382" i="79" s="1"/>
  <c r="CJ46" i="79"/>
  <c r="BT46" i="79"/>
  <c r="BT391" i="79" s="1"/>
  <c r="FM111" i="79"/>
  <c r="EW111" i="79"/>
  <c r="BT41" i="80"/>
  <c r="AN46" i="79"/>
  <c r="AN391" i="79" s="1"/>
  <c r="BD37" i="79"/>
  <c r="BD382" i="79" s="1"/>
  <c r="EV437" i="79"/>
  <c r="CZ41" i="80"/>
  <c r="CZ386" i="80" s="1"/>
  <c r="EF41" i="80"/>
  <c r="EF386" i="80" s="1"/>
  <c r="EF46" i="79"/>
  <c r="H386" i="80"/>
  <c r="CZ37" i="79"/>
  <c r="CZ382" i="79" s="1"/>
  <c r="CZ46" i="79"/>
  <c r="DB46" i="79" s="1"/>
  <c r="CR46" i="79"/>
  <c r="CR437" i="79" s="1"/>
  <c r="EX47" i="79"/>
  <c r="EX392" i="79" s="1"/>
  <c r="DI111" i="79"/>
  <c r="DI116" i="79" s="1"/>
  <c r="DQ111" i="79"/>
  <c r="DQ116" i="79" s="1"/>
  <c r="BE111" i="79"/>
  <c r="FE111" i="79"/>
  <c r="AO111" i="79"/>
  <c r="AG111" i="79"/>
  <c r="AG116" i="79" s="1"/>
  <c r="DH111" i="80"/>
  <c r="DJ111" i="80" s="1"/>
  <c r="DH37" i="79"/>
  <c r="DH382" i="79" s="1"/>
  <c r="P111" i="80"/>
  <c r="R111" i="80" s="1"/>
  <c r="BE41" i="80"/>
  <c r="BE386" i="80" s="1"/>
  <c r="I386" i="80"/>
  <c r="DY111" i="79"/>
  <c r="DY116" i="79" s="1"/>
  <c r="BT111" i="79"/>
  <c r="BV111" i="79" s="1"/>
  <c r="CK111" i="79"/>
  <c r="CK116" i="79" s="1"/>
  <c r="CK46" i="80"/>
  <c r="CK391" i="80" s="1"/>
  <c r="CK437" i="80" s="1"/>
  <c r="DI41" i="80"/>
  <c r="DI386" i="80" s="1"/>
  <c r="AN37" i="79"/>
  <c r="AN382" i="79" s="1"/>
  <c r="DZ110" i="79"/>
  <c r="I116" i="79"/>
  <c r="AO46" i="80"/>
  <c r="AO391" i="80" s="1"/>
  <c r="AO437" i="80" s="1"/>
  <c r="CC46" i="80"/>
  <c r="CC391" i="80" s="1"/>
  <c r="CC437" i="80" s="1"/>
  <c r="CS376" i="79"/>
  <c r="CS378" i="79" s="1"/>
  <c r="CS379" i="79" s="1"/>
  <c r="CS449" i="79" s="1"/>
  <c r="BM105" i="80"/>
  <c r="EO46" i="80"/>
  <c r="EO391" i="80" s="1"/>
  <c r="EO437" i="80" s="1"/>
  <c r="AG46" i="80"/>
  <c r="AG391" i="80" s="1"/>
  <c r="AG437" i="80" s="1"/>
  <c r="CK41" i="80"/>
  <c r="CK386" i="80" s="1"/>
  <c r="AW41" i="80"/>
  <c r="AW386" i="80" s="1"/>
  <c r="AW37" i="80"/>
  <c r="AW382" i="80" s="1"/>
  <c r="CS37" i="80"/>
  <c r="CS382" i="80" s="1"/>
  <c r="AV37" i="80"/>
  <c r="AV382" i="80" s="1"/>
  <c r="Q41" i="80"/>
  <c r="Q386" i="80" s="1"/>
  <c r="CR38" i="79"/>
  <c r="CR383" i="79" s="1"/>
  <c r="P38" i="79"/>
  <c r="P383" i="79" s="1"/>
  <c r="BL111" i="80"/>
  <c r="BN111" i="80" s="1"/>
  <c r="CZ38" i="79"/>
  <c r="CJ111" i="80"/>
  <c r="BT111" i="80"/>
  <c r="BV111" i="80" s="1"/>
  <c r="AF38" i="79"/>
  <c r="AF383" i="79" s="1"/>
  <c r="BT38" i="79"/>
  <c r="BV38" i="79" s="1"/>
  <c r="DX38" i="79"/>
  <c r="DX434" i="79" s="1"/>
  <c r="BL38" i="79"/>
  <c r="BL383" i="79" s="1"/>
  <c r="CB38" i="79"/>
  <c r="CB383" i="79" s="1"/>
  <c r="FD111" i="80"/>
  <c r="FF111" i="80" s="1"/>
  <c r="BD38" i="79"/>
  <c r="BF38" i="79" s="1"/>
  <c r="CR111" i="80"/>
  <c r="DP111" i="80"/>
  <c r="DR111" i="80" s="1"/>
  <c r="EO111" i="79"/>
  <c r="EO116" i="79" s="1"/>
  <c r="AO41" i="80"/>
  <c r="AO386" i="80" s="1"/>
  <c r="DQ41" i="80"/>
  <c r="DQ386" i="80" s="1"/>
  <c r="CS41" i="80"/>
  <c r="CS386" i="80" s="1"/>
  <c r="EF45" i="79"/>
  <c r="AN45" i="79"/>
  <c r="CB45" i="79"/>
  <c r="CB436" i="79" s="1"/>
  <c r="CR45" i="79"/>
  <c r="CR436" i="79" s="1"/>
  <c r="CJ45" i="79"/>
  <c r="CJ390" i="79" s="1"/>
  <c r="AV390" i="79"/>
  <c r="DX45" i="79"/>
  <c r="DX390" i="79" s="1"/>
  <c r="BL45" i="79"/>
  <c r="BL436" i="79" s="1"/>
  <c r="BD45" i="79"/>
  <c r="BD436" i="79" s="1"/>
  <c r="DH45" i="79"/>
  <c r="DH436" i="79" s="1"/>
  <c r="H390" i="79"/>
  <c r="CZ45" i="79"/>
  <c r="CZ436" i="79" s="1"/>
  <c r="X45" i="79"/>
  <c r="X436" i="79" s="1"/>
  <c r="H436" i="79"/>
  <c r="P45" i="79"/>
  <c r="P390" i="79" s="1"/>
  <c r="AF45" i="79"/>
  <c r="AF436" i="79" s="1"/>
  <c r="BT45" i="79"/>
  <c r="EN45" i="79"/>
  <c r="FL45" i="79"/>
  <c r="FL390" i="79" s="1"/>
  <c r="EV45" i="79"/>
  <c r="EV436" i="79" s="1"/>
  <c r="DH43" i="80"/>
  <c r="DH388" i="80" s="1"/>
  <c r="J383" i="79"/>
  <c r="BL43" i="80"/>
  <c r="BL388" i="80" s="1"/>
  <c r="BU41" i="80"/>
  <c r="BU386" i="80" s="1"/>
  <c r="AV111" i="80"/>
  <c r="AX111" i="80" s="1"/>
  <c r="FL111" i="80"/>
  <c r="FN111" i="80" s="1"/>
  <c r="H434" i="79"/>
  <c r="DX111" i="80"/>
  <c r="DZ111" i="80" s="1"/>
  <c r="Y41" i="80"/>
  <c r="Y386" i="80" s="1"/>
  <c r="BT45" i="80"/>
  <c r="BV45" i="80" s="1"/>
  <c r="BV390" i="80" s="1"/>
  <c r="BV436" i="80" s="1"/>
  <c r="CC41" i="79"/>
  <c r="CC386" i="79" s="1"/>
  <c r="BL45" i="80"/>
  <c r="BL390" i="80" s="1"/>
  <c r="BL436" i="80" s="1"/>
  <c r="Q41" i="79"/>
  <c r="Q386" i="79" s="1"/>
  <c r="P45" i="80"/>
  <c r="P390" i="80" s="1"/>
  <c r="P436" i="80" s="1"/>
  <c r="X45" i="80"/>
  <c r="Z45" i="80" s="1"/>
  <c r="Z390" i="80" s="1"/>
  <c r="Z436" i="80" s="1"/>
  <c r="FD45" i="80"/>
  <c r="FF45" i="80" s="1"/>
  <c r="FF390" i="80" s="1"/>
  <c r="FF436" i="80" s="1"/>
  <c r="FM41" i="79"/>
  <c r="FM386" i="79" s="1"/>
  <c r="BM41" i="79"/>
  <c r="BM386" i="79" s="1"/>
  <c r="CR45" i="80"/>
  <c r="CT45" i="80" s="1"/>
  <c r="CT390" i="80" s="1"/>
  <c r="CT436" i="80" s="1"/>
  <c r="AN45" i="80"/>
  <c r="AN390" i="80" s="1"/>
  <c r="AN436" i="80" s="1"/>
  <c r="EN45" i="80"/>
  <c r="EP45" i="80" s="1"/>
  <c r="EP390" i="80" s="1"/>
  <c r="EP436" i="80" s="1"/>
  <c r="EG41" i="79"/>
  <c r="EG386" i="79" s="1"/>
  <c r="AG41" i="79"/>
  <c r="AG386" i="79" s="1"/>
  <c r="DI41" i="79"/>
  <c r="DI386" i="79" s="1"/>
  <c r="DP45" i="80"/>
  <c r="DR45" i="80" s="1"/>
  <c r="DR390" i="80" s="1"/>
  <c r="DR436" i="80" s="1"/>
  <c r="CJ45" i="80"/>
  <c r="CL45" i="80" s="1"/>
  <c r="CL390" i="80" s="1"/>
  <c r="CL436" i="80" s="1"/>
  <c r="DH45" i="80"/>
  <c r="DH390" i="80" s="1"/>
  <c r="DH436" i="80" s="1"/>
  <c r="EW41" i="79"/>
  <c r="EW386" i="79" s="1"/>
  <c r="CS41" i="79"/>
  <c r="CS386" i="79" s="1"/>
  <c r="CB45" i="80"/>
  <c r="AV376" i="80"/>
  <c r="AV378" i="80" s="1"/>
  <c r="AV379" i="80" s="1"/>
  <c r="AV449" i="80" s="1"/>
  <c r="DA41" i="79"/>
  <c r="DA386" i="79" s="1"/>
  <c r="EV41" i="79"/>
  <c r="EV386" i="79" s="1"/>
  <c r="EV376" i="80"/>
  <c r="EV378" i="80" s="1"/>
  <c r="EV379" i="80" s="1"/>
  <c r="CK41" i="79"/>
  <c r="CK386" i="79" s="1"/>
  <c r="BE41" i="79"/>
  <c r="BE386" i="79" s="1"/>
  <c r="AV45" i="80"/>
  <c r="AX45" i="80" s="1"/>
  <c r="AX390" i="80" s="1"/>
  <c r="AX436" i="80" s="1"/>
  <c r="DX45" i="80"/>
  <c r="DX390" i="80" s="1"/>
  <c r="DX436" i="80" s="1"/>
  <c r="AF45" i="80"/>
  <c r="AH45" i="80" s="1"/>
  <c r="AH390" i="80" s="1"/>
  <c r="AH436" i="80" s="1"/>
  <c r="DH376" i="80"/>
  <c r="DH378" i="80" s="1"/>
  <c r="DH379" i="80" s="1"/>
  <c r="FE41" i="79"/>
  <c r="FE386" i="79" s="1"/>
  <c r="Y41" i="79"/>
  <c r="Y386" i="79" s="1"/>
  <c r="CZ45" i="80"/>
  <c r="CZ390" i="80" s="1"/>
  <c r="CZ436" i="80" s="1"/>
  <c r="EV45" i="80"/>
  <c r="EX45" i="80" s="1"/>
  <c r="EX390" i="80" s="1"/>
  <c r="EX436" i="80" s="1"/>
  <c r="EF45" i="80"/>
  <c r="EF390" i="80" s="1"/>
  <c r="EF436" i="80" s="1"/>
  <c r="FL45" i="80"/>
  <c r="FN45" i="80" s="1"/>
  <c r="FN390" i="80" s="1"/>
  <c r="FN436" i="80" s="1"/>
  <c r="DY41" i="79"/>
  <c r="DY386" i="79" s="1"/>
  <c r="EO41" i="79"/>
  <c r="EO386" i="79" s="1"/>
  <c r="AO41" i="79"/>
  <c r="AO386" i="79" s="1"/>
  <c r="AG105" i="80"/>
  <c r="DX46" i="79"/>
  <c r="DZ46" i="79" s="1"/>
  <c r="P37" i="79"/>
  <c r="P382" i="79" s="1"/>
  <c r="P37" i="80"/>
  <c r="P382" i="80" s="1"/>
  <c r="AF46" i="79"/>
  <c r="AF391" i="79" s="1"/>
  <c r="FD46" i="79"/>
  <c r="FD437" i="79" s="1"/>
  <c r="DX37" i="80"/>
  <c r="DX382" i="80" s="1"/>
  <c r="AV37" i="79"/>
  <c r="AV382" i="79" s="1"/>
  <c r="AW46" i="80"/>
  <c r="AW391" i="80" s="1"/>
  <c r="AW437" i="80" s="1"/>
  <c r="DI105" i="80"/>
  <c r="DI116" i="80" s="1"/>
  <c r="DA105" i="80"/>
  <c r="DA116" i="80" s="1"/>
  <c r="Q105" i="80"/>
  <c r="Q116" i="80" s="1"/>
  <c r="DY105" i="80"/>
  <c r="DY116" i="80" s="1"/>
  <c r="EW105" i="80"/>
  <c r="EW116" i="80" s="1"/>
  <c r="FM41" i="80"/>
  <c r="FM386" i="80" s="1"/>
  <c r="DA46" i="80"/>
  <c r="DA391" i="80" s="1"/>
  <c r="DA437" i="80" s="1"/>
  <c r="DY41" i="80"/>
  <c r="DY386" i="80" s="1"/>
  <c r="EN46" i="79"/>
  <c r="EP46" i="79" s="1"/>
  <c r="AN37" i="80"/>
  <c r="AN382" i="80" s="1"/>
  <c r="DQ46" i="80"/>
  <c r="DQ391" i="80" s="1"/>
  <c r="DQ437" i="80" s="1"/>
  <c r="CB37" i="80"/>
  <c r="CB382" i="80" s="1"/>
  <c r="FD37" i="80"/>
  <c r="FD382" i="80" s="1"/>
  <c r="FE46" i="80"/>
  <c r="FE391" i="80" s="1"/>
  <c r="FE437" i="80" s="1"/>
  <c r="EO105" i="80"/>
  <c r="EO116" i="80" s="1"/>
  <c r="CK105" i="80"/>
  <c r="CK116" i="80" s="1"/>
  <c r="X46" i="79"/>
  <c r="X391" i="79" s="1"/>
  <c r="Q46" i="80"/>
  <c r="Q391" i="80" s="1"/>
  <c r="Q437" i="80" s="1"/>
  <c r="EO41" i="80"/>
  <c r="EO386" i="80" s="1"/>
  <c r="X37" i="80"/>
  <c r="X382" i="80" s="1"/>
  <c r="DQ105" i="80"/>
  <c r="DQ116" i="80" s="1"/>
  <c r="DX37" i="79"/>
  <c r="DX382" i="79" s="1"/>
  <c r="BL46" i="79"/>
  <c r="BL391" i="79" s="1"/>
  <c r="H382" i="79"/>
  <c r="CJ37" i="79"/>
  <c r="CJ382" i="79" s="1"/>
  <c r="EV37" i="80"/>
  <c r="EV382" i="80" s="1"/>
  <c r="BU46" i="80"/>
  <c r="BU391" i="80" s="1"/>
  <c r="BU437" i="80" s="1"/>
  <c r="CC105" i="80"/>
  <c r="CC116" i="80" s="1"/>
  <c r="BE105" i="80"/>
  <c r="BE116" i="80" s="1"/>
  <c r="BU105" i="80"/>
  <c r="BU116" i="80" s="1"/>
  <c r="FM46" i="80"/>
  <c r="FM391" i="80" s="1"/>
  <c r="FM437" i="80" s="1"/>
  <c r="P46" i="79"/>
  <c r="R46" i="79" s="1"/>
  <c r="R437" i="79" s="1"/>
  <c r="BD46" i="79"/>
  <c r="BF46" i="79" s="1"/>
  <c r="CR37" i="79"/>
  <c r="CR382" i="79" s="1"/>
  <c r="BL37" i="79"/>
  <c r="BL382" i="79" s="1"/>
  <c r="FL37" i="80"/>
  <c r="FL46" i="79"/>
  <c r="FL391" i="79" s="1"/>
  <c r="AF37" i="80"/>
  <c r="AF382" i="80" s="1"/>
  <c r="CJ37" i="80"/>
  <c r="CJ382" i="80" s="1"/>
  <c r="BE46" i="80"/>
  <c r="BE391" i="80" s="1"/>
  <c r="BE437" i="80" s="1"/>
  <c r="CS105" i="80"/>
  <c r="CS116" i="80" s="1"/>
  <c r="BM41" i="80"/>
  <c r="BM386" i="80" s="1"/>
  <c r="CC111" i="79"/>
  <c r="CC116" i="79" s="1"/>
  <c r="EG46" i="80"/>
  <c r="EG391" i="80" s="1"/>
  <c r="EG437" i="80" s="1"/>
  <c r="FE41" i="80"/>
  <c r="FE386" i="80" s="1"/>
  <c r="DP37" i="80"/>
  <c r="CZ37" i="80"/>
  <c r="DH46" i="79"/>
  <c r="DJ46" i="79" s="1"/>
  <c r="H382" i="80"/>
  <c r="H391" i="79"/>
  <c r="BT37" i="79"/>
  <c r="BT382" i="79" s="1"/>
  <c r="EN37" i="80"/>
  <c r="EN382" i="80" s="1"/>
  <c r="EO37" i="79"/>
  <c r="EO382" i="79" s="1"/>
  <c r="EF37" i="79"/>
  <c r="EF382" i="79" s="1"/>
  <c r="AO105" i="80"/>
  <c r="AO116" i="80" s="1"/>
  <c r="EW46" i="80"/>
  <c r="EW391" i="80" s="1"/>
  <c r="EW437" i="80" s="1"/>
  <c r="I116" i="80"/>
  <c r="AW105" i="80"/>
  <c r="AW116" i="80" s="1"/>
  <c r="CB46" i="79"/>
  <c r="CD46" i="79" s="1"/>
  <c r="AV46" i="79"/>
  <c r="AV437" i="79" s="1"/>
  <c r="BT37" i="80"/>
  <c r="BT382" i="80" s="1"/>
  <c r="CS46" i="80"/>
  <c r="CS391" i="80" s="1"/>
  <c r="CS437" i="80" s="1"/>
  <c r="BL37" i="80"/>
  <c r="BL382" i="80" s="1"/>
  <c r="H437" i="79"/>
  <c r="DH37" i="80"/>
  <c r="DH382" i="80" s="1"/>
  <c r="CR37" i="80"/>
  <c r="CR382" i="80" s="1"/>
  <c r="FM105" i="80"/>
  <c r="EG105" i="80"/>
  <c r="EG116" i="80" s="1"/>
  <c r="Y105" i="80"/>
  <c r="Y116" i="80" s="1"/>
  <c r="EN41" i="80"/>
  <c r="EN386" i="80" s="1"/>
  <c r="AW376" i="80"/>
  <c r="AW378" i="80" s="1"/>
  <c r="AW379" i="80" s="1"/>
  <c r="AW449" i="80" s="1"/>
  <c r="BU376" i="80"/>
  <c r="BU378" i="80" s="1"/>
  <c r="BU379" i="80" s="1"/>
  <c r="BU449" i="80" s="1"/>
  <c r="FL41" i="80"/>
  <c r="FL386" i="80" s="1"/>
  <c r="P41" i="80"/>
  <c r="P386" i="80" s="1"/>
  <c r="AV41" i="80"/>
  <c r="AX41" i="80" s="1"/>
  <c r="AX386" i="80" s="1"/>
  <c r="FM376" i="80"/>
  <c r="FM378" i="80" s="1"/>
  <c r="FM379" i="80" s="1"/>
  <c r="FM449" i="80" s="1"/>
  <c r="CB43" i="80"/>
  <c r="CB388" i="80" s="1"/>
  <c r="P43" i="80"/>
  <c r="P388" i="80" s="1"/>
  <c r="AN41" i="80"/>
  <c r="AN386" i="80" s="1"/>
  <c r="BL41" i="80"/>
  <c r="X41" i="80"/>
  <c r="X386" i="80" s="1"/>
  <c r="DH41" i="80"/>
  <c r="DH386" i="80" s="1"/>
  <c r="FM116" i="80"/>
  <c r="AN43" i="80"/>
  <c r="AN388" i="80" s="1"/>
  <c r="AF43" i="80"/>
  <c r="AF388" i="80" s="1"/>
  <c r="FD41" i="80"/>
  <c r="CJ41" i="80"/>
  <c r="CJ386" i="80" s="1"/>
  <c r="DP41" i="80"/>
  <c r="DX41" i="80"/>
  <c r="DX386" i="80" s="1"/>
  <c r="CR41" i="80"/>
  <c r="CR386" i="80" s="1"/>
  <c r="BE376" i="80"/>
  <c r="BE378" i="80" s="1"/>
  <c r="BE379" i="80" s="1"/>
  <c r="BE449" i="80" s="1"/>
  <c r="EF43" i="80"/>
  <c r="EF388" i="80" s="1"/>
  <c r="CB41" i="80"/>
  <c r="CD41" i="80" s="1"/>
  <c r="CD386" i="80" s="1"/>
  <c r="EN43" i="80"/>
  <c r="EN388" i="80" s="1"/>
  <c r="EV43" i="80"/>
  <c r="EV388" i="80" s="1"/>
  <c r="AF41" i="79"/>
  <c r="AF386" i="79" s="1"/>
  <c r="DX41" i="79"/>
  <c r="DX386" i="79" s="1"/>
  <c r="EV111" i="80"/>
  <c r="EX111" i="80" s="1"/>
  <c r="FL38" i="79"/>
  <c r="FN38" i="79" s="1"/>
  <c r="BM46" i="80"/>
  <c r="BM391" i="80" s="1"/>
  <c r="BM437" i="80" s="1"/>
  <c r="H383" i="79"/>
  <c r="AF37" i="79"/>
  <c r="AF382" i="79" s="1"/>
  <c r="EG376" i="80"/>
  <c r="EG378" i="80" s="1"/>
  <c r="EG379" i="80" s="1"/>
  <c r="EG449" i="80" s="1"/>
  <c r="CK376" i="80"/>
  <c r="CK378" i="80" s="1"/>
  <c r="CK379" i="80" s="1"/>
  <c r="CK449" i="80" s="1"/>
  <c r="EN37" i="79"/>
  <c r="EN382" i="79" s="1"/>
  <c r="BU41" i="79"/>
  <c r="BU386" i="79" s="1"/>
  <c r="BM38" i="80"/>
  <c r="BM383" i="80" s="1"/>
  <c r="BM434" i="80" s="1"/>
  <c r="Y46" i="80"/>
  <c r="Y391" i="80" s="1"/>
  <c r="Y437" i="80" s="1"/>
  <c r="EF41" i="79"/>
  <c r="EF386" i="79" s="1"/>
  <c r="EO376" i="80"/>
  <c r="EO378" i="80" s="1"/>
  <c r="EO379" i="80" s="1"/>
  <c r="EO449" i="80" s="1"/>
  <c r="EG37" i="80"/>
  <c r="EG382" i="80" s="1"/>
  <c r="BM37" i="80"/>
  <c r="BM382" i="80" s="1"/>
  <c r="X43" i="80"/>
  <c r="X388" i="80" s="1"/>
  <c r="DA376" i="80"/>
  <c r="DA378" i="80" s="1"/>
  <c r="DA379" i="80" s="1"/>
  <c r="DA449" i="80" s="1"/>
  <c r="DI37" i="80"/>
  <c r="DI382" i="80" s="1"/>
  <c r="FD43" i="80"/>
  <c r="FD388" i="80" s="1"/>
  <c r="EN41" i="79"/>
  <c r="EN386" i="79" s="1"/>
  <c r="CR43" i="79"/>
  <c r="CR388" i="79" s="1"/>
  <c r="BM376" i="80"/>
  <c r="BM378" i="80" s="1"/>
  <c r="BM379" i="80" s="1"/>
  <c r="BM449" i="80" s="1"/>
  <c r="DX43" i="79"/>
  <c r="DX388" i="79" s="1"/>
  <c r="EN38" i="79"/>
  <c r="EN383" i="79" s="1"/>
  <c r="DH41" i="79"/>
  <c r="DH386" i="79" s="1"/>
  <c r="DI46" i="80"/>
  <c r="DI391" i="80" s="1"/>
  <c r="DI437" i="80" s="1"/>
  <c r="H388" i="79"/>
  <c r="F84" i="35"/>
  <c r="I62" i="26" s="1"/>
  <c r="CC376" i="80"/>
  <c r="CC378" i="80" s="1"/>
  <c r="CC379" i="80" s="1"/>
  <c r="CC449" i="80" s="1"/>
  <c r="AW41" i="79"/>
  <c r="AW386" i="79" s="1"/>
  <c r="DQ41" i="79"/>
  <c r="DQ386" i="79" s="1"/>
  <c r="AO37" i="80"/>
  <c r="AO382" i="80" s="1"/>
  <c r="AW38" i="80"/>
  <c r="AW383" i="80" s="1"/>
  <c r="AW434" i="80" s="1"/>
  <c r="BU37" i="80"/>
  <c r="BU382" i="80" s="1"/>
  <c r="CB41" i="79"/>
  <c r="CB386" i="79" s="1"/>
  <c r="BT43" i="80"/>
  <c r="BT388" i="80" s="1"/>
  <c r="BT43" i="79"/>
  <c r="BT388" i="79" s="1"/>
  <c r="AF43" i="79"/>
  <c r="AF388" i="79" s="1"/>
  <c r="FE376" i="80"/>
  <c r="FE378" i="80" s="1"/>
  <c r="FE379" i="80" s="1"/>
  <c r="FE449" i="80" s="1"/>
  <c r="CS376" i="80"/>
  <c r="CS378" i="80" s="1"/>
  <c r="CS379" i="80" s="1"/>
  <c r="CS449" i="80" s="1"/>
  <c r="DI376" i="80"/>
  <c r="DI378" i="80" s="1"/>
  <c r="DI379" i="80" s="1"/>
  <c r="DI449" i="80" s="1"/>
  <c r="FE37" i="80"/>
  <c r="FE382" i="80" s="1"/>
  <c r="DQ37" i="80"/>
  <c r="DQ382" i="80" s="1"/>
  <c r="FM37" i="80"/>
  <c r="FM382" i="80" s="1"/>
  <c r="AV43" i="80"/>
  <c r="AV388" i="80" s="1"/>
  <c r="X43" i="79"/>
  <c r="X388" i="79" s="1"/>
  <c r="I382" i="80"/>
  <c r="DP43" i="79"/>
  <c r="DP388" i="79" s="1"/>
  <c r="Y376" i="80"/>
  <c r="Y378" i="80" s="1"/>
  <c r="Y379" i="80" s="1"/>
  <c r="Y449" i="80" s="1"/>
  <c r="DQ376" i="80"/>
  <c r="DQ378" i="80" s="1"/>
  <c r="DQ379" i="80" s="1"/>
  <c r="DQ449" i="80" s="1"/>
  <c r="DA37" i="80"/>
  <c r="DA382" i="80" s="1"/>
  <c r="CK37" i="80"/>
  <c r="CK382" i="80" s="1"/>
  <c r="CJ41" i="79"/>
  <c r="CJ386" i="79" s="1"/>
  <c r="CZ111" i="80"/>
  <c r="DB111" i="80" s="1"/>
  <c r="CB111" i="80"/>
  <c r="CD111" i="80" s="1"/>
  <c r="AN43" i="79"/>
  <c r="AN388" i="79" s="1"/>
  <c r="X434" i="79"/>
  <c r="CC37" i="80"/>
  <c r="CC382" i="80" s="1"/>
  <c r="I378" i="80"/>
  <c r="I379" i="80" s="1"/>
  <c r="I449" i="80" s="1"/>
  <c r="BE37" i="80"/>
  <c r="BE382" i="80" s="1"/>
  <c r="AV41" i="79"/>
  <c r="AV386" i="79" s="1"/>
  <c r="DX43" i="80"/>
  <c r="DX388" i="80" s="1"/>
  <c r="CR43" i="80"/>
  <c r="CR388" i="80" s="1"/>
  <c r="BT41" i="79"/>
  <c r="BT386" i="79" s="1"/>
  <c r="DY376" i="80"/>
  <c r="DY378" i="80" s="1"/>
  <c r="DY379" i="80" s="1"/>
  <c r="DY449" i="80" s="1"/>
  <c r="P43" i="79"/>
  <c r="P388" i="79" s="1"/>
  <c r="BD41" i="79"/>
  <c r="BD386" i="79" s="1"/>
  <c r="FL41" i="79"/>
  <c r="FL386" i="79" s="1"/>
  <c r="X111" i="80"/>
  <c r="X116" i="80" s="1"/>
  <c r="EW376" i="80"/>
  <c r="EW378" i="80" s="1"/>
  <c r="EW379" i="80" s="1"/>
  <c r="EW449" i="80" s="1"/>
  <c r="AG376" i="80"/>
  <c r="AG378" i="80" s="1"/>
  <c r="AG379" i="80" s="1"/>
  <c r="AG449" i="80" s="1"/>
  <c r="DY37" i="80"/>
  <c r="DY382" i="80" s="1"/>
  <c r="AN41" i="79"/>
  <c r="AN386" i="79" s="1"/>
  <c r="CJ43" i="80"/>
  <c r="CJ388" i="80" s="1"/>
  <c r="DH43" i="79"/>
  <c r="DH388" i="79" s="1"/>
  <c r="FL43" i="80"/>
  <c r="FL388" i="80" s="1"/>
  <c r="CZ43" i="80"/>
  <c r="CZ388" i="80" s="1"/>
  <c r="CR41" i="79"/>
  <c r="CR386" i="79" s="1"/>
  <c r="H386" i="79"/>
  <c r="FL43" i="79"/>
  <c r="FL388" i="79" s="1"/>
  <c r="P41" i="79"/>
  <c r="P386" i="79" s="1"/>
  <c r="BL41" i="79"/>
  <c r="BL386" i="79" s="1"/>
  <c r="CB43" i="79"/>
  <c r="CB388" i="79" s="1"/>
  <c r="CZ41" i="79"/>
  <c r="CZ386" i="79" s="1"/>
  <c r="EV38" i="79"/>
  <c r="EX38" i="79" s="1"/>
  <c r="Q376" i="80"/>
  <c r="Q378" i="80" s="1"/>
  <c r="Q379" i="80" s="1"/>
  <c r="Q449" i="80" s="1"/>
  <c r="Y37" i="80"/>
  <c r="Y382" i="80" s="1"/>
  <c r="AG37" i="80"/>
  <c r="AG382" i="80" s="1"/>
  <c r="DY46" i="80"/>
  <c r="DY391" i="80" s="1"/>
  <c r="DY437" i="80" s="1"/>
  <c r="EN43" i="79"/>
  <c r="EN388" i="79" s="1"/>
  <c r="EF43" i="79"/>
  <c r="EF388" i="79" s="1"/>
  <c r="EV43" i="79"/>
  <c r="EV388" i="79" s="1"/>
  <c r="EW41" i="80"/>
  <c r="EW386" i="80" s="1"/>
  <c r="FE116" i="80"/>
  <c r="I383" i="80"/>
  <c r="I434" i="80" s="1"/>
  <c r="CS38" i="80"/>
  <c r="CS383" i="80" s="1"/>
  <c r="CS434" i="80" s="1"/>
  <c r="DQ38" i="80"/>
  <c r="DQ383" i="80" s="1"/>
  <c r="DQ434" i="80" s="1"/>
  <c r="Q38" i="80"/>
  <c r="Q383" i="80" s="1"/>
  <c r="Q434" i="80" s="1"/>
  <c r="CC38" i="80"/>
  <c r="CC383" i="80" s="1"/>
  <c r="CC434" i="80" s="1"/>
  <c r="EG38" i="80"/>
  <c r="EG383" i="80" s="1"/>
  <c r="EG434" i="80" s="1"/>
  <c r="DA41" i="80"/>
  <c r="DA386" i="80" s="1"/>
  <c r="EG41" i="80"/>
  <c r="EG386" i="80" s="1"/>
  <c r="DY38" i="80"/>
  <c r="DY383" i="80" s="1"/>
  <c r="DY434" i="80" s="1"/>
  <c r="BU38" i="80"/>
  <c r="BU383" i="80" s="1"/>
  <c r="BU434" i="80" s="1"/>
  <c r="CJ38" i="79"/>
  <c r="CJ383" i="79" s="1"/>
  <c r="DP43" i="80"/>
  <c r="DP388" i="80" s="1"/>
  <c r="EF105" i="80"/>
  <c r="CB105" i="80"/>
  <c r="J291" i="80"/>
  <c r="J298" i="80" s="1"/>
  <c r="J315" i="80" s="1"/>
  <c r="J331" i="80" s="1"/>
  <c r="J291" i="85"/>
  <c r="L161" i="90" s="1"/>
  <c r="J291" i="79"/>
  <c r="J298" i="79" s="1"/>
  <c r="J315" i="79" s="1"/>
  <c r="J331" i="79" s="1"/>
  <c r="J22" i="27"/>
  <c r="J298" i="85" s="1"/>
  <c r="I22" i="27"/>
  <c r="I298" i="85" s="1"/>
  <c r="I291" i="85"/>
  <c r="K161" i="90" s="1"/>
  <c r="I291" i="80"/>
  <c r="AO291" i="80" s="1"/>
  <c r="I291" i="79"/>
  <c r="CK291" i="79" s="1"/>
  <c r="AF105" i="80"/>
  <c r="AF116" i="80" s="1"/>
  <c r="EN105" i="80"/>
  <c r="BT105" i="80"/>
  <c r="P105" i="80"/>
  <c r="Z65" i="79"/>
  <c r="AV105" i="80"/>
  <c r="H116" i="80"/>
  <c r="DP105" i="80"/>
  <c r="FD105" i="80"/>
  <c r="FF105" i="80" s="1"/>
  <c r="BL105" i="80"/>
  <c r="EW38" i="80"/>
  <c r="EW383" i="80" s="1"/>
  <c r="EW434" i="80" s="1"/>
  <c r="Y38" i="80"/>
  <c r="Y383" i="80" s="1"/>
  <c r="Y434" i="80" s="1"/>
  <c r="EO38" i="80"/>
  <c r="EO383" i="80" s="1"/>
  <c r="EO434" i="80" s="1"/>
  <c r="DA38" i="80"/>
  <c r="DA383" i="80" s="1"/>
  <c r="DA434" i="80" s="1"/>
  <c r="DY43" i="80"/>
  <c r="DY388" i="80" s="1"/>
  <c r="DI38" i="80"/>
  <c r="DI383" i="80" s="1"/>
  <c r="DI434" i="80" s="1"/>
  <c r="AG38" i="80"/>
  <c r="AG383" i="80" s="1"/>
  <c r="AG434" i="80" s="1"/>
  <c r="AO38" i="80"/>
  <c r="AO383" i="80" s="1"/>
  <c r="AO434" i="80" s="1"/>
  <c r="FE38" i="80"/>
  <c r="FE383" i="80" s="1"/>
  <c r="FE434" i="80" s="1"/>
  <c r="BE38" i="80"/>
  <c r="BE383" i="80" s="1"/>
  <c r="BE434" i="80" s="1"/>
  <c r="FM38" i="80"/>
  <c r="FM383" i="80" s="1"/>
  <c r="FM434" i="80" s="1"/>
  <c r="EW43" i="80"/>
  <c r="EW388" i="80" s="1"/>
  <c r="H373" i="85"/>
  <c r="DH38" i="79"/>
  <c r="DH383" i="79" s="1"/>
  <c r="AN38" i="79"/>
  <c r="AN383" i="79" s="1"/>
  <c r="AV38" i="79"/>
  <c r="AV383" i="79" s="1"/>
  <c r="Z38" i="79"/>
  <c r="Z383" i="79" s="1"/>
  <c r="EF38" i="79"/>
  <c r="EF383" i="79" s="1"/>
  <c r="CR105" i="80"/>
  <c r="CR116" i="80" s="1"/>
  <c r="AN111" i="80"/>
  <c r="AP111" i="80" s="1"/>
  <c r="DX105" i="80"/>
  <c r="DZ105" i="80" s="1"/>
  <c r="AG41" i="80"/>
  <c r="AG386" i="80" s="1"/>
  <c r="EN376" i="80"/>
  <c r="EN378" i="80" s="1"/>
  <c r="EN379" i="80" s="1"/>
  <c r="EN449" i="80" s="1"/>
  <c r="CJ376" i="80"/>
  <c r="CJ378" i="80" s="1"/>
  <c r="CJ379" i="80" s="1"/>
  <c r="CJ449" i="80" s="1"/>
  <c r="BT376" i="80"/>
  <c r="BT378" i="80" s="1"/>
  <c r="BT379" i="80" s="1"/>
  <c r="BT449" i="80" s="1"/>
  <c r="AN376" i="80"/>
  <c r="AN378" i="80" s="1"/>
  <c r="AN379" i="80" s="1"/>
  <c r="AN449" i="80" s="1"/>
  <c r="X376" i="80"/>
  <c r="X378" i="80" s="1"/>
  <c r="X379" i="80" s="1"/>
  <c r="CR376" i="80"/>
  <c r="CR378" i="80" s="1"/>
  <c r="CR379" i="80" s="1"/>
  <c r="BD376" i="80"/>
  <c r="CL111" i="80"/>
  <c r="FD376" i="80"/>
  <c r="FD378" i="80" s="1"/>
  <c r="FD379" i="80" s="1"/>
  <c r="FD449" i="80" s="1"/>
  <c r="DX376" i="80"/>
  <c r="DX378" i="80" s="1"/>
  <c r="DX379" i="80" s="1"/>
  <c r="DX449" i="80" s="1"/>
  <c r="CB376" i="80"/>
  <c r="CB378" i="80" s="1"/>
  <c r="CB379" i="80" s="1"/>
  <c r="CB449" i="80" s="1"/>
  <c r="CZ376" i="80"/>
  <c r="CZ378" i="80" s="1"/>
  <c r="CZ379" i="80" s="1"/>
  <c r="AF376" i="80"/>
  <c r="AF378" i="80" s="1"/>
  <c r="AF379" i="80" s="1"/>
  <c r="AF449" i="80" s="1"/>
  <c r="EF376" i="80"/>
  <c r="EF378" i="80" s="1"/>
  <c r="EF379" i="80" s="1"/>
  <c r="EF449" i="80" s="1"/>
  <c r="BL376" i="80"/>
  <c r="BL378" i="80" s="1"/>
  <c r="BL379" i="80" s="1"/>
  <c r="BL449" i="80" s="1"/>
  <c r="P376" i="80"/>
  <c r="P378" i="80" s="1"/>
  <c r="P379" i="80" s="1"/>
  <c r="P449" i="80" s="1"/>
  <c r="DP376" i="80"/>
  <c r="FL376" i="80"/>
  <c r="FL378" i="80" s="1"/>
  <c r="FL379" i="80" s="1"/>
  <c r="CB105" i="79"/>
  <c r="CD105" i="79" s="1"/>
  <c r="DX105" i="79"/>
  <c r="DZ105" i="79" s="1"/>
  <c r="AN105" i="79"/>
  <c r="AP105" i="79" s="1"/>
  <c r="FL105" i="79"/>
  <c r="FN105" i="79" s="1"/>
  <c r="AV105" i="79"/>
  <c r="AX105" i="79" s="1"/>
  <c r="EP111" i="80"/>
  <c r="CZ105" i="80"/>
  <c r="AN105" i="80"/>
  <c r="CZ105" i="79"/>
  <c r="DB105" i="79" s="1"/>
  <c r="FL105" i="80"/>
  <c r="BD105" i="79"/>
  <c r="CR105" i="79"/>
  <c r="CT105" i="79" s="1"/>
  <c r="P105" i="79"/>
  <c r="R105" i="79" s="1"/>
  <c r="BT105" i="79"/>
  <c r="BV105" i="79" s="1"/>
  <c r="DH105" i="80"/>
  <c r="EV105" i="80"/>
  <c r="CJ105" i="80"/>
  <c r="DH105" i="79"/>
  <c r="DJ105" i="79" s="1"/>
  <c r="EN105" i="79"/>
  <c r="EP105" i="79" s="1"/>
  <c r="EV105" i="79"/>
  <c r="EX105" i="79" s="1"/>
  <c r="BL105" i="79"/>
  <c r="BN105" i="79" s="1"/>
  <c r="CJ105" i="79"/>
  <c r="CL105" i="79" s="1"/>
  <c r="EF105" i="79"/>
  <c r="EH105" i="79" s="1"/>
  <c r="CT111" i="80"/>
  <c r="X105" i="79"/>
  <c r="Z105" i="79" s="1"/>
  <c r="I390" i="79"/>
  <c r="FE43" i="79"/>
  <c r="FE388" i="79" s="1"/>
  <c r="FE45" i="79"/>
  <c r="FE436" i="79" s="1"/>
  <c r="DI45" i="79"/>
  <c r="DI390" i="79" s="1"/>
  <c r="DA43" i="79"/>
  <c r="DA388" i="79" s="1"/>
  <c r="DQ43" i="79"/>
  <c r="DQ388" i="79" s="1"/>
  <c r="Y45" i="79"/>
  <c r="Y436" i="79" s="1"/>
  <c r="Y43" i="80"/>
  <c r="Y388" i="80" s="1"/>
  <c r="BU43" i="80"/>
  <c r="BU388" i="80" s="1"/>
  <c r="DI43" i="79"/>
  <c r="DI388" i="79" s="1"/>
  <c r="EW43" i="79"/>
  <c r="EW388" i="79" s="1"/>
  <c r="AW43" i="79"/>
  <c r="AW388" i="79" s="1"/>
  <c r="BM43" i="80"/>
  <c r="BM388" i="80" s="1"/>
  <c r="AO43" i="79"/>
  <c r="AO388" i="79" s="1"/>
  <c r="AG45" i="79"/>
  <c r="AG436" i="79" s="1"/>
  <c r="CK43" i="80"/>
  <c r="CK388" i="80" s="1"/>
  <c r="CS45" i="79"/>
  <c r="CS390" i="79" s="1"/>
  <c r="EO43" i="80"/>
  <c r="I388" i="79"/>
  <c r="AO45" i="79"/>
  <c r="AO436" i="79" s="1"/>
  <c r="BE43" i="80"/>
  <c r="BE388" i="80" s="1"/>
  <c r="I436" i="79"/>
  <c r="DI43" i="80"/>
  <c r="Q43" i="79"/>
  <c r="Q388" i="79" s="1"/>
  <c r="Q45" i="79"/>
  <c r="Q436" i="79" s="1"/>
  <c r="BU45" i="79"/>
  <c r="BU390" i="79" s="1"/>
  <c r="DA43" i="80"/>
  <c r="DA388" i="80" s="1"/>
  <c r="DQ43" i="80"/>
  <c r="EO45" i="79"/>
  <c r="EO436" i="79" s="1"/>
  <c r="CC45" i="79"/>
  <c r="CC436" i="79" s="1"/>
  <c r="FE43" i="80"/>
  <c r="FE388" i="80" s="1"/>
  <c r="CC43" i="80"/>
  <c r="CK436" i="79"/>
  <c r="CK43" i="79"/>
  <c r="CK388" i="79" s="1"/>
  <c r="FM43" i="79"/>
  <c r="FM388" i="79" s="1"/>
  <c r="AG43" i="79"/>
  <c r="AG388" i="79" s="1"/>
  <c r="CS43" i="79"/>
  <c r="CS388" i="79" s="1"/>
  <c r="BE45" i="79"/>
  <c r="BE436" i="79" s="1"/>
  <c r="CC43" i="79"/>
  <c r="CC388" i="79" s="1"/>
  <c r="AO43" i="80"/>
  <c r="AO388" i="80" s="1"/>
  <c r="DY45" i="79"/>
  <c r="DY436" i="79" s="1"/>
  <c r="AW43" i="80"/>
  <c r="AW388" i="80" s="1"/>
  <c r="BE43" i="79"/>
  <c r="BE388" i="79" s="1"/>
  <c r="BU43" i="79"/>
  <c r="BU388" i="79" s="1"/>
  <c r="CS43" i="80"/>
  <c r="CS388" i="80" s="1"/>
  <c r="Y43" i="79"/>
  <c r="Y388" i="79" s="1"/>
  <c r="EG43" i="79"/>
  <c r="EG388" i="79" s="1"/>
  <c r="BM45" i="79"/>
  <c r="BM436" i="79" s="1"/>
  <c r="BM43" i="79"/>
  <c r="BM388" i="79" s="1"/>
  <c r="EW45" i="79"/>
  <c r="EW390" i="79" s="1"/>
  <c r="DA45" i="79"/>
  <c r="DA390" i="79" s="1"/>
  <c r="DY43" i="79"/>
  <c r="DY388" i="79" s="1"/>
  <c r="FM45" i="79"/>
  <c r="FM390" i="79" s="1"/>
  <c r="DQ45" i="79"/>
  <c r="DQ436" i="79" s="1"/>
  <c r="Q43" i="80"/>
  <c r="Q388" i="80" s="1"/>
  <c r="FM43" i="80"/>
  <c r="FM388" i="80" s="1"/>
  <c r="AW45" i="79"/>
  <c r="AW436" i="79" s="1"/>
  <c r="EG45" i="79"/>
  <c r="EG436" i="79" s="1"/>
  <c r="EG43" i="80"/>
  <c r="EG388" i="80" s="1"/>
  <c r="AG43" i="80"/>
  <c r="AG388" i="80" s="1"/>
  <c r="FL46" i="80"/>
  <c r="FL391" i="80" s="1"/>
  <c r="FL437" i="80" s="1"/>
  <c r="P46" i="80"/>
  <c r="P391" i="80" s="1"/>
  <c r="P437" i="80" s="1"/>
  <c r="FD46" i="80"/>
  <c r="EN46" i="80"/>
  <c r="EN391" i="80" s="1"/>
  <c r="EN437" i="80" s="1"/>
  <c r="BT46" i="80"/>
  <c r="BT391" i="80" s="1"/>
  <c r="BT437" i="80" s="1"/>
  <c r="Z111" i="79"/>
  <c r="CZ46" i="80"/>
  <c r="CC376" i="79"/>
  <c r="CC378" i="79" s="1"/>
  <c r="CC379" i="79" s="1"/>
  <c r="CC449" i="79" s="1"/>
  <c r="AG376" i="79"/>
  <c r="AG378" i="79" s="1"/>
  <c r="AG379" i="79" s="1"/>
  <c r="AG449" i="79" s="1"/>
  <c r="EV46" i="80"/>
  <c r="CJ46" i="80"/>
  <c r="BU376" i="79"/>
  <c r="BU378" i="79" s="1"/>
  <c r="BU379" i="79" s="1"/>
  <c r="BU449" i="79" s="1"/>
  <c r="CK376" i="79"/>
  <c r="CK378" i="79" s="1"/>
  <c r="CK379" i="79" s="1"/>
  <c r="CK449" i="79" s="1"/>
  <c r="FM376" i="79"/>
  <c r="FM378" i="79" s="1"/>
  <c r="FM379" i="79" s="1"/>
  <c r="FM449" i="79" s="1"/>
  <c r="EO376" i="79"/>
  <c r="EO378" i="79" s="1"/>
  <c r="EO379" i="79" s="1"/>
  <c r="EO449" i="79" s="1"/>
  <c r="DX46" i="80"/>
  <c r="X46" i="80"/>
  <c r="J23" i="77"/>
  <c r="J24" i="77" s="1"/>
  <c r="R82" i="35"/>
  <c r="S82" i="35" s="1"/>
  <c r="DY376" i="79"/>
  <c r="DY378" i="79" s="1"/>
  <c r="DY379" i="79" s="1"/>
  <c r="DY449" i="79" s="1"/>
  <c r="P111" i="79"/>
  <c r="R111" i="79" s="1"/>
  <c r="H116" i="79"/>
  <c r="AN46" i="80"/>
  <c r="AN391" i="80" s="1"/>
  <c r="AN437" i="80" s="1"/>
  <c r="DH46" i="80"/>
  <c r="DH391" i="80" s="1"/>
  <c r="DH437" i="80" s="1"/>
  <c r="AF111" i="79"/>
  <c r="AV111" i="79"/>
  <c r="AX111" i="79" s="1"/>
  <c r="AW376" i="79"/>
  <c r="AW378" i="79" s="1"/>
  <c r="AW379" i="79" s="1"/>
  <c r="AW449" i="79" s="1"/>
  <c r="H391" i="80"/>
  <c r="H437" i="80" s="1"/>
  <c r="EN111" i="79"/>
  <c r="CJ111" i="79"/>
  <c r="DP46" i="80"/>
  <c r="DP391" i="80" s="1"/>
  <c r="DP437" i="80" s="1"/>
  <c r="DH111" i="79"/>
  <c r="AN111" i="79"/>
  <c r="AF46" i="80"/>
  <c r="AF391" i="80" s="1"/>
  <c r="AF437" i="80" s="1"/>
  <c r="EG376" i="79"/>
  <c r="EG378" i="79" s="1"/>
  <c r="EG379" i="79" s="1"/>
  <c r="EG449" i="79" s="1"/>
  <c r="FE376" i="79"/>
  <c r="FE378" i="79" s="1"/>
  <c r="FE379" i="79" s="1"/>
  <c r="FE449" i="79" s="1"/>
  <c r="BL46" i="80"/>
  <c r="BL391" i="80" s="1"/>
  <c r="BL437" i="80" s="1"/>
  <c r="CB111" i="79"/>
  <c r="EW376" i="79"/>
  <c r="EW378" i="79" s="1"/>
  <c r="EW379" i="79" s="1"/>
  <c r="EW449" i="79" s="1"/>
  <c r="FL111" i="79"/>
  <c r="FN111" i="79" s="1"/>
  <c r="DI376" i="79"/>
  <c r="DI378" i="79" s="1"/>
  <c r="DI379" i="79" s="1"/>
  <c r="DI449" i="79" s="1"/>
  <c r="CB46" i="80"/>
  <c r="CB391" i="80" s="1"/>
  <c r="CB437" i="80" s="1"/>
  <c r="BL111" i="79"/>
  <c r="BN111" i="79" s="1"/>
  <c r="CZ111" i="79"/>
  <c r="DB111" i="79" s="1"/>
  <c r="DX111" i="79"/>
  <c r="Q376" i="79"/>
  <c r="Q378" i="79" s="1"/>
  <c r="Q379" i="79" s="1"/>
  <c r="Q449" i="79" s="1"/>
  <c r="I378" i="79"/>
  <c r="I379" i="79" s="1"/>
  <c r="I449" i="79" s="1"/>
  <c r="AO376" i="79"/>
  <c r="AO378" i="79" s="1"/>
  <c r="AO379" i="79" s="1"/>
  <c r="AO449" i="79" s="1"/>
  <c r="DA376" i="79"/>
  <c r="DA378" i="79" s="1"/>
  <c r="DA379" i="79" s="1"/>
  <c r="DA449" i="79" s="1"/>
  <c r="BM376" i="79"/>
  <c r="BM378" i="79" s="1"/>
  <c r="BM379" i="79" s="1"/>
  <c r="BM449" i="79" s="1"/>
  <c r="BD111" i="79"/>
  <c r="BF111" i="79" s="1"/>
  <c r="EF46" i="80"/>
  <c r="EF391" i="80" s="1"/>
  <c r="EF437" i="80" s="1"/>
  <c r="EV111" i="79"/>
  <c r="EX111" i="79" s="1"/>
  <c r="CR111" i="79"/>
  <c r="EF111" i="79"/>
  <c r="CR46" i="80"/>
  <c r="CR391" i="80" s="1"/>
  <c r="CR437" i="80" s="1"/>
  <c r="BE376" i="79"/>
  <c r="BE378" i="79" s="1"/>
  <c r="BE379" i="79" s="1"/>
  <c r="BE449" i="79" s="1"/>
  <c r="DQ376" i="79"/>
  <c r="DQ378" i="79" s="1"/>
  <c r="DQ379" i="79" s="1"/>
  <c r="DQ449" i="79" s="1"/>
  <c r="DQ37" i="79"/>
  <c r="DQ382" i="79" s="1"/>
  <c r="DY37" i="79"/>
  <c r="DY382" i="79" s="1"/>
  <c r="CS37" i="79"/>
  <c r="CS382" i="79" s="1"/>
  <c r="AO37" i="79"/>
  <c r="AO382" i="79" s="1"/>
  <c r="FM37" i="79"/>
  <c r="FM382" i="79" s="1"/>
  <c r="CK37" i="79"/>
  <c r="CK382" i="79" s="1"/>
  <c r="AW37" i="79"/>
  <c r="AW382" i="79" s="1"/>
  <c r="EW37" i="79"/>
  <c r="EW382" i="79" s="1"/>
  <c r="EG37" i="79"/>
  <c r="EG382" i="79" s="1"/>
  <c r="Y37" i="79"/>
  <c r="Y382" i="79" s="1"/>
  <c r="BE37" i="79"/>
  <c r="BE382" i="79" s="1"/>
  <c r="DA37" i="79"/>
  <c r="DA382" i="79" s="1"/>
  <c r="FE37" i="79"/>
  <c r="FE382" i="79" s="1"/>
  <c r="DI37" i="79"/>
  <c r="DI382" i="79" s="1"/>
  <c r="AG37" i="79"/>
  <c r="AG382" i="79" s="1"/>
  <c r="BU37" i="79"/>
  <c r="BU382" i="79" s="1"/>
  <c r="BM37" i="79"/>
  <c r="BM382" i="79" s="1"/>
  <c r="CC37" i="79"/>
  <c r="CC382" i="79" s="1"/>
  <c r="Q37" i="79"/>
  <c r="Q382" i="79" s="1"/>
  <c r="AV291" i="79"/>
  <c r="EV291" i="79"/>
  <c r="DP291" i="79"/>
  <c r="BD291" i="79"/>
  <c r="CB291" i="79"/>
  <c r="CJ291" i="79"/>
  <c r="X291" i="79"/>
  <c r="BL291" i="79"/>
  <c r="DX291" i="79"/>
  <c r="CR291" i="79"/>
  <c r="EN291" i="79"/>
  <c r="CZ291" i="79"/>
  <c r="AF291" i="79"/>
  <c r="DH291" i="79"/>
  <c r="AN291" i="79"/>
  <c r="FL291" i="79"/>
  <c r="BT291" i="79"/>
  <c r="FD291" i="79"/>
  <c r="EF291" i="79"/>
  <c r="P291" i="79"/>
  <c r="X291" i="80"/>
  <c r="DX291" i="80"/>
  <c r="CJ291" i="80"/>
  <c r="EF291" i="80"/>
  <c r="EN291" i="80"/>
  <c r="EV291" i="80"/>
  <c r="AF291" i="80"/>
  <c r="DP291" i="80"/>
  <c r="CZ291" i="80"/>
  <c r="CB291" i="80"/>
  <c r="FD291" i="80"/>
  <c r="BL291" i="80"/>
  <c r="AV291" i="80"/>
  <c r="BD291" i="80"/>
  <c r="AN291" i="80"/>
  <c r="BT291" i="80"/>
  <c r="FL291" i="80"/>
  <c r="P291" i="80"/>
  <c r="CR291" i="80"/>
  <c r="DH291" i="80"/>
  <c r="J30" i="77"/>
  <c r="J31" i="77" s="1"/>
  <c r="EW122" i="80"/>
  <c r="DQ122" i="80"/>
  <c r="BU122" i="80"/>
  <c r="CS122" i="80"/>
  <c r="AG122" i="80"/>
  <c r="DA122" i="80"/>
  <c r="CK122" i="80"/>
  <c r="FM122" i="80"/>
  <c r="EO122" i="80"/>
  <c r="FE122" i="80"/>
  <c r="EG122" i="80"/>
  <c r="AW122" i="80"/>
  <c r="AO122" i="80"/>
  <c r="BE122" i="80"/>
  <c r="Y122" i="80"/>
  <c r="BM122" i="80"/>
  <c r="Q122" i="80"/>
  <c r="CC122" i="80"/>
  <c r="DY122" i="80"/>
  <c r="DI122" i="80"/>
  <c r="FM122" i="79"/>
  <c r="CC122" i="79"/>
  <c r="AO122" i="79"/>
  <c r="DA122" i="79"/>
  <c r="Q122" i="79"/>
  <c r="EO122" i="79"/>
  <c r="Y122" i="79"/>
  <c r="DY122" i="79"/>
  <c r="EW122" i="79"/>
  <c r="EG122" i="79"/>
  <c r="DQ122" i="79"/>
  <c r="DI122" i="79"/>
  <c r="CS122" i="79"/>
  <c r="FE122" i="79"/>
  <c r="BU122" i="79"/>
  <c r="BM122" i="79"/>
  <c r="CK122" i="79"/>
  <c r="BE122" i="79"/>
  <c r="AW122" i="79"/>
  <c r="AG122" i="79"/>
  <c r="CC128" i="79"/>
  <c r="BE128" i="79"/>
  <c r="AO128" i="79"/>
  <c r="FE128" i="79"/>
  <c r="DA128" i="79"/>
  <c r="AW128" i="79"/>
  <c r="DY128" i="79"/>
  <c r="AG128" i="79"/>
  <c r="BM128" i="79"/>
  <c r="CS128" i="79"/>
  <c r="EO128" i="79"/>
  <c r="FM128" i="79"/>
  <c r="EW128" i="79"/>
  <c r="DI128" i="79"/>
  <c r="EG128" i="79"/>
  <c r="BU128" i="79"/>
  <c r="DQ128" i="79"/>
  <c r="Y128" i="79"/>
  <c r="Q128" i="79"/>
  <c r="CK128" i="79"/>
  <c r="FE128" i="80"/>
  <c r="FM128" i="80"/>
  <c r="BM128" i="80"/>
  <c r="Y128" i="80"/>
  <c r="EW128" i="80"/>
  <c r="CC128" i="80"/>
  <c r="BU128" i="80"/>
  <c r="Q128" i="80"/>
  <c r="AW128" i="80"/>
  <c r="CS128" i="80"/>
  <c r="DA128" i="80"/>
  <c r="DY128" i="80"/>
  <c r="CK128" i="80"/>
  <c r="EO128" i="80"/>
  <c r="DQ128" i="80"/>
  <c r="AO128" i="80"/>
  <c r="AG128" i="80"/>
  <c r="BE128" i="80"/>
  <c r="DI128" i="80"/>
  <c r="EG128" i="80"/>
  <c r="H128" i="85"/>
  <c r="J74" i="90" s="1"/>
  <c r="H128" i="79"/>
  <c r="H128" i="80"/>
  <c r="BU292" i="80"/>
  <c r="DY292" i="80"/>
  <c r="EO292" i="80"/>
  <c r="CS292" i="80"/>
  <c r="EG292" i="80"/>
  <c r="FE292" i="80"/>
  <c r="DI292" i="80"/>
  <c r="EW292" i="80"/>
  <c r="BM292" i="80"/>
  <c r="Y292" i="80"/>
  <c r="FM292" i="80"/>
  <c r="DA292" i="80"/>
  <c r="DQ292" i="80"/>
  <c r="AW292" i="80"/>
  <c r="AO292" i="80"/>
  <c r="CK292" i="80"/>
  <c r="CC292" i="80"/>
  <c r="BE292" i="80"/>
  <c r="AG292" i="80"/>
  <c r="Q292" i="80"/>
  <c r="Y292" i="79"/>
  <c r="EW292" i="79"/>
  <c r="FE292" i="79"/>
  <c r="BU292" i="79"/>
  <c r="AW292" i="79"/>
  <c r="DI292" i="79"/>
  <c r="CK292" i="79"/>
  <c r="Q292" i="79"/>
  <c r="BM292" i="79"/>
  <c r="EO292" i="79"/>
  <c r="CC292" i="79"/>
  <c r="DA292" i="79"/>
  <c r="AG292" i="79"/>
  <c r="BE292" i="79"/>
  <c r="AO292" i="79"/>
  <c r="DQ292" i="79"/>
  <c r="CS292" i="79"/>
  <c r="EG292" i="79"/>
  <c r="FM292" i="79"/>
  <c r="DY292" i="79"/>
  <c r="EP65" i="79"/>
  <c r="EW437" i="79"/>
  <c r="CS116" i="79"/>
  <c r="AX110" i="80"/>
  <c r="AP65" i="79"/>
  <c r="AG437" i="79"/>
  <c r="BF110" i="79"/>
  <c r="Y116" i="79"/>
  <c r="CT110" i="79"/>
  <c r="DZ65" i="79"/>
  <c r="DJ88" i="80"/>
  <c r="DJ93" i="80" s="1"/>
  <c r="BM116" i="80"/>
  <c r="BU434" i="79"/>
  <c r="FF65" i="79"/>
  <c r="CD65" i="79"/>
  <c r="CS391" i="79"/>
  <c r="BM391" i="79"/>
  <c r="EH65" i="79"/>
  <c r="BE116" i="79"/>
  <c r="EP88" i="79"/>
  <c r="EP93" i="79" s="1"/>
  <c r="AH105" i="79"/>
  <c r="BM434" i="79"/>
  <c r="DY437" i="79"/>
  <c r="DQ437" i="79"/>
  <c r="Y434" i="79"/>
  <c r="Y383" i="79"/>
  <c r="EG116" i="79"/>
  <c r="AG116" i="80"/>
  <c r="AW116" i="79"/>
  <c r="EW116" i="79"/>
  <c r="AW434" i="79"/>
  <c r="AG434" i="79"/>
  <c r="AO391" i="79"/>
  <c r="AX88" i="79"/>
  <c r="AX93" i="79" s="1"/>
  <c r="AH88" i="79"/>
  <c r="AH93" i="79" s="1"/>
  <c r="AF19" i="80"/>
  <c r="CS434" i="79"/>
  <c r="FF42" i="80"/>
  <c r="FF387" i="80" s="1"/>
  <c r="BU116" i="79"/>
  <c r="Z110" i="79"/>
  <c r="FM383" i="79"/>
  <c r="CT65" i="79"/>
  <c r="BE391" i="79"/>
  <c r="FE116" i="79"/>
  <c r="AG19" i="79"/>
  <c r="DA116" i="79"/>
  <c r="AX110" i="79"/>
  <c r="AO434" i="79"/>
  <c r="BU391" i="79"/>
  <c r="AO116" i="79"/>
  <c r="DB42" i="80"/>
  <c r="DB387" i="80" s="1"/>
  <c r="FL19" i="80"/>
  <c r="DQ383" i="79"/>
  <c r="AN19" i="79"/>
  <c r="Q38" i="82"/>
  <c r="Q82" i="82" s="1"/>
  <c r="S82" i="82" s="1"/>
  <c r="DZ110" i="80"/>
  <c r="FE391" i="79"/>
  <c r="EX42" i="80"/>
  <c r="EX387" i="80" s="1"/>
  <c r="FM116" i="79"/>
  <c r="EX110" i="80"/>
  <c r="FM437" i="79"/>
  <c r="Q116" i="79"/>
  <c r="EG437" i="79"/>
  <c r="Q383" i="79"/>
  <c r="DI434" i="79"/>
  <c r="CT42" i="80"/>
  <c r="CT387" i="80" s="1"/>
  <c r="DI19" i="79"/>
  <c r="R65" i="79"/>
  <c r="CC391" i="79"/>
  <c r="BV65" i="79"/>
  <c r="AV19" i="80"/>
  <c r="FN65" i="79"/>
  <c r="EP110" i="79"/>
  <c r="FN88" i="79"/>
  <c r="FN93" i="79" s="1"/>
  <c r="EX88" i="80"/>
  <c r="EX93" i="80" s="1"/>
  <c r="FE434" i="79"/>
  <c r="EO391" i="79"/>
  <c r="FN42" i="80"/>
  <c r="FN387" i="80" s="1"/>
  <c r="EG434" i="79"/>
  <c r="DH19" i="79"/>
  <c r="DI391" i="79"/>
  <c r="P19" i="80"/>
  <c r="Y437" i="79"/>
  <c r="DB110" i="79"/>
  <c r="DB110" i="80"/>
  <c r="R110" i="79"/>
  <c r="CT110" i="80"/>
  <c r="BV110" i="80"/>
  <c r="BN88" i="80"/>
  <c r="BN93" i="80" s="1"/>
  <c r="Z88" i="79"/>
  <c r="Z93" i="79" s="1"/>
  <c r="DR88" i="80"/>
  <c r="DR93" i="80" s="1"/>
  <c r="EP88" i="80"/>
  <c r="EP93" i="80" s="1"/>
  <c r="DJ65" i="79"/>
  <c r="BN65" i="79"/>
  <c r="EX65" i="79"/>
  <c r="AX65" i="79"/>
  <c r="DR65" i="79"/>
  <c r="CL65" i="79"/>
  <c r="BF65" i="79"/>
  <c r="BE434" i="79"/>
  <c r="DA434" i="79"/>
  <c r="DR17" i="80"/>
  <c r="DR411" i="80" s="1"/>
  <c r="DO427" i="80" s="1"/>
  <c r="EW434" i="79"/>
  <c r="CK391" i="79"/>
  <c r="BV42" i="80"/>
  <c r="BV387" i="80" s="1"/>
  <c r="FD19" i="80"/>
  <c r="DP19" i="80"/>
  <c r="DY434" i="79"/>
  <c r="EF19" i="80"/>
  <c r="X19" i="80"/>
  <c r="EO434" i="79"/>
  <c r="CB19" i="79"/>
  <c r="AX42" i="80"/>
  <c r="AX387" i="80" s="1"/>
  <c r="CK383" i="79"/>
  <c r="CC434" i="79"/>
  <c r="CB19" i="80"/>
  <c r="CR19" i="80"/>
  <c r="CL42" i="80"/>
  <c r="CL387" i="80" s="1"/>
  <c r="DA391" i="79"/>
  <c r="Z42" i="80"/>
  <c r="Z387" i="80" s="1"/>
  <c r="AW391" i="79"/>
  <c r="DJ17" i="79"/>
  <c r="DJ411" i="79" s="1"/>
  <c r="DJ427" i="79" s="1"/>
  <c r="EN411" i="80"/>
  <c r="Q391" i="79"/>
  <c r="Q437" i="79"/>
  <c r="BL19" i="80"/>
  <c r="DX19" i="80"/>
  <c r="AV19" i="79"/>
  <c r="Z376" i="79"/>
  <c r="Z378" i="79" s="1"/>
  <c r="Z379" i="79" s="1"/>
  <c r="Z449" i="79" s="1"/>
  <c r="EW19" i="79"/>
  <c r="FL19" i="79"/>
  <c r="FN17" i="79"/>
  <c r="FN411" i="79" s="1"/>
  <c r="FN427" i="79" s="1"/>
  <c r="DP19" i="79"/>
  <c r="BT19" i="79"/>
  <c r="DA19" i="80"/>
  <c r="FD19" i="79"/>
  <c r="DB17" i="80"/>
  <c r="DB19" i="80" s="1"/>
  <c r="CZ19" i="80"/>
  <c r="DR17" i="79"/>
  <c r="DR411" i="79" s="1"/>
  <c r="DO427" i="79" s="1"/>
  <c r="BN17" i="80"/>
  <c r="BN19" i="80" s="1"/>
  <c r="FF17" i="79"/>
  <c r="FF411" i="79" s="1"/>
  <c r="FF427" i="79" s="1"/>
  <c r="BM19" i="80"/>
  <c r="EN19" i="79"/>
  <c r="X19" i="79"/>
  <c r="EF19" i="79"/>
  <c r="CJ19" i="79"/>
  <c r="EX17" i="79"/>
  <c r="EX411" i="79" s="1"/>
  <c r="EX427" i="79" s="1"/>
  <c r="CK19" i="79"/>
  <c r="EV19" i="79"/>
  <c r="AO19" i="79"/>
  <c r="EO19" i="79"/>
  <c r="Q19" i="79"/>
  <c r="FE19" i="79"/>
  <c r="CT17" i="80"/>
  <c r="CT411" i="80" s="1"/>
  <c r="CT427" i="80" s="1"/>
  <c r="CL17" i="79"/>
  <c r="CL411" i="79" s="1"/>
  <c r="CL427" i="79" s="1"/>
  <c r="EP17" i="79"/>
  <c r="EP411" i="79" s="1"/>
  <c r="EP427" i="79" s="1"/>
  <c r="DQ19" i="79"/>
  <c r="EH17" i="79"/>
  <c r="EH411" i="79" s="1"/>
  <c r="EE427" i="79" s="1"/>
  <c r="DA19" i="79"/>
  <c r="AW19" i="79"/>
  <c r="Z17" i="79"/>
  <c r="Z411" i="79" s="1"/>
  <c r="Z427" i="79" s="1"/>
  <c r="Y19" i="79"/>
  <c r="AP17" i="79"/>
  <c r="AP411" i="79" s="1"/>
  <c r="AM427" i="79" s="1"/>
  <c r="AX17" i="79"/>
  <c r="AX411" i="79" s="1"/>
  <c r="AU427" i="79" s="1"/>
  <c r="CS19" i="79"/>
  <c r="EG19" i="79"/>
  <c r="Q411" i="80"/>
  <c r="Q427" i="80" s="1"/>
  <c r="BE19" i="79"/>
  <c r="CD17" i="80"/>
  <c r="CD411" i="80" s="1"/>
  <c r="CA427" i="80" s="1"/>
  <c r="AH42" i="80"/>
  <c r="AH387" i="80" s="1"/>
  <c r="AH88" i="80"/>
  <c r="AH93" i="80" s="1"/>
  <c r="CB393" i="80"/>
  <c r="AP88" i="79"/>
  <c r="AP93" i="79" s="1"/>
  <c r="BV110" i="79"/>
  <c r="AH110" i="80"/>
  <c r="BV42" i="79"/>
  <c r="BV387" i="79" s="1"/>
  <c r="BV48" i="79"/>
  <c r="BV393" i="79" s="1"/>
  <c r="DJ88" i="79"/>
  <c r="DJ93" i="79" s="1"/>
  <c r="AH48" i="80"/>
  <c r="AH393" i="80" s="1"/>
  <c r="BV88" i="79"/>
  <c r="BV93" i="79" s="1"/>
  <c r="AP48" i="79"/>
  <c r="AP393" i="79" s="1"/>
  <c r="DJ48" i="79"/>
  <c r="DJ393" i="79" s="1"/>
  <c r="DJ110" i="79"/>
  <c r="AP110" i="79"/>
  <c r="AH111" i="80"/>
  <c r="Q57" i="35"/>
  <c r="S57" i="35" s="1"/>
  <c r="DZ17" i="80"/>
  <c r="DZ411" i="80" s="1"/>
  <c r="EH110" i="79"/>
  <c r="CL48" i="79"/>
  <c r="CL393" i="79" s="1"/>
  <c r="EH88" i="79"/>
  <c r="EH93" i="79" s="1"/>
  <c r="EH48" i="79"/>
  <c r="EH393" i="79" s="1"/>
  <c r="CL88" i="79"/>
  <c r="CL93" i="79" s="1"/>
  <c r="CL110" i="79"/>
  <c r="FN17" i="80"/>
  <c r="FN411" i="80" s="1"/>
  <c r="FK427" i="80" s="1"/>
  <c r="FM19" i="80"/>
  <c r="CD88" i="80"/>
  <c r="CD93" i="80" s="1"/>
  <c r="EO19" i="80"/>
  <c r="AX17" i="80"/>
  <c r="AX411" i="80" s="1"/>
  <c r="AU427" i="80" s="1"/>
  <c r="CK19" i="80"/>
  <c r="EP17" i="80"/>
  <c r="EP19" i="80" s="1"/>
  <c r="AW19" i="80"/>
  <c r="EX47" i="80"/>
  <c r="EX392" i="80" s="1"/>
  <c r="EX48" i="79"/>
  <c r="EX393" i="79" s="1"/>
  <c r="CD48" i="79"/>
  <c r="CD393" i="79" s="1"/>
  <c r="CD110" i="79"/>
  <c r="DP110" i="79"/>
  <c r="DR110" i="79" s="1"/>
  <c r="Y19" i="80"/>
  <c r="CS411" i="80"/>
  <c r="CD88" i="79"/>
  <c r="CD93" i="79" s="1"/>
  <c r="Z17" i="80"/>
  <c r="Z19" i="80" s="1"/>
  <c r="BM19" i="79"/>
  <c r="DP111" i="79"/>
  <c r="EX88" i="79"/>
  <c r="EX93" i="79" s="1"/>
  <c r="BV17" i="79"/>
  <c r="BV411" i="79" s="1"/>
  <c r="BS427" i="79" s="1"/>
  <c r="DP42" i="79"/>
  <c r="DP387" i="79" s="1"/>
  <c r="BU19" i="80"/>
  <c r="DP45" i="79"/>
  <c r="DP390" i="79" s="1"/>
  <c r="EX46" i="79"/>
  <c r="EX437" i="79" s="1"/>
  <c r="DP46" i="79"/>
  <c r="DP391" i="79" s="1"/>
  <c r="EX110" i="79"/>
  <c r="DP38" i="79"/>
  <c r="DP383" i="79" s="1"/>
  <c r="AH42" i="79"/>
  <c r="AH387" i="79" s="1"/>
  <c r="R40" i="79"/>
  <c r="R385" i="79" s="1"/>
  <c r="AH17" i="80"/>
  <c r="AH411" i="80" s="1"/>
  <c r="AH427" i="80" s="1"/>
  <c r="BE19" i="80"/>
  <c r="EV19" i="80"/>
  <c r="BT19" i="80"/>
  <c r="DI19" i="80"/>
  <c r="BV17" i="80"/>
  <c r="BV19" i="80" s="1"/>
  <c r="AN19" i="80"/>
  <c r="FD43" i="79"/>
  <c r="FD388" i="79" s="1"/>
  <c r="CD17" i="79"/>
  <c r="CD411" i="79" s="1"/>
  <c r="CA427" i="79" s="1"/>
  <c r="R308" i="79"/>
  <c r="R313" i="79" s="1"/>
  <c r="CC19" i="80"/>
  <c r="FD110" i="79"/>
  <c r="FF110" i="79" s="1"/>
  <c r="FD105" i="79"/>
  <c r="FF105" i="79" s="1"/>
  <c r="DH19" i="80"/>
  <c r="AG19" i="80"/>
  <c r="FD45" i="79"/>
  <c r="FD390" i="79" s="1"/>
  <c r="FF17" i="80"/>
  <c r="FF411" i="80" s="1"/>
  <c r="FC427" i="80" s="1"/>
  <c r="FE19" i="80"/>
  <c r="FD38" i="79"/>
  <c r="FF38" i="79" s="1"/>
  <c r="EG19" i="80"/>
  <c r="EP42" i="80"/>
  <c r="EP387" i="80" s="1"/>
  <c r="DP105" i="79"/>
  <c r="DR105" i="79" s="1"/>
  <c r="DJ17" i="80"/>
  <c r="DJ411" i="80" s="1"/>
  <c r="DG427" i="80" s="1"/>
  <c r="DP376" i="79"/>
  <c r="DP37" i="79"/>
  <c r="DP41" i="79"/>
  <c r="DP48" i="79"/>
  <c r="DP88" i="79"/>
  <c r="FD376" i="79"/>
  <c r="FD42" i="79"/>
  <c r="FD48" i="79"/>
  <c r="FD41" i="79"/>
  <c r="FD111" i="79"/>
  <c r="FF111" i="79" s="1"/>
  <c r="FD88" i="79"/>
  <c r="FD37" i="79"/>
  <c r="EX17" i="80"/>
  <c r="EX411" i="80" s="1"/>
  <c r="EU427" i="80" s="1"/>
  <c r="CJ19" i="80"/>
  <c r="CL17" i="80"/>
  <c r="CL19" i="80" s="1"/>
  <c r="EW19" i="80"/>
  <c r="AO19" i="80"/>
  <c r="DY411" i="80"/>
  <c r="DY427" i="80" s="1"/>
  <c r="BU19" i="79"/>
  <c r="CC19" i="79"/>
  <c r="S38" i="35"/>
  <c r="S37" i="35"/>
  <c r="G84" i="35"/>
  <c r="J374" i="85"/>
  <c r="E84" i="35"/>
  <c r="H374" i="85"/>
  <c r="DY19" i="79"/>
  <c r="I427" i="80"/>
  <c r="G427" i="80"/>
  <c r="G427" i="79"/>
  <c r="I427" i="79"/>
  <c r="FL383" i="79"/>
  <c r="FL436" i="79"/>
  <c r="EN390" i="79"/>
  <c r="EN436" i="79"/>
  <c r="EF436" i="79"/>
  <c r="EF390" i="79"/>
  <c r="EF391" i="79"/>
  <c r="EF437" i="79"/>
  <c r="DX383" i="79"/>
  <c r="CZ383" i="79"/>
  <c r="CZ434" i="79"/>
  <c r="CJ391" i="79"/>
  <c r="CJ437" i="79"/>
  <c r="AN436" i="79"/>
  <c r="AN390" i="79"/>
  <c r="FL382" i="80"/>
  <c r="FD383" i="80"/>
  <c r="EV386" i="80"/>
  <c r="EV383" i="80"/>
  <c r="EN383" i="80"/>
  <c r="EH111" i="80"/>
  <c r="DX383" i="80"/>
  <c r="DR42" i="80"/>
  <c r="DR387" i="80" s="1"/>
  <c r="DQ387" i="80"/>
  <c r="DP383" i="80"/>
  <c r="DP434" i="80" s="1"/>
  <c r="DQ427" i="80"/>
  <c r="DI427" i="80"/>
  <c r="DH383" i="80"/>
  <c r="DJ42" i="80"/>
  <c r="DJ387" i="80" s="1"/>
  <c r="DI387" i="80"/>
  <c r="CZ383" i="80"/>
  <c r="CZ434" i="80" s="1"/>
  <c r="DB47" i="80"/>
  <c r="DB392" i="80" s="1"/>
  <c r="CZ392" i="80"/>
  <c r="CL38" i="80"/>
  <c r="CL383" i="80" s="1"/>
  <c r="CL434" i="80" s="1"/>
  <c r="CJ383" i="80"/>
  <c r="CD42" i="80"/>
  <c r="CD387" i="80" s="1"/>
  <c r="CC387" i="80"/>
  <c r="CD45" i="80"/>
  <c r="CD390" i="80" s="1"/>
  <c r="CD436" i="80" s="1"/>
  <c r="CB390" i="80"/>
  <c r="CB436" i="80" s="1"/>
  <c r="CB383" i="80"/>
  <c r="BT386" i="80"/>
  <c r="BT383" i="80"/>
  <c r="BT434" i="80" s="1"/>
  <c r="BL383" i="80"/>
  <c r="BL434" i="80" s="1"/>
  <c r="BN42" i="80"/>
  <c r="BN387" i="80" s="1"/>
  <c r="BM387" i="80"/>
  <c r="BF40" i="80"/>
  <c r="BF385" i="80" s="1"/>
  <c r="BD385" i="80"/>
  <c r="BF44" i="80"/>
  <c r="BF389" i="80" s="1"/>
  <c r="BD389" i="80"/>
  <c r="AV383" i="80"/>
  <c r="AV434" i="80" s="1"/>
  <c r="AV391" i="80"/>
  <c r="AV437" i="80" s="1"/>
  <c r="AP48" i="80"/>
  <c r="AP393" i="80" s="1"/>
  <c r="AF386" i="80"/>
  <c r="AF383" i="80"/>
  <c r="X383" i="80"/>
  <c r="BN47" i="80"/>
  <c r="BN392" i="80" s="1"/>
  <c r="FN42" i="79"/>
  <c r="FN387" i="79" s="1"/>
  <c r="EX42" i="79"/>
  <c r="EX387" i="79" s="1"/>
  <c r="EP42" i="79"/>
  <c r="EP387" i="79" s="1"/>
  <c r="EH42" i="79"/>
  <c r="EH387" i="79" s="1"/>
  <c r="EH46" i="79"/>
  <c r="DZ42" i="79"/>
  <c r="DZ387" i="79" s="1"/>
  <c r="DZ48" i="79"/>
  <c r="DZ393" i="79" s="1"/>
  <c r="DZ38" i="79"/>
  <c r="DJ42" i="79"/>
  <c r="DJ387" i="79" s="1"/>
  <c r="DB48" i="79"/>
  <c r="DB393" i="79" s="1"/>
  <c r="DB38" i="79"/>
  <c r="DB42" i="79"/>
  <c r="DB387" i="79" s="1"/>
  <c r="CT47" i="79"/>
  <c r="CT392" i="79" s="1"/>
  <c r="CT48" i="79"/>
  <c r="CT393" i="79" s="1"/>
  <c r="CL46" i="79"/>
  <c r="CL42" i="79"/>
  <c r="CL387" i="79" s="1"/>
  <c r="CD42" i="79"/>
  <c r="CD387" i="79" s="1"/>
  <c r="BN48" i="79"/>
  <c r="BN393" i="79" s="1"/>
  <c r="BN42" i="79"/>
  <c r="BN387" i="79" s="1"/>
  <c r="BF48" i="79"/>
  <c r="BF393" i="79" s="1"/>
  <c r="BF42" i="79"/>
  <c r="BF387" i="79" s="1"/>
  <c r="AX42" i="79"/>
  <c r="AX387" i="79" s="1"/>
  <c r="AP42" i="79"/>
  <c r="AP387" i="79" s="1"/>
  <c r="AP46" i="79"/>
  <c r="AH17" i="79"/>
  <c r="AH411" i="79" s="1"/>
  <c r="Z42" i="79"/>
  <c r="Z387" i="79" s="1"/>
  <c r="R48" i="79"/>
  <c r="R393" i="79" s="1"/>
  <c r="R42" i="79"/>
  <c r="R387" i="79" s="1"/>
  <c r="BN110" i="80"/>
  <c r="DZ47" i="80"/>
  <c r="DZ392" i="80" s="1"/>
  <c r="DR47" i="80"/>
  <c r="DR392" i="80" s="1"/>
  <c r="S37" i="82"/>
  <c r="EP47" i="80"/>
  <c r="EP392" i="80" s="1"/>
  <c r="EP110" i="80"/>
  <c r="DJ110" i="80"/>
  <c r="CD110" i="80"/>
  <c r="EV449" i="80"/>
  <c r="DR110" i="80"/>
  <c r="R58" i="82"/>
  <c r="R59" i="82" s="1"/>
  <c r="R86" i="82" s="1"/>
  <c r="FN110" i="79"/>
  <c r="S55" i="35"/>
  <c r="AF19" i="79"/>
  <c r="R58" i="35"/>
  <c r="S55" i="82"/>
  <c r="AP88" i="80"/>
  <c r="AP93" i="80" s="1"/>
  <c r="AP42" i="80"/>
  <c r="AP387" i="80" s="1"/>
  <c r="AP17" i="80"/>
  <c r="AP65" i="80"/>
  <c r="AP110" i="80"/>
  <c r="AP47" i="80"/>
  <c r="AP392" i="80" s="1"/>
  <c r="EH88" i="80"/>
  <c r="EH93" i="80" s="1"/>
  <c r="BD313" i="80"/>
  <c r="R47" i="80"/>
  <c r="R392" i="80" s="1"/>
  <c r="EH47" i="80"/>
  <c r="EH392" i="80" s="1"/>
  <c r="EH17" i="80"/>
  <c r="EH411" i="80" s="1"/>
  <c r="EH48" i="80"/>
  <c r="EH393" i="80" s="1"/>
  <c r="EH110" i="80"/>
  <c r="EH42" i="80"/>
  <c r="EH387" i="80" s="1"/>
  <c r="EH65" i="80"/>
  <c r="BF47" i="79"/>
  <c r="BF392" i="79" s="1"/>
  <c r="R88" i="80"/>
  <c r="R93" i="80" s="1"/>
  <c r="BN47" i="79"/>
  <c r="BN392" i="79" s="1"/>
  <c r="DB47" i="79"/>
  <c r="DB392" i="79" s="1"/>
  <c r="R47" i="79"/>
  <c r="R392" i="79" s="1"/>
  <c r="DZ47" i="79"/>
  <c r="DZ392" i="79" s="1"/>
  <c r="BD47" i="80"/>
  <c r="BD392" i="80" s="1"/>
  <c r="BD65" i="80"/>
  <c r="BF65" i="80" s="1"/>
  <c r="R65" i="80"/>
  <c r="R42" i="80"/>
  <c r="R387" i="80" s="1"/>
  <c r="R17" i="80"/>
  <c r="R411" i="80" s="1"/>
  <c r="R110" i="80"/>
  <c r="S57" i="82"/>
  <c r="Q58" i="82"/>
  <c r="Q83" i="82"/>
  <c r="S83" i="82" s="1"/>
  <c r="S74" i="82"/>
  <c r="R17" i="79"/>
  <c r="R411" i="79" s="1"/>
  <c r="P19" i="79"/>
  <c r="CR93" i="79"/>
  <c r="CT88" i="79"/>
  <c r="CT93" i="79" s="1"/>
  <c r="DZ88" i="79"/>
  <c r="DZ93" i="79" s="1"/>
  <c r="DX93" i="79"/>
  <c r="EV449" i="79"/>
  <c r="BT449" i="79"/>
  <c r="CJ449" i="79"/>
  <c r="CT17" i="79"/>
  <c r="CT411" i="79" s="1"/>
  <c r="CR19" i="79"/>
  <c r="DB88" i="79"/>
  <c r="DB93" i="79" s="1"/>
  <c r="CZ93" i="79"/>
  <c r="EF449" i="79"/>
  <c r="BL93" i="79"/>
  <c r="BN88" i="79"/>
  <c r="BN93" i="79" s="1"/>
  <c r="BL19" i="79"/>
  <c r="BN17" i="79"/>
  <c r="BN411" i="79" s="1"/>
  <c r="R88" i="79"/>
  <c r="R93" i="79" s="1"/>
  <c r="P93" i="79"/>
  <c r="P378" i="79"/>
  <c r="P379" i="79" s="1"/>
  <c r="DH449" i="79"/>
  <c r="DZ17" i="79"/>
  <c r="DZ411" i="79" s="1"/>
  <c r="DX19" i="79"/>
  <c r="X449" i="79"/>
  <c r="AV449" i="79"/>
  <c r="FL449" i="79"/>
  <c r="BF17" i="79"/>
  <c r="BF411" i="79" s="1"/>
  <c r="BD19" i="79"/>
  <c r="DB17" i="79"/>
  <c r="DB411" i="79" s="1"/>
  <c r="CZ19" i="79"/>
  <c r="EN449" i="79"/>
  <c r="BF88" i="79"/>
  <c r="BF93" i="79" s="1"/>
  <c r="BD93" i="79"/>
  <c r="BD88" i="80"/>
  <c r="BD48" i="80"/>
  <c r="BD110" i="80"/>
  <c r="BF110" i="80" s="1"/>
  <c r="BD46" i="80"/>
  <c r="BD105" i="80"/>
  <c r="BD42" i="80"/>
  <c r="BD43" i="80"/>
  <c r="BD41" i="80"/>
  <c r="BD45" i="80"/>
  <c r="BD37" i="80"/>
  <c r="BD382" i="80" s="1"/>
  <c r="BD38" i="80"/>
  <c r="BD17" i="80"/>
  <c r="BD411" i="80" s="1"/>
  <c r="BD111" i="80"/>
  <c r="BF111" i="80" s="1"/>
  <c r="DZ42" i="80" l="1"/>
  <c r="DZ387" i="80" s="1"/>
  <c r="CT42" i="79"/>
  <c r="CT387" i="79" s="1"/>
  <c r="AN437" i="79"/>
  <c r="AH111" i="79"/>
  <c r="BN38" i="79"/>
  <c r="EP37" i="80"/>
  <c r="EP382" i="80" s="1"/>
  <c r="CJ116" i="80"/>
  <c r="BV46" i="79"/>
  <c r="BT437" i="79"/>
  <c r="R38" i="80"/>
  <c r="R383" i="80" s="1"/>
  <c r="R434" i="80" s="1"/>
  <c r="FL434" i="79"/>
  <c r="BN41" i="79"/>
  <c r="BN386" i="79" s="1"/>
  <c r="BL390" i="79"/>
  <c r="CB434" i="79"/>
  <c r="DX436" i="79"/>
  <c r="R45" i="80"/>
  <c r="R390" i="80" s="1"/>
  <c r="R436" i="80" s="1"/>
  <c r="FL390" i="80"/>
  <c r="FL436" i="80" s="1"/>
  <c r="AP41" i="80"/>
  <c r="AP386" i="80" s="1"/>
  <c r="DH391" i="79"/>
  <c r="CT46" i="79"/>
  <c r="P437" i="79"/>
  <c r="CR434" i="79"/>
  <c r="CT41" i="80"/>
  <c r="CT386" i="80" s="1"/>
  <c r="CR391" i="79"/>
  <c r="CT38" i="79"/>
  <c r="CT383" i="79" s="1"/>
  <c r="P391" i="79"/>
  <c r="P434" i="79"/>
  <c r="CZ437" i="79"/>
  <c r="DZ111" i="79"/>
  <c r="DZ116" i="79" s="1"/>
  <c r="R38" i="79"/>
  <c r="R434" i="79" s="1"/>
  <c r="CZ391" i="79"/>
  <c r="DR111" i="79"/>
  <c r="DJ111" i="79"/>
  <c r="DJ116" i="79" s="1"/>
  <c r="DP116" i="80"/>
  <c r="DH437" i="79"/>
  <c r="CZ390" i="79"/>
  <c r="CL46" i="80"/>
  <c r="CL391" i="80" s="1"/>
  <c r="CL437" i="80" s="1"/>
  <c r="DR41" i="80"/>
  <c r="DR386" i="80" s="1"/>
  <c r="CJ436" i="79"/>
  <c r="CR390" i="79"/>
  <c r="BT116" i="80"/>
  <c r="DJ43" i="80"/>
  <c r="DJ388" i="80" s="1"/>
  <c r="CL41" i="80"/>
  <c r="CL386" i="80" s="1"/>
  <c r="CT376" i="79"/>
  <c r="CT378" i="79" s="1"/>
  <c r="CT379" i="79" s="1"/>
  <c r="CQ379" i="79" s="1"/>
  <c r="CL45" i="79"/>
  <c r="CL436" i="79" s="1"/>
  <c r="EV390" i="79"/>
  <c r="AH38" i="79"/>
  <c r="AH383" i="79" s="1"/>
  <c r="DX116" i="80"/>
  <c r="BT434" i="79"/>
  <c r="BT383" i="79"/>
  <c r="CB390" i="79"/>
  <c r="AF434" i="79"/>
  <c r="AH38" i="80"/>
  <c r="AH383" i="80" s="1"/>
  <c r="AH434" i="80" s="1"/>
  <c r="CB437" i="79"/>
  <c r="EN390" i="80"/>
  <c r="EN436" i="80" s="1"/>
  <c r="BD434" i="79"/>
  <c r="CD38" i="79"/>
  <c r="BV41" i="80"/>
  <c r="BV386" i="80" s="1"/>
  <c r="AH46" i="79"/>
  <c r="AH437" i="79" s="1"/>
  <c r="DZ45" i="80"/>
  <c r="DZ390" i="80" s="1"/>
  <c r="DZ436" i="80" s="1"/>
  <c r="R41" i="80"/>
  <c r="R386" i="80" s="1"/>
  <c r="AV390" i="80"/>
  <c r="AV436" i="80" s="1"/>
  <c r="BD383" i="79"/>
  <c r="AF437" i="79"/>
  <c r="DB41" i="80"/>
  <c r="DB386" i="80" s="1"/>
  <c r="BD390" i="79"/>
  <c r="AV386" i="80"/>
  <c r="CD111" i="79"/>
  <c r="CD116" i="79" s="1"/>
  <c r="CB391" i="79"/>
  <c r="BL434" i="79"/>
  <c r="DH390" i="79"/>
  <c r="FL116" i="80"/>
  <c r="BN105" i="80"/>
  <c r="BN116" i="80" s="1"/>
  <c r="AX37" i="80"/>
  <c r="AX382" i="80" s="1"/>
  <c r="R37" i="80"/>
  <c r="R382" i="80" s="1"/>
  <c r="EN434" i="79"/>
  <c r="BL116" i="80"/>
  <c r="DZ38" i="80"/>
  <c r="DZ383" i="80" s="1"/>
  <c r="DZ434" i="80" s="1"/>
  <c r="Z111" i="80"/>
  <c r="EX45" i="79"/>
  <c r="EX390" i="79" s="1"/>
  <c r="BF376" i="80"/>
  <c r="BF378" i="80" s="1"/>
  <c r="BF379" i="80" s="1"/>
  <c r="BF449" i="80" s="1"/>
  <c r="BV37" i="80"/>
  <c r="BV382" i="80" s="1"/>
  <c r="BU436" i="79"/>
  <c r="X390" i="79"/>
  <c r="AN116" i="79"/>
  <c r="DB45" i="80"/>
  <c r="DB390" i="80" s="1"/>
  <c r="DB436" i="80" s="1"/>
  <c r="BD378" i="80"/>
  <c r="BD379" i="80" s="1"/>
  <c r="Z46" i="79"/>
  <c r="Z437" i="79" s="1"/>
  <c r="Z41" i="80"/>
  <c r="Z386" i="80" s="1"/>
  <c r="BV45" i="79"/>
  <c r="BT390" i="79"/>
  <c r="AP38" i="79"/>
  <c r="AP383" i="79" s="1"/>
  <c r="CJ390" i="80"/>
  <c r="CJ436" i="80" s="1"/>
  <c r="P436" i="79"/>
  <c r="BT436" i="79"/>
  <c r="AF390" i="79"/>
  <c r="EV116" i="80"/>
  <c r="EH43" i="80"/>
  <c r="EH388" i="80" s="1"/>
  <c r="BN45" i="80"/>
  <c r="BN390" i="80" s="1"/>
  <c r="BN436" i="80" s="1"/>
  <c r="FD116" i="80"/>
  <c r="R105" i="80"/>
  <c r="R116" i="80" s="1"/>
  <c r="DJ41" i="80"/>
  <c r="DJ386" i="80" s="1"/>
  <c r="EH45" i="79"/>
  <c r="EH390" i="79" s="1"/>
  <c r="EP45" i="79"/>
  <c r="EP436" i="79" s="1"/>
  <c r="BN43" i="80"/>
  <c r="BN388" i="80" s="1"/>
  <c r="DJ45" i="80"/>
  <c r="DJ390" i="80" s="1"/>
  <c r="DJ436" i="80" s="1"/>
  <c r="EO390" i="79"/>
  <c r="BF43" i="79"/>
  <c r="BF388" i="79" s="1"/>
  <c r="EV390" i="80"/>
  <c r="EV436" i="80" s="1"/>
  <c r="J39" i="27"/>
  <c r="J315" i="85" s="1"/>
  <c r="EN116" i="79"/>
  <c r="DJ37" i="80"/>
  <c r="DJ382" i="80" s="1"/>
  <c r="Z41" i="79"/>
  <c r="Z386" i="79" s="1"/>
  <c r="EG390" i="79"/>
  <c r="EH45" i="80"/>
  <c r="EH390" i="80" s="1"/>
  <c r="EH436" i="80" s="1"/>
  <c r="FF116" i="80"/>
  <c r="AX46" i="80"/>
  <c r="AX391" i="80" s="1"/>
  <c r="AX437" i="80" s="1"/>
  <c r="EP376" i="79"/>
  <c r="EP378" i="79" s="1"/>
  <c r="EP379" i="79" s="1"/>
  <c r="EM379" i="79" s="1"/>
  <c r="R41" i="79"/>
  <c r="R386" i="79" s="1"/>
  <c r="BN37" i="80"/>
  <c r="BN382" i="80" s="1"/>
  <c r="CT37" i="80"/>
  <c r="CT382" i="80" s="1"/>
  <c r="BT390" i="80"/>
  <c r="BT436" i="80" s="1"/>
  <c r="CT38" i="80"/>
  <c r="CT383" i="80" s="1"/>
  <c r="CT434" i="80" s="1"/>
  <c r="DR38" i="80"/>
  <c r="DR383" i="80" s="1"/>
  <c r="DR434" i="80" s="1"/>
  <c r="AN434" i="79"/>
  <c r="AX38" i="80"/>
  <c r="AX383" i="80" s="1"/>
  <c r="AX434" i="80" s="1"/>
  <c r="EP41" i="80"/>
  <c r="EP386" i="80" s="1"/>
  <c r="DB105" i="80"/>
  <c r="DB116" i="80" s="1"/>
  <c r="EH46" i="80"/>
  <c r="EH391" i="80" s="1"/>
  <c r="EH437" i="80" s="1"/>
  <c r="EX37" i="80"/>
  <c r="EX382" i="80" s="1"/>
  <c r="EP38" i="79"/>
  <c r="EP383" i="79" s="1"/>
  <c r="AP45" i="80"/>
  <c r="AP390" i="80" s="1"/>
  <c r="AP436" i="80" s="1"/>
  <c r="AP37" i="80"/>
  <c r="AP382" i="80" s="1"/>
  <c r="BN41" i="80"/>
  <c r="BN386" i="80" s="1"/>
  <c r="CT376" i="80"/>
  <c r="CT378" i="80" s="1"/>
  <c r="CT379" i="80" s="1"/>
  <c r="CT449" i="80" s="1"/>
  <c r="I39" i="27"/>
  <c r="E22" i="7" s="1"/>
  <c r="AX105" i="80"/>
  <c r="AX116" i="80" s="1"/>
  <c r="DZ41" i="80"/>
  <c r="DZ386" i="80" s="1"/>
  <c r="EX46" i="80"/>
  <c r="EX391" i="80" s="1"/>
  <c r="EX437" i="80" s="1"/>
  <c r="DR376" i="80"/>
  <c r="DR378" i="80" s="1"/>
  <c r="DR379" i="80" s="1"/>
  <c r="DR449" i="80" s="1"/>
  <c r="DJ38" i="80"/>
  <c r="DJ383" i="80" s="1"/>
  <c r="DJ434" i="80" s="1"/>
  <c r="EX41" i="79"/>
  <c r="EX386" i="79" s="1"/>
  <c r="CT105" i="80"/>
  <c r="CT116" i="80" s="1"/>
  <c r="EP111" i="79"/>
  <c r="EP116" i="79" s="1"/>
  <c r="DR105" i="80"/>
  <c r="DR116" i="80" s="1"/>
  <c r="AP41" i="79"/>
  <c r="AP386" i="79" s="1"/>
  <c r="DX116" i="79"/>
  <c r="DP390" i="80"/>
  <c r="DP436" i="80" s="1"/>
  <c r="DB376" i="80"/>
  <c r="DB378" i="80" s="1"/>
  <c r="DB379" i="80" s="1"/>
  <c r="DB449" i="80" s="1"/>
  <c r="DI291" i="79"/>
  <c r="DI298" i="79" s="1"/>
  <c r="DI315" i="79" s="1"/>
  <c r="DI331" i="79" s="1"/>
  <c r="BF41" i="79"/>
  <c r="BF386" i="79" s="1"/>
  <c r="FF46" i="79"/>
  <c r="FF437" i="79" s="1"/>
  <c r="AV391" i="79"/>
  <c r="FD391" i="79"/>
  <c r="FF41" i="80"/>
  <c r="FF386" i="80" s="1"/>
  <c r="FN46" i="79"/>
  <c r="FN437" i="79" s="1"/>
  <c r="EX38" i="80"/>
  <c r="EX383" i="80" s="1"/>
  <c r="EX434" i="80" s="1"/>
  <c r="EH105" i="80"/>
  <c r="EH116" i="80" s="1"/>
  <c r="DR37" i="80"/>
  <c r="DR382" i="80" s="1"/>
  <c r="CD38" i="80"/>
  <c r="CD383" i="80" s="1"/>
  <c r="CD434" i="80" s="1"/>
  <c r="CD41" i="79"/>
  <c r="CD386" i="79" s="1"/>
  <c r="AF390" i="80"/>
  <c r="AF436" i="80" s="1"/>
  <c r="DZ41" i="79"/>
  <c r="DZ386" i="79" s="1"/>
  <c r="FL437" i="79"/>
  <c r="AX46" i="79"/>
  <c r="AX437" i="79" s="1"/>
  <c r="X390" i="80"/>
  <c r="X436" i="80" s="1"/>
  <c r="AX376" i="80"/>
  <c r="AX378" i="80" s="1"/>
  <c r="AX379" i="80" s="1"/>
  <c r="AX449" i="80" s="1"/>
  <c r="EP37" i="79"/>
  <c r="EP382" i="79" s="1"/>
  <c r="DJ41" i="79"/>
  <c r="DJ386" i="79" s="1"/>
  <c r="FD390" i="80"/>
  <c r="FD436" i="80" s="1"/>
  <c r="AH37" i="80"/>
  <c r="AH382" i="80" s="1"/>
  <c r="CD45" i="79"/>
  <c r="CD436" i="79" s="1"/>
  <c r="DZ37" i="80"/>
  <c r="DZ382" i="80" s="1"/>
  <c r="CL37" i="80"/>
  <c r="CL382" i="80" s="1"/>
  <c r="FF46" i="80"/>
  <c r="FF391" i="80" s="1"/>
  <c r="FF437" i="80" s="1"/>
  <c r="DP382" i="80"/>
  <c r="Z105" i="80"/>
  <c r="FN41" i="80"/>
  <c r="FN386" i="80" s="1"/>
  <c r="Y291" i="80"/>
  <c r="Y298" i="80" s="1"/>
  <c r="Y315" i="80" s="1"/>
  <c r="Y331" i="80" s="1"/>
  <c r="Z38" i="80"/>
  <c r="Z383" i="80" s="1"/>
  <c r="Z434" i="80" s="1"/>
  <c r="EO291" i="80"/>
  <c r="EP291" i="80" s="1"/>
  <c r="CZ116" i="80"/>
  <c r="CR390" i="80"/>
  <c r="CR436" i="80" s="1"/>
  <c r="CL41" i="79"/>
  <c r="CL386" i="79" s="1"/>
  <c r="DZ45" i="79"/>
  <c r="DZ436" i="79" s="1"/>
  <c r="BV46" i="80"/>
  <c r="BV391" i="80" s="1"/>
  <c r="BV437" i="80" s="1"/>
  <c r="DP386" i="80"/>
  <c r="CT43" i="80"/>
  <c r="CT388" i="80" s="1"/>
  <c r="CS436" i="79"/>
  <c r="R45" i="79"/>
  <c r="R436" i="79" s="1"/>
  <c r="CT45" i="79"/>
  <c r="CT436" i="79" s="1"/>
  <c r="AH41" i="79"/>
  <c r="AH386" i="79" s="1"/>
  <c r="AH105" i="80"/>
  <c r="AH116" i="80" s="1"/>
  <c r="Z37" i="80"/>
  <c r="Z382" i="80" s="1"/>
  <c r="BD391" i="79"/>
  <c r="CB116" i="80"/>
  <c r="DB37" i="80"/>
  <c r="DB382" i="80" s="1"/>
  <c r="BD437" i="79"/>
  <c r="BN43" i="79"/>
  <c r="BN388" i="79" s="1"/>
  <c r="DX437" i="79"/>
  <c r="EN437" i="79"/>
  <c r="DJ105" i="80"/>
  <c r="DJ116" i="80" s="1"/>
  <c r="DH116" i="79"/>
  <c r="BL386" i="80"/>
  <c r="DX391" i="79"/>
  <c r="EN391" i="79"/>
  <c r="FF376" i="80"/>
  <c r="FF378" i="80" s="1"/>
  <c r="FF379" i="80" s="1"/>
  <c r="FF449" i="80" s="1"/>
  <c r="FN105" i="80"/>
  <c r="FN116" i="80" s="1"/>
  <c r="X437" i="79"/>
  <c r="EF434" i="79"/>
  <c r="CT37" i="79"/>
  <c r="CT382" i="79" s="1"/>
  <c r="R37" i="79"/>
  <c r="R382" i="79" s="1"/>
  <c r="EH41" i="80"/>
  <c r="EH386" i="80" s="1"/>
  <c r="CL376" i="79"/>
  <c r="CL378" i="79" s="1"/>
  <c r="CL379" i="79" s="1"/>
  <c r="CI379" i="79" s="1"/>
  <c r="BN46" i="79"/>
  <c r="BN437" i="79" s="1"/>
  <c r="EV383" i="79"/>
  <c r="EH37" i="79"/>
  <c r="EH382" i="79" s="1"/>
  <c r="DQ291" i="79"/>
  <c r="DQ298" i="79" s="1"/>
  <c r="DQ315" i="79" s="1"/>
  <c r="DQ331" i="79" s="1"/>
  <c r="BM291" i="79"/>
  <c r="BN291" i="79" s="1"/>
  <c r="EV434" i="79"/>
  <c r="EH376" i="79"/>
  <c r="EH378" i="79" s="1"/>
  <c r="EH379" i="79" s="1"/>
  <c r="EH449" i="79" s="1"/>
  <c r="I298" i="79"/>
  <c r="I315" i="79" s="1"/>
  <c r="I331" i="79" s="1"/>
  <c r="EW291" i="79"/>
  <c r="EX291" i="79" s="1"/>
  <c r="DY291" i="79"/>
  <c r="DY298" i="79" s="1"/>
  <c r="DY315" i="79" s="1"/>
  <c r="DY331" i="79" s="1"/>
  <c r="FD386" i="80"/>
  <c r="BL437" i="79"/>
  <c r="AG291" i="79"/>
  <c r="AH291" i="79" s="1"/>
  <c r="Q291" i="79"/>
  <c r="R291" i="79" s="1"/>
  <c r="CZ382" i="80"/>
  <c r="FM291" i="79"/>
  <c r="FM298" i="79" s="1"/>
  <c r="FM315" i="79" s="1"/>
  <c r="FM331" i="79" s="1"/>
  <c r="Y291" i="79"/>
  <c r="Y298" i="79" s="1"/>
  <c r="Y315" i="79" s="1"/>
  <c r="Y331" i="79" s="1"/>
  <c r="DB46" i="80"/>
  <c r="DB391" i="80" s="1"/>
  <c r="DB437" i="80" s="1"/>
  <c r="FN46" i="80"/>
  <c r="FN391" i="80" s="1"/>
  <c r="FN437" i="80" s="1"/>
  <c r="FE291" i="79"/>
  <c r="FF291" i="79" s="1"/>
  <c r="DA291" i="79"/>
  <c r="DB291" i="79" s="1"/>
  <c r="EP43" i="80"/>
  <c r="EP388" i="80" s="1"/>
  <c r="EP105" i="80"/>
  <c r="EP116" i="80" s="1"/>
  <c r="AO291" i="79"/>
  <c r="AP291" i="79" s="1"/>
  <c r="CS291" i="79"/>
  <c r="CT291" i="79" s="1"/>
  <c r="AP43" i="79"/>
  <c r="AP388" i="79" s="1"/>
  <c r="DB41" i="79"/>
  <c r="DB386" i="79" s="1"/>
  <c r="DZ376" i="80"/>
  <c r="DZ378" i="80" s="1"/>
  <c r="DZ379" i="80" s="1"/>
  <c r="DZ449" i="80" s="1"/>
  <c r="AX38" i="79"/>
  <c r="AX383" i="79" s="1"/>
  <c r="FM291" i="80"/>
  <c r="FM298" i="80" s="1"/>
  <c r="FM315" i="80" s="1"/>
  <c r="FM331" i="80" s="1"/>
  <c r="EW291" i="80"/>
  <c r="EW298" i="80" s="1"/>
  <c r="EW315" i="80" s="1"/>
  <c r="EW331" i="80" s="1"/>
  <c r="AG291" i="80"/>
  <c r="AH291" i="80" s="1"/>
  <c r="Q291" i="80"/>
  <c r="Q298" i="80" s="1"/>
  <c r="Q315" i="80" s="1"/>
  <c r="Q331" i="80" s="1"/>
  <c r="R46" i="80"/>
  <c r="R391" i="80" s="1"/>
  <c r="R437" i="80" s="1"/>
  <c r="I298" i="80"/>
  <c r="I315" i="80" s="1"/>
  <c r="I331" i="80" s="1"/>
  <c r="BE291" i="80"/>
  <c r="BF291" i="80" s="1"/>
  <c r="CK291" i="80"/>
  <c r="CK298" i="80" s="1"/>
  <c r="CK315" i="80" s="1"/>
  <c r="CK331" i="80" s="1"/>
  <c r="CB386" i="80"/>
  <c r="CS291" i="80"/>
  <c r="CS298" i="80" s="1"/>
  <c r="CS315" i="80" s="1"/>
  <c r="CS331" i="80" s="1"/>
  <c r="BU291" i="80"/>
  <c r="BU298" i="80" s="1"/>
  <c r="BU315" i="80" s="1"/>
  <c r="BU331" i="80" s="1"/>
  <c r="DI291" i="80"/>
  <c r="DJ291" i="80" s="1"/>
  <c r="FN41" i="79"/>
  <c r="FN386" i="79" s="1"/>
  <c r="DY291" i="80"/>
  <c r="DY298" i="80" s="1"/>
  <c r="DY315" i="80" s="1"/>
  <c r="DY331" i="80" s="1"/>
  <c r="CC291" i="80"/>
  <c r="CC298" i="80" s="1"/>
  <c r="CC315" i="80" s="1"/>
  <c r="CC331" i="80" s="1"/>
  <c r="FE291" i="80"/>
  <c r="FF291" i="80" s="1"/>
  <c r="EF116" i="80"/>
  <c r="EP41" i="79"/>
  <c r="EP386" i="79" s="1"/>
  <c r="AV434" i="79"/>
  <c r="BM291" i="80"/>
  <c r="BM298" i="80" s="1"/>
  <c r="BM315" i="80" s="1"/>
  <c r="BM331" i="80" s="1"/>
  <c r="DA291" i="80"/>
  <c r="DB291" i="80" s="1"/>
  <c r="AW291" i="80"/>
  <c r="AW298" i="80" s="1"/>
  <c r="AW315" i="80" s="1"/>
  <c r="AW331" i="80" s="1"/>
  <c r="CD43" i="80"/>
  <c r="CD388" i="80" s="1"/>
  <c r="EH38" i="80"/>
  <c r="EH383" i="80" s="1"/>
  <c r="EH434" i="80" s="1"/>
  <c r="DQ291" i="80"/>
  <c r="DQ298" i="80" s="1"/>
  <c r="DQ315" i="80" s="1"/>
  <c r="DQ331" i="80" s="1"/>
  <c r="EG291" i="80"/>
  <c r="EG298" i="80" s="1"/>
  <c r="EG315" i="80" s="1"/>
  <c r="EG331" i="80" s="1"/>
  <c r="Z43" i="79"/>
  <c r="Z388" i="79" s="1"/>
  <c r="EN116" i="80"/>
  <c r="EX41" i="80"/>
  <c r="EX386" i="80" s="1"/>
  <c r="I64" i="26"/>
  <c r="I224" i="79" s="1"/>
  <c r="EO291" i="79"/>
  <c r="EP291" i="79" s="1"/>
  <c r="DJ376" i="80"/>
  <c r="DJ378" i="80" s="1"/>
  <c r="DJ379" i="80" s="1"/>
  <c r="DJ449" i="80" s="1"/>
  <c r="I65" i="26"/>
  <c r="I225" i="85" s="1"/>
  <c r="K126" i="90" s="1"/>
  <c r="DJ43" i="79"/>
  <c r="DJ388" i="79" s="1"/>
  <c r="DZ37" i="79"/>
  <c r="DZ382" i="79" s="1"/>
  <c r="BV41" i="79"/>
  <c r="BV386" i="79" s="1"/>
  <c r="EH41" i="79"/>
  <c r="EH386" i="79" s="1"/>
  <c r="I39" i="13"/>
  <c r="F27" i="82" s="1"/>
  <c r="H17" i="31"/>
  <c r="H19" i="31" s="1"/>
  <c r="I271" i="85" s="1"/>
  <c r="I61" i="26"/>
  <c r="I221" i="85" s="1"/>
  <c r="K122" i="90" s="1"/>
  <c r="EH37" i="80"/>
  <c r="EH382" i="80" s="1"/>
  <c r="CT41" i="79"/>
  <c r="CT386" i="79" s="1"/>
  <c r="F386" i="85"/>
  <c r="EX376" i="80"/>
  <c r="EX378" i="80" s="1"/>
  <c r="EX379" i="80" s="1"/>
  <c r="EX449" i="80" s="1"/>
  <c r="I59" i="26"/>
  <c r="I219" i="80" s="1"/>
  <c r="EP43" i="79"/>
  <c r="EP388" i="79" s="1"/>
  <c r="EG291" i="79"/>
  <c r="EH291" i="79" s="1"/>
  <c r="EX43" i="79"/>
  <c r="EX388" i="79" s="1"/>
  <c r="I60" i="26"/>
  <c r="I220" i="85" s="1"/>
  <c r="K121" i="90" s="1"/>
  <c r="H23" i="31"/>
  <c r="I275" i="85" s="1"/>
  <c r="K155" i="90" s="1"/>
  <c r="FF37" i="80"/>
  <c r="FF382" i="80" s="1"/>
  <c r="AX41" i="79"/>
  <c r="AX386" i="79" s="1"/>
  <c r="Z46" i="80"/>
  <c r="Z391" i="80" s="1"/>
  <c r="Z437" i="80" s="1"/>
  <c r="DB43" i="80"/>
  <c r="DB388" i="80" s="1"/>
  <c r="AX43" i="80"/>
  <c r="AX388" i="80" s="1"/>
  <c r="DZ46" i="80"/>
  <c r="DZ391" i="80" s="1"/>
  <c r="DZ437" i="80" s="1"/>
  <c r="AV116" i="80"/>
  <c r="BN38" i="80"/>
  <c r="BN383" i="80" s="1"/>
  <c r="BN434" i="80" s="1"/>
  <c r="I374" i="85"/>
  <c r="BU291" i="79"/>
  <c r="BV291" i="79" s="1"/>
  <c r="CC291" i="79"/>
  <c r="CD291" i="79" s="1"/>
  <c r="DZ43" i="80"/>
  <c r="DZ388" i="80" s="1"/>
  <c r="BV105" i="80"/>
  <c r="BV116" i="80" s="1"/>
  <c r="CK298" i="79"/>
  <c r="CK315" i="79" s="1"/>
  <c r="CK331" i="79" s="1"/>
  <c r="AW291" i="79"/>
  <c r="AW298" i="79" s="1"/>
  <c r="AW315" i="79" s="1"/>
  <c r="AW331" i="79" s="1"/>
  <c r="BE291" i="79"/>
  <c r="BF291" i="79" s="1"/>
  <c r="FN37" i="80"/>
  <c r="FN382" i="80" s="1"/>
  <c r="CD37" i="79"/>
  <c r="CD382" i="79" s="1"/>
  <c r="BF45" i="79"/>
  <c r="BF436" i="79" s="1"/>
  <c r="BV38" i="80"/>
  <c r="BV383" i="80" s="1"/>
  <c r="BV434" i="80" s="1"/>
  <c r="CD37" i="80"/>
  <c r="CD382" i="80" s="1"/>
  <c r="G379" i="80"/>
  <c r="CL38" i="79"/>
  <c r="CL383" i="79" s="1"/>
  <c r="CJ434" i="79"/>
  <c r="DR43" i="80"/>
  <c r="DR388" i="80" s="1"/>
  <c r="CL376" i="80"/>
  <c r="CL378" i="80" s="1"/>
  <c r="CL379" i="80" s="1"/>
  <c r="CI379" i="80" s="1"/>
  <c r="CD105" i="80"/>
  <c r="CD116" i="80" s="1"/>
  <c r="FN38" i="80"/>
  <c r="FN383" i="80" s="1"/>
  <c r="FN434" i="80" s="1"/>
  <c r="EX43" i="80"/>
  <c r="EX388" i="80" s="1"/>
  <c r="P116" i="80"/>
  <c r="AH41" i="80"/>
  <c r="AH386" i="80" s="1"/>
  <c r="AP38" i="80"/>
  <c r="AP383" i="80" s="1"/>
  <c r="AP434" i="80" s="1"/>
  <c r="BT116" i="79"/>
  <c r="AN116" i="80"/>
  <c r="R376" i="80"/>
  <c r="R378" i="80" s="1"/>
  <c r="R379" i="80" s="1"/>
  <c r="R449" i="80" s="1"/>
  <c r="CJ116" i="79"/>
  <c r="DJ46" i="80"/>
  <c r="DJ391" i="80" s="1"/>
  <c r="DJ437" i="80" s="1"/>
  <c r="DB43" i="79"/>
  <c r="DB388" i="79" s="1"/>
  <c r="FF38" i="80"/>
  <c r="FF383" i="80" s="1"/>
  <c r="FF434" i="80" s="1"/>
  <c r="EP376" i="80"/>
  <c r="EP378" i="80" s="1"/>
  <c r="EP379" i="80" s="1"/>
  <c r="EP449" i="80" s="1"/>
  <c r="CC390" i="79"/>
  <c r="AP105" i="80"/>
  <c r="AP116" i="80" s="1"/>
  <c r="Z434" i="79"/>
  <c r="EP38" i="80"/>
  <c r="EP383" i="80" s="1"/>
  <c r="EP434" i="80" s="1"/>
  <c r="BN45" i="79"/>
  <c r="BN436" i="79" s="1"/>
  <c r="EH43" i="79"/>
  <c r="EH388" i="79" s="1"/>
  <c r="X116" i="79"/>
  <c r="X391" i="80"/>
  <c r="X437" i="80" s="1"/>
  <c r="EH38" i="79"/>
  <c r="EH383" i="79" s="1"/>
  <c r="CD376" i="80"/>
  <c r="CD378" i="80" s="1"/>
  <c r="CD379" i="80" s="1"/>
  <c r="CD449" i="80" s="1"/>
  <c r="FF43" i="80"/>
  <c r="FF388" i="80" s="1"/>
  <c r="CZ116" i="79"/>
  <c r="AG390" i="79"/>
  <c r="EP46" i="80"/>
  <c r="EP391" i="80" s="1"/>
  <c r="EP437" i="80" s="1"/>
  <c r="AH45" i="79"/>
  <c r="AH436" i="79" s="1"/>
  <c r="DB38" i="80"/>
  <c r="DB383" i="80" s="1"/>
  <c r="DB434" i="80" s="1"/>
  <c r="FD391" i="80"/>
  <c r="FD437" i="80" s="1"/>
  <c r="AH43" i="80"/>
  <c r="AH388" i="80" s="1"/>
  <c r="DQ388" i="80"/>
  <c r="DJ38" i="79"/>
  <c r="DJ434" i="79" s="1"/>
  <c r="DH434" i="79"/>
  <c r="AX43" i="79"/>
  <c r="AX388" i="79" s="1"/>
  <c r="BV43" i="79"/>
  <c r="BV388" i="79" s="1"/>
  <c r="DJ37" i="79"/>
  <c r="DJ382" i="79" s="1"/>
  <c r="DQ390" i="79"/>
  <c r="DH116" i="80"/>
  <c r="FN376" i="80"/>
  <c r="FN378" i="80" s="1"/>
  <c r="FN379" i="80" s="1"/>
  <c r="FN449" i="80" s="1"/>
  <c r="BV376" i="80"/>
  <c r="BV378" i="80" s="1"/>
  <c r="BV379" i="80" s="1"/>
  <c r="BS379" i="80" s="1"/>
  <c r="AH376" i="79"/>
  <c r="AH378" i="79" s="1"/>
  <c r="AH379" i="79" s="1"/>
  <c r="AE379" i="79" s="1"/>
  <c r="FL116" i="79"/>
  <c r="DR43" i="79"/>
  <c r="DR388" i="79" s="1"/>
  <c r="DP378" i="80"/>
  <c r="DP379" i="80" s="1"/>
  <c r="DP449" i="80" s="1"/>
  <c r="CT46" i="80"/>
  <c r="CT391" i="80" s="1"/>
  <c r="CT437" i="80" s="1"/>
  <c r="EF116" i="79"/>
  <c r="BN37" i="79"/>
  <c r="BN382" i="79" s="1"/>
  <c r="CJ391" i="80"/>
  <c r="CJ437" i="80" s="1"/>
  <c r="CD46" i="80"/>
  <c r="CD391" i="80" s="1"/>
  <c r="CD437" i="80" s="1"/>
  <c r="AP376" i="80"/>
  <c r="AP378" i="80" s="1"/>
  <c r="AP379" i="80" s="1"/>
  <c r="AP449" i="80" s="1"/>
  <c r="AV116" i="79"/>
  <c r="Z43" i="80"/>
  <c r="Z388" i="80" s="1"/>
  <c r="FN43" i="80"/>
  <c r="FN388" i="80" s="1"/>
  <c r="CL105" i="80"/>
  <c r="CL116" i="80" s="1"/>
  <c r="R43" i="79"/>
  <c r="R388" i="79" s="1"/>
  <c r="AP43" i="80"/>
  <c r="AP388" i="80" s="1"/>
  <c r="BD116" i="79"/>
  <c r="Z376" i="80"/>
  <c r="Z378" i="80" s="1"/>
  <c r="Z379" i="80" s="1"/>
  <c r="Z449" i="80" s="1"/>
  <c r="EW436" i="79"/>
  <c r="Z37" i="79"/>
  <c r="Z382" i="79" s="1"/>
  <c r="EO388" i="80"/>
  <c r="CL43" i="79"/>
  <c r="CL388" i="79" s="1"/>
  <c r="BF105" i="79"/>
  <c r="BF116" i="79" s="1"/>
  <c r="AH376" i="80"/>
  <c r="AH378" i="80" s="1"/>
  <c r="AH379" i="80" s="1"/>
  <c r="AH449" i="80" s="1"/>
  <c r="DZ376" i="79"/>
  <c r="DZ378" i="79" s="1"/>
  <c r="DZ379" i="79" s="1"/>
  <c r="DZ449" i="79" s="1"/>
  <c r="BF37" i="79"/>
  <c r="BF382" i="79" s="1"/>
  <c r="CR116" i="79"/>
  <c r="DJ45" i="79"/>
  <c r="DJ436" i="79" s="1"/>
  <c r="BN376" i="80"/>
  <c r="BN378" i="80" s="1"/>
  <c r="BN379" i="80" s="1"/>
  <c r="BN449" i="80" s="1"/>
  <c r="P116" i="79"/>
  <c r="BN46" i="80"/>
  <c r="BN391" i="80" s="1"/>
  <c r="BN437" i="80" s="1"/>
  <c r="FN43" i="79"/>
  <c r="FN388" i="79" s="1"/>
  <c r="DA436" i="79"/>
  <c r="DI436" i="79"/>
  <c r="EV116" i="79"/>
  <c r="EH376" i="80"/>
  <c r="EH378" i="80" s="1"/>
  <c r="EH379" i="80" s="1"/>
  <c r="EH449" i="80" s="1"/>
  <c r="DB45" i="79"/>
  <c r="DB390" i="79" s="1"/>
  <c r="AH43" i="79"/>
  <c r="AH388" i="79" s="1"/>
  <c r="FE390" i="79"/>
  <c r="CB116" i="79"/>
  <c r="BE390" i="79"/>
  <c r="Y390" i="79"/>
  <c r="EV391" i="80"/>
  <c r="EV437" i="80" s="1"/>
  <c r="AF116" i="79"/>
  <c r="CD43" i="79"/>
  <c r="CD388" i="79" s="1"/>
  <c r="DJ376" i="79"/>
  <c r="DJ378" i="79" s="1"/>
  <c r="DJ379" i="79" s="1"/>
  <c r="DJ449" i="79" s="1"/>
  <c r="R43" i="80"/>
  <c r="R388" i="80" s="1"/>
  <c r="DI388" i="80"/>
  <c r="BF376" i="79"/>
  <c r="BF378" i="79" s="1"/>
  <c r="BF379" i="79" s="1"/>
  <c r="BC379" i="79" s="1"/>
  <c r="Z45" i="79"/>
  <c r="Z436" i="79" s="1"/>
  <c r="EX105" i="80"/>
  <c r="EX116" i="80" s="1"/>
  <c r="AH37" i="79"/>
  <c r="AH382" i="79" s="1"/>
  <c r="BL116" i="79"/>
  <c r="AW390" i="79"/>
  <c r="BV376" i="79"/>
  <c r="BV378" i="79" s="1"/>
  <c r="BV379" i="79" s="1"/>
  <c r="BV449" i="79" s="1"/>
  <c r="BV43" i="80"/>
  <c r="BV388" i="80" s="1"/>
  <c r="AX376" i="79"/>
  <c r="AX378" i="79" s="1"/>
  <c r="AX379" i="79" s="1"/>
  <c r="AX449" i="79" s="1"/>
  <c r="AX45" i="79"/>
  <c r="AX436" i="79" s="1"/>
  <c r="DY390" i="79"/>
  <c r="Q390" i="79"/>
  <c r="CC388" i="80"/>
  <c r="BM390" i="79"/>
  <c r="CL43" i="80"/>
  <c r="CL388" i="80" s="1"/>
  <c r="DB37" i="79"/>
  <c r="DB382" i="79" s="1"/>
  <c r="CD376" i="79"/>
  <c r="CD378" i="79" s="1"/>
  <c r="CD379" i="79" s="1"/>
  <c r="CD449" i="79" s="1"/>
  <c r="CT111" i="79"/>
  <c r="CT116" i="79" s="1"/>
  <c r="AO390" i="79"/>
  <c r="CT43" i="79"/>
  <c r="CT388" i="79" s="1"/>
  <c r="DZ43" i="79"/>
  <c r="DZ388" i="79" s="1"/>
  <c r="FN45" i="79"/>
  <c r="FN436" i="79" s="1"/>
  <c r="EH111" i="79"/>
  <c r="EH116" i="79" s="1"/>
  <c r="CZ391" i="80"/>
  <c r="CZ437" i="80" s="1"/>
  <c r="FM436" i="79"/>
  <c r="AP46" i="80"/>
  <c r="AP391" i="80" s="1"/>
  <c r="AP437" i="80" s="1"/>
  <c r="EX376" i="79"/>
  <c r="EX378" i="79" s="1"/>
  <c r="EX379" i="79" s="1"/>
  <c r="EX449" i="79" s="1"/>
  <c r="AP45" i="79"/>
  <c r="AP436" i="79" s="1"/>
  <c r="CL111" i="79"/>
  <c r="CL116" i="79" s="1"/>
  <c r="CL291" i="79"/>
  <c r="R376" i="79"/>
  <c r="R378" i="79" s="1"/>
  <c r="R379" i="79" s="1"/>
  <c r="R449" i="79" s="1"/>
  <c r="FN376" i="79"/>
  <c r="FN378" i="79" s="1"/>
  <c r="FN379" i="79" s="1"/>
  <c r="FN449" i="79" s="1"/>
  <c r="EX37" i="79"/>
  <c r="EX382" i="79" s="1"/>
  <c r="AO298" i="80"/>
  <c r="AO315" i="80" s="1"/>
  <c r="AO331" i="80" s="1"/>
  <c r="AP291" i="80"/>
  <c r="AP376" i="79"/>
  <c r="AP378" i="79" s="1"/>
  <c r="AP379" i="79" s="1"/>
  <c r="AP449" i="79" s="1"/>
  <c r="G379" i="79"/>
  <c r="DX391" i="80"/>
  <c r="DX437" i="80" s="1"/>
  <c r="FN37" i="79"/>
  <c r="FN382" i="79" s="1"/>
  <c r="AP111" i="79"/>
  <c r="AP116" i="79" s="1"/>
  <c r="CL37" i="79"/>
  <c r="CL382" i="79" s="1"/>
  <c r="DB376" i="79"/>
  <c r="DB378" i="79" s="1"/>
  <c r="DB379" i="79" s="1"/>
  <c r="CY379" i="79" s="1"/>
  <c r="AP37" i="79"/>
  <c r="AP382" i="79" s="1"/>
  <c r="BN376" i="79"/>
  <c r="BN378" i="79" s="1"/>
  <c r="BN379" i="79" s="1"/>
  <c r="BN449" i="79" s="1"/>
  <c r="AX37" i="79"/>
  <c r="AX382" i="79" s="1"/>
  <c r="DR46" i="80"/>
  <c r="DR391" i="80" s="1"/>
  <c r="DR437" i="80" s="1"/>
  <c r="AH46" i="80"/>
  <c r="AH391" i="80" s="1"/>
  <c r="AH437" i="80" s="1"/>
  <c r="BV37" i="79"/>
  <c r="BV382" i="79" s="1"/>
  <c r="BT128" i="80"/>
  <c r="BV128" i="80" s="1"/>
  <c r="EF128" i="80"/>
  <c r="EH128" i="80" s="1"/>
  <c r="FL128" i="80"/>
  <c r="FN128" i="80" s="1"/>
  <c r="CR128" i="80"/>
  <c r="CT128" i="80" s="1"/>
  <c r="CZ128" i="80"/>
  <c r="DB128" i="80" s="1"/>
  <c r="CJ128" i="80"/>
  <c r="CL128" i="80" s="1"/>
  <c r="AV128" i="80"/>
  <c r="AX128" i="80" s="1"/>
  <c r="BD128" i="80"/>
  <c r="BF128" i="80" s="1"/>
  <c r="EV128" i="80"/>
  <c r="EX128" i="80" s="1"/>
  <c r="P128" i="80"/>
  <c r="R128" i="80" s="1"/>
  <c r="FD128" i="80"/>
  <c r="FF128" i="80" s="1"/>
  <c r="X128" i="80"/>
  <c r="Z128" i="80" s="1"/>
  <c r="AN128" i="80"/>
  <c r="AP128" i="80" s="1"/>
  <c r="AF128" i="80"/>
  <c r="AH128" i="80" s="1"/>
  <c r="CB128" i="80"/>
  <c r="CD128" i="80" s="1"/>
  <c r="DH128" i="80"/>
  <c r="DJ128" i="80" s="1"/>
  <c r="EN128" i="80"/>
  <c r="EP128" i="80" s="1"/>
  <c r="DX128" i="80"/>
  <c r="DZ128" i="80" s="1"/>
  <c r="DP128" i="80"/>
  <c r="DR128" i="80" s="1"/>
  <c r="BL128" i="80"/>
  <c r="BN128" i="80" s="1"/>
  <c r="P128" i="79"/>
  <c r="R128" i="79" s="1"/>
  <c r="FD128" i="79"/>
  <c r="FF128" i="79" s="1"/>
  <c r="AN128" i="79"/>
  <c r="AP128" i="79" s="1"/>
  <c r="DH128" i="79"/>
  <c r="DJ128" i="79" s="1"/>
  <c r="DP128" i="79"/>
  <c r="DR128" i="79" s="1"/>
  <c r="BT128" i="79"/>
  <c r="BV128" i="79" s="1"/>
  <c r="BL128" i="79"/>
  <c r="BN128" i="79" s="1"/>
  <c r="CR128" i="79"/>
  <c r="CT128" i="79" s="1"/>
  <c r="AV128" i="79"/>
  <c r="AX128" i="79" s="1"/>
  <c r="X128" i="79"/>
  <c r="Z128" i="79" s="1"/>
  <c r="EF128" i="79"/>
  <c r="EH128" i="79" s="1"/>
  <c r="EV128" i="79"/>
  <c r="EX128" i="79" s="1"/>
  <c r="BD128" i="79"/>
  <c r="BF128" i="79" s="1"/>
  <c r="DX128" i="79"/>
  <c r="DZ128" i="79" s="1"/>
  <c r="FL128" i="79"/>
  <c r="FN128" i="79" s="1"/>
  <c r="CZ128" i="79"/>
  <c r="DB128" i="79" s="1"/>
  <c r="EN128" i="79"/>
  <c r="EP128" i="79" s="1"/>
  <c r="AF128" i="79"/>
  <c r="AH128" i="79" s="1"/>
  <c r="CJ128" i="79"/>
  <c r="CL128" i="79" s="1"/>
  <c r="CB128" i="79"/>
  <c r="CD128" i="79" s="1"/>
  <c r="DG427" i="79"/>
  <c r="DJ19" i="79"/>
  <c r="Z116" i="79"/>
  <c r="AX116" i="79"/>
  <c r="DZ116" i="80"/>
  <c r="AH116" i="79"/>
  <c r="S38" i="82"/>
  <c r="AP427" i="79"/>
  <c r="AP19" i="79"/>
  <c r="BN116" i="79"/>
  <c r="FN116" i="79"/>
  <c r="FK427" i="79"/>
  <c r="W427" i="79"/>
  <c r="FN19" i="79"/>
  <c r="DR19" i="80"/>
  <c r="Z19" i="79"/>
  <c r="EX19" i="79"/>
  <c r="R116" i="79"/>
  <c r="DB116" i="79"/>
  <c r="EU427" i="79"/>
  <c r="W379" i="79"/>
  <c r="EH19" i="79"/>
  <c r="DR427" i="80"/>
  <c r="EH427" i="79"/>
  <c r="DR19" i="79"/>
  <c r="DR427" i="79"/>
  <c r="BN411" i="80"/>
  <c r="BN427" i="80" s="1"/>
  <c r="AX427" i="79"/>
  <c r="H59" i="26"/>
  <c r="H60" i="26"/>
  <c r="H61" i="26"/>
  <c r="H64" i="26"/>
  <c r="H62" i="26"/>
  <c r="H65" i="26"/>
  <c r="J59" i="26"/>
  <c r="J60" i="26"/>
  <c r="J65" i="26"/>
  <c r="J64" i="26"/>
  <c r="J62" i="26"/>
  <c r="J61" i="26"/>
  <c r="FC427" i="79"/>
  <c r="FF19" i="79"/>
  <c r="DB411" i="80"/>
  <c r="DB427" i="80" s="1"/>
  <c r="DH449" i="80"/>
  <c r="AX19" i="79"/>
  <c r="CR449" i="80"/>
  <c r="O427" i="80"/>
  <c r="CL19" i="79"/>
  <c r="CT19" i="80"/>
  <c r="CI427" i="79"/>
  <c r="EM427" i="79"/>
  <c r="CQ427" i="80"/>
  <c r="EP19" i="79"/>
  <c r="CD427" i="80"/>
  <c r="CD19" i="80"/>
  <c r="Z411" i="80"/>
  <c r="Z427" i="80" s="1"/>
  <c r="CD427" i="79"/>
  <c r="BV116" i="79"/>
  <c r="Q58" i="35"/>
  <c r="Q59" i="35" s="1"/>
  <c r="Q86" i="35" s="1"/>
  <c r="EP411" i="80"/>
  <c r="EP427" i="80" s="1"/>
  <c r="CS427" i="80"/>
  <c r="DZ19" i="80"/>
  <c r="AX19" i="80"/>
  <c r="AX427" i="80"/>
  <c r="EX391" i="79"/>
  <c r="CD19" i="79"/>
  <c r="DR46" i="79"/>
  <c r="DR437" i="79" s="1"/>
  <c r="DJ19" i="80"/>
  <c r="DP436" i="79"/>
  <c r="DR45" i="79"/>
  <c r="DR436" i="79" s="1"/>
  <c r="FN19" i="80"/>
  <c r="EX427" i="80"/>
  <c r="FN427" i="80"/>
  <c r="BV411" i="80"/>
  <c r="BV427" i="80" s="1"/>
  <c r="EX116" i="79"/>
  <c r="DP437" i="79"/>
  <c r="DR116" i="79"/>
  <c r="EX19" i="80"/>
  <c r="DP116" i="79"/>
  <c r="DP434" i="79"/>
  <c r="DR38" i="79"/>
  <c r="DR383" i="79" s="1"/>
  <c r="BV19" i="79"/>
  <c r="DR42" i="79"/>
  <c r="DR387" i="79" s="1"/>
  <c r="AE427" i="80"/>
  <c r="BV427" i="79"/>
  <c r="AH19" i="80"/>
  <c r="FF116" i="79"/>
  <c r="FF43" i="79"/>
  <c r="FF388" i="79" s="1"/>
  <c r="FD436" i="79"/>
  <c r="FD434" i="79"/>
  <c r="FD383" i="79"/>
  <c r="FF19" i="80"/>
  <c r="FF45" i="79"/>
  <c r="FF436" i="79" s="1"/>
  <c r="FF427" i="80"/>
  <c r="FD116" i="79"/>
  <c r="CB434" i="80"/>
  <c r="DX434" i="80"/>
  <c r="EN434" i="80"/>
  <c r="FD382" i="79"/>
  <c r="FF37" i="79"/>
  <c r="FF382" i="79" s="1"/>
  <c r="FD393" i="79"/>
  <c r="FF48" i="79"/>
  <c r="FF393" i="79" s="1"/>
  <c r="DP386" i="79"/>
  <c r="DR41" i="79"/>
  <c r="DR386" i="79" s="1"/>
  <c r="DH434" i="80"/>
  <c r="EV434" i="80"/>
  <c r="FF88" i="79"/>
  <c r="FF93" i="79" s="1"/>
  <c r="FD93" i="79"/>
  <c r="FD387" i="79"/>
  <c r="FF42" i="79"/>
  <c r="FF387" i="79" s="1"/>
  <c r="DP382" i="79"/>
  <c r="DR37" i="79"/>
  <c r="DR382" i="79" s="1"/>
  <c r="X434" i="80"/>
  <c r="CJ434" i="80"/>
  <c r="FD434" i="80"/>
  <c r="FF376" i="79"/>
  <c r="FF378" i="79" s="1"/>
  <c r="FF379" i="79" s="1"/>
  <c r="FF449" i="79" s="1"/>
  <c r="FD378" i="79"/>
  <c r="FD379" i="79" s="1"/>
  <c r="DR88" i="79"/>
  <c r="DR93" i="79" s="1"/>
  <c r="DP93" i="79"/>
  <c r="DR376" i="79"/>
  <c r="DR378" i="79" s="1"/>
  <c r="DR379" i="79" s="1"/>
  <c r="DR449" i="79" s="1"/>
  <c r="DP378" i="79"/>
  <c r="DP379" i="79" s="1"/>
  <c r="AF434" i="80"/>
  <c r="FD386" i="79"/>
  <c r="FF41" i="79"/>
  <c r="FF386" i="79" s="1"/>
  <c r="DP393" i="79"/>
  <c r="DR48" i="79"/>
  <c r="DR393" i="79" s="1"/>
  <c r="CL411" i="80"/>
  <c r="CI427" i="80" s="1"/>
  <c r="DW427" i="80"/>
  <c r="E386" i="85"/>
  <c r="G17" i="31"/>
  <c r="G23" i="31"/>
  <c r="H39" i="13"/>
  <c r="J39" i="13"/>
  <c r="G386" i="85"/>
  <c r="I23" i="31"/>
  <c r="I17" i="31"/>
  <c r="I222" i="79"/>
  <c r="I222" i="85"/>
  <c r="K123" i="90" s="1"/>
  <c r="I222" i="80"/>
  <c r="AA36" i="83"/>
  <c r="FN383" i="79"/>
  <c r="FN434" i="79"/>
  <c r="FF383" i="79"/>
  <c r="FF434" i="79"/>
  <c r="EX436" i="79"/>
  <c r="EX383" i="79"/>
  <c r="EX434" i="79"/>
  <c r="EP437" i="79"/>
  <c r="EP391" i="79"/>
  <c r="EH437" i="79"/>
  <c r="EH391" i="79"/>
  <c r="DZ383" i="79"/>
  <c r="DZ434" i="79"/>
  <c r="DZ427" i="79"/>
  <c r="DW427" i="79"/>
  <c r="DZ437" i="79"/>
  <c r="DZ391" i="79"/>
  <c r="DJ437" i="79"/>
  <c r="DJ391" i="79"/>
  <c r="DB427" i="79"/>
  <c r="CY427" i="79"/>
  <c r="DB383" i="79"/>
  <c r="DB434" i="79"/>
  <c r="DB437" i="79"/>
  <c r="DB391" i="79"/>
  <c r="CT427" i="79"/>
  <c r="CQ427" i="79"/>
  <c r="CT437" i="79"/>
  <c r="CT391" i="79"/>
  <c r="CL437" i="79"/>
  <c r="CL391" i="79"/>
  <c r="CD383" i="79"/>
  <c r="CD434" i="79"/>
  <c r="CD437" i="79"/>
  <c r="CD391" i="79"/>
  <c r="BV436" i="79"/>
  <c r="BV390" i="79"/>
  <c r="BV437" i="79"/>
  <c r="BV391" i="79"/>
  <c r="BV383" i="79"/>
  <c r="BV434" i="79"/>
  <c r="BN427" i="79"/>
  <c r="BK427" i="79"/>
  <c r="BN383" i="79"/>
  <c r="BN434" i="79"/>
  <c r="BF427" i="79"/>
  <c r="BC427" i="79"/>
  <c r="BF383" i="79"/>
  <c r="BF434" i="79"/>
  <c r="BF437" i="79"/>
  <c r="BF391" i="79"/>
  <c r="AP437" i="79"/>
  <c r="AP391" i="79"/>
  <c r="AH427" i="79"/>
  <c r="AE427" i="79"/>
  <c r="AH19" i="79"/>
  <c r="EH427" i="80"/>
  <c r="EE427" i="80"/>
  <c r="DZ427" i="80"/>
  <c r="DJ427" i="80"/>
  <c r="BF42" i="80"/>
  <c r="BF387" i="80" s="1"/>
  <c r="BD387" i="80"/>
  <c r="BF38" i="80"/>
  <c r="BF383" i="80" s="1"/>
  <c r="BF434" i="80" s="1"/>
  <c r="BD383" i="80"/>
  <c r="BD434" i="80" s="1"/>
  <c r="BF43" i="80"/>
  <c r="BF388" i="80" s="1"/>
  <c r="BD388" i="80"/>
  <c r="BF46" i="80"/>
  <c r="BF391" i="80" s="1"/>
  <c r="BF437" i="80" s="1"/>
  <c r="BD391" i="80"/>
  <c r="BD437" i="80" s="1"/>
  <c r="BF45" i="80"/>
  <c r="BF390" i="80" s="1"/>
  <c r="BF436" i="80" s="1"/>
  <c r="BD390" i="80"/>
  <c r="BD436" i="80" s="1"/>
  <c r="BF41" i="80"/>
  <c r="BF386" i="80" s="1"/>
  <c r="BD386" i="80"/>
  <c r="BF48" i="80"/>
  <c r="BF393" i="80" s="1"/>
  <c r="BD393" i="80"/>
  <c r="AP19" i="80"/>
  <c r="AP411" i="80"/>
  <c r="R427" i="80"/>
  <c r="FL449" i="80"/>
  <c r="R427" i="79"/>
  <c r="O427" i="79"/>
  <c r="R391" i="79"/>
  <c r="CB449" i="79"/>
  <c r="X449" i="80"/>
  <c r="CZ449" i="80"/>
  <c r="AN449" i="79"/>
  <c r="AA40" i="83"/>
  <c r="R59" i="35"/>
  <c r="EH19" i="80"/>
  <c r="BF47" i="80"/>
  <c r="BF392" i="80" s="1"/>
  <c r="R19" i="80"/>
  <c r="S58" i="82"/>
  <c r="Q59" i="82"/>
  <c r="BL449" i="79"/>
  <c r="BF37" i="80"/>
  <c r="BF382" i="80" s="1"/>
  <c r="CZ449" i="79"/>
  <c r="DB19" i="79"/>
  <c r="BF19" i="79"/>
  <c r="DX449" i="79"/>
  <c r="CT19" i="79"/>
  <c r="CR449" i="79"/>
  <c r="BD19" i="80"/>
  <c r="BF17" i="80"/>
  <c r="BF411" i="80" s="1"/>
  <c r="BF88" i="80"/>
  <c r="BF93" i="80" s="1"/>
  <c r="BD93" i="80"/>
  <c r="P449" i="79"/>
  <c r="BN19" i="79"/>
  <c r="R19" i="79"/>
  <c r="BF105" i="80"/>
  <c r="BF116" i="80" s="1"/>
  <c r="BD116" i="80"/>
  <c r="H430" i="79"/>
  <c r="DZ19" i="79"/>
  <c r="BD449" i="79"/>
  <c r="EH436" i="79" l="1"/>
  <c r="EP449" i="79"/>
  <c r="DJ291" i="79"/>
  <c r="AU379" i="80"/>
  <c r="CQ379" i="80"/>
  <c r="BC379" i="80"/>
  <c r="Z391" i="79"/>
  <c r="FN391" i="79"/>
  <c r="BM298" i="79"/>
  <c r="BM315" i="79" s="1"/>
  <c r="BM331" i="79" s="1"/>
  <c r="F22" i="7"/>
  <c r="J331" i="85" s="1"/>
  <c r="AP434" i="79"/>
  <c r="CD390" i="79"/>
  <c r="CL390" i="79"/>
  <c r="DZ390" i="79"/>
  <c r="CT449" i="79"/>
  <c r="R383" i="79"/>
  <c r="CT434" i="79"/>
  <c r="CT291" i="80"/>
  <c r="AH391" i="79"/>
  <c r="BN391" i="79"/>
  <c r="CL291" i="80"/>
  <c r="Z291" i="80"/>
  <c r="EP434" i="79"/>
  <c r="Z116" i="80"/>
  <c r="AX434" i="79"/>
  <c r="AG298" i="79"/>
  <c r="AG315" i="79" s="1"/>
  <c r="AG331" i="79" s="1"/>
  <c r="AH434" i="79"/>
  <c r="EW298" i="79"/>
  <c r="EW315" i="79" s="1"/>
  <c r="EW331" i="79" s="1"/>
  <c r="DG379" i="80"/>
  <c r="EM379" i="80"/>
  <c r="BN291" i="80"/>
  <c r="FE298" i="80"/>
  <c r="FE315" i="80" s="1"/>
  <c r="FE331" i="80" s="1"/>
  <c r="DA298" i="79"/>
  <c r="DA315" i="79" s="1"/>
  <c r="DA331" i="79" s="1"/>
  <c r="DR291" i="80"/>
  <c r="Z291" i="79"/>
  <c r="CC298" i="79"/>
  <c r="CC315" i="79" s="1"/>
  <c r="CC331" i="79" s="1"/>
  <c r="EG298" i="79"/>
  <c r="EG315" i="79" s="1"/>
  <c r="EG331" i="79" s="1"/>
  <c r="CD291" i="80"/>
  <c r="FN291" i="80"/>
  <c r="DW379" i="80"/>
  <c r="EO298" i="80"/>
  <c r="EO315" i="80" s="1"/>
  <c r="EO331" i="80" s="1"/>
  <c r="AX391" i="79"/>
  <c r="EO298" i="79"/>
  <c r="EO315" i="79" s="1"/>
  <c r="EO331" i="79" s="1"/>
  <c r="I220" i="80"/>
  <c r="BE220" i="80" s="1"/>
  <c r="I220" i="79"/>
  <c r="AW220" i="79" s="1"/>
  <c r="Q298" i="79"/>
  <c r="Q315" i="79" s="1"/>
  <c r="Q331" i="79" s="1"/>
  <c r="I225" i="79"/>
  <c r="CC225" i="79" s="1"/>
  <c r="I225" i="80"/>
  <c r="Q225" i="80" s="1"/>
  <c r="DB436" i="79"/>
  <c r="CY379" i="80"/>
  <c r="BN390" i="79"/>
  <c r="AX291" i="80"/>
  <c r="I275" i="79"/>
  <c r="DY275" i="79" s="1"/>
  <c r="BE298" i="80"/>
  <c r="BE315" i="80" s="1"/>
  <c r="BE331" i="80" s="1"/>
  <c r="FE298" i="79"/>
  <c r="FE315" i="79" s="1"/>
  <c r="FE331" i="79" s="1"/>
  <c r="FF391" i="79"/>
  <c r="I315" i="85"/>
  <c r="DR291" i="79"/>
  <c r="EP390" i="79"/>
  <c r="DA298" i="80"/>
  <c r="DA315" i="80" s="1"/>
  <c r="DA331" i="80" s="1"/>
  <c r="DZ291" i="79"/>
  <c r="AX390" i="79"/>
  <c r="CS298" i="79"/>
  <c r="CS315" i="79" s="1"/>
  <c r="CS331" i="79" s="1"/>
  <c r="FC379" i="80"/>
  <c r="EU379" i="80"/>
  <c r="CT390" i="79"/>
  <c r="I219" i="79"/>
  <c r="BE219" i="79" s="1"/>
  <c r="I219" i="85"/>
  <c r="K120" i="90" s="1"/>
  <c r="BU298" i="79"/>
  <c r="BU315" i="79" s="1"/>
  <c r="BU331" i="79" s="1"/>
  <c r="DZ291" i="80"/>
  <c r="CL449" i="80"/>
  <c r="I224" i="80"/>
  <c r="CS224" i="80" s="1"/>
  <c r="I224" i="85"/>
  <c r="K125" i="90" s="1"/>
  <c r="AG298" i="80"/>
  <c r="AG315" i="80" s="1"/>
  <c r="AG331" i="80" s="1"/>
  <c r="AX291" i="79"/>
  <c r="FK379" i="80"/>
  <c r="EE379" i="79"/>
  <c r="EX291" i="80"/>
  <c r="CL449" i="79"/>
  <c r="R390" i="79"/>
  <c r="CL434" i="79"/>
  <c r="FN291" i="79"/>
  <c r="AO298" i="79"/>
  <c r="AO315" i="79" s="1"/>
  <c r="AO331" i="79" s="1"/>
  <c r="AU379" i="79"/>
  <c r="BV291" i="80"/>
  <c r="I275" i="80"/>
  <c r="EG275" i="80" s="1"/>
  <c r="DI298" i="80"/>
  <c r="DI315" i="80" s="1"/>
  <c r="DI331" i="80" s="1"/>
  <c r="R291" i="80"/>
  <c r="EH291" i="80"/>
  <c r="I221" i="79"/>
  <c r="EG221" i="79" s="1"/>
  <c r="I269" i="80"/>
  <c r="AO269" i="80" s="1"/>
  <c r="AO271" i="80" s="1"/>
  <c r="DW379" i="79"/>
  <c r="I221" i="80"/>
  <c r="EG221" i="80" s="1"/>
  <c r="I269" i="85"/>
  <c r="K152" i="90" s="1"/>
  <c r="BE298" i="79"/>
  <c r="BE315" i="79" s="1"/>
  <c r="BE331" i="79" s="1"/>
  <c r="I269" i="79"/>
  <c r="AO269" i="79" s="1"/>
  <c r="AO271" i="79" s="1"/>
  <c r="I39" i="80"/>
  <c r="Y39" i="80" s="1"/>
  <c r="O379" i="80"/>
  <c r="BF390" i="79"/>
  <c r="I39" i="79"/>
  <c r="EO39" i="79" s="1"/>
  <c r="DJ383" i="79"/>
  <c r="AM379" i="80"/>
  <c r="F27" i="35"/>
  <c r="F70" i="35" s="1"/>
  <c r="F73" i="35" s="1"/>
  <c r="F83" i="35" s="1"/>
  <c r="I50" i="13"/>
  <c r="I50" i="85" s="1"/>
  <c r="EH434" i="79"/>
  <c r="DG379" i="79"/>
  <c r="I39" i="85"/>
  <c r="K13" i="90" s="1"/>
  <c r="BF449" i="79"/>
  <c r="CA379" i="80"/>
  <c r="BV449" i="80"/>
  <c r="AH449" i="79"/>
  <c r="FN390" i="79"/>
  <c r="O379" i="79"/>
  <c r="BS379" i="79"/>
  <c r="Z390" i="79"/>
  <c r="AE379" i="80"/>
  <c r="EE379" i="80"/>
  <c r="I331" i="85"/>
  <c r="DO379" i="80"/>
  <c r="AH390" i="79"/>
  <c r="W379" i="80"/>
  <c r="BK379" i="80"/>
  <c r="AP390" i="79"/>
  <c r="DJ390" i="79"/>
  <c r="DB449" i="79"/>
  <c r="CA379" i="79"/>
  <c r="EU379" i="79"/>
  <c r="FK379" i="79"/>
  <c r="AM379" i="79"/>
  <c r="BK379" i="79"/>
  <c r="BK427" i="80"/>
  <c r="CY427" i="80"/>
  <c r="DQ219" i="80"/>
  <c r="AG219" i="80"/>
  <c r="CK219" i="80"/>
  <c r="BU219" i="80"/>
  <c r="AO219" i="80"/>
  <c r="FM219" i="80"/>
  <c r="Y219" i="80"/>
  <c r="FE219" i="80"/>
  <c r="DA219" i="80"/>
  <c r="EG219" i="80"/>
  <c r="DI219" i="80"/>
  <c r="CC219" i="80"/>
  <c r="AW219" i="80"/>
  <c r="EW219" i="80"/>
  <c r="DY219" i="80"/>
  <c r="BE219" i="80"/>
  <c r="EO219" i="80"/>
  <c r="CS219" i="80"/>
  <c r="BM219" i="80"/>
  <c r="Q219" i="80"/>
  <c r="BM224" i="79"/>
  <c r="DQ224" i="79"/>
  <c r="AO224" i="79"/>
  <c r="BU224" i="79"/>
  <c r="BE224" i="79"/>
  <c r="Y224" i="79"/>
  <c r="AG224" i="79"/>
  <c r="FM224" i="79"/>
  <c r="CC224" i="79"/>
  <c r="DI224" i="79"/>
  <c r="EW224" i="79"/>
  <c r="EO224" i="79"/>
  <c r="AW224" i="79"/>
  <c r="DA224" i="79"/>
  <c r="FE224" i="79"/>
  <c r="CS224" i="79"/>
  <c r="DY224" i="79"/>
  <c r="EG224" i="79"/>
  <c r="Q224" i="79"/>
  <c r="CK224" i="79"/>
  <c r="EW222" i="79"/>
  <c r="AO222" i="79"/>
  <c r="AG222" i="79"/>
  <c r="CC222" i="79"/>
  <c r="BE222" i="79"/>
  <c r="Y222" i="79"/>
  <c r="FM222" i="79"/>
  <c r="BM222" i="79"/>
  <c r="DQ222" i="79"/>
  <c r="DI222" i="79"/>
  <c r="EG222" i="79"/>
  <c r="CS222" i="79"/>
  <c r="DY222" i="79"/>
  <c r="Q222" i="79"/>
  <c r="AW222" i="79"/>
  <c r="BU222" i="79"/>
  <c r="FE222" i="79"/>
  <c r="CK222" i="79"/>
  <c r="EO222" i="79"/>
  <c r="DA222" i="79"/>
  <c r="EO222" i="80"/>
  <c r="AO222" i="80"/>
  <c r="FM222" i="80"/>
  <c r="AG222" i="80"/>
  <c r="DI222" i="80"/>
  <c r="Y222" i="80"/>
  <c r="CK222" i="80"/>
  <c r="EG222" i="80"/>
  <c r="FE222" i="80"/>
  <c r="BE222" i="80"/>
  <c r="CC222" i="80"/>
  <c r="DQ222" i="80"/>
  <c r="DY222" i="80"/>
  <c r="AW222" i="80"/>
  <c r="Q222" i="80"/>
  <c r="BM222" i="80"/>
  <c r="BU222" i="80"/>
  <c r="EW222" i="80"/>
  <c r="CS222" i="80"/>
  <c r="DA222" i="80"/>
  <c r="W427" i="80"/>
  <c r="S58" i="35"/>
  <c r="BS427" i="80"/>
  <c r="EM427" i="80"/>
  <c r="DR390" i="79"/>
  <c r="DR391" i="79"/>
  <c r="DR434" i="79"/>
  <c r="FF390" i="79"/>
  <c r="CL427" i="80"/>
  <c r="DO379" i="79"/>
  <c r="DP449" i="79"/>
  <c r="FC379" i="79"/>
  <c r="FD449" i="79"/>
  <c r="J220" i="79"/>
  <c r="J220" i="85"/>
  <c r="L121" i="90" s="1"/>
  <c r="J220" i="80"/>
  <c r="J219" i="79"/>
  <c r="J219" i="85"/>
  <c r="L120" i="90" s="1"/>
  <c r="J219" i="80"/>
  <c r="H39" i="85"/>
  <c r="J13" i="90" s="1"/>
  <c r="E27" i="35"/>
  <c r="H39" i="80"/>
  <c r="DH39" i="80" s="1"/>
  <c r="H50" i="13"/>
  <c r="E27" i="82"/>
  <c r="H39" i="79"/>
  <c r="AN39" i="79" s="1"/>
  <c r="AN50" i="79" s="1"/>
  <c r="AN413" i="79" s="1"/>
  <c r="AN414" i="79" s="1"/>
  <c r="AN415" i="79" s="1"/>
  <c r="H269" i="85"/>
  <c r="J152" i="90" s="1"/>
  <c r="G19" i="31"/>
  <c r="H271" i="85" s="1"/>
  <c r="H269" i="80"/>
  <c r="DP269" i="80" s="1"/>
  <c r="H269" i="79"/>
  <c r="CZ269" i="79" s="1"/>
  <c r="H224" i="85"/>
  <c r="J125" i="90" s="1"/>
  <c r="H224" i="79"/>
  <c r="BL224" i="79" s="1"/>
  <c r="H224" i="80"/>
  <c r="DH224" i="80" s="1"/>
  <c r="F70" i="82"/>
  <c r="F73" i="82" s="1"/>
  <c r="F74" i="82" s="1"/>
  <c r="F83" i="82" s="1"/>
  <c r="F37" i="82"/>
  <c r="J269" i="85"/>
  <c r="L152" i="90" s="1"/>
  <c r="J269" i="80"/>
  <c r="J271" i="80" s="1"/>
  <c r="J269" i="79"/>
  <c r="J271" i="79" s="1"/>
  <c r="I19" i="31"/>
  <c r="J271" i="85" s="1"/>
  <c r="J222" i="79"/>
  <c r="J222" i="85"/>
  <c r="L123" i="90" s="1"/>
  <c r="J222" i="80"/>
  <c r="G27" i="82"/>
  <c r="J39" i="85"/>
  <c r="L13" i="90" s="1"/>
  <c r="J39" i="80"/>
  <c r="J50" i="13"/>
  <c r="G27" i="35"/>
  <c r="J39" i="79"/>
  <c r="H220" i="85"/>
  <c r="J121" i="90" s="1"/>
  <c r="H220" i="79"/>
  <c r="CB220" i="79" s="1"/>
  <c r="H220" i="80"/>
  <c r="DH220" i="80" s="1"/>
  <c r="H225" i="85"/>
  <c r="J126" i="90" s="1"/>
  <c r="H225" i="79"/>
  <c r="CB225" i="79" s="1"/>
  <c r="H225" i="80"/>
  <c r="DH225" i="80" s="1"/>
  <c r="J225" i="85"/>
  <c r="L126" i="90" s="1"/>
  <c r="J225" i="80"/>
  <c r="J225" i="79"/>
  <c r="J221" i="80"/>
  <c r="J221" i="85"/>
  <c r="L122" i="90" s="1"/>
  <c r="J221" i="79"/>
  <c r="H221" i="85"/>
  <c r="J122" i="90" s="1"/>
  <c r="H221" i="80"/>
  <c r="X221" i="80" s="1"/>
  <c r="H221" i="79"/>
  <c r="P221" i="79" s="1"/>
  <c r="H222" i="85"/>
  <c r="J123" i="90" s="1"/>
  <c r="H222" i="80"/>
  <c r="CR222" i="80" s="1"/>
  <c r="H222" i="79"/>
  <c r="P222" i="79" s="1"/>
  <c r="J224" i="79"/>
  <c r="J224" i="85"/>
  <c r="L125" i="90" s="1"/>
  <c r="J224" i="80"/>
  <c r="J275" i="80"/>
  <c r="J275" i="85"/>
  <c r="L155" i="90" s="1"/>
  <c r="J275" i="79"/>
  <c r="H275" i="85"/>
  <c r="J155" i="90" s="1"/>
  <c r="H275" i="80"/>
  <c r="X275" i="80" s="1"/>
  <c r="H275" i="79"/>
  <c r="BD275" i="79" s="1"/>
  <c r="H219" i="85"/>
  <c r="J120" i="90" s="1"/>
  <c r="H219" i="79"/>
  <c r="BD219" i="79" s="1"/>
  <c r="H219" i="80"/>
  <c r="BF427" i="80"/>
  <c r="BC427" i="80"/>
  <c r="AP427" i="80"/>
  <c r="AM427" i="80"/>
  <c r="R86" i="35"/>
  <c r="S86" i="35" s="1"/>
  <c r="J40" i="77"/>
  <c r="J36" i="77"/>
  <c r="S59" i="35"/>
  <c r="S59" i="82"/>
  <c r="Q86" i="82"/>
  <c r="S86" i="82" s="1"/>
  <c r="BF19" i="80"/>
  <c r="BD449" i="80"/>
  <c r="DI220" i="79" l="1"/>
  <c r="BU224" i="80"/>
  <c r="AO220" i="80"/>
  <c r="AW225" i="79"/>
  <c r="EO225" i="79"/>
  <c r="EW225" i="79"/>
  <c r="BM220" i="79"/>
  <c r="DQ220" i="79"/>
  <c r="Q224" i="80"/>
  <c r="Q220" i="79"/>
  <c r="DA220" i="79"/>
  <c r="CK220" i="79"/>
  <c r="EO220" i="79"/>
  <c r="EG220" i="79"/>
  <c r="DY220" i="79"/>
  <c r="EW220" i="79"/>
  <c r="BU220" i="79"/>
  <c r="CS220" i="79"/>
  <c r="BU39" i="79"/>
  <c r="BU384" i="79" s="1"/>
  <c r="BU394" i="79" s="1"/>
  <c r="EW225" i="80"/>
  <c r="CC225" i="80"/>
  <c r="BM225" i="80"/>
  <c r="I435" i="79"/>
  <c r="I438" i="79" s="1"/>
  <c r="I439" i="79" s="1"/>
  <c r="I448" i="79" s="1"/>
  <c r="Y225" i="80"/>
  <c r="AG225" i="80"/>
  <c r="Q225" i="79"/>
  <c r="CC221" i="80"/>
  <c r="CS225" i="79"/>
  <c r="DY225" i="79"/>
  <c r="DA225" i="79"/>
  <c r="DQ225" i="79"/>
  <c r="AG225" i="79"/>
  <c r="FM225" i="79"/>
  <c r="EG225" i="79"/>
  <c r="DI225" i="80"/>
  <c r="DJ225" i="80" s="1"/>
  <c r="Y225" i="79"/>
  <c r="AO225" i="79"/>
  <c r="BE225" i="80"/>
  <c r="AO225" i="80"/>
  <c r="FM225" i="80"/>
  <c r="EG225" i="80"/>
  <c r="CK225" i="80"/>
  <c r="FE225" i="80"/>
  <c r="EO225" i="80"/>
  <c r="AW225" i="80"/>
  <c r="BM225" i="79"/>
  <c r="FM220" i="80"/>
  <c r="DQ225" i="80"/>
  <c r="BE225" i="79"/>
  <c r="BU225" i="80"/>
  <c r="CS225" i="80"/>
  <c r="CK225" i="79"/>
  <c r="FE225" i="79"/>
  <c r="BU220" i="80"/>
  <c r="EG220" i="80"/>
  <c r="BM220" i="80"/>
  <c r="DQ220" i="80"/>
  <c r="DA224" i="80"/>
  <c r="DA220" i="80"/>
  <c r="CS220" i="80"/>
  <c r="EW224" i="80"/>
  <c r="BE224" i="80"/>
  <c r="DI224" i="80"/>
  <c r="DJ224" i="80" s="1"/>
  <c r="Y224" i="80"/>
  <c r="AO224" i="80"/>
  <c r="CC224" i="80"/>
  <c r="FM224" i="80"/>
  <c r="AW224" i="80"/>
  <c r="CK224" i="80"/>
  <c r="Q220" i="80"/>
  <c r="DQ224" i="80"/>
  <c r="EO220" i="80"/>
  <c r="EW220" i="80"/>
  <c r="AG224" i="80"/>
  <c r="CC220" i="79"/>
  <c r="CD220" i="79" s="1"/>
  <c r="FE220" i="80"/>
  <c r="FE220" i="79"/>
  <c r="Y220" i="80"/>
  <c r="I384" i="79"/>
  <c r="I394" i="79" s="1"/>
  <c r="I429" i="79" s="1"/>
  <c r="I430" i="79" s="1"/>
  <c r="EG224" i="80"/>
  <c r="AO220" i="79"/>
  <c r="AW220" i="80"/>
  <c r="BE269" i="80"/>
  <c r="BE271" i="80" s="1"/>
  <c r="EO224" i="80"/>
  <c r="FE224" i="80"/>
  <c r="Y220" i="79"/>
  <c r="CK220" i="80"/>
  <c r="I50" i="79"/>
  <c r="DY224" i="80"/>
  <c r="BM224" i="80"/>
  <c r="BE220" i="79"/>
  <c r="AG220" i="80"/>
  <c r="CC220" i="80"/>
  <c r="DA225" i="80"/>
  <c r="CC269" i="80"/>
  <c r="CC271" i="80" s="1"/>
  <c r="DY225" i="80"/>
  <c r="BU225" i="79"/>
  <c r="FM220" i="79"/>
  <c r="AG220" i="79"/>
  <c r="DI220" i="80"/>
  <c r="DJ220" i="80" s="1"/>
  <c r="AW269" i="80"/>
  <c r="AW271" i="80" s="1"/>
  <c r="Q221" i="80"/>
  <c r="BM269" i="80"/>
  <c r="BM271" i="80" s="1"/>
  <c r="FE39" i="79"/>
  <c r="FE435" i="79" s="1"/>
  <c r="FE438" i="79" s="1"/>
  <c r="FE439" i="79" s="1"/>
  <c r="FE448" i="79" s="1"/>
  <c r="CK39" i="79"/>
  <c r="CK384" i="79" s="1"/>
  <c r="CK394" i="79" s="1"/>
  <c r="DY39" i="79"/>
  <c r="DY384" i="79" s="1"/>
  <c r="DY394" i="79" s="1"/>
  <c r="DA39" i="79"/>
  <c r="DA50" i="79" s="1"/>
  <c r="BM39" i="79"/>
  <c r="BM50" i="79" s="1"/>
  <c r="DY220" i="80"/>
  <c r="EO269" i="80"/>
  <c r="EO271" i="80" s="1"/>
  <c r="DI225" i="79"/>
  <c r="FE269" i="80"/>
  <c r="FE271" i="80" s="1"/>
  <c r="AG269" i="80"/>
  <c r="AG271" i="80" s="1"/>
  <c r="BU269" i="80"/>
  <c r="BU271" i="80" s="1"/>
  <c r="DI269" i="80"/>
  <c r="DI271" i="80" s="1"/>
  <c r="FM269" i="80"/>
  <c r="FM271" i="80" s="1"/>
  <c r="DQ269" i="80"/>
  <c r="DQ271" i="80" s="1"/>
  <c r="EW269" i="80"/>
  <c r="EW271" i="80" s="1"/>
  <c r="CK269" i="80"/>
  <c r="CK271" i="80" s="1"/>
  <c r="Y269" i="80"/>
  <c r="Y271" i="80" s="1"/>
  <c r="I384" i="80"/>
  <c r="I394" i="80" s="1"/>
  <c r="Y219" i="79"/>
  <c r="AO219" i="79"/>
  <c r="FE39" i="80"/>
  <c r="FE384" i="80" s="1"/>
  <c r="BM219" i="79"/>
  <c r="DI219" i="79"/>
  <c r="FE219" i="79"/>
  <c r="CC219" i="79"/>
  <c r="EO219" i="79"/>
  <c r="DQ219" i="79"/>
  <c r="EW219" i="79"/>
  <c r="CS219" i="79"/>
  <c r="DY219" i="79"/>
  <c r="AG219" i="79"/>
  <c r="DA219" i="79"/>
  <c r="EG219" i="79"/>
  <c r="AW219" i="79"/>
  <c r="Q219" i="79"/>
  <c r="CK219" i="79"/>
  <c r="BU219" i="79"/>
  <c r="FM219" i="79"/>
  <c r="CC39" i="80"/>
  <c r="CC384" i="80" s="1"/>
  <c r="I50" i="80"/>
  <c r="I52" i="80" s="1"/>
  <c r="BU39" i="80"/>
  <c r="BU50" i="80" s="1"/>
  <c r="BU52" i="80" s="1"/>
  <c r="Y275" i="79"/>
  <c r="CK275" i="79"/>
  <c r="AW275" i="79"/>
  <c r="EO275" i="79"/>
  <c r="BE275" i="79"/>
  <c r="BF275" i="79" s="1"/>
  <c r="CS275" i="79"/>
  <c r="DI275" i="79"/>
  <c r="FE275" i="79"/>
  <c r="AG275" i="79"/>
  <c r="EW275" i="79"/>
  <c r="BM275" i="79"/>
  <c r="EG275" i="79"/>
  <c r="DQ275" i="79"/>
  <c r="AO275" i="79"/>
  <c r="FM39" i="80"/>
  <c r="FM384" i="80" s="1"/>
  <c r="Q275" i="79"/>
  <c r="FM275" i="79"/>
  <c r="CC275" i="79"/>
  <c r="DY269" i="80"/>
  <c r="DY271" i="80" s="1"/>
  <c r="BU275" i="79"/>
  <c r="DI39" i="80"/>
  <c r="DJ39" i="80" s="1"/>
  <c r="DJ50" i="80" s="1"/>
  <c r="DJ52" i="80" s="1"/>
  <c r="DA275" i="79"/>
  <c r="DY269" i="79"/>
  <c r="DY271" i="79" s="1"/>
  <c r="EG269" i="80"/>
  <c r="EG271" i="80" s="1"/>
  <c r="FM275" i="80"/>
  <c r="I271" i="80"/>
  <c r="P275" i="79"/>
  <c r="FM221" i="79"/>
  <c r="BE221" i="79"/>
  <c r="BM39" i="80"/>
  <c r="BM50" i="80" s="1"/>
  <c r="BM52" i="80" s="1"/>
  <c r="EG39" i="80"/>
  <c r="EG384" i="80" s="1"/>
  <c r="DQ39" i="80"/>
  <c r="DQ384" i="80" s="1"/>
  <c r="EW39" i="80"/>
  <c r="EW384" i="80" s="1"/>
  <c r="EO39" i="80"/>
  <c r="EO384" i="80" s="1"/>
  <c r="AW39" i="80"/>
  <c r="AW50" i="80" s="1"/>
  <c r="AW52" i="80" s="1"/>
  <c r="AN269" i="79"/>
  <c r="AN271" i="79" s="1"/>
  <c r="BE39" i="80"/>
  <c r="BE384" i="80" s="1"/>
  <c r="Q39" i="80"/>
  <c r="Q50" i="80" s="1"/>
  <c r="Q52" i="80" s="1"/>
  <c r="CS39" i="80"/>
  <c r="CS384" i="80" s="1"/>
  <c r="DY39" i="80"/>
  <c r="DY50" i="80" s="1"/>
  <c r="DY52" i="80" s="1"/>
  <c r="CK39" i="80"/>
  <c r="CK50" i="80" s="1"/>
  <c r="CK52" i="80" s="1"/>
  <c r="AO39" i="80"/>
  <c r="AO50" i="80" s="1"/>
  <c r="AO52" i="80" s="1"/>
  <c r="DA39" i="80"/>
  <c r="DA50" i="80" s="1"/>
  <c r="DA52" i="80" s="1"/>
  <c r="AG39" i="80"/>
  <c r="AG50" i="80" s="1"/>
  <c r="AG52" i="80" s="1"/>
  <c r="FM269" i="79"/>
  <c r="FM271" i="79" s="1"/>
  <c r="BU269" i="79"/>
  <c r="BU271" i="79" s="1"/>
  <c r="EO269" i="79"/>
  <c r="EO271" i="79" s="1"/>
  <c r="BU275" i="80"/>
  <c r="CS275" i="80"/>
  <c r="BE275" i="80"/>
  <c r="AW275" i="80"/>
  <c r="DI275" i="80"/>
  <c r="CS221" i="79"/>
  <c r="BM221" i="79"/>
  <c r="CK221" i="79"/>
  <c r="EW221" i="79"/>
  <c r="EO221" i="79"/>
  <c r="AG221" i="79"/>
  <c r="DY221" i="79"/>
  <c r="BU221" i="79"/>
  <c r="DI221" i="79"/>
  <c r="Q221" i="79"/>
  <c r="R221" i="79" s="1"/>
  <c r="AW221" i="79"/>
  <c r="AO221" i="79"/>
  <c r="DA221" i="79"/>
  <c r="DQ221" i="79"/>
  <c r="CC221" i="79"/>
  <c r="FE221" i="79"/>
  <c r="Y221" i="79"/>
  <c r="DA269" i="79"/>
  <c r="DA271" i="79" s="1"/>
  <c r="BM269" i="79"/>
  <c r="BM271" i="79" s="1"/>
  <c r="I271" i="79"/>
  <c r="EW275" i="80"/>
  <c r="AG275" i="80"/>
  <c r="BM275" i="80"/>
  <c r="EG269" i="79"/>
  <c r="EG271" i="79" s="1"/>
  <c r="DI269" i="79"/>
  <c r="DI271" i="79" s="1"/>
  <c r="Q275" i="80"/>
  <c r="Y275" i="80"/>
  <c r="Z275" i="80" s="1"/>
  <c r="AO275" i="80"/>
  <c r="EW269" i="79"/>
  <c r="EW271" i="79" s="1"/>
  <c r="AW269" i="79"/>
  <c r="AW271" i="79" s="1"/>
  <c r="EO275" i="80"/>
  <c r="DA275" i="80"/>
  <c r="DQ269" i="79"/>
  <c r="DQ271" i="79" s="1"/>
  <c r="CK269" i="79"/>
  <c r="CK271" i="79" s="1"/>
  <c r="DQ275" i="80"/>
  <c r="FE275" i="80"/>
  <c r="Q269" i="79"/>
  <c r="Q271" i="79" s="1"/>
  <c r="AG269" i="79"/>
  <c r="AG271" i="79" s="1"/>
  <c r="Y269" i="79"/>
  <c r="Y271" i="79" s="1"/>
  <c r="CC275" i="80"/>
  <c r="DY275" i="80"/>
  <c r="FE269" i="79"/>
  <c r="FE271" i="79" s="1"/>
  <c r="BE269" i="79"/>
  <c r="BE271" i="79" s="1"/>
  <c r="CS269" i="79"/>
  <c r="CS271" i="79" s="1"/>
  <c r="CK275" i="80"/>
  <c r="BU221" i="80"/>
  <c r="AO221" i="80"/>
  <c r="EW221" i="80"/>
  <c r="FE221" i="80"/>
  <c r="AW221" i="80"/>
  <c r="DY221" i="80"/>
  <c r="FM221" i="80"/>
  <c r="DA221" i="80"/>
  <c r="Y221" i="80"/>
  <c r="Z221" i="80" s="1"/>
  <c r="DI221" i="80"/>
  <c r="DQ221" i="80"/>
  <c r="CS221" i="80"/>
  <c r="AG221" i="80"/>
  <c r="BE221" i="80"/>
  <c r="CK221" i="80"/>
  <c r="EO221" i="80"/>
  <c r="BM221" i="80"/>
  <c r="DI39" i="79"/>
  <c r="DI50" i="79" s="1"/>
  <c r="CC39" i="79"/>
  <c r="CC50" i="79" s="1"/>
  <c r="DA269" i="80"/>
  <c r="DA271" i="80" s="1"/>
  <c r="Q269" i="80"/>
  <c r="Q271" i="80" s="1"/>
  <c r="AO39" i="79"/>
  <c r="AO384" i="79" s="1"/>
  <c r="AO394" i="79" s="1"/>
  <c r="Y39" i="79"/>
  <c r="Y435" i="79" s="1"/>
  <c r="Y438" i="79" s="1"/>
  <c r="Y439" i="79" s="1"/>
  <c r="Y448" i="79" s="1"/>
  <c r="Q39" i="79"/>
  <c r="Q50" i="79" s="1"/>
  <c r="AG39" i="79"/>
  <c r="AG435" i="79" s="1"/>
  <c r="AG438" i="79" s="1"/>
  <c r="AG439" i="79" s="1"/>
  <c r="AG448" i="79" s="1"/>
  <c r="CS39" i="79"/>
  <c r="CS435" i="79" s="1"/>
  <c r="CS438" i="79" s="1"/>
  <c r="CS439" i="79" s="1"/>
  <c r="CS448" i="79" s="1"/>
  <c r="DQ39" i="79"/>
  <c r="DQ435" i="79" s="1"/>
  <c r="DQ438" i="79" s="1"/>
  <c r="DQ439" i="79" s="1"/>
  <c r="DQ448" i="79" s="1"/>
  <c r="CC269" i="79"/>
  <c r="CC271" i="79" s="1"/>
  <c r="CS269" i="80"/>
  <c r="CS271" i="80" s="1"/>
  <c r="FM39" i="79"/>
  <c r="FM384" i="79" s="1"/>
  <c r="FM394" i="79" s="1"/>
  <c r="AW39" i="79"/>
  <c r="AW50" i="79" s="1"/>
  <c r="F37" i="35"/>
  <c r="F57" i="35" s="1"/>
  <c r="F58" i="35" s="1"/>
  <c r="F86" i="35" s="1"/>
  <c r="EW39" i="79"/>
  <c r="EW435" i="79" s="1"/>
  <c r="EW438" i="79" s="1"/>
  <c r="EW439" i="79" s="1"/>
  <c r="EW448" i="79" s="1"/>
  <c r="BE39" i="79"/>
  <c r="BE50" i="79" s="1"/>
  <c r="EG39" i="79"/>
  <c r="EG50" i="79" s="1"/>
  <c r="I52" i="13"/>
  <c r="I52" i="85" s="1"/>
  <c r="CZ269" i="80"/>
  <c r="CZ271" i="80" s="1"/>
  <c r="P269" i="79"/>
  <c r="CR269" i="79"/>
  <c r="DX269" i="79"/>
  <c r="DX271" i="79" s="1"/>
  <c r="CB269" i="79"/>
  <c r="CB271" i="79" s="1"/>
  <c r="X269" i="80"/>
  <c r="BL269" i="79"/>
  <c r="BL271" i="79" s="1"/>
  <c r="BD269" i="79"/>
  <c r="BD271" i="79" s="1"/>
  <c r="FL39" i="80"/>
  <c r="FL384" i="80" s="1"/>
  <c r="FL435" i="80" s="1"/>
  <c r="FL438" i="80" s="1"/>
  <c r="FL439" i="80" s="1"/>
  <c r="CZ275" i="80"/>
  <c r="AN275" i="79"/>
  <c r="AF275" i="79"/>
  <c r="FL275" i="79"/>
  <c r="BT275" i="79"/>
  <c r="AV275" i="79"/>
  <c r="DH275" i="79"/>
  <c r="CJ275" i="79"/>
  <c r="EF275" i="79"/>
  <c r="EV275" i="79"/>
  <c r="EN275" i="79"/>
  <c r="X275" i="79"/>
  <c r="AN275" i="80"/>
  <c r="CB275" i="80"/>
  <c r="AF275" i="80"/>
  <c r="FD275" i="80"/>
  <c r="DX275" i="80"/>
  <c r="BL275" i="80"/>
  <c r="CJ275" i="80"/>
  <c r="EV275" i="80"/>
  <c r="P275" i="80"/>
  <c r="AV275" i="80"/>
  <c r="EF275" i="80"/>
  <c r="EH275" i="80" s="1"/>
  <c r="EN275" i="80"/>
  <c r="BT275" i="80"/>
  <c r="DP275" i="80"/>
  <c r="CR275" i="80"/>
  <c r="CZ275" i="79"/>
  <c r="CB275" i="79"/>
  <c r="DH275" i="80"/>
  <c r="CR275" i="79"/>
  <c r="DX275" i="79"/>
  <c r="DZ275" i="79" s="1"/>
  <c r="FL275" i="80"/>
  <c r="BL275" i="79"/>
  <c r="CR269" i="80"/>
  <c r="CR271" i="80" s="1"/>
  <c r="DP271" i="80"/>
  <c r="FL269" i="80"/>
  <c r="FL271" i="80" s="1"/>
  <c r="H271" i="79"/>
  <c r="AF269" i="79"/>
  <c r="EF269" i="79"/>
  <c r="EV269" i="79"/>
  <c r="BT269" i="79"/>
  <c r="AV269" i="79"/>
  <c r="FL269" i="79"/>
  <c r="EN269" i="79"/>
  <c r="DH269" i="79"/>
  <c r="X269" i="79"/>
  <c r="CJ269" i="79"/>
  <c r="H271" i="80"/>
  <c r="CB269" i="80"/>
  <c r="AV269" i="80"/>
  <c r="EF269" i="80"/>
  <c r="DX269" i="80"/>
  <c r="AF269" i="80"/>
  <c r="BT269" i="80"/>
  <c r="BL269" i="80"/>
  <c r="EN269" i="80"/>
  <c r="CJ269" i="80"/>
  <c r="FD269" i="80"/>
  <c r="P269" i="80"/>
  <c r="EV269" i="80"/>
  <c r="AN269" i="80"/>
  <c r="DH269" i="80"/>
  <c r="CB39" i="79"/>
  <c r="X39" i="80"/>
  <c r="X384" i="80" s="1"/>
  <c r="X435" i="80" s="1"/>
  <c r="X438" i="80" s="1"/>
  <c r="X439" i="80" s="1"/>
  <c r="CZ39" i="80"/>
  <c r="CZ384" i="80" s="1"/>
  <c r="CZ435" i="80" s="1"/>
  <c r="CZ438" i="80" s="1"/>
  <c r="CZ439" i="80" s="1"/>
  <c r="BL39" i="79"/>
  <c r="BL435" i="79" s="1"/>
  <c r="BL438" i="79" s="1"/>
  <c r="BL439" i="79" s="1"/>
  <c r="BD39" i="79"/>
  <c r="BD435" i="79" s="1"/>
  <c r="BD438" i="79" s="1"/>
  <c r="BD439" i="79" s="1"/>
  <c r="DX39" i="79"/>
  <c r="DX50" i="79" s="1"/>
  <c r="DX413" i="79" s="1"/>
  <c r="DX414" i="79" s="1"/>
  <c r="DX415" i="79" s="1"/>
  <c r="P39" i="79"/>
  <c r="P384" i="79" s="1"/>
  <c r="P394" i="79" s="1"/>
  <c r="P395" i="79" s="1"/>
  <c r="CR39" i="79"/>
  <c r="CR384" i="79" s="1"/>
  <c r="CR394" i="79" s="1"/>
  <c r="CR395" i="79" s="1"/>
  <c r="CZ39" i="79"/>
  <c r="CR39" i="80"/>
  <c r="CR384" i="80" s="1"/>
  <c r="CR435" i="80" s="1"/>
  <c r="CR438" i="80" s="1"/>
  <c r="CR439" i="80" s="1"/>
  <c r="CR448" i="80" s="1"/>
  <c r="FL224" i="80"/>
  <c r="DH384" i="80"/>
  <c r="DH50" i="80"/>
  <c r="DH52" i="80" s="1"/>
  <c r="EO384" i="79"/>
  <c r="EO394" i="79" s="1"/>
  <c r="EO50" i="79"/>
  <c r="EO435" i="79"/>
  <c r="EO438" i="79" s="1"/>
  <c r="EO439" i="79" s="1"/>
  <c r="EO448" i="79" s="1"/>
  <c r="BM384" i="79"/>
  <c r="BM394" i="79" s="1"/>
  <c r="EV39" i="79"/>
  <c r="FL39" i="79"/>
  <c r="CJ39" i="79"/>
  <c r="AV39" i="79"/>
  <c r="EN39" i="79"/>
  <c r="AF39" i="79"/>
  <c r="DH39" i="79"/>
  <c r="BT39" i="79"/>
  <c r="EF39" i="79"/>
  <c r="X39" i="79"/>
  <c r="AV39" i="80"/>
  <c r="AN39" i="80"/>
  <c r="FD39" i="80"/>
  <c r="CB39" i="80"/>
  <c r="EF39" i="80"/>
  <c r="BT39" i="80"/>
  <c r="CJ39" i="80"/>
  <c r="EV39" i="80"/>
  <c r="DX39" i="80"/>
  <c r="EN39" i="80"/>
  <c r="AF39" i="80"/>
  <c r="DP39" i="80"/>
  <c r="P39" i="80"/>
  <c r="BL39" i="80"/>
  <c r="Y50" i="80"/>
  <c r="Y52" i="80" s="1"/>
  <c r="Y384" i="80"/>
  <c r="FE50" i="80"/>
  <c r="FE52" i="80" s="1"/>
  <c r="R222" i="79"/>
  <c r="CZ225" i="79"/>
  <c r="DB225" i="79" s="1"/>
  <c r="BD225" i="79"/>
  <c r="DX225" i="79"/>
  <c r="DZ225" i="79" s="1"/>
  <c r="BL225" i="79"/>
  <c r="AN225" i="79"/>
  <c r="AP225" i="79" s="1"/>
  <c r="BD224" i="79"/>
  <c r="BF224" i="79" s="1"/>
  <c r="CB224" i="79"/>
  <c r="CD224" i="79" s="1"/>
  <c r="X222" i="80"/>
  <c r="Z222" i="80" s="1"/>
  <c r="FL222" i="80"/>
  <c r="FN222" i="80" s="1"/>
  <c r="P225" i="79"/>
  <c r="R225" i="79" s="1"/>
  <c r="CR225" i="79"/>
  <c r="X225" i="80"/>
  <c r="Z225" i="80" s="1"/>
  <c r="P224" i="79"/>
  <c r="R224" i="79" s="1"/>
  <c r="CR224" i="79"/>
  <c r="CT224" i="79" s="1"/>
  <c r="BN224" i="79"/>
  <c r="CZ220" i="80"/>
  <c r="DB220" i="80" s="1"/>
  <c r="CZ224" i="80"/>
  <c r="FL220" i="80"/>
  <c r="FN220" i="80" s="1"/>
  <c r="CZ224" i="79"/>
  <c r="DB224" i="79" s="1"/>
  <c r="CR222" i="79"/>
  <c r="CT222" i="79" s="1"/>
  <c r="DH222" i="80"/>
  <c r="DJ222" i="80" s="1"/>
  <c r="CB222" i="79"/>
  <c r="CD222" i="79" s="1"/>
  <c r="DX222" i="79"/>
  <c r="DZ222" i="79" s="1"/>
  <c r="AN222" i="79"/>
  <c r="AP222" i="79" s="1"/>
  <c r="X220" i="80"/>
  <c r="BD220" i="79"/>
  <c r="CZ221" i="80"/>
  <c r="CZ222" i="79"/>
  <c r="DB222" i="79" s="1"/>
  <c r="CZ222" i="80"/>
  <c r="DB222" i="80" s="1"/>
  <c r="CR220" i="80"/>
  <c r="CB221" i="79"/>
  <c r="DX224" i="79"/>
  <c r="DZ224" i="79" s="1"/>
  <c r="BL222" i="79"/>
  <c r="BN222" i="79" s="1"/>
  <c r="CR220" i="79"/>
  <c r="CD225" i="79"/>
  <c r="CT222" i="80"/>
  <c r="BT219" i="80"/>
  <c r="BV219" i="80" s="1"/>
  <c r="AV219" i="80"/>
  <c r="AX219" i="80" s="1"/>
  <c r="BL219" i="80"/>
  <c r="BN219" i="80" s="1"/>
  <c r="EN219" i="80"/>
  <c r="EP219" i="80" s="1"/>
  <c r="CB219" i="80"/>
  <c r="CD219" i="80" s="1"/>
  <c r="AF219" i="80"/>
  <c r="AH219" i="80" s="1"/>
  <c r="CJ219" i="80"/>
  <c r="CL219" i="80" s="1"/>
  <c r="FD219" i="80"/>
  <c r="FF219" i="80" s="1"/>
  <c r="EV219" i="80"/>
  <c r="EX219" i="80" s="1"/>
  <c r="EF219" i="80"/>
  <c r="EH219" i="80" s="1"/>
  <c r="DP219" i="80"/>
  <c r="DR219" i="80" s="1"/>
  <c r="AN219" i="80"/>
  <c r="AP219" i="80" s="1"/>
  <c r="DX219" i="80"/>
  <c r="DZ219" i="80" s="1"/>
  <c r="P219" i="80"/>
  <c r="R219" i="80" s="1"/>
  <c r="X219" i="80"/>
  <c r="Z219" i="80" s="1"/>
  <c r="DX220" i="79"/>
  <c r="DZ220" i="79" s="1"/>
  <c r="AF224" i="79"/>
  <c r="AH224" i="79" s="1"/>
  <c r="EF224" i="79"/>
  <c r="EH224" i="79" s="1"/>
  <c r="X224" i="79"/>
  <c r="Z224" i="79" s="1"/>
  <c r="DH224" i="79"/>
  <c r="DJ224" i="79" s="1"/>
  <c r="EN224" i="79"/>
  <c r="EP224" i="79" s="1"/>
  <c r="FL224" i="79"/>
  <c r="FN224" i="79" s="1"/>
  <c r="EV224" i="79"/>
  <c r="EX224" i="79" s="1"/>
  <c r="CJ224" i="79"/>
  <c r="CL224" i="79" s="1"/>
  <c r="AV224" i="79"/>
  <c r="AX224" i="79" s="1"/>
  <c r="BT224" i="79"/>
  <c r="BV224" i="79" s="1"/>
  <c r="CR225" i="80"/>
  <c r="AN224" i="79"/>
  <c r="AP224" i="79" s="1"/>
  <c r="DH221" i="80"/>
  <c r="DX221" i="79"/>
  <c r="AN221" i="79"/>
  <c r="CR219" i="79"/>
  <c r="AF221" i="79"/>
  <c r="X221" i="79"/>
  <c r="BT221" i="79"/>
  <c r="FL221" i="79"/>
  <c r="DH221" i="79"/>
  <c r="CJ221" i="79"/>
  <c r="EV221" i="79"/>
  <c r="EN221" i="79"/>
  <c r="AV221" i="79"/>
  <c r="EF221" i="79"/>
  <c r="EH221" i="79" s="1"/>
  <c r="CR219" i="80"/>
  <c r="CT219" i="80" s="1"/>
  <c r="DX219" i="79"/>
  <c r="X224" i="80"/>
  <c r="CZ220" i="79"/>
  <c r="DB220" i="79" s="1"/>
  <c r="AN220" i="79"/>
  <c r="CR224" i="80"/>
  <c r="CT224" i="80" s="1"/>
  <c r="CZ219" i="80"/>
  <c r="DB219" i="80" s="1"/>
  <c r="BT224" i="80"/>
  <c r="BV224" i="80" s="1"/>
  <c r="AV224" i="80"/>
  <c r="DP224" i="80"/>
  <c r="CB224" i="80"/>
  <c r="FD224" i="80"/>
  <c r="EN224" i="80"/>
  <c r="P224" i="80"/>
  <c r="R224" i="80" s="1"/>
  <c r="AF224" i="80"/>
  <c r="EV224" i="80"/>
  <c r="AN224" i="80"/>
  <c r="EF224" i="80"/>
  <c r="BL224" i="80"/>
  <c r="DX224" i="80"/>
  <c r="CJ224" i="80"/>
  <c r="BL219" i="79"/>
  <c r="AN219" i="79"/>
  <c r="CB219" i="79"/>
  <c r="BL225" i="80"/>
  <c r="BN225" i="80" s="1"/>
  <c r="AF225" i="80"/>
  <c r="BT225" i="80"/>
  <c r="DP225" i="80"/>
  <c r="FD225" i="80"/>
  <c r="FF225" i="80" s="1"/>
  <c r="EF225" i="80"/>
  <c r="EH225" i="80" s="1"/>
  <c r="CB225" i="80"/>
  <c r="CD225" i="80" s="1"/>
  <c r="AN225" i="80"/>
  <c r="AV225" i="80"/>
  <c r="EV225" i="80"/>
  <c r="EX225" i="80" s="1"/>
  <c r="CJ225" i="80"/>
  <c r="CL225" i="80" s="1"/>
  <c r="P225" i="80"/>
  <c r="R225" i="80" s="1"/>
  <c r="DX225" i="80"/>
  <c r="EN225" i="80"/>
  <c r="FL219" i="80"/>
  <c r="FN219" i="80" s="1"/>
  <c r="BL221" i="79"/>
  <c r="P220" i="79"/>
  <c r="R220" i="79" s="1"/>
  <c r="CZ221" i="79"/>
  <c r="AF225" i="79"/>
  <c r="BT225" i="79"/>
  <c r="EN225" i="79"/>
  <c r="EP225" i="79" s="1"/>
  <c r="EF225" i="79"/>
  <c r="EH225" i="79" s="1"/>
  <c r="FL225" i="79"/>
  <c r="DH225" i="79"/>
  <c r="X225" i="79"/>
  <c r="Z225" i="79" s="1"/>
  <c r="EV225" i="79"/>
  <c r="EX225" i="79" s="1"/>
  <c r="AV225" i="79"/>
  <c r="AX225" i="79" s="1"/>
  <c r="CJ225" i="79"/>
  <c r="CL225" i="79" s="1"/>
  <c r="AV221" i="80"/>
  <c r="EN221" i="80"/>
  <c r="EV221" i="80"/>
  <c r="CB221" i="80"/>
  <c r="BT221" i="80"/>
  <c r="P221" i="80"/>
  <c r="DP221" i="80"/>
  <c r="FD221" i="80"/>
  <c r="AN221" i="80"/>
  <c r="AF221" i="80"/>
  <c r="BL221" i="80"/>
  <c r="CJ221" i="80"/>
  <c r="EF221" i="80"/>
  <c r="EH221" i="80" s="1"/>
  <c r="DX221" i="80"/>
  <c r="BD221" i="79"/>
  <c r="FL221" i="80"/>
  <c r="AF220" i="79"/>
  <c r="DH220" i="79"/>
  <c r="DJ220" i="79" s="1"/>
  <c r="EN220" i="79"/>
  <c r="EP220" i="79" s="1"/>
  <c r="X220" i="79"/>
  <c r="CJ220" i="79"/>
  <c r="CL220" i="79" s="1"/>
  <c r="EV220" i="79"/>
  <c r="EX220" i="79" s="1"/>
  <c r="EF220" i="79"/>
  <c r="EH220" i="79" s="1"/>
  <c r="FL220" i="79"/>
  <c r="BT220" i="79"/>
  <c r="BV220" i="79" s="1"/>
  <c r="AV220" i="79"/>
  <c r="AX220" i="79" s="1"/>
  <c r="CR221" i="79"/>
  <c r="AF219" i="79"/>
  <c r="BT219" i="79"/>
  <c r="FL219" i="79"/>
  <c r="EV219" i="79"/>
  <c r="EN219" i="79"/>
  <c r="DH219" i="79"/>
  <c r="EF219" i="79"/>
  <c r="X219" i="79"/>
  <c r="AV219" i="79"/>
  <c r="CJ219" i="79"/>
  <c r="CR221" i="80"/>
  <c r="DH219" i="80"/>
  <c r="DJ219" i="80" s="1"/>
  <c r="P219" i="79"/>
  <c r="CZ219" i="79"/>
  <c r="AF222" i="79"/>
  <c r="AH222" i="79" s="1"/>
  <c r="EN222" i="79"/>
  <c r="EP222" i="79" s="1"/>
  <c r="DH222" i="79"/>
  <c r="DJ222" i="79" s="1"/>
  <c r="EV222" i="79"/>
  <c r="EX222" i="79" s="1"/>
  <c r="X222" i="79"/>
  <c r="Z222" i="79" s="1"/>
  <c r="FL222" i="79"/>
  <c r="FN222" i="79" s="1"/>
  <c r="CJ222" i="79"/>
  <c r="CL222" i="79" s="1"/>
  <c r="AV222" i="79"/>
  <c r="AX222" i="79" s="1"/>
  <c r="BT222" i="79"/>
  <c r="BV222" i="79" s="1"/>
  <c r="EF222" i="79"/>
  <c r="EH222" i="79" s="1"/>
  <c r="BL220" i="79"/>
  <c r="BN220" i="79" s="1"/>
  <c r="BD222" i="79"/>
  <c r="BF222" i="79" s="1"/>
  <c r="CZ225" i="80"/>
  <c r="FL225" i="80"/>
  <c r="FN225" i="80" s="1"/>
  <c r="CB222" i="80"/>
  <c r="CD222" i="80" s="1"/>
  <c r="BL222" i="80"/>
  <c r="BN222" i="80" s="1"/>
  <c r="CJ222" i="80"/>
  <c r="CL222" i="80" s="1"/>
  <c r="EN222" i="80"/>
  <c r="EP222" i="80" s="1"/>
  <c r="AN222" i="80"/>
  <c r="AP222" i="80" s="1"/>
  <c r="AF222" i="80"/>
  <c r="AH222" i="80" s="1"/>
  <c r="DP222" i="80"/>
  <c r="DR222" i="80" s="1"/>
  <c r="DX222" i="80"/>
  <c r="DZ222" i="80" s="1"/>
  <c r="EV222" i="80"/>
  <c r="EX222" i="80" s="1"/>
  <c r="BT222" i="80"/>
  <c r="BV222" i="80" s="1"/>
  <c r="FD222" i="80"/>
  <c r="FF222" i="80" s="1"/>
  <c r="P222" i="80"/>
  <c r="R222" i="80" s="1"/>
  <c r="EF222" i="80"/>
  <c r="EH222" i="80" s="1"/>
  <c r="AV222" i="80"/>
  <c r="AX222" i="80" s="1"/>
  <c r="AV220" i="80"/>
  <c r="DP220" i="80"/>
  <c r="DR220" i="80" s="1"/>
  <c r="AF220" i="80"/>
  <c r="CJ220" i="80"/>
  <c r="EV220" i="80"/>
  <c r="EX220" i="80" s="1"/>
  <c r="BT220" i="80"/>
  <c r="BV220" i="80" s="1"/>
  <c r="P220" i="80"/>
  <c r="R220" i="80" s="1"/>
  <c r="AN220" i="80"/>
  <c r="AP220" i="80" s="1"/>
  <c r="DX220" i="80"/>
  <c r="FD220" i="80"/>
  <c r="CB220" i="80"/>
  <c r="EF220" i="80"/>
  <c r="EN220" i="80"/>
  <c r="EP220" i="80" s="1"/>
  <c r="BL220" i="80"/>
  <c r="BN220" i="80" s="1"/>
  <c r="FD224" i="79"/>
  <c r="FF224" i="79" s="1"/>
  <c r="FD222" i="79"/>
  <c r="FF222" i="79" s="1"/>
  <c r="FD39" i="79"/>
  <c r="FD269" i="79"/>
  <c r="FD219" i="79"/>
  <c r="FD275" i="79"/>
  <c r="FD220" i="79"/>
  <c r="FD225" i="79"/>
  <c r="FF225" i="79" s="1"/>
  <c r="FD221" i="79"/>
  <c r="DP222" i="79"/>
  <c r="DR222" i="79" s="1"/>
  <c r="DP224" i="79"/>
  <c r="DR224" i="79" s="1"/>
  <c r="DP269" i="79"/>
  <c r="DP219" i="79"/>
  <c r="DP221" i="79"/>
  <c r="DP275" i="79"/>
  <c r="DP225" i="79"/>
  <c r="DP39" i="79"/>
  <c r="DP220" i="79"/>
  <c r="DR220" i="79" s="1"/>
  <c r="F57" i="82"/>
  <c r="F58" i="82" s="1"/>
  <c r="F59" i="82" s="1"/>
  <c r="F86" i="82" s="1"/>
  <c r="F38" i="82"/>
  <c r="F82" i="82" s="1"/>
  <c r="J50" i="79"/>
  <c r="J435" i="79"/>
  <c r="J438" i="79" s="1"/>
  <c r="J439" i="79" s="1"/>
  <c r="J448" i="79" s="1"/>
  <c r="J384" i="79"/>
  <c r="J394" i="79" s="1"/>
  <c r="E70" i="82"/>
  <c r="E73" i="82" s="1"/>
  <c r="E74" i="82" s="1"/>
  <c r="E83" i="82" s="1"/>
  <c r="E37" i="82"/>
  <c r="I435" i="80"/>
  <c r="I438" i="80" s="1"/>
  <c r="I439" i="80" s="1"/>
  <c r="I448" i="80" s="1"/>
  <c r="G70" i="35"/>
  <c r="G73" i="35" s="1"/>
  <c r="G37" i="35"/>
  <c r="G70" i="82"/>
  <c r="G73" i="82" s="1"/>
  <c r="G74" i="82" s="1"/>
  <c r="G83" i="82" s="1"/>
  <c r="G37" i="82"/>
  <c r="I52" i="79"/>
  <c r="I413" i="79"/>
  <c r="I414" i="79" s="1"/>
  <c r="I415" i="79" s="1"/>
  <c r="I451" i="79" s="1"/>
  <c r="H52" i="13"/>
  <c r="H52" i="85" s="1"/>
  <c r="H50" i="85"/>
  <c r="J52" i="13"/>
  <c r="J52" i="85" s="1"/>
  <c r="J50" i="85"/>
  <c r="H50" i="80"/>
  <c r="H52" i="80" s="1"/>
  <c r="H384" i="80"/>
  <c r="I74" i="26"/>
  <c r="F385" i="85"/>
  <c r="J384" i="80"/>
  <c r="J50" i="80"/>
  <c r="J52" i="80" s="1"/>
  <c r="H435" i="79"/>
  <c r="H438" i="79" s="1"/>
  <c r="H439" i="79" s="1"/>
  <c r="H50" i="79"/>
  <c r="H384" i="79"/>
  <c r="H394" i="79" s="1"/>
  <c r="H395" i="79" s="1"/>
  <c r="E37" i="35"/>
  <c r="E70" i="35"/>
  <c r="E73" i="35" s="1"/>
  <c r="E74" i="35" s="1"/>
  <c r="E83" i="35" s="1"/>
  <c r="AN435" i="79"/>
  <c r="AN438" i="79" s="1"/>
  <c r="AN439" i="79" s="1"/>
  <c r="AN384" i="79"/>
  <c r="AN394" i="79" s="1"/>
  <c r="AN395" i="79" s="1"/>
  <c r="AN52" i="79"/>
  <c r="BD222" i="80"/>
  <c r="BF222" i="80" s="1"/>
  <c r="BD221" i="80"/>
  <c r="BD224" i="80"/>
  <c r="BD275" i="80"/>
  <c r="BD269" i="80"/>
  <c r="BD219" i="80"/>
  <c r="BD225" i="80"/>
  <c r="BF225" i="80" s="1"/>
  <c r="BD220" i="80"/>
  <c r="BF220" i="80" s="1"/>
  <c r="BD39" i="80"/>
  <c r="BD384" i="80" s="1"/>
  <c r="BF219" i="79"/>
  <c r="CZ271" i="79"/>
  <c r="DZ224" i="80" l="1"/>
  <c r="AX224" i="80"/>
  <c r="BF224" i="80"/>
  <c r="FE50" i="79"/>
  <c r="FE384" i="79"/>
  <c r="FE394" i="79" s="1"/>
  <c r="EH224" i="80"/>
  <c r="AH219" i="79"/>
  <c r="DJ225" i="79"/>
  <c r="Z220" i="79"/>
  <c r="BV275" i="79"/>
  <c r="G74" i="35"/>
  <c r="G83" i="35" s="1"/>
  <c r="G38" i="35"/>
  <c r="CT220" i="79"/>
  <c r="BU435" i="79"/>
  <c r="BU438" i="79" s="1"/>
  <c r="BU439" i="79" s="1"/>
  <c r="BU448" i="79" s="1"/>
  <c r="BU50" i="79"/>
  <c r="BV225" i="80"/>
  <c r="BE50" i="80"/>
  <c r="BE52" i="80" s="1"/>
  <c r="FF224" i="80"/>
  <c r="CL224" i="80"/>
  <c r="DR269" i="80"/>
  <c r="DR271" i="80" s="1"/>
  <c r="AH225" i="80"/>
  <c r="R221" i="80"/>
  <c r="EX224" i="80"/>
  <c r="DZ220" i="80"/>
  <c r="FN219" i="79"/>
  <c r="AX225" i="80"/>
  <c r="FF220" i="79"/>
  <c r="CD224" i="80"/>
  <c r="AX219" i="79"/>
  <c r="CK50" i="79"/>
  <c r="CK413" i="79" s="1"/>
  <c r="CK414" i="79" s="1"/>
  <c r="CK415" i="79" s="1"/>
  <c r="CK451" i="79" s="1"/>
  <c r="CK435" i="79"/>
  <c r="CK438" i="79" s="1"/>
  <c r="CK439" i="79" s="1"/>
  <c r="CK448" i="79" s="1"/>
  <c r="DB224" i="80"/>
  <c r="I395" i="79"/>
  <c r="I447" i="79" s="1"/>
  <c r="CD220" i="80"/>
  <c r="FF220" i="80"/>
  <c r="Z224" i="80"/>
  <c r="BN225" i="79"/>
  <c r="BM384" i="80"/>
  <c r="BM435" i="80" s="1"/>
  <c r="BM438" i="80" s="1"/>
  <c r="BM439" i="80" s="1"/>
  <c r="BM448" i="80" s="1"/>
  <c r="AH225" i="79"/>
  <c r="BU384" i="80"/>
  <c r="BU435" i="80" s="1"/>
  <c r="BU438" i="80" s="1"/>
  <c r="BU439" i="80" s="1"/>
  <c r="BU448" i="80" s="1"/>
  <c r="BM435" i="79"/>
  <c r="BM438" i="79" s="1"/>
  <c r="BM439" i="79" s="1"/>
  <c r="BM448" i="79" s="1"/>
  <c r="AH220" i="80"/>
  <c r="DB225" i="80"/>
  <c r="CT225" i="79"/>
  <c r="DA435" i="79"/>
  <c r="DA438" i="79" s="1"/>
  <c r="DA439" i="79" s="1"/>
  <c r="DA448" i="79" s="1"/>
  <c r="FN225" i="79"/>
  <c r="BF220" i="79"/>
  <c r="CC50" i="80"/>
  <c r="CC52" i="80" s="1"/>
  <c r="DA384" i="79"/>
  <c r="DA394" i="79" s="1"/>
  <c r="DA429" i="79" s="1"/>
  <c r="DA430" i="79" s="1"/>
  <c r="CD221" i="80"/>
  <c r="CD219" i="79"/>
  <c r="Z220" i="80"/>
  <c r="G429" i="79"/>
  <c r="G430" i="79" s="1"/>
  <c r="H431" i="79" s="1"/>
  <c r="EG50" i="80"/>
  <c r="EG52" i="80" s="1"/>
  <c r="AP219" i="79"/>
  <c r="DR225" i="80"/>
  <c r="DR225" i="79"/>
  <c r="EP225" i="80"/>
  <c r="BN219" i="79"/>
  <c r="BF225" i="79"/>
  <c r="FF219" i="79"/>
  <c r="DJ219" i="79"/>
  <c r="DZ225" i="80"/>
  <c r="EH220" i="80"/>
  <c r="CL220" i="80"/>
  <c r="AP224" i="80"/>
  <c r="AP225" i="80"/>
  <c r="DR224" i="80"/>
  <c r="CS50" i="80"/>
  <c r="CS52" i="80" s="1"/>
  <c r="DI384" i="80"/>
  <c r="DI435" i="80" s="1"/>
  <c r="DI438" i="80" s="1"/>
  <c r="DI439" i="80" s="1"/>
  <c r="DI448" i="80" s="1"/>
  <c r="AX220" i="80"/>
  <c r="CT275" i="79"/>
  <c r="BV225" i="79"/>
  <c r="FN275" i="79"/>
  <c r="DB221" i="79"/>
  <c r="EW50" i="80"/>
  <c r="EW52" i="80" s="1"/>
  <c r="AP220" i="79"/>
  <c r="EP219" i="79"/>
  <c r="CT275" i="80"/>
  <c r="CT225" i="80"/>
  <c r="DB39" i="79"/>
  <c r="DB384" i="79" s="1"/>
  <c r="DB394" i="79" s="1"/>
  <c r="FN220" i="79"/>
  <c r="FF221" i="80"/>
  <c r="DI50" i="80"/>
  <c r="DI52" i="80" s="1"/>
  <c r="Z221" i="79"/>
  <c r="DJ269" i="80"/>
  <c r="DJ271" i="80" s="1"/>
  <c r="AH220" i="79"/>
  <c r="DR219" i="79"/>
  <c r="CD275" i="79"/>
  <c r="CT221" i="79"/>
  <c r="BN221" i="80"/>
  <c r="AX221" i="79"/>
  <c r="DZ219" i="79"/>
  <c r="BF275" i="80"/>
  <c r="FN224" i="80"/>
  <c r="EP224" i="80"/>
  <c r="CT220" i="80"/>
  <c r="DY435" i="79"/>
  <c r="DY438" i="79" s="1"/>
  <c r="DY439" i="79" s="1"/>
  <c r="DY448" i="79" s="1"/>
  <c r="AH224" i="80"/>
  <c r="DY50" i="79"/>
  <c r="DY413" i="79" s="1"/>
  <c r="DY414" i="79" s="1"/>
  <c r="DY415" i="79" s="1"/>
  <c r="DY451" i="79" s="1"/>
  <c r="R219" i="79"/>
  <c r="EX275" i="79"/>
  <c r="Z219" i="79"/>
  <c r="BN224" i="80"/>
  <c r="AH221" i="80"/>
  <c r="Z269" i="80"/>
  <c r="Z271" i="80" s="1"/>
  <c r="Z275" i="79"/>
  <c r="DA384" i="80"/>
  <c r="DA435" i="80" s="1"/>
  <c r="DA438" i="80" s="1"/>
  <c r="DA439" i="80" s="1"/>
  <c r="DA448" i="80" s="1"/>
  <c r="CL275" i="80"/>
  <c r="DB275" i="79"/>
  <c r="AP275" i="79"/>
  <c r="AX275" i="79"/>
  <c r="BV221" i="80"/>
  <c r="CT219" i="79"/>
  <c r="EP275" i="79"/>
  <c r="DR221" i="79"/>
  <c r="EO50" i="80"/>
  <c r="EO52" i="80" s="1"/>
  <c r="CT269" i="79"/>
  <c r="CT271" i="79" s="1"/>
  <c r="EX219" i="79"/>
  <c r="CL275" i="79"/>
  <c r="CR271" i="79"/>
  <c r="DJ275" i="79"/>
  <c r="DB219" i="79"/>
  <c r="EX221" i="79"/>
  <c r="AP39" i="79"/>
  <c r="AP384" i="79" s="1"/>
  <c r="AP394" i="79" s="1"/>
  <c r="Y50" i="79"/>
  <c r="Y413" i="79" s="1"/>
  <c r="Y414" i="79" s="1"/>
  <c r="Y415" i="79" s="1"/>
  <c r="Y451" i="79" s="1"/>
  <c r="FF275" i="79"/>
  <c r="FF275" i="80"/>
  <c r="EH219" i="79"/>
  <c r="DY384" i="80"/>
  <c r="DY394" i="80" s="1"/>
  <c r="FN221" i="80"/>
  <c r="Y384" i="79"/>
  <c r="Y394" i="79" s="1"/>
  <c r="Y429" i="79" s="1"/>
  <c r="Y430" i="79" s="1"/>
  <c r="BV219" i="79"/>
  <c r="FN221" i="79"/>
  <c r="CL219" i="79"/>
  <c r="BN275" i="79"/>
  <c r="R275" i="79"/>
  <c r="AW384" i="79"/>
  <c r="AW394" i="79" s="1"/>
  <c r="AW395" i="79" s="1"/>
  <c r="AW447" i="79" s="1"/>
  <c r="AW435" i="79"/>
  <c r="AW438" i="79" s="1"/>
  <c r="AW439" i="79" s="1"/>
  <c r="AW448" i="79" s="1"/>
  <c r="DQ50" i="80"/>
  <c r="DQ52" i="80" s="1"/>
  <c r="AP275" i="80"/>
  <c r="EH275" i="79"/>
  <c r="DR275" i="79"/>
  <c r="AP221" i="79"/>
  <c r="BF221" i="79"/>
  <c r="FM50" i="80"/>
  <c r="FM52" i="80" s="1"/>
  <c r="AH275" i="79"/>
  <c r="CL221" i="80"/>
  <c r="FN275" i="80"/>
  <c r="FF221" i="79"/>
  <c r="AP269" i="79"/>
  <c r="AP271" i="79" s="1"/>
  <c r="AW384" i="80"/>
  <c r="AW394" i="80" s="1"/>
  <c r="AX275" i="80"/>
  <c r="DB269" i="79"/>
  <c r="DB271" i="79" s="1"/>
  <c r="DB269" i="80"/>
  <c r="DB271" i="80" s="1"/>
  <c r="BN221" i="79"/>
  <c r="AX221" i="80"/>
  <c r="Q384" i="80"/>
  <c r="Q435" i="80" s="1"/>
  <c r="Q438" i="80" s="1"/>
  <c r="Q439" i="80" s="1"/>
  <c r="Q448" i="80" s="1"/>
  <c r="BV275" i="80"/>
  <c r="EP221" i="79"/>
  <c r="R269" i="79"/>
  <c r="R271" i="79" s="1"/>
  <c r="AG384" i="79"/>
  <c r="AG394" i="79" s="1"/>
  <c r="AG395" i="79" s="1"/>
  <c r="AG447" i="79" s="1"/>
  <c r="CK384" i="80"/>
  <c r="CK435" i="80" s="1"/>
  <c r="CK438" i="80" s="1"/>
  <c r="CK439" i="80" s="1"/>
  <c r="CK448" i="80" s="1"/>
  <c r="EX275" i="80"/>
  <c r="AH221" i="79"/>
  <c r="AO384" i="80"/>
  <c r="AO394" i="80" s="1"/>
  <c r="AH275" i="80"/>
  <c r="DZ269" i="79"/>
  <c r="DZ271" i="79" s="1"/>
  <c r="DJ221" i="79"/>
  <c r="AG384" i="80"/>
  <c r="AG394" i="80" s="1"/>
  <c r="CT221" i="80"/>
  <c r="EG384" i="79"/>
  <c r="EG394" i="79" s="1"/>
  <c r="EG395" i="79" s="1"/>
  <c r="EG447" i="79" s="1"/>
  <c r="DJ275" i="80"/>
  <c r="BF221" i="80"/>
  <c r="CL221" i="79"/>
  <c r="AO50" i="79"/>
  <c r="AO413" i="79" s="1"/>
  <c r="AO414" i="79" s="1"/>
  <c r="AO415" i="79" s="1"/>
  <c r="AO451" i="79" s="1"/>
  <c r="BF269" i="79"/>
  <c r="BF271" i="79" s="1"/>
  <c r="DZ221" i="80"/>
  <c r="AO435" i="79"/>
  <c r="AO438" i="79" s="1"/>
  <c r="AO439" i="79" s="1"/>
  <c r="AO448" i="79" s="1"/>
  <c r="DR275" i="80"/>
  <c r="P271" i="79"/>
  <c r="CC435" i="79"/>
  <c r="CC438" i="79" s="1"/>
  <c r="CC439" i="79" s="1"/>
  <c r="CC448" i="79" s="1"/>
  <c r="CD221" i="79"/>
  <c r="CC384" i="79"/>
  <c r="CC394" i="79" s="1"/>
  <c r="CC395" i="79" s="1"/>
  <c r="CC447" i="79" s="1"/>
  <c r="CD39" i="79"/>
  <c r="CD384" i="79" s="1"/>
  <c r="CD394" i="79" s="1"/>
  <c r="CD395" i="79" s="1"/>
  <c r="AP221" i="80"/>
  <c r="DQ50" i="79"/>
  <c r="DQ413" i="79" s="1"/>
  <c r="DQ414" i="79" s="1"/>
  <c r="DQ415" i="79" s="1"/>
  <c r="DQ451" i="79" s="1"/>
  <c r="DI435" i="79"/>
  <c r="DI438" i="79" s="1"/>
  <c r="DI439" i="79" s="1"/>
  <c r="DI448" i="79" s="1"/>
  <c r="BN275" i="80"/>
  <c r="DZ221" i="79"/>
  <c r="DQ384" i="79"/>
  <c r="DQ394" i="79" s="1"/>
  <c r="DQ395" i="79" s="1"/>
  <c r="DQ447" i="79" s="1"/>
  <c r="DI384" i="79"/>
  <c r="DI394" i="79" s="1"/>
  <c r="DI395" i="79" s="1"/>
  <c r="DI447" i="79" s="1"/>
  <c r="DB275" i="80"/>
  <c r="DR221" i="80"/>
  <c r="DJ221" i="80"/>
  <c r="BE384" i="79"/>
  <c r="BE394" i="79" s="1"/>
  <c r="BE395" i="79" s="1"/>
  <c r="BE447" i="79" s="1"/>
  <c r="EP275" i="80"/>
  <c r="X271" i="80"/>
  <c r="BE435" i="79"/>
  <c r="BE438" i="79" s="1"/>
  <c r="BE439" i="79" s="1"/>
  <c r="BE448" i="79" s="1"/>
  <c r="CS50" i="79"/>
  <c r="CS413" i="79" s="1"/>
  <c r="CS414" i="79" s="1"/>
  <c r="CS415" i="79" s="1"/>
  <c r="CS451" i="79" s="1"/>
  <c r="EX221" i="80"/>
  <c r="BV221" i="79"/>
  <c r="EG435" i="79"/>
  <c r="EG438" i="79" s="1"/>
  <c r="EG439" i="79" s="1"/>
  <c r="EG448" i="79" s="1"/>
  <c r="CS384" i="79"/>
  <c r="CS394" i="79" s="1"/>
  <c r="CS429" i="79" s="1"/>
  <c r="CS430" i="79" s="1"/>
  <c r="CD275" i="80"/>
  <c r="AG50" i="79"/>
  <c r="AG52" i="79" s="1"/>
  <c r="R275" i="80"/>
  <c r="DX435" i="79"/>
  <c r="DX438" i="79" s="1"/>
  <c r="DX439" i="79" s="1"/>
  <c r="DX448" i="79" s="1"/>
  <c r="FN269" i="80"/>
  <c r="FN271" i="80" s="1"/>
  <c r="DZ39" i="79"/>
  <c r="DZ50" i="79" s="1"/>
  <c r="DZ413" i="79" s="1"/>
  <c r="DZ414" i="79" s="1"/>
  <c r="DZ415" i="79" s="1"/>
  <c r="DZ451" i="79" s="1"/>
  <c r="DZ275" i="80"/>
  <c r="Q435" i="79"/>
  <c r="Q438" i="79" s="1"/>
  <c r="Q439" i="79" s="1"/>
  <c r="Q448" i="79" s="1"/>
  <c r="Q384" i="79"/>
  <c r="Q394" i="79" s="1"/>
  <c r="Q429" i="79" s="1"/>
  <c r="Q430" i="79" s="1"/>
  <c r="DB221" i="80"/>
  <c r="EP221" i="80"/>
  <c r="F82" i="35"/>
  <c r="I63" i="13" s="1"/>
  <c r="EW384" i="79"/>
  <c r="EW394" i="79" s="1"/>
  <c r="EW429" i="79" s="1"/>
  <c r="EW430" i="79" s="1"/>
  <c r="BN269" i="79"/>
  <c r="BN271" i="79" s="1"/>
  <c r="FL394" i="80"/>
  <c r="FL413" i="80" s="1"/>
  <c r="FL414" i="80" s="1"/>
  <c r="FL415" i="80" s="1"/>
  <c r="FL451" i="80" s="1"/>
  <c r="EW50" i="79"/>
  <c r="EW413" i="79" s="1"/>
  <c r="EW414" i="79" s="1"/>
  <c r="EW415" i="79" s="1"/>
  <c r="EW451" i="79" s="1"/>
  <c r="FL50" i="80"/>
  <c r="FL52" i="80" s="1"/>
  <c r="FM50" i="79"/>
  <c r="FM413" i="79" s="1"/>
  <c r="FM414" i="79" s="1"/>
  <c r="FM415" i="79" s="1"/>
  <c r="FM451" i="79" s="1"/>
  <c r="FM435" i="79"/>
  <c r="FM438" i="79" s="1"/>
  <c r="FM439" i="79" s="1"/>
  <c r="FM448" i="79" s="1"/>
  <c r="CD269" i="79"/>
  <c r="CD271" i="79" s="1"/>
  <c r="FN39" i="80"/>
  <c r="FN384" i="80" s="1"/>
  <c r="FN435" i="80" s="1"/>
  <c r="FN438" i="80" s="1"/>
  <c r="FN439" i="80" s="1"/>
  <c r="FN448" i="80" s="1"/>
  <c r="CT269" i="80"/>
  <c r="CT271" i="80" s="1"/>
  <c r="CB50" i="79"/>
  <c r="CB413" i="79" s="1"/>
  <c r="CB414" i="79" s="1"/>
  <c r="CB415" i="79" s="1"/>
  <c r="CB451" i="79" s="1"/>
  <c r="CB384" i="79"/>
  <c r="CB394" i="79" s="1"/>
  <c r="CB395" i="79" s="1"/>
  <c r="CB447" i="79" s="1"/>
  <c r="CB435" i="79"/>
  <c r="CB438" i="79" s="1"/>
  <c r="CB439" i="79" s="1"/>
  <c r="CB448" i="79" s="1"/>
  <c r="CL269" i="79"/>
  <c r="CL271" i="79" s="1"/>
  <c r="CJ271" i="79"/>
  <c r="Z269" i="79"/>
  <c r="Z271" i="79" s="1"/>
  <c r="X271" i="79"/>
  <c r="AP269" i="80"/>
  <c r="AP271" i="80" s="1"/>
  <c r="AN271" i="80"/>
  <c r="DH271" i="79"/>
  <c r="DJ269" i="79"/>
  <c r="DJ271" i="79" s="1"/>
  <c r="EV271" i="80"/>
  <c r="EX269" i="80"/>
  <c r="EX271" i="80" s="1"/>
  <c r="EP269" i="79"/>
  <c r="EP271" i="79" s="1"/>
  <c r="EN271" i="79"/>
  <c r="P271" i="80"/>
  <c r="R269" i="80"/>
  <c r="R271" i="80" s="1"/>
  <c r="FN269" i="79"/>
  <c r="FN271" i="79" s="1"/>
  <c r="FL271" i="79"/>
  <c r="FD271" i="80"/>
  <c r="FF269" i="80"/>
  <c r="FF271" i="80" s="1"/>
  <c r="AX269" i="79"/>
  <c r="AX271" i="79" s="1"/>
  <c r="AV271" i="79"/>
  <c r="CJ271" i="80"/>
  <c r="CL269" i="80"/>
  <c r="CL271" i="80" s="1"/>
  <c r="BV269" i="79"/>
  <c r="BV271" i="79" s="1"/>
  <c r="BT271" i="79"/>
  <c r="EP269" i="80"/>
  <c r="EP271" i="80" s="1"/>
  <c r="EN271" i="80"/>
  <c r="EV271" i="79"/>
  <c r="EX269" i="79"/>
  <c r="EX271" i="79" s="1"/>
  <c r="BN269" i="80"/>
  <c r="BN271" i="80" s="1"/>
  <c r="BL271" i="80"/>
  <c r="EH269" i="79"/>
  <c r="EH271" i="79" s="1"/>
  <c r="EF271" i="79"/>
  <c r="BV269" i="80"/>
  <c r="BV271" i="80" s="1"/>
  <c r="BT271" i="80"/>
  <c r="AF271" i="79"/>
  <c r="AH269" i="79"/>
  <c r="AH271" i="79" s="1"/>
  <c r="AF271" i="80"/>
  <c r="AH269" i="80"/>
  <c r="AH271" i="80" s="1"/>
  <c r="DX271" i="80"/>
  <c r="DZ269" i="80"/>
  <c r="DZ271" i="80" s="1"/>
  <c r="EH269" i="80"/>
  <c r="EH271" i="80" s="1"/>
  <c r="EF271" i="80"/>
  <c r="DH271" i="80"/>
  <c r="AX269" i="80"/>
  <c r="AX271" i="80" s="1"/>
  <c r="AV271" i="80"/>
  <c r="CD269" i="80"/>
  <c r="CD271" i="80" s="1"/>
  <c r="CB271" i="80"/>
  <c r="DX384" i="79"/>
  <c r="DX394" i="79" s="1"/>
  <c r="DX395" i="79" s="1"/>
  <c r="BL50" i="79"/>
  <c r="BL413" i="79" s="1"/>
  <c r="BL414" i="79" s="1"/>
  <c r="BL415" i="79" s="1"/>
  <c r="CZ394" i="80"/>
  <c r="CZ413" i="80" s="1"/>
  <c r="CZ414" i="80" s="1"/>
  <c r="CZ415" i="80" s="1"/>
  <c r="CZ451" i="80" s="1"/>
  <c r="CZ384" i="79"/>
  <c r="CZ394" i="79" s="1"/>
  <c r="CZ395" i="79" s="1"/>
  <c r="CZ435" i="79"/>
  <c r="CZ438" i="79" s="1"/>
  <c r="CZ439" i="79" s="1"/>
  <c r="CZ448" i="79" s="1"/>
  <c r="CZ50" i="79"/>
  <c r="CZ413" i="79" s="1"/>
  <c r="CZ414" i="79" s="1"/>
  <c r="CZ415" i="79" s="1"/>
  <c r="CR50" i="79"/>
  <c r="CR413" i="79" s="1"/>
  <c r="CR414" i="79" s="1"/>
  <c r="CR415" i="79" s="1"/>
  <c r="CR435" i="79"/>
  <c r="CR438" i="79" s="1"/>
  <c r="CR439" i="79" s="1"/>
  <c r="CR448" i="79" s="1"/>
  <c r="CT39" i="79"/>
  <c r="CT50" i="79" s="1"/>
  <c r="CT413" i="79" s="1"/>
  <c r="CT414" i="79" s="1"/>
  <c r="CT415" i="79" s="1"/>
  <c r="CT451" i="79" s="1"/>
  <c r="P50" i="79"/>
  <c r="P52" i="79" s="1"/>
  <c r="R39" i="79"/>
  <c r="R435" i="79" s="1"/>
  <c r="R438" i="79" s="1"/>
  <c r="R439" i="79" s="1"/>
  <c r="R448" i="79" s="1"/>
  <c r="P435" i="79"/>
  <c r="P438" i="79" s="1"/>
  <c r="P439" i="79" s="1"/>
  <c r="P448" i="79" s="1"/>
  <c r="X50" i="80"/>
  <c r="X52" i="80" s="1"/>
  <c r="X394" i="80"/>
  <c r="X413" i="80" s="1"/>
  <c r="X414" i="80" s="1"/>
  <c r="X415" i="80" s="1"/>
  <c r="X451" i="80" s="1"/>
  <c r="BN39" i="79"/>
  <c r="BN435" i="79" s="1"/>
  <c r="BN438" i="79" s="1"/>
  <c r="BN439" i="79" s="1"/>
  <c r="BN448" i="79" s="1"/>
  <c r="BL384" i="79"/>
  <c r="BL394" i="79" s="1"/>
  <c r="BL395" i="79" s="1"/>
  <c r="BD50" i="79"/>
  <c r="BD413" i="79" s="1"/>
  <c r="BD414" i="79" s="1"/>
  <c r="BD415" i="79" s="1"/>
  <c r="Z39" i="80"/>
  <c r="Z384" i="80" s="1"/>
  <c r="Z435" i="80" s="1"/>
  <c r="Z438" i="80" s="1"/>
  <c r="Z439" i="80" s="1"/>
  <c r="Z448" i="80" s="1"/>
  <c r="BF39" i="79"/>
  <c r="BF50" i="79" s="1"/>
  <c r="BF413" i="79" s="1"/>
  <c r="BF414" i="79" s="1"/>
  <c r="BF415" i="79" s="1"/>
  <c r="BF451" i="79" s="1"/>
  <c r="BD384" i="79"/>
  <c r="BD394" i="79" s="1"/>
  <c r="BD395" i="79" s="1"/>
  <c r="DB39" i="80"/>
  <c r="DB384" i="80" s="1"/>
  <c r="DB435" i="80" s="1"/>
  <c r="DB438" i="80" s="1"/>
  <c r="DB439" i="80" s="1"/>
  <c r="DB448" i="80" s="1"/>
  <c r="CZ50" i="80"/>
  <c r="CZ52" i="80" s="1"/>
  <c r="DJ384" i="80"/>
  <c r="DJ435" i="80" s="1"/>
  <c r="DJ438" i="80" s="1"/>
  <c r="DJ439" i="80" s="1"/>
  <c r="DJ448" i="80" s="1"/>
  <c r="CR394" i="80"/>
  <c r="CT39" i="80"/>
  <c r="CR50" i="80"/>
  <c r="CR52" i="80" s="1"/>
  <c r="AV384" i="80"/>
  <c r="AV50" i="80"/>
  <c r="AV52" i="80" s="1"/>
  <c r="AX39" i="80"/>
  <c r="AV435" i="79"/>
  <c r="AV438" i="79" s="1"/>
  <c r="AV439" i="79" s="1"/>
  <c r="AX39" i="79"/>
  <c r="AV50" i="79"/>
  <c r="AV384" i="79"/>
  <c r="AV394" i="79" s="1"/>
  <c r="AV395" i="79" s="1"/>
  <c r="AV447" i="79" s="1"/>
  <c r="FE429" i="79"/>
  <c r="FE430" i="79" s="1"/>
  <c r="FE395" i="79"/>
  <c r="FE447" i="79" s="1"/>
  <c r="EP39" i="79"/>
  <c r="EN435" i="79"/>
  <c r="EN438" i="79" s="1"/>
  <c r="EN439" i="79" s="1"/>
  <c r="EN50" i="79"/>
  <c r="EN384" i="79"/>
  <c r="EN394" i="79" s="1"/>
  <c r="EN395" i="79" s="1"/>
  <c r="EN447" i="79" s="1"/>
  <c r="AO395" i="79"/>
  <c r="AO447" i="79" s="1"/>
  <c r="AO429" i="79"/>
  <c r="AO430" i="79" s="1"/>
  <c r="CL39" i="79"/>
  <c r="CJ50" i="79"/>
  <c r="CJ435" i="79"/>
  <c r="CJ438" i="79" s="1"/>
  <c r="CJ439" i="79" s="1"/>
  <c r="CJ384" i="79"/>
  <c r="CJ394" i="79" s="1"/>
  <c r="CJ395" i="79" s="1"/>
  <c r="CJ447" i="79" s="1"/>
  <c r="AN384" i="80"/>
  <c r="AP39" i="80"/>
  <c r="AN50" i="80"/>
  <c r="AN52" i="80" s="1"/>
  <c r="DQ435" i="80"/>
  <c r="DQ438" i="80" s="1"/>
  <c r="DQ439" i="80" s="1"/>
  <c r="DQ448" i="80" s="1"/>
  <c r="DQ394" i="80"/>
  <c r="FL435" i="79"/>
  <c r="FL438" i="79" s="1"/>
  <c r="FL439" i="79" s="1"/>
  <c r="FL384" i="79"/>
  <c r="FL394" i="79" s="1"/>
  <c r="FL395" i="79" s="1"/>
  <c r="FL447" i="79" s="1"/>
  <c r="FN39" i="79"/>
  <c r="FL50" i="79"/>
  <c r="DA413" i="79"/>
  <c r="DA414" i="79" s="1"/>
  <c r="DA415" i="79" s="1"/>
  <c r="DA451" i="79" s="1"/>
  <c r="DA52" i="79"/>
  <c r="CS435" i="80"/>
  <c r="CS438" i="80" s="1"/>
  <c r="CS439" i="80" s="1"/>
  <c r="CS394" i="80"/>
  <c r="EG413" i="79"/>
  <c r="EG414" i="79" s="1"/>
  <c r="EG415" i="79" s="1"/>
  <c r="EG451" i="79" s="1"/>
  <c r="EG52" i="79"/>
  <c r="BL384" i="80"/>
  <c r="BL50" i="80"/>
  <c r="BL52" i="80" s="1"/>
  <c r="BN39" i="80"/>
  <c r="EX39" i="79"/>
  <c r="EV50" i="79"/>
  <c r="EV435" i="79"/>
  <c r="EV438" i="79" s="1"/>
  <c r="EV439" i="79" s="1"/>
  <c r="EV384" i="79"/>
  <c r="EV394" i="79" s="1"/>
  <c r="EV395" i="79" s="1"/>
  <c r="EV447" i="79" s="1"/>
  <c r="EO435" i="80"/>
  <c r="EO438" i="80" s="1"/>
  <c r="EO439" i="80" s="1"/>
  <c r="EO448" i="80" s="1"/>
  <c r="EO394" i="80"/>
  <c r="P384" i="80"/>
  <c r="R39" i="80"/>
  <c r="P50" i="80"/>
  <c r="P52" i="80" s="1"/>
  <c r="CC413" i="79"/>
  <c r="CC414" i="79" s="1"/>
  <c r="CC415" i="79" s="1"/>
  <c r="CC451" i="79" s="1"/>
  <c r="CC52" i="79"/>
  <c r="FE413" i="79"/>
  <c r="FE414" i="79" s="1"/>
  <c r="FE415" i="79" s="1"/>
  <c r="FE451" i="79" s="1"/>
  <c r="FE52" i="79"/>
  <c r="FM394" i="80"/>
  <c r="FM435" i="80"/>
  <c r="FM438" i="80" s="1"/>
  <c r="FM439" i="80" s="1"/>
  <c r="FM448" i="80" s="1"/>
  <c r="DP384" i="80"/>
  <c r="DR39" i="80"/>
  <c r="DP50" i="80"/>
  <c r="DP52" i="80" s="1"/>
  <c r="AG429" i="79"/>
  <c r="AG430" i="79" s="1"/>
  <c r="DY429" i="79"/>
  <c r="DY430" i="79" s="1"/>
  <c r="DY395" i="79"/>
  <c r="DY447" i="79" s="1"/>
  <c r="BU413" i="79"/>
  <c r="BU414" i="79" s="1"/>
  <c r="BU415" i="79" s="1"/>
  <c r="BU451" i="79" s="1"/>
  <c r="BU52" i="79"/>
  <c r="FE435" i="80"/>
  <c r="FE438" i="80" s="1"/>
  <c r="FE439" i="80" s="1"/>
  <c r="FE448" i="80" s="1"/>
  <c r="FE394" i="80"/>
  <c r="AF384" i="80"/>
  <c r="AH39" i="80"/>
  <c r="AF50" i="80"/>
  <c r="AF52" i="80" s="1"/>
  <c r="BU395" i="79"/>
  <c r="BU447" i="79" s="1"/>
  <c r="BU429" i="79"/>
  <c r="BU430" i="79" s="1"/>
  <c r="CC435" i="80"/>
  <c r="CC438" i="80" s="1"/>
  <c r="CC439" i="80" s="1"/>
  <c r="CC448" i="80" s="1"/>
  <c r="CC394" i="80"/>
  <c r="EN384" i="80"/>
  <c r="EP39" i="80"/>
  <c r="EN50" i="80"/>
  <c r="EN52" i="80" s="1"/>
  <c r="DI413" i="79"/>
  <c r="DI414" i="79" s="1"/>
  <c r="DI415" i="79" s="1"/>
  <c r="DI451" i="79" s="1"/>
  <c r="DI52" i="79"/>
  <c r="BM394" i="80"/>
  <c r="AW413" i="79"/>
  <c r="AW414" i="79" s="1"/>
  <c r="AW415" i="79" s="1"/>
  <c r="AW451" i="79" s="1"/>
  <c r="AW52" i="79"/>
  <c r="DX384" i="80"/>
  <c r="DZ39" i="80"/>
  <c r="DX50" i="80"/>
  <c r="DX52" i="80" s="1"/>
  <c r="FM429" i="79"/>
  <c r="FM430" i="79" s="1"/>
  <c r="FM395" i="79"/>
  <c r="FM447" i="79" s="1"/>
  <c r="BE435" i="80"/>
  <c r="BE438" i="80" s="1"/>
  <c r="BE439" i="80" s="1"/>
  <c r="BE448" i="80" s="1"/>
  <c r="BE394" i="80"/>
  <c r="EW435" i="80"/>
  <c r="EW438" i="80" s="1"/>
  <c r="EW439" i="80" s="1"/>
  <c r="EW448" i="80" s="1"/>
  <c r="EW394" i="80"/>
  <c r="EG435" i="80"/>
  <c r="EG438" i="80" s="1"/>
  <c r="EG439" i="80" s="1"/>
  <c r="EG448" i="80" s="1"/>
  <c r="EG394" i="80"/>
  <c r="EV384" i="80"/>
  <c r="EX39" i="80"/>
  <c r="EV50" i="80"/>
  <c r="EV52" i="80" s="1"/>
  <c r="Q52" i="79"/>
  <c r="Q413" i="79"/>
  <c r="Q414" i="79" s="1"/>
  <c r="Q415" i="79" s="1"/>
  <c r="Q451" i="79" s="1"/>
  <c r="DY435" i="80"/>
  <c r="DY438" i="80" s="1"/>
  <c r="DY439" i="80" s="1"/>
  <c r="DY448" i="80" s="1"/>
  <c r="CJ384" i="80"/>
  <c r="CJ50" i="80"/>
  <c r="CJ52" i="80" s="1"/>
  <c r="CL39" i="80"/>
  <c r="X435" i="79"/>
  <c r="X438" i="79" s="1"/>
  <c r="X439" i="79" s="1"/>
  <c r="X384" i="79"/>
  <c r="X394" i="79" s="1"/>
  <c r="X395" i="79" s="1"/>
  <c r="X447" i="79" s="1"/>
  <c r="Z39" i="79"/>
  <c r="X50" i="79"/>
  <c r="EO413" i="79"/>
  <c r="EO414" i="79" s="1"/>
  <c r="EO415" i="79" s="1"/>
  <c r="EO451" i="79" s="1"/>
  <c r="EO52" i="79"/>
  <c r="Y435" i="80"/>
  <c r="Y438" i="80" s="1"/>
  <c r="Y439" i="80" s="1"/>
  <c r="Y448" i="80" s="1"/>
  <c r="Y394" i="80"/>
  <c r="BT384" i="80"/>
  <c r="BV39" i="80"/>
  <c r="BT50" i="80"/>
  <c r="BT52" i="80" s="1"/>
  <c r="EF435" i="79"/>
  <c r="EF438" i="79" s="1"/>
  <c r="EF439" i="79" s="1"/>
  <c r="EF384" i="79"/>
  <c r="EF394" i="79" s="1"/>
  <c r="EF395" i="79" s="1"/>
  <c r="EF447" i="79" s="1"/>
  <c r="EH39" i="79"/>
  <c r="EF50" i="79"/>
  <c r="BM395" i="79"/>
  <c r="BM447" i="79" s="1"/>
  <c r="BM429" i="79"/>
  <c r="BM430" i="79" s="1"/>
  <c r="EO395" i="79"/>
  <c r="EO447" i="79" s="1"/>
  <c r="EO429" i="79"/>
  <c r="EO430" i="79" s="1"/>
  <c r="BE413" i="79"/>
  <c r="BE414" i="79" s="1"/>
  <c r="BE415" i="79" s="1"/>
  <c r="BE451" i="79" s="1"/>
  <c r="BE52" i="79"/>
  <c r="EF384" i="80"/>
  <c r="EH39" i="80"/>
  <c r="EF50" i="80"/>
  <c r="EF52" i="80" s="1"/>
  <c r="BT384" i="79"/>
  <c r="BT394" i="79" s="1"/>
  <c r="BT395" i="79" s="1"/>
  <c r="BT447" i="79" s="1"/>
  <c r="BV39" i="79"/>
  <c r="BT50" i="79"/>
  <c r="BT435" i="79"/>
  <c r="BT438" i="79" s="1"/>
  <c r="BT439" i="79" s="1"/>
  <c r="BM413" i="79"/>
  <c r="BM414" i="79" s="1"/>
  <c r="BM415" i="79" s="1"/>
  <c r="BM451" i="79" s="1"/>
  <c r="BM52" i="79"/>
  <c r="CK395" i="79"/>
  <c r="CK447" i="79" s="1"/>
  <c r="CK429" i="79"/>
  <c r="CK430" i="79" s="1"/>
  <c r="DI394" i="80"/>
  <c r="CB384" i="80"/>
  <c r="CD39" i="80"/>
  <c r="CB50" i="80"/>
  <c r="CB52" i="80" s="1"/>
  <c r="DJ39" i="79"/>
  <c r="DH50" i="79"/>
  <c r="DH435" i="79"/>
  <c r="DH438" i="79" s="1"/>
  <c r="DH439" i="79" s="1"/>
  <c r="DH384" i="79"/>
  <c r="DH394" i="79" s="1"/>
  <c r="DH395" i="79" s="1"/>
  <c r="DH447" i="79" s="1"/>
  <c r="FD384" i="80"/>
  <c r="FF39" i="80"/>
  <c r="FD50" i="80"/>
  <c r="FD52" i="80" s="1"/>
  <c r="AF435" i="79"/>
  <c r="AF438" i="79" s="1"/>
  <c r="AF439" i="79" s="1"/>
  <c r="AF384" i="79"/>
  <c r="AF394" i="79" s="1"/>
  <c r="AF395" i="79" s="1"/>
  <c r="AF447" i="79" s="1"/>
  <c r="AH39" i="79"/>
  <c r="AF50" i="79"/>
  <c r="DH435" i="80"/>
  <c r="DH438" i="80" s="1"/>
  <c r="DH439" i="80" s="1"/>
  <c r="DH394" i="80"/>
  <c r="H22" i="31"/>
  <c r="H29" i="31" s="1"/>
  <c r="I68" i="26"/>
  <c r="I228" i="85" s="1"/>
  <c r="K129" i="90" s="1"/>
  <c r="I63" i="26"/>
  <c r="I223" i="80" s="1"/>
  <c r="AN448" i="79"/>
  <c r="X448" i="80"/>
  <c r="FL448" i="80"/>
  <c r="CZ448" i="80"/>
  <c r="I131" i="13"/>
  <c r="I131" i="85" s="1"/>
  <c r="K77" i="90" s="1"/>
  <c r="I119" i="13"/>
  <c r="I119" i="79" s="1"/>
  <c r="I127" i="13"/>
  <c r="I127" i="85" s="1"/>
  <c r="K73" i="90" s="1"/>
  <c r="F388" i="85"/>
  <c r="I152" i="13"/>
  <c r="I152" i="85" s="1"/>
  <c r="K90" i="90" s="1"/>
  <c r="DP384" i="79"/>
  <c r="DP394" i="79" s="1"/>
  <c r="DP395" i="79" s="1"/>
  <c r="DP447" i="79" s="1"/>
  <c r="DR39" i="79"/>
  <c r="DP50" i="79"/>
  <c r="DP435" i="79"/>
  <c r="DP438" i="79" s="1"/>
  <c r="DP439" i="79" s="1"/>
  <c r="FD271" i="79"/>
  <c r="FF269" i="79"/>
  <c r="FF271" i="79" s="1"/>
  <c r="DP271" i="79"/>
  <c r="DR269" i="79"/>
  <c r="DR271" i="79" s="1"/>
  <c r="FD435" i="79"/>
  <c r="FD438" i="79" s="1"/>
  <c r="FD439" i="79" s="1"/>
  <c r="FD384" i="79"/>
  <c r="FD394" i="79" s="1"/>
  <c r="FD395" i="79" s="1"/>
  <c r="FD447" i="79" s="1"/>
  <c r="FF39" i="79"/>
  <c r="FD50" i="79"/>
  <c r="BD435" i="80"/>
  <c r="BD438" i="80" s="1"/>
  <c r="BD439" i="80" s="1"/>
  <c r="BD394" i="80"/>
  <c r="E57" i="35"/>
  <c r="E58" i="35" s="1"/>
  <c r="E38" i="35"/>
  <c r="E82" i="35" s="1"/>
  <c r="E57" i="82"/>
  <c r="E58" i="82" s="1"/>
  <c r="E59" i="82" s="1"/>
  <c r="E86" i="82" s="1"/>
  <c r="E38" i="82"/>
  <c r="E82" i="82" s="1"/>
  <c r="G57" i="35"/>
  <c r="G58" i="35" s="1"/>
  <c r="G82" i="35"/>
  <c r="G57" i="82"/>
  <c r="G58" i="82" s="1"/>
  <c r="G59" i="82" s="1"/>
  <c r="G86" i="82" s="1"/>
  <c r="G38" i="82"/>
  <c r="G82" i="82" s="1"/>
  <c r="H74" i="26"/>
  <c r="E385" i="85"/>
  <c r="H448" i="79"/>
  <c r="G439" i="79"/>
  <c r="J394" i="80"/>
  <c r="J435" i="80"/>
  <c r="J438" i="80" s="1"/>
  <c r="J439" i="80" s="1"/>
  <c r="J448" i="80" s="1"/>
  <c r="I413" i="80"/>
  <c r="I414" i="80" s="1"/>
  <c r="I415" i="80" s="1"/>
  <c r="I451" i="80" s="1"/>
  <c r="I429" i="80"/>
  <c r="I430" i="80" s="1"/>
  <c r="I395" i="80"/>
  <c r="I447" i="80" s="1"/>
  <c r="J395" i="79"/>
  <c r="J447" i="79" s="1"/>
  <c r="J429" i="79"/>
  <c r="J430" i="79" s="1"/>
  <c r="H447" i="79"/>
  <c r="H52" i="79"/>
  <c r="H413" i="79"/>
  <c r="H414" i="79" s="1"/>
  <c r="H415" i="79" s="1"/>
  <c r="I234" i="85"/>
  <c r="K134" i="90" s="1"/>
  <c r="I234" i="79"/>
  <c r="I234" i="80"/>
  <c r="H435" i="80"/>
  <c r="H438" i="80" s="1"/>
  <c r="H439" i="80" s="1"/>
  <c r="H394" i="80"/>
  <c r="J52" i="79"/>
  <c r="J413" i="79"/>
  <c r="J414" i="79" s="1"/>
  <c r="J415" i="79" s="1"/>
  <c r="J451" i="79" s="1"/>
  <c r="DX52" i="79"/>
  <c r="BD448" i="79"/>
  <c r="BF219" i="80"/>
  <c r="BD271" i="80"/>
  <c r="BF269" i="80"/>
  <c r="BF271" i="80" s="1"/>
  <c r="BL448" i="79"/>
  <c r="AN451" i="79"/>
  <c r="BF39" i="80"/>
  <c r="BD50" i="80"/>
  <c r="BD52" i="80" s="1"/>
  <c r="AN447" i="79"/>
  <c r="DI429" i="79" l="1"/>
  <c r="DI430" i="79" s="1"/>
  <c r="Y395" i="79"/>
  <c r="Y447" i="79" s="1"/>
  <c r="I431" i="79"/>
  <c r="J74" i="26"/>
  <c r="G385" i="85"/>
  <c r="G59" i="35"/>
  <c r="G86" i="35" s="1"/>
  <c r="J431" i="79"/>
  <c r="CK52" i="79"/>
  <c r="DB50" i="79"/>
  <c r="DB413" i="79" s="1"/>
  <c r="DB414" i="79" s="1"/>
  <c r="DB415" i="79" s="1"/>
  <c r="DB451" i="79" s="1"/>
  <c r="DB435" i="79"/>
  <c r="DB438" i="79" s="1"/>
  <c r="DB439" i="79" s="1"/>
  <c r="DB448" i="79" s="1"/>
  <c r="DA395" i="79"/>
  <c r="DA447" i="79" s="1"/>
  <c r="AG435" i="80"/>
  <c r="AG438" i="80" s="1"/>
  <c r="AG439" i="80" s="1"/>
  <c r="AG448" i="80" s="1"/>
  <c r="AO52" i="79"/>
  <c r="DZ384" i="79"/>
  <c r="DZ394" i="79" s="1"/>
  <c r="DZ435" i="79"/>
  <c r="DZ438" i="79" s="1"/>
  <c r="DZ439" i="79" s="1"/>
  <c r="DZ448" i="79" s="1"/>
  <c r="DY52" i="79"/>
  <c r="EG429" i="79"/>
  <c r="EG430" i="79" s="1"/>
  <c r="AW429" i="79"/>
  <c r="AW430" i="79" s="1"/>
  <c r="CS395" i="79"/>
  <c r="CS447" i="79" s="1"/>
  <c r="BU394" i="80"/>
  <c r="BU395" i="80" s="1"/>
  <c r="BU447" i="80" s="1"/>
  <c r="AP50" i="79"/>
  <c r="AP413" i="79" s="1"/>
  <c r="AP414" i="79" s="1"/>
  <c r="AP415" i="79" s="1"/>
  <c r="DA394" i="80"/>
  <c r="AW435" i="80"/>
  <c r="AW438" i="80" s="1"/>
  <c r="AW439" i="80" s="1"/>
  <c r="AW448" i="80" s="1"/>
  <c r="Q394" i="80"/>
  <c r="Y52" i="79"/>
  <c r="AO435" i="80"/>
  <c r="AO438" i="80" s="1"/>
  <c r="AO439" i="80" s="1"/>
  <c r="AO448" i="80" s="1"/>
  <c r="AO234" i="80" s="1"/>
  <c r="AP435" i="79"/>
  <c r="AP438" i="79" s="1"/>
  <c r="AP439" i="79" s="1"/>
  <c r="AP448" i="79" s="1"/>
  <c r="CK394" i="80"/>
  <c r="CK429" i="80" s="1"/>
  <c r="CK430" i="80" s="1"/>
  <c r="BE429" i="79"/>
  <c r="BE430" i="79" s="1"/>
  <c r="CA429" i="79"/>
  <c r="CA430" i="79" s="1"/>
  <c r="CD429" i="79"/>
  <c r="CD430" i="79" s="1"/>
  <c r="CC429" i="79"/>
  <c r="CC430" i="79" s="1"/>
  <c r="CD435" i="79"/>
  <c r="CD438" i="79" s="1"/>
  <c r="CD439" i="79" s="1"/>
  <c r="CD448" i="79" s="1"/>
  <c r="I91" i="26"/>
  <c r="I251" i="85" s="1"/>
  <c r="K145" i="90" s="1"/>
  <c r="CS52" i="79"/>
  <c r="F384" i="85"/>
  <c r="FM52" i="79"/>
  <c r="DQ429" i="79"/>
  <c r="DQ430" i="79" s="1"/>
  <c r="AG413" i="79"/>
  <c r="AG414" i="79" s="1"/>
  <c r="AG415" i="79" s="1"/>
  <c r="AG451" i="79" s="1"/>
  <c r="AG127" i="79" s="1"/>
  <c r="CD50" i="79"/>
  <c r="CD413" i="79" s="1"/>
  <c r="CD414" i="79" s="1"/>
  <c r="CD415" i="79" s="1"/>
  <c r="CD451" i="79" s="1"/>
  <c r="EW395" i="79"/>
  <c r="EW447" i="79" s="1"/>
  <c r="DQ52" i="79"/>
  <c r="Q395" i="79"/>
  <c r="Q447" i="79" s="1"/>
  <c r="FL395" i="80"/>
  <c r="FL447" i="80" s="1"/>
  <c r="CB52" i="79"/>
  <c r="EW52" i="79"/>
  <c r="FN50" i="80"/>
  <c r="FN52" i="80" s="1"/>
  <c r="FN394" i="80"/>
  <c r="FK429" i="80" s="1"/>
  <c r="FK430" i="80" s="1"/>
  <c r="E59" i="35"/>
  <c r="E86" i="35" s="1"/>
  <c r="R50" i="79"/>
  <c r="R52" i="79" s="1"/>
  <c r="CZ395" i="80"/>
  <c r="CZ447" i="80" s="1"/>
  <c r="CT384" i="79"/>
  <c r="CT394" i="79" s="1"/>
  <c r="CT395" i="79" s="1"/>
  <c r="CT435" i="79"/>
  <c r="CT438" i="79" s="1"/>
  <c r="CT439" i="79" s="1"/>
  <c r="CT448" i="79" s="1"/>
  <c r="BL52" i="79"/>
  <c r="R384" i="79"/>
  <c r="R394" i="79" s="1"/>
  <c r="O429" i="79" s="1"/>
  <c r="O430" i="79" s="1"/>
  <c r="BD52" i="79"/>
  <c r="DJ394" i="80"/>
  <c r="DJ413" i="80" s="1"/>
  <c r="DJ414" i="80" s="1"/>
  <c r="DJ415" i="80" s="1"/>
  <c r="CR52" i="79"/>
  <c r="Z394" i="80"/>
  <c r="Z429" i="80" s="1"/>
  <c r="Z430" i="80" s="1"/>
  <c r="CZ52" i="79"/>
  <c r="BF435" i="79"/>
  <c r="BF438" i="79" s="1"/>
  <c r="BF439" i="79" s="1"/>
  <c r="BF448" i="79" s="1"/>
  <c r="BN50" i="79"/>
  <c r="BN413" i="79" s="1"/>
  <c r="BN414" i="79" s="1"/>
  <c r="BN415" i="79" s="1"/>
  <c r="BN451" i="79" s="1"/>
  <c r="BN384" i="79"/>
  <c r="BN394" i="79" s="1"/>
  <c r="BN429" i="79" s="1"/>
  <c r="BN430" i="79" s="1"/>
  <c r="P413" i="79"/>
  <c r="P414" i="79" s="1"/>
  <c r="P415" i="79" s="1"/>
  <c r="P451" i="79" s="1"/>
  <c r="Z50" i="80"/>
  <c r="Z52" i="80" s="1"/>
  <c r="BF384" i="79"/>
  <c r="BF394" i="79" s="1"/>
  <c r="BF395" i="79" s="1"/>
  <c r="X395" i="80"/>
  <c r="X447" i="80" s="1"/>
  <c r="DB394" i="80"/>
  <c r="DB413" i="80" s="1"/>
  <c r="DB414" i="80" s="1"/>
  <c r="DB415" i="80" s="1"/>
  <c r="DB451" i="80" s="1"/>
  <c r="DB50" i="80"/>
  <c r="DB52" i="80" s="1"/>
  <c r="CR413" i="80"/>
  <c r="CR414" i="80" s="1"/>
  <c r="CR415" i="80" s="1"/>
  <c r="CR451" i="80" s="1"/>
  <c r="CR228" i="80" s="1"/>
  <c r="CR395" i="80"/>
  <c r="CR447" i="80" s="1"/>
  <c r="I228" i="80"/>
  <c r="I235" i="80" s="1"/>
  <c r="I237" i="80" s="1"/>
  <c r="I274" i="85"/>
  <c r="K154" i="90" s="1"/>
  <c r="CT384" i="80"/>
  <c r="CT50" i="80"/>
  <c r="CT52" i="80" s="1"/>
  <c r="Y228" i="79"/>
  <c r="Y127" i="79"/>
  <c r="Y119" i="79"/>
  <c r="CB435" i="80"/>
  <c r="CB438" i="80" s="1"/>
  <c r="CB439" i="80" s="1"/>
  <c r="CB394" i="80"/>
  <c r="BT435" i="80"/>
  <c r="BT438" i="80" s="1"/>
  <c r="BT439" i="80" s="1"/>
  <c r="BT394" i="80"/>
  <c r="EW395" i="80"/>
  <c r="EW447" i="80" s="1"/>
  <c r="EW413" i="80"/>
  <c r="EW414" i="80" s="1"/>
  <c r="EW415" i="80" s="1"/>
  <c r="EW451" i="80" s="1"/>
  <c r="EW223" i="80" s="1"/>
  <c r="EW429" i="80"/>
  <c r="EW430" i="80" s="1"/>
  <c r="P435" i="80"/>
  <c r="P438" i="80" s="1"/>
  <c r="P439" i="80" s="1"/>
  <c r="P394" i="80"/>
  <c r="CS448" i="80"/>
  <c r="CS234" i="80" s="1"/>
  <c r="EH384" i="80"/>
  <c r="EH50" i="80"/>
  <c r="EH52" i="80" s="1"/>
  <c r="Y413" i="80"/>
  <c r="Y414" i="80" s="1"/>
  <c r="Y415" i="80" s="1"/>
  <c r="Y451" i="80" s="1"/>
  <c r="Y223" i="80" s="1"/>
  <c r="Y429" i="80"/>
  <c r="Y430" i="80" s="1"/>
  <c r="Y395" i="80"/>
  <c r="Y447" i="80" s="1"/>
  <c r="FK439" i="80"/>
  <c r="EN413" i="79"/>
  <c r="EN414" i="79" s="1"/>
  <c r="EN415" i="79" s="1"/>
  <c r="EN52" i="79"/>
  <c r="FF50" i="80"/>
  <c r="FF52" i="80" s="1"/>
  <c r="FF384" i="80"/>
  <c r="DQ228" i="79"/>
  <c r="DQ127" i="79"/>
  <c r="DQ119" i="79"/>
  <c r="EF435" i="80"/>
  <c r="EF438" i="80" s="1"/>
  <c r="EF439" i="80" s="1"/>
  <c r="EF394" i="80"/>
  <c r="BE429" i="80"/>
  <c r="BE430" i="80" s="1"/>
  <c r="BE395" i="80"/>
  <c r="BE447" i="80" s="1"/>
  <c r="BE413" i="80"/>
  <c r="BE414" i="80" s="1"/>
  <c r="BE415" i="80" s="1"/>
  <c r="BE451" i="80" s="1"/>
  <c r="BE223" i="80" s="1"/>
  <c r="DY228" i="79"/>
  <c r="DY127" i="79"/>
  <c r="DY119" i="79"/>
  <c r="DR50" i="80"/>
  <c r="DR52" i="80" s="1"/>
  <c r="DR384" i="80"/>
  <c r="EO395" i="80"/>
  <c r="EO447" i="80" s="1"/>
  <c r="EO429" i="80"/>
  <c r="EO430" i="80" s="1"/>
  <c r="EO413" i="80"/>
  <c r="EO414" i="80" s="1"/>
  <c r="EO415" i="80" s="1"/>
  <c r="EO451" i="80" s="1"/>
  <c r="EO223" i="80" s="1"/>
  <c r="DA127" i="79"/>
  <c r="DA228" i="79"/>
  <c r="DA119" i="79"/>
  <c r="AP50" i="80"/>
  <c r="AP52" i="80" s="1"/>
  <c r="AP384" i="80"/>
  <c r="EN448" i="79"/>
  <c r="FD435" i="80"/>
  <c r="FD438" i="80" s="1"/>
  <c r="FD439" i="80" s="1"/>
  <c r="FD394" i="80"/>
  <c r="DI429" i="80"/>
  <c r="DI430" i="80" s="1"/>
  <c r="DI413" i="80"/>
  <c r="DI414" i="80" s="1"/>
  <c r="DI415" i="80" s="1"/>
  <c r="DI451" i="80" s="1"/>
  <c r="DI223" i="80" s="1"/>
  <c r="DI395" i="80"/>
  <c r="DI447" i="80" s="1"/>
  <c r="DY429" i="80"/>
  <c r="DY430" i="80" s="1"/>
  <c r="DY395" i="80"/>
  <c r="DY447" i="80" s="1"/>
  <c r="DY413" i="80"/>
  <c r="DY414" i="80" s="1"/>
  <c r="DY415" i="80" s="1"/>
  <c r="DY451" i="80" s="1"/>
  <c r="DY223" i="80" s="1"/>
  <c r="AH50" i="80"/>
  <c r="AH52" i="80" s="1"/>
  <c r="AH384" i="80"/>
  <c r="DP435" i="80"/>
  <c r="DP438" i="80" s="1"/>
  <c r="DP439" i="80" s="1"/>
  <c r="DP394" i="80"/>
  <c r="FL413" i="79"/>
  <c r="FL414" i="79" s="1"/>
  <c r="FL415" i="79" s="1"/>
  <c r="FL52" i="79"/>
  <c r="AN435" i="80"/>
  <c r="AN438" i="80" s="1"/>
  <c r="AN439" i="80" s="1"/>
  <c r="AN394" i="80"/>
  <c r="EP384" i="79"/>
  <c r="EP394" i="79" s="1"/>
  <c r="EP50" i="79"/>
  <c r="EP435" i="79"/>
  <c r="EP438" i="79" s="1"/>
  <c r="EP439" i="79" s="1"/>
  <c r="EP448" i="79" s="1"/>
  <c r="BE228" i="79"/>
  <c r="BE127" i="79"/>
  <c r="BE119" i="79"/>
  <c r="EO127" i="79"/>
  <c r="EO228" i="79"/>
  <c r="EO119" i="79"/>
  <c r="DI127" i="79"/>
  <c r="DI228" i="79"/>
  <c r="DI119" i="79"/>
  <c r="AF435" i="80"/>
  <c r="AF438" i="80" s="1"/>
  <c r="AF439" i="80" s="1"/>
  <c r="AF394" i="80"/>
  <c r="Q429" i="80"/>
  <c r="Q430" i="80" s="1"/>
  <c r="Q413" i="80"/>
  <c r="Q414" i="80" s="1"/>
  <c r="Q415" i="80" s="1"/>
  <c r="Q451" i="80" s="1"/>
  <c r="Q223" i="80" s="1"/>
  <c r="Q395" i="80"/>
  <c r="Q447" i="80" s="1"/>
  <c r="FN384" i="79"/>
  <c r="FN394" i="79" s="1"/>
  <c r="FN435" i="79"/>
  <c r="FN438" i="79" s="1"/>
  <c r="FN439" i="79" s="1"/>
  <c r="FN448" i="79" s="1"/>
  <c r="FN50" i="79"/>
  <c r="DQ413" i="80"/>
  <c r="DQ414" i="80" s="1"/>
  <c r="DQ415" i="80" s="1"/>
  <c r="DQ451" i="80" s="1"/>
  <c r="DQ429" i="80"/>
  <c r="DQ430" i="80" s="1"/>
  <c r="DQ395" i="80"/>
  <c r="DQ447" i="80" s="1"/>
  <c r="CY439" i="80"/>
  <c r="FE413" i="80"/>
  <c r="FE414" i="80" s="1"/>
  <c r="FE415" i="80" s="1"/>
  <c r="FE451" i="80" s="1"/>
  <c r="FE223" i="80" s="1"/>
  <c r="FE429" i="80"/>
  <c r="FE430" i="80" s="1"/>
  <c r="FE395" i="80"/>
  <c r="FE447" i="80" s="1"/>
  <c r="FM395" i="80"/>
  <c r="FM447" i="80" s="1"/>
  <c r="FM429" i="80"/>
  <c r="FM430" i="80" s="1"/>
  <c r="FM413" i="80"/>
  <c r="FM414" i="80" s="1"/>
  <c r="FM415" i="80" s="1"/>
  <c r="FM451" i="80" s="1"/>
  <c r="FM223" i="80" s="1"/>
  <c r="CK127" i="79"/>
  <c r="CK228" i="79"/>
  <c r="CK119" i="79"/>
  <c r="EP50" i="80"/>
  <c r="EP52" i="80" s="1"/>
  <c r="EP384" i="80"/>
  <c r="FL448" i="79"/>
  <c r="BK439" i="79"/>
  <c r="X413" i="79"/>
  <c r="X414" i="79" s="1"/>
  <c r="X415" i="79" s="1"/>
  <c r="X52" i="79"/>
  <c r="Q119" i="79"/>
  <c r="Q228" i="79"/>
  <c r="Q127" i="79"/>
  <c r="EN435" i="80"/>
  <c r="EN438" i="80" s="1"/>
  <c r="EN439" i="80" s="1"/>
  <c r="EN394" i="80"/>
  <c r="W439" i="80"/>
  <c r="EV448" i="79"/>
  <c r="AO395" i="80"/>
  <c r="AO447" i="80" s="1"/>
  <c r="AO429" i="80"/>
  <c r="AO430" i="80" s="1"/>
  <c r="AO413" i="80"/>
  <c r="AO414" i="80" s="1"/>
  <c r="AO415" i="80" s="1"/>
  <c r="AO451" i="80" s="1"/>
  <c r="AO223" i="80" s="1"/>
  <c r="CJ448" i="79"/>
  <c r="AV413" i="79"/>
  <c r="AV414" i="79" s="1"/>
  <c r="AV415" i="79" s="1"/>
  <c r="AV52" i="79"/>
  <c r="CS395" i="80"/>
  <c r="CS447" i="80" s="1"/>
  <c r="CS429" i="80"/>
  <c r="CS430" i="80" s="1"/>
  <c r="CS413" i="80"/>
  <c r="CS414" i="80" s="1"/>
  <c r="CS415" i="80" s="1"/>
  <c r="CS451" i="80" s="1"/>
  <c r="CS223" i="80" s="1"/>
  <c r="Z50" i="79"/>
  <c r="Z384" i="79"/>
  <c r="Z394" i="79" s="1"/>
  <c r="Z435" i="79"/>
  <c r="Z438" i="79" s="1"/>
  <c r="Z439" i="79" s="1"/>
  <c r="Z448" i="79" s="1"/>
  <c r="CC395" i="80"/>
  <c r="CC447" i="80" s="1"/>
  <c r="CC429" i="80"/>
  <c r="CC430" i="80" s="1"/>
  <c r="CC413" i="80"/>
  <c r="CC414" i="80" s="1"/>
  <c r="CC415" i="80" s="1"/>
  <c r="CC451" i="80" s="1"/>
  <c r="CC223" i="80" s="1"/>
  <c r="O439" i="79"/>
  <c r="EV413" i="79"/>
  <c r="EV414" i="79" s="1"/>
  <c r="EV415" i="79" s="1"/>
  <c r="EV52" i="79"/>
  <c r="CJ413" i="79"/>
  <c r="CJ414" i="79" s="1"/>
  <c r="CJ415" i="79" s="1"/>
  <c r="CJ52" i="79"/>
  <c r="AX50" i="79"/>
  <c r="AX384" i="79"/>
  <c r="AX394" i="79" s="1"/>
  <c r="AX435" i="79"/>
  <c r="AX438" i="79" s="1"/>
  <c r="AX439" i="79" s="1"/>
  <c r="AX448" i="79" s="1"/>
  <c r="R50" i="80"/>
  <c r="R52" i="80" s="1"/>
  <c r="R384" i="80"/>
  <c r="DH413" i="80"/>
  <c r="DH414" i="80" s="1"/>
  <c r="DH415" i="80" s="1"/>
  <c r="DH451" i="80" s="1"/>
  <c r="DH127" i="80" s="1"/>
  <c r="DH395" i="80"/>
  <c r="DH447" i="80" s="1"/>
  <c r="AW413" i="80"/>
  <c r="AW414" i="80" s="1"/>
  <c r="AW415" i="80" s="1"/>
  <c r="AW451" i="80" s="1"/>
  <c r="AW223" i="80" s="1"/>
  <c r="AW395" i="80"/>
  <c r="AW447" i="80" s="1"/>
  <c r="AW429" i="80"/>
  <c r="AW430" i="80" s="1"/>
  <c r="BM127" i="79"/>
  <c r="BM228" i="79"/>
  <c r="BM119" i="79"/>
  <c r="DZ384" i="80"/>
  <c r="DZ50" i="80"/>
  <c r="DZ52" i="80" s="1"/>
  <c r="FE228" i="79"/>
  <c r="FE127" i="79"/>
  <c r="FE119" i="79"/>
  <c r="EX384" i="79"/>
  <c r="EX394" i="79" s="1"/>
  <c r="EX435" i="79"/>
  <c r="EX438" i="79" s="1"/>
  <c r="EX439" i="79" s="1"/>
  <c r="EX448" i="79" s="1"/>
  <c r="EX50" i="79"/>
  <c r="AG429" i="80"/>
  <c r="AG430" i="80" s="1"/>
  <c r="AG395" i="80"/>
  <c r="AG447" i="80" s="1"/>
  <c r="AG413" i="80"/>
  <c r="AG414" i="80" s="1"/>
  <c r="AG415" i="80" s="1"/>
  <c r="AG451" i="80" s="1"/>
  <c r="AG223" i="80" s="1"/>
  <c r="CL384" i="79"/>
  <c r="CL394" i="79" s="1"/>
  <c r="CL435" i="79"/>
  <c r="CL438" i="79" s="1"/>
  <c r="CL439" i="79" s="1"/>
  <c r="CL448" i="79" s="1"/>
  <c r="CL50" i="79"/>
  <c r="AV448" i="79"/>
  <c r="DG439" i="80"/>
  <c r="DH448" i="80"/>
  <c r="BT448" i="79"/>
  <c r="EF413" i="79"/>
  <c r="EF414" i="79" s="1"/>
  <c r="EF415" i="79" s="1"/>
  <c r="EF52" i="79"/>
  <c r="X448" i="79"/>
  <c r="EX50" i="80"/>
  <c r="EX52" i="80" s="1"/>
  <c r="EX384" i="80"/>
  <c r="DX435" i="80"/>
  <c r="DX438" i="80" s="1"/>
  <c r="DX439" i="80" s="1"/>
  <c r="DX394" i="80"/>
  <c r="BN384" i="80"/>
  <c r="BN50" i="80"/>
  <c r="BN52" i="80" s="1"/>
  <c r="AX50" i="80"/>
  <c r="AX52" i="80" s="1"/>
  <c r="AX384" i="80"/>
  <c r="BV50" i="80"/>
  <c r="BV52" i="80" s="1"/>
  <c r="BV384" i="80"/>
  <c r="AF413" i="79"/>
  <c r="AF414" i="79" s="1"/>
  <c r="AF415" i="79" s="1"/>
  <c r="AF52" i="79"/>
  <c r="DH448" i="79"/>
  <c r="BT413" i="79"/>
  <c r="BT414" i="79" s="1"/>
  <c r="BT415" i="79" s="1"/>
  <c r="BT52" i="79"/>
  <c r="EH50" i="79"/>
  <c r="EH384" i="79"/>
  <c r="EH394" i="79" s="1"/>
  <c r="EH435" i="79"/>
  <c r="EH438" i="79" s="1"/>
  <c r="EH439" i="79" s="1"/>
  <c r="EH448" i="79" s="1"/>
  <c r="DA429" i="80"/>
  <c r="DA430" i="80" s="1"/>
  <c r="DA413" i="80"/>
  <c r="DA414" i="80" s="1"/>
  <c r="DA415" i="80" s="1"/>
  <c r="DA451" i="80" s="1"/>
  <c r="DA395" i="80"/>
  <c r="DA447" i="80" s="1"/>
  <c r="EV435" i="80"/>
  <c r="EV438" i="80" s="1"/>
  <c r="EV439" i="80" s="1"/>
  <c r="EV394" i="80"/>
  <c r="CD50" i="80"/>
  <c r="CD52" i="80" s="1"/>
  <c r="CD384" i="80"/>
  <c r="AH50" i="79"/>
  <c r="AH384" i="79"/>
  <c r="AH394" i="79" s="1"/>
  <c r="AH435" i="79"/>
  <c r="AH438" i="79" s="1"/>
  <c r="AH439" i="79" s="1"/>
  <c r="AH448" i="79" s="1"/>
  <c r="DH413" i="79"/>
  <c r="DH414" i="79" s="1"/>
  <c r="DH415" i="79" s="1"/>
  <c r="DH52" i="79"/>
  <c r="BV50" i="79"/>
  <c r="BV435" i="79"/>
  <c r="BV438" i="79" s="1"/>
  <c r="BV439" i="79" s="1"/>
  <c r="BV448" i="79" s="1"/>
  <c r="BV384" i="79"/>
  <c r="BV394" i="79" s="1"/>
  <c r="AW228" i="79"/>
  <c r="AW127" i="79"/>
  <c r="AW119" i="79"/>
  <c r="BU228" i="79"/>
  <c r="BU127" i="79"/>
  <c r="BU119" i="79"/>
  <c r="BL435" i="80"/>
  <c r="BL438" i="80" s="1"/>
  <c r="BL439" i="80" s="1"/>
  <c r="BL394" i="80"/>
  <c r="AV435" i="80"/>
  <c r="AV438" i="80" s="1"/>
  <c r="AV439" i="80" s="1"/>
  <c r="AV394" i="80"/>
  <c r="CJ435" i="80"/>
  <c r="CJ438" i="80" s="1"/>
  <c r="CJ439" i="80" s="1"/>
  <c r="CJ394" i="80"/>
  <c r="DJ384" i="79"/>
  <c r="DJ394" i="79" s="1"/>
  <c r="DJ435" i="79"/>
  <c r="DJ438" i="79" s="1"/>
  <c r="DJ439" i="79" s="1"/>
  <c r="DJ448" i="79" s="1"/>
  <c r="DJ50" i="79"/>
  <c r="EF448" i="79"/>
  <c r="CL50" i="80"/>
  <c r="CL52" i="80" s="1"/>
  <c r="CL384" i="80"/>
  <c r="BM395" i="80"/>
  <c r="BM447" i="80" s="1"/>
  <c r="BM429" i="80"/>
  <c r="BM430" i="80" s="1"/>
  <c r="BM413" i="80"/>
  <c r="BM414" i="80" s="1"/>
  <c r="BM415" i="80" s="1"/>
  <c r="BM451" i="80" s="1"/>
  <c r="FM127" i="79"/>
  <c r="FM228" i="79"/>
  <c r="FM119" i="79"/>
  <c r="CC228" i="79"/>
  <c r="CC127" i="79"/>
  <c r="CC119" i="79"/>
  <c r="CS228" i="79"/>
  <c r="CS127" i="79"/>
  <c r="CS119" i="79"/>
  <c r="AF448" i="79"/>
  <c r="EG429" i="80"/>
  <c r="EG430" i="80" s="1"/>
  <c r="EG395" i="80"/>
  <c r="EG447" i="80" s="1"/>
  <c r="EG413" i="80"/>
  <c r="EG414" i="80" s="1"/>
  <c r="EG415" i="80" s="1"/>
  <c r="EG451" i="80" s="1"/>
  <c r="EG223" i="80" s="1"/>
  <c r="EG228" i="79"/>
  <c r="EG127" i="79"/>
  <c r="EG119" i="79"/>
  <c r="EW119" i="79"/>
  <c r="EW228" i="79"/>
  <c r="EW127" i="79"/>
  <c r="AO119" i="79"/>
  <c r="AO228" i="79"/>
  <c r="AO127" i="79"/>
  <c r="I274" i="80"/>
  <c r="I274" i="79"/>
  <c r="FE274" i="79" s="1"/>
  <c r="FE281" i="79" s="1"/>
  <c r="FE283" i="79" s="1"/>
  <c r="FE328" i="79" s="1"/>
  <c r="CC234" i="80"/>
  <c r="DQ234" i="80"/>
  <c r="Q234" i="80"/>
  <c r="BE234" i="80"/>
  <c r="FE234" i="80"/>
  <c r="AW234" i="80"/>
  <c r="EW234" i="80"/>
  <c r="DA234" i="80"/>
  <c r="Y234" i="80"/>
  <c r="EG234" i="80"/>
  <c r="EO234" i="80"/>
  <c r="FM234" i="80"/>
  <c r="BU234" i="80"/>
  <c r="DI234" i="80"/>
  <c r="CK234" i="80"/>
  <c r="BM234" i="80"/>
  <c r="DY234" i="80"/>
  <c r="AG234" i="80"/>
  <c r="DI234" i="79"/>
  <c r="EG234" i="79"/>
  <c r="DA234" i="79"/>
  <c r="CC234" i="79"/>
  <c r="EW234" i="79"/>
  <c r="BE234" i="79"/>
  <c r="DQ234" i="79"/>
  <c r="Y234" i="79"/>
  <c r="FM234" i="79"/>
  <c r="BM234" i="79"/>
  <c r="FE234" i="79"/>
  <c r="AG234" i="79"/>
  <c r="CS234" i="79"/>
  <c r="AO234" i="79"/>
  <c r="CK234" i="79"/>
  <c r="DY234" i="79"/>
  <c r="AW234" i="79"/>
  <c r="EO234" i="79"/>
  <c r="BU234" i="79"/>
  <c r="Q234" i="79"/>
  <c r="I152" i="80"/>
  <c r="I156" i="80" s="1"/>
  <c r="I158" i="80" s="1"/>
  <c r="I152" i="79"/>
  <c r="I156" i="79" s="1"/>
  <c r="I158" i="79" s="1"/>
  <c r="I228" i="79"/>
  <c r="I156" i="13"/>
  <c r="I158" i="13" s="1"/>
  <c r="I158" i="85" s="1"/>
  <c r="I223" i="85"/>
  <c r="K124" i="90" s="1"/>
  <c r="I127" i="80"/>
  <c r="I127" i="79"/>
  <c r="I133" i="13"/>
  <c r="I133" i="85" s="1"/>
  <c r="I75" i="26"/>
  <c r="E19" i="32" s="1"/>
  <c r="I131" i="80"/>
  <c r="I119" i="80"/>
  <c r="I131" i="79"/>
  <c r="FE131" i="79" s="1"/>
  <c r="I119" i="85"/>
  <c r="K65" i="90" s="1"/>
  <c r="I223" i="79"/>
  <c r="DZ395" i="79"/>
  <c r="DZ429" i="79"/>
  <c r="DZ430" i="79" s="1"/>
  <c r="DW429" i="79"/>
  <c r="DW430" i="79" s="1"/>
  <c r="G395" i="79"/>
  <c r="CA395" i="79"/>
  <c r="CD447" i="79"/>
  <c r="FF384" i="79"/>
  <c r="FF394" i="79" s="1"/>
  <c r="FF435" i="79"/>
  <c r="FF438" i="79" s="1"/>
  <c r="FF439" i="79" s="1"/>
  <c r="FF448" i="79" s="1"/>
  <c r="FF50" i="79"/>
  <c r="DP448" i="79"/>
  <c r="DB395" i="79"/>
  <c r="DB429" i="79"/>
  <c r="DB430" i="79" s="1"/>
  <c r="CY429" i="79"/>
  <c r="CY430" i="79" s="1"/>
  <c r="BD395" i="80"/>
  <c r="BD413" i="80"/>
  <c r="BD414" i="80" s="1"/>
  <c r="BD415" i="80" s="1"/>
  <c r="FD448" i="79"/>
  <c r="DP413" i="79"/>
  <c r="DP414" i="79" s="1"/>
  <c r="DP415" i="79" s="1"/>
  <c r="DP52" i="79"/>
  <c r="AM429" i="79"/>
  <c r="AM430" i="79" s="1"/>
  <c r="AP395" i="79"/>
  <c r="AP429" i="79"/>
  <c r="AP430" i="79" s="1"/>
  <c r="FD413" i="79"/>
  <c r="FD414" i="79" s="1"/>
  <c r="FD415" i="79" s="1"/>
  <c r="FD52" i="79"/>
  <c r="DR384" i="79"/>
  <c r="DR394" i="79" s="1"/>
  <c r="DR50" i="79"/>
  <c r="DR435" i="79"/>
  <c r="DR438" i="79" s="1"/>
  <c r="DR439" i="79" s="1"/>
  <c r="DR448" i="79" s="1"/>
  <c r="G431" i="79"/>
  <c r="G384" i="85"/>
  <c r="J63" i="13"/>
  <c r="J91" i="26"/>
  <c r="E384" i="85"/>
  <c r="H91" i="26"/>
  <c r="H63" i="13"/>
  <c r="I63" i="85"/>
  <c r="K29" i="90" s="1"/>
  <c r="I63" i="80"/>
  <c r="I63" i="79"/>
  <c r="Y63" i="79" s="1"/>
  <c r="Y77" i="79" s="1"/>
  <c r="Y79" i="79" s="1"/>
  <c r="I77" i="13"/>
  <c r="I79" i="13" s="1"/>
  <c r="J234" i="80"/>
  <c r="J234" i="85"/>
  <c r="L134" i="90" s="1"/>
  <c r="J234" i="79"/>
  <c r="H413" i="80"/>
  <c r="H414" i="80" s="1"/>
  <c r="H415" i="80" s="1"/>
  <c r="H395" i="80"/>
  <c r="BC415" i="79"/>
  <c r="CY415" i="79"/>
  <c r="G429" i="80"/>
  <c r="G430" i="80" s="1"/>
  <c r="H431" i="80" s="1"/>
  <c r="J395" i="80"/>
  <c r="J447" i="80" s="1"/>
  <c r="J413" i="80"/>
  <c r="J414" i="80" s="1"/>
  <c r="J415" i="80" s="1"/>
  <c r="J451" i="80" s="1"/>
  <c r="J429" i="80"/>
  <c r="J430" i="80" s="1"/>
  <c r="H31" i="31"/>
  <c r="I281" i="85"/>
  <c r="AP451" i="79"/>
  <c r="AM415" i="79"/>
  <c r="G439" i="80"/>
  <c r="H448" i="80"/>
  <c r="H451" i="79"/>
  <c r="G415" i="79"/>
  <c r="DW415" i="79"/>
  <c r="CQ415" i="79"/>
  <c r="H234" i="85"/>
  <c r="J134" i="90" s="1"/>
  <c r="H234" i="80"/>
  <c r="FL234" i="80" s="1"/>
  <c r="H234" i="79"/>
  <c r="CZ234" i="79" s="1"/>
  <c r="DZ52" i="79"/>
  <c r="DB52" i="79"/>
  <c r="CT52" i="79"/>
  <c r="BF52" i="79"/>
  <c r="AP52" i="79"/>
  <c r="BF50" i="80"/>
  <c r="BF52" i="80" s="1"/>
  <c r="BF384" i="80"/>
  <c r="P447" i="79"/>
  <c r="CR447" i="79"/>
  <c r="FL127" i="80"/>
  <c r="FL228" i="80"/>
  <c r="CB228" i="79"/>
  <c r="CB127" i="79"/>
  <c r="AN228" i="79"/>
  <c r="AN127" i="79"/>
  <c r="BD451" i="79"/>
  <c r="CZ228" i="80"/>
  <c r="CZ127" i="80"/>
  <c r="X228" i="80"/>
  <c r="X127" i="80"/>
  <c r="BD447" i="79"/>
  <c r="CR451" i="79"/>
  <c r="BL451" i="79"/>
  <c r="DX451" i="79"/>
  <c r="CZ447" i="79"/>
  <c r="BL447" i="79"/>
  <c r="BD448" i="80"/>
  <c r="DX447" i="79"/>
  <c r="CZ451" i="79"/>
  <c r="I251" i="80" l="1"/>
  <c r="I97" i="26"/>
  <c r="I257" i="85" s="1"/>
  <c r="I251" i="79"/>
  <c r="G388" i="85"/>
  <c r="J119" i="13"/>
  <c r="J119" i="79" s="1"/>
  <c r="J131" i="13"/>
  <c r="J131" i="85" s="1"/>
  <c r="L77" i="90" s="1"/>
  <c r="J68" i="26"/>
  <c r="J228" i="80" s="1"/>
  <c r="J63" i="26"/>
  <c r="J223" i="80" s="1"/>
  <c r="J152" i="13"/>
  <c r="J156" i="13" s="1"/>
  <c r="J127" i="13"/>
  <c r="J127" i="79" s="1"/>
  <c r="I22" i="31"/>
  <c r="J274" i="85" s="1"/>
  <c r="L154" i="90" s="1"/>
  <c r="CY439" i="79"/>
  <c r="BU429" i="80"/>
  <c r="BU430" i="80" s="1"/>
  <c r="DW439" i="79"/>
  <c r="BU413" i="80"/>
  <c r="BU414" i="80" s="1"/>
  <c r="BU415" i="80" s="1"/>
  <c r="BU451" i="80" s="1"/>
  <c r="BU223" i="80" s="1"/>
  <c r="CD431" i="79"/>
  <c r="CK413" i="80"/>
  <c r="CK414" i="80" s="1"/>
  <c r="CK415" i="80" s="1"/>
  <c r="CK451" i="80" s="1"/>
  <c r="CK223" i="80" s="1"/>
  <c r="CK395" i="80"/>
  <c r="CK447" i="80" s="1"/>
  <c r="AM439" i="79"/>
  <c r="CB431" i="79"/>
  <c r="CC431" i="79"/>
  <c r="AG119" i="79"/>
  <c r="CA439" i="79"/>
  <c r="AG228" i="79"/>
  <c r="CA415" i="79"/>
  <c r="CD52" i="79"/>
  <c r="FN413" i="80"/>
  <c r="FN414" i="80" s="1"/>
  <c r="FN415" i="80" s="1"/>
  <c r="FN451" i="80" s="1"/>
  <c r="R429" i="79"/>
  <c r="R430" i="79" s="1"/>
  <c r="R431" i="79" s="1"/>
  <c r="FN429" i="80"/>
  <c r="FN430" i="80" s="1"/>
  <c r="FN431" i="80" s="1"/>
  <c r="FN395" i="80"/>
  <c r="FN447" i="80" s="1"/>
  <c r="H152" i="13"/>
  <c r="H152" i="79" s="1"/>
  <c r="H156" i="79" s="1"/>
  <c r="H158" i="79" s="1"/>
  <c r="G22" i="31"/>
  <c r="H274" i="79" s="1"/>
  <c r="CZ274" i="79" s="1"/>
  <c r="H68" i="26"/>
  <c r="H228" i="79" s="1"/>
  <c r="H131" i="13"/>
  <c r="H131" i="85" s="1"/>
  <c r="J77" i="90" s="1"/>
  <c r="H63" i="26"/>
  <c r="H223" i="85" s="1"/>
  <c r="J124" i="90" s="1"/>
  <c r="H127" i="13"/>
  <c r="H127" i="80" s="1"/>
  <c r="E388" i="85"/>
  <c r="H119" i="13"/>
  <c r="H119" i="85" s="1"/>
  <c r="J65" i="90" s="1"/>
  <c r="E21" i="32"/>
  <c r="E24" i="32" s="1"/>
  <c r="I84" i="13" s="1"/>
  <c r="BF429" i="79"/>
  <c r="BF430" i="79" s="1"/>
  <c r="R413" i="79"/>
  <c r="R414" i="79" s="1"/>
  <c r="R415" i="79" s="1"/>
  <c r="R451" i="79" s="1"/>
  <c r="CQ429" i="79"/>
  <c r="CQ430" i="79" s="1"/>
  <c r="CS431" i="79" s="1"/>
  <c r="CT429" i="79"/>
  <c r="CT430" i="79" s="1"/>
  <c r="DJ429" i="80"/>
  <c r="DJ430" i="80" s="1"/>
  <c r="CQ439" i="79"/>
  <c r="DG429" i="80"/>
  <c r="DG430" i="80" s="1"/>
  <c r="DI431" i="80" s="1"/>
  <c r="W429" i="80"/>
  <c r="W430" i="80" s="1"/>
  <c r="X431" i="80" s="1"/>
  <c r="Z395" i="80"/>
  <c r="DJ395" i="80"/>
  <c r="DJ447" i="80" s="1"/>
  <c r="Z413" i="80"/>
  <c r="Z414" i="80" s="1"/>
  <c r="Z415" i="80" s="1"/>
  <c r="W415" i="80" s="1"/>
  <c r="R395" i="79"/>
  <c r="O395" i="79" s="1"/>
  <c r="BK415" i="79"/>
  <c r="BN52" i="79"/>
  <c r="BC439" i="79"/>
  <c r="BN395" i="79"/>
  <c r="BN447" i="79" s="1"/>
  <c r="BK429" i="79"/>
  <c r="BK430" i="79" s="1"/>
  <c r="BL431" i="79" s="1"/>
  <c r="DB429" i="80"/>
  <c r="DB430" i="80" s="1"/>
  <c r="DB395" i="80"/>
  <c r="DB447" i="80" s="1"/>
  <c r="CY429" i="80"/>
  <c r="CY430" i="80" s="1"/>
  <c r="CZ431" i="80" s="1"/>
  <c r="CR127" i="80"/>
  <c r="BC429" i="79"/>
  <c r="BC430" i="79" s="1"/>
  <c r="DH228" i="80"/>
  <c r="DQ274" i="80"/>
  <c r="DQ281" i="80" s="1"/>
  <c r="DQ283" i="80" s="1"/>
  <c r="DQ328" i="80" s="1"/>
  <c r="FN234" i="80"/>
  <c r="BM63" i="80"/>
  <c r="BM77" i="80" s="1"/>
  <c r="BM79" i="80" s="1"/>
  <c r="CD127" i="79"/>
  <c r="BE274" i="80"/>
  <c r="BE281" i="80" s="1"/>
  <c r="BE283" i="80" s="1"/>
  <c r="BE328" i="80" s="1"/>
  <c r="DY274" i="80"/>
  <c r="DY281" i="80" s="1"/>
  <c r="DY283" i="80" s="1"/>
  <c r="DY328" i="80" s="1"/>
  <c r="BM274" i="80"/>
  <c r="BM281" i="80" s="1"/>
  <c r="BM283" i="80" s="1"/>
  <c r="BM328" i="80" s="1"/>
  <c r="AU439" i="79"/>
  <c r="DA63" i="80"/>
  <c r="DA77" i="80" s="1"/>
  <c r="DA79" i="80" s="1"/>
  <c r="Y274" i="80"/>
  <c r="Y281" i="80" s="1"/>
  <c r="Y283" i="80" s="1"/>
  <c r="Y328" i="80" s="1"/>
  <c r="EG119" i="80"/>
  <c r="DA274" i="80"/>
  <c r="DA281" i="80" s="1"/>
  <c r="DA283" i="80" s="1"/>
  <c r="DA328" i="80" s="1"/>
  <c r="Q274" i="80"/>
  <c r="Q281" i="80" s="1"/>
  <c r="Q283" i="80" s="1"/>
  <c r="Q328" i="80" s="1"/>
  <c r="BM223" i="80"/>
  <c r="AE439" i="79"/>
  <c r="EE439" i="79"/>
  <c r="BM63" i="79"/>
  <c r="BM77" i="79" s="1"/>
  <c r="BM79" i="79" s="1"/>
  <c r="DY63" i="79"/>
  <c r="DY77" i="79" s="1"/>
  <c r="DY79" i="79" s="1"/>
  <c r="BU63" i="79"/>
  <c r="BU77" i="79" s="1"/>
  <c r="BU79" i="79" s="1"/>
  <c r="FM274" i="80"/>
  <c r="FM281" i="80" s="1"/>
  <c r="FM283" i="80" s="1"/>
  <c r="FM328" i="80" s="1"/>
  <c r="CS131" i="79"/>
  <c r="CS133" i="79" s="1"/>
  <c r="CK63" i="79"/>
  <c r="CK77" i="79" s="1"/>
  <c r="CK79" i="79" s="1"/>
  <c r="EG274" i="80"/>
  <c r="EG281" i="80" s="1"/>
  <c r="EG283" i="80" s="1"/>
  <c r="EG328" i="80" s="1"/>
  <c r="EO63" i="79"/>
  <c r="EO77" i="79" s="1"/>
  <c r="EO79" i="79" s="1"/>
  <c r="I281" i="80"/>
  <c r="I283" i="80" s="1"/>
  <c r="I328" i="80" s="1"/>
  <c r="AW131" i="79"/>
  <c r="AW133" i="79" s="1"/>
  <c r="DI63" i="80"/>
  <c r="DI77" i="80" s="1"/>
  <c r="DI79" i="80" s="1"/>
  <c r="DQ223" i="80"/>
  <c r="AG63" i="80"/>
  <c r="AG77" i="80" s="1"/>
  <c r="AG79" i="80" s="1"/>
  <c r="CK152" i="79"/>
  <c r="CK156" i="79" s="1"/>
  <c r="CK158" i="79" s="1"/>
  <c r="DY131" i="79"/>
  <c r="DY133" i="79" s="1"/>
  <c r="DQ63" i="79"/>
  <c r="DQ77" i="79" s="1"/>
  <c r="DQ79" i="79" s="1"/>
  <c r="CC274" i="79"/>
  <c r="CC281" i="79" s="1"/>
  <c r="CC283" i="79" s="1"/>
  <c r="CC328" i="79" s="1"/>
  <c r="CC131" i="79"/>
  <c r="CC133" i="79" s="1"/>
  <c r="CS63" i="79"/>
  <c r="CS77" i="79" s="1"/>
  <c r="CS79" i="79" s="1"/>
  <c r="DQ274" i="79"/>
  <c r="DQ281" i="79" s="1"/>
  <c r="DQ283" i="79" s="1"/>
  <c r="DQ328" i="79" s="1"/>
  <c r="AG131" i="79"/>
  <c r="Q63" i="79"/>
  <c r="Q77" i="79" s="1"/>
  <c r="Q79" i="79" s="1"/>
  <c r="BM274" i="79"/>
  <c r="BM281" i="79" s="1"/>
  <c r="BM283" i="79" s="1"/>
  <c r="BM328" i="79" s="1"/>
  <c r="EW131" i="79"/>
  <c r="EW133" i="79" s="1"/>
  <c r="DI63" i="79"/>
  <c r="DI77" i="79" s="1"/>
  <c r="DI79" i="79" s="1"/>
  <c r="AW274" i="80"/>
  <c r="AW281" i="80" s="1"/>
  <c r="AW283" i="80" s="1"/>
  <c r="AW328" i="80" s="1"/>
  <c r="DB234" i="79"/>
  <c r="AO274" i="80"/>
  <c r="AO281" i="80" s="1"/>
  <c r="AO283" i="80" s="1"/>
  <c r="AO328" i="80" s="1"/>
  <c r="AW274" i="79"/>
  <c r="AW281" i="79" s="1"/>
  <c r="AW283" i="79" s="1"/>
  <c r="AW328" i="79" s="1"/>
  <c r="FE63" i="79"/>
  <c r="FE77" i="79" s="1"/>
  <c r="FE79" i="79" s="1"/>
  <c r="CS274" i="80"/>
  <c r="CS281" i="80" s="1"/>
  <c r="CS283" i="80" s="1"/>
  <c r="CS328" i="80" s="1"/>
  <c r="Q131" i="79"/>
  <c r="Q133" i="79" s="1"/>
  <c r="FE63" i="80"/>
  <c r="FE77" i="80" s="1"/>
  <c r="FE79" i="80" s="1"/>
  <c r="Y63" i="80"/>
  <c r="Y77" i="80" s="1"/>
  <c r="Y79" i="80" s="1"/>
  <c r="DA63" i="79"/>
  <c r="DA77" i="79" s="1"/>
  <c r="DA79" i="79" s="1"/>
  <c r="AO131" i="79"/>
  <c r="AO133" i="79" s="1"/>
  <c r="FM131" i="79"/>
  <c r="FM133" i="79" s="1"/>
  <c r="DI131" i="79"/>
  <c r="DI133" i="79" s="1"/>
  <c r="AW63" i="79"/>
  <c r="AW77" i="79" s="1"/>
  <c r="AW79" i="79" s="1"/>
  <c r="EO274" i="80"/>
  <c r="EO281" i="80" s="1"/>
  <c r="EO283" i="80" s="1"/>
  <c r="EO328" i="80" s="1"/>
  <c r="DA131" i="79"/>
  <c r="DA133" i="79" s="1"/>
  <c r="BM131" i="79"/>
  <c r="BM133" i="79" s="1"/>
  <c r="DA223" i="80"/>
  <c r="CS63" i="80"/>
  <c r="CS77" i="80" s="1"/>
  <c r="CS79" i="80" s="1"/>
  <c r="CT435" i="80"/>
  <c r="CT438" i="80" s="1"/>
  <c r="CT439" i="80" s="1"/>
  <c r="CT394" i="80"/>
  <c r="AG274" i="80"/>
  <c r="AG281" i="80" s="1"/>
  <c r="AG283" i="80" s="1"/>
  <c r="AG328" i="80" s="1"/>
  <c r="EG63" i="80"/>
  <c r="EG77" i="80" s="1"/>
  <c r="EG79" i="80" s="1"/>
  <c r="BU63" i="80"/>
  <c r="BU77" i="80" s="1"/>
  <c r="BU79" i="80" s="1"/>
  <c r="DQ63" i="80"/>
  <c r="DQ77" i="80" s="1"/>
  <c r="DQ79" i="80" s="1"/>
  <c r="EO131" i="79"/>
  <c r="EO133" i="79" s="1"/>
  <c r="EW63" i="79"/>
  <c r="EW77" i="79" s="1"/>
  <c r="EW79" i="79" s="1"/>
  <c r="Q152" i="79"/>
  <c r="Q156" i="79" s="1"/>
  <c r="Q158" i="79" s="1"/>
  <c r="DY152" i="79"/>
  <c r="DY156" i="79" s="1"/>
  <c r="DY158" i="79" s="1"/>
  <c r="FM152" i="79"/>
  <c r="FM156" i="79" s="1"/>
  <c r="FM158" i="79" s="1"/>
  <c r="DQ152" i="79"/>
  <c r="DQ156" i="79" s="1"/>
  <c r="DQ158" i="79" s="1"/>
  <c r="BE152" i="79"/>
  <c r="BE156" i="79" s="1"/>
  <c r="BE158" i="79" s="1"/>
  <c r="FE152" i="79"/>
  <c r="FE156" i="79" s="1"/>
  <c r="FE158" i="79" s="1"/>
  <c r="AO152" i="79"/>
  <c r="AO156" i="79" s="1"/>
  <c r="AO158" i="79" s="1"/>
  <c r="BU152" i="79"/>
  <c r="BU156" i="79" s="1"/>
  <c r="BU158" i="79" s="1"/>
  <c r="EW152" i="79"/>
  <c r="EW156" i="79" s="1"/>
  <c r="EW158" i="79" s="1"/>
  <c r="CS152" i="79"/>
  <c r="CS156" i="79" s="1"/>
  <c r="CS158" i="79" s="1"/>
  <c r="DI152" i="79"/>
  <c r="DI156" i="79" s="1"/>
  <c r="DI158" i="79" s="1"/>
  <c r="AW152" i="79"/>
  <c r="AW156" i="79" s="1"/>
  <c r="AW158" i="79" s="1"/>
  <c r="AG152" i="79"/>
  <c r="AG156" i="79" s="1"/>
  <c r="AG158" i="79" s="1"/>
  <c r="EO152" i="79"/>
  <c r="EO156" i="79" s="1"/>
  <c r="EO158" i="79" s="1"/>
  <c r="DA152" i="79"/>
  <c r="DA156" i="79" s="1"/>
  <c r="DA158" i="79" s="1"/>
  <c r="EG152" i="79"/>
  <c r="EG156" i="79" s="1"/>
  <c r="EG158" i="79" s="1"/>
  <c r="CC152" i="79"/>
  <c r="CC156" i="79" s="1"/>
  <c r="CC158" i="79" s="1"/>
  <c r="BM152" i="79"/>
  <c r="BM156" i="79" s="1"/>
  <c r="BM158" i="79" s="1"/>
  <c r="Y152" i="79"/>
  <c r="Y156" i="79" s="1"/>
  <c r="Y158" i="79" s="1"/>
  <c r="EG131" i="79"/>
  <c r="EG133" i="79" s="1"/>
  <c r="CK131" i="79"/>
  <c r="CK133" i="79" s="1"/>
  <c r="BE131" i="79"/>
  <c r="BE133" i="79" s="1"/>
  <c r="DQ131" i="79"/>
  <c r="DQ133" i="79" s="1"/>
  <c r="Y131" i="79"/>
  <c r="Y133" i="79" s="1"/>
  <c r="J131" i="80"/>
  <c r="BU131" i="79"/>
  <c r="BU133" i="79" s="1"/>
  <c r="AG63" i="79"/>
  <c r="AG77" i="79" s="1"/>
  <c r="AG79" i="79" s="1"/>
  <c r="AW63" i="80"/>
  <c r="AW77" i="80" s="1"/>
  <c r="AW79" i="80" s="1"/>
  <c r="CC63" i="80"/>
  <c r="CC77" i="80" s="1"/>
  <c r="CC79" i="80" s="1"/>
  <c r="Q63" i="80"/>
  <c r="Q77" i="80" s="1"/>
  <c r="Q79" i="80" s="1"/>
  <c r="DY63" i="80"/>
  <c r="DY77" i="80" s="1"/>
  <c r="DY79" i="80" s="1"/>
  <c r="FM63" i="79"/>
  <c r="FM77" i="79" s="1"/>
  <c r="FM79" i="79" s="1"/>
  <c r="EO63" i="80"/>
  <c r="EO77" i="80" s="1"/>
  <c r="EO79" i="80" s="1"/>
  <c r="EG63" i="79"/>
  <c r="EG77" i="79" s="1"/>
  <c r="EG79" i="79" s="1"/>
  <c r="FM63" i="80"/>
  <c r="FM77" i="80" s="1"/>
  <c r="FM79" i="80" s="1"/>
  <c r="CC63" i="79"/>
  <c r="CC77" i="79" s="1"/>
  <c r="CC79" i="79" s="1"/>
  <c r="AO63" i="80"/>
  <c r="AO77" i="80" s="1"/>
  <c r="AO79" i="80" s="1"/>
  <c r="BE63" i="80"/>
  <c r="BE77" i="80" s="1"/>
  <c r="BE79" i="80" s="1"/>
  <c r="BE63" i="79"/>
  <c r="BE77" i="79" s="1"/>
  <c r="BE79" i="79" s="1"/>
  <c r="EW63" i="80"/>
  <c r="EW77" i="80" s="1"/>
  <c r="EW79" i="80" s="1"/>
  <c r="FK439" i="79"/>
  <c r="EM439" i="79"/>
  <c r="EW274" i="80"/>
  <c r="EW281" i="80" s="1"/>
  <c r="EW283" i="80" s="1"/>
  <c r="EW328" i="80" s="1"/>
  <c r="DI274" i="80"/>
  <c r="DI281" i="80" s="1"/>
  <c r="DI283" i="80" s="1"/>
  <c r="DI328" i="80" s="1"/>
  <c r="EW274" i="79"/>
  <c r="EW281" i="79" s="1"/>
  <c r="EW283" i="79" s="1"/>
  <c r="EW328" i="79" s="1"/>
  <c r="EG274" i="79"/>
  <c r="EG281" i="79" s="1"/>
  <c r="EG283" i="79" s="1"/>
  <c r="EG328" i="79" s="1"/>
  <c r="BL395" i="80"/>
  <c r="BL447" i="80" s="1"/>
  <c r="BL413" i="80"/>
  <c r="BL414" i="80" s="1"/>
  <c r="BL415" i="80" s="1"/>
  <c r="BL451" i="80" s="1"/>
  <c r="DH451" i="79"/>
  <c r="EV451" i="79"/>
  <c r="EP395" i="79"/>
  <c r="EP429" i="79"/>
  <c r="EP430" i="79" s="1"/>
  <c r="EM429" i="79"/>
  <c r="EM430" i="79" s="1"/>
  <c r="FD448" i="80"/>
  <c r="FD234" i="80" s="1"/>
  <c r="P413" i="80"/>
  <c r="P414" i="80" s="1"/>
  <c r="P415" i="80" s="1"/>
  <c r="P451" i="80" s="1"/>
  <c r="P395" i="80"/>
  <c r="P447" i="80" s="1"/>
  <c r="DI274" i="79"/>
  <c r="DI281" i="79" s="1"/>
  <c r="DI283" i="79" s="1"/>
  <c r="DI328" i="79" s="1"/>
  <c r="BM228" i="80"/>
  <c r="BM152" i="80"/>
  <c r="BM156" i="80" s="1"/>
  <c r="BM158" i="80" s="1"/>
  <c r="BM127" i="80"/>
  <c r="BM131" i="80"/>
  <c r="BM119" i="80"/>
  <c r="BL448" i="80"/>
  <c r="BL234" i="80" s="1"/>
  <c r="DG439" i="79"/>
  <c r="EX413" i="79"/>
  <c r="EX414" i="79" s="1"/>
  <c r="EX415" i="79" s="1"/>
  <c r="EX451" i="79" s="1"/>
  <c r="EX52" i="79"/>
  <c r="EP435" i="80"/>
  <c r="EP438" i="80" s="1"/>
  <c r="EP439" i="80" s="1"/>
  <c r="EP448" i="80" s="1"/>
  <c r="EP394" i="80"/>
  <c r="AN413" i="80"/>
  <c r="AN414" i="80" s="1"/>
  <c r="AN415" i="80" s="1"/>
  <c r="AN451" i="80" s="1"/>
  <c r="AN395" i="80"/>
  <c r="AN447" i="80" s="1"/>
  <c r="P448" i="80"/>
  <c r="P234" i="80" s="1"/>
  <c r="AG274" i="79"/>
  <c r="AG281" i="79" s="1"/>
  <c r="AG283" i="79" s="1"/>
  <c r="AG328" i="79" s="1"/>
  <c r="AO274" i="79"/>
  <c r="AO281" i="79" s="1"/>
  <c r="AO283" i="79" s="1"/>
  <c r="AO328" i="79" s="1"/>
  <c r="AE429" i="79"/>
  <c r="AE430" i="79" s="1"/>
  <c r="AH395" i="79"/>
  <c r="AH429" i="79"/>
  <c r="AH430" i="79" s="1"/>
  <c r="W439" i="79"/>
  <c r="CC228" i="80"/>
  <c r="CC235" i="80" s="1"/>
  <c r="CC84" i="80" s="1"/>
  <c r="CC119" i="80"/>
  <c r="CC131" i="80"/>
  <c r="CC152" i="80"/>
  <c r="CC156" i="80" s="1"/>
  <c r="CC158" i="80" s="1"/>
  <c r="CC127" i="80"/>
  <c r="AN448" i="80"/>
  <c r="AN234" i="80" s="1"/>
  <c r="EN451" i="79"/>
  <c r="DY274" i="79"/>
  <c r="DY281" i="79" s="1"/>
  <c r="DY283" i="79" s="1"/>
  <c r="DY328" i="79" s="1"/>
  <c r="I281" i="79"/>
  <c r="I283" i="79" s="1"/>
  <c r="I328" i="79" s="1"/>
  <c r="AH413" i="79"/>
  <c r="AH414" i="79" s="1"/>
  <c r="AH415" i="79" s="1"/>
  <c r="AH451" i="79" s="1"/>
  <c r="AH52" i="79"/>
  <c r="AF451" i="79"/>
  <c r="EU429" i="79"/>
  <c r="EU430" i="79" s="1"/>
  <c r="EX395" i="79"/>
  <c r="EX429" i="79"/>
  <c r="EX430" i="79" s="1"/>
  <c r="EU439" i="79"/>
  <c r="AP394" i="80"/>
  <c r="AP435" i="80"/>
  <c r="AP438" i="80" s="1"/>
  <c r="AP439" i="80" s="1"/>
  <c r="AP448" i="80" s="1"/>
  <c r="Q274" i="79"/>
  <c r="Q281" i="79" s="1"/>
  <c r="Q283" i="79" s="1"/>
  <c r="Q328" i="79" s="1"/>
  <c r="CD435" i="80"/>
  <c r="CD438" i="80" s="1"/>
  <c r="CD439" i="80" s="1"/>
  <c r="CD448" i="80" s="1"/>
  <c r="CD394" i="80"/>
  <c r="BV435" i="80"/>
  <c r="BV438" i="80" s="1"/>
  <c r="BV439" i="80" s="1"/>
  <c r="BV448" i="80" s="1"/>
  <c r="BV394" i="80"/>
  <c r="EF451" i="79"/>
  <c r="FE133" i="79"/>
  <c r="FL451" i="79"/>
  <c r="BE152" i="80"/>
  <c r="BE156" i="80" s="1"/>
  <c r="BE158" i="80" s="1"/>
  <c r="BE127" i="80"/>
  <c r="BE131" i="80"/>
  <c r="BE119" i="80"/>
  <c r="BE228" i="80"/>
  <c r="BE235" i="80" s="1"/>
  <c r="CL435" i="80"/>
  <c r="CL438" i="80" s="1"/>
  <c r="CL439" i="80" s="1"/>
  <c r="CL448" i="80" s="1"/>
  <c r="CL394" i="80"/>
  <c r="AW127" i="80"/>
  <c r="AW152" i="80"/>
  <c r="AW156" i="80" s="1"/>
  <c r="AW158" i="80" s="1"/>
  <c r="AW119" i="80"/>
  <c r="AW131" i="80"/>
  <c r="AW228" i="80"/>
  <c r="AW235" i="80" s="1"/>
  <c r="EN413" i="80"/>
  <c r="EN414" i="80" s="1"/>
  <c r="EN415" i="80" s="1"/>
  <c r="EN451" i="80" s="1"/>
  <c r="EN395" i="80"/>
  <c r="EN447" i="80" s="1"/>
  <c r="DQ131" i="80"/>
  <c r="DQ119" i="80"/>
  <c r="DQ228" i="80"/>
  <c r="DQ127" i="80"/>
  <c r="DQ152" i="80"/>
  <c r="DQ156" i="80" s="1"/>
  <c r="DQ158" i="80" s="1"/>
  <c r="DP413" i="80"/>
  <c r="DP414" i="80" s="1"/>
  <c r="DP415" i="80" s="1"/>
  <c r="DP451" i="80" s="1"/>
  <c r="DP395" i="80"/>
  <c r="DP447" i="80" s="1"/>
  <c r="EW131" i="80"/>
  <c r="EW152" i="80"/>
  <c r="EW156" i="80" s="1"/>
  <c r="EW158" i="80" s="1"/>
  <c r="EW127" i="80"/>
  <c r="EW228" i="80"/>
  <c r="EW235" i="80" s="1"/>
  <c r="EW84" i="80" s="1"/>
  <c r="EW119" i="80"/>
  <c r="Y274" i="79"/>
  <c r="Y281" i="79" s="1"/>
  <c r="Y283" i="79" s="1"/>
  <c r="Y328" i="79" s="1"/>
  <c r="EV413" i="80"/>
  <c r="EV414" i="80" s="1"/>
  <c r="EV415" i="80" s="1"/>
  <c r="EV451" i="80" s="1"/>
  <c r="EV395" i="80"/>
  <c r="EV447" i="80" s="1"/>
  <c r="AX435" i="80"/>
  <c r="AX438" i="80" s="1"/>
  <c r="AX439" i="80" s="1"/>
  <c r="AX448" i="80" s="1"/>
  <c r="AX394" i="80"/>
  <c r="BS439" i="79"/>
  <c r="Z395" i="79"/>
  <c r="Z429" i="79"/>
  <c r="Z430" i="79" s="1"/>
  <c r="W429" i="79"/>
  <c r="W430" i="79" s="1"/>
  <c r="EN448" i="80"/>
  <c r="EN234" i="80" s="1"/>
  <c r="DP448" i="80"/>
  <c r="DP234" i="80" s="1"/>
  <c r="BU274" i="79"/>
  <c r="BU281" i="79" s="1"/>
  <c r="BU283" i="79" s="1"/>
  <c r="BU328" i="79" s="1"/>
  <c r="EV448" i="80"/>
  <c r="EV234" i="80" s="1"/>
  <c r="Z413" i="79"/>
  <c r="Z414" i="79" s="1"/>
  <c r="Z415" i="79" s="1"/>
  <c r="Z451" i="79" s="1"/>
  <c r="Z52" i="79"/>
  <c r="FN413" i="79"/>
  <c r="FN414" i="79" s="1"/>
  <c r="FN415" i="79" s="1"/>
  <c r="FN451" i="79" s="1"/>
  <c r="FN52" i="79"/>
  <c r="AH435" i="80"/>
  <c r="AH438" i="80" s="1"/>
  <c r="AH439" i="80" s="1"/>
  <c r="AH448" i="80" s="1"/>
  <c r="AH394" i="80"/>
  <c r="BT395" i="80"/>
  <c r="BT447" i="80" s="1"/>
  <c r="BT413" i="80"/>
  <c r="BT414" i="80" s="1"/>
  <c r="BT415" i="80" s="1"/>
  <c r="BT451" i="80" s="1"/>
  <c r="R435" i="80"/>
  <c r="R438" i="80" s="1"/>
  <c r="R439" i="80" s="1"/>
  <c r="R448" i="80" s="1"/>
  <c r="R394" i="80"/>
  <c r="CS119" i="80"/>
  <c r="CS131" i="80"/>
  <c r="CS127" i="80"/>
  <c r="CS152" i="80"/>
  <c r="CS156" i="80" s="1"/>
  <c r="CS158" i="80" s="1"/>
  <c r="CS228" i="80"/>
  <c r="CS235" i="80" s="1"/>
  <c r="CS84" i="80" s="1"/>
  <c r="EF395" i="80"/>
  <c r="EF447" i="80" s="1"/>
  <c r="EF413" i="80"/>
  <c r="EF414" i="80" s="1"/>
  <c r="EF415" i="80" s="1"/>
  <c r="EF451" i="80" s="1"/>
  <c r="BT448" i="80"/>
  <c r="BT234" i="80" s="1"/>
  <c r="DJ413" i="79"/>
  <c r="DJ414" i="79" s="1"/>
  <c r="DJ415" i="79" s="1"/>
  <c r="DJ451" i="79" s="1"/>
  <c r="DJ52" i="79"/>
  <c r="DA119" i="80"/>
  <c r="DA131" i="80"/>
  <c r="DA228" i="80"/>
  <c r="DB228" i="80" s="1"/>
  <c r="DA152" i="80"/>
  <c r="DA156" i="80" s="1"/>
  <c r="DA158" i="80" s="1"/>
  <c r="DA127" i="80"/>
  <c r="DB127" i="80" s="1"/>
  <c r="BN435" i="80"/>
  <c r="BN438" i="80" s="1"/>
  <c r="BN439" i="80" s="1"/>
  <c r="BN448" i="80" s="1"/>
  <c r="BN394" i="80"/>
  <c r="FK429" i="79"/>
  <c r="FK430" i="79" s="1"/>
  <c r="FN395" i="79"/>
  <c r="FN429" i="79"/>
  <c r="FN430" i="79" s="1"/>
  <c r="DY119" i="80"/>
  <c r="DY127" i="80"/>
  <c r="DY152" i="80"/>
  <c r="DY156" i="80" s="1"/>
  <c r="DY158" i="80" s="1"/>
  <c r="DY228" i="80"/>
  <c r="DY235" i="80" s="1"/>
  <c r="DY84" i="80" s="1"/>
  <c r="DY131" i="80"/>
  <c r="EF448" i="80"/>
  <c r="EF234" i="80" s="1"/>
  <c r="CB413" i="80"/>
  <c r="CB414" i="80" s="1"/>
  <c r="CB415" i="80" s="1"/>
  <c r="CB451" i="80" s="1"/>
  <c r="CB395" i="80"/>
  <c r="CB447" i="80" s="1"/>
  <c r="BU228" i="80"/>
  <c r="BU127" i="80"/>
  <c r="BU152" i="80"/>
  <c r="BU156" i="80" s="1"/>
  <c r="BU158" i="80" s="1"/>
  <c r="BU119" i="80"/>
  <c r="BU131" i="80"/>
  <c r="FM127" i="80"/>
  <c r="FM119" i="80"/>
  <c r="FM131" i="80"/>
  <c r="FM228" i="80"/>
  <c r="FM235" i="80" s="1"/>
  <c r="FM152" i="80"/>
  <c r="FM156" i="80" s="1"/>
  <c r="FM158" i="80" s="1"/>
  <c r="EO127" i="80"/>
  <c r="EO152" i="80"/>
  <c r="EO156" i="80" s="1"/>
  <c r="EO158" i="80" s="1"/>
  <c r="EO228" i="80"/>
  <c r="EO235" i="80" s="1"/>
  <c r="EO119" i="80"/>
  <c r="EO131" i="80"/>
  <c r="CB448" i="80"/>
  <c r="CB234" i="80" s="1"/>
  <c r="FM274" i="79"/>
  <c r="FM281" i="79" s="1"/>
  <c r="FM283" i="79" s="1"/>
  <c r="FM328" i="79" s="1"/>
  <c r="EG152" i="80"/>
  <c r="EG156" i="80" s="1"/>
  <c r="EG158" i="80" s="1"/>
  <c r="EG127" i="80"/>
  <c r="EG131" i="80"/>
  <c r="EG228" i="80"/>
  <c r="EG235" i="80" s="1"/>
  <c r="DG429" i="79"/>
  <c r="DG430" i="79" s="1"/>
  <c r="DJ395" i="79"/>
  <c r="DJ429" i="79"/>
  <c r="DJ430" i="79" s="1"/>
  <c r="CL413" i="79"/>
  <c r="CL414" i="79" s="1"/>
  <c r="CL415" i="79" s="1"/>
  <c r="CL451" i="79" s="1"/>
  <c r="CL52" i="79"/>
  <c r="AX395" i="79"/>
  <c r="AX429" i="79"/>
  <c r="AX430" i="79" s="1"/>
  <c r="AU429" i="79"/>
  <c r="AU430" i="79" s="1"/>
  <c r="Q119" i="80"/>
  <c r="Q131" i="80"/>
  <c r="Q228" i="80"/>
  <c r="Q235" i="80" s="1"/>
  <c r="Q127" i="80"/>
  <c r="Q152" i="80"/>
  <c r="Q156" i="80" s="1"/>
  <c r="Q158" i="80" s="1"/>
  <c r="Y131" i="80"/>
  <c r="Y119" i="80"/>
  <c r="Y127" i="80"/>
  <c r="Y228" i="80"/>
  <c r="Y235" i="80" s="1"/>
  <c r="Y152" i="80"/>
  <c r="Y156" i="80" s="1"/>
  <c r="Y158" i="80" s="1"/>
  <c r="CJ413" i="80"/>
  <c r="CJ414" i="80" s="1"/>
  <c r="CJ415" i="80" s="1"/>
  <c r="CJ451" i="80" s="1"/>
  <c r="CJ395" i="80"/>
  <c r="CJ447" i="80" s="1"/>
  <c r="BV395" i="79"/>
  <c r="BV429" i="79"/>
  <c r="BV430" i="79" s="1"/>
  <c r="BS429" i="79"/>
  <c r="BS430" i="79" s="1"/>
  <c r="EH395" i="79"/>
  <c r="EH429" i="79"/>
  <c r="EH430" i="79" s="1"/>
  <c r="EE429" i="79"/>
  <c r="EE430" i="79" s="1"/>
  <c r="CK127" i="80"/>
  <c r="CK119" i="80"/>
  <c r="CK228" i="80"/>
  <c r="CK235" i="80" s="1"/>
  <c r="CK152" i="80"/>
  <c r="CK156" i="80" s="1"/>
  <c r="CK158" i="80" s="1"/>
  <c r="AX413" i="79"/>
  <c r="AX414" i="79" s="1"/>
  <c r="AX415" i="79" s="1"/>
  <c r="AX451" i="79" s="1"/>
  <c r="AX52" i="79"/>
  <c r="AV451" i="79"/>
  <c r="FC439" i="79"/>
  <c r="DO439" i="79"/>
  <c r="EO274" i="79"/>
  <c r="EO281" i="79" s="1"/>
  <c r="EO283" i="79" s="1"/>
  <c r="EO328" i="79" s="1"/>
  <c r="CJ448" i="80"/>
  <c r="CJ234" i="80" s="1"/>
  <c r="EH413" i="79"/>
  <c r="EH414" i="79" s="1"/>
  <c r="EH415" i="79" s="1"/>
  <c r="EH451" i="79" s="1"/>
  <c r="EH52" i="79"/>
  <c r="DX413" i="80"/>
  <c r="DX414" i="80" s="1"/>
  <c r="DX415" i="80" s="1"/>
  <c r="DX451" i="80" s="1"/>
  <c r="DX395" i="80"/>
  <c r="DX447" i="80" s="1"/>
  <c r="CL395" i="79"/>
  <c r="CL429" i="79"/>
  <c r="CL430" i="79" s="1"/>
  <c r="CI429" i="79"/>
  <c r="CI430" i="79" s="1"/>
  <c r="DZ435" i="80"/>
  <c r="DZ438" i="80" s="1"/>
  <c r="DZ439" i="80" s="1"/>
  <c r="DZ448" i="80" s="1"/>
  <c r="DZ394" i="80"/>
  <c r="X451" i="79"/>
  <c r="X274" i="79" s="1"/>
  <c r="AF413" i="80"/>
  <c r="AF414" i="80" s="1"/>
  <c r="AF415" i="80" s="1"/>
  <c r="AF451" i="80" s="1"/>
  <c r="AF395" i="80"/>
  <c r="AF447" i="80" s="1"/>
  <c r="DI228" i="80"/>
  <c r="DI235" i="80" s="1"/>
  <c r="DI127" i="80"/>
  <c r="DI131" i="80"/>
  <c r="DI152" i="80"/>
  <c r="DI156" i="80" s="1"/>
  <c r="DI158" i="80" s="1"/>
  <c r="DI119" i="80"/>
  <c r="DR435" i="80"/>
  <c r="DR438" i="80" s="1"/>
  <c r="DR439" i="80" s="1"/>
  <c r="DR448" i="80" s="1"/>
  <c r="DR394" i="80"/>
  <c r="EH435" i="80"/>
  <c r="EH438" i="80" s="1"/>
  <c r="EH439" i="80" s="1"/>
  <c r="EH448" i="80" s="1"/>
  <c r="EH394" i="80"/>
  <c r="CC274" i="80"/>
  <c r="CC281" i="80" s="1"/>
  <c r="CC283" i="80" s="1"/>
  <c r="CC328" i="80" s="1"/>
  <c r="CK274" i="79"/>
  <c r="CK281" i="79" s="1"/>
  <c r="CK283" i="79" s="1"/>
  <c r="CK328" i="79" s="1"/>
  <c r="AV413" i="80"/>
  <c r="AV414" i="80" s="1"/>
  <c r="AV415" i="80" s="1"/>
  <c r="AV451" i="80" s="1"/>
  <c r="AV395" i="80"/>
  <c r="AV447" i="80" s="1"/>
  <c r="BV413" i="79"/>
  <c r="BV414" i="79" s="1"/>
  <c r="BV415" i="79" s="1"/>
  <c r="BV451" i="79" s="1"/>
  <c r="BV52" i="79"/>
  <c r="DX448" i="80"/>
  <c r="DX234" i="80" s="1"/>
  <c r="AG131" i="80"/>
  <c r="AG119" i="80"/>
  <c r="AG228" i="80"/>
  <c r="AG235" i="80" s="1"/>
  <c r="AG84" i="80" s="1"/>
  <c r="AG127" i="80"/>
  <c r="AG152" i="80"/>
  <c r="AG156" i="80" s="1"/>
  <c r="AG158" i="80" s="1"/>
  <c r="CJ451" i="79"/>
  <c r="CI439" i="79"/>
  <c r="AF448" i="80"/>
  <c r="AF234" i="80" s="1"/>
  <c r="FE274" i="80"/>
  <c r="FE281" i="80" s="1"/>
  <c r="FE283" i="80" s="1"/>
  <c r="FE328" i="80" s="1"/>
  <c r="BE274" i="79"/>
  <c r="BE281" i="79" s="1"/>
  <c r="BE283" i="79" s="1"/>
  <c r="BE328" i="79" s="1"/>
  <c r="AV448" i="80"/>
  <c r="AV234" i="80" s="1"/>
  <c r="BT451" i="79"/>
  <c r="EX394" i="80"/>
  <c r="EX435" i="80"/>
  <c r="EX438" i="80" s="1"/>
  <c r="EX439" i="80" s="1"/>
  <c r="EX448" i="80" s="1"/>
  <c r="AO127" i="80"/>
  <c r="AO119" i="80"/>
  <c r="AO131" i="80"/>
  <c r="AO228" i="80"/>
  <c r="AO235" i="80" s="1"/>
  <c r="AO152" i="80"/>
  <c r="AO156" i="80" s="1"/>
  <c r="AO158" i="80" s="1"/>
  <c r="FE228" i="80"/>
  <c r="FE235" i="80" s="1"/>
  <c r="FE152" i="80"/>
  <c r="FE156" i="80" s="1"/>
  <c r="FE158" i="80" s="1"/>
  <c r="FE127" i="80"/>
  <c r="FE119" i="80"/>
  <c r="FE131" i="80"/>
  <c r="EP413" i="79"/>
  <c r="EP414" i="79" s="1"/>
  <c r="EP415" i="79" s="1"/>
  <c r="EP451" i="79" s="1"/>
  <c r="EP52" i="79"/>
  <c r="FD413" i="80"/>
  <c r="FD414" i="80" s="1"/>
  <c r="FD415" i="80" s="1"/>
  <c r="FD451" i="80" s="1"/>
  <c r="FD395" i="80"/>
  <c r="FD447" i="80" s="1"/>
  <c r="FF435" i="80"/>
  <c r="FF438" i="80" s="1"/>
  <c r="FF439" i="80" s="1"/>
  <c r="FF448" i="80" s="1"/>
  <c r="FF394" i="80"/>
  <c r="CS274" i="79"/>
  <c r="CS281" i="79" s="1"/>
  <c r="CS283" i="79" s="1"/>
  <c r="CS328" i="79" s="1"/>
  <c r="DA274" i="79"/>
  <c r="DA281" i="79" s="1"/>
  <c r="DA283" i="79" s="1"/>
  <c r="DA328" i="79" s="1"/>
  <c r="CB274" i="79"/>
  <c r="CB281" i="79" s="1"/>
  <c r="CB283" i="79" s="1"/>
  <c r="CB328" i="79" s="1"/>
  <c r="BD234" i="80"/>
  <c r="AW251" i="80"/>
  <c r="AW257" i="80" s="1"/>
  <c r="DY251" i="80"/>
  <c r="DY257" i="80" s="1"/>
  <c r="EW251" i="80"/>
  <c r="EW257" i="80" s="1"/>
  <c r="EG251" i="80"/>
  <c r="EG257" i="80" s="1"/>
  <c r="EO251" i="80"/>
  <c r="EO257" i="80" s="1"/>
  <c r="DA251" i="80"/>
  <c r="DA257" i="80" s="1"/>
  <c r="Q251" i="80"/>
  <c r="Q257" i="80" s="1"/>
  <c r="FM251" i="80"/>
  <c r="FM257" i="80" s="1"/>
  <c r="DI251" i="80"/>
  <c r="DI257" i="80" s="1"/>
  <c r="FE251" i="80"/>
  <c r="FE257" i="80" s="1"/>
  <c r="AO251" i="80"/>
  <c r="AO257" i="80" s="1"/>
  <c r="BU251" i="80"/>
  <c r="BU257" i="80" s="1"/>
  <c r="CC251" i="80"/>
  <c r="CC257" i="80" s="1"/>
  <c r="DQ251" i="80"/>
  <c r="DQ257" i="80" s="1"/>
  <c r="BM251" i="80"/>
  <c r="BM257" i="80" s="1"/>
  <c r="CS251" i="80"/>
  <c r="CS257" i="80" s="1"/>
  <c r="AG251" i="80"/>
  <c r="AG257" i="80" s="1"/>
  <c r="Y251" i="80"/>
  <c r="Y257" i="80" s="1"/>
  <c r="BE251" i="80"/>
  <c r="BE257" i="80" s="1"/>
  <c r="BM251" i="79"/>
  <c r="BM257" i="79" s="1"/>
  <c r="CC251" i="79"/>
  <c r="CC257" i="79" s="1"/>
  <c r="FE251" i="79"/>
  <c r="FE257" i="79" s="1"/>
  <c r="FM251" i="79"/>
  <c r="FM257" i="79" s="1"/>
  <c r="DY251" i="79"/>
  <c r="DY257" i="79" s="1"/>
  <c r="AW251" i="79"/>
  <c r="AW257" i="79" s="1"/>
  <c r="EO251" i="79"/>
  <c r="EO257" i="79" s="1"/>
  <c r="CK251" i="79"/>
  <c r="CK257" i="79" s="1"/>
  <c r="BU251" i="79"/>
  <c r="BU257" i="79" s="1"/>
  <c r="DI251" i="79"/>
  <c r="DI257" i="79" s="1"/>
  <c r="EG251" i="79"/>
  <c r="EG257" i="79" s="1"/>
  <c r="DQ251" i="79"/>
  <c r="DQ257" i="79" s="1"/>
  <c r="DA251" i="79"/>
  <c r="DA257" i="79" s="1"/>
  <c r="CS251" i="79"/>
  <c r="CS257" i="79" s="1"/>
  <c r="AG251" i="79"/>
  <c r="AG257" i="79" s="1"/>
  <c r="Q251" i="79"/>
  <c r="Q257" i="79" s="1"/>
  <c r="EW251" i="79"/>
  <c r="EW257" i="79" s="1"/>
  <c r="Y251" i="79"/>
  <c r="Y257" i="79" s="1"/>
  <c r="BE251" i="79"/>
  <c r="BE257" i="79" s="1"/>
  <c r="CB234" i="79"/>
  <c r="CD234" i="79" s="1"/>
  <c r="BD234" i="79"/>
  <c r="BF234" i="79" s="1"/>
  <c r="X234" i="80"/>
  <c r="Z234" i="80" s="1"/>
  <c r="H281" i="79"/>
  <c r="H283" i="79" s="1"/>
  <c r="H328" i="79" s="1"/>
  <c r="DH234" i="79"/>
  <c r="DJ234" i="79" s="1"/>
  <c r="EF234" i="79"/>
  <c r="EH234" i="79" s="1"/>
  <c r="FL234" i="79"/>
  <c r="FN234" i="79" s="1"/>
  <c r="BT234" i="79"/>
  <c r="BV234" i="79" s="1"/>
  <c r="X234" i="79"/>
  <c r="Z234" i="79" s="1"/>
  <c r="EV234" i="79"/>
  <c r="EX234" i="79" s="1"/>
  <c r="CJ234" i="79"/>
  <c r="CL234" i="79" s="1"/>
  <c r="AF234" i="79"/>
  <c r="AH234" i="79" s="1"/>
  <c r="EN234" i="79"/>
  <c r="EP234" i="79" s="1"/>
  <c r="AV234" i="79"/>
  <c r="AX234" i="79" s="1"/>
  <c r="FD234" i="79"/>
  <c r="FF234" i="79" s="1"/>
  <c r="DP234" i="79"/>
  <c r="DR234" i="79" s="1"/>
  <c r="CZ234" i="80"/>
  <c r="DB234" i="80" s="1"/>
  <c r="DX234" i="79"/>
  <c r="DZ234" i="79" s="1"/>
  <c r="P234" i="79"/>
  <c r="R234" i="79" s="1"/>
  <c r="AN234" i="79"/>
  <c r="AP234" i="79" s="1"/>
  <c r="DH234" i="80"/>
  <c r="DJ234" i="80" s="1"/>
  <c r="CR234" i="80"/>
  <c r="CR234" i="79"/>
  <c r="CT234" i="79" s="1"/>
  <c r="BL234" i="79"/>
  <c r="BN234" i="79" s="1"/>
  <c r="BU223" i="79"/>
  <c r="BU235" i="79" s="1"/>
  <c r="BU237" i="79" s="1"/>
  <c r="AO223" i="79"/>
  <c r="AO235" i="79" s="1"/>
  <c r="FM223" i="79"/>
  <c r="FM235" i="79" s="1"/>
  <c r="EG223" i="79"/>
  <c r="EG235" i="79" s="1"/>
  <c r="Q223" i="79"/>
  <c r="Q235" i="79" s="1"/>
  <c r="AG223" i="79"/>
  <c r="AG235" i="79" s="1"/>
  <c r="BM223" i="79"/>
  <c r="BM235" i="79" s="1"/>
  <c r="EO223" i="79"/>
  <c r="EO235" i="79" s="1"/>
  <c r="CC223" i="79"/>
  <c r="CC235" i="79" s="1"/>
  <c r="DA223" i="79"/>
  <c r="DA235" i="79" s="1"/>
  <c r="AW223" i="79"/>
  <c r="AW235" i="79" s="1"/>
  <c r="CK223" i="79"/>
  <c r="CK235" i="79" s="1"/>
  <c r="DI223" i="79"/>
  <c r="DI235" i="79" s="1"/>
  <c r="BE223" i="79"/>
  <c r="BE235" i="79" s="1"/>
  <c r="DY223" i="79"/>
  <c r="DY235" i="79" s="1"/>
  <c r="DQ223" i="79"/>
  <c r="DQ235" i="79" s="1"/>
  <c r="Y223" i="79"/>
  <c r="Y235" i="79" s="1"/>
  <c r="FE223" i="79"/>
  <c r="FE235" i="79" s="1"/>
  <c r="CS223" i="79"/>
  <c r="CS235" i="79" s="1"/>
  <c r="EW223" i="79"/>
  <c r="EW235" i="79" s="1"/>
  <c r="I156" i="85"/>
  <c r="I235" i="79"/>
  <c r="I237" i="79" s="1"/>
  <c r="J127" i="85"/>
  <c r="L73" i="90" s="1"/>
  <c r="J127" i="80"/>
  <c r="J274" i="79"/>
  <c r="J281" i="79" s="1"/>
  <c r="J283" i="79" s="1"/>
  <c r="J328" i="79" s="1"/>
  <c r="I133" i="80"/>
  <c r="I29" i="31"/>
  <c r="J281" i="85" s="1"/>
  <c r="J274" i="80"/>
  <c r="J281" i="80" s="1"/>
  <c r="J283" i="80" s="1"/>
  <c r="J328" i="80" s="1"/>
  <c r="I133" i="79"/>
  <c r="H274" i="80"/>
  <c r="J119" i="80"/>
  <c r="J133" i="13"/>
  <c r="J133" i="85" s="1"/>
  <c r="J119" i="85"/>
  <c r="L65" i="90" s="1"/>
  <c r="I77" i="26"/>
  <c r="I237" i="85" s="1"/>
  <c r="J223" i="85"/>
  <c r="L124" i="90" s="1"/>
  <c r="J223" i="79"/>
  <c r="J152" i="79"/>
  <c r="J156" i="79" s="1"/>
  <c r="J158" i="79" s="1"/>
  <c r="J152" i="80"/>
  <c r="J156" i="80" s="1"/>
  <c r="J158" i="80" s="1"/>
  <c r="J75" i="26"/>
  <c r="F19" i="32" s="1"/>
  <c r="J152" i="85"/>
  <c r="L90" i="90" s="1"/>
  <c r="J228" i="85"/>
  <c r="L129" i="90" s="1"/>
  <c r="H274" i="85"/>
  <c r="J154" i="90" s="1"/>
  <c r="J228" i="79"/>
  <c r="G29" i="31"/>
  <c r="G31" i="31" s="1"/>
  <c r="CA431" i="79"/>
  <c r="CY415" i="80"/>
  <c r="Z431" i="80"/>
  <c r="BF435" i="80"/>
  <c r="BF438" i="80" s="1"/>
  <c r="BF439" i="80" s="1"/>
  <c r="BF394" i="80"/>
  <c r="AP431" i="79"/>
  <c r="P431" i="79"/>
  <c r="Q431" i="79"/>
  <c r="DG415" i="80"/>
  <c r="DJ451" i="80"/>
  <c r="AM395" i="79"/>
  <c r="AP447" i="79"/>
  <c r="DP451" i="79"/>
  <c r="CZ431" i="79"/>
  <c r="DA431" i="79"/>
  <c r="BC395" i="79"/>
  <c r="BF447" i="79"/>
  <c r="FF395" i="79"/>
  <c r="FF429" i="79"/>
  <c r="FF430" i="79" s="1"/>
  <c r="FC429" i="79"/>
  <c r="FC430" i="79" s="1"/>
  <c r="FL431" i="80"/>
  <c r="FM431" i="80"/>
  <c r="DY431" i="79"/>
  <c r="DX431" i="79"/>
  <c r="DR413" i="79"/>
  <c r="DR414" i="79" s="1"/>
  <c r="DR415" i="79" s="1"/>
  <c r="DR451" i="79" s="1"/>
  <c r="DR52" i="79"/>
  <c r="AN431" i="79"/>
  <c r="AO431" i="79"/>
  <c r="DB431" i="79"/>
  <c r="CQ395" i="79"/>
  <c r="CT447" i="79"/>
  <c r="W395" i="80"/>
  <c r="Z447" i="80"/>
  <c r="DZ431" i="79"/>
  <c r="DO429" i="79"/>
  <c r="DO430" i="79" s="1"/>
  <c r="DR395" i="79"/>
  <c r="DR429" i="79"/>
  <c r="DR430" i="79" s="1"/>
  <c r="FD451" i="79"/>
  <c r="CY395" i="79"/>
  <c r="DB447" i="79"/>
  <c r="FF413" i="79"/>
  <c r="FF414" i="79" s="1"/>
  <c r="FF415" i="79" s="1"/>
  <c r="FF451" i="79" s="1"/>
  <c r="FF52" i="79"/>
  <c r="DW395" i="79"/>
  <c r="DZ447" i="79"/>
  <c r="H251" i="85"/>
  <c r="J145" i="90" s="1"/>
  <c r="H251" i="79"/>
  <c r="BD251" i="79" s="1"/>
  <c r="H251" i="80"/>
  <c r="H97" i="26"/>
  <c r="H257" i="85" s="1"/>
  <c r="CK251" i="80"/>
  <c r="CK257" i="80" s="1"/>
  <c r="I257" i="80"/>
  <c r="I260" i="80" s="1"/>
  <c r="I322" i="80" s="1"/>
  <c r="AO63" i="79"/>
  <c r="AO77" i="79" s="1"/>
  <c r="AO79" i="79" s="1"/>
  <c r="I77" i="79"/>
  <c r="I79" i="79" s="1"/>
  <c r="J251" i="85"/>
  <c r="L145" i="90" s="1"/>
  <c r="J97" i="26"/>
  <c r="J257" i="85" s="1"/>
  <c r="J251" i="80"/>
  <c r="J257" i="80" s="1"/>
  <c r="J251" i="79"/>
  <c r="J257" i="79" s="1"/>
  <c r="CK63" i="80"/>
  <c r="CK77" i="80" s="1"/>
  <c r="CK79" i="80" s="1"/>
  <c r="I77" i="80"/>
  <c r="I79" i="80" s="1"/>
  <c r="H63" i="85"/>
  <c r="J29" i="90" s="1"/>
  <c r="H77" i="13"/>
  <c r="H79" i="13" s="1"/>
  <c r="H63" i="79"/>
  <c r="BD63" i="79" s="1"/>
  <c r="H63" i="80"/>
  <c r="J63" i="85"/>
  <c r="L29" i="90" s="1"/>
  <c r="J63" i="79"/>
  <c r="J77" i="79" s="1"/>
  <c r="J79" i="79" s="1"/>
  <c r="J77" i="13"/>
  <c r="J79" i="13" s="1"/>
  <c r="J63" i="80"/>
  <c r="J77" i="80" s="1"/>
  <c r="J79" i="80" s="1"/>
  <c r="AO251" i="79"/>
  <c r="AO257" i="79" s="1"/>
  <c r="I257" i="79"/>
  <c r="AP127" i="79"/>
  <c r="J235" i="80"/>
  <c r="J237" i="80" s="1"/>
  <c r="G395" i="80"/>
  <c r="H447" i="80"/>
  <c r="I431" i="80"/>
  <c r="E19" i="7"/>
  <c r="I328" i="85" s="1"/>
  <c r="I283" i="85"/>
  <c r="G415" i="80"/>
  <c r="H451" i="80"/>
  <c r="J431" i="80"/>
  <c r="J158" i="13"/>
  <c r="J158" i="85" s="1"/>
  <c r="J156" i="85"/>
  <c r="BD447" i="80"/>
  <c r="CR228" i="79"/>
  <c r="CR152" i="79"/>
  <c r="CR127" i="79"/>
  <c r="CT127" i="79" s="1"/>
  <c r="CR274" i="79"/>
  <c r="CZ228" i="79"/>
  <c r="CZ127" i="79"/>
  <c r="DB127" i="79" s="1"/>
  <c r="CZ152" i="79"/>
  <c r="BD451" i="80"/>
  <c r="AP228" i="79"/>
  <c r="BL152" i="79"/>
  <c r="BL274" i="79"/>
  <c r="BL127" i="79"/>
  <c r="BN127" i="79" s="1"/>
  <c r="BL228" i="79"/>
  <c r="P152" i="79"/>
  <c r="P228" i="79"/>
  <c r="P274" i="79"/>
  <c r="P127" i="79"/>
  <c r="DX228" i="79"/>
  <c r="DX152" i="79"/>
  <c r="DX127" i="79"/>
  <c r="DZ127" i="79" s="1"/>
  <c r="BD127" i="79"/>
  <c r="BF127" i="79" s="1"/>
  <c r="BD228" i="79"/>
  <c r="BD274" i="79"/>
  <c r="BD152" i="79"/>
  <c r="CD228" i="79"/>
  <c r="J131" i="79" l="1"/>
  <c r="DX274" i="79"/>
  <c r="AN274" i="79"/>
  <c r="AV274" i="79"/>
  <c r="AV281" i="79" s="1"/>
  <c r="AV283" i="79" s="1"/>
  <c r="AV328" i="79" s="1"/>
  <c r="BU235" i="80"/>
  <c r="CJ274" i="79"/>
  <c r="CJ281" i="79" s="1"/>
  <c r="CJ283" i="79" s="1"/>
  <c r="CJ328" i="79" s="1"/>
  <c r="J133" i="79"/>
  <c r="CK274" i="80"/>
  <c r="CK281" i="80" s="1"/>
  <c r="CK283" i="80" s="1"/>
  <c r="CK328" i="80" s="1"/>
  <c r="BU274" i="80"/>
  <c r="BU281" i="80" s="1"/>
  <c r="BU283" i="80" s="1"/>
  <c r="BU328" i="80" s="1"/>
  <c r="AG133" i="79"/>
  <c r="CK131" i="80"/>
  <c r="H152" i="80"/>
  <c r="H156" i="80" s="1"/>
  <c r="H158" i="80" s="1"/>
  <c r="CB152" i="79"/>
  <c r="CD152" i="79" s="1"/>
  <c r="CD156" i="79" s="1"/>
  <c r="CD158" i="79" s="1"/>
  <c r="FK395" i="80"/>
  <c r="FN127" i="80"/>
  <c r="FK415" i="80"/>
  <c r="AF274" i="79"/>
  <c r="FL274" i="79"/>
  <c r="FN274" i="79" s="1"/>
  <c r="FN281" i="79" s="1"/>
  <c r="FN283" i="79" s="1"/>
  <c r="FN328" i="79" s="1"/>
  <c r="BT274" i="79"/>
  <c r="BV274" i="79" s="1"/>
  <c r="BV281" i="79" s="1"/>
  <c r="BV283" i="79" s="1"/>
  <c r="BV328" i="79" s="1"/>
  <c r="EF274" i="79"/>
  <c r="EF281" i="79" s="1"/>
  <c r="EF283" i="79" s="1"/>
  <c r="EF328" i="79" s="1"/>
  <c r="EV274" i="79"/>
  <c r="EX274" i="79" s="1"/>
  <c r="EX281" i="79" s="1"/>
  <c r="EX283" i="79" s="1"/>
  <c r="EX328" i="79" s="1"/>
  <c r="DH274" i="79"/>
  <c r="DH281" i="79" s="1"/>
  <c r="DH283" i="79" s="1"/>
  <c r="DH328" i="79" s="1"/>
  <c r="R127" i="79"/>
  <c r="H119" i="80"/>
  <c r="FL119" i="80" s="1"/>
  <c r="H119" i="79"/>
  <c r="BL119" i="79" s="1"/>
  <c r="H131" i="79"/>
  <c r="CR131" i="79" s="1"/>
  <c r="CT131" i="79" s="1"/>
  <c r="H228" i="80"/>
  <c r="H228" i="85"/>
  <c r="J129" i="90" s="1"/>
  <c r="AP274" i="79"/>
  <c r="AP281" i="79" s="1"/>
  <c r="AP283" i="79" s="1"/>
  <c r="AP328" i="79" s="1"/>
  <c r="DG395" i="80"/>
  <c r="H75" i="26"/>
  <c r="H77" i="26" s="1"/>
  <c r="R447" i="79"/>
  <c r="H223" i="79"/>
  <c r="DX223" i="79" s="1"/>
  <c r="H223" i="80"/>
  <c r="DH223" i="80" s="1"/>
  <c r="DH235" i="80" s="1"/>
  <c r="DH84" i="80" s="1"/>
  <c r="H127" i="79"/>
  <c r="H127" i="85"/>
  <c r="J73" i="90" s="1"/>
  <c r="H131" i="80"/>
  <c r="AN131" i="80" s="1"/>
  <c r="CT431" i="79"/>
  <c r="BF431" i="79"/>
  <c r="O415" i="79"/>
  <c r="CR431" i="79"/>
  <c r="AN152" i="79"/>
  <c r="AN156" i="79" s="1"/>
  <c r="AN158" i="79" s="1"/>
  <c r="Y431" i="80"/>
  <c r="W431" i="80" s="1"/>
  <c r="H152" i="85"/>
  <c r="J90" i="90" s="1"/>
  <c r="H156" i="13"/>
  <c r="H158" i="13" s="1"/>
  <c r="H158" i="85" s="1"/>
  <c r="DH431" i="80"/>
  <c r="I135" i="13"/>
  <c r="I161" i="13" s="1"/>
  <c r="I84" i="80"/>
  <c r="I135" i="80" s="1"/>
  <c r="I161" i="80" s="1"/>
  <c r="I84" i="85"/>
  <c r="K40" i="90" s="1"/>
  <c r="I84" i="79"/>
  <c r="I135" i="79" s="1"/>
  <c r="I161" i="79" s="1"/>
  <c r="F21" i="32"/>
  <c r="F24" i="32" s="1"/>
  <c r="J84" i="13" s="1"/>
  <c r="Z451" i="80"/>
  <c r="Z127" i="80" s="1"/>
  <c r="DJ431" i="80"/>
  <c r="BK395" i="79"/>
  <c r="DQ235" i="80"/>
  <c r="DQ84" i="80" s="1"/>
  <c r="DA431" i="80"/>
  <c r="BM431" i="79"/>
  <c r="BN431" i="79"/>
  <c r="CY395" i="80"/>
  <c r="FN228" i="80"/>
  <c r="DB431" i="80"/>
  <c r="BD431" i="79"/>
  <c r="BE431" i="79"/>
  <c r="BM235" i="80"/>
  <c r="BM84" i="80" s="1"/>
  <c r="AU439" i="80"/>
  <c r="AH234" i="80"/>
  <c r="DZ234" i="80"/>
  <c r="AN281" i="79"/>
  <c r="AN283" i="79" s="1"/>
  <c r="AN328" i="79" s="1"/>
  <c r="R234" i="80"/>
  <c r="AX234" i="80"/>
  <c r="EM439" i="80"/>
  <c r="EP234" i="80"/>
  <c r="BN234" i="80"/>
  <c r="BS415" i="79"/>
  <c r="DP63" i="80"/>
  <c r="DP77" i="80" s="1"/>
  <c r="DP79" i="80" s="1"/>
  <c r="AE439" i="80"/>
  <c r="FM84" i="80"/>
  <c r="FM237" i="80"/>
  <c r="FM260" i="80" s="1"/>
  <c r="FM322" i="80" s="1"/>
  <c r="DX63" i="80"/>
  <c r="DX77" i="80" s="1"/>
  <c r="DX79" i="80" s="1"/>
  <c r="CI415" i="79"/>
  <c r="CT448" i="80"/>
  <c r="CT234" i="80" s="1"/>
  <c r="CQ439" i="80"/>
  <c r="CQ429" i="80"/>
  <c r="CQ430" i="80" s="1"/>
  <c r="CT429" i="80"/>
  <c r="CT430" i="80" s="1"/>
  <c r="CT395" i="80"/>
  <c r="CT413" i="80"/>
  <c r="CT414" i="80" s="1"/>
  <c r="CT415" i="80" s="1"/>
  <c r="DA235" i="80"/>
  <c r="DA84" i="80" s="1"/>
  <c r="CI439" i="80"/>
  <c r="CC237" i="80"/>
  <c r="CC260" i="80" s="1"/>
  <c r="CC322" i="80" s="1"/>
  <c r="CL431" i="79"/>
  <c r="CL234" i="80"/>
  <c r="CB156" i="79"/>
  <c r="CB158" i="79" s="1"/>
  <c r="DH152" i="80"/>
  <c r="DH156" i="80" s="1"/>
  <c r="DH158" i="80" s="1"/>
  <c r="CZ152" i="80"/>
  <c r="X152" i="80"/>
  <c r="X156" i="80" s="1"/>
  <c r="X158" i="80" s="1"/>
  <c r="DQ133" i="80"/>
  <c r="BL63" i="80"/>
  <c r="BL77" i="80" s="1"/>
  <c r="BL79" i="80" s="1"/>
  <c r="CR63" i="79"/>
  <c r="CR77" i="79" s="1"/>
  <c r="CR79" i="79" s="1"/>
  <c r="FD63" i="80"/>
  <c r="FD77" i="80" s="1"/>
  <c r="FD79" i="80" s="1"/>
  <c r="BL63" i="79"/>
  <c r="BL77" i="79" s="1"/>
  <c r="BL79" i="79" s="1"/>
  <c r="EV63" i="80"/>
  <c r="EV77" i="80" s="1"/>
  <c r="EV79" i="80" s="1"/>
  <c r="EN63" i="80"/>
  <c r="EN77" i="80" s="1"/>
  <c r="EN79" i="80" s="1"/>
  <c r="DX63" i="79"/>
  <c r="DX77" i="79" s="1"/>
  <c r="DX79" i="79" s="1"/>
  <c r="CJ63" i="80"/>
  <c r="CJ77" i="80" s="1"/>
  <c r="CJ79" i="80" s="1"/>
  <c r="P63" i="80"/>
  <c r="P77" i="80" s="1"/>
  <c r="P79" i="80" s="1"/>
  <c r="CZ63" i="79"/>
  <c r="CZ77" i="79" s="1"/>
  <c r="CZ79" i="79" s="1"/>
  <c r="AF63" i="80"/>
  <c r="AF77" i="80" s="1"/>
  <c r="AF79" i="80" s="1"/>
  <c r="BT63" i="80"/>
  <c r="BT77" i="80" s="1"/>
  <c r="BT79" i="80" s="1"/>
  <c r="EF63" i="80"/>
  <c r="EF77" i="80" s="1"/>
  <c r="EF79" i="80" s="1"/>
  <c r="AN63" i="80"/>
  <c r="AN77" i="80" s="1"/>
  <c r="AN79" i="80" s="1"/>
  <c r="CB63" i="80"/>
  <c r="CB77" i="80" s="1"/>
  <c r="CB79" i="80" s="1"/>
  <c r="AV63" i="80"/>
  <c r="AV77" i="80" s="1"/>
  <c r="AV79" i="80" s="1"/>
  <c r="P63" i="79"/>
  <c r="P77" i="79" s="1"/>
  <c r="P79" i="79" s="1"/>
  <c r="H77" i="79"/>
  <c r="H79" i="79" s="1"/>
  <c r="CB63" i="79"/>
  <c r="BT63" i="79"/>
  <c r="BT77" i="79" s="1"/>
  <c r="BT79" i="79" s="1"/>
  <c r="DP63" i="79"/>
  <c r="DP77" i="79" s="1"/>
  <c r="DP79" i="79" s="1"/>
  <c r="DH63" i="79"/>
  <c r="DH77" i="79" s="1"/>
  <c r="DH79" i="79" s="1"/>
  <c r="AF63" i="79"/>
  <c r="AF77" i="79" s="1"/>
  <c r="AF79" i="79" s="1"/>
  <c r="EV63" i="79"/>
  <c r="EV77" i="79" s="1"/>
  <c r="EV79" i="79" s="1"/>
  <c r="CJ63" i="79"/>
  <c r="CJ77" i="79" s="1"/>
  <c r="CJ79" i="79" s="1"/>
  <c r="FD63" i="79"/>
  <c r="FD77" i="79" s="1"/>
  <c r="FD79" i="79" s="1"/>
  <c r="FL63" i="79"/>
  <c r="FL77" i="79" s="1"/>
  <c r="FL79" i="79" s="1"/>
  <c r="X63" i="79"/>
  <c r="X77" i="79" s="1"/>
  <c r="X79" i="79" s="1"/>
  <c r="EF63" i="79"/>
  <c r="EF77" i="79" s="1"/>
  <c r="EF79" i="79" s="1"/>
  <c r="AV63" i="79"/>
  <c r="AV77" i="79" s="1"/>
  <c r="AV79" i="79" s="1"/>
  <c r="AN63" i="79"/>
  <c r="AN77" i="79" s="1"/>
  <c r="AN79" i="79" s="1"/>
  <c r="EN63" i="79"/>
  <c r="EN77" i="79" s="1"/>
  <c r="EN79" i="79" s="1"/>
  <c r="H77" i="80"/>
  <c r="H79" i="80" s="1"/>
  <c r="FL63" i="80"/>
  <c r="X63" i="80"/>
  <c r="X77" i="80" s="1"/>
  <c r="X79" i="80" s="1"/>
  <c r="DH63" i="80"/>
  <c r="DH77" i="80" s="1"/>
  <c r="DH79" i="80" s="1"/>
  <c r="CR63" i="80"/>
  <c r="CR77" i="80" s="1"/>
  <c r="CR79" i="80" s="1"/>
  <c r="CZ63" i="80"/>
  <c r="Y133" i="80"/>
  <c r="DR234" i="80"/>
  <c r="EG133" i="80"/>
  <c r="CK133" i="80"/>
  <c r="EX234" i="80"/>
  <c r="BV234" i="80"/>
  <c r="EX431" i="79"/>
  <c r="BV431" i="79"/>
  <c r="AX431" i="79"/>
  <c r="DJ431" i="79"/>
  <c r="EH234" i="80"/>
  <c r="AW133" i="80"/>
  <c r="CK84" i="80"/>
  <c r="CK237" i="80"/>
  <c r="CK260" i="80" s="1"/>
  <c r="CK322" i="80" s="1"/>
  <c r="DI84" i="80"/>
  <c r="DI237" i="80"/>
  <c r="DI260" i="80" s="1"/>
  <c r="DI322" i="80" s="1"/>
  <c r="Z431" i="79"/>
  <c r="CD234" i="80"/>
  <c r="DI133" i="80"/>
  <c r="CA439" i="80"/>
  <c r="BM133" i="80"/>
  <c r="EW237" i="80"/>
  <c r="EW260" i="80" s="1"/>
  <c r="EW322" i="80" s="1"/>
  <c r="AG133" i="80"/>
  <c r="AG135" i="80" s="1"/>
  <c r="AG161" i="80" s="1"/>
  <c r="EO133" i="80"/>
  <c r="CD274" i="79"/>
  <c r="CD281" i="79" s="1"/>
  <c r="CD283" i="79" s="1"/>
  <c r="CD328" i="79" s="1"/>
  <c r="AE415" i="79"/>
  <c r="DW439" i="80"/>
  <c r="DY133" i="80"/>
  <c r="DY135" i="80" s="1"/>
  <c r="DY161" i="80" s="1"/>
  <c r="EW133" i="80"/>
  <c r="EW135" i="80" s="1"/>
  <c r="EW161" i="80" s="1"/>
  <c r="O439" i="80"/>
  <c r="FN431" i="79"/>
  <c r="P251" i="79"/>
  <c r="P257" i="79" s="1"/>
  <c r="CS237" i="80"/>
  <c r="CS260" i="80" s="1"/>
  <c r="CS322" i="80" s="1"/>
  <c r="FF234" i="80"/>
  <c r="AW84" i="80"/>
  <c r="AW237" i="80"/>
  <c r="AW260" i="80" s="1"/>
  <c r="AW322" i="80" s="1"/>
  <c r="Y84" i="80"/>
  <c r="Y237" i="80"/>
  <c r="Y260" i="80" s="1"/>
  <c r="Y322" i="80" s="1"/>
  <c r="EO84" i="80"/>
  <c r="EO237" i="80"/>
  <c r="EO260" i="80" s="1"/>
  <c r="EO322" i="80" s="1"/>
  <c r="AX274" i="79"/>
  <c r="AX281" i="79" s="1"/>
  <c r="AX283" i="79" s="1"/>
  <c r="AX328" i="79" s="1"/>
  <c r="EG84" i="80"/>
  <c r="EG237" i="80"/>
  <c r="EG260" i="80" s="1"/>
  <c r="EG322" i="80" s="1"/>
  <c r="FE84" i="80"/>
  <c r="FE237" i="80"/>
  <c r="FE260" i="80" s="1"/>
  <c r="FE322" i="80" s="1"/>
  <c r="AO84" i="80"/>
  <c r="AO237" i="80"/>
  <c r="AO260" i="80" s="1"/>
  <c r="AO322" i="80" s="1"/>
  <c r="Q84" i="80"/>
  <c r="Q237" i="80"/>
  <c r="Q260" i="80" s="1"/>
  <c r="Q322" i="80" s="1"/>
  <c r="BE84" i="80"/>
  <c r="BE237" i="80"/>
  <c r="BE260" i="80" s="1"/>
  <c r="BE322" i="80" s="1"/>
  <c r="BU84" i="80"/>
  <c r="BU237" i="80"/>
  <c r="BU260" i="80" s="1"/>
  <c r="BU322" i="80" s="1"/>
  <c r="Z274" i="79"/>
  <c r="Z281" i="79" s="1"/>
  <c r="Z283" i="79" s="1"/>
  <c r="Z328" i="79" s="1"/>
  <c r="FC429" i="80"/>
  <c r="FC430" i="80" s="1"/>
  <c r="FF429" i="80"/>
  <c r="FF430" i="80" s="1"/>
  <c r="FF413" i="80"/>
  <c r="FF414" i="80" s="1"/>
  <c r="FF415" i="80" s="1"/>
  <c r="FF395" i="80"/>
  <c r="AO133" i="80"/>
  <c r="CJ152" i="79"/>
  <c r="CJ228" i="79"/>
  <c r="CL228" i="79" s="1"/>
  <c r="CJ127" i="79"/>
  <c r="CL127" i="79" s="1"/>
  <c r="CI395" i="79"/>
  <c r="CL447" i="79"/>
  <c r="FM133" i="80"/>
  <c r="EV228" i="80"/>
  <c r="EV152" i="80"/>
  <c r="EV156" i="80" s="1"/>
  <c r="EV158" i="80" s="1"/>
  <c r="EV127" i="80"/>
  <c r="AP429" i="80"/>
  <c r="AP430" i="80" s="1"/>
  <c r="AP413" i="80"/>
  <c r="AP414" i="80" s="1"/>
  <c r="AP415" i="80" s="1"/>
  <c r="AM429" i="80"/>
  <c r="AM430" i="80" s="1"/>
  <c r="AP395" i="80"/>
  <c r="AG237" i="80"/>
  <c r="AG260" i="80" s="1"/>
  <c r="AG322" i="80" s="1"/>
  <c r="DR413" i="80"/>
  <c r="DR414" i="80" s="1"/>
  <c r="DR415" i="80" s="1"/>
  <c r="DO429" i="80"/>
  <c r="DO430" i="80" s="1"/>
  <c r="DR395" i="80"/>
  <c r="DR429" i="80"/>
  <c r="DR430" i="80" s="1"/>
  <c r="FK395" i="79"/>
  <c r="FN447" i="79"/>
  <c r="EU439" i="80"/>
  <c r="FL127" i="79"/>
  <c r="FN127" i="79" s="1"/>
  <c r="FL152" i="79"/>
  <c r="FL228" i="79"/>
  <c r="FN228" i="79" s="1"/>
  <c r="AM439" i="80"/>
  <c r="AN152" i="80"/>
  <c r="AN156" i="80" s="1"/>
  <c r="AN158" i="80" s="1"/>
  <c r="AN228" i="80"/>
  <c r="AN127" i="80"/>
  <c r="P127" i="80"/>
  <c r="P228" i="80"/>
  <c r="DX152" i="80"/>
  <c r="DX156" i="80" s="1"/>
  <c r="DX158" i="80" s="1"/>
  <c r="DX119" i="80"/>
  <c r="DX228" i="80"/>
  <c r="DX127" i="80"/>
  <c r="FL431" i="79"/>
  <c r="FM431" i="79"/>
  <c r="EN127" i="80"/>
  <c r="EN228" i="80"/>
  <c r="EN152" i="80"/>
  <c r="EN156" i="80" s="1"/>
  <c r="EN158" i="80" s="1"/>
  <c r="FK415" i="79"/>
  <c r="EP413" i="80"/>
  <c r="EP414" i="80" s="1"/>
  <c r="EP415" i="80" s="1"/>
  <c r="EP395" i="80"/>
  <c r="EP429" i="80"/>
  <c r="EP430" i="80" s="1"/>
  <c r="EM429" i="80"/>
  <c r="EM430" i="80" s="1"/>
  <c r="EH395" i="80"/>
  <c r="EH413" i="80"/>
  <c r="EH414" i="80" s="1"/>
  <c r="EH415" i="80" s="1"/>
  <c r="EH451" i="80" s="1"/>
  <c r="EH429" i="80"/>
  <c r="EH430" i="80" s="1"/>
  <c r="EE429" i="80"/>
  <c r="EE430" i="80" s="1"/>
  <c r="BU133" i="80"/>
  <c r="BK429" i="80"/>
  <c r="BK430" i="80" s="1"/>
  <c r="BN395" i="80"/>
  <c r="BN429" i="80"/>
  <c r="BN430" i="80" s="1"/>
  <c r="BN413" i="80"/>
  <c r="BN414" i="80" s="1"/>
  <c r="BN415" i="80" s="1"/>
  <c r="EU395" i="79"/>
  <c r="EX447" i="79"/>
  <c r="FC439" i="80"/>
  <c r="FD228" i="80"/>
  <c r="FD152" i="80"/>
  <c r="FD156" i="80" s="1"/>
  <c r="FD158" i="80" s="1"/>
  <c r="FD127" i="80"/>
  <c r="EX395" i="80"/>
  <c r="EX447" i="80" s="1"/>
  <c r="EX429" i="80"/>
  <c r="EX430" i="80" s="1"/>
  <c r="EX413" i="80"/>
  <c r="EX414" i="80" s="1"/>
  <c r="EX415" i="80" s="1"/>
  <c r="EU429" i="80"/>
  <c r="EU430" i="80" s="1"/>
  <c r="EF431" i="79"/>
  <c r="EG431" i="79"/>
  <c r="EV431" i="79"/>
  <c r="EW431" i="79"/>
  <c r="EN431" i="79"/>
  <c r="EO431" i="79"/>
  <c r="EN127" i="79"/>
  <c r="EP127" i="79" s="1"/>
  <c r="EN228" i="79"/>
  <c r="EP228" i="79" s="1"/>
  <c r="EN152" i="79"/>
  <c r="EH431" i="79"/>
  <c r="Q133" i="80"/>
  <c r="CS133" i="80"/>
  <c r="CS135" i="80" s="1"/>
  <c r="CS161" i="80" s="1"/>
  <c r="CC133" i="80"/>
  <c r="CC135" i="80" s="1"/>
  <c r="CC161" i="80" s="1"/>
  <c r="EP431" i="79"/>
  <c r="BT152" i="79"/>
  <c r="BT228" i="79"/>
  <c r="BV228" i="79" s="1"/>
  <c r="BT127" i="79"/>
  <c r="BV127" i="79" s="1"/>
  <c r="EE395" i="79"/>
  <c r="EH447" i="79"/>
  <c r="R429" i="80"/>
  <c r="R430" i="80" s="1"/>
  <c r="R413" i="80"/>
  <c r="R414" i="80" s="1"/>
  <c r="R415" i="80" s="1"/>
  <c r="O429" i="80"/>
  <c r="O430" i="80" s="1"/>
  <c r="R395" i="80"/>
  <c r="DO439" i="80"/>
  <c r="EF127" i="79"/>
  <c r="EH127" i="79" s="1"/>
  <c r="EF152" i="79"/>
  <c r="EF228" i="79"/>
  <c r="EH228" i="79" s="1"/>
  <c r="AF228" i="79"/>
  <c r="AH228" i="79" s="1"/>
  <c r="AF127" i="79"/>
  <c r="AH127" i="79" s="1"/>
  <c r="AF152" i="79"/>
  <c r="AF156" i="79" s="1"/>
  <c r="AF158" i="79" s="1"/>
  <c r="EM395" i="79"/>
  <c r="EP447" i="79"/>
  <c r="BT431" i="79"/>
  <c r="BU431" i="79"/>
  <c r="AV431" i="79"/>
  <c r="AW431" i="79"/>
  <c r="EE415" i="79"/>
  <c r="EU415" i="79"/>
  <c r="CB228" i="80"/>
  <c r="CB127" i="80"/>
  <c r="CB152" i="80"/>
  <c r="CB156" i="80" s="1"/>
  <c r="CB158" i="80" s="1"/>
  <c r="BT228" i="80"/>
  <c r="BT152" i="80"/>
  <c r="BT156" i="80" s="1"/>
  <c r="BT158" i="80" s="1"/>
  <c r="BT127" i="80"/>
  <c r="CL413" i="80"/>
  <c r="CL414" i="80" s="1"/>
  <c r="CL415" i="80" s="1"/>
  <c r="CL395" i="80"/>
  <c r="CL429" i="80"/>
  <c r="CL430" i="80" s="1"/>
  <c r="CI429" i="80"/>
  <c r="CI430" i="80" s="1"/>
  <c r="BV429" i="80"/>
  <c r="BV430" i="80" s="1"/>
  <c r="BV413" i="80"/>
  <c r="BV414" i="80" s="1"/>
  <c r="BV415" i="80" s="1"/>
  <c r="BS429" i="80"/>
  <c r="BS430" i="80" s="1"/>
  <c r="BV395" i="80"/>
  <c r="AH431" i="79"/>
  <c r="BK439" i="80"/>
  <c r="EV228" i="79"/>
  <c r="EX228" i="79" s="1"/>
  <c r="EV127" i="79"/>
  <c r="EX127" i="79" s="1"/>
  <c r="EV152" i="79"/>
  <c r="FE133" i="80"/>
  <c r="AF127" i="80"/>
  <c r="AF152" i="80"/>
  <c r="AF156" i="80" s="1"/>
  <c r="AF158" i="80" s="1"/>
  <c r="AF228" i="80"/>
  <c r="BS395" i="79"/>
  <c r="BV447" i="79"/>
  <c r="AU395" i="79"/>
  <c r="AX447" i="79"/>
  <c r="DA133" i="80"/>
  <c r="X431" i="79"/>
  <c r="Y431" i="79"/>
  <c r="AH447" i="79"/>
  <c r="AE395" i="79"/>
  <c r="DH127" i="79"/>
  <c r="DJ127" i="79" s="1"/>
  <c r="DH228" i="79"/>
  <c r="DJ228" i="79" s="1"/>
  <c r="DH152" i="79"/>
  <c r="AP234" i="80"/>
  <c r="X152" i="79"/>
  <c r="X156" i="79" s="1"/>
  <c r="X158" i="79" s="1"/>
  <c r="X228" i="79"/>
  <c r="Z228" i="79" s="1"/>
  <c r="X127" i="79"/>
  <c r="Z127" i="79" s="1"/>
  <c r="EE439" i="80"/>
  <c r="AE429" i="80"/>
  <c r="AE430" i="80" s="1"/>
  <c r="AH395" i="80"/>
  <c r="AH429" i="80"/>
  <c r="AH430" i="80" s="1"/>
  <c r="AH413" i="80"/>
  <c r="AH414" i="80" s="1"/>
  <c r="AH415" i="80" s="1"/>
  <c r="CA429" i="80"/>
  <c r="CA430" i="80" s="1"/>
  <c r="CD429" i="80"/>
  <c r="CD430" i="80" s="1"/>
  <c r="CD395" i="80"/>
  <c r="CD413" i="80"/>
  <c r="CD414" i="80" s="1"/>
  <c r="CD415" i="80" s="1"/>
  <c r="AF431" i="79"/>
  <c r="AG431" i="79"/>
  <c r="DG415" i="79"/>
  <c r="AV228" i="80"/>
  <c r="AV127" i="80"/>
  <c r="AV152" i="80"/>
  <c r="AV156" i="80" s="1"/>
  <c r="AV158" i="80" s="1"/>
  <c r="AV119" i="80"/>
  <c r="W415" i="79"/>
  <c r="CJ127" i="80"/>
  <c r="CJ228" i="80"/>
  <c r="CJ152" i="80"/>
  <c r="CJ156" i="80" s="1"/>
  <c r="CJ158" i="80" s="1"/>
  <c r="Z447" i="79"/>
  <c r="W395" i="79"/>
  <c r="DP228" i="80"/>
  <c r="DP152" i="80"/>
  <c r="DP156" i="80" s="1"/>
  <c r="DP158" i="80" s="1"/>
  <c r="DP127" i="80"/>
  <c r="BL152" i="80"/>
  <c r="BL156" i="80" s="1"/>
  <c r="BL158" i="80" s="1"/>
  <c r="BL127" i="80"/>
  <c r="BL228" i="80"/>
  <c r="BF448" i="80"/>
  <c r="BF234" i="80" s="1"/>
  <c r="BC439" i="80"/>
  <c r="EN274" i="79"/>
  <c r="DZ413" i="80"/>
  <c r="DZ414" i="80" s="1"/>
  <c r="DZ415" i="80" s="1"/>
  <c r="DZ429" i="80"/>
  <c r="DZ430" i="80" s="1"/>
  <c r="DW429" i="80"/>
  <c r="DW430" i="80" s="1"/>
  <c r="DZ395" i="80"/>
  <c r="AU415" i="79"/>
  <c r="AV152" i="79"/>
  <c r="AV156" i="79" s="1"/>
  <c r="AV158" i="79" s="1"/>
  <c r="AV127" i="79"/>
  <c r="AX127" i="79" s="1"/>
  <c r="AV228" i="79"/>
  <c r="AX228" i="79" s="1"/>
  <c r="DG395" i="79"/>
  <c r="DJ447" i="79"/>
  <c r="AU429" i="80"/>
  <c r="AU430" i="80" s="1"/>
  <c r="AX395" i="80"/>
  <c r="AX429" i="80"/>
  <c r="AX430" i="80" s="1"/>
  <c r="AX413" i="80"/>
  <c r="AX414" i="80" s="1"/>
  <c r="AX415" i="80" s="1"/>
  <c r="BE133" i="80"/>
  <c r="EF228" i="80"/>
  <c r="EF152" i="80"/>
  <c r="EF156" i="80" s="1"/>
  <c r="EF158" i="80" s="1"/>
  <c r="EF127" i="80"/>
  <c r="DY237" i="80"/>
  <c r="DY260" i="80" s="1"/>
  <c r="DY322" i="80" s="1"/>
  <c r="CK431" i="79"/>
  <c r="CJ431" i="79"/>
  <c r="DH431" i="79"/>
  <c r="DI431" i="79"/>
  <c r="BS439" i="80"/>
  <c r="EM415" i="79"/>
  <c r="X281" i="79"/>
  <c r="X283" i="79" s="1"/>
  <c r="X328" i="79" s="1"/>
  <c r="FL281" i="79"/>
  <c r="FL283" i="79" s="1"/>
  <c r="FL328" i="79" s="1"/>
  <c r="BL251" i="79"/>
  <c r="BN251" i="79" s="1"/>
  <c r="BN257" i="79" s="1"/>
  <c r="CZ251" i="79"/>
  <c r="DB251" i="79" s="1"/>
  <c r="DB257" i="79" s="1"/>
  <c r="DX251" i="79"/>
  <c r="DX257" i="79" s="1"/>
  <c r="CR251" i="79"/>
  <c r="CR257" i="79" s="1"/>
  <c r="BU260" i="79"/>
  <c r="BU322" i="79" s="1"/>
  <c r="H257" i="80"/>
  <c r="P251" i="80"/>
  <c r="P257" i="80" s="1"/>
  <c r="CB251" i="80"/>
  <c r="CB257" i="80" s="1"/>
  <c r="DH251" i="80"/>
  <c r="DH257" i="80" s="1"/>
  <c r="AF251" i="80"/>
  <c r="AF257" i="80" s="1"/>
  <c r="BT251" i="80"/>
  <c r="BT257" i="80" s="1"/>
  <c r="AN251" i="80"/>
  <c r="AN257" i="80" s="1"/>
  <c r="FD251" i="80"/>
  <c r="FD257" i="80" s="1"/>
  <c r="CR251" i="80"/>
  <c r="CR257" i="80" s="1"/>
  <c r="EV251" i="80"/>
  <c r="EV257" i="80" s="1"/>
  <c r="EN251" i="80"/>
  <c r="EN257" i="80" s="1"/>
  <c r="CJ251" i="80"/>
  <c r="CJ257" i="80" s="1"/>
  <c r="FL251" i="80"/>
  <c r="EF251" i="80"/>
  <c r="EF257" i="80" s="1"/>
  <c r="DX251" i="80"/>
  <c r="DX257" i="80" s="1"/>
  <c r="DP251" i="80"/>
  <c r="DP257" i="80" s="1"/>
  <c r="AV251" i="80"/>
  <c r="AV257" i="80" s="1"/>
  <c r="X251" i="80"/>
  <c r="X257" i="80" s="1"/>
  <c r="CZ251" i="80"/>
  <c r="BL251" i="80"/>
  <c r="BL257" i="80" s="1"/>
  <c r="H257" i="79"/>
  <c r="EF251" i="79"/>
  <c r="FD251" i="79"/>
  <c r="FD257" i="79" s="1"/>
  <c r="AV251" i="79"/>
  <c r="DH251" i="79"/>
  <c r="FL251" i="79"/>
  <c r="DP251" i="79"/>
  <c r="DP257" i="79" s="1"/>
  <c r="EV251" i="79"/>
  <c r="BT251" i="79"/>
  <c r="AF251" i="79"/>
  <c r="X251" i="79"/>
  <c r="EN251" i="79"/>
  <c r="CJ251" i="79"/>
  <c r="CB251" i="79"/>
  <c r="AN251" i="79"/>
  <c r="AN257" i="79" s="1"/>
  <c r="J133" i="80"/>
  <c r="H281" i="80"/>
  <c r="H283" i="80" s="1"/>
  <c r="H328" i="80" s="1"/>
  <c r="CB274" i="80"/>
  <c r="CB281" i="80" s="1"/>
  <c r="CB283" i="80" s="1"/>
  <c r="CB328" i="80" s="1"/>
  <c r="CZ274" i="80"/>
  <c r="CJ274" i="80"/>
  <c r="CJ281" i="80" s="1"/>
  <c r="CJ283" i="80" s="1"/>
  <c r="CJ328" i="80" s="1"/>
  <c r="P274" i="80"/>
  <c r="AV274" i="80"/>
  <c r="AV281" i="80" s="1"/>
  <c r="AV283" i="80" s="1"/>
  <c r="AV328" i="80" s="1"/>
  <c r="DX274" i="80"/>
  <c r="DX281" i="80" s="1"/>
  <c r="DX283" i="80" s="1"/>
  <c r="DX328" i="80" s="1"/>
  <c r="AF274" i="80"/>
  <c r="AF281" i="80" s="1"/>
  <c r="AF283" i="80" s="1"/>
  <c r="AF328" i="80" s="1"/>
  <c r="EN274" i="80"/>
  <c r="EN281" i="80" s="1"/>
  <c r="EN283" i="80" s="1"/>
  <c r="EN328" i="80" s="1"/>
  <c r="BT274" i="80"/>
  <c r="BT281" i="80" s="1"/>
  <c r="BT283" i="80" s="1"/>
  <c r="BT328" i="80" s="1"/>
  <c r="DH274" i="80"/>
  <c r="DH281" i="80" s="1"/>
  <c r="DH283" i="80" s="1"/>
  <c r="DH328" i="80" s="1"/>
  <c r="DP274" i="80"/>
  <c r="DP281" i="80" s="1"/>
  <c r="DP283" i="80" s="1"/>
  <c r="DP328" i="80" s="1"/>
  <c r="EF274" i="80"/>
  <c r="EF281" i="80" s="1"/>
  <c r="EF283" i="80" s="1"/>
  <c r="EF328" i="80" s="1"/>
  <c r="FD274" i="80"/>
  <c r="FD281" i="80" s="1"/>
  <c r="FD283" i="80" s="1"/>
  <c r="FD328" i="80" s="1"/>
  <c r="FL274" i="80"/>
  <c r="BL274" i="80"/>
  <c r="BL281" i="80" s="1"/>
  <c r="BL283" i="80" s="1"/>
  <c r="BL328" i="80" s="1"/>
  <c r="CR274" i="80"/>
  <c r="CR281" i="80" s="1"/>
  <c r="CR283" i="80" s="1"/>
  <c r="CR328" i="80" s="1"/>
  <c r="X274" i="80"/>
  <c r="X281" i="80" s="1"/>
  <c r="X283" i="80" s="1"/>
  <c r="X328" i="80" s="1"/>
  <c r="EV274" i="80"/>
  <c r="EV281" i="80" s="1"/>
  <c r="EV283" i="80" s="1"/>
  <c r="EV328" i="80" s="1"/>
  <c r="AN274" i="80"/>
  <c r="AN281" i="80" s="1"/>
  <c r="AN283" i="80" s="1"/>
  <c r="AN328" i="80" s="1"/>
  <c r="AH274" i="79"/>
  <c r="AH281" i="79" s="1"/>
  <c r="AH283" i="79" s="1"/>
  <c r="AH328" i="79" s="1"/>
  <c r="AF281" i="79"/>
  <c r="AF283" i="79" s="1"/>
  <c r="AF328" i="79" s="1"/>
  <c r="BD223" i="79"/>
  <c r="BF223" i="79" s="1"/>
  <c r="CZ223" i="79"/>
  <c r="DB223" i="79" s="1"/>
  <c r="CR223" i="79"/>
  <c r="CT223" i="79" s="1"/>
  <c r="DZ223" i="79"/>
  <c r="P223" i="79"/>
  <c r="R223" i="79" s="1"/>
  <c r="BU84" i="79"/>
  <c r="BU135" i="79" s="1"/>
  <c r="BU161" i="79" s="1"/>
  <c r="DI84" i="79"/>
  <c r="DI135" i="79" s="1"/>
  <c r="DI161" i="79" s="1"/>
  <c r="DI237" i="79"/>
  <c r="DI260" i="79" s="1"/>
  <c r="DI322" i="79" s="1"/>
  <c r="CK237" i="79"/>
  <c r="CK260" i="79" s="1"/>
  <c r="CK322" i="79" s="1"/>
  <c r="CK84" i="79"/>
  <c r="CK135" i="79" s="1"/>
  <c r="CK161" i="79" s="1"/>
  <c r="AW84" i="79"/>
  <c r="AW135" i="79" s="1"/>
  <c r="AW161" i="79" s="1"/>
  <c r="AW237" i="79"/>
  <c r="AW260" i="79" s="1"/>
  <c r="AW322" i="79" s="1"/>
  <c r="DA237" i="79"/>
  <c r="DA260" i="79" s="1"/>
  <c r="DA322" i="79" s="1"/>
  <c r="DA84" i="79"/>
  <c r="DA135" i="79" s="1"/>
  <c r="DA161" i="79" s="1"/>
  <c r="CC84" i="79"/>
  <c r="CC135" i="79" s="1"/>
  <c r="CC161" i="79" s="1"/>
  <c r="CC237" i="79"/>
  <c r="CC260" i="79" s="1"/>
  <c r="CC322" i="79" s="1"/>
  <c r="EO84" i="79"/>
  <c r="EO135" i="79" s="1"/>
  <c r="EO161" i="79" s="1"/>
  <c r="EO237" i="79"/>
  <c r="EO260" i="79" s="1"/>
  <c r="EO322" i="79" s="1"/>
  <c r="BM84" i="79"/>
  <c r="BM135" i="79" s="1"/>
  <c r="BM161" i="79" s="1"/>
  <c r="BM237" i="79"/>
  <c r="BM260" i="79" s="1"/>
  <c r="BM322" i="79" s="1"/>
  <c r="AG84" i="79"/>
  <c r="AG135" i="79" s="1"/>
  <c r="AG161" i="79" s="1"/>
  <c r="AG237" i="79"/>
  <c r="AG260" i="79" s="1"/>
  <c r="AG322" i="79" s="1"/>
  <c r="Q237" i="79"/>
  <c r="Q260" i="79" s="1"/>
  <c r="Q322" i="79" s="1"/>
  <c r="Q84" i="79"/>
  <c r="Q135" i="79" s="1"/>
  <c r="Q161" i="79" s="1"/>
  <c r="BE84" i="79"/>
  <c r="BE135" i="79" s="1"/>
  <c r="BE161" i="79" s="1"/>
  <c r="BE237" i="79"/>
  <c r="BE260" i="79" s="1"/>
  <c r="BE322" i="79" s="1"/>
  <c r="EW84" i="79"/>
  <c r="EW135" i="79" s="1"/>
  <c r="EW161" i="79" s="1"/>
  <c r="EW237" i="79"/>
  <c r="EW260" i="79" s="1"/>
  <c r="EW322" i="79" s="1"/>
  <c r="EG84" i="79"/>
  <c r="EG135" i="79" s="1"/>
  <c r="EG161" i="79" s="1"/>
  <c r="EG237" i="79"/>
  <c r="EG260" i="79" s="1"/>
  <c r="EG322" i="79" s="1"/>
  <c r="CS84" i="79"/>
  <c r="CS135" i="79" s="1"/>
  <c r="CS161" i="79" s="1"/>
  <c r="CS237" i="79"/>
  <c r="CS260" i="79" s="1"/>
  <c r="CS322" i="79" s="1"/>
  <c r="FM84" i="79"/>
  <c r="FM135" i="79" s="1"/>
  <c r="FM161" i="79" s="1"/>
  <c r="FM237" i="79"/>
  <c r="FM260" i="79" s="1"/>
  <c r="FM322" i="79" s="1"/>
  <c r="DY84" i="79"/>
  <c r="DY135" i="79" s="1"/>
  <c r="DY161" i="79" s="1"/>
  <c r="DY237" i="79"/>
  <c r="DY260" i="79" s="1"/>
  <c r="DY322" i="79" s="1"/>
  <c r="FE84" i="79"/>
  <c r="FE135" i="79" s="1"/>
  <c r="FE161" i="79" s="1"/>
  <c r="FE237" i="79"/>
  <c r="FE260" i="79" s="1"/>
  <c r="FE322" i="79" s="1"/>
  <c r="AO84" i="79"/>
  <c r="AO135" i="79" s="1"/>
  <c r="AO161" i="79" s="1"/>
  <c r="AO237" i="79"/>
  <c r="AO260" i="79" s="1"/>
  <c r="AO322" i="79" s="1"/>
  <c r="DQ84" i="79"/>
  <c r="DQ135" i="79" s="1"/>
  <c r="DQ161" i="79" s="1"/>
  <c r="DQ237" i="79"/>
  <c r="DQ260" i="79" s="1"/>
  <c r="DQ322" i="79" s="1"/>
  <c r="AF223" i="79"/>
  <c r="BT223" i="79"/>
  <c r="AN223" i="79"/>
  <c r="EV223" i="79"/>
  <c r="EN223" i="79"/>
  <c r="AV223" i="79"/>
  <c r="DH223" i="79"/>
  <c r="CJ223" i="79"/>
  <c r="FL223" i="79"/>
  <c r="CB223" i="79"/>
  <c r="X223" i="79"/>
  <c r="EF223" i="79"/>
  <c r="BL223" i="79"/>
  <c r="BN223" i="79" s="1"/>
  <c r="Y84" i="79"/>
  <c r="Y135" i="79" s="1"/>
  <c r="Y161" i="79" s="1"/>
  <c r="Y237" i="79"/>
  <c r="Y260" i="79" s="1"/>
  <c r="Y322" i="79" s="1"/>
  <c r="I260" i="79"/>
  <c r="I322" i="79" s="1"/>
  <c r="I31" i="31"/>
  <c r="F19" i="7" s="1"/>
  <c r="J328" i="85" s="1"/>
  <c r="I100" i="26"/>
  <c r="I260" i="85" s="1"/>
  <c r="DJ228" i="80"/>
  <c r="J235" i="79"/>
  <c r="J237" i="79" s="1"/>
  <c r="J260" i="79" s="1"/>
  <c r="J322" i="79" s="1"/>
  <c r="J77" i="26"/>
  <c r="J100" i="26" s="1"/>
  <c r="H235" i="79"/>
  <c r="H237" i="79" s="1"/>
  <c r="H281" i="85"/>
  <c r="AM431" i="79"/>
  <c r="FC415" i="79"/>
  <c r="DJ127" i="80"/>
  <c r="DP431" i="79"/>
  <c r="DQ431" i="79"/>
  <c r="DW431" i="79"/>
  <c r="FC395" i="79"/>
  <c r="FF447" i="79"/>
  <c r="CY431" i="79"/>
  <c r="FD127" i="79"/>
  <c r="FF127" i="79" s="1"/>
  <c r="FD152" i="79"/>
  <c r="FD228" i="79"/>
  <c r="FD223" i="79"/>
  <c r="FF223" i="79" s="1"/>
  <c r="FD119" i="79"/>
  <c r="FD274" i="79"/>
  <c r="DP223" i="79"/>
  <c r="DR223" i="79" s="1"/>
  <c r="DP228" i="79"/>
  <c r="DP127" i="79"/>
  <c r="DR127" i="79" s="1"/>
  <c r="DP274" i="79"/>
  <c r="DP152" i="79"/>
  <c r="DR431" i="79"/>
  <c r="FD431" i="79"/>
  <c r="FE431" i="79"/>
  <c r="DO415" i="79"/>
  <c r="O431" i="79"/>
  <c r="DO395" i="79"/>
  <c r="DR447" i="79"/>
  <c r="FK431" i="80"/>
  <c r="FF431" i="79"/>
  <c r="BF395" i="80"/>
  <c r="BF429" i="80"/>
  <c r="BF430" i="80" s="1"/>
  <c r="BF413" i="80"/>
  <c r="BF414" i="80" s="1"/>
  <c r="BF415" i="80" s="1"/>
  <c r="BC429" i="80"/>
  <c r="BC430" i="80" s="1"/>
  <c r="J260" i="80"/>
  <c r="J322" i="80" s="1"/>
  <c r="G431" i="80"/>
  <c r="D19" i="7"/>
  <c r="H328" i="85" s="1"/>
  <c r="H283" i="85"/>
  <c r="P156" i="79"/>
  <c r="P158" i="79" s="1"/>
  <c r="R152" i="79"/>
  <c r="R156" i="79" s="1"/>
  <c r="R158" i="79" s="1"/>
  <c r="BN119" i="79"/>
  <c r="BD119" i="80"/>
  <c r="BD152" i="80"/>
  <c r="BD228" i="80"/>
  <c r="BD127" i="80"/>
  <c r="BD274" i="80"/>
  <c r="BL156" i="79"/>
  <c r="BL158" i="79" s="1"/>
  <c r="BN152" i="79"/>
  <c r="BN156" i="79" s="1"/>
  <c r="BN158" i="79" s="1"/>
  <c r="DX156" i="79"/>
  <c r="DX158" i="79" s="1"/>
  <c r="DZ152" i="79"/>
  <c r="DZ156" i="79" s="1"/>
  <c r="DZ158" i="79" s="1"/>
  <c r="BD156" i="79"/>
  <c r="BD158" i="79" s="1"/>
  <c r="BF152" i="79"/>
  <c r="BF156" i="79" s="1"/>
  <c r="BF158" i="79" s="1"/>
  <c r="DZ228" i="79"/>
  <c r="DX235" i="79"/>
  <c r="DX84" i="79" s="1"/>
  <c r="BN228" i="79"/>
  <c r="BD257" i="79"/>
  <c r="BF251" i="79"/>
  <c r="BF257" i="79" s="1"/>
  <c r="DZ274" i="79"/>
  <c r="DZ281" i="79" s="1"/>
  <c r="DZ283" i="79" s="1"/>
  <c r="DZ328" i="79" s="1"/>
  <c r="DX281" i="79"/>
  <c r="DX283" i="79" s="1"/>
  <c r="DX328" i="79" s="1"/>
  <c r="R274" i="79"/>
  <c r="R281" i="79" s="1"/>
  <c r="R283" i="79" s="1"/>
  <c r="R328" i="79" s="1"/>
  <c r="P281" i="79"/>
  <c r="P283" i="79" s="1"/>
  <c r="P328" i="79" s="1"/>
  <c r="DB274" i="79"/>
  <c r="DB281" i="79" s="1"/>
  <c r="DB283" i="79" s="1"/>
  <c r="DB328" i="79" s="1"/>
  <c r="CZ281" i="79"/>
  <c r="CZ283" i="79" s="1"/>
  <c r="CZ328" i="79" s="1"/>
  <c r="DB228" i="79"/>
  <c r="BD77" i="79"/>
  <c r="BD79" i="79" s="1"/>
  <c r="BF63" i="79"/>
  <c r="BF77" i="79" s="1"/>
  <c r="BF79" i="79" s="1"/>
  <c r="CR156" i="79"/>
  <c r="CR158" i="79" s="1"/>
  <c r="CT152" i="79"/>
  <c r="CT156" i="79" s="1"/>
  <c r="CT158" i="79" s="1"/>
  <c r="BF274" i="79"/>
  <c r="BF281" i="79" s="1"/>
  <c r="BF283" i="79" s="1"/>
  <c r="BF328" i="79" s="1"/>
  <c r="BD281" i="79"/>
  <c r="BD283" i="79" s="1"/>
  <c r="BD328" i="79" s="1"/>
  <c r="CZ156" i="79"/>
  <c r="CZ158" i="79" s="1"/>
  <c r="DB152" i="79"/>
  <c r="DB156" i="79" s="1"/>
  <c r="DB158" i="79" s="1"/>
  <c r="CT274" i="79"/>
  <c r="CT281" i="79" s="1"/>
  <c r="CT283" i="79" s="1"/>
  <c r="CT328" i="79" s="1"/>
  <c r="CR281" i="79"/>
  <c r="CR283" i="79" s="1"/>
  <c r="CR328" i="79" s="1"/>
  <c r="CT228" i="79"/>
  <c r="BD251" i="80"/>
  <c r="BD63" i="80"/>
  <c r="BF228" i="79"/>
  <c r="R228" i="79"/>
  <c r="BN274" i="79"/>
  <c r="BN281" i="79" s="1"/>
  <c r="BN283" i="79" s="1"/>
  <c r="BN328" i="79" s="1"/>
  <c r="BL281" i="79"/>
  <c r="BL283" i="79" s="1"/>
  <c r="BL328" i="79" s="1"/>
  <c r="D19" i="32" l="1"/>
  <c r="CR152" i="80"/>
  <c r="CR156" i="80" s="1"/>
  <c r="CR158" i="80" s="1"/>
  <c r="CL274" i="79"/>
  <c r="CL281" i="79" s="1"/>
  <c r="CL283" i="79" s="1"/>
  <c r="CL328" i="79" s="1"/>
  <c r="P152" i="80"/>
  <c r="P156" i="80" s="1"/>
  <c r="P158" i="80" s="1"/>
  <c r="FL152" i="80"/>
  <c r="EH274" i="79"/>
  <c r="EH281" i="79" s="1"/>
  <c r="EH283" i="79" s="1"/>
  <c r="EH328" i="79" s="1"/>
  <c r="EV119" i="80"/>
  <c r="BT281" i="79"/>
  <c r="BT283" i="79" s="1"/>
  <c r="BT328" i="79" s="1"/>
  <c r="P119" i="79"/>
  <c r="EF119" i="79"/>
  <c r="AF131" i="79"/>
  <c r="AH131" i="79" s="1"/>
  <c r="CJ119" i="80"/>
  <c r="EV119" i="79"/>
  <c r="BT119" i="79"/>
  <c r="BV119" i="79" s="1"/>
  <c r="FL119" i="79"/>
  <c r="FN119" i="79" s="1"/>
  <c r="CR119" i="80"/>
  <c r="EV131" i="79"/>
  <c r="EX131" i="79" s="1"/>
  <c r="BT119" i="80"/>
  <c r="EF131" i="79"/>
  <c r="EH131" i="79" s="1"/>
  <c r="FL131" i="79"/>
  <c r="FN131" i="79" s="1"/>
  <c r="CB131" i="79"/>
  <c r="CD131" i="79" s="1"/>
  <c r="BL131" i="79"/>
  <c r="BN131" i="79" s="1"/>
  <c r="BL119" i="80"/>
  <c r="CJ131" i="79"/>
  <c r="CL131" i="79" s="1"/>
  <c r="FD119" i="80"/>
  <c r="AN119" i="80"/>
  <c r="P119" i="80"/>
  <c r="AV131" i="79"/>
  <c r="AX131" i="79" s="1"/>
  <c r="AF119" i="80"/>
  <c r="CJ119" i="79"/>
  <c r="CL119" i="79" s="1"/>
  <c r="CB119" i="80"/>
  <c r="EN119" i="79"/>
  <c r="EP119" i="79" s="1"/>
  <c r="AF119" i="79"/>
  <c r="AV119" i="79"/>
  <c r="AX119" i="79" s="1"/>
  <c r="DP119" i="80"/>
  <c r="EN131" i="79"/>
  <c r="EP131" i="79" s="1"/>
  <c r="DP119" i="79"/>
  <c r="DR119" i="79" s="1"/>
  <c r="DH119" i="79"/>
  <c r="DJ119" i="79" s="1"/>
  <c r="X131" i="79"/>
  <c r="Z131" i="79" s="1"/>
  <c r="DP131" i="79"/>
  <c r="DR131" i="79" s="1"/>
  <c r="BT131" i="79"/>
  <c r="BV131" i="79" s="1"/>
  <c r="FD131" i="79"/>
  <c r="FF131" i="79" s="1"/>
  <c r="EF119" i="80"/>
  <c r="DH131" i="79"/>
  <c r="DJ131" i="79" s="1"/>
  <c r="EV281" i="79"/>
  <c r="EV283" i="79" s="1"/>
  <c r="EV328" i="79" s="1"/>
  <c r="EN119" i="80"/>
  <c r="CB119" i="79"/>
  <c r="CD119" i="79" s="1"/>
  <c r="X119" i="79"/>
  <c r="Z119" i="79" s="1"/>
  <c r="X119" i="80"/>
  <c r="Z119" i="80" s="1"/>
  <c r="I135" i="85"/>
  <c r="AN119" i="79"/>
  <c r="AP119" i="79" s="1"/>
  <c r="DJ274" i="79"/>
  <c r="DJ281" i="79" s="1"/>
  <c r="DJ283" i="79" s="1"/>
  <c r="DJ328" i="79" s="1"/>
  <c r="AP152" i="79"/>
  <c r="AP156" i="79" s="1"/>
  <c r="AP158" i="79" s="1"/>
  <c r="DH119" i="80"/>
  <c r="DJ119" i="80" s="1"/>
  <c r="DX119" i="79"/>
  <c r="DZ119" i="79" s="1"/>
  <c r="CZ119" i="80"/>
  <c r="DB119" i="80" s="1"/>
  <c r="DX131" i="79"/>
  <c r="DZ131" i="79" s="1"/>
  <c r="CR119" i="79"/>
  <c r="CT119" i="79" s="1"/>
  <c r="DG431" i="80"/>
  <c r="AN131" i="79"/>
  <c r="AP131" i="79" s="1"/>
  <c r="CZ119" i="79"/>
  <c r="DB119" i="79" s="1"/>
  <c r="BD119" i="79"/>
  <c r="BF119" i="79" s="1"/>
  <c r="CZ131" i="79"/>
  <c r="DB131" i="79" s="1"/>
  <c r="CQ431" i="79"/>
  <c r="P131" i="79"/>
  <c r="R131" i="79" s="1"/>
  <c r="BD131" i="79"/>
  <c r="BF131" i="79" s="1"/>
  <c r="BD131" i="80"/>
  <c r="FL131" i="80"/>
  <c r="FN131" i="80" s="1"/>
  <c r="DX131" i="80"/>
  <c r="CB131" i="80"/>
  <c r="AV131" i="80"/>
  <c r="AF223" i="80"/>
  <c r="AF235" i="80" s="1"/>
  <c r="AF84" i="80" s="1"/>
  <c r="FL223" i="80"/>
  <c r="FN223" i="80" s="1"/>
  <c r="FN235" i="80" s="1"/>
  <c r="DP223" i="80"/>
  <c r="DP235" i="80" s="1"/>
  <c r="DP84" i="80" s="1"/>
  <c r="EV131" i="80"/>
  <c r="X131" i="80"/>
  <c r="Z131" i="80" s="1"/>
  <c r="DP131" i="80"/>
  <c r="CZ131" i="80"/>
  <c r="DB131" i="80" s="1"/>
  <c r="EF131" i="80"/>
  <c r="EH131" i="80" s="1"/>
  <c r="AF131" i="80"/>
  <c r="DH131" i="80"/>
  <c r="DJ131" i="80" s="1"/>
  <c r="FD131" i="80"/>
  <c r="CR131" i="80"/>
  <c r="P131" i="80"/>
  <c r="CJ131" i="80"/>
  <c r="BT131" i="80"/>
  <c r="BL131" i="80"/>
  <c r="EN131" i="80"/>
  <c r="H156" i="85"/>
  <c r="AV223" i="80"/>
  <c r="AV235" i="80" s="1"/>
  <c r="AV84" i="80" s="1"/>
  <c r="CB223" i="80"/>
  <c r="CB235" i="80" s="1"/>
  <c r="CB84" i="80" s="1"/>
  <c r="EN223" i="80"/>
  <c r="EN235" i="80" s="1"/>
  <c r="EN84" i="80" s="1"/>
  <c r="CJ223" i="80"/>
  <c r="CJ235" i="80" s="1"/>
  <c r="CJ84" i="80" s="1"/>
  <c r="BD223" i="80"/>
  <c r="BD235" i="80" s="1"/>
  <c r="BD84" i="80" s="1"/>
  <c r="CR223" i="80"/>
  <c r="CR235" i="80" s="1"/>
  <c r="CR84" i="80" s="1"/>
  <c r="AN223" i="80"/>
  <c r="AN235" i="80" s="1"/>
  <c r="AN84" i="80" s="1"/>
  <c r="BL223" i="80"/>
  <c r="BL235" i="80" s="1"/>
  <c r="BL84" i="80" s="1"/>
  <c r="EV223" i="80"/>
  <c r="EV235" i="80" s="1"/>
  <c r="EV84" i="80" s="1"/>
  <c r="FD223" i="80"/>
  <c r="FD235" i="80" s="1"/>
  <c r="FD84" i="80" s="1"/>
  <c r="P223" i="80"/>
  <c r="P235" i="80" s="1"/>
  <c r="P84" i="80" s="1"/>
  <c r="BT223" i="80"/>
  <c r="BT235" i="80" s="1"/>
  <c r="BT84" i="80" s="1"/>
  <c r="X223" i="80"/>
  <c r="X235" i="80" s="1"/>
  <c r="X84" i="80" s="1"/>
  <c r="CZ223" i="80"/>
  <c r="CZ235" i="80" s="1"/>
  <c r="H235" i="80"/>
  <c r="H237" i="80" s="1"/>
  <c r="H260" i="80" s="1"/>
  <c r="H322" i="80" s="1"/>
  <c r="EF223" i="80"/>
  <c r="EH223" i="80" s="1"/>
  <c r="DX223" i="80"/>
  <c r="DX235" i="80" s="1"/>
  <c r="Z228" i="80"/>
  <c r="DZ63" i="79"/>
  <c r="DZ77" i="79" s="1"/>
  <c r="DZ79" i="79" s="1"/>
  <c r="BK431" i="79"/>
  <c r="J84" i="85"/>
  <c r="L40" i="90" s="1"/>
  <c r="J84" i="80"/>
  <c r="J135" i="80" s="1"/>
  <c r="J161" i="80" s="1"/>
  <c r="J135" i="13"/>
  <c r="J161" i="13" s="1"/>
  <c r="J84" i="79"/>
  <c r="J135" i="79" s="1"/>
  <c r="J161" i="79" s="1"/>
  <c r="D21" i="32"/>
  <c r="DQ237" i="80"/>
  <c r="DQ260" i="80" s="1"/>
  <c r="DQ322" i="80" s="1"/>
  <c r="CY431" i="80"/>
  <c r="BM135" i="80"/>
  <c r="BM161" i="80" s="1"/>
  <c r="BM237" i="80"/>
  <c r="BM260" i="80" s="1"/>
  <c r="BM322" i="80" s="1"/>
  <c r="BC431" i="79"/>
  <c r="CK135" i="80"/>
  <c r="CK161" i="80" s="1"/>
  <c r="AF235" i="79"/>
  <c r="AF84" i="79" s="1"/>
  <c r="BN431" i="80"/>
  <c r="BN63" i="79"/>
  <c r="BN77" i="79" s="1"/>
  <c r="BN79" i="79" s="1"/>
  <c r="DQ135" i="80"/>
  <c r="DQ161" i="80" s="1"/>
  <c r="EH228" i="80"/>
  <c r="EH63" i="79"/>
  <c r="EH77" i="79" s="1"/>
  <c r="EH79" i="79" s="1"/>
  <c r="DJ152" i="80"/>
  <c r="DJ156" i="80" s="1"/>
  <c r="DJ158" i="80" s="1"/>
  <c r="FM135" i="80"/>
  <c r="FM161" i="80" s="1"/>
  <c r="R119" i="79"/>
  <c r="CT63" i="79"/>
  <c r="CT77" i="79" s="1"/>
  <c r="CT79" i="79" s="1"/>
  <c r="EH127" i="80"/>
  <c r="R63" i="79"/>
  <c r="R77" i="79" s="1"/>
  <c r="R79" i="79" s="1"/>
  <c r="Z274" i="80"/>
  <c r="Z281" i="80" s="1"/>
  <c r="Z283" i="80" s="1"/>
  <c r="Z328" i="80" s="1"/>
  <c r="EH431" i="80"/>
  <c r="R251" i="79"/>
  <c r="R257" i="79" s="1"/>
  <c r="DZ251" i="79"/>
  <c r="DZ257" i="79" s="1"/>
  <c r="FN63" i="79"/>
  <c r="FN77" i="79" s="1"/>
  <c r="FN79" i="79" s="1"/>
  <c r="BL257" i="79"/>
  <c r="EX63" i="80"/>
  <c r="EX77" i="80" s="1"/>
  <c r="EX79" i="80" s="1"/>
  <c r="FK431" i="79"/>
  <c r="CQ415" i="80"/>
  <c r="CT451" i="80"/>
  <c r="CT447" i="80"/>
  <c r="CQ395" i="80"/>
  <c r="CT431" i="80"/>
  <c r="EG135" i="80"/>
  <c r="EG161" i="80" s="1"/>
  <c r="CR431" i="80"/>
  <c r="CS431" i="80"/>
  <c r="DA237" i="80"/>
  <c r="DA260" i="80" s="1"/>
  <c r="DA322" i="80" s="1"/>
  <c r="CL63" i="79"/>
  <c r="CL77" i="79" s="1"/>
  <c r="CL79" i="79" s="1"/>
  <c r="CT251" i="79"/>
  <c r="CT257" i="79" s="1"/>
  <c r="Z152" i="80"/>
  <c r="Z156" i="80" s="1"/>
  <c r="Z158" i="80" s="1"/>
  <c r="FL156" i="80"/>
  <c r="FL158" i="80" s="1"/>
  <c r="FN152" i="80"/>
  <c r="FN156" i="80" s="1"/>
  <c r="FN158" i="80" s="1"/>
  <c r="CZ156" i="80"/>
  <c r="CZ158" i="80" s="1"/>
  <c r="DB152" i="80"/>
  <c r="DB156" i="80" s="1"/>
  <c r="DB158" i="80" s="1"/>
  <c r="EO135" i="80"/>
  <c r="EO161" i="80" s="1"/>
  <c r="Y135" i="80"/>
  <c r="Y161" i="80" s="1"/>
  <c r="AW135" i="80"/>
  <c r="AW161" i="80" s="1"/>
  <c r="EH119" i="80"/>
  <c r="FN119" i="80"/>
  <c r="AH63" i="79"/>
  <c r="AH77" i="79" s="1"/>
  <c r="AH79" i="79" s="1"/>
  <c r="EX63" i="79"/>
  <c r="EX77" i="79" s="1"/>
  <c r="EX79" i="79" s="1"/>
  <c r="DJ63" i="79"/>
  <c r="DJ77" i="79" s="1"/>
  <c r="DJ79" i="79" s="1"/>
  <c r="DJ63" i="80"/>
  <c r="DJ77" i="80" s="1"/>
  <c r="DJ79" i="80" s="1"/>
  <c r="Z63" i="80"/>
  <c r="Z77" i="80" s="1"/>
  <c r="Z79" i="80" s="1"/>
  <c r="DB63" i="79"/>
  <c r="DB77" i="79" s="1"/>
  <c r="DB79" i="79" s="1"/>
  <c r="AX63" i="79"/>
  <c r="AX77" i="79" s="1"/>
  <c r="AX79" i="79" s="1"/>
  <c r="BV63" i="79"/>
  <c r="BV77" i="79" s="1"/>
  <c r="BV79" i="79" s="1"/>
  <c r="DB63" i="80"/>
  <c r="DB77" i="80" s="1"/>
  <c r="DB79" i="80" s="1"/>
  <c r="CZ77" i="80"/>
  <c r="CZ79" i="80" s="1"/>
  <c r="AP63" i="79"/>
  <c r="AP77" i="79" s="1"/>
  <c r="AP79" i="79" s="1"/>
  <c r="CB77" i="79"/>
  <c r="CB79" i="79" s="1"/>
  <c r="CD63" i="79"/>
  <c r="CD77" i="79" s="1"/>
  <c r="CD79" i="79" s="1"/>
  <c r="EP63" i="79"/>
  <c r="EP77" i="79" s="1"/>
  <c r="EP79" i="79" s="1"/>
  <c r="Z63" i="79"/>
  <c r="Z77" i="79" s="1"/>
  <c r="Z79" i="79" s="1"/>
  <c r="FN63" i="80"/>
  <c r="FN77" i="80" s="1"/>
  <c r="FN79" i="80" s="1"/>
  <c r="FL77" i="80"/>
  <c r="FL79" i="80" s="1"/>
  <c r="AX431" i="80"/>
  <c r="AU431" i="79"/>
  <c r="BS431" i="79"/>
  <c r="DR431" i="80"/>
  <c r="CI431" i="79"/>
  <c r="CZ257" i="79"/>
  <c r="EH152" i="80"/>
  <c r="EH156" i="80" s="1"/>
  <c r="EH158" i="80" s="1"/>
  <c r="EU431" i="79"/>
  <c r="Z251" i="80"/>
  <c r="Z257" i="80" s="1"/>
  <c r="W431" i="79"/>
  <c r="EM431" i="79"/>
  <c r="DI135" i="80"/>
  <c r="DI161" i="80" s="1"/>
  <c r="R431" i="80"/>
  <c r="CJ431" i="80"/>
  <c r="CK431" i="80"/>
  <c r="AX447" i="80"/>
  <c r="AU395" i="80"/>
  <c r="AE415" i="80"/>
  <c r="AH451" i="80"/>
  <c r="CL431" i="80"/>
  <c r="R447" i="80"/>
  <c r="O395" i="80"/>
  <c r="EF431" i="80"/>
  <c r="EG431" i="80"/>
  <c r="CJ156" i="79"/>
  <c r="CJ158" i="79" s="1"/>
  <c r="CL152" i="79"/>
  <c r="CL156" i="79" s="1"/>
  <c r="CL158" i="79" s="1"/>
  <c r="Q135" i="80"/>
  <c r="Q161" i="80" s="1"/>
  <c r="AV431" i="80"/>
  <c r="AW431" i="80"/>
  <c r="EU395" i="80"/>
  <c r="AH431" i="80"/>
  <c r="EV156" i="79"/>
  <c r="EV158" i="79" s="1"/>
  <c r="EX152" i="79"/>
  <c r="EX156" i="79" s="1"/>
  <c r="EX158" i="79" s="1"/>
  <c r="CI395" i="80"/>
  <c r="CL447" i="80"/>
  <c r="CL63" i="80" s="1"/>
  <c r="CL77" i="80" s="1"/>
  <c r="CL79" i="80" s="1"/>
  <c r="Q431" i="80"/>
  <c r="P431" i="80"/>
  <c r="AM395" i="80"/>
  <c r="AP447" i="80"/>
  <c r="AP63" i="80" s="1"/>
  <c r="AP77" i="80" s="1"/>
  <c r="AP79" i="80" s="1"/>
  <c r="AE395" i="80"/>
  <c r="AH447" i="80"/>
  <c r="EX119" i="79"/>
  <c r="CI415" i="80"/>
  <c r="CL451" i="80"/>
  <c r="O415" i="80"/>
  <c r="R451" i="80"/>
  <c r="EP152" i="79"/>
  <c r="EP156" i="79" s="1"/>
  <c r="EP158" i="79" s="1"/>
  <c r="EN156" i="79"/>
  <c r="EN158" i="79" s="1"/>
  <c r="AO431" i="80"/>
  <c r="AN431" i="80"/>
  <c r="AO135" i="80"/>
  <c r="AO161" i="80" s="1"/>
  <c r="DG431" i="79"/>
  <c r="AF431" i="80"/>
  <c r="AG431" i="80"/>
  <c r="EE395" i="80"/>
  <c r="EH447" i="80"/>
  <c r="EH63" i="80" s="1"/>
  <c r="EH77" i="80" s="1"/>
  <c r="EH79" i="80" s="1"/>
  <c r="AM415" i="80"/>
  <c r="AP451" i="80"/>
  <c r="FC395" i="80"/>
  <c r="FF447" i="80"/>
  <c r="FF63" i="80" s="1"/>
  <c r="FF77" i="80" s="1"/>
  <c r="FF79" i="80" s="1"/>
  <c r="CB431" i="80"/>
  <c r="CC431" i="80"/>
  <c r="EN431" i="80"/>
  <c r="EO431" i="80"/>
  <c r="FL156" i="79"/>
  <c r="FL158" i="79" s="1"/>
  <c r="FN152" i="79"/>
  <c r="FN156" i="79" s="1"/>
  <c r="FN158" i="79" s="1"/>
  <c r="AP431" i="80"/>
  <c r="FC415" i="80"/>
  <c r="FF451" i="80"/>
  <c r="FF274" i="80" s="1"/>
  <c r="FF281" i="80" s="1"/>
  <c r="FF283" i="80" s="1"/>
  <c r="FF328" i="80" s="1"/>
  <c r="FE135" i="80"/>
  <c r="FE161" i="80" s="1"/>
  <c r="EE415" i="80"/>
  <c r="EP431" i="80"/>
  <c r="FF431" i="80"/>
  <c r="EM395" i="80"/>
  <c r="EP447" i="80"/>
  <c r="AX152" i="79"/>
  <c r="AX156" i="79" s="1"/>
  <c r="AX158" i="79" s="1"/>
  <c r="FD431" i="80"/>
  <c r="FE431" i="80"/>
  <c r="EM415" i="80"/>
  <c r="EP451" i="80"/>
  <c r="EP274" i="80" s="1"/>
  <c r="EP281" i="80" s="1"/>
  <c r="EP283" i="80" s="1"/>
  <c r="EP328" i="80" s="1"/>
  <c r="AH152" i="79"/>
  <c r="AH156" i="79" s="1"/>
  <c r="AH158" i="79" s="1"/>
  <c r="DW395" i="80"/>
  <c r="DZ447" i="80"/>
  <c r="DZ63" i="80" s="1"/>
  <c r="DZ77" i="80" s="1"/>
  <c r="DZ79" i="80" s="1"/>
  <c r="BV152" i="79"/>
  <c r="BV156" i="79" s="1"/>
  <c r="BV158" i="79" s="1"/>
  <c r="BT156" i="79"/>
  <c r="BT158" i="79" s="1"/>
  <c r="BK415" i="80"/>
  <c r="BN451" i="80"/>
  <c r="DA135" i="80"/>
  <c r="DA161" i="80" s="1"/>
  <c r="DX431" i="80"/>
  <c r="DY431" i="80"/>
  <c r="AE431" i="79"/>
  <c r="BV447" i="80"/>
  <c r="BV63" i="80" s="1"/>
  <c r="BV77" i="80" s="1"/>
  <c r="BV79" i="80" s="1"/>
  <c r="BS395" i="80"/>
  <c r="EH119" i="79"/>
  <c r="EE431" i="79"/>
  <c r="DZ431" i="80"/>
  <c r="CA415" i="80"/>
  <c r="CD451" i="80"/>
  <c r="DJ152" i="79"/>
  <c r="DJ156" i="79" s="1"/>
  <c r="DJ158" i="79" s="1"/>
  <c r="DH156" i="79"/>
  <c r="DH158" i="79" s="1"/>
  <c r="BT431" i="80"/>
  <c r="BU431" i="80"/>
  <c r="EV431" i="80"/>
  <c r="EW431" i="80"/>
  <c r="BK395" i="80"/>
  <c r="BN447" i="80"/>
  <c r="BN63" i="80" s="1"/>
  <c r="BN77" i="80" s="1"/>
  <c r="BN79" i="80" s="1"/>
  <c r="DO395" i="80"/>
  <c r="DR447" i="80"/>
  <c r="DR63" i="80" s="1"/>
  <c r="DR77" i="80" s="1"/>
  <c r="DR79" i="80" s="1"/>
  <c r="BU135" i="80"/>
  <c r="BU161" i="80" s="1"/>
  <c r="DW415" i="80"/>
  <c r="DZ451" i="80"/>
  <c r="CD447" i="80"/>
  <c r="CD63" i="80" s="1"/>
  <c r="CD77" i="80" s="1"/>
  <c r="CD79" i="80" s="1"/>
  <c r="CA395" i="80"/>
  <c r="BV451" i="80"/>
  <c r="BV274" i="80" s="1"/>
  <c r="BV281" i="80" s="1"/>
  <c r="BV283" i="80" s="1"/>
  <c r="BV328" i="80" s="1"/>
  <c r="BS415" i="80"/>
  <c r="EH152" i="79"/>
  <c r="EH156" i="79" s="1"/>
  <c r="EH158" i="79" s="1"/>
  <c r="EF156" i="79"/>
  <c r="EF158" i="79" s="1"/>
  <c r="EX451" i="80"/>
  <c r="EX274" i="80" s="1"/>
  <c r="EX281" i="80" s="1"/>
  <c r="EX283" i="80" s="1"/>
  <c r="EX328" i="80" s="1"/>
  <c r="EU415" i="80"/>
  <c r="BL431" i="80"/>
  <c r="BM431" i="80"/>
  <c r="DQ431" i="80"/>
  <c r="DP431" i="80"/>
  <c r="AX451" i="80"/>
  <c r="AX274" i="80" s="1"/>
  <c r="AX281" i="80" s="1"/>
  <c r="AX283" i="80" s="1"/>
  <c r="AX328" i="80" s="1"/>
  <c r="AU415" i="80"/>
  <c r="EP274" i="79"/>
  <c r="EP281" i="79" s="1"/>
  <c r="EP283" i="79" s="1"/>
  <c r="EP328" i="79" s="1"/>
  <c r="EN281" i="79"/>
  <c r="EN283" i="79" s="1"/>
  <c r="EN328" i="79" s="1"/>
  <c r="CD431" i="80"/>
  <c r="BV431" i="80"/>
  <c r="EX431" i="80"/>
  <c r="DR451" i="80"/>
  <c r="DR274" i="80" s="1"/>
  <c r="DR281" i="80" s="1"/>
  <c r="DR283" i="80" s="1"/>
  <c r="DR328" i="80" s="1"/>
  <c r="DO415" i="80"/>
  <c r="BE135" i="80"/>
  <c r="BE161" i="80" s="1"/>
  <c r="Z152" i="79"/>
  <c r="Z156" i="79" s="1"/>
  <c r="Z158" i="79" s="1"/>
  <c r="EX251" i="80"/>
  <c r="EX257" i="80" s="1"/>
  <c r="BD235" i="79"/>
  <c r="BD84" i="79" s="1"/>
  <c r="H260" i="79"/>
  <c r="H322" i="79" s="1"/>
  <c r="AV257" i="79"/>
  <c r="AX251" i="79"/>
  <c r="AX257" i="79" s="1"/>
  <c r="EF257" i="79"/>
  <c r="EH251" i="79"/>
  <c r="EH257" i="79" s="1"/>
  <c r="CD251" i="79"/>
  <c r="CD257" i="79" s="1"/>
  <c r="CB257" i="79"/>
  <c r="CZ257" i="80"/>
  <c r="DB251" i="80"/>
  <c r="DB257" i="80" s="1"/>
  <c r="CJ257" i="79"/>
  <c r="CL251" i="79"/>
  <c r="CL257" i="79" s="1"/>
  <c r="EN257" i="79"/>
  <c r="EP251" i="79"/>
  <c r="EP257" i="79" s="1"/>
  <c r="Z251" i="79"/>
  <c r="Z257" i="79" s="1"/>
  <c r="X257" i="79"/>
  <c r="AH251" i="79"/>
  <c r="AH257" i="79" s="1"/>
  <c r="AF257" i="79"/>
  <c r="BT257" i="79"/>
  <c r="BV251" i="79"/>
  <c r="BV257" i="79" s="1"/>
  <c r="EV257" i="79"/>
  <c r="EX251" i="79"/>
  <c r="EX257" i="79" s="1"/>
  <c r="FN251" i="80"/>
  <c r="FN257" i="80" s="1"/>
  <c r="FL257" i="80"/>
  <c r="DJ251" i="80"/>
  <c r="DJ257" i="80" s="1"/>
  <c r="AP251" i="79"/>
  <c r="AP257" i="79" s="1"/>
  <c r="FL257" i="79"/>
  <c r="FN251" i="79"/>
  <c r="FN257" i="79" s="1"/>
  <c r="DJ251" i="79"/>
  <c r="DJ257" i="79" s="1"/>
  <c r="DH257" i="79"/>
  <c r="BF235" i="79"/>
  <c r="BF84" i="79" s="1"/>
  <c r="FN274" i="80"/>
  <c r="FN281" i="80" s="1"/>
  <c r="FN283" i="80" s="1"/>
  <c r="FN328" i="80" s="1"/>
  <c r="FL281" i="80"/>
  <c r="FL283" i="80" s="1"/>
  <c r="FL328" i="80" s="1"/>
  <c r="P281" i="80"/>
  <c r="P283" i="80" s="1"/>
  <c r="P328" i="80" s="1"/>
  <c r="CZ281" i="80"/>
  <c r="CZ283" i="80" s="1"/>
  <c r="CZ328" i="80" s="1"/>
  <c r="DB274" i="80"/>
  <c r="DB281" i="80" s="1"/>
  <c r="DB283" i="80" s="1"/>
  <c r="DB328" i="80" s="1"/>
  <c r="DJ274" i="80"/>
  <c r="DJ281" i="80" s="1"/>
  <c r="DJ283" i="80" s="1"/>
  <c r="DJ328" i="80" s="1"/>
  <c r="EH274" i="80"/>
  <c r="EH281" i="80" s="1"/>
  <c r="EH283" i="80" s="1"/>
  <c r="EH328" i="80" s="1"/>
  <c r="BN235" i="79"/>
  <c r="BN84" i="79" s="1"/>
  <c r="DJ223" i="80"/>
  <c r="DJ235" i="80" s="1"/>
  <c r="BL235" i="79"/>
  <c r="BL84" i="79" s="1"/>
  <c r="AH223" i="79"/>
  <c r="AH235" i="79" s="1"/>
  <c r="AH84" i="79" s="1"/>
  <c r="R235" i="79"/>
  <c r="R237" i="79" s="1"/>
  <c r="P235" i="79"/>
  <c r="P84" i="79" s="1"/>
  <c r="CR235" i="79"/>
  <c r="CR84" i="79" s="1"/>
  <c r="CT235" i="79"/>
  <c r="CT84" i="79" s="1"/>
  <c r="CZ235" i="79"/>
  <c r="CZ84" i="79" s="1"/>
  <c r="DZ235" i="79"/>
  <c r="DZ84" i="79" s="1"/>
  <c r="DB235" i="79"/>
  <c r="DB84" i="79" s="1"/>
  <c r="DJ223" i="79"/>
  <c r="DJ235" i="79" s="1"/>
  <c r="DH235" i="79"/>
  <c r="AN235" i="79"/>
  <c r="AP223" i="79"/>
  <c r="AP235" i="79" s="1"/>
  <c r="EX223" i="79"/>
  <c r="EX235" i="79" s="1"/>
  <c r="EV235" i="79"/>
  <c r="BT235" i="79"/>
  <c r="BV223" i="79"/>
  <c r="BV235" i="79" s="1"/>
  <c r="CL223" i="79"/>
  <c r="CL235" i="79" s="1"/>
  <c r="CJ235" i="79"/>
  <c r="EH223" i="79"/>
  <c r="EH235" i="79" s="1"/>
  <c r="EF235" i="79"/>
  <c r="AX223" i="79"/>
  <c r="AX235" i="79" s="1"/>
  <c r="AV235" i="79"/>
  <c r="Z223" i="79"/>
  <c r="Z235" i="79" s="1"/>
  <c r="X235" i="79"/>
  <c r="CD223" i="79"/>
  <c r="CD235" i="79" s="1"/>
  <c r="CB235" i="79"/>
  <c r="EP223" i="79"/>
  <c r="EP235" i="79" s="1"/>
  <c r="EN235" i="79"/>
  <c r="DH237" i="80"/>
  <c r="DH260" i="80" s="1"/>
  <c r="DH322" i="80" s="1"/>
  <c r="FN223" i="79"/>
  <c r="FN235" i="79" s="1"/>
  <c r="FL235" i="79"/>
  <c r="J283" i="85"/>
  <c r="E13" i="7"/>
  <c r="I322" i="85" s="1"/>
  <c r="J237" i="85"/>
  <c r="DO431" i="79"/>
  <c r="BF431" i="80"/>
  <c r="BC415" i="80"/>
  <c r="BF451" i="80"/>
  <c r="BF127" i="80" s="1"/>
  <c r="DR251" i="79"/>
  <c r="DR257" i="79" s="1"/>
  <c r="DR63" i="79"/>
  <c r="DR77" i="79" s="1"/>
  <c r="DR79" i="79" s="1"/>
  <c r="FC431" i="79"/>
  <c r="FF119" i="79"/>
  <c r="FD156" i="79"/>
  <c r="FD158" i="79" s="1"/>
  <c r="FF152" i="79"/>
  <c r="FF156" i="79" s="1"/>
  <c r="FF158" i="79" s="1"/>
  <c r="DP281" i="79"/>
  <c r="DP283" i="79" s="1"/>
  <c r="DP328" i="79" s="1"/>
  <c r="DR274" i="79"/>
  <c r="DR281" i="79" s="1"/>
  <c r="DR283" i="79" s="1"/>
  <c r="DR328" i="79" s="1"/>
  <c r="BC395" i="80"/>
  <c r="BF447" i="80"/>
  <c r="BF251" i="80" s="1"/>
  <c r="BF257" i="80" s="1"/>
  <c r="DP156" i="79"/>
  <c r="DP158" i="79" s="1"/>
  <c r="DR152" i="79"/>
  <c r="DR156" i="79" s="1"/>
  <c r="DR158" i="79" s="1"/>
  <c r="BD431" i="80"/>
  <c r="BE431" i="80"/>
  <c r="DP235" i="79"/>
  <c r="DR228" i="79"/>
  <c r="DR235" i="79" s="1"/>
  <c r="FD281" i="79"/>
  <c r="FD283" i="79" s="1"/>
  <c r="FD328" i="79" s="1"/>
  <c r="FF274" i="79"/>
  <c r="FF281" i="79" s="1"/>
  <c r="FF283" i="79" s="1"/>
  <c r="FF328" i="79" s="1"/>
  <c r="FD235" i="79"/>
  <c r="FF228" i="79"/>
  <c r="FF235" i="79" s="1"/>
  <c r="FF251" i="79"/>
  <c r="FF257" i="79" s="1"/>
  <c r="FF63" i="79"/>
  <c r="FF77" i="79" s="1"/>
  <c r="FF79" i="79" s="1"/>
  <c r="H237" i="85"/>
  <c r="H100" i="26"/>
  <c r="AH119" i="79"/>
  <c r="I161" i="85"/>
  <c r="G123" i="36"/>
  <c r="G40" i="36"/>
  <c r="G42" i="36" s="1"/>
  <c r="G96" i="36"/>
  <c r="G98" i="36" s="1"/>
  <c r="I167" i="85" s="1"/>
  <c r="K95" i="90" s="1"/>
  <c r="F13" i="7"/>
  <c r="J322" i="85" s="1"/>
  <c r="J260" i="85"/>
  <c r="BD281" i="80"/>
  <c r="BD283" i="80" s="1"/>
  <c r="BD328" i="80" s="1"/>
  <c r="DX237" i="79"/>
  <c r="DX260" i="79" s="1"/>
  <c r="DX322" i="79" s="1"/>
  <c r="BD77" i="80"/>
  <c r="BD79" i="80" s="1"/>
  <c r="BD156" i="80"/>
  <c r="BD158" i="80" s="1"/>
  <c r="BD257" i="80"/>
  <c r="B6" i="69"/>
  <c r="B7" i="69" s="1"/>
  <c r="FL235" i="80" l="1"/>
  <c r="CD223" i="80"/>
  <c r="R223" i="80"/>
  <c r="AH223" i="80"/>
  <c r="AP223" i="80"/>
  <c r="Z223" i="80"/>
  <c r="Z235" i="80" s="1"/>
  <c r="Z84" i="80" s="1"/>
  <c r="DB223" i="80"/>
  <c r="DB235" i="80" s="1"/>
  <c r="DB237" i="80" s="1"/>
  <c r="DB260" i="80" s="1"/>
  <c r="DB322" i="80" s="1"/>
  <c r="X237" i="80"/>
  <c r="X260" i="80" s="1"/>
  <c r="X322" i="80" s="1"/>
  <c r="EF235" i="80"/>
  <c r="EF84" i="80" s="1"/>
  <c r="CL223" i="80"/>
  <c r="BN223" i="80"/>
  <c r="CT223" i="80"/>
  <c r="CR237" i="80"/>
  <c r="CR260" i="80" s="1"/>
  <c r="CR322" i="80" s="1"/>
  <c r="J135" i="85"/>
  <c r="D24" i="32"/>
  <c r="H84" i="13" s="1"/>
  <c r="H84" i="85" s="1"/>
  <c r="J40" i="90" s="1"/>
  <c r="P237" i="80"/>
  <c r="P260" i="80" s="1"/>
  <c r="P322" i="80" s="1"/>
  <c r="AF237" i="79"/>
  <c r="AF260" i="79" s="1"/>
  <c r="AF322" i="79" s="1"/>
  <c r="FD237" i="80"/>
  <c r="FD260" i="80" s="1"/>
  <c r="FD322" i="80" s="1"/>
  <c r="EH235" i="80"/>
  <c r="EH84" i="80" s="1"/>
  <c r="DR223" i="80"/>
  <c r="EV237" i="80"/>
  <c r="EV260" i="80" s="1"/>
  <c r="EV322" i="80" s="1"/>
  <c r="EN237" i="80"/>
  <c r="EN260" i="80" s="1"/>
  <c r="EN322" i="80" s="1"/>
  <c r="R274" i="80"/>
  <c r="R281" i="80" s="1"/>
  <c r="R283" i="80" s="1"/>
  <c r="R328" i="80" s="1"/>
  <c r="CJ237" i="80"/>
  <c r="CJ260" i="80" s="1"/>
  <c r="CJ322" i="80" s="1"/>
  <c r="DZ251" i="80"/>
  <c r="DZ257" i="80" s="1"/>
  <c r="CL251" i="80"/>
  <c r="CL257" i="80" s="1"/>
  <c r="R260" i="79"/>
  <c r="R322" i="79" s="1"/>
  <c r="AV237" i="80"/>
  <c r="AV260" i="80" s="1"/>
  <c r="AV322" i="80" s="1"/>
  <c r="BT237" i="80"/>
  <c r="BT260" i="80" s="1"/>
  <c r="BT322" i="80" s="1"/>
  <c r="AN237" i="80"/>
  <c r="AN260" i="80" s="1"/>
  <c r="AN322" i="80" s="1"/>
  <c r="CB237" i="80"/>
  <c r="CB260" i="80" s="1"/>
  <c r="CB322" i="80" s="1"/>
  <c r="DP237" i="80"/>
  <c r="DP260" i="80" s="1"/>
  <c r="DP322" i="80" s="1"/>
  <c r="BV223" i="80"/>
  <c r="AF237" i="80"/>
  <c r="AF260" i="80" s="1"/>
  <c r="AF322" i="80" s="1"/>
  <c r="AP251" i="80"/>
  <c r="AP257" i="80" s="1"/>
  <c r="FF251" i="80"/>
  <c r="FF257" i="80" s="1"/>
  <c r="BL237" i="80"/>
  <c r="BL260" i="80" s="1"/>
  <c r="BL322" i="80" s="1"/>
  <c r="CT152" i="80"/>
  <c r="CT156" i="80" s="1"/>
  <c r="CT158" i="80" s="1"/>
  <c r="CQ431" i="80"/>
  <c r="BV251" i="80"/>
  <c r="BV257" i="80" s="1"/>
  <c r="EP223" i="80"/>
  <c r="BN251" i="80"/>
  <c r="BN257" i="80" s="1"/>
  <c r="DO431" i="80"/>
  <c r="BD237" i="79"/>
  <c r="BD260" i="79" s="1"/>
  <c r="BD322" i="79" s="1"/>
  <c r="EX223" i="80"/>
  <c r="AH274" i="80"/>
  <c r="AH281" i="80" s="1"/>
  <c r="AH283" i="80" s="1"/>
  <c r="AH328" i="80" s="1"/>
  <c r="AX223" i="80"/>
  <c r="CT251" i="80"/>
  <c r="CT257" i="80" s="1"/>
  <c r="CT63" i="80"/>
  <c r="CT77" i="80" s="1"/>
  <c r="CT79" i="80" s="1"/>
  <c r="CT127" i="80"/>
  <c r="CT274" i="80"/>
  <c r="CT281" i="80" s="1"/>
  <c r="CT283" i="80" s="1"/>
  <c r="CT328" i="80" s="1"/>
  <c r="CT119" i="80"/>
  <c r="CT131" i="80"/>
  <c r="CT228" i="80"/>
  <c r="DX84" i="80"/>
  <c r="DX237" i="80"/>
  <c r="DX260" i="80" s="1"/>
  <c r="DX322" i="80" s="1"/>
  <c r="CD251" i="80"/>
  <c r="CD257" i="80" s="1"/>
  <c r="O431" i="80"/>
  <c r="DZ119" i="80"/>
  <c r="DZ127" i="80"/>
  <c r="DZ131" i="80"/>
  <c r="DZ152" i="80"/>
  <c r="DZ156" i="80" s="1"/>
  <c r="DZ158" i="80" s="1"/>
  <c r="DZ228" i="80"/>
  <c r="AH251" i="80"/>
  <c r="AH257" i="80" s="1"/>
  <c r="AH63" i="80"/>
  <c r="AH77" i="80" s="1"/>
  <c r="AH79" i="80" s="1"/>
  <c r="DZ274" i="80"/>
  <c r="DZ281" i="80" s="1"/>
  <c r="DZ283" i="80" s="1"/>
  <c r="DZ328" i="80" s="1"/>
  <c r="AX127" i="80"/>
  <c r="AX152" i="80"/>
  <c r="AX156" i="80" s="1"/>
  <c r="AX158" i="80" s="1"/>
  <c r="AX119" i="80"/>
  <c r="AX131" i="80"/>
  <c r="AX228" i="80"/>
  <c r="AU431" i="80"/>
  <c r="FF228" i="80"/>
  <c r="FF119" i="80"/>
  <c r="FF152" i="80"/>
  <c r="FF156" i="80" s="1"/>
  <c r="FF158" i="80" s="1"/>
  <c r="FF223" i="80"/>
  <c r="FF127" i="80"/>
  <c r="FF131" i="80"/>
  <c r="AE431" i="80"/>
  <c r="BK431" i="80"/>
  <c r="EP131" i="80"/>
  <c r="EP127" i="80"/>
  <c r="EP152" i="80"/>
  <c r="EP156" i="80" s="1"/>
  <c r="EP158" i="80" s="1"/>
  <c r="EP228" i="80"/>
  <c r="EP119" i="80"/>
  <c r="AM431" i="80"/>
  <c r="EE431" i="80"/>
  <c r="EX228" i="80"/>
  <c r="EX152" i="80"/>
  <c r="EX156" i="80" s="1"/>
  <c r="EX158" i="80" s="1"/>
  <c r="EX127" i="80"/>
  <c r="EX131" i="80"/>
  <c r="EX119" i="80"/>
  <c r="DZ223" i="80"/>
  <c r="EU431" i="80"/>
  <c r="DW431" i="80"/>
  <c r="FC431" i="80"/>
  <c r="R63" i="80"/>
  <c r="R77" i="80" s="1"/>
  <c r="R79" i="80" s="1"/>
  <c r="R251" i="80"/>
  <c r="R257" i="80" s="1"/>
  <c r="EH251" i="80"/>
  <c r="EH257" i="80" s="1"/>
  <c r="EM431" i="80"/>
  <c r="DR127" i="80"/>
  <c r="DR131" i="80"/>
  <c r="DR152" i="80"/>
  <c r="DR156" i="80" s="1"/>
  <c r="DR158" i="80" s="1"/>
  <c r="DR228" i="80"/>
  <c r="DR119" i="80"/>
  <c r="BS431" i="80"/>
  <c r="BN131" i="80"/>
  <c r="BN152" i="80"/>
  <c r="BN156" i="80" s="1"/>
  <c r="BN158" i="80" s="1"/>
  <c r="BN274" i="80"/>
  <c r="BN281" i="80" s="1"/>
  <c r="BN283" i="80" s="1"/>
  <c r="BN328" i="80" s="1"/>
  <c r="BN228" i="80"/>
  <c r="BN119" i="80"/>
  <c r="BN127" i="80"/>
  <c r="EP63" i="80"/>
  <c r="EP77" i="80" s="1"/>
  <c r="EP79" i="80" s="1"/>
  <c r="EP251" i="80"/>
  <c r="EP257" i="80" s="1"/>
  <c r="R119" i="80"/>
  <c r="R127" i="80"/>
  <c r="R228" i="80"/>
  <c r="R152" i="80"/>
  <c r="R156" i="80" s="1"/>
  <c r="R158" i="80" s="1"/>
  <c r="R131" i="80"/>
  <c r="AH119" i="80"/>
  <c r="AH228" i="80"/>
  <c r="AH235" i="80" s="1"/>
  <c r="AH131" i="80"/>
  <c r="AH152" i="80"/>
  <c r="AH156" i="80" s="1"/>
  <c r="AH158" i="80" s="1"/>
  <c r="AH127" i="80"/>
  <c r="BV131" i="80"/>
  <c r="BV152" i="80"/>
  <c r="BV156" i="80" s="1"/>
  <c r="BV158" i="80" s="1"/>
  <c r="BV228" i="80"/>
  <c r="BV127" i="80"/>
  <c r="BV119" i="80"/>
  <c r="CA431" i="80"/>
  <c r="CL127" i="80"/>
  <c r="CL274" i="80"/>
  <c r="CL281" i="80" s="1"/>
  <c r="CL283" i="80" s="1"/>
  <c r="CL328" i="80" s="1"/>
  <c r="CL228" i="80"/>
  <c r="CL131" i="80"/>
  <c r="CL152" i="80"/>
  <c r="CL156" i="80" s="1"/>
  <c r="CL158" i="80" s="1"/>
  <c r="CL119" i="80"/>
  <c r="CD131" i="80"/>
  <c r="CD228" i="80"/>
  <c r="CD235" i="80" s="1"/>
  <c r="CD274" i="80"/>
  <c r="CD281" i="80" s="1"/>
  <c r="CD283" i="80" s="1"/>
  <c r="CD328" i="80" s="1"/>
  <c r="CD119" i="80"/>
  <c r="CD127" i="80"/>
  <c r="CD152" i="80"/>
  <c r="CD156" i="80" s="1"/>
  <c r="CD158" i="80" s="1"/>
  <c r="AX63" i="80"/>
  <c r="AX77" i="80" s="1"/>
  <c r="AX79" i="80" s="1"/>
  <c r="AX251" i="80"/>
  <c r="AX257" i="80" s="1"/>
  <c r="AP228" i="80"/>
  <c r="AP131" i="80"/>
  <c r="AP274" i="80"/>
  <c r="AP281" i="80" s="1"/>
  <c r="AP283" i="80" s="1"/>
  <c r="AP328" i="80" s="1"/>
  <c r="AP119" i="80"/>
  <c r="AP127" i="80"/>
  <c r="AP152" i="80"/>
  <c r="AP156" i="80" s="1"/>
  <c r="AP158" i="80" s="1"/>
  <c r="DR251" i="80"/>
  <c r="DR257" i="80" s="1"/>
  <c r="CI431" i="80"/>
  <c r="BF237" i="79"/>
  <c r="BF260" i="79" s="1"/>
  <c r="BF322" i="79" s="1"/>
  <c r="BN237" i="79"/>
  <c r="BN260" i="79" s="1"/>
  <c r="BN322" i="79" s="1"/>
  <c r="BL237" i="79"/>
  <c r="BL260" i="79" s="1"/>
  <c r="BL322" i="79" s="1"/>
  <c r="CT237" i="79"/>
  <c r="CT260" i="79" s="1"/>
  <c r="CT322" i="79" s="1"/>
  <c r="DZ237" i="79"/>
  <c r="DZ260" i="79" s="1"/>
  <c r="DZ322" i="79" s="1"/>
  <c r="DB237" i="79"/>
  <c r="DB260" i="79" s="1"/>
  <c r="DB322" i="79" s="1"/>
  <c r="CZ237" i="79"/>
  <c r="CZ260" i="79" s="1"/>
  <c r="CZ322" i="79" s="1"/>
  <c r="AH237" i="79"/>
  <c r="AH260" i="79" s="1"/>
  <c r="AH322" i="79" s="1"/>
  <c r="R84" i="79"/>
  <c r="CR237" i="79"/>
  <c r="CR260" i="79" s="1"/>
  <c r="CR322" i="79" s="1"/>
  <c r="P237" i="79"/>
  <c r="P260" i="79" s="1"/>
  <c r="P322" i="79" s="1"/>
  <c r="AV84" i="79"/>
  <c r="AV237" i="79"/>
  <c r="AV260" i="79" s="1"/>
  <c r="AV322" i="79" s="1"/>
  <c r="AX84" i="79"/>
  <c r="AX237" i="79"/>
  <c r="AX260" i="79" s="1"/>
  <c r="AX322" i="79" s="1"/>
  <c r="BT84" i="79"/>
  <c r="BT237" i="79"/>
  <c r="BT260" i="79" s="1"/>
  <c r="BT322" i="79" s="1"/>
  <c r="BV84" i="79"/>
  <c r="BV237" i="79"/>
  <c r="BV260" i="79" s="1"/>
  <c r="BV322" i="79" s="1"/>
  <c r="FL84" i="79"/>
  <c r="FL237" i="79"/>
  <c r="FL260" i="79" s="1"/>
  <c r="FL322" i="79" s="1"/>
  <c r="FN84" i="80"/>
  <c r="FN237" i="80"/>
  <c r="FN260" i="80" s="1"/>
  <c r="FN322" i="80" s="1"/>
  <c r="DB84" i="80"/>
  <c r="FN84" i="79"/>
  <c r="FN237" i="79"/>
  <c r="FN260" i="79" s="1"/>
  <c r="FN322" i="79" s="1"/>
  <c r="FL84" i="80"/>
  <c r="FL237" i="80"/>
  <c r="FL260" i="80" s="1"/>
  <c r="FL322" i="80" s="1"/>
  <c r="EV84" i="79"/>
  <c r="EV237" i="79"/>
  <c r="EV260" i="79" s="1"/>
  <c r="EV322" i="79" s="1"/>
  <c r="EF84" i="79"/>
  <c r="EF237" i="79"/>
  <c r="EF260" i="79" s="1"/>
  <c r="EF322" i="79" s="1"/>
  <c r="EX84" i="79"/>
  <c r="EX237" i="79"/>
  <c r="EX260" i="79" s="1"/>
  <c r="EX322" i="79" s="1"/>
  <c r="EH84" i="79"/>
  <c r="EH237" i="79"/>
  <c r="EH260" i="79" s="1"/>
  <c r="EH322" i="79" s="1"/>
  <c r="AP84" i="79"/>
  <c r="AP237" i="79"/>
  <c r="AP260" i="79" s="1"/>
  <c r="AP322" i="79" s="1"/>
  <c r="X84" i="79"/>
  <c r="X237" i="79"/>
  <c r="X260" i="79" s="1"/>
  <c r="X322" i="79" s="1"/>
  <c r="CJ84" i="79"/>
  <c r="CJ237" i="79"/>
  <c r="CJ260" i="79" s="1"/>
  <c r="CJ322" i="79" s="1"/>
  <c r="AN84" i="79"/>
  <c r="AN237" i="79"/>
  <c r="AN260" i="79" s="1"/>
  <c r="AN322" i="79" s="1"/>
  <c r="Z84" i="79"/>
  <c r="Z237" i="79"/>
  <c r="Z260" i="79" s="1"/>
  <c r="Z322" i="79" s="1"/>
  <c r="EN84" i="79"/>
  <c r="EN237" i="79"/>
  <c r="EN260" i="79" s="1"/>
  <c r="EN322" i="79" s="1"/>
  <c r="CL84" i="79"/>
  <c r="CL237" i="79"/>
  <c r="CL260" i="79" s="1"/>
  <c r="CL322" i="79" s="1"/>
  <c r="EP84" i="79"/>
  <c r="EP237" i="79"/>
  <c r="EP260" i="79" s="1"/>
  <c r="EP322" i="79" s="1"/>
  <c r="CB84" i="79"/>
  <c r="CB237" i="79"/>
  <c r="CB260" i="79" s="1"/>
  <c r="CB322" i="79" s="1"/>
  <c r="DH84" i="79"/>
  <c r="DH237" i="79"/>
  <c r="DH260" i="79" s="1"/>
  <c r="DH322" i="79" s="1"/>
  <c r="CZ84" i="80"/>
  <c r="CZ237" i="80"/>
  <c r="CZ260" i="80" s="1"/>
  <c r="CZ322" i="80" s="1"/>
  <c r="CD84" i="79"/>
  <c r="CD237" i="79"/>
  <c r="CD260" i="79" s="1"/>
  <c r="CD322" i="79" s="1"/>
  <c r="DJ84" i="79"/>
  <c r="DJ237" i="79"/>
  <c r="DJ260" i="79" s="1"/>
  <c r="DJ322" i="79" s="1"/>
  <c r="Z237" i="80"/>
  <c r="Z260" i="80" s="1"/>
  <c r="Z322" i="80" s="1"/>
  <c r="DJ84" i="80"/>
  <c r="DJ237" i="80"/>
  <c r="DJ260" i="80" s="1"/>
  <c r="DJ322" i="80" s="1"/>
  <c r="BF63" i="80"/>
  <c r="BF77" i="80" s="1"/>
  <c r="BF79" i="80" s="1"/>
  <c r="BF274" i="80"/>
  <c r="BF281" i="80" s="1"/>
  <c r="BF283" i="80" s="1"/>
  <c r="BF328" i="80" s="1"/>
  <c r="BF119" i="80"/>
  <c r="BF228" i="80"/>
  <c r="BF152" i="80"/>
  <c r="BF156" i="80" s="1"/>
  <c r="BF158" i="80" s="1"/>
  <c r="BF131" i="80"/>
  <c r="BC431" i="80"/>
  <c r="FF84" i="79"/>
  <c r="FF237" i="79"/>
  <c r="FF260" i="79" s="1"/>
  <c r="FF322" i="79" s="1"/>
  <c r="DR84" i="79"/>
  <c r="DR237" i="79"/>
  <c r="DR260" i="79" s="1"/>
  <c r="DR322" i="79" s="1"/>
  <c r="FD84" i="79"/>
  <c r="FD237" i="79"/>
  <c r="FD260" i="79" s="1"/>
  <c r="FD322" i="79" s="1"/>
  <c r="DP84" i="79"/>
  <c r="DP237" i="79"/>
  <c r="DP260" i="79" s="1"/>
  <c r="DP322" i="79" s="1"/>
  <c r="BF223" i="80"/>
  <c r="D13" i="7"/>
  <c r="H322" i="85" s="1"/>
  <c r="H260" i="85"/>
  <c r="J161" i="85"/>
  <c r="H123" i="36"/>
  <c r="H40" i="36"/>
  <c r="H42" i="36" s="1"/>
  <c r="H96" i="36"/>
  <c r="H98" i="36" s="1"/>
  <c r="J167" i="85" s="1"/>
  <c r="L95" i="90" s="1"/>
  <c r="BD237" i="80"/>
  <c r="BD260" i="80" s="1"/>
  <c r="BD322" i="80" s="1"/>
  <c r="R235" i="80" l="1"/>
  <c r="R84" i="80" s="1"/>
  <c r="BN235" i="80"/>
  <c r="BN84" i="80" s="1"/>
  <c r="AP235" i="80"/>
  <c r="AP84" i="80" s="1"/>
  <c r="CL235" i="80"/>
  <c r="CL237" i="80" s="1"/>
  <c r="CL260" i="80" s="1"/>
  <c r="CL322" i="80" s="1"/>
  <c r="EF237" i="80"/>
  <c r="EF260" i="80" s="1"/>
  <c r="EF322" i="80" s="1"/>
  <c r="CT235" i="80"/>
  <c r="H84" i="79"/>
  <c r="H84" i="80"/>
  <c r="BV235" i="80"/>
  <c r="BV237" i="80" s="1"/>
  <c r="BV260" i="80" s="1"/>
  <c r="BV322" i="80" s="1"/>
  <c r="DR235" i="80"/>
  <c r="DR84" i="80" s="1"/>
  <c r="EH237" i="80"/>
  <c r="EH260" i="80" s="1"/>
  <c r="EH322" i="80" s="1"/>
  <c r="EX235" i="80"/>
  <c r="EX84" i="80" s="1"/>
  <c r="EP235" i="80"/>
  <c r="EP84" i="80" s="1"/>
  <c r="FF235" i="80"/>
  <c r="FF84" i="80" s="1"/>
  <c r="CT84" i="80"/>
  <c r="CT237" i="80"/>
  <c r="CT260" i="80" s="1"/>
  <c r="CT322" i="80" s="1"/>
  <c r="DZ235" i="80"/>
  <c r="AX235" i="80"/>
  <c r="CD84" i="80"/>
  <c r="CD237" i="80"/>
  <c r="CD260" i="80" s="1"/>
  <c r="CD322" i="80" s="1"/>
  <c r="AH84" i="80"/>
  <c r="AH237" i="80"/>
  <c r="AH260" i="80" s="1"/>
  <c r="AH322" i="80" s="1"/>
  <c r="BF235" i="80"/>
  <c r="BF84" i="80" s="1"/>
  <c r="F118" i="36"/>
  <c r="E118" i="36" s="1"/>
  <c r="AP237" i="80" l="1"/>
  <c r="AP260" i="80" s="1"/>
  <c r="AP322" i="80" s="1"/>
  <c r="R237" i="80"/>
  <c r="R260" i="80" s="1"/>
  <c r="R322" i="80" s="1"/>
  <c r="BN237" i="80"/>
  <c r="BN260" i="80" s="1"/>
  <c r="BN322" i="80" s="1"/>
  <c r="CL84" i="80"/>
  <c r="BV84" i="80"/>
  <c r="DR237" i="80"/>
  <c r="DR260" i="80" s="1"/>
  <c r="DR322" i="80" s="1"/>
  <c r="EX237" i="80"/>
  <c r="EX260" i="80" s="1"/>
  <c r="EX322" i="80" s="1"/>
  <c r="EP237" i="80"/>
  <c r="EP260" i="80" s="1"/>
  <c r="EP322" i="80" s="1"/>
  <c r="FF237" i="80"/>
  <c r="FF260" i="80" s="1"/>
  <c r="FF322" i="80" s="1"/>
  <c r="DZ84" i="80"/>
  <c r="DZ237" i="80"/>
  <c r="DZ260" i="80" s="1"/>
  <c r="DZ322" i="80" s="1"/>
  <c r="AX84" i="80"/>
  <c r="AX237" i="80"/>
  <c r="AX260" i="80" s="1"/>
  <c r="AX322" i="80" s="1"/>
  <c r="BF237" i="80"/>
  <c r="BF260" i="80" s="1"/>
  <c r="BF322" i="80" s="1"/>
  <c r="E124" i="36"/>
  <c r="E125" i="36" s="1"/>
  <c r="C16" i="7" s="1"/>
  <c r="H124" i="36"/>
  <c r="H125" i="36" s="1"/>
  <c r="F16" i="7" s="1"/>
  <c r="G124" i="36"/>
  <c r="G125" i="36" s="1"/>
  <c r="E16" i="7" s="1"/>
  <c r="E13" i="36"/>
  <c r="E14" i="36" s="1"/>
  <c r="F124" i="36"/>
  <c r="E25" i="7" l="1"/>
  <c r="I334" i="85" s="1"/>
  <c r="I325" i="85"/>
  <c r="F25" i="7"/>
  <c r="J334" i="85" s="1"/>
  <c r="J325" i="85"/>
  <c r="C25" i="7"/>
  <c r="G334" i="85" s="1"/>
  <c r="G325" i="85"/>
  <c r="B10" i="83"/>
  <c r="G165" i="79"/>
  <c r="G165" i="80"/>
  <c r="I33" i="7" l="1"/>
  <c r="J33" i="7"/>
  <c r="D33" i="7"/>
  <c r="H340" i="85" s="1"/>
  <c r="H33" i="7"/>
  <c r="K33" i="7"/>
  <c r="C25" i="77"/>
  <c r="C26" i="77" s="1"/>
  <c r="D25" i="77"/>
  <c r="D26" i="77" s="1"/>
  <c r="FK165" i="80"/>
  <c r="FK167" i="80" s="1"/>
  <c r="FK325" i="80" s="1"/>
  <c r="FK334" i="80" s="1"/>
  <c r="EE165" i="80"/>
  <c r="EE167" i="80" s="1"/>
  <c r="EE325" i="80" s="1"/>
  <c r="EE334" i="80" s="1"/>
  <c r="CQ165" i="80"/>
  <c r="CQ167" i="80" s="1"/>
  <c r="CQ325" i="80" s="1"/>
  <c r="CQ334" i="80" s="1"/>
  <c r="CS165" i="80"/>
  <c r="CS167" i="80" s="1"/>
  <c r="CS325" i="80" s="1"/>
  <c r="CS334" i="80" s="1"/>
  <c r="CR340" i="80" s="1"/>
  <c r="CI165" i="80"/>
  <c r="CI167" i="80" s="1"/>
  <c r="CI325" i="80" s="1"/>
  <c r="CI334" i="80" s="1"/>
  <c r="DO165" i="80"/>
  <c r="DO167" i="80" s="1"/>
  <c r="DO325" i="80" s="1"/>
  <c r="DO334" i="80" s="1"/>
  <c r="BM165" i="80"/>
  <c r="BM167" i="80" s="1"/>
  <c r="BM325" i="80" s="1"/>
  <c r="BM334" i="80" s="1"/>
  <c r="BL340" i="80" s="1"/>
  <c r="CK165" i="80"/>
  <c r="CK167" i="80" s="1"/>
  <c r="CK325" i="80" s="1"/>
  <c r="CK334" i="80" s="1"/>
  <c r="CJ340" i="80" s="1"/>
  <c r="EH165" i="80"/>
  <c r="BS165" i="80"/>
  <c r="BS167" i="80" s="1"/>
  <c r="BS325" i="80" s="1"/>
  <c r="BS334" i="80" s="1"/>
  <c r="CA165" i="80"/>
  <c r="CA167" i="80" s="1"/>
  <c r="CA325" i="80" s="1"/>
  <c r="CA334" i="80" s="1"/>
  <c r="DW165" i="80"/>
  <c r="DW167" i="80" s="1"/>
  <c r="DW325" i="80" s="1"/>
  <c r="DW334" i="80" s="1"/>
  <c r="BC165" i="80"/>
  <c r="BC167" i="80" s="1"/>
  <c r="BC325" i="80" s="1"/>
  <c r="BC334" i="80" s="1"/>
  <c r="W165" i="80"/>
  <c r="W167" i="80" s="1"/>
  <c r="W325" i="80" s="1"/>
  <c r="W334" i="80" s="1"/>
  <c r="EM165" i="80"/>
  <c r="EM167" i="80" s="1"/>
  <c r="EM325" i="80" s="1"/>
  <c r="EM334" i="80" s="1"/>
  <c r="EG165" i="80"/>
  <c r="EG167" i="80" s="1"/>
  <c r="EG325" i="80" s="1"/>
  <c r="EG334" i="80" s="1"/>
  <c r="EF340" i="80" s="1"/>
  <c r="O165" i="80"/>
  <c r="O167" i="80" s="1"/>
  <c r="O325" i="80" s="1"/>
  <c r="O334" i="80" s="1"/>
  <c r="AE165" i="80"/>
  <c r="AE167" i="80" s="1"/>
  <c r="AE325" i="80" s="1"/>
  <c r="AE334" i="80" s="1"/>
  <c r="DG165" i="80"/>
  <c r="DG167" i="80" s="1"/>
  <c r="DG325" i="80" s="1"/>
  <c r="DG334" i="80" s="1"/>
  <c r="CY165" i="80"/>
  <c r="CY167" i="80" s="1"/>
  <c r="CY325" i="80" s="1"/>
  <c r="CY334" i="80" s="1"/>
  <c r="FM165" i="80"/>
  <c r="FM167" i="80" s="1"/>
  <c r="FM325" i="80" s="1"/>
  <c r="FM334" i="80" s="1"/>
  <c r="FL340" i="80" s="1"/>
  <c r="BK165" i="80"/>
  <c r="BK167" i="80" s="1"/>
  <c r="BK325" i="80" s="1"/>
  <c r="BK334" i="80" s="1"/>
  <c r="EO165" i="80"/>
  <c r="EO167" i="80" s="1"/>
  <c r="EO325" i="80" s="1"/>
  <c r="EO334" i="80" s="1"/>
  <c r="EN340" i="80" s="1"/>
  <c r="BU165" i="80"/>
  <c r="BU167" i="80" s="1"/>
  <c r="BU325" i="80" s="1"/>
  <c r="BU334" i="80" s="1"/>
  <c r="BT340" i="80" s="1"/>
  <c r="J165" i="80"/>
  <c r="J167" i="80" s="1"/>
  <c r="J325" i="80" s="1"/>
  <c r="J334" i="80" s="1"/>
  <c r="I165" i="80"/>
  <c r="I167" i="80" s="1"/>
  <c r="I325" i="80" s="1"/>
  <c r="I334" i="80" s="1"/>
  <c r="H340" i="80" s="1"/>
  <c r="AO165" i="80"/>
  <c r="AO167" i="80" s="1"/>
  <c r="AO325" i="80" s="1"/>
  <c r="AO334" i="80" s="1"/>
  <c r="AN340" i="80" s="1"/>
  <c r="R165" i="80"/>
  <c r="BF165" i="80"/>
  <c r="DR165" i="80"/>
  <c r="EX165" i="80"/>
  <c r="DB165" i="80"/>
  <c r="EP165" i="80"/>
  <c r="H165" i="80"/>
  <c r="Z165" i="80"/>
  <c r="AW165" i="80"/>
  <c r="AW167" i="80" s="1"/>
  <c r="AW325" i="80" s="1"/>
  <c r="AW334" i="80" s="1"/>
  <c r="AV340" i="80" s="1"/>
  <c r="DJ165" i="80"/>
  <c r="BE165" i="80"/>
  <c r="BE167" i="80" s="1"/>
  <c r="BE325" i="80" s="1"/>
  <c r="BE334" i="80" s="1"/>
  <c r="BD340" i="80" s="1"/>
  <c r="G167" i="80"/>
  <c r="G325" i="80" s="1"/>
  <c r="G334" i="80" s="1"/>
  <c r="CB165" i="80"/>
  <c r="BV165" i="80"/>
  <c r="FC165" i="80"/>
  <c r="FC167" i="80" s="1"/>
  <c r="FC325" i="80" s="1"/>
  <c r="FC334" i="80" s="1"/>
  <c r="CC165" i="80"/>
  <c r="CC167" i="80" s="1"/>
  <c r="CC325" i="80" s="1"/>
  <c r="CC334" i="80" s="1"/>
  <c r="CB340" i="80" s="1"/>
  <c r="EU165" i="80"/>
  <c r="EU167" i="80" s="1"/>
  <c r="EU325" i="80" s="1"/>
  <c r="EU334" i="80" s="1"/>
  <c r="DI165" i="80"/>
  <c r="DI167" i="80" s="1"/>
  <c r="DI325" i="80" s="1"/>
  <c r="DI334" i="80" s="1"/>
  <c r="DH340" i="80" s="1"/>
  <c r="FN165" i="80"/>
  <c r="Q165" i="80"/>
  <c r="Q167" i="80" s="1"/>
  <c r="Q325" i="80" s="1"/>
  <c r="Q334" i="80" s="1"/>
  <c r="P340" i="80" s="1"/>
  <c r="DZ165" i="80"/>
  <c r="FF165" i="80"/>
  <c r="AP165" i="80"/>
  <c r="FL165" i="80"/>
  <c r="EW165" i="80"/>
  <c r="EW167" i="80" s="1"/>
  <c r="EW325" i="80" s="1"/>
  <c r="EW334" i="80" s="1"/>
  <c r="EV340" i="80" s="1"/>
  <c r="CL165" i="80"/>
  <c r="BN165" i="80"/>
  <c r="AG165" i="80"/>
  <c r="AG167" i="80" s="1"/>
  <c r="AG325" i="80" s="1"/>
  <c r="AG334" i="80" s="1"/>
  <c r="AF340" i="80" s="1"/>
  <c r="DY165" i="80"/>
  <c r="DY167" i="80" s="1"/>
  <c r="DY325" i="80" s="1"/>
  <c r="DY334" i="80" s="1"/>
  <c r="DX340" i="80" s="1"/>
  <c r="AH165" i="80"/>
  <c r="CR165" i="80"/>
  <c r="AF165" i="80"/>
  <c r="CD165" i="80"/>
  <c r="EF165" i="80"/>
  <c r="EV165" i="80"/>
  <c r="DQ165" i="80"/>
  <c r="DQ167" i="80" s="1"/>
  <c r="DQ325" i="80" s="1"/>
  <c r="DQ334" i="80" s="1"/>
  <c r="DP340" i="80" s="1"/>
  <c r="AM165" i="80"/>
  <c r="AM167" i="80" s="1"/>
  <c r="AM325" i="80" s="1"/>
  <c r="AM334" i="80" s="1"/>
  <c r="CZ165" i="80"/>
  <c r="AU165" i="80"/>
  <c r="AU167" i="80" s="1"/>
  <c r="AU325" i="80" s="1"/>
  <c r="AU334" i="80" s="1"/>
  <c r="AV165" i="80"/>
  <c r="BT165" i="80"/>
  <c r="FE165" i="80"/>
  <c r="FE167" i="80" s="1"/>
  <c r="FE325" i="80" s="1"/>
  <c r="FE334" i="80" s="1"/>
  <c r="FD340" i="80" s="1"/>
  <c r="DH165" i="80"/>
  <c r="BL165" i="80"/>
  <c r="CJ165" i="80"/>
  <c r="AN165" i="80"/>
  <c r="BD165" i="80"/>
  <c r="CT165" i="80"/>
  <c r="FD165" i="80"/>
  <c r="EN165" i="80"/>
  <c r="DX165" i="80"/>
  <c r="DP165" i="80"/>
  <c r="X165" i="80"/>
  <c r="DA165" i="80"/>
  <c r="DA167" i="80" s="1"/>
  <c r="DA325" i="80" s="1"/>
  <c r="DA334" i="80" s="1"/>
  <c r="CZ340" i="80" s="1"/>
  <c r="Y165" i="80"/>
  <c r="Y167" i="80" s="1"/>
  <c r="Y325" i="80" s="1"/>
  <c r="Y334" i="80" s="1"/>
  <c r="X340" i="80" s="1"/>
  <c r="AX165" i="80"/>
  <c r="P165" i="80"/>
  <c r="EU165" i="79"/>
  <c r="EU167" i="79" s="1"/>
  <c r="EU325" i="79" s="1"/>
  <c r="EU334" i="79" s="1"/>
  <c r="FM165" i="79"/>
  <c r="FM167" i="79" s="1"/>
  <c r="FM325" i="79" s="1"/>
  <c r="FM334" i="79" s="1"/>
  <c r="FL340" i="79" s="1"/>
  <c r="J165" i="79"/>
  <c r="J167" i="79" s="1"/>
  <c r="J325" i="79" s="1"/>
  <c r="J334" i="79" s="1"/>
  <c r="CK165" i="79"/>
  <c r="CK167" i="79" s="1"/>
  <c r="CK325" i="79" s="1"/>
  <c r="CK334" i="79" s="1"/>
  <c r="CJ340" i="79" s="1"/>
  <c r="BK165" i="79"/>
  <c r="BK167" i="79" s="1"/>
  <c r="BK325" i="79" s="1"/>
  <c r="BK334" i="79" s="1"/>
  <c r="AE165" i="79"/>
  <c r="AE167" i="79" s="1"/>
  <c r="AE325" i="79" s="1"/>
  <c r="AE334" i="79" s="1"/>
  <c r="O165" i="79"/>
  <c r="O167" i="79" s="1"/>
  <c r="O325" i="79" s="1"/>
  <c r="O334" i="79" s="1"/>
  <c r="AM165" i="79"/>
  <c r="AM167" i="79" s="1"/>
  <c r="AM325" i="79" s="1"/>
  <c r="AM334" i="79" s="1"/>
  <c r="EE165" i="79"/>
  <c r="EE167" i="79" s="1"/>
  <c r="EE325" i="79" s="1"/>
  <c r="EE334" i="79" s="1"/>
  <c r="G167" i="79"/>
  <c r="G325" i="79" s="1"/>
  <c r="G334" i="79" s="1"/>
  <c r="BU165" i="79"/>
  <c r="BU167" i="79" s="1"/>
  <c r="BU325" i="79" s="1"/>
  <c r="BU334" i="79" s="1"/>
  <c r="BT340" i="79" s="1"/>
  <c r="DO165" i="79"/>
  <c r="DO167" i="79" s="1"/>
  <c r="DO325" i="79" s="1"/>
  <c r="DO334" i="79" s="1"/>
  <c r="AO165" i="79"/>
  <c r="AO167" i="79" s="1"/>
  <c r="AO325" i="79" s="1"/>
  <c r="AO334" i="79" s="1"/>
  <c r="AN340" i="79" s="1"/>
  <c r="AW165" i="79"/>
  <c r="AW167" i="79" s="1"/>
  <c r="AW325" i="79" s="1"/>
  <c r="AW334" i="79" s="1"/>
  <c r="AV340" i="79" s="1"/>
  <c r="Y165" i="79"/>
  <c r="Y167" i="79" s="1"/>
  <c r="Y325" i="79" s="1"/>
  <c r="Y334" i="79" s="1"/>
  <c r="X340" i="79" s="1"/>
  <c r="DI165" i="79"/>
  <c r="DI167" i="79" s="1"/>
  <c r="DI325" i="79" s="1"/>
  <c r="DI334" i="79" s="1"/>
  <c r="DH340" i="79" s="1"/>
  <c r="AU165" i="79"/>
  <c r="AU167" i="79" s="1"/>
  <c r="AU325" i="79" s="1"/>
  <c r="AU334" i="79" s="1"/>
  <c r="CY165" i="79"/>
  <c r="CY167" i="79" s="1"/>
  <c r="CY325" i="79" s="1"/>
  <c r="CY334" i="79" s="1"/>
  <c r="DW165" i="79"/>
  <c r="DW167" i="79" s="1"/>
  <c r="DW325" i="79" s="1"/>
  <c r="DW334" i="79" s="1"/>
  <c r="CQ165" i="79"/>
  <c r="CQ167" i="79" s="1"/>
  <c r="CQ325" i="79" s="1"/>
  <c r="CQ334" i="79" s="1"/>
  <c r="EO165" i="79"/>
  <c r="EO167" i="79" s="1"/>
  <c r="EO325" i="79" s="1"/>
  <c r="EO334" i="79" s="1"/>
  <c r="EN340" i="79" s="1"/>
  <c r="AX165" i="79"/>
  <c r="CI165" i="79"/>
  <c r="CI167" i="79" s="1"/>
  <c r="CI325" i="79" s="1"/>
  <c r="CI334" i="79" s="1"/>
  <c r="I165" i="79"/>
  <c r="I167" i="79" s="1"/>
  <c r="I325" i="79" s="1"/>
  <c r="I334" i="79" s="1"/>
  <c r="H340" i="79" s="1"/>
  <c r="FK165" i="79"/>
  <c r="FK167" i="79" s="1"/>
  <c r="FK325" i="79" s="1"/>
  <c r="FK334" i="79" s="1"/>
  <c r="CT165" i="79"/>
  <c r="CA165" i="79"/>
  <c r="CA167" i="79" s="1"/>
  <c r="CA325" i="79" s="1"/>
  <c r="CA334" i="79" s="1"/>
  <c r="BV165" i="79"/>
  <c r="EW165" i="79"/>
  <c r="EW167" i="79" s="1"/>
  <c r="EW325" i="79" s="1"/>
  <c r="EW334" i="79" s="1"/>
  <c r="EV340" i="79" s="1"/>
  <c r="FE165" i="79"/>
  <c r="FE167" i="79" s="1"/>
  <c r="FE325" i="79" s="1"/>
  <c r="FE334" i="79" s="1"/>
  <c r="FD340" i="79" s="1"/>
  <c r="DZ165" i="79"/>
  <c r="EG165" i="79"/>
  <c r="EG167" i="79" s="1"/>
  <c r="EG325" i="79" s="1"/>
  <c r="EG334" i="79" s="1"/>
  <c r="EF340" i="79" s="1"/>
  <c r="FF165" i="79"/>
  <c r="CD165" i="79"/>
  <c r="Q165" i="79"/>
  <c r="Q167" i="79" s="1"/>
  <c r="Q325" i="79" s="1"/>
  <c r="Q334" i="79" s="1"/>
  <c r="P340" i="79" s="1"/>
  <c r="DG165" i="79"/>
  <c r="DG167" i="79" s="1"/>
  <c r="DG325" i="79" s="1"/>
  <c r="DG334" i="79" s="1"/>
  <c r="BM165" i="79"/>
  <c r="BM167" i="79" s="1"/>
  <c r="BM325" i="79" s="1"/>
  <c r="BM334" i="79" s="1"/>
  <c r="BL340" i="79" s="1"/>
  <c r="BS165" i="79"/>
  <c r="BS167" i="79" s="1"/>
  <c r="BS325" i="79" s="1"/>
  <c r="BS334" i="79" s="1"/>
  <c r="AH165" i="79"/>
  <c r="EM165" i="79"/>
  <c r="EM167" i="79" s="1"/>
  <c r="EM325" i="79" s="1"/>
  <c r="EM334" i="79" s="1"/>
  <c r="DR165" i="79"/>
  <c r="CS165" i="79"/>
  <c r="CS167" i="79" s="1"/>
  <c r="CS325" i="79" s="1"/>
  <c r="CS334" i="79" s="1"/>
  <c r="CR340" i="79" s="1"/>
  <c r="W165" i="79"/>
  <c r="W167" i="79" s="1"/>
  <c r="W325" i="79" s="1"/>
  <c r="W334" i="79" s="1"/>
  <c r="DY165" i="79"/>
  <c r="DY167" i="79" s="1"/>
  <c r="DY325" i="79" s="1"/>
  <c r="DY334" i="79" s="1"/>
  <c r="DX340" i="79" s="1"/>
  <c r="Z165" i="79"/>
  <c r="DJ165" i="79"/>
  <c r="EX165" i="79"/>
  <c r="BF165" i="79"/>
  <c r="AG165" i="79"/>
  <c r="AG167" i="79" s="1"/>
  <c r="AG325" i="79" s="1"/>
  <c r="AG334" i="79" s="1"/>
  <c r="AF340" i="79" s="1"/>
  <c r="BE165" i="79"/>
  <c r="BE167" i="79" s="1"/>
  <c r="BE325" i="79" s="1"/>
  <c r="BE334" i="79" s="1"/>
  <c r="BD340" i="79" s="1"/>
  <c r="BC165" i="79"/>
  <c r="BC167" i="79" s="1"/>
  <c r="BC325" i="79" s="1"/>
  <c r="BC334" i="79" s="1"/>
  <c r="DQ165" i="79"/>
  <c r="DQ167" i="79" s="1"/>
  <c r="DQ325" i="79" s="1"/>
  <c r="DQ334" i="79" s="1"/>
  <c r="DP340" i="79" s="1"/>
  <c r="FN165" i="79"/>
  <c r="H165" i="79"/>
  <c r="BN165" i="79"/>
  <c r="DA165" i="79"/>
  <c r="DA167" i="79" s="1"/>
  <c r="DA325" i="79" s="1"/>
  <c r="DA334" i="79" s="1"/>
  <c r="CZ340" i="79" s="1"/>
  <c r="AV165" i="79"/>
  <c r="EF165" i="79"/>
  <c r="DP165" i="79"/>
  <c r="X165" i="79"/>
  <c r="CB165" i="79"/>
  <c r="AF165" i="79"/>
  <c r="FL165" i="79"/>
  <c r="DX165" i="79"/>
  <c r="EV165" i="79"/>
  <c r="DH165" i="79"/>
  <c r="P165" i="79"/>
  <c r="CR165" i="79"/>
  <c r="CZ165" i="79"/>
  <c r="AN165" i="79"/>
  <c r="BL165" i="79"/>
  <c r="EN165" i="79"/>
  <c r="CJ165" i="79"/>
  <c r="CC165" i="79"/>
  <c r="CC167" i="79" s="1"/>
  <c r="CC325" i="79" s="1"/>
  <c r="CC334" i="79" s="1"/>
  <c r="CB340" i="79" s="1"/>
  <c r="EP165" i="79"/>
  <c r="AP165" i="79"/>
  <c r="CL165" i="79"/>
  <c r="BT165" i="79"/>
  <c r="EH165" i="79"/>
  <c r="BD165" i="79"/>
  <c r="DB165" i="79"/>
  <c r="R165" i="79"/>
  <c r="FD165" i="79"/>
  <c r="FC165" i="79"/>
  <c r="FC167" i="79" s="1"/>
  <c r="FC325" i="79" s="1"/>
  <c r="FC334" i="79" s="1"/>
  <c r="J46" i="77"/>
  <c r="H25" i="77"/>
  <c r="H26" i="77" s="1"/>
  <c r="E25" i="77"/>
  <c r="E26" i="77" s="1"/>
  <c r="F25" i="77"/>
  <c r="F26" i="77" s="1"/>
  <c r="B25" i="77"/>
  <c r="B26" i="77" s="1"/>
  <c r="G25" i="77"/>
  <c r="G26" i="77" s="1"/>
  <c r="I25" i="77"/>
  <c r="I26" i="77" s="1"/>
  <c r="J26" i="77"/>
  <c r="K25" i="83"/>
  <c r="K26" i="83" s="1"/>
  <c r="Z25" i="83"/>
  <c r="Z26" i="83" s="1"/>
  <c r="O25" i="83"/>
  <c r="O26" i="83" s="1"/>
  <c r="U25" i="83"/>
  <c r="U26" i="83" s="1"/>
  <c r="R25" i="83"/>
  <c r="R26" i="83" s="1"/>
  <c r="P25" i="83"/>
  <c r="P26" i="83" s="1"/>
  <c r="N25" i="83"/>
  <c r="N26" i="83" s="1"/>
  <c r="L25" i="83"/>
  <c r="L26" i="83" s="1"/>
  <c r="D25" i="83"/>
  <c r="D26" i="83" s="1"/>
  <c r="E25" i="83"/>
  <c r="E26" i="83" s="1"/>
  <c r="B25" i="83"/>
  <c r="B26" i="83" s="1"/>
  <c r="H25" i="83"/>
  <c r="H26" i="83" s="1"/>
  <c r="W25" i="83"/>
  <c r="W26" i="83" s="1"/>
  <c r="Q25" i="83"/>
  <c r="Q26" i="83" s="1"/>
  <c r="G25" i="83"/>
  <c r="G26" i="83" s="1"/>
  <c r="F25" i="83"/>
  <c r="F26" i="83" s="1"/>
  <c r="C25" i="83"/>
  <c r="C26" i="83" s="1"/>
  <c r="T25" i="83"/>
  <c r="T26" i="83" s="1"/>
  <c r="S25" i="83"/>
  <c r="S26" i="83" s="1"/>
  <c r="I25" i="83"/>
  <c r="I26" i="83" s="1"/>
  <c r="J25" i="83"/>
  <c r="J26" i="83" s="1"/>
  <c r="M25" i="83"/>
  <c r="M26" i="83" s="1"/>
  <c r="Y25" i="83"/>
  <c r="Y26" i="83" s="1"/>
  <c r="AA25" i="83"/>
  <c r="AA26" i="83" s="1"/>
  <c r="AA42" i="83" s="1"/>
  <c r="V25" i="83"/>
  <c r="V26" i="83" s="1"/>
  <c r="X25" i="83"/>
  <c r="X26" i="83" s="1"/>
  <c r="AA46" i="83" l="1"/>
  <c r="AA47" i="83" s="1"/>
  <c r="J42" i="77"/>
  <c r="J45" i="77" s="1"/>
  <c r="J47" i="77" s="1"/>
  <c r="AA43" i="83"/>
  <c r="F35" i="7" l="1"/>
  <c r="J43" i="77"/>
  <c r="F34" i="7" s="1"/>
  <c r="K34" i="7" s="1"/>
  <c r="J35" i="7"/>
  <c r="K35" i="7"/>
  <c r="H49" i="130"/>
  <c r="L122" i="13"/>
  <c r="H122" i="13" s="1"/>
  <c r="H122" i="85" s="1"/>
  <c r="J68" i="90" s="1"/>
  <c r="I34" i="7" l="1"/>
  <c r="H122" i="79"/>
  <c r="H122" i="80"/>
  <c r="H133" i="13"/>
  <c r="H135" i="13" l="1"/>
  <c r="H133" i="85"/>
  <c r="AF122" i="80"/>
  <c r="EN122" i="80"/>
  <c r="FD122" i="80"/>
  <c r="CB122" i="80"/>
  <c r="BT122" i="80"/>
  <c r="H133" i="80"/>
  <c r="H135" i="80" s="1"/>
  <c r="H161" i="80" s="1"/>
  <c r="H167" i="80" s="1"/>
  <c r="H325" i="80" s="1"/>
  <c r="CZ122" i="80"/>
  <c r="X122" i="80"/>
  <c r="AV122" i="80"/>
  <c r="FL122" i="80"/>
  <c r="AN122" i="80"/>
  <c r="CR122" i="80"/>
  <c r="EV122" i="80"/>
  <c r="EF122" i="80"/>
  <c r="BL122" i="80"/>
  <c r="DH122" i="80"/>
  <c r="DX122" i="80"/>
  <c r="BD122" i="80"/>
  <c r="P122" i="80"/>
  <c r="CJ122" i="80"/>
  <c r="DP122" i="80"/>
  <c r="AN122" i="79"/>
  <c r="CR122" i="79"/>
  <c r="BT122" i="79"/>
  <c r="DX122" i="79"/>
  <c r="FD122" i="79"/>
  <c r="BD122" i="79"/>
  <c r="AF122" i="79"/>
  <c r="DP122" i="79"/>
  <c r="P122" i="79"/>
  <c r="CJ122" i="79"/>
  <c r="BL122" i="79"/>
  <c r="EF122" i="79"/>
  <c r="AV122" i="79"/>
  <c r="H133" i="79"/>
  <c r="H135" i="79" s="1"/>
  <c r="H161" i="79" s="1"/>
  <c r="H167" i="79" s="1"/>
  <c r="H325" i="79" s="1"/>
  <c r="CB122" i="79"/>
  <c r="EN122" i="79"/>
  <c r="FL122" i="79"/>
  <c r="X122" i="79"/>
  <c r="CZ122" i="79"/>
  <c r="DH122" i="79"/>
  <c r="EV122" i="79"/>
  <c r="CT122" i="80" l="1"/>
  <c r="CT133" i="80" s="1"/>
  <c r="CT135" i="80" s="1"/>
  <c r="CT161" i="80" s="1"/>
  <c r="CT167" i="80" s="1"/>
  <c r="CT325" i="80" s="1"/>
  <c r="CR133" i="80"/>
  <c r="CR135" i="80" s="1"/>
  <c r="CR161" i="80" s="1"/>
  <c r="CR167" i="80" s="1"/>
  <c r="CR325" i="80" s="1"/>
  <c r="AN133" i="80"/>
  <c r="AN135" i="80" s="1"/>
  <c r="AN161" i="80" s="1"/>
  <c r="AN167" i="80" s="1"/>
  <c r="AN325" i="80" s="1"/>
  <c r="AP122" i="80"/>
  <c r="AP133" i="80" s="1"/>
  <c r="AP135" i="80" s="1"/>
  <c r="AP161" i="80" s="1"/>
  <c r="AP167" i="80" s="1"/>
  <c r="AP325" i="80" s="1"/>
  <c r="R122" i="79"/>
  <c r="R133" i="79" s="1"/>
  <c r="R135" i="79" s="1"/>
  <c r="R161" i="79" s="1"/>
  <c r="R167" i="79" s="1"/>
  <c r="R325" i="79" s="1"/>
  <c r="P133" i="79"/>
  <c r="P135" i="79" s="1"/>
  <c r="P161" i="79" s="1"/>
  <c r="P167" i="79" s="1"/>
  <c r="P325" i="79" s="1"/>
  <c r="FL133" i="80"/>
  <c r="FL135" i="80" s="1"/>
  <c r="FL161" i="80" s="1"/>
  <c r="FL167" i="80" s="1"/>
  <c r="FL325" i="80" s="1"/>
  <c r="FN122" i="80"/>
  <c r="FN133" i="80" s="1"/>
  <c r="FN135" i="80" s="1"/>
  <c r="FN161" i="80" s="1"/>
  <c r="FN167" i="80" s="1"/>
  <c r="FN325" i="80" s="1"/>
  <c r="EH122" i="80"/>
  <c r="EH133" i="80" s="1"/>
  <c r="EH135" i="80" s="1"/>
  <c r="EH161" i="80" s="1"/>
  <c r="EH167" i="80" s="1"/>
  <c r="EH325" i="80" s="1"/>
  <c r="EF133" i="80"/>
  <c r="EF135" i="80" s="1"/>
  <c r="EF161" i="80" s="1"/>
  <c r="EF167" i="80" s="1"/>
  <c r="EF325" i="80" s="1"/>
  <c r="DX133" i="79"/>
  <c r="DX135" i="79" s="1"/>
  <c r="DX161" i="79" s="1"/>
  <c r="DX167" i="79" s="1"/>
  <c r="DX325" i="79" s="1"/>
  <c r="DZ122" i="79"/>
  <c r="DZ133" i="79" s="1"/>
  <c r="DZ135" i="79" s="1"/>
  <c r="DZ161" i="79" s="1"/>
  <c r="DZ167" i="79" s="1"/>
  <c r="DZ325" i="79" s="1"/>
  <c r="AV133" i="80"/>
  <c r="AV135" i="80" s="1"/>
  <c r="AV161" i="80" s="1"/>
  <c r="AV167" i="80" s="1"/>
  <c r="AV325" i="80" s="1"/>
  <c r="AX122" i="80"/>
  <c r="AX133" i="80" s="1"/>
  <c r="AX135" i="80" s="1"/>
  <c r="AX161" i="80" s="1"/>
  <c r="AX167" i="80" s="1"/>
  <c r="AX325" i="80" s="1"/>
  <c r="EV133" i="79"/>
  <c r="EV135" i="79" s="1"/>
  <c r="EV161" i="79" s="1"/>
  <c r="EV167" i="79" s="1"/>
  <c r="EV325" i="79" s="1"/>
  <c r="EX122" i="79"/>
  <c r="EX133" i="79" s="1"/>
  <c r="EX135" i="79" s="1"/>
  <c r="EX161" i="79" s="1"/>
  <c r="EX167" i="79" s="1"/>
  <c r="EX325" i="79" s="1"/>
  <c r="BV122" i="79"/>
  <c r="BV133" i="79" s="1"/>
  <c r="BV135" i="79" s="1"/>
  <c r="BV161" i="79" s="1"/>
  <c r="BV167" i="79" s="1"/>
  <c r="BV325" i="79" s="1"/>
  <c r="BT133" i="79"/>
  <c r="BT135" i="79" s="1"/>
  <c r="BT161" i="79" s="1"/>
  <c r="BT167" i="79" s="1"/>
  <c r="BT325" i="79" s="1"/>
  <c r="Z122" i="80"/>
  <c r="Z133" i="80" s="1"/>
  <c r="Z135" i="80" s="1"/>
  <c r="Z161" i="80" s="1"/>
  <c r="Z167" i="80" s="1"/>
  <c r="Z325" i="80" s="1"/>
  <c r="X133" i="80"/>
  <c r="X135" i="80" s="1"/>
  <c r="X161" i="80" s="1"/>
  <c r="X167" i="80" s="1"/>
  <c r="X325" i="80" s="1"/>
  <c r="FD133" i="79"/>
  <c r="FD135" i="79" s="1"/>
  <c r="FD161" i="79" s="1"/>
  <c r="FD167" i="79" s="1"/>
  <c r="FD325" i="79" s="1"/>
  <c r="FF122" i="79"/>
  <c r="FF133" i="79" s="1"/>
  <c r="FF135" i="79" s="1"/>
  <c r="FF161" i="79" s="1"/>
  <c r="FF167" i="79" s="1"/>
  <c r="FF325" i="79" s="1"/>
  <c r="Z122" i="79"/>
  <c r="Z133" i="79" s="1"/>
  <c r="Z135" i="79" s="1"/>
  <c r="Z161" i="79" s="1"/>
  <c r="Z167" i="79" s="1"/>
  <c r="Z325" i="79" s="1"/>
  <c r="X133" i="79"/>
  <c r="X135" i="79" s="1"/>
  <c r="X161" i="79" s="1"/>
  <c r="X167" i="79" s="1"/>
  <c r="X325" i="79" s="1"/>
  <c r="CR133" i="79"/>
  <c r="CR135" i="79" s="1"/>
  <c r="CR161" i="79" s="1"/>
  <c r="CR167" i="79" s="1"/>
  <c r="CR325" i="79" s="1"/>
  <c r="CT122" i="79"/>
  <c r="CT133" i="79" s="1"/>
  <c r="CT135" i="79" s="1"/>
  <c r="CT161" i="79" s="1"/>
  <c r="CT167" i="79" s="1"/>
  <c r="CT325" i="79" s="1"/>
  <c r="CZ133" i="80"/>
  <c r="CZ135" i="80" s="1"/>
  <c r="CZ161" i="80" s="1"/>
  <c r="CZ167" i="80" s="1"/>
  <c r="CZ325" i="80" s="1"/>
  <c r="DB122" i="80"/>
  <c r="DB133" i="80" s="1"/>
  <c r="DB135" i="80" s="1"/>
  <c r="DB161" i="80" s="1"/>
  <c r="DB167" i="80" s="1"/>
  <c r="DB325" i="80" s="1"/>
  <c r="DB122" i="79"/>
  <c r="DB133" i="79" s="1"/>
  <c r="DB135" i="79" s="1"/>
  <c r="DB161" i="79" s="1"/>
  <c r="DB167" i="79" s="1"/>
  <c r="DB325" i="79" s="1"/>
  <c r="CZ133" i="79"/>
  <c r="CZ135" i="79" s="1"/>
  <c r="CZ161" i="79" s="1"/>
  <c r="CZ167" i="79" s="1"/>
  <c r="CZ325" i="79" s="1"/>
  <c r="DR122" i="79"/>
  <c r="DR133" i="79" s="1"/>
  <c r="DR135" i="79" s="1"/>
  <c r="DR161" i="79" s="1"/>
  <c r="DR167" i="79" s="1"/>
  <c r="DR325" i="79" s="1"/>
  <c r="DP133" i="79"/>
  <c r="DP135" i="79" s="1"/>
  <c r="DP161" i="79" s="1"/>
  <c r="DP167" i="79" s="1"/>
  <c r="DP325" i="79" s="1"/>
  <c r="AN133" i="79"/>
  <c r="AN135" i="79" s="1"/>
  <c r="AN161" i="79" s="1"/>
  <c r="AN167" i="79" s="1"/>
  <c r="AN325" i="79" s="1"/>
  <c r="AP122" i="79"/>
  <c r="AP133" i="79" s="1"/>
  <c r="AP135" i="79" s="1"/>
  <c r="AP161" i="79" s="1"/>
  <c r="AP167" i="79" s="1"/>
  <c r="AP325" i="79" s="1"/>
  <c r="EP122" i="79"/>
  <c r="EP133" i="79" s="1"/>
  <c r="EP135" i="79" s="1"/>
  <c r="EP161" i="79" s="1"/>
  <c r="EP167" i="79" s="1"/>
  <c r="EP325" i="79" s="1"/>
  <c r="EN133" i="79"/>
  <c r="EN135" i="79" s="1"/>
  <c r="EN161" i="79" s="1"/>
  <c r="EN167" i="79" s="1"/>
  <c r="EN325" i="79" s="1"/>
  <c r="DP133" i="80"/>
  <c r="DP135" i="80" s="1"/>
  <c r="DP161" i="80" s="1"/>
  <c r="DP167" i="80" s="1"/>
  <c r="DP325" i="80" s="1"/>
  <c r="DR122" i="80"/>
  <c r="DR133" i="80" s="1"/>
  <c r="DR135" i="80" s="1"/>
  <c r="DR161" i="80" s="1"/>
  <c r="DR167" i="80" s="1"/>
  <c r="DR325" i="80" s="1"/>
  <c r="BT133" i="80"/>
  <c r="BT135" i="80" s="1"/>
  <c r="BT161" i="80" s="1"/>
  <c r="BT167" i="80" s="1"/>
  <c r="BT325" i="80" s="1"/>
  <c r="BV122" i="80"/>
  <c r="BV133" i="80" s="1"/>
  <c r="BV135" i="80" s="1"/>
  <c r="BV161" i="80" s="1"/>
  <c r="BV167" i="80" s="1"/>
  <c r="BV325" i="80" s="1"/>
  <c r="EX122" i="80"/>
  <c r="EX133" i="80" s="1"/>
  <c r="EX135" i="80" s="1"/>
  <c r="EX161" i="80" s="1"/>
  <c r="EX167" i="80" s="1"/>
  <c r="EX325" i="80" s="1"/>
  <c r="EV133" i="80"/>
  <c r="EV135" i="80" s="1"/>
  <c r="EV161" i="80" s="1"/>
  <c r="EV167" i="80" s="1"/>
  <c r="EV325" i="80" s="1"/>
  <c r="CD122" i="79"/>
  <c r="CD133" i="79" s="1"/>
  <c r="CD135" i="79" s="1"/>
  <c r="CD161" i="79" s="1"/>
  <c r="CD167" i="79" s="1"/>
  <c r="CD325" i="79" s="1"/>
  <c r="CB133" i="79"/>
  <c r="CB135" i="79" s="1"/>
  <c r="CB161" i="79" s="1"/>
  <c r="CB167" i="79" s="1"/>
  <c r="CB325" i="79" s="1"/>
  <c r="R122" i="80"/>
  <c r="R133" i="80" s="1"/>
  <c r="R135" i="80" s="1"/>
  <c r="R161" i="80" s="1"/>
  <c r="R167" i="80" s="1"/>
  <c r="R325" i="80" s="1"/>
  <c r="P133" i="80"/>
  <c r="P135" i="80" s="1"/>
  <c r="P161" i="80" s="1"/>
  <c r="P167" i="80" s="1"/>
  <c r="P325" i="80" s="1"/>
  <c r="FD133" i="80"/>
  <c r="FD135" i="80" s="1"/>
  <c r="FD161" i="80" s="1"/>
  <c r="FD167" i="80" s="1"/>
  <c r="FD325" i="80" s="1"/>
  <c r="FF122" i="80"/>
  <c r="FF133" i="80" s="1"/>
  <c r="FF135" i="80" s="1"/>
  <c r="FF161" i="80" s="1"/>
  <c r="FF167" i="80" s="1"/>
  <c r="FF325" i="80" s="1"/>
  <c r="DJ122" i="79"/>
  <c r="DJ133" i="79" s="1"/>
  <c r="DJ135" i="79" s="1"/>
  <c r="DJ161" i="79" s="1"/>
  <c r="DJ167" i="79" s="1"/>
  <c r="DJ325" i="79" s="1"/>
  <c r="DH133" i="79"/>
  <c r="DH135" i="79" s="1"/>
  <c r="DH161" i="79" s="1"/>
  <c r="DH167" i="79" s="1"/>
  <c r="DH325" i="79" s="1"/>
  <c r="CL122" i="80"/>
  <c r="CL133" i="80" s="1"/>
  <c r="CL135" i="80" s="1"/>
  <c r="CL161" i="80" s="1"/>
  <c r="CL167" i="80" s="1"/>
  <c r="CL325" i="80" s="1"/>
  <c r="CJ133" i="80"/>
  <c r="CJ135" i="80" s="1"/>
  <c r="CJ161" i="80" s="1"/>
  <c r="CJ167" i="80" s="1"/>
  <c r="CJ325" i="80" s="1"/>
  <c r="BF122" i="80"/>
  <c r="BF133" i="80" s="1"/>
  <c r="BF135" i="80" s="1"/>
  <c r="BF161" i="80" s="1"/>
  <c r="BF167" i="80" s="1"/>
  <c r="BF325" i="80" s="1"/>
  <c r="BD133" i="80"/>
  <c r="BD135" i="80" s="1"/>
  <c r="BD161" i="80" s="1"/>
  <c r="BD167" i="80" s="1"/>
  <c r="BD325" i="80" s="1"/>
  <c r="EN133" i="80"/>
  <c r="EN135" i="80" s="1"/>
  <c r="EN161" i="80" s="1"/>
  <c r="EN167" i="80" s="1"/>
  <c r="EN325" i="80" s="1"/>
  <c r="EP122" i="80"/>
  <c r="EP133" i="80" s="1"/>
  <c r="EP135" i="80" s="1"/>
  <c r="EP161" i="80" s="1"/>
  <c r="EP167" i="80" s="1"/>
  <c r="EP325" i="80" s="1"/>
  <c r="BD133" i="79"/>
  <c r="BD135" i="79" s="1"/>
  <c r="BD161" i="79" s="1"/>
  <c r="BD167" i="79" s="1"/>
  <c r="BD325" i="79" s="1"/>
  <c r="BF122" i="79"/>
  <c r="BF133" i="79" s="1"/>
  <c r="BF135" i="79" s="1"/>
  <c r="BF161" i="79" s="1"/>
  <c r="BF167" i="79" s="1"/>
  <c r="BF325" i="79" s="1"/>
  <c r="CB133" i="80"/>
  <c r="CB135" i="80" s="1"/>
  <c r="CB161" i="80" s="1"/>
  <c r="CB167" i="80" s="1"/>
  <c r="CB325" i="80" s="1"/>
  <c r="CD122" i="80"/>
  <c r="CD133" i="80" s="1"/>
  <c r="CD135" i="80" s="1"/>
  <c r="CD161" i="80" s="1"/>
  <c r="CD167" i="80" s="1"/>
  <c r="CD325" i="80" s="1"/>
  <c r="EH122" i="79"/>
  <c r="EH133" i="79" s="1"/>
  <c r="EH135" i="79" s="1"/>
  <c r="EH161" i="79" s="1"/>
  <c r="EH167" i="79" s="1"/>
  <c r="EH325" i="79" s="1"/>
  <c r="EF133" i="79"/>
  <c r="EF135" i="79" s="1"/>
  <c r="EF161" i="79" s="1"/>
  <c r="EF167" i="79" s="1"/>
  <c r="EF325" i="79" s="1"/>
  <c r="DZ122" i="80"/>
  <c r="DZ133" i="80" s="1"/>
  <c r="DZ135" i="80" s="1"/>
  <c r="DZ161" i="80" s="1"/>
  <c r="DZ167" i="80" s="1"/>
  <c r="DZ325" i="80" s="1"/>
  <c r="DX133" i="80"/>
  <c r="DX135" i="80" s="1"/>
  <c r="DX161" i="80" s="1"/>
  <c r="DX167" i="80" s="1"/>
  <c r="DX325" i="80" s="1"/>
  <c r="AF133" i="80"/>
  <c r="AF135" i="80" s="1"/>
  <c r="AF161" i="80" s="1"/>
  <c r="AF167" i="80" s="1"/>
  <c r="AF325" i="80" s="1"/>
  <c r="AH122" i="80"/>
  <c r="AH133" i="80" s="1"/>
  <c r="AH135" i="80" s="1"/>
  <c r="AH161" i="80" s="1"/>
  <c r="AH167" i="80" s="1"/>
  <c r="AH325" i="80" s="1"/>
  <c r="BL133" i="79"/>
  <c r="BL135" i="79" s="1"/>
  <c r="BL161" i="79" s="1"/>
  <c r="BL167" i="79" s="1"/>
  <c r="BL325" i="79" s="1"/>
  <c r="BN122" i="79"/>
  <c r="BN133" i="79" s="1"/>
  <c r="BN135" i="79" s="1"/>
  <c r="BN161" i="79" s="1"/>
  <c r="BN167" i="79" s="1"/>
  <c r="BN325" i="79" s="1"/>
  <c r="DJ122" i="80"/>
  <c r="DJ133" i="80" s="1"/>
  <c r="DJ135" i="80" s="1"/>
  <c r="DJ161" i="80" s="1"/>
  <c r="DJ167" i="80" s="1"/>
  <c r="DJ325" i="80" s="1"/>
  <c r="DH133" i="80"/>
  <c r="DH135" i="80" s="1"/>
  <c r="DH161" i="80" s="1"/>
  <c r="DH167" i="80" s="1"/>
  <c r="DH325" i="80" s="1"/>
  <c r="AF133" i="79"/>
  <c r="AF135" i="79" s="1"/>
  <c r="AF161" i="79" s="1"/>
  <c r="AF167" i="79" s="1"/>
  <c r="AF325" i="79" s="1"/>
  <c r="AH122" i="79"/>
  <c r="AH133" i="79" s="1"/>
  <c r="AH135" i="79" s="1"/>
  <c r="AH161" i="79" s="1"/>
  <c r="AH167" i="79" s="1"/>
  <c r="AH325" i="79" s="1"/>
  <c r="FN122" i="79"/>
  <c r="FN133" i="79" s="1"/>
  <c r="FN135" i="79" s="1"/>
  <c r="FN161" i="79" s="1"/>
  <c r="FN167" i="79" s="1"/>
  <c r="FN325" i="79" s="1"/>
  <c r="FL133" i="79"/>
  <c r="FL135" i="79" s="1"/>
  <c r="FL161" i="79" s="1"/>
  <c r="FL167" i="79" s="1"/>
  <c r="FL325" i="79" s="1"/>
  <c r="AX122" i="79"/>
  <c r="AX133" i="79" s="1"/>
  <c r="AX135" i="79" s="1"/>
  <c r="AX161" i="79" s="1"/>
  <c r="AX167" i="79" s="1"/>
  <c r="AX325" i="79" s="1"/>
  <c r="AV133" i="79"/>
  <c r="AV135" i="79" s="1"/>
  <c r="AV161" i="79" s="1"/>
  <c r="AV167" i="79" s="1"/>
  <c r="AV325" i="79" s="1"/>
  <c r="CJ133" i="79"/>
  <c r="CJ135" i="79" s="1"/>
  <c r="CJ161" i="79" s="1"/>
  <c r="CJ167" i="79" s="1"/>
  <c r="CJ325" i="79" s="1"/>
  <c r="CL122" i="79"/>
  <c r="CL133" i="79" s="1"/>
  <c r="CL135" i="79" s="1"/>
  <c r="CL161" i="79" s="1"/>
  <c r="CL167" i="79" s="1"/>
  <c r="CL325" i="79" s="1"/>
  <c r="BN122" i="80"/>
  <c r="BN133" i="80" s="1"/>
  <c r="BN135" i="80" s="1"/>
  <c r="BN161" i="80" s="1"/>
  <c r="BN167" i="80" s="1"/>
  <c r="BN325" i="80" s="1"/>
  <c r="BL133" i="80"/>
  <c r="BL135" i="80" s="1"/>
  <c r="BL161" i="80" s="1"/>
  <c r="BL167" i="80" s="1"/>
  <c r="BL325" i="80" s="1"/>
  <c r="H161" i="13"/>
  <c r="H135" i="85"/>
  <c r="F40" i="36" l="1"/>
  <c r="F42" i="36" s="1"/>
  <c r="F96" i="36"/>
  <c r="F98" i="36" s="1"/>
  <c r="H167" i="85" s="1"/>
  <c r="J95" i="90" s="1"/>
  <c r="H161" i="85"/>
  <c r="F123" i="36"/>
  <c r="F125" i="36" s="1"/>
  <c r="D16" i="7" l="1"/>
  <c r="H325" i="85" l="1"/>
  <c r="H302" i="136"/>
  <c r="I303" i="136" s="1"/>
  <c r="I293" i="136"/>
  <c r="E293" i="136"/>
  <c r="E302" i="136" s="1"/>
  <c r="L16" i="27" s="1"/>
  <c r="H16" i="27" s="1"/>
  <c r="H292" i="79" s="1"/>
  <c r="J302" i="136" l="1"/>
  <c r="P292" i="79"/>
  <c r="CZ292" i="79"/>
  <c r="DH292" i="79"/>
  <c r="CB292" i="79"/>
  <c r="DP292" i="79"/>
  <c r="X292" i="79"/>
  <c r="CR292" i="79"/>
  <c r="AV292" i="79"/>
  <c r="EV292" i="79"/>
  <c r="FD292" i="79"/>
  <c r="FL292" i="79"/>
  <c r="EF292" i="79"/>
  <c r="CJ292" i="79"/>
  <c r="BT292" i="79"/>
  <c r="H298" i="79"/>
  <c r="H315" i="79" s="1"/>
  <c r="H331" i="79" s="1"/>
  <c r="H334" i="79" s="1"/>
  <c r="H339" i="79" s="1"/>
  <c r="BL292" i="79"/>
  <c r="BD292" i="79"/>
  <c r="AN292" i="79"/>
  <c r="AF292" i="79"/>
  <c r="EN292" i="79"/>
  <c r="DX292" i="79"/>
  <c r="H292" i="80"/>
  <c r="H292" i="85"/>
  <c r="J162" i="90" s="1"/>
  <c r="H22" i="27"/>
  <c r="BV292" i="79" l="1"/>
  <c r="BV298" i="79" s="1"/>
  <c r="BV315" i="79" s="1"/>
  <c r="BV331" i="79" s="1"/>
  <c r="BV334" i="79" s="1"/>
  <c r="BT298" i="79"/>
  <c r="BT315" i="79" s="1"/>
  <c r="BT331" i="79" s="1"/>
  <c r="BT334" i="79" s="1"/>
  <c r="BT339" i="79" s="1"/>
  <c r="AF298" i="79"/>
  <c r="AF315" i="79" s="1"/>
  <c r="AF331" i="79" s="1"/>
  <c r="AF334" i="79" s="1"/>
  <c r="AF339" i="79" s="1"/>
  <c r="AH292" i="79"/>
  <c r="AH298" i="79" s="1"/>
  <c r="AH315" i="79" s="1"/>
  <c r="AH331" i="79" s="1"/>
  <c r="AH334" i="79" s="1"/>
  <c r="BL298" i="79"/>
  <c r="BL315" i="79" s="1"/>
  <c r="BL331" i="79" s="1"/>
  <c r="BL334" i="79" s="1"/>
  <c r="BL339" i="79" s="1"/>
  <c r="BN292" i="79"/>
  <c r="BN298" i="79" s="1"/>
  <c r="BN315" i="79" s="1"/>
  <c r="BN331" i="79" s="1"/>
  <c r="BN334" i="79" s="1"/>
  <c r="CL292" i="79"/>
  <c r="CL298" i="79" s="1"/>
  <c r="CL315" i="79" s="1"/>
  <c r="CL331" i="79" s="1"/>
  <c r="CL334" i="79" s="1"/>
  <c r="CJ298" i="79"/>
  <c r="CJ315" i="79" s="1"/>
  <c r="CJ331" i="79" s="1"/>
  <c r="CJ334" i="79" s="1"/>
  <c r="CJ339" i="79" s="1"/>
  <c r="EH292" i="79"/>
  <c r="EH298" i="79" s="1"/>
  <c r="EH315" i="79" s="1"/>
  <c r="EH331" i="79" s="1"/>
  <c r="EH334" i="79" s="1"/>
  <c r="EF298" i="79"/>
  <c r="EF315" i="79" s="1"/>
  <c r="EF331" i="79" s="1"/>
  <c r="EF334" i="79" s="1"/>
  <c r="EF339" i="79" s="1"/>
  <c r="FD298" i="79"/>
  <c r="FD315" i="79" s="1"/>
  <c r="FD331" i="79" s="1"/>
  <c r="FD334" i="79" s="1"/>
  <c r="FD339" i="79" s="1"/>
  <c r="FF292" i="79"/>
  <c r="FF298" i="79" s="1"/>
  <c r="FF315" i="79" s="1"/>
  <c r="FF331" i="79" s="1"/>
  <c r="FF334" i="79" s="1"/>
  <c r="EX292" i="79"/>
  <c r="EX298" i="79" s="1"/>
  <c r="EX315" i="79" s="1"/>
  <c r="EX331" i="79" s="1"/>
  <c r="EX334" i="79" s="1"/>
  <c r="EV298" i="79"/>
  <c r="EV315" i="79" s="1"/>
  <c r="EV331" i="79" s="1"/>
  <c r="EV334" i="79" s="1"/>
  <c r="EV339" i="79" s="1"/>
  <c r="AV298" i="79"/>
  <c r="AV315" i="79" s="1"/>
  <c r="AV331" i="79" s="1"/>
  <c r="AV334" i="79" s="1"/>
  <c r="AV339" i="79" s="1"/>
  <c r="AX292" i="79"/>
  <c r="AX298" i="79" s="1"/>
  <c r="AX315" i="79" s="1"/>
  <c r="AX331" i="79" s="1"/>
  <c r="AX334" i="79" s="1"/>
  <c r="CT292" i="79"/>
  <c r="CT298" i="79" s="1"/>
  <c r="CT315" i="79" s="1"/>
  <c r="CT331" i="79" s="1"/>
  <c r="CT334" i="79" s="1"/>
  <c r="CR298" i="79"/>
  <c r="CR315" i="79" s="1"/>
  <c r="CR331" i="79" s="1"/>
  <c r="CR334" i="79" s="1"/>
  <c r="CR339" i="79" s="1"/>
  <c r="X298" i="79"/>
  <c r="X315" i="79" s="1"/>
  <c r="X331" i="79" s="1"/>
  <c r="X334" i="79" s="1"/>
  <c r="X339" i="79" s="1"/>
  <c r="Z292" i="79"/>
  <c r="Z298" i="79" s="1"/>
  <c r="Z315" i="79" s="1"/>
  <c r="Z331" i="79" s="1"/>
  <c r="Z334" i="79" s="1"/>
  <c r="EN298" i="79"/>
  <c r="EN315" i="79" s="1"/>
  <c r="EN331" i="79" s="1"/>
  <c r="EN334" i="79" s="1"/>
  <c r="EN339" i="79" s="1"/>
  <c r="EP292" i="79"/>
  <c r="EP298" i="79" s="1"/>
  <c r="EP315" i="79" s="1"/>
  <c r="EP331" i="79" s="1"/>
  <c r="EP334" i="79" s="1"/>
  <c r="DB292" i="79"/>
  <c r="DB298" i="79" s="1"/>
  <c r="DB315" i="79" s="1"/>
  <c r="DB331" i="79" s="1"/>
  <c r="DB334" i="79" s="1"/>
  <c r="CZ298" i="79"/>
  <c r="CZ315" i="79" s="1"/>
  <c r="CZ331" i="79" s="1"/>
  <c r="CZ334" i="79" s="1"/>
  <c r="CZ339" i="79" s="1"/>
  <c r="FN292" i="79"/>
  <c r="FN298" i="79" s="1"/>
  <c r="FN315" i="79" s="1"/>
  <c r="FN331" i="79" s="1"/>
  <c r="FN334" i="79" s="1"/>
  <c r="FL298" i="79"/>
  <c r="FL315" i="79" s="1"/>
  <c r="FL331" i="79" s="1"/>
  <c r="FL334" i="79" s="1"/>
  <c r="FL339" i="79" s="1"/>
  <c r="H298" i="85"/>
  <c r="H39" i="27"/>
  <c r="BD292" i="80"/>
  <c r="X292" i="80"/>
  <c r="AN292" i="80"/>
  <c r="DH292" i="80"/>
  <c r="FL292" i="80"/>
  <c r="CJ292" i="80"/>
  <c r="FD292" i="80"/>
  <c r="DP292" i="80"/>
  <c r="EF292" i="80"/>
  <c r="CZ292" i="80"/>
  <c r="EN292" i="80"/>
  <c r="CB292" i="80"/>
  <c r="EV292" i="80"/>
  <c r="H298" i="80"/>
  <c r="H315" i="80" s="1"/>
  <c r="H331" i="80" s="1"/>
  <c r="H334" i="80" s="1"/>
  <c r="H339" i="80" s="1"/>
  <c r="BT292" i="80"/>
  <c r="AV292" i="80"/>
  <c r="DX292" i="80"/>
  <c r="P292" i="80"/>
  <c r="CR292" i="80"/>
  <c r="BL292" i="80"/>
  <c r="AF292" i="80"/>
  <c r="DX298" i="79"/>
  <c r="DX315" i="79" s="1"/>
  <c r="DX331" i="79" s="1"/>
  <c r="DX334" i="79" s="1"/>
  <c r="DX339" i="79" s="1"/>
  <c r="DZ292" i="79"/>
  <c r="DZ298" i="79" s="1"/>
  <c r="DZ315" i="79" s="1"/>
  <c r="DZ331" i="79" s="1"/>
  <c r="DZ334" i="79" s="1"/>
  <c r="DR292" i="79"/>
  <c r="DR298" i="79" s="1"/>
  <c r="DR315" i="79" s="1"/>
  <c r="DR331" i="79" s="1"/>
  <c r="DR334" i="79" s="1"/>
  <c r="DP298" i="79"/>
  <c r="DP315" i="79" s="1"/>
  <c r="DP331" i="79" s="1"/>
  <c r="DP334" i="79" s="1"/>
  <c r="DP339" i="79" s="1"/>
  <c r="CB298" i="79"/>
  <c r="CB315" i="79" s="1"/>
  <c r="CB331" i="79" s="1"/>
  <c r="CB334" i="79" s="1"/>
  <c r="CB339" i="79" s="1"/>
  <c r="CD292" i="79"/>
  <c r="CD298" i="79" s="1"/>
  <c r="CD315" i="79" s="1"/>
  <c r="CD331" i="79" s="1"/>
  <c r="CD334" i="79" s="1"/>
  <c r="DH298" i="79"/>
  <c r="DH315" i="79" s="1"/>
  <c r="DH331" i="79" s="1"/>
  <c r="DH334" i="79" s="1"/>
  <c r="DH339" i="79" s="1"/>
  <c r="DJ292" i="79"/>
  <c r="DJ298" i="79" s="1"/>
  <c r="DJ315" i="79" s="1"/>
  <c r="DJ331" i="79" s="1"/>
  <c r="DJ334" i="79" s="1"/>
  <c r="AP292" i="79"/>
  <c r="AP298" i="79" s="1"/>
  <c r="AP315" i="79" s="1"/>
  <c r="AP331" i="79" s="1"/>
  <c r="AP334" i="79" s="1"/>
  <c r="AN298" i="79"/>
  <c r="AN315" i="79" s="1"/>
  <c r="AN331" i="79" s="1"/>
  <c r="AN334" i="79" s="1"/>
  <c r="AN339" i="79" s="1"/>
  <c r="BD298" i="79"/>
  <c r="BD315" i="79" s="1"/>
  <c r="BD331" i="79" s="1"/>
  <c r="BD334" i="79" s="1"/>
  <c r="BD339" i="79" s="1"/>
  <c r="BF292" i="79"/>
  <c r="BF298" i="79" s="1"/>
  <c r="BF315" i="79" s="1"/>
  <c r="BF331" i="79" s="1"/>
  <c r="BF334" i="79" s="1"/>
  <c r="R292" i="79"/>
  <c r="R298" i="79" s="1"/>
  <c r="R315" i="79" s="1"/>
  <c r="R331" i="79" s="1"/>
  <c r="R334" i="79" s="1"/>
  <c r="P298" i="79"/>
  <c r="P315" i="79" s="1"/>
  <c r="P331" i="79" s="1"/>
  <c r="P334" i="79" s="1"/>
  <c r="P339" i="79" s="1"/>
  <c r="CR298" i="80" l="1"/>
  <c r="CR315" i="80" s="1"/>
  <c r="CR331" i="80" s="1"/>
  <c r="CR334" i="80" s="1"/>
  <c r="CR339" i="80" s="1"/>
  <c r="CT292" i="80"/>
  <c r="CT298" i="80" s="1"/>
  <c r="CT315" i="80" s="1"/>
  <c r="CT331" i="80" s="1"/>
  <c r="CT334" i="80" s="1"/>
  <c r="BD298" i="80"/>
  <c r="BD315" i="80" s="1"/>
  <c r="BD331" i="80" s="1"/>
  <c r="BD334" i="80" s="1"/>
  <c r="BD339" i="80" s="1"/>
  <c r="BF292" i="80"/>
  <c r="BF298" i="80" s="1"/>
  <c r="BF315" i="80" s="1"/>
  <c r="BF331" i="80" s="1"/>
  <c r="BF334" i="80" s="1"/>
  <c r="EN298" i="80"/>
  <c r="EN315" i="80" s="1"/>
  <c r="EN331" i="80" s="1"/>
  <c r="EN334" i="80" s="1"/>
  <c r="EN339" i="80" s="1"/>
  <c r="EP292" i="80"/>
  <c r="EP298" i="80" s="1"/>
  <c r="EP315" i="80" s="1"/>
  <c r="EP331" i="80" s="1"/>
  <c r="EP334" i="80" s="1"/>
  <c r="BV292" i="80"/>
  <c r="BV298" i="80" s="1"/>
  <c r="BV315" i="80" s="1"/>
  <c r="BV331" i="80" s="1"/>
  <c r="BV334" i="80" s="1"/>
  <c r="BT298" i="80"/>
  <c r="BT315" i="80" s="1"/>
  <c r="BT331" i="80" s="1"/>
  <c r="BT334" i="80" s="1"/>
  <c r="BT339" i="80" s="1"/>
  <c r="P298" i="80"/>
  <c r="P315" i="80" s="1"/>
  <c r="P331" i="80" s="1"/>
  <c r="P334" i="80" s="1"/>
  <c r="P339" i="80" s="1"/>
  <c r="R292" i="80"/>
  <c r="R298" i="80" s="1"/>
  <c r="R315" i="80" s="1"/>
  <c r="R331" i="80" s="1"/>
  <c r="R334" i="80" s="1"/>
  <c r="AV298" i="80"/>
  <c r="AV315" i="80" s="1"/>
  <c r="AV331" i="80" s="1"/>
  <c r="AV334" i="80" s="1"/>
  <c r="AV339" i="80" s="1"/>
  <c r="AX292" i="80"/>
  <c r="AX298" i="80" s="1"/>
  <c r="AX315" i="80" s="1"/>
  <c r="AX331" i="80" s="1"/>
  <c r="AX334" i="80" s="1"/>
  <c r="DB292" i="80"/>
  <c r="DB298" i="80" s="1"/>
  <c r="DB315" i="80" s="1"/>
  <c r="DB331" i="80" s="1"/>
  <c r="DB334" i="80" s="1"/>
  <c r="CZ298" i="80"/>
  <c r="CZ315" i="80" s="1"/>
  <c r="CZ331" i="80" s="1"/>
  <c r="CZ334" i="80" s="1"/>
  <c r="CZ339" i="80" s="1"/>
  <c r="FF292" i="80"/>
  <c r="FF298" i="80" s="1"/>
  <c r="FF315" i="80" s="1"/>
  <c r="FF331" i="80" s="1"/>
  <c r="FF334" i="80" s="1"/>
  <c r="FD298" i="80"/>
  <c r="FD315" i="80" s="1"/>
  <c r="FD331" i="80" s="1"/>
  <c r="FD334" i="80" s="1"/>
  <c r="FD339" i="80" s="1"/>
  <c r="Z292" i="80"/>
  <c r="Z298" i="80" s="1"/>
  <c r="Z315" i="80" s="1"/>
  <c r="Z331" i="80" s="1"/>
  <c r="Z334" i="80" s="1"/>
  <c r="X298" i="80"/>
  <c r="X315" i="80" s="1"/>
  <c r="X331" i="80" s="1"/>
  <c r="X334" i="80" s="1"/>
  <c r="X339" i="80" s="1"/>
  <c r="H315" i="85"/>
  <c r="D22" i="7"/>
  <c r="EH292" i="80"/>
  <c r="EH298" i="80" s="1"/>
  <c r="EH315" i="80" s="1"/>
  <c r="EH331" i="80" s="1"/>
  <c r="EH334" i="80" s="1"/>
  <c r="EF298" i="80"/>
  <c r="EF315" i="80" s="1"/>
  <c r="EF331" i="80" s="1"/>
  <c r="EF334" i="80" s="1"/>
  <c r="EF339" i="80" s="1"/>
  <c r="AN298" i="80"/>
  <c r="AN315" i="80" s="1"/>
  <c r="AN331" i="80" s="1"/>
  <c r="AN334" i="80" s="1"/>
  <c r="AN339" i="80" s="1"/>
  <c r="AP292" i="80"/>
  <c r="AP298" i="80" s="1"/>
  <c r="AP315" i="80" s="1"/>
  <c r="AP331" i="80" s="1"/>
  <c r="AP334" i="80" s="1"/>
  <c r="DZ292" i="80"/>
  <c r="DZ298" i="80" s="1"/>
  <c r="DZ315" i="80" s="1"/>
  <c r="DZ331" i="80" s="1"/>
  <c r="DZ334" i="80" s="1"/>
  <c r="DX298" i="80"/>
  <c r="DX315" i="80" s="1"/>
  <c r="DX331" i="80" s="1"/>
  <c r="DX334" i="80" s="1"/>
  <c r="DX339" i="80" s="1"/>
  <c r="FL298" i="80"/>
  <c r="FL315" i="80" s="1"/>
  <c r="FL331" i="80" s="1"/>
  <c r="FL334" i="80" s="1"/>
  <c r="FL339" i="80" s="1"/>
  <c r="FN292" i="80"/>
  <c r="FN298" i="80" s="1"/>
  <c r="FN315" i="80" s="1"/>
  <c r="FN331" i="80" s="1"/>
  <c r="FN334" i="80" s="1"/>
  <c r="EX292" i="80"/>
  <c r="EX298" i="80" s="1"/>
  <c r="EX315" i="80" s="1"/>
  <c r="EX331" i="80" s="1"/>
  <c r="EX334" i="80" s="1"/>
  <c r="EV298" i="80"/>
  <c r="EV315" i="80" s="1"/>
  <c r="EV331" i="80" s="1"/>
  <c r="EV334" i="80" s="1"/>
  <c r="EV339" i="80" s="1"/>
  <c r="CD292" i="80"/>
  <c r="CD298" i="80" s="1"/>
  <c r="CD315" i="80" s="1"/>
  <c r="CD331" i="80" s="1"/>
  <c r="CD334" i="80" s="1"/>
  <c r="CB298" i="80"/>
  <c r="CB315" i="80" s="1"/>
  <c r="CB331" i="80" s="1"/>
  <c r="CB334" i="80" s="1"/>
  <c r="CB339" i="80" s="1"/>
  <c r="DP298" i="80"/>
  <c r="DP315" i="80" s="1"/>
  <c r="DP331" i="80" s="1"/>
  <c r="DP334" i="80" s="1"/>
  <c r="DP339" i="80" s="1"/>
  <c r="DR292" i="80"/>
  <c r="DR298" i="80" s="1"/>
  <c r="DR315" i="80" s="1"/>
  <c r="DR331" i="80" s="1"/>
  <c r="DR334" i="80" s="1"/>
  <c r="CJ298" i="80"/>
  <c r="CJ315" i="80" s="1"/>
  <c r="CJ331" i="80" s="1"/>
  <c r="CJ334" i="80" s="1"/>
  <c r="CJ339" i="80" s="1"/>
  <c r="CL292" i="80"/>
  <c r="CL298" i="80" s="1"/>
  <c r="CL315" i="80" s="1"/>
  <c r="CL331" i="80" s="1"/>
  <c r="CL334" i="80" s="1"/>
  <c r="AF298" i="80"/>
  <c r="AF315" i="80" s="1"/>
  <c r="AF331" i="80" s="1"/>
  <c r="AF334" i="80" s="1"/>
  <c r="AF339" i="80" s="1"/>
  <c r="AH292" i="80"/>
  <c r="AH298" i="80" s="1"/>
  <c r="AH315" i="80" s="1"/>
  <c r="AH331" i="80" s="1"/>
  <c r="AH334" i="80" s="1"/>
  <c r="BL298" i="80"/>
  <c r="BL315" i="80" s="1"/>
  <c r="BL331" i="80" s="1"/>
  <c r="BL334" i="80" s="1"/>
  <c r="BL339" i="80" s="1"/>
  <c r="BN292" i="80"/>
  <c r="BN298" i="80" s="1"/>
  <c r="BN315" i="80" s="1"/>
  <c r="BN331" i="80" s="1"/>
  <c r="BN334" i="80" s="1"/>
  <c r="DJ292" i="80"/>
  <c r="DJ298" i="80" s="1"/>
  <c r="DJ315" i="80" s="1"/>
  <c r="DJ331" i="80" s="1"/>
  <c r="DJ334" i="80" s="1"/>
  <c r="DH298" i="80"/>
  <c r="DH315" i="80" s="1"/>
  <c r="DH331" i="80" s="1"/>
  <c r="DH334" i="80" s="1"/>
  <c r="DH339" i="80" s="1"/>
  <c r="H331" i="85" l="1"/>
  <c r="D25" i="7"/>
  <c r="D32" i="7" l="1"/>
  <c r="H334" i="85"/>
  <c r="K32" i="7"/>
  <c r="K36" i="7" s="1"/>
  <c r="K46" i="7" s="1"/>
  <c r="J32" i="7"/>
  <c r="J36" i="7" s="1"/>
  <c r="J46" i="7" s="1"/>
  <c r="H32" i="7"/>
  <c r="H36" i="7" s="1"/>
  <c r="H46" i="7" s="1"/>
  <c r="I32" i="7"/>
  <c r="I36" i="7" s="1"/>
  <c r="I46" i="7" s="1"/>
  <c r="D43" i="7" l="1"/>
  <c r="D40" i="7"/>
  <c r="H339" i="85"/>
  <c r="H346" i="79" l="1"/>
  <c r="D34" i="7"/>
  <c r="H346" i="80"/>
  <c r="H347" i="85"/>
  <c r="D41" i="7"/>
  <c r="D35" i="7"/>
  <c r="H342" i="85" s="1"/>
  <c r="H350" i="85"/>
  <c r="H348" i="85" l="1"/>
  <c r="D44" i="7"/>
  <c r="AN346" i="80"/>
  <c r="AN347" i="80" s="1"/>
  <c r="AN349" i="80" s="1"/>
  <c r="FL346" i="80"/>
  <c r="FL347" i="80" s="1"/>
  <c r="FL349" i="80" s="1"/>
  <c r="DP346" i="80"/>
  <c r="DP347" i="80" s="1"/>
  <c r="DP349" i="80" s="1"/>
  <c r="FD346" i="80"/>
  <c r="FD347" i="80" s="1"/>
  <c r="FD349" i="80" s="1"/>
  <c r="P346" i="80"/>
  <c r="P347" i="80" s="1"/>
  <c r="P349" i="80" s="1"/>
  <c r="EV346" i="80"/>
  <c r="EV347" i="80" s="1"/>
  <c r="EV349" i="80" s="1"/>
  <c r="CB346" i="80"/>
  <c r="CB347" i="80" s="1"/>
  <c r="CB349" i="80" s="1"/>
  <c r="CZ346" i="80"/>
  <c r="CZ347" i="80" s="1"/>
  <c r="CZ349" i="80" s="1"/>
  <c r="X346" i="80"/>
  <c r="X347" i="80" s="1"/>
  <c r="X349" i="80" s="1"/>
  <c r="EN346" i="80"/>
  <c r="EN347" i="80" s="1"/>
  <c r="EN349" i="80" s="1"/>
  <c r="CJ346" i="80"/>
  <c r="CJ347" i="80" s="1"/>
  <c r="CJ349" i="80" s="1"/>
  <c r="BL346" i="80"/>
  <c r="BL347" i="80" s="1"/>
  <c r="BL349" i="80" s="1"/>
  <c r="CR346" i="80"/>
  <c r="CR347" i="80" s="1"/>
  <c r="CR349" i="80" s="1"/>
  <c r="EF346" i="80"/>
  <c r="EF347" i="80" s="1"/>
  <c r="EF349" i="80" s="1"/>
  <c r="DX346" i="80"/>
  <c r="DX347" i="80" s="1"/>
  <c r="DX349" i="80" s="1"/>
  <c r="AF346" i="80"/>
  <c r="AF347" i="80" s="1"/>
  <c r="AF349" i="80" s="1"/>
  <c r="BT346" i="80"/>
  <c r="BT347" i="80" s="1"/>
  <c r="BT349" i="80" s="1"/>
  <c r="H347" i="80"/>
  <c r="H349" i="80" s="1"/>
  <c r="DH346" i="80"/>
  <c r="DH347" i="80" s="1"/>
  <c r="DH349" i="80" s="1"/>
  <c r="AV346" i="80"/>
  <c r="AV347" i="80" s="1"/>
  <c r="AV349" i="80" s="1"/>
  <c r="BD346" i="80"/>
  <c r="BD347" i="80" s="1"/>
  <c r="BD349" i="80" s="1"/>
  <c r="H341" i="80"/>
  <c r="H341" i="85"/>
  <c r="H341" i="79"/>
  <c r="D36" i="7"/>
  <c r="H343" i="85" s="1"/>
  <c r="M183" i="90" s="1"/>
  <c r="DP346" i="79"/>
  <c r="DP347" i="79" s="1"/>
  <c r="DP349" i="79" s="1"/>
  <c r="CB346" i="79"/>
  <c r="CB347" i="79" s="1"/>
  <c r="CB349" i="79" s="1"/>
  <c r="EF346" i="79"/>
  <c r="EF347" i="79" s="1"/>
  <c r="EF349" i="79" s="1"/>
  <c r="CJ346" i="79"/>
  <c r="CJ347" i="79" s="1"/>
  <c r="CJ349" i="79" s="1"/>
  <c r="EN346" i="79"/>
  <c r="EN347" i="79" s="1"/>
  <c r="EN349" i="79" s="1"/>
  <c r="AV346" i="79"/>
  <c r="AV347" i="79" s="1"/>
  <c r="AV349" i="79" s="1"/>
  <c r="BL346" i="79"/>
  <c r="BL347" i="79" s="1"/>
  <c r="BL349" i="79" s="1"/>
  <c r="BD346" i="79"/>
  <c r="BD347" i="79" s="1"/>
  <c r="BD349" i="79" s="1"/>
  <c r="FL346" i="79"/>
  <c r="FL347" i="79" s="1"/>
  <c r="FL349" i="79" s="1"/>
  <c r="X346" i="79"/>
  <c r="X347" i="79" s="1"/>
  <c r="X349" i="79" s="1"/>
  <c r="BT346" i="79"/>
  <c r="BT347" i="79" s="1"/>
  <c r="BT349" i="79" s="1"/>
  <c r="H347" i="79"/>
  <c r="H349" i="79" s="1"/>
  <c r="EV346" i="79"/>
  <c r="EV347" i="79" s="1"/>
  <c r="EV349" i="79" s="1"/>
  <c r="CZ346" i="79"/>
  <c r="CZ347" i="79" s="1"/>
  <c r="CZ349" i="79" s="1"/>
  <c r="CR346" i="79"/>
  <c r="CR347" i="79" s="1"/>
  <c r="CR349" i="79" s="1"/>
  <c r="P346" i="79"/>
  <c r="P347" i="79" s="1"/>
  <c r="P349" i="79" s="1"/>
  <c r="DH346" i="79"/>
  <c r="DH347" i="79" s="1"/>
  <c r="DH349" i="79" s="1"/>
  <c r="DX346" i="79"/>
  <c r="DX347" i="79" s="1"/>
  <c r="DX349" i="79" s="1"/>
  <c r="FD346" i="79"/>
  <c r="FD347" i="79" s="1"/>
  <c r="FD349" i="79" s="1"/>
  <c r="AN346" i="79"/>
  <c r="AN347" i="79" s="1"/>
  <c r="AN349" i="79" s="1"/>
  <c r="AF346" i="79"/>
  <c r="AF347" i="79" s="1"/>
  <c r="AF349" i="79" s="1"/>
  <c r="BT341" i="79" l="1"/>
  <c r="BT342" i="79" s="1"/>
  <c r="BT351" i="79" s="1"/>
  <c r="EF341" i="79"/>
  <c r="EF342" i="79" s="1"/>
  <c r="EF351" i="79" s="1"/>
  <c r="BD341" i="79"/>
  <c r="BD342" i="79" s="1"/>
  <c r="BD351" i="79" s="1"/>
  <c r="X341" i="79"/>
  <c r="X342" i="79" s="1"/>
  <c r="X351" i="79" s="1"/>
  <c r="AN341" i="79"/>
  <c r="AN342" i="79" s="1"/>
  <c r="AN351" i="79" s="1"/>
  <c r="EV341" i="79"/>
  <c r="EV342" i="79" s="1"/>
  <c r="EV351" i="79" s="1"/>
  <c r="DX341" i="79"/>
  <c r="DX342" i="79" s="1"/>
  <c r="DX351" i="79" s="1"/>
  <c r="DX352" i="79" s="1"/>
  <c r="DX354" i="79" s="1"/>
  <c r="DP341" i="79"/>
  <c r="DP342" i="79" s="1"/>
  <c r="DP351" i="79" s="1"/>
  <c r="P341" i="79"/>
  <c r="P342" i="79" s="1"/>
  <c r="P351" i="79" s="1"/>
  <c r="P352" i="79" s="1"/>
  <c r="P354" i="79" s="1"/>
  <c r="FD341" i="79"/>
  <c r="FD342" i="79" s="1"/>
  <c r="FD351" i="79" s="1"/>
  <c r="FD352" i="79" s="1"/>
  <c r="FD354" i="79" s="1"/>
  <c r="CJ341" i="79"/>
  <c r="CJ342" i="79" s="1"/>
  <c r="CJ351" i="79" s="1"/>
  <c r="CJ352" i="79" s="1"/>
  <c r="CJ354" i="79" s="1"/>
  <c r="EN341" i="79"/>
  <c r="EN342" i="79" s="1"/>
  <c r="EN351" i="79" s="1"/>
  <c r="EN352" i="79" s="1"/>
  <c r="EN354" i="79" s="1"/>
  <c r="FL341" i="79"/>
  <c r="FL342" i="79" s="1"/>
  <c r="FL351" i="79" s="1"/>
  <c r="FL352" i="79" s="1"/>
  <c r="FL354" i="79" s="1"/>
  <c r="CB341" i="79"/>
  <c r="CB342" i="79" s="1"/>
  <c r="CB351" i="79" s="1"/>
  <c r="CB352" i="79" s="1"/>
  <c r="CB354" i="79" s="1"/>
  <c r="AV341" i="79"/>
  <c r="AV342" i="79" s="1"/>
  <c r="AV351" i="79" s="1"/>
  <c r="AV352" i="79" s="1"/>
  <c r="AV354" i="79" s="1"/>
  <c r="DH341" i="79"/>
  <c r="DH342" i="79" s="1"/>
  <c r="DH351" i="79" s="1"/>
  <c r="DH352" i="79" s="1"/>
  <c r="DH354" i="79" s="1"/>
  <c r="CZ341" i="79"/>
  <c r="CZ342" i="79" s="1"/>
  <c r="CZ351" i="79" s="1"/>
  <c r="CR341" i="79"/>
  <c r="CR342" i="79" s="1"/>
  <c r="CR351" i="79" s="1"/>
  <c r="BL341" i="79"/>
  <c r="BL342" i="79" s="1"/>
  <c r="BL351" i="79" s="1"/>
  <c r="AF341" i="79"/>
  <c r="AF342" i="79" s="1"/>
  <c r="AF351" i="79" s="1"/>
  <c r="H342" i="79"/>
  <c r="H351" i="79" s="1"/>
  <c r="D46" i="7"/>
  <c r="H353" i="85" s="1"/>
  <c r="O185" i="90" s="1"/>
  <c r="H351" i="85"/>
  <c r="N184" i="90" s="1"/>
  <c r="FL341" i="80"/>
  <c r="FL342" i="80" s="1"/>
  <c r="FL351" i="80" s="1"/>
  <c r="AV341" i="80"/>
  <c r="AV342" i="80" s="1"/>
  <c r="AV351" i="80" s="1"/>
  <c r="FD341" i="80"/>
  <c r="FD342" i="80" s="1"/>
  <c r="FD351" i="80" s="1"/>
  <c r="DH341" i="80"/>
  <c r="DH342" i="80" s="1"/>
  <c r="DH351" i="80" s="1"/>
  <c r="DX341" i="80"/>
  <c r="DX342" i="80" s="1"/>
  <c r="DX351" i="80" s="1"/>
  <c r="BT341" i="80"/>
  <c r="BT342" i="80" s="1"/>
  <c r="BT351" i="80" s="1"/>
  <c r="EV341" i="80"/>
  <c r="EV342" i="80" s="1"/>
  <c r="EV351" i="80" s="1"/>
  <c r="AF341" i="80"/>
  <c r="AF342" i="80" s="1"/>
  <c r="AF351" i="80" s="1"/>
  <c r="EN341" i="80"/>
  <c r="EN342" i="80" s="1"/>
  <c r="EN351" i="80" s="1"/>
  <c r="AN341" i="80"/>
  <c r="AN342" i="80" s="1"/>
  <c r="AN351" i="80" s="1"/>
  <c r="X341" i="80"/>
  <c r="X342" i="80" s="1"/>
  <c r="X351" i="80" s="1"/>
  <c r="CZ341" i="80"/>
  <c r="CZ342" i="80" s="1"/>
  <c r="CZ351" i="80" s="1"/>
  <c r="DP341" i="80"/>
  <c r="DP342" i="80" s="1"/>
  <c r="DP351" i="80" s="1"/>
  <c r="CB341" i="80"/>
  <c r="CB342" i="80" s="1"/>
  <c r="CB351" i="80" s="1"/>
  <c r="CR341" i="80"/>
  <c r="CR342" i="80" s="1"/>
  <c r="CR351" i="80" s="1"/>
  <c r="BD341" i="80"/>
  <c r="BD342" i="80" s="1"/>
  <c r="BD351" i="80" s="1"/>
  <c r="EF341" i="80"/>
  <c r="EF342" i="80" s="1"/>
  <c r="EF351" i="80" s="1"/>
  <c r="CJ341" i="80"/>
  <c r="CJ342" i="80" s="1"/>
  <c r="CJ351" i="80" s="1"/>
  <c r="BL341" i="80"/>
  <c r="BL342" i="80" s="1"/>
  <c r="BL351" i="80" s="1"/>
  <c r="P341" i="80"/>
  <c r="P342" i="80" s="1"/>
  <c r="P351" i="80" s="1"/>
  <c r="H342" i="80"/>
  <c r="H351" i="80" s="1"/>
  <c r="EV352" i="79" l="1"/>
  <c r="EV354" i="79" s="1"/>
  <c r="DP352" i="79"/>
  <c r="DP354" i="79" s="1"/>
  <c r="EN352" i="80"/>
  <c r="EN354" i="80" s="1"/>
  <c r="AF352" i="80"/>
  <c r="AF354" i="80" s="1"/>
  <c r="EV352" i="80"/>
  <c r="EV354" i="80" s="1"/>
  <c r="DX352" i="80"/>
  <c r="DX354" i="80" s="1"/>
  <c r="BL352" i="80"/>
  <c r="BL354" i="80" s="1"/>
  <c r="BT352" i="80"/>
  <c r="BT354" i="80" s="1"/>
  <c r="DH352" i="80"/>
  <c r="DH354" i="80" s="1"/>
  <c r="FD352" i="80"/>
  <c r="FD354" i="80" s="1"/>
  <c r="CJ352" i="80"/>
  <c r="CJ354" i="80" s="1"/>
  <c r="EF352" i="80"/>
  <c r="EF354" i="80" s="1"/>
  <c r="FL352" i="80"/>
  <c r="FL354" i="80" s="1"/>
  <c r="CR352" i="80"/>
  <c r="CR354" i="80" s="1"/>
  <c r="DP352" i="80"/>
  <c r="DP354" i="80" s="1"/>
  <c r="BL352" i="79"/>
  <c r="BL354" i="79" s="1"/>
  <c r="P352" i="80"/>
  <c r="P354" i="80" s="1"/>
  <c r="AV352" i="80"/>
  <c r="AV354" i="80" s="1"/>
  <c r="BD352" i="80"/>
  <c r="BD354" i="80" s="1"/>
  <c r="AF352" i="79"/>
  <c r="AF354" i="79" s="1"/>
  <c r="X352" i="80"/>
  <c r="X354" i="80" s="1"/>
  <c r="EF352" i="79"/>
  <c r="EF354" i="79" s="1"/>
  <c r="CB352" i="80"/>
  <c r="CB354" i="80" s="1"/>
  <c r="AN352" i="79"/>
  <c r="AN354" i="79" s="1"/>
  <c r="X352" i="79"/>
  <c r="X354" i="79" s="1"/>
  <c r="CZ352" i="80"/>
  <c r="CZ354" i="80" s="1"/>
  <c r="BD352" i="79"/>
  <c r="BD354" i="79" s="1"/>
  <c r="CR352" i="79"/>
  <c r="CR354" i="79" s="1"/>
  <c r="AN352" i="80"/>
  <c r="AN354" i="80" s="1"/>
  <c r="CZ352" i="79"/>
  <c r="CZ354" i="79" s="1"/>
  <c r="BT352" i="79"/>
  <c r="BT354" i="7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Arnold L. Wagner</author>
  </authors>
  <commentList>
    <comment ref="E73" authorId="0" shapeId="0" xr:uid="{00000000-0006-0000-0200-000001000000}">
      <text>
        <r>
          <rPr>
            <b/>
            <sz val="10"/>
            <color indexed="81"/>
            <rFont val="Tahoma"/>
            <family val="2"/>
          </rPr>
          <t>BPA:</t>
        </r>
        <r>
          <rPr>
            <sz val="10"/>
            <color indexed="81"/>
            <rFont val="Tahoma"/>
            <family val="2"/>
          </rPr>
          <t xml:space="preserve">
Same Function as Row 92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Cornejo,Paulina (BPA) - PSRF-6</author>
  </authors>
  <commentList>
    <comment ref="E66" authorId="0" shapeId="0" xr:uid="{B66B45D0-0B90-4DDF-81D0-B83180376CDF}">
      <text>
        <r>
          <rPr>
            <b/>
            <sz val="9"/>
            <color indexed="81"/>
            <rFont val="Tahoma"/>
            <family val="2"/>
          </rPr>
          <t>Cornejo,Paulina (BPA) - PSRF-6:</t>
        </r>
        <r>
          <rPr>
            <sz val="9"/>
            <color indexed="81"/>
            <rFont val="Tahoma"/>
            <family val="2"/>
          </rPr>
          <t xml:space="preserve">
Sum matches FF1. ok</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Cornejo,Paulina (BPA) - PSRF-6</author>
  </authors>
  <commentList>
    <comment ref="A21" authorId="0" shapeId="0" xr:uid="{369D25CE-56E0-48F9-B84A-5923E198E723}">
      <text>
        <r>
          <rPr>
            <b/>
            <sz val="9"/>
            <color indexed="81"/>
            <rFont val="Tahoma"/>
            <family val="2"/>
          </rPr>
          <t>Cornejo,Paulina (BPA) - PSRF-6:</t>
        </r>
        <r>
          <rPr>
            <sz val="9"/>
            <color indexed="81"/>
            <rFont val="Tahoma"/>
            <family val="2"/>
          </rPr>
          <t xml:space="preserve">
Corresponding Asset: "Regulatroy Asset Covid-19 182.347" f(x) PTD. If that f(x) is retained then this liability sub-account must have the same f(x). Submit DR.</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H39" authorId="0" shapeId="0" xr:uid="{36130F40-2473-47A6-BA2B-AE28588AFB1B}">
      <text>
        <r>
          <rPr>
            <b/>
            <sz val="9"/>
            <color indexed="81"/>
            <rFont val="Tahoma"/>
            <family val="2"/>
          </rPr>
          <t>Edwards,Michael D (BPA) - PSRF-6:</t>
        </r>
        <r>
          <rPr>
            <sz val="9"/>
            <color indexed="81"/>
            <rFont val="Tahoma"/>
            <family val="2"/>
          </rPr>
          <t xml:space="preserve">
565 has been assigned to Production for this scenario, the other Transmission Expenses have been assigned to Distribution.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Julia Shaughnessy</author>
  </authors>
  <commentList>
    <comment ref="B17" authorId="0" shapeId="0" xr:uid="{00000000-0006-0000-0E00-000001000000}">
      <text>
        <r>
          <rPr>
            <b/>
            <sz val="9"/>
            <color indexed="81"/>
            <rFont val="Tahoma"/>
            <family val="2"/>
          </rPr>
          <t>BPA:</t>
        </r>
        <r>
          <rPr>
            <sz val="9"/>
            <color indexed="81"/>
            <rFont val="Tahoma"/>
            <family val="2"/>
          </rPr>
          <t xml:space="preserve">
Labor costs related to conservation may be functionalized to Production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G87" authorId="0" shapeId="0" xr:uid="{3F038C08-D7AB-45FF-952F-A1E8F248E2AD}">
      <text>
        <r>
          <rPr>
            <b/>
            <sz val="9"/>
            <color indexed="81"/>
            <rFont val="Tahoma"/>
            <family val="2"/>
          </rPr>
          <t>Edwards,Michael D (BPA) - PSRF-6:</t>
        </r>
        <r>
          <rPr>
            <sz val="9"/>
            <color indexed="81"/>
            <rFont val="Tahoma"/>
            <family val="2"/>
          </rPr>
          <t xml:space="preserve">
Ratios assign transmission plant to distribution for the purpose of this scenario.</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B31" authorId="0" shapeId="0" xr:uid="{00000000-0006-0000-1300-000001000000}">
      <text>
        <r>
          <rPr>
            <b/>
            <sz val="10"/>
            <color indexed="81"/>
            <rFont val="Tahoma"/>
            <family val="2"/>
          </rPr>
          <t xml:space="preserve">BPA User:  </t>
        </r>
        <r>
          <rPr>
            <sz val="10"/>
            <color indexed="81"/>
            <rFont val="Tahoma"/>
            <family val="2"/>
          </rPr>
          <t>Enter as negative value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Russell</author>
    <author>Arnold L. Wagner</author>
  </authors>
  <commentList>
    <comment ref="A18" authorId="0" shapeId="0" xr:uid="{00000000-0006-0000-1500-000001000000}">
      <text>
        <r>
          <rPr>
            <b/>
            <sz val="9"/>
            <color indexed="81"/>
            <rFont val="Tahoma"/>
            <family val="2"/>
          </rPr>
          <t xml:space="preserve">BPA:  </t>
        </r>
        <r>
          <rPr>
            <sz val="9"/>
            <color indexed="81"/>
            <rFont val="Tahoma"/>
            <family val="2"/>
          </rPr>
          <t>Enter as negative number</t>
        </r>
      </text>
    </comment>
    <comment ref="AA40" authorId="1" shapeId="0" xr:uid="{00000000-0006-0000-1500-000002000000}">
      <text>
        <r>
          <rPr>
            <b/>
            <sz val="10"/>
            <color indexed="81"/>
            <rFont val="Tahoma"/>
            <family val="2"/>
          </rPr>
          <t>Arnold L. Wagner:</t>
        </r>
        <r>
          <rPr>
            <sz val="10"/>
            <color indexed="81"/>
            <rFont val="Tahoma"/>
            <family val="2"/>
          </rPr>
          <t xml:space="preserve">
Total Property Tax x PTDG Ratio for NLSL Production.</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F10" authorId="0" shapeId="0" xr:uid="{00000000-0006-0000-1600-000001000000}">
      <text>
        <r>
          <rPr>
            <b/>
            <sz val="9"/>
            <color indexed="81"/>
            <rFont val="Tahoma"/>
            <family val="2"/>
          </rPr>
          <t>BPA:</t>
        </r>
        <r>
          <rPr>
            <sz val="9"/>
            <color indexed="81"/>
            <rFont val="Tahoma"/>
            <family val="2"/>
          </rPr>
          <t xml:space="preserve">
Amount fixed during RHWM Process</t>
        </r>
      </text>
    </comment>
    <comment ref="G10" authorId="0" shapeId="0" xr:uid="{1ECA78A1-01BB-4599-827F-C262FAD16147}">
      <text>
        <r>
          <rPr>
            <b/>
            <sz val="9"/>
            <color indexed="81"/>
            <rFont val="Tahoma"/>
            <family val="2"/>
          </rPr>
          <t>BPA:</t>
        </r>
        <r>
          <rPr>
            <sz val="9"/>
            <color indexed="81"/>
            <rFont val="Tahoma"/>
            <family val="2"/>
          </rPr>
          <t xml:space="preserve">
Amount fixed during RHWM Process</t>
        </r>
      </text>
    </comment>
  </commentList>
</comments>
</file>

<file path=xl/sharedStrings.xml><?xml version="1.0" encoding="utf-8"?>
<sst xmlns="http://schemas.openxmlformats.org/spreadsheetml/2006/main" count="14754" uniqueCount="3230">
  <si>
    <t>MWh</t>
  </si>
  <si>
    <t>Average PP</t>
  </si>
  <si>
    <t>Average SS</t>
  </si>
  <si>
    <t>1/2 difference</t>
  </si>
  <si>
    <t>Mid Point</t>
  </si>
  <si>
    <t>Percentage Spread</t>
  </si>
  <si>
    <t xml:space="preserve">Long-Term Portion of Derivative Assets </t>
  </si>
  <si>
    <t xml:space="preserve">Fuel Stock Expenses Undistributed </t>
  </si>
  <si>
    <t xml:space="preserve">Prepayments </t>
  </si>
  <si>
    <t xml:space="preserve">Derivative Instrument Assets </t>
  </si>
  <si>
    <t xml:space="preserve">Unamortized Debt Expenses </t>
  </si>
  <si>
    <t xml:space="preserve">Extraordinary Property Losses </t>
  </si>
  <si>
    <t xml:space="preserve">Unrecovered Plant and Regulatory Study Costs </t>
  </si>
  <si>
    <t xml:space="preserve">Other Regulatory Assets </t>
  </si>
  <si>
    <t xml:space="preserve">Preliminary Natural Gas Survey and Investigation Charges </t>
  </si>
  <si>
    <t xml:space="preserve">Clearing Accounts </t>
  </si>
  <si>
    <t xml:space="preserve">Temporary Facilities </t>
  </si>
  <si>
    <t xml:space="preserve">Miscellaneous Deferred Debits </t>
  </si>
  <si>
    <t xml:space="preserve">Deferred Losses from Disposition of Utility Plant </t>
  </si>
  <si>
    <t xml:space="preserve">Research, Development, and Demonstration Expenditures </t>
  </si>
  <si>
    <t xml:space="preserve">Unamortized Loss on Reacquired Debt </t>
  </si>
  <si>
    <t xml:space="preserve">Accumulated Deferred Income Taxes </t>
  </si>
  <si>
    <t xml:space="preserve">Customer Advances for Construction </t>
  </si>
  <si>
    <t xml:space="preserve">Accumulated Deferred Investment Tax Credits </t>
  </si>
  <si>
    <t xml:space="preserve">Deferred Gains from Disposition of Utility Plant </t>
  </si>
  <si>
    <t xml:space="preserve">Other Deferred Credits </t>
  </si>
  <si>
    <t xml:space="preserve">Other Regulatory Liabilities </t>
  </si>
  <si>
    <t xml:space="preserve">Unamortized Gain on Reacquired Debt </t>
  </si>
  <si>
    <t>Amortization of Plant Held for Future Use</t>
  </si>
  <si>
    <t xml:space="preserve">Capital Lease - Common Plant </t>
  </si>
  <si>
    <t>Amortization of Plant Acquisition Adjustments  (Electric)</t>
  </si>
  <si>
    <t>Accumulated Deferred Income Taxes-Accel. Amort.</t>
  </si>
  <si>
    <t xml:space="preserve">Accumulated Deferred Income Taxes-Property </t>
  </si>
  <si>
    <t xml:space="preserve">Accumulated Deferred Income Taxes-Other </t>
  </si>
  <si>
    <t>(Total Rate Base * Federal Income Tax Adjusted Weighted Cost of Capital)</t>
  </si>
  <si>
    <t>Income Tax (Included on Schedule 2)</t>
  </si>
  <si>
    <t>TOTAL STATE AND OTHER TAXES</t>
  </si>
  <si>
    <t>TOTAL FEDERAL</t>
  </si>
  <si>
    <t>STATE AND OTHER</t>
  </si>
  <si>
    <t>State and Other Taxes</t>
  </si>
  <si>
    <t>Depreciation and Amortization:</t>
  </si>
  <si>
    <t>Other Included Items:</t>
  </si>
  <si>
    <t>411.7</t>
  </si>
  <si>
    <t>Other Revenues:</t>
  </si>
  <si>
    <t>451</t>
  </si>
  <si>
    <t>453</t>
  </si>
  <si>
    <t>454</t>
  </si>
  <si>
    <t>456</t>
  </si>
  <si>
    <t>Total Other Revenues</t>
  </si>
  <si>
    <t>Total Other Included Items</t>
  </si>
  <si>
    <t>Total Operating Expenses</t>
  </si>
  <si>
    <t>Total Cost</t>
  </si>
  <si>
    <t>BPA REP Reversal</t>
  </si>
  <si>
    <t>Component</t>
  </si>
  <si>
    <t>BONNEVILLE POWER ADMINISTRATION</t>
  </si>
  <si>
    <t>Stores Expense Undistributed</t>
  </si>
  <si>
    <t>RESIDENTIAL PURCHASE AND SALE AGREEMENT</t>
  </si>
  <si>
    <t>Weighted</t>
  </si>
  <si>
    <t>Debt</t>
  </si>
  <si>
    <t>Preferred Equity</t>
  </si>
  <si>
    <t>Common Equity</t>
  </si>
  <si>
    <t>Step 2: Gross Up Equity Return for Federal Income Taxes</t>
  </si>
  <si>
    <t>Total Rate Base from Schedule 1</t>
  </si>
  <si>
    <t>Federal Income Tax Adjusted Weighted Cost of Capital</t>
  </si>
  <si>
    <t>Sales for Resale</t>
  </si>
  <si>
    <t>Total Sales for Resale</t>
  </si>
  <si>
    <t>Schedule 4: Average System Cost</t>
  </si>
  <si>
    <t>(Total Disposition of Plant + Total Sales for Resale + Total Other Revenue)</t>
  </si>
  <si>
    <t>(From Schedule 3)</t>
  </si>
  <si>
    <t>200-201</t>
  </si>
  <si>
    <t>204-207</t>
  </si>
  <si>
    <t>Acquisition Adjustments (Electric)</t>
  </si>
  <si>
    <t>320-323</t>
  </si>
  <si>
    <t>Total Liabilities and Other Credits</t>
  </si>
  <si>
    <t>Total Assets and Other Debits</t>
  </si>
  <si>
    <t xml:space="preserve">Liabilities and Other Credits (Comparative Balance Sheet) </t>
  </si>
  <si>
    <t>Assets and Other Debits (Comparative Balance Sheet)</t>
  </si>
  <si>
    <t>(Utility Plant) Completed Construction - Not Classified</t>
  </si>
  <si>
    <t>110-111</t>
  </si>
  <si>
    <t>Plant Materials and Operating Supplies</t>
  </si>
  <si>
    <t>Construction Work in Progress (CWIP)</t>
  </si>
  <si>
    <t>112-113</t>
  </si>
  <si>
    <t>Schedule 3: Expenses</t>
  </si>
  <si>
    <t>(Total Net Plant + Debits - Credits)</t>
  </si>
  <si>
    <t xml:space="preserve"> (Total Electric Plant In-Service) - (Total Depreciation &amp; Amortization)</t>
  </si>
  <si>
    <t>Nuclear - Fuel</t>
  </si>
  <si>
    <t>Hydraulic - Operation</t>
  </si>
  <si>
    <t>Hydraulic - Maintenance</t>
  </si>
  <si>
    <t>Steam Production Plant</t>
  </si>
  <si>
    <t>Nuclear Production Plant</t>
  </si>
  <si>
    <t>DIRECT</t>
  </si>
  <si>
    <t>GP</t>
  </si>
  <si>
    <t>General Plant</t>
  </si>
  <si>
    <t>GPM</t>
  </si>
  <si>
    <t>Maintenance of General Plant</t>
  </si>
  <si>
    <t>LABOR</t>
  </si>
  <si>
    <t>Account</t>
  </si>
  <si>
    <t xml:space="preserve"> </t>
  </si>
  <si>
    <t>Distribution/</t>
  </si>
  <si>
    <t>PTD</t>
  </si>
  <si>
    <t xml:space="preserve"> Account Description</t>
  </si>
  <si>
    <t>Prod.</t>
  </si>
  <si>
    <t>Trans.</t>
  </si>
  <si>
    <t>Dist.</t>
  </si>
  <si>
    <t>Total</t>
  </si>
  <si>
    <t>Production</t>
  </si>
  <si>
    <t>Transmission</t>
  </si>
  <si>
    <t>Other</t>
  </si>
  <si>
    <t>PTDG</t>
  </si>
  <si>
    <t>TD</t>
  </si>
  <si>
    <t>Production Plant:</t>
  </si>
  <si>
    <t>Steam Production</t>
  </si>
  <si>
    <t>310-316</t>
  </si>
  <si>
    <t xml:space="preserve">Nuclear Production </t>
  </si>
  <si>
    <t>320-325</t>
  </si>
  <si>
    <t xml:space="preserve">Hydraulic Production  </t>
  </si>
  <si>
    <t>330-336</t>
  </si>
  <si>
    <t>Other Production</t>
  </si>
  <si>
    <t>340-346</t>
  </si>
  <si>
    <t>Total Production Plant</t>
  </si>
  <si>
    <t>350-359</t>
  </si>
  <si>
    <t>Total Transmission Plant</t>
  </si>
  <si>
    <t xml:space="preserve">Total Distribution Plant  </t>
  </si>
  <si>
    <t>360-373</t>
  </si>
  <si>
    <t xml:space="preserve">General Plant:  </t>
  </si>
  <si>
    <t>Land and Land Rights</t>
  </si>
  <si>
    <t>Structures and Improvements</t>
  </si>
  <si>
    <t>Furniture and Equipment</t>
  </si>
  <si>
    <t>Transportation Equipment</t>
  </si>
  <si>
    <t>Stores Equipment</t>
  </si>
  <si>
    <t>Tools and Garage Equipment</t>
  </si>
  <si>
    <t>Laboratory Equipment</t>
  </si>
  <si>
    <t>Power Operated Equipment</t>
  </si>
  <si>
    <t>Communication Equipment</t>
  </si>
  <si>
    <t>Miscellaneous Equipment</t>
  </si>
  <si>
    <t>Total General Plant</t>
  </si>
  <si>
    <t>Total Electric Plant In-Service</t>
  </si>
  <si>
    <t>Other Production Plant</t>
  </si>
  <si>
    <t>Without NLSL</t>
  </si>
  <si>
    <t>With NLSL</t>
  </si>
  <si>
    <t xml:space="preserve">Distribution Plant  </t>
  </si>
  <si>
    <t>Federal Income Tax Adjusted Return on Rate Base</t>
  </si>
  <si>
    <t>Transmission Plant: (i)</t>
  </si>
  <si>
    <t>Transmission Plant (i)</t>
  </si>
  <si>
    <t>Cash Working Capital  (f)</t>
  </si>
  <si>
    <t xml:space="preserve">Intangible Plant - Organization  </t>
  </si>
  <si>
    <t xml:space="preserve">Intangible Plant - Franchises and Consents  </t>
  </si>
  <si>
    <t xml:space="preserve">Intangible Plant - Miscellaneous  </t>
  </si>
  <si>
    <t>Schedule 3A Items: Taxes (Including Income Taxes)</t>
  </si>
  <si>
    <t>FEDERAL</t>
  </si>
  <si>
    <t>Employment Tax</t>
  </si>
  <si>
    <t>Other Federal Taxes</t>
  </si>
  <si>
    <t>Unemployment</t>
  </si>
  <si>
    <t>Regulatory Commission</t>
  </si>
  <si>
    <t>Cash Working Capital Calculation:</t>
  </si>
  <si>
    <t>Total Production O&amp;M</t>
  </si>
  <si>
    <t>Total Administrative and General O&amp;M</t>
  </si>
  <si>
    <t>Allowable Functionalized Cash Working Capital</t>
  </si>
  <si>
    <t xml:space="preserve">Revised Total O&amp;M Expenses </t>
  </si>
  <si>
    <t xml:space="preserve">One-Eighth Revised Total O&amp;M Expenses </t>
  </si>
  <si>
    <t xml:space="preserve">Schedule 3B Other Included Items </t>
  </si>
  <si>
    <t>(From Schedule 3a)</t>
  </si>
  <si>
    <t>Leasehold Improvements</t>
  </si>
  <si>
    <t>Administration and General Salaries</t>
  </si>
  <si>
    <t>Office Supplies &amp; Expenses</t>
  </si>
  <si>
    <t>(Less) Administration Expenses Transferred - Credit</t>
  </si>
  <si>
    <t>Outside Services Employed</t>
  </si>
  <si>
    <t>Property Insurance</t>
  </si>
  <si>
    <t>(Less) Duplicate Charges - Credit</t>
  </si>
  <si>
    <t>General Advertising Expenses</t>
  </si>
  <si>
    <t>Distribution (Enter Total of lines 3 and 11)</t>
  </si>
  <si>
    <t>Customer Accounts (Transcribe from line 4)</t>
  </si>
  <si>
    <t>Customer Service and Information</t>
  </si>
  <si>
    <t>Customer Service and Information (Transcribe from line 5)</t>
  </si>
  <si>
    <t>Sales (Transcribe from line 6)</t>
  </si>
  <si>
    <t>Administrative and General (Enter Total of lines 7 and 12)</t>
  </si>
  <si>
    <t>Distribution Loss (f)  (See Distribution Loss Schedule)</t>
  </si>
  <si>
    <t>Current and Accrued Assets</t>
  </si>
  <si>
    <t>EPA Allowances Withheld</t>
  </si>
  <si>
    <t>Deferred Debits</t>
  </si>
  <si>
    <t>CONS</t>
  </si>
  <si>
    <t>Miscellaneous Nonoperating Income</t>
  </si>
  <si>
    <t xml:space="preserve">   Less Purchased Power, Public Purpose Charge, REP Reversal, Fuel Costs</t>
  </si>
  <si>
    <t xml:space="preserve">Preliminary Survey and Investigation Charges (Electric) </t>
  </si>
  <si>
    <r>
      <t>(Less)</t>
    </r>
    <r>
      <rPr>
        <sz val="10"/>
        <color indexed="12"/>
        <rFont val="Times New Roman"/>
        <family val="1"/>
      </rPr>
      <t xml:space="preserve"> Long-Term Portion of Derivative Assets </t>
    </r>
  </si>
  <si>
    <t>Settlement Total</t>
  </si>
  <si>
    <t>MWh Purchased</t>
  </si>
  <si>
    <t>RQ</t>
  </si>
  <si>
    <t>LF</t>
  </si>
  <si>
    <t>IF</t>
  </si>
  <si>
    <t>SF</t>
  </si>
  <si>
    <t>LU</t>
  </si>
  <si>
    <t>IU</t>
  </si>
  <si>
    <t>OS</t>
  </si>
  <si>
    <t>EX</t>
  </si>
  <si>
    <t>NA</t>
  </si>
  <si>
    <t>AD</t>
  </si>
  <si>
    <t>TOTAL</t>
  </si>
  <si>
    <t>310-311</t>
  </si>
  <si>
    <t>326-327</t>
  </si>
  <si>
    <t>Purchased Power</t>
  </si>
  <si>
    <t>Single-Jurisdiction Investor-Owned Utility Return Calculation:</t>
  </si>
  <si>
    <t>Return on Rate Base</t>
  </si>
  <si>
    <r>
      <t>SUMMARY</t>
    </r>
    <r>
      <rPr>
        <sz val="12"/>
        <color indexed="62"/>
        <rFont val="Times New Roman"/>
        <family val="1"/>
      </rPr>
      <t xml:space="preserve"> </t>
    </r>
    <r>
      <rPr>
        <i/>
        <sz val="12"/>
        <color indexed="62"/>
        <rFont val="Times New Roman"/>
        <family val="1"/>
      </rPr>
      <t>(for use by ASC Forecast Model)</t>
    </r>
  </si>
  <si>
    <t>Rate of Return :</t>
  </si>
  <si>
    <t>(Total O&amp;M + Total Depreciation &amp; Amortization)</t>
  </si>
  <si>
    <t>TOTAL Operation</t>
  </si>
  <si>
    <t>TOTAL Maintenance</t>
  </si>
  <si>
    <t>TOTAL Operation and Maintenance</t>
  </si>
  <si>
    <t>Funct.                  Method</t>
  </si>
  <si>
    <t>Depreciation and Amortization Reserve</t>
  </si>
  <si>
    <t>Depreciation and Amortization Reserve (Other)</t>
  </si>
  <si>
    <t>560-567.1</t>
  </si>
  <si>
    <t>568-574</t>
  </si>
  <si>
    <t>535-540.1</t>
  </si>
  <si>
    <t>541-545.1</t>
  </si>
  <si>
    <t>546-550.1</t>
  </si>
  <si>
    <t>551-554.1</t>
  </si>
  <si>
    <t>Purchased Power - Base Period Minus 1</t>
  </si>
  <si>
    <t>Purchased Power - Base Period Minus 2</t>
  </si>
  <si>
    <t>Sales for Resale - Base Period Minus 1</t>
  </si>
  <si>
    <t>Sales for Resale - Base Period Minus 2</t>
  </si>
  <si>
    <t>Purchased Power &amp; Sales for Resale</t>
  </si>
  <si>
    <t>Total Depreciation and Amortization Reserve</t>
  </si>
  <si>
    <t>Common Plant</t>
  </si>
  <si>
    <t>356 &amp; 356.1</t>
  </si>
  <si>
    <t xml:space="preserve">Consumer-Owned Utility Return Calculation </t>
  </si>
  <si>
    <t>Consumer-Owned Utility Return Calculation:</t>
  </si>
  <si>
    <t>RESIDENTIAL PURCHASE AND SALES AGREEMENT</t>
  </si>
  <si>
    <t>Calculation: Automatic Input from Sch 1A</t>
  </si>
  <si>
    <t>(Automatic Input from Schedule 3- Expenses)</t>
  </si>
  <si>
    <t>Description</t>
  </si>
  <si>
    <t>Operations Expense Less Fuel</t>
  </si>
  <si>
    <t>Maintenance Expense</t>
  </si>
  <si>
    <t>A &amp; G costs included in NLSL Resource costs will be calculated using NLSL Functionalization Ratios.</t>
  </si>
  <si>
    <t>Purchased Power Expense</t>
  </si>
  <si>
    <t>Federal Employment Taxes</t>
  </si>
  <si>
    <t>State Employment Taxes</t>
  </si>
  <si>
    <t>Federal Employment Taxes included in NLSL Resource costs will be calculated using NLSL Functionalization Ratios.</t>
  </si>
  <si>
    <t>State Employment Taxes included in NLSL Resource costs will be calculated using NLSL Functionalization Ratios.</t>
  </si>
  <si>
    <t>Property Taxes included in NLSL Resource costs will be calculated using NLSL Functionalization Ratios.</t>
  </si>
  <si>
    <t>Maintenance and Supplies costs included in NLSL Resource costs will be calculated using NLSL Functionalization Ratios.</t>
  </si>
  <si>
    <t>Non-NLSL</t>
  </si>
  <si>
    <t>NLSL</t>
  </si>
  <si>
    <t>NLSL Production Plant</t>
  </si>
  <si>
    <t>NLSL Production Plant percent of Total Prod. Plant</t>
  </si>
  <si>
    <t>Non-NLSL Production plant percent of Total Prod. Plant</t>
  </si>
  <si>
    <t>NLSL Production Plant O&amp;M</t>
  </si>
  <si>
    <t>Total Production Plant O&amp;M</t>
  </si>
  <si>
    <t>NLSL Production Plant O&amp;M percent of Total Prod. Plant O&amp;M</t>
  </si>
  <si>
    <t>Non-NLSL Production Plant O&amp;M percent of Total Prod. Plant O&amp;M</t>
  </si>
  <si>
    <t>(Total Operating Expenses + Return on Rate Base + State and Other Taxes  - Total Other Included Items)</t>
  </si>
  <si>
    <t>Numbers</t>
  </si>
  <si>
    <t>Mining Plant Depreciation</t>
  </si>
  <si>
    <t>(From Schedule 2)</t>
  </si>
  <si>
    <t>110-112</t>
  </si>
  <si>
    <t xml:space="preserve">Other Tangible Property </t>
  </si>
  <si>
    <t>120.1-120.6</t>
  </si>
  <si>
    <t>107 &amp; 120.1</t>
  </si>
  <si>
    <t>Steam Power - Fuel</t>
  </si>
  <si>
    <t>Steam Power - Operations  (Excluding 501 - Fuel)</t>
  </si>
  <si>
    <t>Steam Power - Maintenance</t>
  </si>
  <si>
    <t>510-515</t>
  </si>
  <si>
    <t>Other Power - Operations (Excluding 547 - Fuel)</t>
  </si>
  <si>
    <t>Nuclear - Operation ( Excluding 518 -  Fuel)</t>
  </si>
  <si>
    <t>Other Power - Maintenance</t>
  </si>
  <si>
    <t>Purchased Power (Excluding REP Reversal)</t>
  </si>
  <si>
    <t>Other Expenses</t>
  </si>
  <si>
    <t>320-324</t>
  </si>
  <si>
    <t>Transportation Expenses (Non Major)</t>
  </si>
  <si>
    <t>Federal Income Tax Factor</t>
  </si>
  <si>
    <t>Property Taxes</t>
  </si>
  <si>
    <t>Page</t>
  </si>
  <si>
    <t>Number</t>
  </si>
  <si>
    <t>Utility Plant</t>
  </si>
  <si>
    <t>Other Property and Investments</t>
  </si>
  <si>
    <t>FERC Form 1</t>
  </si>
  <si>
    <t>Weighted Cost of Capital</t>
  </si>
  <si>
    <t>Sales for Resale:</t>
  </si>
  <si>
    <t>Operation and Maintenance</t>
  </si>
  <si>
    <t>Production (Enter Total of lines 1 and 9)</t>
  </si>
  <si>
    <t>Transmission (Enter Total of lines 2 and 10)</t>
  </si>
  <si>
    <t>ROR w/ Taxes</t>
  </si>
  <si>
    <t>Year in Service</t>
  </si>
  <si>
    <t xml:space="preserve">Fuel </t>
  </si>
  <si>
    <t>May</t>
  </si>
  <si>
    <t xml:space="preserve">Total </t>
  </si>
  <si>
    <t>Purchased Power Contracts (From BPA)</t>
  </si>
  <si>
    <t>PF Purchase Cost ($)</t>
  </si>
  <si>
    <t>PF Purchased Power (MWh)</t>
  </si>
  <si>
    <t>Slice Purchase Cost ($)</t>
  </si>
  <si>
    <t>Slice Purchased Power (MWh)</t>
  </si>
  <si>
    <t>PF Generic #1 Purchase ($)</t>
  </si>
  <si>
    <t>PF Generic #1 Purchasd Power (MWh)</t>
  </si>
  <si>
    <t>PF Generic #2 Purchase ($)</t>
  </si>
  <si>
    <t>PF Generic #2 Purchasd Power (MWh)</t>
  </si>
  <si>
    <t>Contract Termination ($)</t>
  </si>
  <si>
    <t>Contract Termination (MWh)</t>
  </si>
  <si>
    <t>Purchased Power Contracts (Market)</t>
  </si>
  <si>
    <t>Purchased Power (MWh)</t>
  </si>
  <si>
    <t>Transmission Expenses</t>
  </si>
  <si>
    <t>Transmission of Electricity to Others (Wheeling)</t>
  </si>
  <si>
    <t>560-567</t>
  </si>
  <si>
    <t>568-573</t>
  </si>
  <si>
    <t>Property Taxes Transmission</t>
  </si>
  <si>
    <t>Total Transmission Property</t>
  </si>
  <si>
    <t>Totals</t>
  </si>
  <si>
    <t>Total Fuel Stock</t>
  </si>
  <si>
    <t>Total Plant Materials &amp; Operating Supplies</t>
  </si>
  <si>
    <t>Total EPA Allowances</t>
  </si>
  <si>
    <t>Total Property Insurance</t>
  </si>
  <si>
    <t>Total Property Taxes</t>
  </si>
  <si>
    <t>Steam O&amp;M</t>
  </si>
  <si>
    <t>Hydro O&amp;M</t>
  </si>
  <si>
    <t>Other O&amp;M</t>
  </si>
  <si>
    <t>Total Expected Annual Generation (MWh)</t>
  </si>
  <si>
    <t>Total Firm Sales for Resale (MWh)</t>
  </si>
  <si>
    <t>Total Firm Sales for Resale ($)</t>
  </si>
  <si>
    <t>Hydro Depreciation, Total ($)</t>
  </si>
  <si>
    <t xml:space="preserve">Production </t>
  </si>
  <si>
    <t>Total Retail Load</t>
  </si>
  <si>
    <t>(Less) New Large Single Load</t>
  </si>
  <si>
    <t>Average System Cost $/MWh</t>
  </si>
  <si>
    <t>Form 1</t>
  </si>
  <si>
    <t>Step 1: Weighted Cost of Capital from Most Recent State Commission Rate Order</t>
  </si>
  <si>
    <t xml:space="preserve">Schedule 1: Plant Investment / Rate Base </t>
  </si>
  <si>
    <t xml:space="preserve">Hydraulic Production Plant </t>
  </si>
  <si>
    <t>Forfeited Discounts</t>
  </si>
  <si>
    <t>Other Electric Revenues</t>
  </si>
  <si>
    <t>Interdepartmental Rents</t>
  </si>
  <si>
    <t>Distribution of Salaries and Wages (For Labor Ratio Calculation)</t>
  </si>
  <si>
    <t>354-355</t>
  </si>
  <si>
    <t xml:space="preserve">Derivative Instrument Liabilities </t>
  </si>
  <si>
    <t>Derivative Instrument Liabilities - Hedges</t>
  </si>
  <si>
    <t>Derivative Instrument Assets - Hedges</t>
  </si>
  <si>
    <t>Ratio Table</t>
  </si>
  <si>
    <t>Labor Ratio</t>
  </si>
  <si>
    <t>General Plant Ratio</t>
  </si>
  <si>
    <t>Production, Transmission, Distribution Ratio</t>
  </si>
  <si>
    <t>PTD Ratio</t>
  </si>
  <si>
    <t>Production, Transmission, Distribution and General Plant Ratio</t>
  </si>
  <si>
    <t>General Plant Total</t>
  </si>
  <si>
    <t>PTDG RATIO</t>
  </si>
  <si>
    <t>Transmission and Distribution Plant Ratio</t>
  </si>
  <si>
    <t>TD RATIO</t>
  </si>
  <si>
    <t>Maintenance of General Plant Ratio</t>
  </si>
  <si>
    <t>GPM RATIO</t>
  </si>
  <si>
    <t>SUMMARY RATIO TABLE</t>
  </si>
  <si>
    <t>112-114</t>
  </si>
  <si>
    <r>
      <t>(less)</t>
    </r>
    <r>
      <rPr>
        <sz val="10"/>
        <color indexed="12"/>
        <rFont val="Times New Roman"/>
        <family val="1"/>
      </rPr>
      <t xml:space="preserve"> Long-Term Portion of Derivative Instrument Liabilities - Hedges</t>
    </r>
  </si>
  <si>
    <r>
      <t>(less)</t>
    </r>
    <r>
      <rPr>
        <sz val="10"/>
        <color indexed="12"/>
        <rFont val="Times New Roman"/>
        <family val="1"/>
      </rPr>
      <t xml:space="preserve"> Long-Term Portion of Derivative Instrument Liabilities</t>
    </r>
  </si>
  <si>
    <t>Distribution/Other</t>
  </si>
  <si>
    <t>Default</t>
  </si>
  <si>
    <t>Optional</t>
  </si>
  <si>
    <t>Functionalization</t>
  </si>
  <si>
    <t>Merchandise (Major Only)</t>
  </si>
  <si>
    <t>Other Materials and Supplies (Major only)</t>
  </si>
  <si>
    <t>EPA Allowance Inventory</t>
  </si>
  <si>
    <t xml:space="preserve">Multi-Jurisdiction Investor-Owned Utility Return Calculation </t>
  </si>
  <si>
    <t xml:space="preserve">Single-Jurisdiction Investor-Owned Utility Return Calculation </t>
  </si>
  <si>
    <t xml:space="preserve">Step 1: </t>
  </si>
  <si>
    <t xml:space="preserve"> Weighted Cost of Capital from Most Recent State Commission Rate Order in Jurisdiction 1</t>
  </si>
  <si>
    <t xml:space="preserve"> Weighted Cost of Capital from Most Recent State Commission Rate Order in Jurisdiction 2</t>
  </si>
  <si>
    <t xml:space="preserve"> Weighted Cost of Capital from Most Recent State Commission Rate Order in Jurisdiction 3</t>
  </si>
  <si>
    <t>Rate Base</t>
  </si>
  <si>
    <t>Weighted cost</t>
  </si>
  <si>
    <t>Weighted Return</t>
  </si>
  <si>
    <t>%</t>
  </si>
  <si>
    <r>
      <t xml:space="preserve">Multi-Jurisdiction Investor-Owned Utility Return Calculation </t>
    </r>
    <r>
      <rPr>
        <i/>
        <sz val="12"/>
        <color indexed="12"/>
        <rFont val="Times New Roman"/>
        <family val="1"/>
      </rPr>
      <t>(continued)</t>
    </r>
  </si>
  <si>
    <t>Jurisdiction</t>
  </si>
  <si>
    <t xml:space="preserve">Effective Cost - </t>
  </si>
  <si>
    <t>Allocation</t>
  </si>
  <si>
    <t>Weighted  State Allocation</t>
  </si>
  <si>
    <t>Amortization of Intangible Plant  - Account 301</t>
  </si>
  <si>
    <t>Amortization of Intangible Plant  - Account 302</t>
  </si>
  <si>
    <t xml:space="preserve">Long-Term Portion of Derivative Assets - Hedges </t>
  </si>
  <si>
    <t>112-115</t>
  </si>
  <si>
    <t>Long-Term Portion of Derivative Instrument Liabilities</t>
  </si>
  <si>
    <t>Long-Term Portion of Derivative Instrument Liabilities - Hedges</t>
  </si>
  <si>
    <t xml:space="preserve">    Note: Multi-jurisdictional utilities must begin on Page 2</t>
  </si>
  <si>
    <t xml:space="preserve">            Publicly-owned utilities must begin on Page 4</t>
  </si>
  <si>
    <t>Step 1: Weighted Cost of Debt</t>
  </si>
  <si>
    <t>Year</t>
  </si>
  <si>
    <t>Rate</t>
  </si>
  <si>
    <t>Debt Issue</t>
  </si>
  <si>
    <t>Issued</t>
  </si>
  <si>
    <t>Original</t>
  </si>
  <si>
    <t>Interest</t>
  </si>
  <si>
    <t xml:space="preserve">Interest </t>
  </si>
  <si>
    <t>Expense</t>
  </si>
  <si>
    <t>Due</t>
  </si>
  <si>
    <t>Weighted Cost of Debt</t>
  </si>
  <si>
    <t>Step 2: Calculate Return on Rate Base</t>
  </si>
  <si>
    <t>Gain from Disposition of Utility Plant</t>
  </si>
  <si>
    <t>Gain from Disposition of Allowances</t>
  </si>
  <si>
    <t>DIST</t>
  </si>
  <si>
    <t>TRANS</t>
  </si>
  <si>
    <t>PROD</t>
  </si>
  <si>
    <t>906-907</t>
  </si>
  <si>
    <t>909-910</t>
  </si>
  <si>
    <t>Total Sales Expense</t>
  </si>
  <si>
    <t>911-917</t>
  </si>
  <si>
    <t>Transmission of Electricity by Others (Wheeling)</t>
  </si>
  <si>
    <t>Amortization of Intangible Plant  - Account 303</t>
  </si>
  <si>
    <t>In-Service: Depreciation of Common Plant  (a)</t>
  </si>
  <si>
    <t>Amortization of Other Utility Plant (a)</t>
  </si>
  <si>
    <t>Allocated General Plant - Net</t>
  </si>
  <si>
    <t>Annual Depreciation Expense</t>
  </si>
  <si>
    <t>General Plant costs included in NLSL Resource costs will be calculated using NLSL Functionalization Ratios.</t>
  </si>
  <si>
    <t>Production Plant</t>
  </si>
  <si>
    <t>General Plant Depreciation expense included in NLSL Resource costs will be calculated using NLSL Functionalization Ratios.</t>
  </si>
  <si>
    <t>Total Annual Depreciation Expense</t>
  </si>
  <si>
    <t>Low Density Discount - Percentage</t>
  </si>
  <si>
    <t>TOCA - Percentage</t>
  </si>
  <si>
    <t>Non-Slice TOCA - Percentage</t>
  </si>
  <si>
    <t>Slice Percentage</t>
  </si>
  <si>
    <t>Eligible Irrigation Load</t>
  </si>
  <si>
    <t>Tier 1 Percentage</t>
  </si>
  <si>
    <t>Load Shaping Bill Det.</t>
  </si>
  <si>
    <t xml:space="preserve">     HLH</t>
  </si>
  <si>
    <t>Oct</t>
  </si>
  <si>
    <t>Nov</t>
  </si>
  <si>
    <t>Dec</t>
  </si>
  <si>
    <t>Jan</t>
  </si>
  <si>
    <t>Feb</t>
  </si>
  <si>
    <t>Mar</t>
  </si>
  <si>
    <t>Apr</t>
  </si>
  <si>
    <t>Jun</t>
  </si>
  <si>
    <t>Jul</t>
  </si>
  <si>
    <t>Aug</t>
  </si>
  <si>
    <t>Sep</t>
  </si>
  <si>
    <t xml:space="preserve">     LLH</t>
  </si>
  <si>
    <t>Demand Bill Det.</t>
  </si>
  <si>
    <t>(Total Expenses: Production + Transmission + Distribution + Customer and Sales +Total Administration and General Expenses)</t>
  </si>
  <si>
    <t xml:space="preserve">Hydraulic Production Plant - Conventional </t>
  </si>
  <si>
    <t>Hydraulic Production Plant - Pumped Storage</t>
  </si>
  <si>
    <t>Common Plant - Electric</t>
  </si>
  <si>
    <t>(Utility Plant) Held For Future Use</t>
  </si>
  <si>
    <t>CURRENT AND ACCRUED LIABILITIES</t>
  </si>
  <si>
    <t>DEFERRED CREDITS</t>
  </si>
  <si>
    <t>Fuel Stock</t>
  </si>
  <si>
    <t>Operation</t>
  </si>
  <si>
    <t>Maintenance</t>
  </si>
  <si>
    <t>Total Intangible Plant</t>
  </si>
  <si>
    <t>(Total Intangible + Total Production + Total Transmission + Total Distribution + Total General)</t>
  </si>
  <si>
    <t>Amount</t>
  </si>
  <si>
    <t>Asset Retirement Costs for General Plant</t>
  </si>
  <si>
    <t>204-208</t>
  </si>
  <si>
    <t>Investment in Associated Companies</t>
  </si>
  <si>
    <t>Other Preliminary Survey and Investigation Charges</t>
  </si>
  <si>
    <t>GP Ratio</t>
  </si>
  <si>
    <t>PTDG Ratio</t>
  </si>
  <si>
    <t>TD Ratio</t>
  </si>
  <si>
    <t>GPM Ratio</t>
  </si>
  <si>
    <t>Method</t>
  </si>
  <si>
    <t>Other Power - Fuel</t>
  </si>
  <si>
    <t>500-509</t>
  </si>
  <si>
    <t>517-525</t>
  </si>
  <si>
    <t>Other Power Supply Expenses</t>
  </si>
  <si>
    <t>System Control and Load Dispatching</t>
  </si>
  <si>
    <t>Power Production Expenses:</t>
  </si>
  <si>
    <t>Steam Power Generation</t>
  </si>
  <si>
    <t>Nuclear Power Generation</t>
  </si>
  <si>
    <t>Hydraulic Power Generation</t>
  </si>
  <si>
    <t>Other Power Generation</t>
  </si>
  <si>
    <t>Total Operations less Wheeling</t>
  </si>
  <si>
    <t>Total Maintenance</t>
  </si>
  <si>
    <t>Total Operations</t>
  </si>
  <si>
    <t>Total Customer Accounts</t>
  </si>
  <si>
    <t>Injuries and Damages</t>
  </si>
  <si>
    <t>Employee Pensions &amp; Benefits</t>
  </si>
  <si>
    <t>Franchise Requirements</t>
  </si>
  <si>
    <t>Miscellaneous General Expenses</t>
  </si>
  <si>
    <t>Regulatory Commission Expenses</t>
  </si>
  <si>
    <t>Distribution Plant</t>
  </si>
  <si>
    <t>Total Depreciation and Amortization</t>
  </si>
  <si>
    <t>Distribution Plant:</t>
  </si>
  <si>
    <t>Intangible Plant:</t>
  </si>
  <si>
    <t>LESS:</t>
  </si>
  <si>
    <t>Total Net Plant</t>
  </si>
  <si>
    <t>Nuclear Fuel</t>
  </si>
  <si>
    <t>Other Investment</t>
  </si>
  <si>
    <t>Total Rate Base</t>
  </si>
  <si>
    <t>Nuclear - Maintenance</t>
  </si>
  <si>
    <t>528-532</t>
  </si>
  <si>
    <t>Total Production Expense</t>
  </si>
  <si>
    <t>565</t>
  </si>
  <si>
    <t>Total Transmission Expense</t>
  </si>
  <si>
    <t>Distribution Expense:</t>
  </si>
  <si>
    <t>580-589</t>
  </si>
  <si>
    <t>590-598</t>
  </si>
  <si>
    <t>Total Distribution Expense</t>
  </si>
  <si>
    <t>Customer and Sales Expenses:</t>
  </si>
  <si>
    <t>901-905</t>
  </si>
  <si>
    <t>Total Customer and Sales Expenses</t>
  </si>
  <si>
    <t>Administration and General Expense:</t>
  </si>
  <si>
    <t>Rents</t>
  </si>
  <si>
    <t>Total Administration and General Expenses</t>
  </si>
  <si>
    <t>Total Operations and Maintenance</t>
  </si>
  <si>
    <t>(Weighted Cost of Capital Plus Federal Income Tax Factor)</t>
  </si>
  <si>
    <t>Step 3: Calculate Return on Rate Base</t>
  </si>
  <si>
    <t xml:space="preserve">Transmission Plant  </t>
  </si>
  <si>
    <t>Schedule 1A: Cash Working Capital  (f)</t>
  </si>
  <si>
    <t>Total Transmission O&amp;M (i)</t>
  </si>
  <si>
    <t>Schedule 2: Capital Structure and Rate of Return (b)</t>
  </si>
  <si>
    <t>Transmission Expenses: (i)</t>
  </si>
  <si>
    <t>Public Purpose Charges (h)</t>
  </si>
  <si>
    <t>Revenues from Transmission of Electricity of Others (i)</t>
  </si>
  <si>
    <t>(From Schedule 3b)</t>
  </si>
  <si>
    <t>Contract System Cost</t>
  </si>
  <si>
    <t>Total Contract System Cost</t>
  </si>
  <si>
    <t>Contract System Load (MWh)</t>
  </si>
  <si>
    <t xml:space="preserve">Total Contract System Load </t>
  </si>
  <si>
    <t>(Less)  New Large Single Load Costs (d)</t>
  </si>
  <si>
    <t>Total Retail Load (Net of NLSL) (d)</t>
  </si>
  <si>
    <t>Electric</t>
  </si>
  <si>
    <t>Distribution</t>
  </si>
  <si>
    <t>Customer Accounts</t>
  </si>
  <si>
    <t>Customer Service and Informational</t>
  </si>
  <si>
    <t>Sales</t>
  </si>
  <si>
    <t>Administrative and General</t>
  </si>
  <si>
    <t>Labor Ratio Input:</t>
  </si>
  <si>
    <t>Administrative &amp; General</t>
  </si>
  <si>
    <t>Total Labor</t>
  </si>
  <si>
    <t>Total Distribution O&amp;M</t>
  </si>
  <si>
    <t>Ratio Used</t>
  </si>
  <si>
    <t>MWh Sold</t>
  </si>
  <si>
    <t xml:space="preserve">       TOTAL </t>
  </si>
  <si>
    <t>RATIO  (GP)</t>
  </si>
  <si>
    <t>Production, Transmission, Distribution</t>
  </si>
  <si>
    <t>Transmission Plant</t>
  </si>
  <si>
    <t xml:space="preserve">    PTD Total</t>
  </si>
  <si>
    <t>Intangible Plant - Organization</t>
  </si>
  <si>
    <t>Intangible Plant - Franchises and Consents</t>
  </si>
  <si>
    <t>Transmission, Distribution</t>
  </si>
  <si>
    <t>Labor Ratios</t>
  </si>
  <si>
    <t>Direct to Distribution</t>
  </si>
  <si>
    <t>Direct to Production</t>
  </si>
  <si>
    <t>Direct to Transmission</t>
  </si>
  <si>
    <t>Direct Allocation</t>
  </si>
  <si>
    <t>Production, Transmission, Distribution, General</t>
  </si>
  <si>
    <t>Embedded</t>
  </si>
  <si>
    <t>Effective Cost</t>
  </si>
  <si>
    <t>Capitalization Structure</t>
  </si>
  <si>
    <t>Percent</t>
  </si>
  <si>
    <t>{(ROR – (Embedded Cost of Debt * (Debt / (Total Capital))} * {(Federal Tax Rate / (1- Federal Tax Rate)}</t>
  </si>
  <si>
    <t>Total Customer &amp; Sales</t>
  </si>
  <si>
    <t>Intangible Plant - Miscellaneous</t>
  </si>
  <si>
    <t>Rent from Electric Property</t>
  </si>
  <si>
    <t>Sales of Water and Water Power</t>
  </si>
  <si>
    <t>Miscellaneous Service Revenues</t>
  </si>
  <si>
    <t>Amortization of Acquisition Adjustments</t>
  </si>
  <si>
    <t>Classification</t>
  </si>
  <si>
    <t>Statistical</t>
  </si>
  <si>
    <t>Jurisdictional</t>
  </si>
  <si>
    <t>Multi-Jurisdiction Investor-Owned Utility Return Calculation:</t>
  </si>
  <si>
    <t>Energy (kWh)</t>
  </si>
  <si>
    <t>Gross Plant in Service</t>
  </si>
  <si>
    <t xml:space="preserve"> Accumulated  Depreciation</t>
  </si>
  <si>
    <t xml:space="preserve"> Net Plant In Service</t>
  </si>
  <si>
    <t>Alloc. Plant Materials &amp; Supplies</t>
  </si>
  <si>
    <t>Total "Rate Base"</t>
  </si>
  <si>
    <t>Return on Capital</t>
  </si>
  <si>
    <t>Fuel</t>
  </si>
  <si>
    <t>Allocated A&amp;G</t>
  </si>
  <si>
    <t>Fully Allocated Cost ($)</t>
  </si>
  <si>
    <t>Fully Allocated Cost ($/MWh)</t>
  </si>
  <si>
    <t xml:space="preserve">ASC Transmission </t>
  </si>
  <si>
    <t>Depreciation Expense for Asset Retirement Costs</t>
  </si>
  <si>
    <t>Amortization of Limited Term Electric Plant</t>
  </si>
  <si>
    <t>Regulatory Credits</t>
  </si>
  <si>
    <t xml:space="preserve">Property </t>
  </si>
  <si>
    <t>State Income, B&amp;O, et.</t>
  </si>
  <si>
    <t>Franchise Fees</t>
  </si>
  <si>
    <t>City/Municipal</t>
  </si>
  <si>
    <t>TOTAL TAXES</t>
  </si>
  <si>
    <t>UTILITY NAME:</t>
  </si>
  <si>
    <r>
      <t>(Less)</t>
    </r>
    <r>
      <rPr>
        <sz val="10"/>
        <color indexed="12"/>
        <rFont val="Times New Roman"/>
        <family val="1"/>
      </rPr>
      <t xml:space="preserve"> Long-Term Portion of Derivative Assets - Hedges </t>
    </r>
  </si>
  <si>
    <t>End of Year Report Period:</t>
  </si>
  <si>
    <t>ASC Filing Date:</t>
  </si>
  <si>
    <r>
      <t>(Less)</t>
    </r>
    <r>
      <rPr>
        <sz val="10"/>
        <color indexed="12"/>
        <rFont val="Times New Roman"/>
        <family val="1"/>
      </rPr>
      <t xml:space="preserve"> Loss from Disposition of Allowances</t>
    </r>
  </si>
  <si>
    <r>
      <t>(Less)</t>
    </r>
    <r>
      <rPr>
        <b/>
        <sz val="10"/>
        <color indexed="12"/>
        <rFont val="Times New Roman"/>
        <family val="1"/>
      </rPr>
      <t xml:space="preserve"> </t>
    </r>
    <r>
      <rPr>
        <sz val="10"/>
        <color indexed="12"/>
        <rFont val="Times New Roman"/>
        <family val="1"/>
      </rPr>
      <t>Regulatory Debits</t>
    </r>
  </si>
  <si>
    <r>
      <t>(Less)</t>
    </r>
    <r>
      <rPr>
        <b/>
        <sz val="10"/>
        <color indexed="12"/>
        <rFont val="Times New Roman"/>
        <family val="1"/>
      </rPr>
      <t xml:space="preserve"> </t>
    </r>
    <r>
      <rPr>
        <sz val="10"/>
        <color indexed="12"/>
        <rFont val="Times New Roman"/>
        <family val="1"/>
      </rPr>
      <t>Loss from Disposition of Utility Plant</t>
    </r>
  </si>
  <si>
    <t>Customer Assistance Expenses (Major only)</t>
  </si>
  <si>
    <t>Distribution Loss Calculation</t>
  </si>
  <si>
    <t>FY</t>
  </si>
  <si>
    <t>Distribution Losses</t>
  </si>
  <si>
    <t>Contract System Load</t>
  </si>
  <si>
    <t>Annual Load Change</t>
  </si>
  <si>
    <t>Rate Period Mid-Point From ASC Tab</t>
  </si>
  <si>
    <t>Online Year</t>
  </si>
  <si>
    <t>Online Month</t>
  </si>
  <si>
    <t>New Resource Switch (Input in ASCs Tab, 1=On, 0=Off)</t>
  </si>
  <si>
    <t>Accnt #</t>
  </si>
  <si>
    <r>
      <t xml:space="preserve">Fuel </t>
    </r>
    <r>
      <rPr>
        <b/>
        <sz val="8"/>
        <color indexed="8"/>
        <rFont val="Tahoma"/>
        <family val="2"/>
      </rPr>
      <t>(Stock)</t>
    </r>
  </si>
  <si>
    <t>EPA Allowances</t>
  </si>
  <si>
    <t>158.1-158.2</t>
  </si>
  <si>
    <t>Steam Expense</t>
  </si>
  <si>
    <t>Steam Power - Op (Excluding 501 - Fuel)</t>
  </si>
  <si>
    <t>Depreciation</t>
  </si>
  <si>
    <t>OK</t>
  </si>
  <si>
    <t>Firm Sales for Resale ($)</t>
  </si>
  <si>
    <t>OSS &amp; PP</t>
  </si>
  <si>
    <t>Firm Sales for Resale (MWh)</t>
  </si>
  <si>
    <t>Expected Annual Generation (MWh)</t>
  </si>
  <si>
    <r>
      <t xml:space="preserve">Nuclear Fuel </t>
    </r>
    <r>
      <rPr>
        <b/>
        <sz val="8"/>
        <color indexed="8"/>
        <rFont val="Tahoma"/>
        <family val="2"/>
      </rPr>
      <t>(Stock)</t>
    </r>
  </si>
  <si>
    <t>Nuclear Expense</t>
  </si>
  <si>
    <r>
      <t xml:space="preserve">Nuclear - Fuel  </t>
    </r>
    <r>
      <rPr>
        <b/>
        <sz val="8"/>
        <color indexed="8"/>
        <rFont val="Tahoma"/>
        <family val="2"/>
      </rPr>
      <t>(Expense)</t>
    </r>
  </si>
  <si>
    <t>Hydraulic Production Plant</t>
  </si>
  <si>
    <t xml:space="preserve">Hydraulic Expense  </t>
  </si>
  <si>
    <t>535-540</t>
  </si>
  <si>
    <t>541-545</t>
  </si>
  <si>
    <r>
      <t xml:space="preserve">     Hydraulic Production Plant - </t>
    </r>
    <r>
      <rPr>
        <sz val="8"/>
        <color indexed="8"/>
        <rFont val="Tahoma"/>
        <family val="2"/>
      </rPr>
      <t xml:space="preserve">Conventional </t>
    </r>
  </si>
  <si>
    <r>
      <t xml:space="preserve">     Hydraulic Production Plant - </t>
    </r>
    <r>
      <rPr>
        <sz val="8"/>
        <color indexed="8"/>
        <rFont val="Tahoma"/>
        <family val="2"/>
      </rPr>
      <t>Pumped Storage</t>
    </r>
  </si>
  <si>
    <t>Other Expense</t>
  </si>
  <si>
    <t>546-550</t>
  </si>
  <si>
    <t>551-554</t>
  </si>
  <si>
    <t>Property Taxes Production</t>
  </si>
  <si>
    <t>Total Production Property</t>
  </si>
  <si>
    <t>NRSW</t>
  </si>
  <si>
    <t>NRCOL</t>
  </si>
  <si>
    <t>Date</t>
  </si>
  <si>
    <t>Functionalization/
Escalation</t>
  </si>
  <si>
    <t>Code</t>
  </si>
  <si>
    <t>Depreciation Reserve</t>
  </si>
  <si>
    <t>Calculation</t>
  </si>
  <si>
    <t xml:space="preserve">Less: Long-Term Portion of Derivative Assets </t>
  </si>
  <si>
    <t xml:space="preserve">Less: Long-Term Portion of Derivative Assets - Hedges </t>
  </si>
  <si>
    <t xml:space="preserve">Prelim. Survey and Investigation Charges (Electric) </t>
  </si>
  <si>
    <t>(less) Long-Term Portion of Derivative Instrument Liabilities</t>
  </si>
  <si>
    <t>(less) Long-Term Portion of Derivative Instrument Liabilities - Hedges</t>
  </si>
  <si>
    <t>Customer assistance expenses (Major only)</t>
  </si>
  <si>
    <t>Schedule 3B: Other Included Items</t>
  </si>
  <si>
    <t>(Less) Regulatory Debits</t>
  </si>
  <si>
    <t>(Less) Loss from Disposition of Utility Plant</t>
  </si>
  <si>
    <t>(Less) Loss from Disposition of Allowances</t>
  </si>
  <si>
    <t>Sale for Resale:</t>
  </si>
  <si>
    <t>NLSL MWh</t>
  </si>
  <si>
    <t>Distribution Loss (f)</t>
  </si>
  <si>
    <t>PTD Ratios</t>
  </si>
  <si>
    <t>PTDG Ratios</t>
  </si>
  <si>
    <t>TD Ratios</t>
  </si>
  <si>
    <t>TDG Ratios</t>
  </si>
  <si>
    <t>LABOR Ratios</t>
  </si>
  <si>
    <t>GP Ratios</t>
  </si>
  <si>
    <t>GPM Ratios</t>
  </si>
  <si>
    <t>Off-System Sales &amp; Power Purchase Calculation</t>
  </si>
  <si>
    <t>Base Data</t>
  </si>
  <si>
    <t>New Resource LT &amp; IT Purchases &amp; Contract Terminations</t>
  </si>
  <si>
    <t>Sales for</t>
  </si>
  <si>
    <t>Resale</t>
  </si>
  <si>
    <t>Currently same as 110000, nothing in 113000</t>
  </si>
  <si>
    <t xml:space="preserve"> LT &amp; IT Purchases ($)</t>
  </si>
  <si>
    <t>New Resources Purchases/Terminations (MWh)</t>
  </si>
  <si>
    <t>New Resource Plant Additions (MWh)</t>
  </si>
  <si>
    <t>New Resource Sales/Terminations (MWh)</t>
  </si>
  <si>
    <t>New Purchases and Resource Adds available to meet load</t>
  </si>
  <si>
    <t>Base ST Purchases (MWh)</t>
  </si>
  <si>
    <t>New resource vs ST Purchases Check</t>
  </si>
  <si>
    <t>Annual ST Purchases (MWh)</t>
  </si>
  <si>
    <t>ST Purchase Power Base Price (This FY, $/MWh)</t>
  </si>
  <si>
    <t>ST Purchased Power $</t>
  </si>
  <si>
    <t>Base ST Sales for Resale (MWh)</t>
  </si>
  <si>
    <t>ST Sales from New Resource Adds (MWh)</t>
  </si>
  <si>
    <t>Annual ST Sales (MWh)</t>
  </si>
  <si>
    <t>ST Sales for Resale ($)</t>
  </si>
  <si>
    <t>ST Sales Power Price ($/MWh)</t>
  </si>
  <si>
    <t>LT &amp; IT Sales for Resale ($)</t>
  </si>
  <si>
    <t>NR Switch</t>
  </si>
  <si>
    <t>NR Column</t>
  </si>
  <si>
    <t>New Resource</t>
  </si>
  <si>
    <t>Purchased Power ($)</t>
  </si>
  <si>
    <t>Total Sale for Resale Credit</t>
  </si>
  <si>
    <t>Steam</t>
  </si>
  <si>
    <t>Name Plate Capacity</t>
  </si>
  <si>
    <t>MW</t>
  </si>
  <si>
    <t>Heat Rate</t>
  </si>
  <si>
    <t>BTU/kWh</t>
  </si>
  <si>
    <t>Unit Cost</t>
  </si>
  <si>
    <t>$/mmBTU</t>
  </si>
  <si>
    <t>Capacity Factor</t>
  </si>
  <si>
    <t>fuel cost</t>
  </si>
  <si>
    <t>Nuclear</t>
  </si>
  <si>
    <t>Hydro</t>
  </si>
  <si>
    <t>Other - Natural Gas</t>
  </si>
  <si>
    <t>Other - Bio -Fuel</t>
  </si>
  <si>
    <t>Other (Wind, Tidal, solar, etc)</t>
  </si>
  <si>
    <t>%Change from Base Case</t>
  </si>
  <si>
    <t>Total Sales &amp; Terminations ($)</t>
  </si>
  <si>
    <t>Total Sales &amp; Terminations (MWh)</t>
  </si>
  <si>
    <t>Total Purchases &amp; Terminations ($)</t>
  </si>
  <si>
    <t>Total Purchases &amp; Terminations (MWh)</t>
  </si>
  <si>
    <t>New Resources Total Expected Annual Generation (MWh)</t>
  </si>
  <si>
    <t>Total Retail Sales @ Meter</t>
  </si>
  <si>
    <t>Purchases from BPA Included in Power Purchases Above</t>
  </si>
  <si>
    <t>Cost</t>
  </si>
  <si>
    <t>PF</t>
  </si>
  <si>
    <t>Slice</t>
  </si>
  <si>
    <t>Schedule 1 - Rate Base</t>
  </si>
  <si>
    <t>TOC</t>
  </si>
  <si>
    <t>é</t>
  </si>
  <si>
    <t>3-YEAR PP &amp; OSS Worksheet</t>
  </si>
  <si>
    <t>Schedule 1A - Cash Working Capital</t>
  </si>
  <si>
    <t>Schedule 2 -Rate of Return</t>
  </si>
  <si>
    <t>Schedule 3 - Expenses</t>
  </si>
  <si>
    <t>Schedule 3A - Taxes</t>
  </si>
  <si>
    <t>Schedule 3B - Other Items</t>
  </si>
  <si>
    <t>Schedule 4 - Average System Cost</t>
  </si>
  <si>
    <t>Load Forecast</t>
  </si>
  <si>
    <t>Distribution Loss Calc</t>
  </si>
  <si>
    <t>Salaries</t>
  </si>
  <si>
    <t>Ratios</t>
  </si>
  <si>
    <t>New Resources- Individual</t>
  </si>
  <si>
    <t>New Resources-Group</t>
  </si>
  <si>
    <t>Materiality - Individual</t>
  </si>
  <si>
    <t>Materiality - Group</t>
  </si>
  <si>
    <t>Tiered Rates</t>
  </si>
  <si>
    <t>NLSL Base New Calculation</t>
  </si>
  <si>
    <t>NLSL Fully Alloc. Cost ($/MWh)</t>
  </si>
  <si>
    <t>Distribution Losses (%)</t>
  </si>
  <si>
    <t>Utility Name</t>
  </si>
  <si>
    <t>BPA Reviews:</t>
  </si>
  <si>
    <t>Table of Contents</t>
  </si>
  <si>
    <t>2008 Average System Cost Methodology (ASCM) Appendix 1</t>
  </si>
  <si>
    <t>Fiscal Year Load Forecast</t>
  </si>
  <si>
    <t>2008 Average System Cost (ASCM) Appendix 1</t>
  </si>
  <si>
    <r>
      <t xml:space="preserve">                                                      </t>
    </r>
    <r>
      <rPr>
        <b/>
        <sz val="12"/>
        <color indexed="57"/>
        <rFont val="Times New Roman"/>
        <family val="1"/>
      </rPr>
      <t xml:space="preserve">   </t>
    </r>
    <r>
      <rPr>
        <sz val="12"/>
        <rFont val="Times New Roman"/>
        <family val="1"/>
      </rPr>
      <t xml:space="preserve">            </t>
    </r>
    <r>
      <rPr>
        <b/>
        <sz val="12"/>
        <color indexed="12"/>
        <rFont val="Times New Roman"/>
        <family val="1"/>
      </rPr>
      <t>2/19/2010</t>
    </r>
  </si>
  <si>
    <t>Utility:</t>
  </si>
  <si>
    <t/>
  </si>
  <si>
    <t>Distribution/           Other</t>
  </si>
  <si>
    <t>Distribution/  Other</t>
  </si>
  <si>
    <t>Distribution/      Other</t>
  </si>
  <si>
    <t>Distribution/   Other</t>
  </si>
  <si>
    <t>Distribution/          Other</t>
  </si>
  <si>
    <t>Distribution/            Other</t>
  </si>
  <si>
    <t>Lookback Share-Slice %</t>
  </si>
  <si>
    <t>Lookback Share-Non-Slice %</t>
  </si>
  <si>
    <t>Existing Resources (aMW)</t>
  </si>
  <si>
    <t>Above-RHWM Load (aMW)</t>
  </si>
  <si>
    <t>New Large Single Load (aMW)</t>
  </si>
  <si>
    <t>Total Retail Load (aMW)</t>
  </si>
  <si>
    <t>Fiscal Year MWh</t>
  </si>
  <si>
    <t>Above-RHWM Production Plant</t>
  </si>
  <si>
    <t>Above-RHWM Production Plant percent of Total Prod. Plant</t>
  </si>
  <si>
    <t>Above-RHWM Production Plant O&amp;M</t>
  </si>
  <si>
    <t>Above-RHWM Production Plant O&amp;M percent of Total Prod. Plant O&amp;M</t>
  </si>
  <si>
    <t>(Less)  Above-RHWM Load Costs (d)</t>
  </si>
  <si>
    <t>(Less) Above-RHWM Load</t>
  </si>
  <si>
    <t>With</t>
  </si>
  <si>
    <t>With NLSL and</t>
  </si>
  <si>
    <t>or Above-RHWM Load</t>
  </si>
  <si>
    <t>Above-RHWM Load</t>
  </si>
  <si>
    <t>Removed</t>
  </si>
  <si>
    <t>Above-RHWM</t>
  </si>
  <si>
    <t>NLSL MWH</t>
  </si>
  <si>
    <t>Above-RHWM Load MWh</t>
  </si>
  <si>
    <t>Account 557 Disallowed Amounts</t>
  </si>
  <si>
    <t>Load for Dist Plant Adds</t>
  </si>
  <si>
    <t>Base Period NLSL MWh</t>
  </si>
  <si>
    <t>New NLSL MWh</t>
  </si>
  <si>
    <t>Total NLSL MWh</t>
  </si>
  <si>
    <t>Average Cost of Post-2006 Resources</t>
  </si>
  <si>
    <t>Slice Surplus (aMW)</t>
  </si>
  <si>
    <t>Tier 1</t>
  </si>
  <si>
    <t>BPA Purch-Other</t>
  </si>
  <si>
    <t>Refund Amount</t>
  </si>
  <si>
    <t>A-RHWM Ratios</t>
  </si>
  <si>
    <t>Above-RHWM Base Calc</t>
  </si>
  <si>
    <t>Distribution Loss Percentage</t>
  </si>
  <si>
    <t>Wind Resource Reporting Form</t>
  </si>
  <si>
    <t>Plant Name</t>
  </si>
  <si>
    <t>Year In-Service</t>
  </si>
  <si>
    <t>Number of Turbines</t>
  </si>
  <si>
    <t>Capacity of individual turbine</t>
  </si>
  <si>
    <t>Year Originally Constructed</t>
  </si>
  <si>
    <t>Year Last Unit was Installed</t>
  </si>
  <si>
    <t xml:space="preserve">Total Installed Cap (Max Gen Name Plate Ratings-MW) </t>
  </si>
  <si>
    <t xml:space="preserve">Net Peak Demand on Plant - MW (60 minutes) </t>
  </si>
  <si>
    <t xml:space="preserve">Plant Hours Connected to Load </t>
  </si>
  <si>
    <t xml:space="preserve">Net Continuous Plant Capability (Megawatts) </t>
  </si>
  <si>
    <t>Average Number of Employees</t>
  </si>
  <si>
    <t>Net Generation, Exclusive of Plant Use - kWh</t>
  </si>
  <si>
    <t>Cost of Plant: Land and Land Rights</t>
  </si>
  <si>
    <t>Equipment Costs</t>
  </si>
  <si>
    <t>Asset Retirement Costs</t>
  </si>
  <si>
    <t xml:space="preserve">Total Cost </t>
  </si>
  <si>
    <t xml:space="preserve">Cost per KW of Installed Capacity (line 17/6) </t>
  </si>
  <si>
    <t>Production Expenses: Oper, Supv, &amp; Engr</t>
  </si>
  <si>
    <t>Electric Expenses</t>
  </si>
  <si>
    <t xml:space="preserve">Rents </t>
  </si>
  <si>
    <t>Allowances</t>
  </si>
  <si>
    <t>Maintenance Supervision and Engineering</t>
  </si>
  <si>
    <t>Maintenance of Structures</t>
  </si>
  <si>
    <t xml:space="preserve">Maintenance of Electric Plant </t>
  </si>
  <si>
    <t xml:space="preserve">Total Production Expenses </t>
  </si>
  <si>
    <t xml:space="preserve">Expenses per Net KWh </t>
  </si>
  <si>
    <t>Wind_Resources_Costs</t>
  </si>
  <si>
    <t>Maintenance and Supplies costs included in Above-RHWM Resource costs will be calculated using Above-RHWM Functionalization Ratios.</t>
  </si>
  <si>
    <t>General Plant costs included in Above-RHWM Resource costs will be calculated using Above-RHWM Functionalization Ratios.</t>
  </si>
  <si>
    <t>General Plant Depreciation expense included in Above-RHWM Resource costs will be calculated using Above-RHWM Functionalization Ratios.</t>
  </si>
  <si>
    <t>A &amp; G costs included in Above-RHWM Resource costs will be calculated using Above-RHWM Functionalization Ratios.</t>
  </si>
  <si>
    <t>Federal Employment Taxes included in Above-RHWM Resource costs will be calculated using Above-RHWM Functionalization Ratios.</t>
  </si>
  <si>
    <t>State Employment Taxes included in Above-RHWM Resource costs will be calculated using Above-RHWM Functionalization Ratios.</t>
  </si>
  <si>
    <t>Property Taxes included in Above-RHWM Resource costs will be calculated using Above-RHWM Functionalization Ratios.</t>
  </si>
  <si>
    <t>Annual Output</t>
  </si>
  <si>
    <t>Accumulated Depreciation</t>
  </si>
  <si>
    <t>Base Period MWh</t>
  </si>
  <si>
    <t>Forecast Fiscal Year MWh</t>
  </si>
  <si>
    <t>New Resource Group Number</t>
  </si>
  <si>
    <t>to</t>
  </si>
  <si>
    <t>New Resource Group</t>
  </si>
  <si>
    <t>General Plant-Tran &amp; Dist</t>
  </si>
  <si>
    <t>TDG RATIO</t>
  </si>
  <si>
    <t>Cell E6</t>
  </si>
  <si>
    <t>Change from:</t>
  </si>
  <si>
    <t>Cell E7</t>
  </si>
  <si>
    <t>Average Cost of Post-1979 Base Period Resources</t>
  </si>
  <si>
    <t>Change dates in Sch 1- Rate Base Tab</t>
  </si>
  <si>
    <t>Cell A47</t>
  </si>
  <si>
    <t>Change from</t>
  </si>
  <si>
    <t>Updated all Footers from</t>
  </si>
  <si>
    <t>TIER 1 Load (aMW)</t>
  </si>
  <si>
    <t>In New Resources-Individual and New Resources Group Tabs</t>
  </si>
  <si>
    <t>Cell B3</t>
  </si>
  <si>
    <t>In NLSL_Base_New_Calc Tab</t>
  </si>
  <si>
    <t>In Above-RHWM_Base_New_Calc Tab</t>
  </si>
  <si>
    <t>Federal Income Tax Rate   (21% during Base Period)</t>
  </si>
  <si>
    <t>Pre-slice surplus</t>
  </si>
  <si>
    <t>310-317</t>
  </si>
  <si>
    <t>320-326</t>
  </si>
  <si>
    <t>330-337</t>
  </si>
  <si>
    <t>350-359.1</t>
  </si>
  <si>
    <t>360-374</t>
  </si>
  <si>
    <t>2021 cost of serving NLSLs under Endnote d</t>
  </si>
  <si>
    <t>2021 cost of serving Above-RHWM Loads under Endnote d</t>
  </si>
  <si>
    <t>FY 2024-2025 ASC Filing</t>
  </si>
  <si>
    <t>262-263</t>
  </si>
  <si>
    <t>114-117</t>
  </si>
  <si>
    <t>FunctionalizationDefault</t>
  </si>
  <si>
    <t>FunctionalizationOption</t>
  </si>
  <si>
    <t>Distribution Plant (reserve)</t>
  </si>
  <si>
    <t>Customer Service and Information (906-907)</t>
  </si>
  <si>
    <t>Customer Service and Information (909-910)</t>
  </si>
  <si>
    <t>Amortization of Intangible Plant  - Account 301 (expense)</t>
  </si>
  <si>
    <t>Amortization of Intangible Plant  - Account 302 (expense)</t>
  </si>
  <si>
    <t>Amortization of Intangible Plant  - Account 303 (expense)</t>
  </si>
  <si>
    <t>Steam Production Plant (expense)</t>
  </si>
  <si>
    <t>Nuclear Production Plant (expense)</t>
  </si>
  <si>
    <t>Other Production Plant (expense)</t>
  </si>
  <si>
    <t>Transmission Plant (i) (expense)</t>
  </si>
  <si>
    <t>Distribution Plant (expense)</t>
  </si>
  <si>
    <t>General Plant (expense)</t>
  </si>
  <si>
    <t>Common Plant - Electric - Account 403</t>
  </si>
  <si>
    <t>Common Plant - Electric - Account 404</t>
  </si>
  <si>
    <t>(Less)  Above-RHWM Costs (d)</t>
  </si>
  <si>
    <t>Above-</t>
  </si>
  <si>
    <t>RHWM MWh</t>
  </si>
  <si>
    <t>Production (labor)</t>
  </si>
  <si>
    <t>Transmission (labor)</t>
  </si>
  <si>
    <t>Distribution (labor)</t>
  </si>
  <si>
    <t>Customer Accounts (labor)</t>
  </si>
  <si>
    <t>Customer Service and Informational (labor)</t>
  </si>
  <si>
    <t>Sales (labor)</t>
  </si>
  <si>
    <t>Administrative &amp; General (labor)</t>
  </si>
  <si>
    <t>AccountName</t>
  </si>
  <si>
    <t>Utility</t>
  </si>
  <si>
    <t>SystemCost</t>
  </si>
  <si>
    <t>SystemLoad</t>
  </si>
  <si>
    <t>ASC</t>
  </si>
  <si>
    <t>In Schedule 1 - Rate Base</t>
  </si>
  <si>
    <t xml:space="preserve">FY 2026-2028 ASC Appendix 1 </t>
  </si>
  <si>
    <t>2023 cost of serving NLSLs under Endnote d</t>
  </si>
  <si>
    <t>2023 cost of serving Above-RHWM Loads under Endnote d</t>
  </si>
  <si>
    <t>Midpoint is different because of the three year rate period</t>
  </si>
  <si>
    <t>340-348</t>
  </si>
  <si>
    <t>Check all account numbers</t>
  </si>
  <si>
    <t>TOTAL ASSETS (lines 14-16, 32, 67, and 84)</t>
  </si>
  <si>
    <t>Avista Corporation</t>
  </si>
  <si>
    <t>Total Deferred Debits (lines 69 through 83)</t>
  </si>
  <si>
    <t>Unrecovered Purchased Gas Costs (191)</t>
  </si>
  <si>
    <t>234</t>
  </si>
  <si>
    <t>Accumulated Deferred Income Taxes (190)</t>
  </si>
  <si>
    <t>Unamortized Loss on Reaquired Debt (189)</t>
  </si>
  <si>
    <t>352-353</t>
  </si>
  <si>
    <t>Research, Devel. and Demonstration Expend. (188)</t>
  </si>
  <si>
    <t>Def. Losses from Disposition of Utility Plt. (187)</t>
  </si>
  <si>
    <t>233</t>
  </si>
  <si>
    <t>Miscellaneous Deferred Debits (186)</t>
  </si>
  <si>
    <t>Temporary Facilities (185)</t>
  </si>
  <si>
    <t>Clearing Accounts (184)</t>
  </si>
  <si>
    <t>Other Preliminary Survey and Investigation Charges (183.2)</t>
  </si>
  <si>
    <t>Preliminary Natural Gas Survey and Investigation Charges 183.1)</t>
  </si>
  <si>
    <t>Prelim. Survey and Investigation Charges (Electric) (183)</t>
  </si>
  <si>
    <t>232</t>
  </si>
  <si>
    <t>Other Regulatory Assets (182.3)</t>
  </si>
  <si>
    <t>230b</t>
  </si>
  <si>
    <t>Unrecovered Plant and Regulatory Study Costs (182.2)</t>
  </si>
  <si>
    <t>230a</t>
  </si>
  <si>
    <t>Extraordinary Property Losses (182.1)</t>
  </si>
  <si>
    <t>Unamortized Debt Expenses (181)</t>
  </si>
  <si>
    <t>DEFERRED DEBITS</t>
  </si>
  <si>
    <t>Total Current and Accrued Assets (Lines 34 through 66)</t>
  </si>
  <si>
    <t>(Less) Long-Term Portion of Derivative Instrument Assets - Hedges (176</t>
  </si>
  <si>
    <t>Derivative Instrument Assets - Hedges (176)</t>
  </si>
  <si>
    <t>(Less) Long-Term Portion of Derivative Instrument Assets (175)</t>
  </si>
  <si>
    <t>Derivative Instrument Assets (175)</t>
  </si>
  <si>
    <t>Miscellaneous Current and Accrued Assets (174)</t>
  </si>
  <si>
    <t>Accrued Utility Revenues (173)</t>
  </si>
  <si>
    <t>Rents Receivable (172)</t>
  </si>
  <si>
    <t>Interest and Dividends Receivable (171)</t>
  </si>
  <si>
    <t>Advances for Gas (166-167)</t>
  </si>
  <si>
    <t>Prepayments (165)</t>
  </si>
  <si>
    <t>Liquefied Natural Gas Stored and Held for Processing (164.2-164.3)</t>
  </si>
  <si>
    <t>Gas Stored Underground - Current (164.1)</t>
  </si>
  <si>
    <t>227</t>
  </si>
  <si>
    <t>Stores Expense Undistributed (163)</t>
  </si>
  <si>
    <t>(Less) Noncurrent Portion of Allowances</t>
  </si>
  <si>
    <t>228-229</t>
  </si>
  <si>
    <t>Allowances (158.1 and 158.2)</t>
  </si>
  <si>
    <t>202-203/227</t>
  </si>
  <si>
    <t>Nuclear Materials Held for Sale (157)</t>
  </si>
  <si>
    <t>Other Materials and Supplies (156)</t>
  </si>
  <si>
    <t>Merchandise (155)</t>
  </si>
  <si>
    <t>Plant Materials and Operating Supplies (154)</t>
  </si>
  <si>
    <t>Residuals (Elec) and Extracted Products (153)</t>
  </si>
  <si>
    <t>Fuel Stock Expenses Undistributed (152)</t>
  </si>
  <si>
    <t>Fuel Stock (151)</t>
  </si>
  <si>
    <t>Accounts Receivable from Assoc. Companies (146)</t>
  </si>
  <si>
    <t>Notes Receivable from Associated Companies (145)</t>
  </si>
  <si>
    <t>(Less) Accum. Prov. for Uncollectible Acct.-Credit (144)</t>
  </si>
  <si>
    <t>Other Accounts Receivable (143)</t>
  </si>
  <si>
    <t>Customer Accounts Receivable (142)</t>
  </si>
  <si>
    <t>Notes Receivable (141)</t>
  </si>
  <si>
    <t>Temporary Cash Investments (136)</t>
  </si>
  <si>
    <t>Working Fund (135)</t>
  </si>
  <si>
    <t>Special Deposits (132-134)</t>
  </si>
  <si>
    <t>Cash (131)</t>
  </si>
  <si>
    <t>Cash and Working Funds (Non-major Only) (130)</t>
  </si>
  <si>
    <t>CURRENT AND ACCRUED ASSETS</t>
  </si>
  <si>
    <t>TOTAL Other Property and Investments (Lines 18-21 and 23-31)</t>
  </si>
  <si>
    <t>Long-Term Portion of Derivative Assets – Hedges (176)</t>
  </si>
  <si>
    <t>Long-Term Portion of Derivative Assets (175)</t>
  </si>
  <si>
    <t>Special Funds (Non Major Only) (129)</t>
  </si>
  <si>
    <t>Other Special Funds (128)</t>
  </si>
  <si>
    <t>Amortization Fund - Federal (127)</t>
  </si>
  <si>
    <t>Depreciation Fund (126)</t>
  </si>
  <si>
    <t>Sinking Funds (125)</t>
  </si>
  <si>
    <t>Other Investments (124)</t>
  </si>
  <si>
    <t>Noncurrent Portion of Allowances</t>
  </si>
  <si>
    <t>(For Cost of Account 123.1, See Footnote Page 224, line 42)</t>
  </si>
  <si>
    <t>224-225</t>
  </si>
  <si>
    <t>Investment in Subsidiary Companies (123.1)</t>
  </si>
  <si>
    <t>Investments in Associated Companies (123)</t>
  </si>
  <si>
    <t>(Less) Accum. Prov. for Depr. and Amort. (122)</t>
  </si>
  <si>
    <t>Nonutility Property (121)</t>
  </si>
  <si>
    <t>OTHER PROPERTY AND INVESTMENTS</t>
  </si>
  <si>
    <t>Gas Stored Underground - Noncurrent (117)</t>
  </si>
  <si>
    <t>Utility Plant Adjustments (116)</t>
  </si>
  <si>
    <t>Net Utility Plant (Enter Total of lines 6 and 13)</t>
  </si>
  <si>
    <t>Net Nuclear Fuel (Enter Total of lines 7-11 less 12)</t>
  </si>
  <si>
    <t>202-203</t>
  </si>
  <si>
    <t>(Less) Accum. Prov. for Amort. of Nucl. Fuel Assemblies (120.5)</t>
  </si>
  <si>
    <t>Nuclear Fuel Under Capital Leases (120.6)</t>
  </si>
  <si>
    <t>Spent Nuclear Fuel (120.4)</t>
  </si>
  <si>
    <t>Nuclear Fuel Assemblies in Reactor (120.3)</t>
  </si>
  <si>
    <t>Nuclear Fuel Materials and Assemblies-Stock Account (120.2)</t>
  </si>
  <si>
    <t>Nuclear Fuel in Process of Ref., Conv.,Enrich., and Fab. (120.1)</t>
  </si>
  <si>
    <t>Net Utility Plant (Enter Total of line 4 less 5)</t>
  </si>
  <si>
    <t>(Less) Accum. Prov. for Depr. Amort. Depl. (108, 110, 111, 115)</t>
  </si>
  <si>
    <t>TOTAL Utility Plant (Enter Total of lines 2 and 3)</t>
  </si>
  <si>
    <t>Construction Work in Progress (107)</t>
  </si>
  <si>
    <t>Utility Plant (101-106, 114)</t>
  </si>
  <si>
    <t>UTILITY PLANT</t>
  </si>
  <si>
    <t>pri_yr_q4_bal</t>
  </si>
  <si>
    <t>end_qtr_bal</t>
  </si>
  <si>
    <t>end_bal</t>
  </si>
  <si>
    <t>beg_bal</t>
  </si>
  <si>
    <t>ref_pg</t>
  </si>
  <si>
    <t>row_lit</t>
  </si>
  <si>
    <t>spplmnt_num</t>
  </si>
  <si>
    <t>row_number</t>
  </si>
  <si>
    <t>report_prd</t>
  </si>
  <si>
    <t>report_yr</t>
  </si>
  <si>
    <t>resp_id</t>
  </si>
  <si>
    <t>resp_name</t>
  </si>
  <si>
    <t>TOTAL LIABILITIES AND STOCKHOLDER EQUITY (lines 16, 24, 35, 54 and 65)</t>
  </si>
  <si>
    <t>Total Deferred Credits (lines 56 through 64)</t>
  </si>
  <si>
    <t>Accum. Deferred Income Taxes-Other (283)</t>
  </si>
  <si>
    <t>Accum. Deferred Income Taxes-Other Property (282)</t>
  </si>
  <si>
    <t>272-277</t>
  </si>
  <si>
    <t>Accum. Deferred Income Taxes-Accel. Amort.(281)</t>
  </si>
  <si>
    <t>Unamortized Gain on Reaquired Debt (257)</t>
  </si>
  <si>
    <t>278</t>
  </si>
  <si>
    <t>Other Regulatory Liabilities (254)</t>
  </si>
  <si>
    <t>269</t>
  </si>
  <si>
    <t>Other Deferred Credits (253)</t>
  </si>
  <si>
    <t>Deferred Gains from Disposition of Utility Plant (256)</t>
  </si>
  <si>
    <t>266-267</t>
  </si>
  <si>
    <t>Accumulated Deferred Investment Tax Credits (255)</t>
  </si>
  <si>
    <t>Customer Advances for Construction (252)</t>
  </si>
  <si>
    <t>Total Current and Accrued Liabilities (lines 37 through 53)</t>
  </si>
  <si>
    <t>(Less) Long-Term Portion of Derivative Instrument Liabilities-Hedges</t>
  </si>
  <si>
    <t>Derivative Instrument Liabilities - Hedges (245)</t>
  </si>
  <si>
    <t>(Less) Long-Term Portion of Derivative Instrument Liabilities</t>
  </si>
  <si>
    <t>Derivative Instrument Liabilities (244)</t>
  </si>
  <si>
    <t>Obligations Under Capital Leases-Current (243)</t>
  </si>
  <si>
    <t>Miscellaneous Current and Accrued Liabilities (242)</t>
  </si>
  <si>
    <t>Tax Collections Payable (241)</t>
  </si>
  <si>
    <t>Matured Interest (240)</t>
  </si>
  <si>
    <t>Matured Long-Term Debt (239)</t>
  </si>
  <si>
    <t>Dividends Declared (238)</t>
  </si>
  <si>
    <t>Interest Accrued (237)</t>
  </si>
  <si>
    <t>Taxes Accrued (236)</t>
  </si>
  <si>
    <t>Customer Deposits (235)</t>
  </si>
  <si>
    <t>Accounts Payable to Associated Companies (234)</t>
  </si>
  <si>
    <t>Notes Payable to Associated Companies (233)</t>
  </si>
  <si>
    <t>Accounts Payable (232)</t>
  </si>
  <si>
    <t>Notes Payable (231)</t>
  </si>
  <si>
    <t>Total Other Noncurrent Liabilities (lines 26 through 34)</t>
  </si>
  <si>
    <t>Asset Retirement Obligations (230)</t>
  </si>
  <si>
    <t>Accumulated Provision for Rate Refunds (229)</t>
  </si>
  <si>
    <t>Accumulated Miscellaneous Operating Provisions (228.4)</t>
  </si>
  <si>
    <t>Accumulated Provision for Pensions and Benefits (228.3)</t>
  </si>
  <si>
    <t>Accumulated Provision for Injuries and Damages (228.2)</t>
  </si>
  <si>
    <t>Accumulated Provision for Property Insurance (228.1)</t>
  </si>
  <si>
    <t>Obligations Under Capital Leases - Noncurrent (227)</t>
  </si>
  <si>
    <t>OTHER NONCURRENT LIABILITIES</t>
  </si>
  <si>
    <t>Total Long-Term Debt (lines 18 through 23)</t>
  </si>
  <si>
    <t>(Less) Unamortized Discount on Long-Term Debt-Debit (226)</t>
  </si>
  <si>
    <t>Unamortized Premium on Long-Term Debt (225)</t>
  </si>
  <si>
    <t>256-257</t>
  </si>
  <si>
    <t>Other Long-Term Debt (224)</t>
  </si>
  <si>
    <t>Advances from Associated Companies (223)</t>
  </si>
  <si>
    <t>(Less) Reaquired Bonds (222)</t>
  </si>
  <si>
    <t>Bonds (221)</t>
  </si>
  <si>
    <t>LONG-TERM DEBT</t>
  </si>
  <si>
    <t>Total Proprietary Capital (lines 2 through 15)</t>
  </si>
  <si>
    <t>122(a)(b)</t>
  </si>
  <si>
    <t>Accumulated Other Comprehensive Income (219)</t>
  </si>
  <si>
    <t xml:space="preserve"> Noncorporate Proprietorship (Non-major only) (218)</t>
  </si>
  <si>
    <t>250-251</t>
  </si>
  <si>
    <t>(Less) Reaquired Capital Stock (217)</t>
  </si>
  <si>
    <t>118-119</t>
  </si>
  <si>
    <t>Unappropriated Undistributed Subsidiary Earnings (216.1)</t>
  </si>
  <si>
    <t>Retained Earnings (215, 215.1, 216)</t>
  </si>
  <si>
    <t>254b</t>
  </si>
  <si>
    <t>(Less) Capital Stock Expense (214)</t>
  </si>
  <si>
    <t>254</t>
  </si>
  <si>
    <t>(Less) Discount on Capital Stock (213)</t>
  </si>
  <si>
    <t>252</t>
  </si>
  <si>
    <t>Installments Received on Capital Stock (212)</t>
  </si>
  <si>
    <t>253</t>
  </si>
  <si>
    <t>Other Paid-In Capital (208-211)</t>
  </si>
  <si>
    <t>Premium on Capital Stock (207)</t>
  </si>
  <si>
    <t>Stock Liability for Conversion (203, 206)</t>
  </si>
  <si>
    <t>Capital Stock Subscribed (202, 205)</t>
  </si>
  <si>
    <t>Preferred Stock Issued (204)</t>
  </si>
  <si>
    <t>Common Stock Issued (201)</t>
  </si>
  <si>
    <t>PROPRIETARY CAPITAL</t>
  </si>
  <si>
    <t>Net Income (Total of line 71 and 77)</t>
  </si>
  <si>
    <t>Extraordinary Items After Taxes (line 75 less line 76)</t>
  </si>
  <si>
    <t>Income Taxes-Federal and Other (409.3)</t>
  </si>
  <si>
    <t>Net Extraordinary Items (Total of line 73 less line 74)</t>
  </si>
  <si>
    <t>(Less) Extraordinary Deductions (435)</t>
  </si>
  <si>
    <t>Extraordinary Income (434)</t>
  </si>
  <si>
    <t>Extraordinary Items</t>
  </si>
  <si>
    <t>Income Before Extraordinary Items (Total of lines 27, 60 and 70)</t>
  </si>
  <si>
    <t>Net Interest Charges (Total of lines 62 thru 69)</t>
  </si>
  <si>
    <t>(Less) Allowance for Borrowed Funds Used During Construction-Cr. (432)</t>
  </si>
  <si>
    <t>Other Interest Expense (431)</t>
  </si>
  <si>
    <t>Interest on Debt to Assoc. Companies (430)</t>
  </si>
  <si>
    <t>(Less) Amortization of Gain on Reaquired Debt-Credit (429.1)</t>
  </si>
  <si>
    <t>(Less) Amort. of Premium on Debt-Credit (429)</t>
  </si>
  <si>
    <t>Amortization of Loss on Reaquired Debt (428.1)</t>
  </si>
  <si>
    <t>Amort. of Debt Disc. and Expense (428)</t>
  </si>
  <si>
    <t>Interest on Long-Term Debt (427)</t>
  </si>
  <si>
    <t>Interest Charges</t>
  </si>
  <si>
    <t>Net Other Income and Deductions (Total of lines 41, 50, 59)</t>
  </si>
  <si>
    <t>TOTAL Taxes on Other Income and Deductions (Total of lines 52-58)</t>
  </si>
  <si>
    <t>(Less) Investment Tax Credits (420)</t>
  </si>
  <si>
    <t>Investment Tax Credit Adj.-Net (411.5)</t>
  </si>
  <si>
    <t>234, 272-277</t>
  </si>
  <si>
    <t>(Less) Provision for Deferred Income Taxes-Cr. (411.2)</t>
  </si>
  <si>
    <t>Provision for Deferred Inc. Taxes (410.2)</t>
  </si>
  <si>
    <t>Income Taxes-Other (409.2)</t>
  </si>
  <si>
    <t>Income Taxes-Federal (409.2)</t>
  </si>
  <si>
    <t>Taxes Other Than Income Taxes (408.2)</t>
  </si>
  <si>
    <t>Taxes Applic. to Other Income and Deductions</t>
  </si>
  <si>
    <t>TOTAL Other Income Deductions (Total of lines 43 thru 49)</t>
  </si>
  <si>
    <t xml:space="preserve">  Other Deductions (426.5)</t>
  </si>
  <si>
    <t xml:space="preserve">  Exp. for Certain Civic, Political &amp; Related Activities (426.4)</t>
  </si>
  <si>
    <t xml:space="preserve">  Penalties (426.3)</t>
  </si>
  <si>
    <t xml:space="preserve">  Life Insurance (426.2)</t>
  </si>
  <si>
    <t xml:space="preserve">  Donations (426.1)</t>
  </si>
  <si>
    <t>Miscellaneous Amortization (425)</t>
  </si>
  <si>
    <t>Loss on Disposition of Property (421.2)</t>
  </si>
  <si>
    <t>Other Income Deductions</t>
  </si>
  <si>
    <t>TOTAL Other Income (Enter Total of lines 31 thru 40)</t>
  </si>
  <si>
    <t>Gain on Disposition of Property (421.1)</t>
  </si>
  <si>
    <t>Miscellaneous Nonoperating Income (421)</t>
  </si>
  <si>
    <t>Allowance for Other Funds Used During Construction (419.1)</t>
  </si>
  <si>
    <t>Interest and Dividend Income (419)</t>
  </si>
  <si>
    <t>119</t>
  </si>
  <si>
    <t>Equity in Earnings of Subsidiary Companies (418.1)</t>
  </si>
  <si>
    <t>Nonoperating Rental Income (418)</t>
  </si>
  <si>
    <t>(Less) Expenses of Nonutility Operations (417.1)</t>
  </si>
  <si>
    <t>Revenues From Nonutility Operations (417)</t>
  </si>
  <si>
    <t>(Less) Costs and Exp. of Merchandising, Job. &amp; Contract Work (416)</t>
  </si>
  <si>
    <t>Revenues From Merchandising, Jobbing and Contract Work (415)</t>
  </si>
  <si>
    <t>Nonutilty Operating Income</t>
  </si>
  <si>
    <t>Other Income</t>
  </si>
  <si>
    <t>Other Income and Deductions</t>
  </si>
  <si>
    <t>Net Utility Operating Income (Carried forward from page 114)</t>
  </si>
  <si>
    <t>Net Util Oper Inc (Enter Tot line 2 less 25) Carry to Pg117,line 27</t>
  </si>
  <si>
    <t>TOTAL Utility Operating Expenses (Enter Total of lines 4 thru 24)</t>
  </si>
  <si>
    <t>Accretion Expense (411.10)</t>
  </si>
  <si>
    <t>Losses from Disposition of Allowances (411.9)</t>
  </si>
  <si>
    <t>(Less) Gains from Disposition of Allowances (411.8)</t>
  </si>
  <si>
    <t>Losses from Disp. of Utility Plant (411.7)</t>
  </si>
  <si>
    <t>(Less) Gains from Disp. of Utility Plant (411.6)</t>
  </si>
  <si>
    <t>266</t>
  </si>
  <si>
    <t>Investment Tax Credit Adj. - Net (411.4)</t>
  </si>
  <si>
    <t>(Less) Provision for Deferred Income Taxes-Cr. (411.1)</t>
  </si>
  <si>
    <t>Provision for Deferred Income Taxes (410.1)</t>
  </si>
  <si>
    <t xml:space="preserve">             - Other (409.1)</t>
  </si>
  <si>
    <t>Income Taxes - Federal (409.1)</t>
  </si>
  <si>
    <t>Taxes Other Than Income Taxes (408.1)</t>
  </si>
  <si>
    <t>(Less) Regulatory Credits (407.4)</t>
  </si>
  <si>
    <t>Regulatory Debits (407.3)</t>
  </si>
  <si>
    <t>Amort. of Conversion Expenses (407)</t>
  </si>
  <si>
    <t>Amort. Property Losses, Unrecov Plant and Regulatory Study Costs (407)</t>
  </si>
  <si>
    <t>336-337</t>
  </si>
  <si>
    <t>Amort. of Utility Plant Acq. Adj. (406)</t>
  </si>
  <si>
    <t>Amort. &amp; Depl. of Utility Plant (404-405)</t>
  </si>
  <si>
    <t>Depreciation Expense for Asset Retirement Costs (403.1)</t>
  </si>
  <si>
    <t>Depreciation Expense (403)</t>
  </si>
  <si>
    <t>Maintenance Expenses (402)</t>
  </si>
  <si>
    <t>Operation Expenses (401)</t>
  </si>
  <si>
    <t>Operating Expenses</t>
  </si>
  <si>
    <t>300-301</t>
  </si>
  <si>
    <t>Operating Revenues (400)</t>
  </si>
  <si>
    <t>UTILITY OPERATING INCOME</t>
  </si>
  <si>
    <t>ref_page</t>
  </si>
  <si>
    <t>prev_yr_other_4</t>
  </si>
  <si>
    <t>cy_other_total_4</t>
  </si>
  <si>
    <t>prev_yr_other_3</t>
  </si>
  <si>
    <t>cy_other_total_3</t>
  </si>
  <si>
    <t>prev_yr_other_2</t>
  </si>
  <si>
    <t>cy_other_total_2</t>
  </si>
  <si>
    <t>prev_yr_other_1</t>
  </si>
  <si>
    <t>cy_other_total_1</t>
  </si>
  <si>
    <t>prev_yr_gas_tot</t>
  </si>
  <si>
    <t>cy_gas_total</t>
  </si>
  <si>
    <t>prev_yr_elc_tot</t>
  </si>
  <si>
    <t>cy_elctrc_total</t>
  </si>
  <si>
    <t>prior_3_mon</t>
  </si>
  <si>
    <t>curr_3_mon</t>
  </si>
  <si>
    <t>previous_yr_tot</t>
  </si>
  <si>
    <t>current_yr_total</t>
  </si>
  <si>
    <t>row_literal</t>
  </si>
  <si>
    <t xml:space="preserve">  Total Accum Prov (equals 14) (22,26,30,31,32)</t>
  </si>
  <si>
    <t xml:space="preserve"> Amort of Plant Acquisition Adj</t>
  </si>
  <si>
    <t>Abandonment of Leases (Natural Gas)</t>
  </si>
  <si>
    <t xml:space="preserve">   Total Held for Future Use (28 &amp; 29)</t>
  </si>
  <si>
    <t xml:space="preserve"> Amortization</t>
  </si>
  <si>
    <t xml:space="preserve"> Depreciation</t>
  </si>
  <si>
    <t>Held for Future Use</t>
  </si>
  <si>
    <t xml:space="preserve">   Total Leased to Others (24 &amp; 25)</t>
  </si>
  <si>
    <t xml:space="preserve"> Amortization and Depletion</t>
  </si>
  <si>
    <t>Leased to Others</t>
  </si>
  <si>
    <t xml:space="preserve">   Total In Service (18 thru 21)</t>
  </si>
  <si>
    <t xml:space="preserve"> Amort of Other Utility Plant</t>
  </si>
  <si>
    <t xml:space="preserve"> Amort of Underground Storage Land/Land Rights</t>
  </si>
  <si>
    <t xml:space="preserve"> Amort &amp; Depl of Producing Nat Gas Land/Land Right</t>
  </si>
  <si>
    <t>In Service:</t>
  </si>
  <si>
    <t>Detail of Accum Prov for Depr, Amort &amp; Depl</t>
  </si>
  <si>
    <t xml:space="preserve">  Net Utility Plant (13 less 14)</t>
  </si>
  <si>
    <t>Accum Prov for Depr, Amort, &amp; Depl</t>
  </si>
  <si>
    <t xml:space="preserve">  Total Utility Plant (8 thru 12)</t>
  </si>
  <si>
    <t>Acquisition Adjustments</t>
  </si>
  <si>
    <t>Construction Work in Progress</t>
  </si>
  <si>
    <t xml:space="preserve">    Total (3 thru 7)</t>
  </si>
  <si>
    <t xml:space="preserve">  Experimental Plant Unclassified</t>
  </si>
  <si>
    <t xml:space="preserve">  Completed Construction not Classified</t>
  </si>
  <si>
    <t xml:space="preserve">  Plant Purchased or Sold</t>
  </si>
  <si>
    <t xml:space="preserve">  Property Under Capital Leases</t>
  </si>
  <si>
    <t>Tie to FERC Page 356</t>
  </si>
  <si>
    <t xml:space="preserve">  Plant in Service (Classified)</t>
  </si>
  <si>
    <t>In Service</t>
  </si>
  <si>
    <t>amt7</t>
  </si>
  <si>
    <t>amt6</t>
  </si>
  <si>
    <t>other6</t>
  </si>
  <si>
    <t>amt5</t>
  </si>
  <si>
    <t>other5</t>
  </si>
  <si>
    <t>amt4</t>
  </si>
  <si>
    <t>other4</t>
  </si>
  <si>
    <t>amt3</t>
  </si>
  <si>
    <t>amt2</t>
  </si>
  <si>
    <t>amt1</t>
  </si>
  <si>
    <t>respondent_id</t>
  </si>
  <si>
    <t>TOTAL Nuclear Materials held for Sale (Total 19, 20, and 21)</t>
  </si>
  <si>
    <t>Other (provide details in footnote):</t>
  </si>
  <si>
    <t>Plutonium</t>
  </si>
  <si>
    <t>Uranium</t>
  </si>
  <si>
    <t>Nuclear Materials held for Sale (157)</t>
  </si>
  <si>
    <t>Est Net Salvage Value of Nuclear Materials in Chemical Processing</t>
  </si>
  <si>
    <t>Estimated net Salvage Value of Nuclear Materials in line 11</t>
  </si>
  <si>
    <t>Estimated net Salvage Value of Nuclear Materials in line 9</t>
  </si>
  <si>
    <t>TOTAL Nuclear Fuel Stock (Total 6, 10, 11, 12, less 13)</t>
  </si>
  <si>
    <t>(Less) Accum Prov for Amortization of Nuclear Fuel Assem (120.5)</t>
  </si>
  <si>
    <t>SUBTOTAL (Total 8 &amp; 9)</t>
  </si>
  <si>
    <t>In Reactor (120.3)</t>
  </si>
  <si>
    <t>In Stock (120.2)</t>
  </si>
  <si>
    <t>Nuclear Fuel Materials and Assemblies</t>
  </si>
  <si>
    <t>SUBTOTAL (Total 2 thru 5)</t>
  </si>
  <si>
    <t>(Other Overhead Construction Costs, provide details in footnote)</t>
  </si>
  <si>
    <t>Allowance for Funds Used during Construction</t>
  </si>
  <si>
    <t>Nuclear Materials</t>
  </si>
  <si>
    <t>Fabrication</t>
  </si>
  <si>
    <t>Nuclear Fuel in process of Refinement, Conv, Enrichment &amp; Fab (120.1)</t>
  </si>
  <si>
    <t>yr_end_bal</t>
  </si>
  <si>
    <t>yrchg_othr_rdctn</t>
  </si>
  <si>
    <t>yrchg_amrtztn</t>
  </si>
  <si>
    <t>yrchg_additions</t>
  </si>
  <si>
    <t>begin_yr_bal</t>
  </si>
  <si>
    <t>TOTAL Electric Plant in Service (Enter Total of lines 100 thru 103)</t>
  </si>
  <si>
    <t>(103) Experimental Plant Unclassified</t>
  </si>
  <si>
    <t>(Less) (102) Electric Plant Sold (See Instr. 8)</t>
  </si>
  <si>
    <t>(102) Electric Plant Purchased (See Instr. 8)</t>
  </si>
  <si>
    <t>TOTAL (Accounts 101 and 106)</t>
  </si>
  <si>
    <t>TOTAL General Plant (Enter Total of lines 96, 97 and 98)</t>
  </si>
  <si>
    <t>(399.1) Asset Retirement Costs for General Plant</t>
  </si>
  <si>
    <t>(399) Other Tangible Property</t>
  </si>
  <si>
    <t>SUBTOTAL (Enter Total of lines 86 thru 95)</t>
  </si>
  <si>
    <t>(398) Miscellaneous Equipment</t>
  </si>
  <si>
    <t>(397) Communication Equipment</t>
  </si>
  <si>
    <t>(396) Power Operated Equipment</t>
  </si>
  <si>
    <t>(395) Laboratory Equipment</t>
  </si>
  <si>
    <t>(394) Tools, Shop and Garage Equipment</t>
  </si>
  <si>
    <t>(393) Stores Equipment</t>
  </si>
  <si>
    <t>(392) Transportation Equipment</t>
  </si>
  <si>
    <t>(391) Office Furniture and Equipment</t>
  </si>
  <si>
    <t>(390) Structures and Improvements</t>
  </si>
  <si>
    <t>(389) Land and Land Rights</t>
  </si>
  <si>
    <t>6. GENERAL PLANT</t>
  </si>
  <si>
    <t>TOTAL Transmission and Market Operation Plant (Total lines 77 thru 83)</t>
  </si>
  <si>
    <t>(386) Asset Retirement Costs for Regional Transmission and Market Oper</t>
  </si>
  <si>
    <t>(385) Miscellaneous Regional Transmission and Market Operation Plant</t>
  </si>
  <si>
    <t>(384) Communication Equipment</t>
  </si>
  <si>
    <t>(383) Computer Software</t>
  </si>
  <si>
    <t>(382) Computer Hardware</t>
  </si>
  <si>
    <t>(381) Structures and Improvements</t>
  </si>
  <si>
    <t>(380) Land and Land Rights</t>
  </si>
  <si>
    <t>5.  REGIONAL TRANSMISSION AND MARKET OPERATION PLANT</t>
  </si>
  <si>
    <t>TOTAL Distribution Plant (Enter Total of lines 60 thru 74)</t>
  </si>
  <si>
    <t>(374) Asset Retirement Costs for Distribution Plant</t>
  </si>
  <si>
    <t>(373) Street Lighting and Signal Systems</t>
  </si>
  <si>
    <t>(372) Leased Property on Customer Premises</t>
  </si>
  <si>
    <t>(371) Installations on Customer Premises</t>
  </si>
  <si>
    <t>(370) Meters</t>
  </si>
  <si>
    <t>(369) Services</t>
  </si>
  <si>
    <t>(368) Line Transformers</t>
  </si>
  <si>
    <t>(367) Underground Conductors and Devices</t>
  </si>
  <si>
    <t>(366) Underground Conduit</t>
  </si>
  <si>
    <t>(365) Overhead Conductors and Devices</t>
  </si>
  <si>
    <t>(364) Poles, Towers, and Fixtures</t>
  </si>
  <si>
    <t>(363) Storage Battery Equipment</t>
  </si>
  <si>
    <t>(362) Station Equipment</t>
  </si>
  <si>
    <t>(361) Structures and Improvements</t>
  </si>
  <si>
    <t>(360) Land and Land Rights</t>
  </si>
  <si>
    <t>4. DISTRIBUTION PLANT</t>
  </si>
  <si>
    <t>TOTAL Transmission Plant (Enter Total of lines 48 thru 57)</t>
  </si>
  <si>
    <t>(359.1) Asset Retirement Costs for Transmission Plant</t>
  </si>
  <si>
    <t>(359) Roads and Trails</t>
  </si>
  <si>
    <t>(358) Underground Conductors and Devices</t>
  </si>
  <si>
    <t>(357) Underground Conduit</t>
  </si>
  <si>
    <t>(356) Overhead Conductors and Devices</t>
  </si>
  <si>
    <t>(355) Poles and Fixtures</t>
  </si>
  <si>
    <t>(354) Towers and Fixtures</t>
  </si>
  <si>
    <t>(353) Station Equipment</t>
  </si>
  <si>
    <t>(352) Structures and Improvements</t>
  </si>
  <si>
    <t>(350) Land and Land Rights</t>
  </si>
  <si>
    <t>3. TRANSMISSION PLANT</t>
  </si>
  <si>
    <t>TOTAL Prod. Plant (Enter Total of lines 16, 25, 35, and 45)</t>
  </si>
  <si>
    <t>TOTAL Other Prod. Plant (Enter Total of lines 37 thru 44)</t>
  </si>
  <si>
    <t>(347) Asset Retirement Costs for Other Production</t>
  </si>
  <si>
    <t>(346) Misc. Power Plant Equipment</t>
  </si>
  <si>
    <t>(345) Accessory Electric Equipment</t>
  </si>
  <si>
    <t>(344) Generators</t>
  </si>
  <si>
    <t>(343) Prime Movers</t>
  </si>
  <si>
    <t>(342) Fuel Holders, Products, and Accessories</t>
  </si>
  <si>
    <t>(341) Structures and Improvements</t>
  </si>
  <si>
    <t>(340) Land and Land Rights</t>
  </si>
  <si>
    <t>D. Other Production Plant</t>
  </si>
  <si>
    <t>TOTAL Hydraulic Production Plant (Enter Total of lines 27 thru 34)</t>
  </si>
  <si>
    <t>(337) Asset Retirement Costs for Hydraulic Production</t>
  </si>
  <si>
    <t>(336) Roads, Railroads, and Bridges</t>
  </si>
  <si>
    <t>(335) Misc. Power PLant Equipment</t>
  </si>
  <si>
    <t>(334) Accessory Electric Equipment</t>
  </si>
  <si>
    <t>(333) Water Wheels, Turbines, and Generators</t>
  </si>
  <si>
    <t>(332) Reservoirs, Dams, and Waterways</t>
  </si>
  <si>
    <t>(331) Structures and Improvements</t>
  </si>
  <si>
    <t>(330) Land and Land Rights</t>
  </si>
  <si>
    <t>C. Hydraulic Production Plant</t>
  </si>
  <si>
    <t>TOTAL Nuclear Production Plant (Enter Total of lines 18 thru 24)</t>
  </si>
  <si>
    <t>(326) Asset Retirement Costs for Nuclear Production</t>
  </si>
  <si>
    <t>(325) Misc. Power Plant Equipment</t>
  </si>
  <si>
    <t>(324) Accessory Electric Equipment</t>
  </si>
  <si>
    <t>(323) Turbogenerator Units</t>
  </si>
  <si>
    <t>(322) Reactor Plant Equipment</t>
  </si>
  <si>
    <t>(321) Structures and Improvements</t>
  </si>
  <si>
    <t>(320) Land and Land Rights</t>
  </si>
  <si>
    <t>B. Nuclear Production Plant</t>
  </si>
  <si>
    <t>TOTAL Steam Production Plant (Enter Total of lines 8 thru 15)</t>
  </si>
  <si>
    <t>(317) Asset Retirement Costs for Steam Production</t>
  </si>
  <si>
    <t>(316) Misc. Power Plant Equipment</t>
  </si>
  <si>
    <t>(315) Accessory Electric Equipment</t>
  </si>
  <si>
    <t>(314) Turbogenerator Units</t>
  </si>
  <si>
    <t>(313) Engines and Engine-Driven Generators</t>
  </si>
  <si>
    <t>(312) Boiler Plant Equipment</t>
  </si>
  <si>
    <t>(311) Structures and Improvements</t>
  </si>
  <si>
    <t>(310) Land and Land Rights</t>
  </si>
  <si>
    <t>A. Steam Production Plant</t>
  </si>
  <si>
    <t>2. PRODUCTION PLANT</t>
  </si>
  <si>
    <t>TOTAL Intangible Plant (Enter Total of lines 2, 3, and 4)</t>
  </si>
  <si>
    <t>(303) Miscellaneous Intangible Plant</t>
  </si>
  <si>
    <t>(302) Franchises and Consents</t>
  </si>
  <si>
    <t>(301) Organization</t>
  </si>
  <si>
    <t>1. INTANGIBLE PLANT</t>
  </si>
  <si>
    <t>transfers</t>
  </si>
  <si>
    <t>adjustments</t>
  </si>
  <si>
    <t>retirements</t>
  </si>
  <si>
    <t>addition</t>
  </si>
  <si>
    <t>TOTAL (Enter Total of lines 20 thru 28)</t>
  </si>
  <si>
    <t>General</t>
  </si>
  <si>
    <t>Regional Transmission and Market Operation</t>
  </si>
  <si>
    <t>Hydraulic Production-Pumped Storage</t>
  </si>
  <si>
    <t>Hydraulic Production-Conventional</t>
  </si>
  <si>
    <t>Nuclear Production</t>
  </si>
  <si>
    <t>Balance End of Year (Enter Totals of lines 1, 10, 15, 16, and 18)</t>
  </si>
  <si>
    <t>Book Cost or Asset Retirement Costs Retired</t>
  </si>
  <si>
    <t>Other Debit or Cr. Items (Describe, details in footnote):</t>
  </si>
  <si>
    <t>TOTAL Net Chrgs. for Plant Ret. (Enter Total of lines 12 thru 14)</t>
  </si>
  <si>
    <t>Salvage (Credit)</t>
  </si>
  <si>
    <t>Cost of Removal</t>
  </si>
  <si>
    <t>Book Cost of Plant Retired</t>
  </si>
  <si>
    <t>Net Charges for Plant Retired:</t>
  </si>
  <si>
    <t>TOTAL Deprec. Prov for Year (Enter Total of lines 3 thru 9)</t>
  </si>
  <si>
    <t>Other Accounts (Specify, details in footnote):</t>
  </si>
  <si>
    <t>Other Clearing Accounts</t>
  </si>
  <si>
    <t>Transportation Expenses-Clearing</t>
  </si>
  <si>
    <t>(413) Exp. of Elec. Plt. Leas. to Others</t>
  </si>
  <si>
    <t>(403.1) Depreciation Expense for Asset Retirement Costs</t>
  </si>
  <si>
    <t>(403) Depreciation Expense</t>
  </si>
  <si>
    <t>Depreciation Provisions for Year, Charged to</t>
  </si>
  <si>
    <t>Balance Beginning of Year</t>
  </si>
  <si>
    <t>leased_plant</t>
  </si>
  <si>
    <t>future_plant</t>
  </si>
  <si>
    <t>electric_plant</t>
  </si>
  <si>
    <t>total_cde</t>
  </si>
  <si>
    <t>item</t>
  </si>
  <si>
    <t xml:space="preserve">TOTAL </t>
  </si>
  <si>
    <t>Regulatory Asset - CPP RNG</t>
  </si>
  <si>
    <t>Regulatory Asset - DEPRECIATION</t>
  </si>
  <si>
    <t>Regulatory Asset - MT RIVERBED ESCROW INT</t>
  </si>
  <si>
    <t>182, 557</t>
  </si>
  <si>
    <t>WA ERM Deferral - Approved for Rebate</t>
  </si>
  <si>
    <t>Regulatory Asset - CCA</t>
  </si>
  <si>
    <t>182, 407</t>
  </si>
  <si>
    <t>Regulatory Asset Pension Settlement Deferral</t>
  </si>
  <si>
    <t>407, 419</t>
  </si>
  <si>
    <t>Deferred Regulatory Fees</t>
  </si>
  <si>
    <t>Regulatory Asset - CPP</t>
  </si>
  <si>
    <t>Regulatory Asset - Insurance Balancing Acct</t>
  </si>
  <si>
    <t>Regulatory Asset Energy Affordability Act</t>
  </si>
  <si>
    <t>244, 175</t>
  </si>
  <si>
    <t>Regulatory Asset Commodity MTM ST &amp; LT</t>
  </si>
  <si>
    <t>Unrealized Currency Exchange</t>
  </si>
  <si>
    <t>Regulatory Asset - Intervenor Fund Deferral</t>
  </si>
  <si>
    <t>282, 283</t>
  </si>
  <si>
    <t>Regulatory Asset Tax Basis Flow through</t>
  </si>
  <si>
    <t>Deferral for CS2 &amp; Colstrip (O&amp;M, Excess Depr)</t>
  </si>
  <si>
    <t>Regulatory Asset Wildfire Resiliency &amp; Balancing</t>
  </si>
  <si>
    <t>Regulatory Asset Oregon CAT Tax</t>
  </si>
  <si>
    <t>Regulatory Asset Energy Impalance Market</t>
  </si>
  <si>
    <t>Regulatory Asset COVID-19</t>
  </si>
  <si>
    <t>Regulatory Asset Colstrip Community Fund</t>
  </si>
  <si>
    <t>108, 407</t>
  </si>
  <si>
    <t>Existing Meters/ERTS Retirement Def</t>
  </si>
  <si>
    <t>557, 419</t>
  </si>
  <si>
    <t>Regulatory Asset ID PCA Deferral - 1 year</t>
  </si>
  <si>
    <t>various</t>
  </si>
  <si>
    <t>Regulatory Asset - AFUDC (PIS,WIP) &amp; Equity DFIT</t>
  </si>
  <si>
    <t>Regulatory Asset FISERV - 3 years</t>
  </si>
  <si>
    <t>Regulatory Asset BPA Residential Exchange</t>
  </si>
  <si>
    <t>Regulatory Asset MDM System</t>
  </si>
  <si>
    <t>283, 410</t>
  </si>
  <si>
    <t>Deferred ITC</t>
  </si>
  <si>
    <t>DSM Asset</t>
  </si>
  <si>
    <t>Interest Rate Swap Asset</t>
  </si>
  <si>
    <t>242</t>
  </si>
  <si>
    <t>Regulatory Asset Workers Comp</t>
  </si>
  <si>
    <t>Regulatory Asset FAS143 Asset Retirement Obligation</t>
  </si>
  <si>
    <t>Commodity MTM ST &amp; LT Regulatory Asset</t>
  </si>
  <si>
    <t>Reg Asset - Colstrip</t>
  </si>
  <si>
    <t>456, 495</t>
  </si>
  <si>
    <t>Reg Assets- Decouplings Surcharge - 2 years</t>
  </si>
  <si>
    <t>407</t>
  </si>
  <si>
    <t>Regulatory Asset- Lake CDA Settlement - Varies</t>
  </si>
  <si>
    <t>Regulatory Asset- Spokane River Relicense</t>
  </si>
  <si>
    <t>Regulatory Asset FAS109 WNP3</t>
  </si>
  <si>
    <t>283</t>
  </si>
  <si>
    <t>Regulatory Asset FAS109 DSIT Non Plant</t>
  </si>
  <si>
    <t>Regulatory Asset FAS109 Utility Plant</t>
  </si>
  <si>
    <t>228, 283</t>
  </si>
  <si>
    <t>Reg Asset Post Ret Liab</t>
  </si>
  <si>
    <t>WA Excess Nat Gas Line Extension Allowance</t>
  </si>
  <si>
    <t>amount_cr</t>
  </si>
  <si>
    <t>acct_chrg_cr</t>
  </si>
  <si>
    <t>debits</t>
  </si>
  <si>
    <t>beg_yr_bal</t>
  </si>
  <si>
    <t>dsc_purp_asset</t>
  </si>
  <si>
    <t>Line 46</t>
  </si>
  <si>
    <t>Line 45</t>
  </si>
  <si>
    <t>Line 44</t>
  </si>
  <si>
    <t>Line 43</t>
  </si>
  <si>
    <t>Line 42</t>
  </si>
  <si>
    <t>Line 41</t>
  </si>
  <si>
    <t>Line 40</t>
  </si>
  <si>
    <t>Line 39</t>
  </si>
  <si>
    <t>Line 38</t>
  </si>
  <si>
    <t>Line 37</t>
  </si>
  <si>
    <t>Line 36</t>
  </si>
  <si>
    <t>Line 35</t>
  </si>
  <si>
    <t>Line 34</t>
  </si>
  <si>
    <t>Line 33</t>
  </si>
  <si>
    <t>Line 32</t>
  </si>
  <si>
    <t>Line 31</t>
  </si>
  <si>
    <t>Line 30</t>
  </si>
  <si>
    <t>Line 29</t>
  </si>
  <si>
    <t>Line 28</t>
  </si>
  <si>
    <t>Line 27</t>
  </si>
  <si>
    <t>Line 26</t>
  </si>
  <si>
    <t>Line 25</t>
  </si>
  <si>
    <t>Line 24</t>
  </si>
  <si>
    <t>Line 23</t>
  </si>
  <si>
    <t>Line 22</t>
  </si>
  <si>
    <t>Line 21</t>
  </si>
  <si>
    <t>Line 20</t>
  </si>
  <si>
    <t>Line 19</t>
  </si>
  <si>
    <t>Line 18</t>
  </si>
  <si>
    <t>Line 17</t>
  </si>
  <si>
    <t>Line 16</t>
  </si>
  <si>
    <t>Deferred Regulatory Comm. Expenses</t>
  </si>
  <si>
    <t>Line 15</t>
  </si>
  <si>
    <t>VAR</t>
  </si>
  <si>
    <t>Misceallaneous Work in Progess</t>
  </si>
  <si>
    <t>Line 14</t>
  </si>
  <si>
    <t>Misc. Work Orders &lt;$100,000</t>
  </si>
  <si>
    <t>Line 13</t>
  </si>
  <si>
    <t>Post Falls HED Project 63</t>
  </si>
  <si>
    <t>Line 12</t>
  </si>
  <si>
    <t>City of Post Falls Lease Pay</t>
  </si>
  <si>
    <t>Line 11</t>
  </si>
  <si>
    <t>Nez Perce Settlement</t>
  </si>
  <si>
    <t>Line 10</t>
  </si>
  <si>
    <t>Misc Deferred Debits - Pension</t>
  </si>
  <si>
    <t>Line 9</t>
  </si>
  <si>
    <t>Reg Asset - Williams Outage</t>
  </si>
  <si>
    <t>Line 8</t>
  </si>
  <si>
    <t>Reg Asset - CEIP</t>
  </si>
  <si>
    <t>Line 7</t>
  </si>
  <si>
    <t>Reg Asset - COVID 19 Deferral</t>
  </si>
  <si>
    <t>Line 6</t>
  </si>
  <si>
    <t>Reg Asset - Decoupling Deferred</t>
  </si>
  <si>
    <t>Line 5</t>
  </si>
  <si>
    <t>WA REC Deferral</t>
  </si>
  <si>
    <t>Line 4</t>
  </si>
  <si>
    <t>Reg Asset - ERM</t>
  </si>
  <si>
    <t>Line 3</t>
  </si>
  <si>
    <t>Plant Alloc of Clearing Journal</t>
  </si>
  <si>
    <t>Line 2</t>
  </si>
  <si>
    <t>Reg Asset - Battery Storage</t>
  </si>
  <si>
    <t>Line 1</t>
  </si>
  <si>
    <t>dfrrd_debit_dsc</t>
  </si>
  <si>
    <t>DEFERRED REGULATORY COMM. EXPENSES (See pages 350-351)</t>
  </si>
  <si>
    <t>Misc. Work in Progress</t>
  </si>
  <si>
    <t>Subtotal</t>
  </si>
  <si>
    <t>ADVANCE ASSOCIATED AVISTA CAPITAL II (ToPRS)</t>
  </si>
  <si>
    <t xml:space="preserve">COLSTRIP 2010B PCRBs DUE 2034
</t>
  </si>
  <si>
    <t xml:space="preserve">COLSTRIP 2010A PCRBs DUE 2032
</t>
  </si>
  <si>
    <t>5.66% SERIES DUE 04-01-2053</t>
  </si>
  <si>
    <t>4.00% SERIES DUE 4/1/2052</t>
  </si>
  <si>
    <t>3.54% SERIES DUE 2051</t>
  </si>
  <si>
    <t>2.90% SERIES DUE 10/01/2051</t>
  </si>
  <si>
    <t>3.07% SERIES DUE 9-1-2050</t>
  </si>
  <si>
    <t xml:space="preserve">3.43%  SERIES DUE 12-1-2049			</t>
  </si>
  <si>
    <t xml:space="preserve">4.35% SERIES DUE 6-1-2048			</t>
  </si>
  <si>
    <t>3.91% SERIES DUE 12-1-2047</t>
  </si>
  <si>
    <t>4.23% SERIES DUE 11-29-2047</t>
  </si>
  <si>
    <t>4.37% SERIES DUE 12-1-2045</t>
  </si>
  <si>
    <t>4.11% SERIES DUE 12-1-2044</t>
  </si>
  <si>
    <t>4.45% SERIES DUE 12-14-2041</t>
  </si>
  <si>
    <t>5.55% SERIES DUE 12-20-2040</t>
  </si>
  <si>
    <t>FMBS - 5.70% DUE 07-01-2037</t>
  </si>
  <si>
    <t>FMBS - 6.25% DUE 12-01-35</t>
  </si>
  <si>
    <t>COLSTRIP 2010B PCRBs DUE 2034</t>
  </si>
  <si>
    <t>COLSTRIP 2010A PCRBs DUE 2032</t>
  </si>
  <si>
    <t>FMBS - SERIES C - 6.37% DUE 06/18/2028</t>
  </si>
  <si>
    <t>yr_amt_intrst</t>
  </si>
  <si>
    <t>outstanding</t>
  </si>
  <si>
    <t>amrtzdper_dt_to</t>
  </si>
  <si>
    <t>amrtzdper_dt_frm</t>
  </si>
  <si>
    <t>maturity_date</t>
  </si>
  <si>
    <t>nominal_iss_dt</t>
  </si>
  <si>
    <t>premium_dscnt</t>
  </si>
  <si>
    <t>total_expense</t>
  </si>
  <si>
    <t>prncpl_amt_debt</t>
  </si>
  <si>
    <t>cls_sers_oblgt</t>
  </si>
  <si>
    <t>Line 86</t>
  </si>
  <si>
    <t>Line 85</t>
  </si>
  <si>
    <t>Line 84</t>
  </si>
  <si>
    <t>Line 83</t>
  </si>
  <si>
    <t>Line 82</t>
  </si>
  <si>
    <t>Line 81</t>
  </si>
  <si>
    <t>Line 80</t>
  </si>
  <si>
    <t>Line 79</t>
  </si>
  <si>
    <t>Total Other</t>
  </si>
  <si>
    <t>Line 78</t>
  </si>
  <si>
    <t>WA Renewable Energy Credits</t>
  </si>
  <si>
    <t>Line 77</t>
  </si>
  <si>
    <t>MISCELLANEOUS OTHER</t>
  </si>
  <si>
    <t>Line 76</t>
  </si>
  <si>
    <t>Line 75</t>
  </si>
  <si>
    <t xml:space="preserve">  Total Misc States</t>
  </si>
  <si>
    <t>Line 74</t>
  </si>
  <si>
    <t xml:space="preserve">Income Tax </t>
  </si>
  <si>
    <t>Line 73</t>
  </si>
  <si>
    <t>Payroll Tax 2023</t>
  </si>
  <si>
    <t>Line 72</t>
  </si>
  <si>
    <t>Payroll Tax 2022</t>
  </si>
  <si>
    <t>Line 71</t>
  </si>
  <si>
    <t>MISCELLANEOUS STATES:</t>
  </si>
  <si>
    <t>Line 70</t>
  </si>
  <si>
    <t>Line 69</t>
  </si>
  <si>
    <t xml:space="preserve">  Total Oregon</t>
  </si>
  <si>
    <t>Line 68</t>
  </si>
  <si>
    <t>Franchise Tax 2023</t>
  </si>
  <si>
    <t>Line 67</t>
  </si>
  <si>
    <t>Franchise Tax 2022</t>
  </si>
  <si>
    <t>Line 66</t>
  </si>
  <si>
    <t>Corp Activities Tax-CAT 2023</t>
  </si>
  <si>
    <t>Line 65</t>
  </si>
  <si>
    <t>Corp Activities Tax-CAT 2022</t>
  </si>
  <si>
    <t>Line 64</t>
  </si>
  <si>
    <t>Property Tax 2023</t>
  </si>
  <si>
    <t>Line 63</t>
  </si>
  <si>
    <t>Property Tax 2022</t>
  </si>
  <si>
    <t>Line 62</t>
  </si>
  <si>
    <t>Line 61</t>
  </si>
  <si>
    <t>Line 60</t>
  </si>
  <si>
    <t>Income Tax 2023</t>
  </si>
  <si>
    <t>Line 59</t>
  </si>
  <si>
    <t>Income Tax 2022</t>
  </si>
  <si>
    <t>Line 58</t>
  </si>
  <si>
    <t>STATE OF OREGON:</t>
  </si>
  <si>
    <t>Line 57</t>
  </si>
  <si>
    <t>Line 56</t>
  </si>
  <si>
    <t xml:space="preserve">  Total Montana</t>
  </si>
  <si>
    <t>Line 55</t>
  </si>
  <si>
    <t>Public Commission Fee 2023</t>
  </si>
  <si>
    <t>Line 54</t>
  </si>
  <si>
    <t>Line 53</t>
  </si>
  <si>
    <t>Line 52</t>
  </si>
  <si>
    <t>Public Commission Fee 2022</t>
  </si>
  <si>
    <t>Line 51</t>
  </si>
  <si>
    <t>Consumer Council Fee 2023</t>
  </si>
  <si>
    <t>Line 50</t>
  </si>
  <si>
    <t>Consumer Council Fee 2022</t>
  </si>
  <si>
    <t>Line 49</t>
  </si>
  <si>
    <t>KWH Tax 2023</t>
  </si>
  <si>
    <t>Line 48</t>
  </si>
  <si>
    <t>KWH Tax 2022</t>
  </si>
  <si>
    <t>Line 47</t>
  </si>
  <si>
    <t>STATE OF MONTANA:</t>
  </si>
  <si>
    <t xml:space="preserve">  Total Idaho</t>
  </si>
  <si>
    <t>Sales &amp; Use Tax 2023</t>
  </si>
  <si>
    <t>Sales &amp; Use Tax 2022</t>
  </si>
  <si>
    <t>STATE OF IDAHO:</t>
  </si>
  <si>
    <t xml:space="preserve">  Total Washington</t>
  </si>
  <si>
    <t>Municipal Occupation Tax 2023</t>
  </si>
  <si>
    <t>Municipal Occupation Tax 2022</t>
  </si>
  <si>
    <t>Natural Gas Use Tax 2022</t>
  </si>
  <si>
    <t>Excise Tax 2023</t>
  </si>
  <si>
    <t>Excise Tax 2022</t>
  </si>
  <si>
    <t>STATE OF WASHINGTON:</t>
  </si>
  <si>
    <t xml:space="preserve">  Total Federal</t>
  </si>
  <si>
    <t>Payroll Tax 2021</t>
  </si>
  <si>
    <t>Income Tax 2021</t>
  </si>
  <si>
    <t>FEDERAL:</t>
  </si>
  <si>
    <t>other</t>
  </si>
  <si>
    <t>reterng_adjstmnt</t>
  </si>
  <si>
    <t>xtraordnry_items</t>
  </si>
  <si>
    <t>electric</t>
  </si>
  <si>
    <t>prpd_tax_end_yr</t>
  </si>
  <si>
    <t>tax_accrd_end_yr</t>
  </si>
  <si>
    <t>tax_paid_drng_yr</t>
  </si>
  <si>
    <t>tax_chrg_drng_yr</t>
  </si>
  <si>
    <t>prpd_tax_bgn_yr</t>
  </si>
  <si>
    <t>tax_accrd_bgn_yr</t>
  </si>
  <si>
    <t>tax_kind</t>
  </si>
  <si>
    <t>Total Taxes</t>
  </si>
  <si>
    <t>Franchise Tax</t>
  </si>
  <si>
    <t>State Income, B&amp;O, etc</t>
  </si>
  <si>
    <t>Property</t>
  </si>
  <si>
    <t>FIT</t>
  </si>
  <si>
    <t>TOTALS</t>
  </si>
  <si>
    <t>186, 903, 242</t>
  </si>
  <si>
    <t>MISC DEFERRED CREDITS</t>
  </si>
  <si>
    <t>ACCTS PAY - SOFTWARE LICENSES - LT</t>
  </si>
  <si>
    <t>OTHER DEF CR - FISERV</t>
  </si>
  <si>
    <t>TIMBER HARVEST</t>
  </si>
  <si>
    <t>186, 431</t>
  </si>
  <si>
    <t>WA REC DEFERRALS</t>
  </si>
  <si>
    <t>REG LIABILITY - COVID-19 DEFERRAL</t>
  </si>
  <si>
    <t>182, 456, 495</t>
  </si>
  <si>
    <t>DECOUPLING DEFERRED CREDITS</t>
  </si>
  <si>
    <t>Unbilled Revenue</t>
  </si>
  <si>
    <t>DEFER COMP ACTIVE EXECS</t>
  </si>
  <si>
    <t>BILLS POLE RENTALS</t>
  </si>
  <si>
    <t>Deferred Gas Exchange - 1 year</t>
  </si>
  <si>
    <t>credits</t>
  </si>
  <si>
    <t>amount_dr</t>
  </si>
  <si>
    <t>contra_acct_dr</t>
  </si>
  <si>
    <t>othr_dfr_cr_dsc</t>
  </si>
  <si>
    <t>Misc. Regulatory Liabilities</t>
  </si>
  <si>
    <t>143, 411</t>
  </si>
  <si>
    <t xml:space="preserve">Insurance Balancing Account </t>
  </si>
  <si>
    <t>Reg Liability - CCA</t>
  </si>
  <si>
    <t>Regulatory Liabilities - Other</t>
  </si>
  <si>
    <t>190</t>
  </si>
  <si>
    <t>CS2 Insurance Proceeds Deferral</t>
  </si>
  <si>
    <t>Reg Liability - Tax Customer Credit</t>
  </si>
  <si>
    <t>190, 410</t>
  </si>
  <si>
    <t>Reg Liability - COVID-19 Deferral</t>
  </si>
  <si>
    <t>254, 407</t>
  </si>
  <si>
    <t>Reg Liability - Energy Efficiency Assistance</t>
  </si>
  <si>
    <t>Reg Liability - WA Rev Def of Power Supply</t>
  </si>
  <si>
    <t>Reg Liability - Tax Reform Amortization</t>
  </si>
  <si>
    <t>407, 431</t>
  </si>
  <si>
    <t>Reg  Liability - OR Tax Strategy Deferral</t>
  </si>
  <si>
    <t>Low Income Energy Assistance</t>
  </si>
  <si>
    <t>242, 908</t>
  </si>
  <si>
    <t>DSM Tariff Rider</t>
  </si>
  <si>
    <t>182, 431, 908</t>
  </si>
  <si>
    <t>Reg Liability MDM System</t>
  </si>
  <si>
    <t>Plant Excess Deferred</t>
  </si>
  <si>
    <t>Deferred Federal ITC - Varies</t>
  </si>
  <si>
    <t>WA ERM</t>
  </si>
  <si>
    <t>Decoupling Rebate</t>
  </si>
  <si>
    <t>495, 182</t>
  </si>
  <si>
    <t>Idaho Earnings Test</t>
  </si>
  <si>
    <t>Nez Perce</t>
  </si>
  <si>
    <t>Interest Rate Swaps</t>
  </si>
  <si>
    <t>427, 175</t>
  </si>
  <si>
    <t>Idaho Investment Tax Credit</t>
  </si>
  <si>
    <t>end_yr_bal</t>
  </si>
  <si>
    <t>dr_amount</t>
  </si>
  <si>
    <t>dr_acct_num</t>
  </si>
  <si>
    <t>dsc_purp</t>
  </si>
  <si>
    <t>TOTAL Electric Operating Revenues</t>
  </si>
  <si>
    <t>TOTAL Other Operating Revenues</t>
  </si>
  <si>
    <t>(457.2) Miscellaneous Revenues</t>
  </si>
  <si>
    <t>(457.1) Regional Control Service Revenues</t>
  </si>
  <si>
    <t>(456.1) Revenues from Transmission of Electricity of Others</t>
  </si>
  <si>
    <t>(456) Other Electric Revenues</t>
  </si>
  <si>
    <t>(455) Interdepartmental Rents</t>
  </si>
  <si>
    <t>(454) Rent from Electric Property</t>
  </si>
  <si>
    <t>(453) Sales of Water and Water Power</t>
  </si>
  <si>
    <t>(451) Miscellaneous Service Revenues</t>
  </si>
  <si>
    <t>(450) Forfeited Discounts</t>
  </si>
  <si>
    <t>Other Operating Revenues</t>
  </si>
  <si>
    <t>TOTAL Revenues Net of Prov. for Refunds</t>
  </si>
  <si>
    <t>(Less) (449.1) Provision for Rate Refunds</t>
  </si>
  <si>
    <t>TOTAL Sales of Electricity</t>
  </si>
  <si>
    <t>(447) Sales for Resale</t>
  </si>
  <si>
    <t>TOTAL Sales to Ultimate Consumers</t>
  </si>
  <si>
    <t>(448) Interdepartmental Sales</t>
  </si>
  <si>
    <t>(446) Sales to Railroads and Railways</t>
  </si>
  <si>
    <t>(445) Other Sales to Public Authorities</t>
  </si>
  <si>
    <t>(444) Public Street and Highway Lighting</t>
  </si>
  <si>
    <t>Large (or Ind.) (See Instr. 4)</t>
  </si>
  <si>
    <t>Small (or Comm.) (See Instr. 4)</t>
  </si>
  <si>
    <t>(442) Commercial and Industrial Sales</t>
  </si>
  <si>
    <t>(440) Residential Sales</t>
  </si>
  <si>
    <t>Sales of Electricity</t>
  </si>
  <si>
    <t>avg_cstmr_prevyr</t>
  </si>
  <si>
    <t>avg_cstmr_crntyr</t>
  </si>
  <si>
    <t>mwh_sold_prev_yr</t>
  </si>
  <si>
    <t>mwh_sold_crnt_yr</t>
  </si>
  <si>
    <t>rev_amt_prev_yr</t>
  </si>
  <si>
    <t>rev_amt_crnt_yr</t>
  </si>
  <si>
    <t>acct_dsc</t>
  </si>
  <si>
    <t>unbilled_rev_mwh</t>
  </si>
  <si>
    <t>unbilled_rev_amt</t>
  </si>
  <si>
    <t>report_year</t>
  </si>
  <si>
    <t>Tariff 9</t>
  </si>
  <si>
    <t>California Independent System Operator Corporation</t>
  </si>
  <si>
    <t>IntraCompany Generation</t>
  </si>
  <si>
    <t>IntraCompany Wheeling</t>
  </si>
  <si>
    <t xml:space="preserve">Wells Fargo Securities, LLC </t>
  </si>
  <si>
    <t>Vitol, Inc.</t>
  </si>
  <si>
    <t xml:space="preserve">TransAlta Energy Marketing </t>
  </si>
  <si>
    <t>The Energy Authority</t>
  </si>
  <si>
    <t>Tenaska Power Services Co.</t>
  </si>
  <si>
    <t xml:space="preserve">Talen Energy Montana, LLC  </t>
  </si>
  <si>
    <t>Tariff 12</t>
  </si>
  <si>
    <t>Tacoma Power</t>
  </si>
  <si>
    <t>Sovereign Power</t>
  </si>
  <si>
    <t>Snohomish County PUD</t>
  </si>
  <si>
    <t>Shell Energy N.A.</t>
  </si>
  <si>
    <t>Seattle City Light</t>
  </si>
  <si>
    <t>Sacramento Municipal Utility District</t>
  </si>
  <si>
    <t>Rainbow Energy Marketing</t>
  </si>
  <si>
    <t>Puget Sound Energy</t>
  </si>
  <si>
    <t xml:space="preserve">Puget Sound Energy </t>
  </si>
  <si>
    <t>Power Ex</t>
  </si>
  <si>
    <t xml:space="preserve">Portland General Electric </t>
  </si>
  <si>
    <t xml:space="preserve">Phillips 66 Energy Trading, LLC  </t>
  </si>
  <si>
    <t>Pend Oreille County Public Utility District #1</t>
  </si>
  <si>
    <t xml:space="preserve">PacifiCorp </t>
  </si>
  <si>
    <t>PacifiCorp</t>
  </si>
  <si>
    <t>NorthWestern Energy</t>
  </si>
  <si>
    <t xml:space="preserve">NorthWestern Energy </t>
  </si>
  <si>
    <t>Nevada Power Company</t>
  </si>
  <si>
    <t xml:space="preserve">NaturEner Power Watch, LLC </t>
  </si>
  <si>
    <t xml:space="preserve">Morgan Stanley Capital Group Inc. </t>
  </si>
  <si>
    <t>Morgan Stanley Capital Group Inc.</t>
  </si>
  <si>
    <t xml:space="preserve">Mizuho Securities USA Inc. </t>
  </si>
  <si>
    <t xml:space="preserve">Mercuria Energy America, LLC </t>
  </si>
  <si>
    <t>Macquarie Energy LLC</t>
  </si>
  <si>
    <t>Kootenai Electric Cooperative</t>
  </si>
  <si>
    <t>J. Aron &amp; Company</t>
  </si>
  <si>
    <t xml:space="preserve">Idaho Power Company Balancing </t>
  </si>
  <si>
    <t>Idaho Power Company</t>
  </si>
  <si>
    <t>Heartland Generation Ltd.</t>
  </si>
  <si>
    <t>Guzman Energy, LLC</t>
  </si>
  <si>
    <t>Gridforce Energy Management, LLC</t>
  </si>
  <si>
    <t>Grant County PUD No. 2</t>
  </si>
  <si>
    <t>Franklin County PUD No. 1</t>
  </si>
  <si>
    <t>Eugene Water Electric Board</t>
  </si>
  <si>
    <t>Energy Keepers, Inc.</t>
  </si>
  <si>
    <t xml:space="preserve">EDF Trading North America, LLC </t>
  </si>
  <si>
    <t>Dynasty Power, Inc.</t>
  </si>
  <si>
    <t>Constellation Energy Generation, LLC</t>
  </si>
  <si>
    <t>ConocoPhillips Company</t>
  </si>
  <si>
    <t>Clatskanie Peoples PUD</t>
  </si>
  <si>
    <t>Chelan County PUD No. 1</t>
  </si>
  <si>
    <t>Calpine Energy Services, LP</t>
  </si>
  <si>
    <t>CP Energy Marketing (US) Inc.</t>
  </si>
  <si>
    <t>Brookfield Energy Marketing LP</t>
  </si>
  <si>
    <t>British Columbia Hydro and Power Authority</t>
  </si>
  <si>
    <t>Bonneville Power Administration</t>
  </si>
  <si>
    <t>Basin Electric Power Cooperative</t>
  </si>
  <si>
    <t>BP Energy Company</t>
  </si>
  <si>
    <t xml:space="preserve">BHE Power Watch, LLC </t>
  </si>
  <si>
    <t xml:space="preserve">Avangrid Renewables, LLC </t>
  </si>
  <si>
    <t>Altop Energy Trading</t>
  </si>
  <si>
    <t>tot_revenue_chgs</t>
  </si>
  <si>
    <t>other_charges</t>
  </si>
  <si>
    <t>energy_charges</t>
  </si>
  <si>
    <t>demand_charges</t>
  </si>
  <si>
    <t>mwh_sold</t>
  </si>
  <si>
    <t>avg_mthly_cp</t>
  </si>
  <si>
    <t>avg_mthly_ncp</t>
  </si>
  <si>
    <t>avg_mthly_demand</t>
  </si>
  <si>
    <t>ferc_rt_schedule</t>
  </si>
  <si>
    <t>sttstcl_clssfctn</t>
  </si>
  <si>
    <t>company_name</t>
  </si>
  <si>
    <t>Grand Total</t>
  </si>
  <si>
    <t>Sum of mwh_sold</t>
  </si>
  <si>
    <t>Sum of tot_revenue_chgs</t>
  </si>
  <si>
    <t>Row Labels</t>
  </si>
  <si>
    <t>Common Plant-Electric</t>
  </si>
  <si>
    <t>Hydraulic Production Plant-Pumped Storage</t>
  </si>
  <si>
    <t>Hydraulic Production Plant-Conventional</t>
  </si>
  <si>
    <t>Intangible Plant</t>
  </si>
  <si>
    <t>total</t>
  </si>
  <si>
    <t>TOTAL Elec Op and Maint Expns (Total 80,112,131,156,164,171,178,197)</t>
  </si>
  <si>
    <t>TOTAL Administrative &amp; General Expenses (Total of lines 194  and 196)</t>
  </si>
  <si>
    <t>(935) Maintenance of General Plant</t>
  </si>
  <si>
    <t>TOTAL Operation (Enter Total of lines 181  thru 193)</t>
  </si>
  <si>
    <t>(931) Rents</t>
  </si>
  <si>
    <t>(930.2) Miscellaneous General Expenses</t>
  </si>
  <si>
    <t>(930.1) General Advertising Expenses</t>
  </si>
  <si>
    <t>(929) (Less) Duplicate Charges-Cr.</t>
  </si>
  <si>
    <t>(928) Regulatory Commission Expenses</t>
  </si>
  <si>
    <t>(927) Franchise Requirements</t>
  </si>
  <si>
    <t>(926) Employee Pensions and Benefits</t>
  </si>
  <si>
    <t>(925) Injuries and Damages</t>
  </si>
  <si>
    <t>(924) Property Insurance</t>
  </si>
  <si>
    <t>(923) Outside Services Employed</t>
  </si>
  <si>
    <t>(Less) (922) Administrative Expenses Transferred-Credit</t>
  </si>
  <si>
    <t>(921) Office Supplies and Expenses</t>
  </si>
  <si>
    <t>(920) Administrative and General Salaries</t>
  </si>
  <si>
    <t>8. ADMINISTRATIVE AND GENERAL EXPENSES</t>
  </si>
  <si>
    <t>TOTAL Sales Expenses (Enter Total of lines 174  thru 177)</t>
  </si>
  <si>
    <t>(916) Miscellaneous Sales Expenses</t>
  </si>
  <si>
    <t>(913) Advertising Expenses</t>
  </si>
  <si>
    <t>(912) Demonstrating and Selling Expenses</t>
  </si>
  <si>
    <t>(911) Supervision</t>
  </si>
  <si>
    <t>7. SALES EXPENSES</t>
  </si>
  <si>
    <t>TOTAL Customer Service and Information Expenses (Total 167 thru 170)</t>
  </si>
  <si>
    <t>(910) Miscellaneous Customer Service and Informational Expenses</t>
  </si>
  <si>
    <t>(909) Informational and Instructional Expenses</t>
  </si>
  <si>
    <t>(908) Customer Assistance Expenses</t>
  </si>
  <si>
    <t>(907) Supervision</t>
  </si>
  <si>
    <t>6. CUSTOMER SERVICE AND INFORMATIONAL EXPENSES</t>
  </si>
  <si>
    <t>TOTAL Customer Accounts Expenses (Total of lines 159 thru 163)</t>
  </si>
  <si>
    <t>(905) Miscellaneous Customer Accounts Expenses</t>
  </si>
  <si>
    <t>(904) Uncollectible Accounts</t>
  </si>
  <si>
    <t>(903) Customer Records and Collection Expenses</t>
  </si>
  <si>
    <t>(902) Meter Reading Expenses</t>
  </si>
  <si>
    <t>(901) Supervision</t>
  </si>
  <si>
    <t>5. CUSTOMER ACCOUNTS EXPENSES</t>
  </si>
  <si>
    <t>TOTAL Distribution Expenses (Total of lines 144 and 155)</t>
  </si>
  <si>
    <t>TOTAL Maintenance (Total of lines 146 thru 154)</t>
  </si>
  <si>
    <t>(598) Maintenance of Miscellaneous Distribution Plant</t>
  </si>
  <si>
    <t>(597) Maintenance of Meters</t>
  </si>
  <si>
    <t>(596) Maintenance of Street Lighting and Signal Systems</t>
  </si>
  <si>
    <t>(595) Maintenance of Line Transformers</t>
  </si>
  <si>
    <t>(594) Maintenance of Underground Lines</t>
  </si>
  <si>
    <t>(593) Maintenance of Overhead Lines</t>
  </si>
  <si>
    <t>(592) Maintenance of Station Equipment</t>
  </si>
  <si>
    <t>(591) Maintenance of Structures</t>
  </si>
  <si>
    <t>(590) Maintenance Supervision and Engineering</t>
  </si>
  <si>
    <t>TOTAL Operation (Enter Total of lines 134 thru 143)</t>
  </si>
  <si>
    <t>(589) Rents</t>
  </si>
  <si>
    <t>(588) Miscellaneous Expenses</t>
  </si>
  <si>
    <t>(587) Customer Installations Expenses</t>
  </si>
  <si>
    <t>(586) Meter Expenses</t>
  </si>
  <si>
    <t>(585) Street Lighting and Signal System Expenses</t>
  </si>
  <si>
    <t>(584) Underground Line Expenses</t>
  </si>
  <si>
    <t>(583) Overhead Line Expenses</t>
  </si>
  <si>
    <t>(582) Station Expenses</t>
  </si>
  <si>
    <t>(581) Load Dispatching</t>
  </si>
  <si>
    <t>(580) Operation Supervision and Engineering</t>
  </si>
  <si>
    <t>4. DISTRIBUTION EXPENSES</t>
  </si>
  <si>
    <t>TOTAL Regional Transmission and Market Op Expns (Total 123 and 130)</t>
  </si>
  <si>
    <t>Total Maintenance (Lines 125 thru 129)</t>
  </si>
  <si>
    <t>(576.5) Maintenance of Miscellaneous Market Operation Plant</t>
  </si>
  <si>
    <t>(576.4) Maintenance of Communication Equipment</t>
  </si>
  <si>
    <t>(576.3) Maintenance of Computer Software</t>
  </si>
  <si>
    <t>(576.2) Maintenance of Computer Hardware</t>
  </si>
  <si>
    <t>(576.1) Maintenance of Structures and Improvements</t>
  </si>
  <si>
    <t>Total Operation (Lines 115 thru 122)</t>
  </si>
  <si>
    <t>(575.8) Rents</t>
  </si>
  <si>
    <t>(575.7) Market Facilitation, Monitoring and Compliance Services</t>
  </si>
  <si>
    <t>(575.6) Market Monitoring and Compliance</t>
  </si>
  <si>
    <t>(575.5) Ancillary Services Market Facilitation</t>
  </si>
  <si>
    <t>(575.4) Capacity Market Facilitation</t>
  </si>
  <si>
    <t>(575.3) Transmission Rights Market Facilitation</t>
  </si>
  <si>
    <t>(575.2) Day-Ahead and Real-Time Market Facilitation</t>
  </si>
  <si>
    <t>(575.1) Operation Supervision</t>
  </si>
  <si>
    <t>3. REGIONAL MARKET EXPENSES</t>
  </si>
  <si>
    <t>TOTAL Transmission Expenses (Total of lines 99 and 111)</t>
  </si>
  <si>
    <t>TOTAL Maintenance (Total of lines 101 thru 110)</t>
  </si>
  <si>
    <t>(573) Maintenance of Miscellaneous Transmission Plant</t>
  </si>
  <si>
    <t>(572) Maintenance of Underground Lines</t>
  </si>
  <si>
    <t>(571) Maintenance of Overhead Lines</t>
  </si>
  <si>
    <t>(570) Maintenance of Station Equipment</t>
  </si>
  <si>
    <t>(569.4) Maintenance of Miscellaneous Regional Transmission Plant</t>
  </si>
  <si>
    <t>(569.3) Maintenance of Communication Equipment</t>
  </si>
  <si>
    <t>(569.2) Maintenance of Computer Software</t>
  </si>
  <si>
    <t>(569.1) Maintenance of Computer Hardware</t>
  </si>
  <si>
    <t>(569) Maintenance of Structures</t>
  </si>
  <si>
    <t>(568) Maintenance Supervision and Engineering</t>
  </si>
  <si>
    <t>TOTAL Operation (Enter Total  of lines 83 thru 98)</t>
  </si>
  <si>
    <t>(567) Rents</t>
  </si>
  <si>
    <t>(566) Miscellaneous Transmission Expenses</t>
  </si>
  <si>
    <t>(565) Transmission of Electricity by Others</t>
  </si>
  <si>
    <t>(564) Underground Lines Expenses</t>
  </si>
  <si>
    <t>(563) Overhead Lines Expenses</t>
  </si>
  <si>
    <t>(562) Station Expenses</t>
  </si>
  <si>
    <t>(561.8) Reliability, Planning and Standards Development Services</t>
  </si>
  <si>
    <t>(561.7) Generation Interconnection Studies</t>
  </si>
  <si>
    <t>(561.6) Transmission Service Studies</t>
  </si>
  <si>
    <t>(561.5) Reliability, Planning and Standards Development</t>
  </si>
  <si>
    <t>(561.4) Scheduling, System Control and Dispatch Services</t>
  </si>
  <si>
    <t>(561.3) Load Dispatch-Transmission Service and Scheduling</t>
  </si>
  <si>
    <t>(561.2) Load Dispatch-Monitor and Operate Transmission System</t>
  </si>
  <si>
    <t>(561.1) Load Dispatch-Reliability</t>
  </si>
  <si>
    <t>(560) Operation Supervision and Engineering</t>
  </si>
  <si>
    <t>2. TRANSMISSION EXPENSES</t>
  </si>
  <si>
    <t>TOTAL Power Production Expenses (Total of lines 21, 41, 59, 74 &amp; 79)</t>
  </si>
  <si>
    <t>TOTAL Other Power Supply Exp (Enter Total of lines 76 thru 78)</t>
  </si>
  <si>
    <t>(557) Other Expenses</t>
  </si>
  <si>
    <t>(556) System Control and Load Dispatching</t>
  </si>
  <si>
    <t>(555) Purchased Power for Storage Operations</t>
  </si>
  <si>
    <t>(555) Purchased Power</t>
  </si>
  <si>
    <t>E. Other Power Supply Expenses</t>
  </si>
  <si>
    <t>TOTAL Power Production Expenses-Other Power (Enter Tot of 67 &amp; 73)</t>
  </si>
  <si>
    <t>TOTAL Maintenance (Enter Total of lines 69 thru 72)</t>
  </si>
  <si>
    <t>(554) Maintenance of Miscellaneous Other Power Generation Plant</t>
  </si>
  <si>
    <t>(553) Maintenance of Generating and Electric Plant</t>
  </si>
  <si>
    <t>(552) Maintenance of Structures</t>
  </si>
  <si>
    <t>(551) Maintenance Supervision and Engineering</t>
  </si>
  <si>
    <t>TOTAL Operation (Enter Total of lines 62 thru 66)</t>
  </si>
  <si>
    <t>(550) Rents</t>
  </si>
  <si>
    <t>(549) Miscellaneous Other Power Generation Expenses</t>
  </si>
  <si>
    <t>(548) Generation Expenses</t>
  </si>
  <si>
    <t>(547) Fuel</t>
  </si>
  <si>
    <t>(546) Operation Supervision and Engineering</t>
  </si>
  <si>
    <t>D. Other Power Generation</t>
  </si>
  <si>
    <t>TOTAL Power Production Expenses-Hydraulic Power (tot of lines 50 &amp; 58)</t>
  </si>
  <si>
    <t>TOTAL Maintenance (Enter Total of lines 53 thru 57)</t>
  </si>
  <si>
    <t>(545) Maintenance of Miscellaneous Hydraulic Plant</t>
  </si>
  <si>
    <t>(544) Maintenance of Electric Plant</t>
  </si>
  <si>
    <t>(543) Maintenance of Reservoirs, Dams, and Waterways</t>
  </si>
  <si>
    <t>(542) Maintenance of Structures</t>
  </si>
  <si>
    <t>(541) Mainentance Supervision and Engineering</t>
  </si>
  <si>
    <t>C. Hydraulic Power Generation (Continued)</t>
  </si>
  <si>
    <t>TOTAL Operation (Enter Total of Lines 44 thru 49)</t>
  </si>
  <si>
    <t>(540) Rents</t>
  </si>
  <si>
    <t>(539) Miscellaneous Hydraulic Power Generation Expenses</t>
  </si>
  <si>
    <t>(538) Electric Expenses</t>
  </si>
  <si>
    <t>(537) Hydraulic Expenses</t>
  </si>
  <si>
    <t>(536) Water for Power</t>
  </si>
  <si>
    <t>(535) Operation Supervision and Engineering</t>
  </si>
  <si>
    <t>C. Hydraulic Power Generation</t>
  </si>
  <si>
    <t>TOTAL Power Production Expenses-Nuc. Power (Entr tot lines 33 &amp; 40)</t>
  </si>
  <si>
    <t>TOTAL Maintenance (Enter Total of lines 35 thru 39)</t>
  </si>
  <si>
    <t>(532) Maintenance of Miscellaneous Nuclear Plant</t>
  </si>
  <si>
    <t>(531) Maintenance of Electric Plant</t>
  </si>
  <si>
    <t>(530) Maintenance of Reactor Plant Equipment</t>
  </si>
  <si>
    <t>(529) Maintenance of Structures</t>
  </si>
  <si>
    <t>(528) Maintenance Supervision and Engineering</t>
  </si>
  <si>
    <t>TOTAL Operation (Enter Total of lines 24 thru 32)</t>
  </si>
  <si>
    <t>(525) Rents</t>
  </si>
  <si>
    <t>(524) Miscellaneous Nuclear Power Expenses</t>
  </si>
  <si>
    <t>(523) Electric Expenses</t>
  </si>
  <si>
    <t>(Less) (522) Steam Transferred-Cr.</t>
  </si>
  <si>
    <t>(521) Steam from Other Sources</t>
  </si>
  <si>
    <t>(520) Steam Expenses</t>
  </si>
  <si>
    <t>(519) Coolants and Water</t>
  </si>
  <si>
    <t>(518) Fuel</t>
  </si>
  <si>
    <t>(517) Operation Supervision and Engineering</t>
  </si>
  <si>
    <t>B. Nuclear Power Generation</t>
  </si>
  <si>
    <t>TOTAL Power Production Expenses-Steam Power (Entr Tot lines 13 &amp; 20)</t>
  </si>
  <si>
    <t>TOTAL Maintenance (Enter Total of Lines 15 thru 19)</t>
  </si>
  <si>
    <t>(514) Maintenance of Miscellaneous Steam Plant</t>
  </si>
  <si>
    <t>(513) Maintenance of Electric Plant</t>
  </si>
  <si>
    <t>(512) Maintenance of Boiler Plant</t>
  </si>
  <si>
    <t>(511) Maintenance of Structures</t>
  </si>
  <si>
    <t>(510) Maintenance Supervision and Engineering</t>
  </si>
  <si>
    <t>TOTAL Operation (Enter Total of Lines 4 thru 12)</t>
  </si>
  <si>
    <t>(509) Allowances</t>
  </si>
  <si>
    <t>(507) Rents</t>
  </si>
  <si>
    <t>(506) Miscellaneous Steam Power Expenses</t>
  </si>
  <si>
    <t>(505) Electric Expenses</t>
  </si>
  <si>
    <t>(Less) (504) Steam Transferred-Cr.</t>
  </si>
  <si>
    <t>(503) Steam from Other Sources</t>
  </si>
  <si>
    <t>(502) Steam Expenses</t>
  </si>
  <si>
    <t>(501) Fuel</t>
  </si>
  <si>
    <t>(500) Operation Supervision and Engineering</t>
  </si>
  <si>
    <t>A. Steam Power Generation</t>
  </si>
  <si>
    <t>1. POWER PRODUCTION EXPENSES</t>
  </si>
  <si>
    <t>prev_yr_amt</t>
  </si>
  <si>
    <t>crnt_yr_amt</t>
  </si>
  <si>
    <t>(  as)  California Independent System Operator</t>
  </si>
  <si>
    <t>Other - Inadvertent Interchange</t>
  </si>
  <si>
    <t>OATT</t>
  </si>
  <si>
    <t> (ar)
IntraCompany Generation Services</t>
  </si>
  <si>
    <t> (aq)  Wells Fargo Securities, LLC</t>
  </si>
  <si>
    <t>Vitol Inc.</t>
  </si>
  <si>
    <t>Turlock Irrigation District</t>
  </si>
  <si>
    <t>TransAlta Energy Marketing</t>
  </si>
  <si>
    <t>PURPA</t>
  </si>
  <si>
    <t>The City of
Cove</t>
  </si>
  <si>
    <t>NWPP</t>
  </si>
  <si>
    <t> (ap)  Tacoma Power</t>
  </si>
  <si>
    <t>Stimson Lumber</t>
  </si>
  <si>
    <t>Sovereign</t>
  </si>
  <si>
    <t>(  ao)  Sovereign Power</t>
  </si>
  <si>
    <t>Snohomish County PUD No. 1</t>
  </si>
  <si>
    <t>Shell Energy</t>
  </si>
  <si>
    <t>Sheep Creek Hydro</t>
  </si>
  <si>
    <t> (an)  Seattle City Light</t>
  </si>
  <si>
    <t>Sacramento
Municipal Utility District</t>
  </si>
  <si>
    <t>PPA</t>
  </si>
  <si>
    <t>Rattlesnake Flat, LLC</t>
  </si>
  <si>
    <t>Lancaster</t>
  </si>
  <si>
    <t>Rathdrum Power, LLC</t>
  </si>
  <si>
    <t>Rainbow Energy Marketing Co.</t>
  </si>
  <si>
    <t> (am)  Puget
Sound Energy</t>
  </si>
  <si>
    <t>Puget Sound Energy OATT</t>
  </si>
  <si>
    <t> (al)  Puget Sound Energy</t>
  </si>
  <si>
    <t> (ak)  Puget
Sound Energy</t>
  </si>
  <si>
    <t> (aj)  Puget
Sound Energy</t>
  </si>
  <si>
    <t>Powerex Corp</t>
  </si>
  <si>
    <t>Portland General OATT</t>
  </si>
  <si>
    <t> (ai)  Portland General Electric Company</t>
  </si>
  <si>
    <t> (ah)  Portland General Electric Company</t>
  </si>
  <si>
    <t> (ag)  Portland General Electric
Company</t>
  </si>
  <si>
    <t>Portland General Electric Company</t>
  </si>
  <si>
    <t>Pend O'</t>
  </si>
  <si>
    <t>Pend Oreille County PUD No. 1</t>
  </si>
  <si>
    <t> (af)  Pend Oreille County PUD No. 1</t>
  </si>
  <si>
    <t>Palouse Wind, LLC</t>
  </si>
  <si>
    <t>PacifiCorp
OATT</t>
  </si>
  <si>
    <t> (ae)  PacifiCorp</t>
  </si>
  <si>
    <t> (ad)  PacifiCorp</t>
  </si>
  <si>
    <t> (ac)  PacifiCorp</t>
  </si>
  <si>
    <t>(  ab)  PacifiCorp</t>
  </si>
  <si>
    <t>NorthWestern Energy OATT</t>
  </si>
  <si>
    <t>(  aa)
NorthWestern Energy</t>
  </si>
  <si>
    <t>(  z)
NorthWestern Energy</t>
  </si>
  <si>
    <t>(  y)
NorthWestern Energy</t>
  </si>
  <si>
    <t>(  x)
NorthWestern Energy</t>
  </si>
  <si>
    <t> (w)  Nevada Power Company</t>
  </si>
  <si>
    <t>Morgan Stanley Capital Group</t>
  </si>
  <si>
    <t> (v)  Mizuho Securities USA, Inc.</t>
  </si>
  <si>
    <t>Mercuria Energy America, LLC</t>
  </si>
  <si>
    <t>Macquarie Energy, LLC</t>
  </si>
  <si>
    <t>Tariff 8</t>
  </si>
  <si>
    <t>J. Aron &amp; Company, LLC</t>
  </si>
  <si>
    <t> (u)  Inland Power &amp; Light Company</t>
  </si>
  <si>
    <t>(t)  Idaho Power Company Balancing</t>
  </si>
  <si>
    <t> (s)  Idaho Power Company Balancing</t>
  </si>
  <si>
    <t>(r)  Idaho Power Company</t>
  </si>
  <si>
    <t>Idaho Power Co OATT</t>
  </si>
  <si>
    <t> (q)  Idaho Power Company</t>
  </si>
  <si>
    <t>Idaho County Power &amp; Light</t>
  </si>
  <si>
    <t>Hydro Technology Systems</t>
  </si>
  <si>
    <t>Heartland
Generation Ltd.</t>
  </si>
  <si>
    <t> (p)  Gridforce Energy Management, LLC</t>
  </si>
  <si>
    <t>FERC #104</t>
  </si>
  <si>
    <t>Grant County
PUD No. 2</t>
  </si>
  <si>
    <t>(  o)  Grant County PUD No. 2</t>
  </si>
  <si>
    <t>Priest Rapids</t>
  </si>
  <si>
    <t>Ford Hydro
Limited Partnership</t>
  </si>
  <si>
    <t>Eugene Water &amp; Electric Board</t>
  </si>
  <si>
    <t>Enel X North America, Inc.</t>
  </si>
  <si>
    <t>EDF Trading No America</t>
  </si>
  <si>
    <t>East, South, Quincy Columbia Basin Irrigation Districts</t>
  </si>
  <si>
    <t>Douglas County PUD
No. 1</t>
  </si>
  <si>
    <t> (n)  Douglas County PUD No. 1</t>
  </si>
  <si>
    <t>Wells</t>
  </si>
  <si>
    <t>Douglas County PUD No. 1</t>
  </si>
  <si>
    <t>Deep Creek
Energy, LLC</t>
  </si>
  <si>
    <t>Community
Solar</t>
  </si>
  <si>
    <t>Clearwater Paper Company</t>
  </si>
  <si>
    <t>Clatskanie PUD</t>
  </si>
  <si>
    <t>Clark Fork Hydro</t>
  </si>
  <si>
    <t>City of Spokane</t>
  </si>
  <si>
    <t>Chelan Sys</t>
  </si>
  <si>
    <t>Chelan County PUD</t>
  </si>
  <si>
    <t> (m)  Chelan County PUD</t>
  </si>
  <si>
    <t>Rocky Reach</t>
  </si>
  <si>
    <t>(l)  Chelan County PUD</t>
  </si>
  <si>
    <t>California Independent System
Operator</t>
  </si>
  <si>
    <t>BPA OATT</t>
  </si>
  <si>
    <t>BP Energy</t>
  </si>
  <si>
    <t>Avangrid Renewables, LLC</t>
  </si>
  <si>
    <t>APS OATT</t>
  </si>
  <si>
    <t>(  a)  Arizona Public Service Company</t>
  </si>
  <si>
    <t>Adams Nielson Solar, LLC</t>
  </si>
  <si>
    <t>settlement_tot</t>
  </si>
  <si>
    <t>othr_charges</t>
  </si>
  <si>
    <t>erg_charges</t>
  </si>
  <si>
    <t>dmnd_charges</t>
  </si>
  <si>
    <t>mwh_delvd</t>
  </si>
  <si>
    <t>mwh_recv</t>
  </si>
  <si>
    <t>mwh_purchased</t>
  </si>
  <si>
    <t>avgmth_cp_dmnd</t>
  </si>
  <si>
    <t>avgmth_ncp_dmnd</t>
  </si>
  <si>
    <t>avgmth_bill_dmnd</t>
  </si>
  <si>
    <t>rtsched_trffnbr</t>
  </si>
  <si>
    <t>athrty_co_name</t>
  </si>
  <si>
    <t>(blank)</t>
  </si>
  <si>
    <t>Sum of mwh_purchased</t>
  </si>
  <si>
    <t>Sum of settlement_tot</t>
  </si>
  <si>
    <t>Coyote Springs 2</t>
  </si>
  <si>
    <t>Long Lake</t>
  </si>
  <si>
    <t>Kettle Falls</t>
  </si>
  <si>
    <t>TOTAL SALARIES AND WAGES</t>
  </si>
  <si>
    <t>TOTAL Other Accounts</t>
  </si>
  <si>
    <t>Payroll Equilization Liability</t>
  </si>
  <si>
    <t>Incentive/Stock Compensation (238000)</t>
  </si>
  <si>
    <t>Employee Incentive Plan (232380)</t>
  </si>
  <si>
    <t>Other Income Deductions (426)</t>
  </si>
  <si>
    <t>Retirement/Bonus/Serp/HRA Settlement (228)</t>
  </si>
  <si>
    <t>Non-Operating Expenses (417)</t>
  </si>
  <si>
    <t>Small Tool Expense (184)</t>
  </si>
  <si>
    <t>Stores Expense (163)</t>
  </si>
  <si>
    <t>Other Accounts (Specify, provide details in footnote):</t>
  </si>
  <si>
    <t>TOTAL Plant Removal (Total of lines 73 thru 75)</t>
  </si>
  <si>
    <t>Gas Plant</t>
  </si>
  <si>
    <t>Electric Plant</t>
  </si>
  <si>
    <t>Plant Removal (By Utility Departments)</t>
  </si>
  <si>
    <t>TOTAL Construction (Total of lines 68 thru 70)</t>
  </si>
  <si>
    <t>Construction (By Utility Departments)</t>
  </si>
  <si>
    <t>TOTAL All Utility Dept. (Total of lines 28, 62, and 64)</t>
  </si>
  <si>
    <t>Other Utility Departments</t>
  </si>
  <si>
    <t>TOTAL Operation and Maint. (Total of lines 52 thru 61)</t>
  </si>
  <si>
    <t>Administrative and General (Lines 40 and 49)</t>
  </si>
  <si>
    <t>Sales (Line 39)</t>
  </si>
  <si>
    <t>Customer Service and Informational (Line 38)</t>
  </si>
  <si>
    <t>Customer Accounts (Line 37)</t>
  </si>
  <si>
    <t>Distribution (Lines 36 and 48)</t>
  </si>
  <si>
    <t>Transmission (Lines 35 and 47)</t>
  </si>
  <si>
    <t>Storage, LNG Terminaling and Processing (Total of lines 31 thru 47)</t>
  </si>
  <si>
    <t>Other Gas Supply (Enter Total of lines 33 and 45)</t>
  </si>
  <si>
    <t>Production-Natural Gas (Including Expl. and Dev.) (Total lines 32, 44)</t>
  </si>
  <si>
    <t>Production-Manufactured Gas (Enter Total of lines 31 and 43)</t>
  </si>
  <si>
    <t>Total Operation and Maintenance</t>
  </si>
  <si>
    <t>TOTAL Maint. (Enter Total of lines 43 thru 49)</t>
  </si>
  <si>
    <t>Storage, LNG Terminaling and Processing</t>
  </si>
  <si>
    <t>Other Gas Supply</t>
  </si>
  <si>
    <t>Production-Natural Gas (Including Exploration and Development)</t>
  </si>
  <si>
    <t>Production-Manufactured Gas</t>
  </si>
  <si>
    <t>TOTAL Operation (Enter Total of lines 31 thru 40)</t>
  </si>
  <si>
    <t>Production-Nat. Gas (Including Expl. and Dev.)</t>
  </si>
  <si>
    <t>Gas</t>
  </si>
  <si>
    <t>TOTAL Oper. and Maint. (Total of lines 20 thru 27)</t>
  </si>
  <si>
    <t>Administrative and General (Enter Total of lines 10 and 17)</t>
  </si>
  <si>
    <t>Sales (Transcribe from line 9)</t>
  </si>
  <si>
    <t>Customer Service and Informational (Transcribe from line 8)</t>
  </si>
  <si>
    <t>Customer Accounts (Transcribe from line 7)</t>
  </si>
  <si>
    <t>Distribution (Enter Total of lines 6 and 16)</t>
  </si>
  <si>
    <t>Regional Market (Enter Total of Lines 5 and 15)</t>
  </si>
  <si>
    <t>Transmission (Enter Total of lines 4 and 14)</t>
  </si>
  <si>
    <t>Production (Enter Total of lines 3 and 13)</t>
  </si>
  <si>
    <t>TOTAL Maintenance (Total of lines 13 thru 17)</t>
  </si>
  <si>
    <t>Regional Market</t>
  </si>
  <si>
    <t>TOTAL Operation (Enter Total of lines 3 thru 10)</t>
  </si>
  <si>
    <t>alloc_of_payroll</t>
  </si>
  <si>
    <t>drct_pyrl_dstrbt</t>
  </si>
  <si>
    <t>classification</t>
  </si>
  <si>
    <t>TOTAL (Enter Total of Lines 22 Through 27) (MUST EQUAL LINE 20)</t>
  </si>
  <si>
    <t>Total Energy Losses</t>
  </si>
  <si>
    <t>Energy Used by the Company (Electric Dept Only, Excluding Station Use)</t>
  </si>
  <si>
    <t>Energy Furnished Without Charge</t>
  </si>
  <si>
    <t>Non-Requirements Sales for Resale (See instruction 4, page 311.)</t>
  </si>
  <si>
    <t>Requirements Sales for Resale (See instruction 4, page 311.)</t>
  </si>
  <si>
    <t>Sales to Ultimate Consumers (Including Interdepartmental Sales)</t>
  </si>
  <si>
    <t>DISPOSITION OF ENERGY</t>
  </si>
  <si>
    <t>TOTAL (Enter Total of lines 9, 10, 14, 18 and 19)</t>
  </si>
  <si>
    <t>Transmission By Others Losses</t>
  </si>
  <si>
    <t>Net Transmission for Other (Line 16 minus line 17)</t>
  </si>
  <si>
    <t>Delivered</t>
  </si>
  <si>
    <t>Received</t>
  </si>
  <si>
    <t>Transmission For Other (Wheeling)</t>
  </si>
  <si>
    <t>Net Exchanges (Line 12 minus line 13)</t>
  </si>
  <si>
    <t>Power Exchanges:</t>
  </si>
  <si>
    <t>Purchases</t>
  </si>
  <si>
    <t>Net Generation (Enter Total of lines 3 through 8)</t>
  </si>
  <si>
    <t>Less Energy for Pumping</t>
  </si>
  <si>
    <t>Hydro-Pumped Storage</t>
  </si>
  <si>
    <t>Hydro-Conventional</t>
  </si>
  <si>
    <t>Generation (Excluding Station Use):</t>
  </si>
  <si>
    <t>SOURCES OF ENERGY</t>
  </si>
  <si>
    <t>erg_disp_mwh</t>
  </si>
  <si>
    <t>erg_src_mwh</t>
  </si>
  <si>
    <t>erg_val</t>
  </si>
  <si>
    <t>December</t>
  </si>
  <si>
    <t>November</t>
  </si>
  <si>
    <t>0900</t>
  </si>
  <si>
    <t>October</t>
  </si>
  <si>
    <t>September</t>
  </si>
  <si>
    <t>August</t>
  </si>
  <si>
    <t>July</t>
  </si>
  <si>
    <t>June</t>
  </si>
  <si>
    <t>0800</t>
  </si>
  <si>
    <t>April</t>
  </si>
  <si>
    <t>March</t>
  </si>
  <si>
    <t>February</t>
  </si>
  <si>
    <t>January</t>
  </si>
  <si>
    <t>hour</t>
  </si>
  <si>
    <t>day_of_month</t>
  </si>
  <si>
    <t>megawatts</t>
  </si>
  <si>
    <t>mthly_sales_loss</t>
  </si>
  <si>
    <t>tot_mthly_erg</t>
  </si>
  <si>
    <t>system_name</t>
  </si>
  <si>
    <r>
      <t xml:space="preserve">(Less) </t>
    </r>
    <r>
      <rPr>
        <sz val="10"/>
        <color indexed="12"/>
        <rFont val="Arial Narrow"/>
        <family val="2"/>
      </rPr>
      <t>Loss from Disposition of Allowances</t>
    </r>
  </si>
  <si>
    <r>
      <t xml:space="preserve">(Less) </t>
    </r>
    <r>
      <rPr>
        <sz val="10"/>
        <color indexed="12"/>
        <rFont val="Arial Narrow"/>
        <family val="2"/>
      </rPr>
      <t>Loss from Disposition of Utility Plant</t>
    </r>
  </si>
  <si>
    <r>
      <t xml:space="preserve">(Less) </t>
    </r>
    <r>
      <rPr>
        <sz val="10"/>
        <color indexed="12"/>
        <rFont val="Arial Narrow"/>
        <family val="2"/>
      </rPr>
      <t>Regulatory Debits</t>
    </r>
  </si>
  <si>
    <r>
      <t>(less)</t>
    </r>
    <r>
      <rPr>
        <sz val="12"/>
        <color indexed="12"/>
        <rFont val="Times New Roman"/>
        <family val="1"/>
      </rPr>
      <t xml:space="preserve"> Long-Term Portion of Derivative Instrument Liabilities - Hedges</t>
    </r>
  </si>
  <si>
    <r>
      <t>(less)</t>
    </r>
    <r>
      <rPr>
        <sz val="12"/>
        <color indexed="12"/>
        <rFont val="Times New Roman"/>
        <family val="1"/>
      </rPr>
      <t xml:space="preserve"> Long-Term Portion of Derivative Instrument Liabilities</t>
    </r>
  </si>
  <si>
    <t>Direct</t>
  </si>
  <si>
    <t>mwh sold</t>
  </si>
  <si>
    <t xml:space="preserve">We have directly assigned accounts 302 and 303 Intangible Plant and Accumulated Depreciation as shown in workpapers 1.1a and 1.1b. We then used the allocation factor derived from the direct assignments to allocate Depreciation Expense above. </t>
  </si>
  <si>
    <t xml:space="preserve">Note: </t>
  </si>
  <si>
    <t xml:space="preserve"> Total Related Expense per FERC 336</t>
  </si>
  <si>
    <t>Schedule 3</t>
  </si>
  <si>
    <t xml:space="preserve">Depreciation Expense </t>
  </si>
  <si>
    <t>Depreciation Expense</t>
  </si>
  <si>
    <t>1.1b Intangible Dpr.</t>
  </si>
  <si>
    <t>Accumulated Depreciation/Amortization</t>
  </si>
  <si>
    <t>Total 303</t>
  </si>
  <si>
    <t>Intangible Plant -Software</t>
  </si>
  <si>
    <t>1.1c Intangible</t>
  </si>
  <si>
    <t>Intangible Plant - Software</t>
  </si>
  <si>
    <t xml:space="preserve">Intangible Plant </t>
  </si>
  <si>
    <t>Franchises &amp; Consents</t>
  </si>
  <si>
    <t xml:space="preserve"> Accumulated Depreciation </t>
  </si>
  <si>
    <t xml:space="preserve"> Allocation Factor  </t>
  </si>
  <si>
    <t>Total Intangible Plant Assigned to Electric</t>
  </si>
  <si>
    <t>Misc Intangible Plant</t>
  </si>
  <si>
    <t>1.1a Intangible Plt</t>
  </si>
  <si>
    <t>AFUDC</t>
  </si>
  <si>
    <t xml:space="preserve">Distribution </t>
  </si>
  <si>
    <t xml:space="preserve">Transmission </t>
  </si>
  <si>
    <t xml:space="preserve">Workpaper </t>
  </si>
  <si>
    <t>Electric System</t>
  </si>
  <si>
    <t>12 Months Ended December 2023</t>
  </si>
  <si>
    <t>Intangible Plant Allocation</t>
  </si>
  <si>
    <t>Avista Utilities</t>
  </si>
  <si>
    <t>FERC pg 204-207</t>
  </si>
  <si>
    <t>diff</t>
  </si>
  <si>
    <t>Total 302 &amp; 303</t>
  </si>
  <si>
    <t>Total A/C 303</t>
  </si>
  <si>
    <t>Total Distribution</t>
  </si>
  <si>
    <t>1.1b</t>
  </si>
  <si>
    <t xml:space="preserve"> -   </t>
  </si>
  <si>
    <t>Total Transmission</t>
  </si>
  <si>
    <t>Acct. 303</t>
  </si>
  <si>
    <t xml:space="preserve"> TRUE </t>
  </si>
  <si>
    <t>Total A/C 302</t>
  </si>
  <si>
    <t>Acct. 302</t>
  </si>
  <si>
    <t>For Internal Use Only</t>
  </si>
  <si>
    <t>Page 1 of 2</t>
  </si>
  <si>
    <t>ID</t>
  </si>
  <si>
    <t>POST FALLS HED - BENEWAH CO</t>
  </si>
  <si>
    <t>POST FALLS HED</t>
  </si>
  <si>
    <t>WA</t>
  </si>
  <si>
    <t>Long Lake Hydro - Non-Project</t>
  </si>
  <si>
    <t>303350</t>
  </si>
  <si>
    <t>MT</t>
  </si>
  <si>
    <t>NOXON RAPIDS HED</t>
  </si>
  <si>
    <t>NOXON NON-PROJECT</t>
  </si>
  <si>
    <t>CABINET GORGE NON-PROJECT</t>
  </si>
  <si>
    <t>CABINET GORGE HED</t>
  </si>
  <si>
    <t>UNSPECIFIED - Allocated North (WA)</t>
  </si>
  <si>
    <t>303134</t>
  </si>
  <si>
    <t>303133</t>
  </si>
  <si>
    <t>303130</t>
  </si>
  <si>
    <t>UNSPECIFIED - Washington</t>
  </si>
  <si>
    <t>303121</t>
  </si>
  <si>
    <t>AN</t>
  </si>
  <si>
    <t>UNSPECIFIED - Allocated North</t>
  </si>
  <si>
    <t>UNSPECIFIED - Allocated North (ID)</t>
  </si>
  <si>
    <t>303105</t>
  </si>
  <si>
    <t>303104</t>
  </si>
  <si>
    <t>303103</t>
  </si>
  <si>
    <t>303102</t>
  </si>
  <si>
    <t>UNSPECIFIED - Idaho</t>
  </si>
  <si>
    <t>UNSPECIFIED - Allocated North (MT)</t>
  </si>
  <si>
    <t>SYSTEM OPERATIONS ELECTRIC</t>
  </si>
  <si>
    <t>MGMT NETWORK SGDP COMMUNICATION (WA)</t>
  </si>
  <si>
    <t>KETTLE FALLS GS (AN)</t>
  </si>
  <si>
    <t>COLSTRIP-TOWNSEND 500KV TRANSM LINE A</t>
  </si>
  <si>
    <t>ELECTRIC VEHICLE SUPPLY EQUIPMENT (WA)</t>
  </si>
  <si>
    <t>SAND CREEK BPA SUBSTATION (AN)</t>
  </si>
  <si>
    <t>NORTHEAST SUBSTA</t>
  </si>
  <si>
    <t>LANCASTER CT</t>
  </si>
  <si>
    <t>HATWAI BPA SUB COMMUNICATION (AN)</t>
  </si>
  <si>
    <t>DRY CREEK 230/115kV SUBSTA (AN)</t>
  </si>
  <si>
    <t>DRY CREEK 230/115kV SUBSTA</t>
  </si>
  <si>
    <t>DEVILS GAP LARSON STRATFORD GRANT CO TRANSMN LINE</t>
  </si>
  <si>
    <t>DEER PARK BPA OWNED SUBSTA 115kV ONLY (AN)</t>
  </si>
  <si>
    <t>OR</t>
  </si>
  <si>
    <t>COYOTE SPRINGS 2</t>
  </si>
  <si>
    <t>BELL BPA SUBSTATION (AN)</t>
  </si>
  <si>
    <t>BELL BPA SUB COMMUNICATION (AN)</t>
  </si>
  <si>
    <t>BEACON-CABINET 230KV TRANSM LINE - IDAHO (AN)</t>
  </si>
  <si>
    <t xml:space="preserve">Distirbution </t>
  </si>
  <si>
    <t>WASHINGTON STATE FRANCHISES 028</t>
  </si>
  <si>
    <t>LOLO-OXBOW 230KV LINE - OREGON</t>
  </si>
  <si>
    <t>FOREST USE PERMITS - IDAHO</t>
  </si>
  <si>
    <t xml:space="preserve">State </t>
  </si>
  <si>
    <t xml:space="preserve">Facility Desc </t>
  </si>
  <si>
    <t xml:space="preserve">Plant Acct </t>
  </si>
  <si>
    <t>Ending Balance</t>
  </si>
  <si>
    <t xml:space="preserve">      </t>
  </si>
  <si>
    <t>Accounting Period: 202312                        Book type Code : AVA CORP                             Service:</t>
  </si>
  <si>
    <t>Expense from 3.2</t>
  </si>
  <si>
    <t>FERC pg.336</t>
  </si>
  <si>
    <t>A/D - 1.1c Intangible Reserve</t>
  </si>
  <si>
    <t>1.1 Intangible Assets Summary</t>
  </si>
  <si>
    <t>Immaterial Difference Allocated to Dist</t>
  </si>
  <si>
    <t>T</t>
  </si>
  <si>
    <t>Synergi Electric 6.1 Upgrade</t>
  </si>
  <si>
    <t>ED</t>
  </si>
  <si>
    <t>Serveron TM View Upgrade</t>
  </si>
  <si>
    <t xml:space="preserve">P </t>
  </si>
  <si>
    <t>Realtime Turret System Refresh</t>
  </si>
  <si>
    <t>QTS / QTD</t>
  </si>
  <si>
    <t>KFGS Repl Bailey Infin 90 desg</t>
  </si>
  <si>
    <t>KFCT- Solar CT Control SFTWR</t>
  </si>
  <si>
    <t>Floating Pit Tag Antenna App C</t>
  </si>
  <si>
    <t>D</t>
  </si>
  <si>
    <t>EVSE Network Perp License-2019</t>
  </si>
  <si>
    <t>CG HED-BatteryBank&amp;DC Upgrade</t>
  </si>
  <si>
    <t>Autodesk Inventor Upgrade-2019</t>
  </si>
  <si>
    <t>P</t>
  </si>
  <si>
    <t>ADSS Phase 3 Release 1</t>
  </si>
  <si>
    <t>ADSS R2: Trader</t>
  </si>
  <si>
    <t>LIMSUpgrade</t>
  </si>
  <si>
    <t>ADSS Phase 2</t>
  </si>
  <si>
    <t>Settlements Solution Implem</t>
  </si>
  <si>
    <t>Transmission Outage Mgmt Syst</t>
  </si>
  <si>
    <t>Substation Health Index Tool</t>
  </si>
  <si>
    <t xml:space="preserve">LABOR </t>
  </si>
  <si>
    <t>RCT U#2 HMI Upgrade-software</t>
  </si>
  <si>
    <t xml:space="preserve">D </t>
  </si>
  <si>
    <t>Project Name</t>
  </si>
  <si>
    <t>Project</t>
  </si>
  <si>
    <t xml:space="preserve"> Ending Balance </t>
  </si>
  <si>
    <t>Dpis: Year</t>
  </si>
  <si>
    <t>Service</t>
  </si>
  <si>
    <t>Plant Acct</t>
  </si>
  <si>
    <t xml:space="preserve">Allocation </t>
  </si>
  <si>
    <t>*Use FA_TTP Report in Cognos (excluding URGL transactions). Assume 5-year lookback based on depreciation schedule; ending balances represent Gross Plant Balances</t>
  </si>
  <si>
    <t>303100 &amp; 303110 (1.1b)</t>
  </si>
  <si>
    <t xml:space="preserve"> Total Transmission </t>
  </si>
  <si>
    <t>Acct. 111-303</t>
  </si>
  <si>
    <t>Acct. 111-302</t>
  </si>
  <si>
    <t>Page 1 of 3</t>
  </si>
  <si>
    <t>See 1.1b</t>
  </si>
  <si>
    <t>AMI SOFTWARE</t>
  </si>
  <si>
    <t>MISC INTANG PLT-SOFTWARE</t>
  </si>
  <si>
    <t>MISC INTANGIBLE PLANT</t>
  </si>
  <si>
    <t>UNSPECIFIED</t>
  </si>
  <si>
    <t>INTANG PLT FRANCH&amp;CONSENT</t>
  </si>
  <si>
    <t xml:space="preserve">Jurisdiction </t>
  </si>
  <si>
    <t xml:space="preserve">Plant Acct Desc </t>
  </si>
  <si>
    <t>Beginning Balance</t>
  </si>
  <si>
    <t xml:space="preserve">We have directly assigned the electric and gas portion of common plant above. We then directly assigned the electric portion of common plant using the ratios allowed for electric general plant in these same accounts. We believe that these ratios accurately reflect the nature of how the account is used by the business as a whole. We used the allocation factor derived above, to apply to the related accumulated amortization and expense accounts. </t>
  </si>
  <si>
    <t>Form 1 Page 201,356</t>
  </si>
  <si>
    <t>Check</t>
  </si>
  <si>
    <t>Total Accumulated Provision for Depr, Amort, &amp; Depl.</t>
  </si>
  <si>
    <t>Form 1 Page 356</t>
  </si>
  <si>
    <t>Total Electric and Gas Common CWIP</t>
  </si>
  <si>
    <t>Total Electric and Gas Common Plant</t>
  </si>
  <si>
    <t xml:space="preserve">CWIP Allocation </t>
  </si>
  <si>
    <t>1.3b Common Dpr.</t>
  </si>
  <si>
    <t>Related Accumulated Depreciation/Amortization</t>
  </si>
  <si>
    <t>Total Common Plant Assigned to Gas</t>
  </si>
  <si>
    <t>Other Tangible Property</t>
  </si>
  <si>
    <t xml:space="preserve">N/A </t>
  </si>
  <si>
    <t>1.3a Common Plt</t>
  </si>
  <si>
    <t>Tools, Shop and Garage Equipment</t>
  </si>
  <si>
    <t>Office Furniture and Equipment</t>
  </si>
  <si>
    <t>Miscellaneous Intangible Plant</t>
  </si>
  <si>
    <t>Organization</t>
  </si>
  <si>
    <t>Gas System</t>
  </si>
  <si>
    <t xml:space="preserve"> - </t>
  </si>
  <si>
    <t>A/C  404</t>
  </si>
  <si>
    <t xml:space="preserve">Amortization Expense </t>
  </si>
  <si>
    <t>A/C  403</t>
  </si>
  <si>
    <t>Total Common Plant Assigned to Electric</t>
  </si>
  <si>
    <t>N/A</t>
  </si>
  <si>
    <t>Miscellaneous Intangible Plant-Software</t>
  </si>
  <si>
    <t>2019 values pasted for comparison</t>
  </si>
  <si>
    <t>I17,I26,I35,I53,I62</t>
  </si>
  <si>
    <t>Common Plant Service Allocation</t>
  </si>
  <si>
    <t>Not Allocated</t>
  </si>
  <si>
    <t>E-ALL</t>
  </si>
  <si>
    <t>Elec/Gas North 4-Factor</t>
  </si>
  <si>
    <t>Gas North/Oregon 4-Factor</t>
  </si>
  <si>
    <t>Elec/Gas North/Oregon 4-Factor</t>
  </si>
  <si>
    <t>ALLOCATION RATIOS:</t>
  </si>
  <si>
    <t>Total Utility 7 and 9</t>
  </si>
  <si>
    <t>TOTAL GENERAL PLANT</t>
  </si>
  <si>
    <t xml:space="preserve">  TOTAL ACCOUNT</t>
  </si>
  <si>
    <t xml:space="preserve">     CD-WA/ ID / AN</t>
  </si>
  <si>
    <t xml:space="preserve">     CD-AA</t>
  </si>
  <si>
    <t xml:space="preserve">     GD-AA</t>
  </si>
  <si>
    <t xml:space="preserve">     GD-OR / AS</t>
  </si>
  <si>
    <t xml:space="preserve">     GD-WA / ID / AN</t>
  </si>
  <si>
    <t xml:space="preserve">     ED-WA / ID / AN</t>
  </si>
  <si>
    <t>397XXX</t>
  </si>
  <si>
    <t xml:space="preserve">     CD-WA / ID / AN</t>
  </si>
  <si>
    <t>396XXX</t>
  </si>
  <si>
    <t>Electric Charging Stations</t>
  </si>
  <si>
    <t>Tools, Shop, &amp; Garage Equipment</t>
  </si>
  <si>
    <t>392XXX</t>
  </si>
  <si>
    <t>Office Furniture &amp; Equipment</t>
  </si>
  <si>
    <t>391XXX</t>
  </si>
  <si>
    <t>Structures &amp; Improvements</t>
  </si>
  <si>
    <t>390XXX</t>
  </si>
  <si>
    <t>Land &amp; Land Rights</t>
  </si>
  <si>
    <t>389XXX</t>
  </si>
  <si>
    <t>Allocated</t>
  </si>
  <si>
    <t>Direct-OR</t>
  </si>
  <si>
    <t>Direct-ID</t>
  </si>
  <si>
    <t>Direct-WA</t>
  </si>
  <si>
    <t>Ref/Basis</t>
  </si>
  <si>
    <t xml:space="preserve"> ******************* OREGON GAS **********************</t>
  </si>
  <si>
    <t xml:space="preserve"> ******************** GAS NORTH ************************</t>
  </si>
  <si>
    <t xml:space="preserve"> ******************** ELECTRIC **************************</t>
  </si>
  <si>
    <t>Ending Balance Basis</t>
  </si>
  <si>
    <t>Electric Copy</t>
  </si>
  <si>
    <t>For Twelve Months Ended December 31, 2023</t>
  </si>
  <si>
    <t>C-GPL-12E</t>
  </si>
  <si>
    <t>COMMON GENERAL PLANT</t>
  </si>
  <si>
    <t>AVISTA UTILITIES</t>
  </si>
  <si>
    <t>Report ID:</t>
  </si>
  <si>
    <t>RESULTS OF OPERATIONS</t>
  </si>
  <si>
    <t>CD-WA / ID / AN</t>
  </si>
  <si>
    <t>CD-AA</t>
  </si>
  <si>
    <t>GD-AA</t>
  </si>
  <si>
    <t>GD-OR / AS</t>
  </si>
  <si>
    <t>GD-WA / ID / AN</t>
  </si>
  <si>
    <t>ED-WA / ID / AN</t>
  </si>
  <si>
    <t>Misc Intangible Plant--Term SAAS Software</t>
  </si>
  <si>
    <t>30313X</t>
  </si>
  <si>
    <t>Misc Intangible Plant--AMI Software</t>
  </si>
  <si>
    <t>Misc Intangible Plant--Software 12.5 YR</t>
  </si>
  <si>
    <t>Misc Intangible Plant--PC Software</t>
  </si>
  <si>
    <t>Misc Intangible Plant--Term On-Premise Software</t>
  </si>
  <si>
    <t>30310X</t>
  </si>
  <si>
    <t>Misc Intangible Plant--Mainframe Software</t>
  </si>
  <si>
    <t>************** OREGON GAS****************</t>
  </si>
  <si>
    <t xml:space="preserve"> ********************** GAS NORTH **************************</t>
  </si>
  <si>
    <t xml:space="preserve"> ********************** ELECTRIC *************************** </t>
  </si>
  <si>
    <t>C-IPL-12E</t>
  </si>
  <si>
    <t>COMMON INTANGIBLE PLANT</t>
  </si>
  <si>
    <t>Jurisdictional 4-Factor Ratio</t>
  </si>
  <si>
    <t>Production/Transmission  Ratio</t>
  </si>
  <si>
    <t>Idaho</t>
  </si>
  <si>
    <t>Washington</t>
  </si>
  <si>
    <t xml:space="preserve">Jurisdiction - </t>
  </si>
  <si>
    <t>Gas-South</t>
  </si>
  <si>
    <t>Gas-North</t>
  </si>
  <si>
    <t>Service -</t>
  </si>
  <si>
    <t>Allocation Ratios:</t>
  </si>
  <si>
    <t xml:space="preserve"> Grand Total Per FERC  356 </t>
  </si>
  <si>
    <t xml:space="preserve">Difference </t>
  </si>
  <si>
    <t>Total Accumulated Amortization</t>
  </si>
  <si>
    <t>Total General Plant - 390200, 396200</t>
  </si>
  <si>
    <t>GD-OR</t>
  </si>
  <si>
    <t>GD-WA</t>
  </si>
  <si>
    <t>ED-WA</t>
  </si>
  <si>
    <t>ED-AN</t>
  </si>
  <si>
    <t>CD-WA</t>
  </si>
  <si>
    <t>CD-ID</t>
  </si>
  <si>
    <t>7,4</t>
  </si>
  <si>
    <t>General Plant - 390200, 396200</t>
  </si>
  <si>
    <t>Total Gas Underground Storage</t>
  </si>
  <si>
    <t>GD-AN</t>
  </si>
  <si>
    <t>Gas Underground Storage</t>
  </si>
  <si>
    <t>Total Misc IT Intangible Plant - 3031XX</t>
  </si>
  <si>
    <t>ED-ID</t>
  </si>
  <si>
    <t>CD-AN</t>
  </si>
  <si>
    <t>9,4</t>
  </si>
  <si>
    <t>Miscellaneous IT Intangible Plant -3031XX</t>
  </si>
  <si>
    <t>Total General Plant - 303000</t>
  </si>
  <si>
    <t>GD-ID</t>
  </si>
  <si>
    <t>9,1</t>
  </si>
  <si>
    <t>General Plant - 303000</t>
  </si>
  <si>
    <t>Misc Intangible Plt (303000)</t>
  </si>
  <si>
    <t>Franchises (302000)</t>
  </si>
  <si>
    <t>Total Production/Transmission</t>
  </si>
  <si>
    <t>Production/Transmission</t>
  </si>
  <si>
    <t xml:space="preserve"> to Gas-South</t>
  </si>
  <si>
    <t xml:space="preserve"> to Gas-North</t>
  </si>
  <si>
    <t xml:space="preserve"> to Electric</t>
  </si>
  <si>
    <t>******** IDAHO ********</t>
  </si>
  <si>
    <t>******** WASHINGTON ********</t>
  </si>
  <si>
    <t>******** ELECTRIC ********</t>
  </si>
  <si>
    <t>System</t>
  </si>
  <si>
    <t>Assigned or</t>
  </si>
  <si>
    <t>E-AAMT-12E</t>
  </si>
  <si>
    <t>ELECTRIC ACCUMULATED AMORTIZATION</t>
  </si>
  <si>
    <t>Direct Distribution Operating Expense</t>
  </si>
  <si>
    <t>Total Accumulated Depr</t>
  </si>
  <si>
    <t>Total Gas Distribution</t>
  </si>
  <si>
    <t>Gas Distribution</t>
  </si>
  <si>
    <t>Total Electric Distribution</t>
  </si>
  <si>
    <t>Electric Distribution</t>
  </si>
  <si>
    <t>Total Electric Transmission</t>
  </si>
  <si>
    <t>Electric Transmission</t>
  </si>
  <si>
    <t>Total Electric Production</t>
  </si>
  <si>
    <t>Other (ED-AN)</t>
  </si>
  <si>
    <t>Hydro (ED-AN)</t>
  </si>
  <si>
    <t>Steam (ED-WA)</t>
  </si>
  <si>
    <t>Steam (ED-ID)</t>
  </si>
  <si>
    <t>Steam (ED-AN)</t>
  </si>
  <si>
    <t>Electric Production</t>
  </si>
  <si>
    <t>E-ADEP-12E</t>
  </si>
  <si>
    <t>ELECTRIC ACCUMULATED DEPRECIATION</t>
  </si>
  <si>
    <t>FERC Pg. 336</t>
  </si>
  <si>
    <t xml:space="preserve">General </t>
  </si>
  <si>
    <t>390/396</t>
  </si>
  <si>
    <t>General/Intangible</t>
  </si>
  <si>
    <t xml:space="preserve">Common </t>
  </si>
  <si>
    <t>Diff</t>
  </si>
  <si>
    <t xml:space="preserve"> Intangible </t>
  </si>
  <si>
    <t>Intangible</t>
  </si>
  <si>
    <t xml:space="preserve">Electric </t>
  </si>
  <si>
    <t xml:space="preserve">Electric Direct </t>
  </si>
  <si>
    <t>Total Depreciation Expense</t>
  </si>
  <si>
    <t>E-DEPX-12E</t>
  </si>
  <si>
    <t>ELECTRIC DEPRECIATION EXPENSE</t>
  </si>
  <si>
    <t>Total Amortization Expense</t>
  </si>
  <si>
    <t>Total Miscellaneous IT Intangible Plt - 3031XX</t>
  </si>
  <si>
    <t>Miscellaneous IT Intangible Plant - 3031XX</t>
  </si>
  <si>
    <t>E-AMTX-12E</t>
  </si>
  <si>
    <t>ELECTRIC AMORTIZATION EXPENSE</t>
  </si>
  <si>
    <t xml:space="preserve">We did not comment on line items that were deemed immaterial, assigned to distribution, or was burdensome to provide detail. </t>
  </si>
  <si>
    <t>Other Regulatory Assets</t>
  </si>
  <si>
    <t>Washington Docket#s UE-180418 and UG-180419. Amortization period to be determined.</t>
  </si>
  <si>
    <t>Change to AFUDC due to FERC recommendation (audit)</t>
  </si>
  <si>
    <t>Regulatory Assets - AFUDC &amp; Equity DFIT</t>
  </si>
  <si>
    <t xml:space="preserve">Credit card payment for customers (distribution) </t>
  </si>
  <si>
    <t>Regulatory Assets FISERV</t>
  </si>
  <si>
    <t xml:space="preserve">This account is put all to distribution as timing differences associated with past residential exchange benefits should not be included in the average system cost used to determine future residential exchange benefits. </t>
  </si>
  <si>
    <t>Dir-D</t>
  </si>
  <si>
    <t xml:space="preserve">MDM System (Distribution assets) </t>
  </si>
  <si>
    <t>Relates to Nine Mile Generating Facility</t>
  </si>
  <si>
    <t>Related to Demand Side Management - Please see the Company's recent filing in WA for it's DSM programs at http://www.avistautilities.com/services/energypricing/wa/Documents/Combined%20Filing.pdf</t>
  </si>
  <si>
    <t xml:space="preserve">Interest Rate Swaps account </t>
  </si>
  <si>
    <t>Settled Interest Rate Swap Asset</t>
  </si>
  <si>
    <t>Workers Compensation costs</t>
  </si>
  <si>
    <t>DIR-D</t>
  </si>
  <si>
    <t>UE-090134 Order 10</t>
  </si>
  <si>
    <t xml:space="preserve">Related to Hydro system assign to production. </t>
  </si>
  <si>
    <t>DIR-P</t>
  </si>
  <si>
    <t>Reg Asset AN-CDA Lake Settlement</t>
  </si>
  <si>
    <t>AVU-G-05-3 AVU-E-05-9, UE-051852 Order No. 1</t>
  </si>
  <si>
    <t xml:space="preserve">Asset Retirement Obligations - These are retirement obligations that the utility has accrued for, the offsetting amt to the reserve is accounted for here. </t>
  </si>
  <si>
    <t xml:space="preserve">This account is for derivative instruments. They offset the liability for derivatives and regulatory liabilities. Therefore, the MTM transactions for reg. assets+ derivative assets +reg liabilities + derivative liabilities = 0.  </t>
  </si>
  <si>
    <t>Yes</t>
  </si>
  <si>
    <t>Commodity MTM LT Regulatory Asset</t>
  </si>
  <si>
    <t>Order 34276, AVU-E-18-03.</t>
  </si>
  <si>
    <t>For Washington Electric,we are currently deferring ARO expenses. Amortization period to be determined. For Idaho Electric, amortization is for 34 years as per Order 34276,_x000D_
AVU-E-18-03.</t>
  </si>
  <si>
    <t>Amortization of prior deferred revenue.</t>
  </si>
  <si>
    <t>Reg Assets-Decouplings Surcharge</t>
  </si>
  <si>
    <t>UE-100467 Order 07</t>
  </si>
  <si>
    <t>Balance sheet only account</t>
  </si>
  <si>
    <t>Income Tax accrual - Reflects the amount of taxes payable or refundable for the current year and deferred tax liabilities and assets for future years.</t>
  </si>
  <si>
    <t>182.31&amp;182.32</t>
  </si>
  <si>
    <t xml:space="preserve">This accrual is for our defined benefit pension and other post retirement plans.  This is different from the above accrual because it requires us to measure the funded status of our benefit plans and record it here in other reg assets.  </t>
  </si>
  <si>
    <t xml:space="preserve">Relates to Gas operations. </t>
  </si>
  <si>
    <t xml:space="preserve">WA Excess Nat Gas Line Extension Allowance </t>
  </si>
  <si>
    <t xml:space="preserve">Attachments </t>
  </si>
  <si>
    <t>Authorizing Order(s) and/or Regulatory Support</t>
  </si>
  <si>
    <t xml:space="preserve"> Associated Liability?  </t>
  </si>
  <si>
    <t xml:space="preserve"> Distribution </t>
  </si>
  <si>
    <t xml:space="preserve"> Transmission </t>
  </si>
  <si>
    <t xml:space="preserve"> Production  </t>
  </si>
  <si>
    <t xml:space="preserve"> Total </t>
  </si>
  <si>
    <t>Funct Method</t>
  </si>
  <si>
    <t>Account No</t>
  </si>
  <si>
    <t>Page No</t>
  </si>
  <si>
    <t>A/C 182.3</t>
  </si>
  <si>
    <t>BPA Appendix 1 - FY 23</t>
  </si>
  <si>
    <t>1.4 Reg Assets</t>
  </si>
  <si>
    <t xml:space="preserve">Avista Corp. </t>
  </si>
  <si>
    <t>Avista may record regulatory asset in this account for internal accounting purposes or by order from state commissions.</t>
  </si>
  <si>
    <t xml:space="preserve">Relates to Renewable generation - Buck A Block Program </t>
  </si>
  <si>
    <t>Dir-P</t>
  </si>
  <si>
    <t>UE-140188 and UG-140189</t>
  </si>
  <si>
    <t>Allows for recovery of the fixed costs incurred independent  of the amounts of electricity sold</t>
  </si>
  <si>
    <t>AVU-E-08-01 and AVU -G-08-01, Order 30647</t>
  </si>
  <si>
    <t>Related to Hydro - relicensing</t>
  </si>
  <si>
    <t>ID - WWP-E-98-11, WA UE-991606</t>
  </si>
  <si>
    <t xml:space="preserve">Relates to settlement costs relating to Hydro activities. </t>
  </si>
  <si>
    <t xml:space="preserve">acceptance of proposal, no specific order that documents accounting treatment. </t>
  </si>
  <si>
    <t xml:space="preserve">ID portion of allowed common AFUDC for the Colstrip generation facility it should be assigned to production. </t>
  </si>
  <si>
    <t xml:space="preserve">U-84 2nd Supplemental Order and 1988 Audit Exception moved it to 186 for remaining life of plant </t>
  </si>
  <si>
    <t xml:space="preserve">WA portion of allowed common AFUDC for the Colstrip generation facility it should be assigned to production. </t>
  </si>
  <si>
    <t>Total vs SUM of PTD</t>
  </si>
  <si>
    <t>Attachments</t>
  </si>
  <si>
    <t xml:space="preserve">Description </t>
  </si>
  <si>
    <t>Miscellaneous Deferred Debit Details</t>
  </si>
  <si>
    <t>A/C 186</t>
  </si>
  <si>
    <t>1.5 Def. Debits</t>
  </si>
  <si>
    <t>Avista Corp</t>
  </si>
  <si>
    <t>Avista may record regulatory liabilities in this account for internal accounting purposes or by order from state commissions.</t>
  </si>
  <si>
    <t>Misc Deferred Credits</t>
  </si>
  <si>
    <t xml:space="preserve">Decoupling </t>
  </si>
  <si>
    <t>Decoupling Deferred Credits</t>
  </si>
  <si>
    <t xml:space="preserve">Energy Recovery Mechanism, even though this item is production related it is assigned to Distribution/Other as states allow interest to accrue on the balance but no rate base treatment. </t>
  </si>
  <si>
    <t xml:space="preserve">This is the amortization of unbilled revenue add-ons. These occur when expense offsets for adder schedule unbilled revenues are booked. These are reversed the following month and as revenue is billed the amortizations are subsequently recorded in their normal accounts. </t>
  </si>
  <si>
    <t>Amort. Unbilled Revenue Add-ons</t>
  </si>
  <si>
    <t>Deferred Compensation Active  Execs</t>
  </si>
  <si>
    <t xml:space="preserve">Deferred Revenue for Pole Rentals - should be assigned to distribution </t>
  </si>
  <si>
    <t>Bills Pole Rentals (253140)</t>
  </si>
  <si>
    <t xml:space="preserve">Gas revenue deferral to collect cash payments during the summer. The Company books monthly revenue accrual to recognize in evenly throughout the year. This is a gas revenue deferral and therefore, was functionalized to Distribution/Other. </t>
  </si>
  <si>
    <t>Defer Gas Exchange(253028)</t>
  </si>
  <si>
    <t>Other Deferred Credits</t>
  </si>
  <si>
    <t>A/C 253</t>
  </si>
  <si>
    <t>1.6 Misc. Def. Credits</t>
  </si>
  <si>
    <t>Returning tax reform related excess Deferred Federal Income Taxes to customers</t>
  </si>
  <si>
    <t>FERC Account 242770 - See LIRAP Filing</t>
  </si>
  <si>
    <t>Same as DSM Reg Assets, except there is credit balance (This is FERC 242600)</t>
  </si>
  <si>
    <t xml:space="preserve">Meter Data Management System </t>
  </si>
  <si>
    <t>Amount of Excess Deferred Federal Income Tax from Tax reform act.</t>
  </si>
  <si>
    <t>From the Nine Mile upgrade that went into service in 2016.</t>
  </si>
  <si>
    <t>Deferred Federal ITC</t>
  </si>
  <si>
    <t>Other Regulatory Liabilities</t>
  </si>
  <si>
    <t>AVU-E-14-05 and AVU-G-14-01 Order No. 33130</t>
  </si>
  <si>
    <t xml:space="preserve">Account used for Avista earnings in excess of ROE targets.  </t>
  </si>
  <si>
    <t xml:space="preserve">Relates to Interest Rate Swaps </t>
  </si>
  <si>
    <t>UE-991606</t>
  </si>
  <si>
    <t>Timing issue, all Nez Perce settlement related items assigned to Production</t>
  </si>
  <si>
    <t>Nez Perce - Reg Liability  (254220)</t>
  </si>
  <si>
    <t xml:space="preserve">No state commission rate order, amortization, or rate of return. This account is also offset with FERC account 190005. </t>
  </si>
  <si>
    <t xml:space="preserve">Idaho State Income Tax carry forwards to both Idaho and Oregon. Therefore, these are coded directly to distribution. </t>
  </si>
  <si>
    <t>Idaho Investment Tax Credit (2540005)</t>
  </si>
  <si>
    <t xml:space="preserve">Associated Asset? </t>
  </si>
  <si>
    <t>A/C 254</t>
  </si>
  <si>
    <t>1.7 Reg Liabilities</t>
  </si>
  <si>
    <t>Avista Corp.</t>
  </si>
  <si>
    <t>908600 Total</t>
  </si>
  <si>
    <t>ED Total</t>
  </si>
  <si>
    <t>WA Elec. LIRAP Rate Discount Pilot</t>
  </si>
  <si>
    <t>WA Elec. LIRAP</t>
  </si>
  <si>
    <t>WA Elec. DSM</t>
  </si>
  <si>
    <t>ID Elect. DSM</t>
  </si>
  <si>
    <t>Transaction Desc</t>
  </si>
  <si>
    <t>Ferc Acct</t>
  </si>
  <si>
    <t>Sum of Transaction Amount</t>
  </si>
  <si>
    <t>Rounding</t>
  </si>
  <si>
    <t>Total D</t>
  </si>
  <si>
    <t>Total P</t>
  </si>
  <si>
    <t>Totals for Schedule 3:</t>
  </si>
  <si>
    <t>(b)</t>
  </si>
  <si>
    <t>LIRAP</t>
  </si>
  <si>
    <t xml:space="preserve">DSM </t>
  </si>
  <si>
    <t>Based on split above</t>
  </si>
  <si>
    <t>(a)</t>
  </si>
  <si>
    <t>DSM</t>
  </si>
  <si>
    <t>Recon to Schedule 3:</t>
  </si>
  <si>
    <t>Number of Customers</t>
  </si>
  <si>
    <t>TOTAL ACCOUNT 908</t>
  </si>
  <si>
    <t>DSM Amortization</t>
  </si>
  <si>
    <t>Unbilled Public Purpose Tariff Amortization</t>
  </si>
  <si>
    <t>Limited Income Tax Refund Program</t>
  </si>
  <si>
    <t>Public Purpose Tariff Rider Expense Offset</t>
  </si>
  <si>
    <t>Customer Assistance Expense</t>
  </si>
  <si>
    <t xml:space="preserve"> ***************** IDAHO ******************</t>
  </si>
  <si>
    <t xml:space="preserve"> *************** WASHINGTON *************</t>
  </si>
  <si>
    <t xml:space="preserve"> ***************** SYSTEM *****************</t>
  </si>
  <si>
    <t>E-908-12E</t>
  </si>
  <si>
    <t>ELECTRIC ALLOCATION OF CUSTOMER ASSISTANCE EXPENSES</t>
  </si>
  <si>
    <t>A</t>
  </si>
  <si>
    <t>Remove Fuel and PCA costs from Cash Working Capital (removed in formula on Schedule 1A)</t>
  </si>
  <si>
    <t>TOTAL ACCOUNT 557</t>
  </si>
  <si>
    <t>Other Power Exp - Intracompany Thermal Gas</t>
  </si>
  <si>
    <t>Turbine Gas Bookout Offset</t>
  </si>
  <si>
    <t>Turbine Gas Bookout Expense</t>
  </si>
  <si>
    <t>Other Expenses - Exposure</t>
  </si>
  <si>
    <t>Optional Renewable Power Expense Offset</t>
  </si>
  <si>
    <t>Idaho PCA Amortization</t>
  </si>
  <si>
    <t>Idaho PCA Deferred</t>
  </si>
  <si>
    <t>Reardan Wind Costs</t>
  </si>
  <si>
    <t>Def Power Supply Exp-REC Amort</t>
  </si>
  <si>
    <t>RECs Power Supply Expense Deferred</t>
  </si>
  <si>
    <t>Lancaster Power Supply Expense Deferred</t>
  </si>
  <si>
    <t>Washington ERM Amortization</t>
  </si>
  <si>
    <t>Other Power Supply Expense - Other Exp</t>
  </si>
  <si>
    <t>Washington ERM Deferred</t>
  </si>
  <si>
    <t>Solar Select Deferral</t>
  </si>
  <si>
    <t>Trade Reporting</t>
  </si>
  <si>
    <t>REC Broker Fees</t>
  </si>
  <si>
    <t>Broker Fees - Power</t>
  </si>
  <si>
    <t xml:space="preserve">Other Resource Costs-CA Carbon  </t>
  </si>
  <si>
    <t xml:space="preserve">Other Resource Costs-CAISO Charges </t>
  </si>
  <si>
    <t>Unbilled Add-Ons</t>
  </si>
  <si>
    <t>Power Supply Expense - Miscellaneous</t>
  </si>
  <si>
    <t>Fuel - Economic Dispatch</t>
  </si>
  <si>
    <t>Merchandise Processing Fee</t>
  </si>
  <si>
    <t>Other Power Supply Expense - Financial</t>
  </si>
  <si>
    <t>E-557-12E</t>
  </si>
  <si>
    <t>ELECTRIC ALLOCATION OF OTHER POWER SUPPLY EXPENSES</t>
  </si>
  <si>
    <t>Optional Renewable Power Revenue Offset</t>
  </si>
  <si>
    <t>Amortization of CDA Settlement - Allocated</t>
  </si>
  <si>
    <t>Amortization of CS2 &amp; COLSTRIP O&amp;M</t>
  </si>
  <si>
    <t>Amortization of CDA Settlement Costs</t>
  </si>
  <si>
    <t>Amortization of CDA CDR Fund</t>
  </si>
  <si>
    <t>Regulatory Debit - AFUDC Amortization</t>
  </si>
  <si>
    <t>Regulatory  Credits 407.3</t>
  </si>
  <si>
    <t>Optional Renew Solar Project Offset</t>
  </si>
  <si>
    <t>Amortization of Schedule 98 REC Rev</t>
  </si>
  <si>
    <t>Amortization of Deferred CS2 &amp; COLSTRIP O&amp;M</t>
  </si>
  <si>
    <t>Amortization of BPA Residential Exchange Credit</t>
  </si>
  <si>
    <t>407450/407499</t>
  </si>
  <si>
    <t>Regulatory Credit - AMI</t>
  </si>
  <si>
    <t>Colstrip Regulatory Deferral</t>
  </si>
  <si>
    <t>Amortization of Boulder Park Write Off - Idaho</t>
  </si>
  <si>
    <t>Regulatory  Credits 407.4</t>
  </si>
  <si>
    <t>ELECTRIC NET OPERATING INCOME (LOSS)</t>
  </si>
  <si>
    <t>AMORTIZED ITC</t>
  </si>
  <si>
    <t>E-FIT</t>
  </si>
  <si>
    <t>DEFERRED FEDERAL INCOME TAX</t>
  </si>
  <si>
    <t>FEDERAL INCOME TAX</t>
  </si>
  <si>
    <t>NET OPERATING INCOME (LOSS) BEFORE FIT</t>
  </si>
  <si>
    <t>TOTAL EXPENSES BEFORE FIT</t>
  </si>
  <si>
    <t>TOTAL ADMIN &amp; GENERAL EXPENSES</t>
  </si>
  <si>
    <t>TOTAL A&amp;G DEPR/AMRT/NON-FIT TAXES</t>
  </si>
  <si>
    <t>Taxes Other Than FIT--A&amp;G</t>
  </si>
  <si>
    <t>E-OTX</t>
  </si>
  <si>
    <t>Amortization-Remand Residual Balance</t>
  </si>
  <si>
    <t>Regulatory Credit - Insurance Balancing</t>
  </si>
  <si>
    <t>Regulatory Credit - Pension Settlement Deferral</t>
  </si>
  <si>
    <t>Regulatory Credit - Wildfire Balancing Account O&amp;M</t>
  </si>
  <si>
    <t>Regulatory Credit - Intervenor Funding</t>
  </si>
  <si>
    <t>Regulatory Credit - COVID-19 Deferral</t>
  </si>
  <si>
    <t>Regulatory Credit - Wild Fire Resiliency</t>
  </si>
  <si>
    <t>Regulatory Credit - Reg. Fees Deferral</t>
  </si>
  <si>
    <t>Regulatory Credit - Wild Fire Resiliency Deprec</t>
  </si>
  <si>
    <t>Depreciation Deferral</t>
  </si>
  <si>
    <t>Regulatory Credit - Amortization AFUDC Equity Tax Deferral</t>
  </si>
  <si>
    <t>Amortization-Colstrip Community Fund</t>
  </si>
  <si>
    <t>Insurance Balance Acct O&amp;M - Amort</t>
  </si>
  <si>
    <t>AMORT OF INTERVENOR FUND DEFER</t>
  </si>
  <si>
    <t>Regulatory Credit - Deferral - COVID-19</t>
  </si>
  <si>
    <t>Regulatory Credit - Amort - WF Resiliency</t>
  </si>
  <si>
    <t>Existing Meters Excess Deprec. Deferral</t>
  </si>
  <si>
    <t>Regulatory Debit - FISERVE Amortization</t>
  </si>
  <si>
    <t>Regulatory Debit - Existing Meters Amortization</t>
  </si>
  <si>
    <t>Regulatory Debit - AMI Amortization</t>
  </si>
  <si>
    <t>Tax Reform Amortization</t>
  </si>
  <si>
    <t>Idaho Earnings Test Amortization</t>
  </si>
  <si>
    <t>Amortization Expense-General Plant - 390200, 396200</t>
  </si>
  <si>
    <t>E-AMTX</t>
  </si>
  <si>
    <t>Amortization Expense-Miscellaneous IT Intangible</t>
  </si>
  <si>
    <t>Amortization Expense-General Plant - 303000</t>
  </si>
  <si>
    <t>Depreciation Expense-General</t>
  </si>
  <si>
    <t>E-DEPX</t>
  </si>
  <si>
    <t>TOTAL ADMIN &amp; GEN OPERATING EXP</t>
  </si>
  <si>
    <t>Employee Pensions and Benefits</t>
  </si>
  <si>
    <t>926XXX</t>
  </si>
  <si>
    <t>925XXX</t>
  </si>
  <si>
    <t>Property Insurance Premium</t>
  </si>
  <si>
    <t>Admin Exp Transferred--Credit</t>
  </si>
  <si>
    <t>ADMINISTRATIVE &amp; GENERAL EXPENSES:</t>
  </si>
  <si>
    <t>TOTAL SALES EXPENSES</t>
  </si>
  <si>
    <t>Miscellaneous Sales Expenses</t>
  </si>
  <si>
    <t>Advertising</t>
  </si>
  <si>
    <t>Demonstrating &amp; Selling Expenses</t>
  </si>
  <si>
    <t>SALES EXPENSES:</t>
  </si>
  <si>
    <t>TOTAL CUSTOMER SERVICE &amp; INFO EXP</t>
  </si>
  <si>
    <t>Misc Customer Service &amp; Info Exp</t>
  </si>
  <si>
    <t>Customer Assistance Expenses</t>
  </si>
  <si>
    <t>908XXX</t>
  </si>
  <si>
    <t>E-908</t>
  </si>
  <si>
    <t>CUSTOMER SERVICE &amp; INFO EXPENSES:</t>
  </si>
  <si>
    <t>TOTAL CUSTOMER ACCOUNTS EXPENSES</t>
  </si>
  <si>
    <t>Misc Customer Accounts</t>
  </si>
  <si>
    <t>Uncollectible Accounts</t>
  </si>
  <si>
    <t>Customer Records &amp; Collection Expenses</t>
  </si>
  <si>
    <t>903XXX</t>
  </si>
  <si>
    <t>Meter Reading Expenses</t>
  </si>
  <si>
    <t>Supervision</t>
  </si>
  <si>
    <t>CUSTOMER ACCOUNTS EXPENSES:</t>
  </si>
  <si>
    <t>TOTAL DISTRIBUTION EXPENSES</t>
  </si>
  <si>
    <t>TOTAL DISTR DEPR/AMRT/NON-FIT TAXES</t>
  </si>
  <si>
    <t>Taxes Other Than FIT--Distribution</t>
  </si>
  <si>
    <t>Amortization Expense-Franchises/Misc Intangibles</t>
  </si>
  <si>
    <t>Depreciation Expense-Distribution</t>
  </si>
  <si>
    <t>TOTAL DISTRIBUTION OPERATING EXP</t>
  </si>
  <si>
    <t>Miscellaneous Distribution Expense</t>
  </si>
  <si>
    <t>Meters</t>
  </si>
  <si>
    <t>Street Light &amp; Signal System Maintenance Exp</t>
  </si>
  <si>
    <t>Line Transformers</t>
  </si>
  <si>
    <t>Underground Lines</t>
  </si>
  <si>
    <t>Overhead Lines</t>
  </si>
  <si>
    <t>Energy Storage Equipment</t>
  </si>
  <si>
    <t>Station Equipment</t>
  </si>
  <si>
    <t>Structures</t>
  </si>
  <si>
    <t>Supervision &amp; Engineering</t>
  </si>
  <si>
    <t>MAINTENANCE:</t>
  </si>
  <si>
    <t>Rent</t>
  </si>
  <si>
    <t>Customer Installations Expense</t>
  </si>
  <si>
    <t>Meter Expense</t>
  </si>
  <si>
    <t>Street Light &amp; Signal System Operation Expense</t>
  </si>
  <si>
    <t>Underground Line Expense</t>
  </si>
  <si>
    <t>Overhead Line Expense</t>
  </si>
  <si>
    <t>Station Expense</t>
  </si>
  <si>
    <t>OPERATION:</t>
  </si>
  <si>
    <t>DISTRIBUTION EXPENSES:</t>
  </si>
  <si>
    <t>TOTAL PRODUCTION &amp; TRANSMISSION EXPENSE</t>
  </si>
  <si>
    <t>TOTAL P/T DEPR/AMRT/NON-FIT TAXES</t>
  </si>
  <si>
    <t>Taxes Other Than FIT--Prod &amp; Trans</t>
  </si>
  <si>
    <t>1</t>
  </si>
  <si>
    <t>Deferral CEIP</t>
  </si>
  <si>
    <t>EIM Deferred O&amp;M</t>
  </si>
  <si>
    <t>Amortization of EIM Deferral</t>
  </si>
  <si>
    <t>Colstrip Reg. Asset Amortization</t>
  </si>
  <si>
    <t>Deferral of Revenue for EIM Benefits in Power Supply</t>
  </si>
  <si>
    <t>Amort of Acq Adj--Colstrip Common AFUDC</t>
  </si>
  <si>
    <t>Colstrip Plant Adjustment-Depreciation</t>
  </si>
  <si>
    <t>Depreciation Expense-Transmission</t>
  </si>
  <si>
    <t>Depreciation Expense-Production</t>
  </si>
  <si>
    <t>TOTAL TRANSMISSION OPERATING EXP</t>
  </si>
  <si>
    <t>Service Miscellaneous</t>
  </si>
  <si>
    <t xml:space="preserve">  MAINTENANCE</t>
  </si>
  <si>
    <t>Miscellaneous Transmission Expense</t>
  </si>
  <si>
    <t>Transmission of Electricity by Others</t>
  </si>
  <si>
    <t>565XXX</t>
  </si>
  <si>
    <t>Load Dispatching</t>
  </si>
  <si>
    <t xml:space="preserve">  OPERATION</t>
  </si>
  <si>
    <t>TRANSMISSION OPERATING EXPENSE:</t>
  </si>
  <si>
    <t>TOTAL PRODUCTION OPERATING EXP</t>
  </si>
  <si>
    <t>TOTAL OTHER POWER SUPPLY EXPENSE</t>
  </si>
  <si>
    <t>557XXX</t>
  </si>
  <si>
    <t>E-557</t>
  </si>
  <si>
    <t>System Control &amp; Load Dispatching</t>
  </si>
  <si>
    <t>555XXX</t>
  </si>
  <si>
    <t>E-555</t>
  </si>
  <si>
    <t>OTHER POWER SUPPLY EXPENSE:</t>
  </si>
  <si>
    <t>TOTAL OTHER POWER GENERATION EXP</t>
  </si>
  <si>
    <t>Miscellaneous Other Power Generation Maint Exp</t>
  </si>
  <si>
    <t>554XXX</t>
  </si>
  <si>
    <t>Generating &amp; Electric Equipment</t>
  </si>
  <si>
    <t>Miscellaneous Other Power Generation Op Exp</t>
  </si>
  <si>
    <t>549XXX</t>
  </si>
  <si>
    <t>Generation Expense</t>
  </si>
  <si>
    <t>547XXX</t>
  </si>
  <si>
    <t>OTHER POWER GENERATION EXPENSE:</t>
  </si>
  <si>
    <t>TOTAL HYDRO POWER GENERATION EXP</t>
  </si>
  <si>
    <t>Miscellaneous Hydraulic Plant</t>
  </si>
  <si>
    <t>Reservoirs, Dams, &amp; Waterways</t>
  </si>
  <si>
    <t>MT Trust Funds Land Settlement Rents</t>
  </si>
  <si>
    <t>Miscellaneous Hydraulic Power Generation Exp</t>
  </si>
  <si>
    <t>Electric Expense</t>
  </si>
  <si>
    <t>Hydraulic Expense</t>
  </si>
  <si>
    <t>Water for Power</t>
  </si>
  <si>
    <t>HYDRAULIC POWER GENERATION EXP:</t>
  </si>
  <si>
    <t>TOTAL STEAM POWER GENERATION EXP</t>
  </si>
  <si>
    <t>Miscellaneous Steam Power Generation Maint Exp</t>
  </si>
  <si>
    <t>514XXX</t>
  </si>
  <si>
    <t>Boiler Plant</t>
  </si>
  <si>
    <t>CCA Emission Expense</t>
  </si>
  <si>
    <t>Miscellaneous Steam Power Generation Op Exp</t>
  </si>
  <si>
    <t>506XXX</t>
  </si>
  <si>
    <t>501XXX</t>
  </si>
  <si>
    <t>STEAM POWER GENERATION EXPENSE:</t>
  </si>
  <si>
    <t>EXPENSE</t>
  </si>
  <si>
    <t>TOTAL ELECTRIC REVENUE</t>
  </si>
  <si>
    <t>TOTAL OTHER OPERATING REVENUE</t>
  </si>
  <si>
    <t>456XXX</t>
  </si>
  <si>
    <t>Rent from Trnsmission Joint Use</t>
  </si>
  <si>
    <t>Sales of Water &amp; Water Power</t>
  </si>
  <si>
    <t>Miscellaneous Service Revenue</t>
  </si>
  <si>
    <t>Provision for Rate Refund-Tax Reform</t>
  </si>
  <si>
    <t>Provision for Rate Refund</t>
  </si>
  <si>
    <t>OTHER OPERATING REVENUE:</t>
  </si>
  <si>
    <t>TOTAL SALES OF ELECTRICITY</t>
  </si>
  <si>
    <t>447XXX</t>
  </si>
  <si>
    <t>TOTAL SALES TO ULTIMATE CUSTOMERS</t>
  </si>
  <si>
    <t>499XXX</t>
  </si>
  <si>
    <t>Interdepartmental Revenue</t>
  </si>
  <si>
    <t>Public Street &amp; Highway Lighting</t>
  </si>
  <si>
    <t>Industrial</t>
  </si>
  <si>
    <t>Commercial - Firm &amp; Int.</t>
  </si>
  <si>
    <t>Residential</t>
  </si>
  <si>
    <t>SALES OF ELECTRICITY:</t>
  </si>
  <si>
    <t>REVENUE</t>
  </si>
  <si>
    <t>E-OPS-12E</t>
  </si>
  <si>
    <t>ELECTRIC OPERATING STATEMENT</t>
  </si>
  <si>
    <t>Subtotal from above:</t>
  </si>
  <si>
    <t>RD Res Decoupling Deferred Rev</t>
  </si>
  <si>
    <t>REVDECOUPLING</t>
  </si>
  <si>
    <t>RO Miscellaneous Resource Optimization</t>
  </si>
  <si>
    <t>REVREC</t>
  </si>
  <si>
    <t>LV Electric Distribution</t>
  </si>
  <si>
    <t>REVTRAN</t>
  </si>
  <si>
    <t>AVA NUCLEUS</t>
  </si>
  <si>
    <t>RM Other Electric Rev-Clearwater RECs</t>
  </si>
  <si>
    <t>CC Extraction Plant Credits</t>
  </si>
  <si>
    <t>CT Other Clearwater Rev Transmission</t>
  </si>
  <si>
    <t>XO Clearwater Transmission Offset</t>
  </si>
  <si>
    <t>REVESALES</t>
  </si>
  <si>
    <t>IT Intraco Thermal Gas</t>
  </si>
  <si>
    <t>GK Turbine Gas Bookout</t>
  </si>
  <si>
    <t xml:space="preserve">NR Other Electric Revenue - Non Resource </t>
  </si>
  <si>
    <t>NW Non-Res Decoupling Deferred Rev</t>
  </si>
  <si>
    <t>OA Other Electric Allocated</t>
  </si>
  <si>
    <t>REVBILLS</t>
  </si>
  <si>
    <t>DE Electric Distribution</t>
  </si>
  <si>
    <t>GF Turbine Gas Physical</t>
  </si>
  <si>
    <t>AH Turbine Gas Financial Wells Fargo</t>
  </si>
  <si>
    <t>AG Turbine Gas Financial Mizuho Clearing Agent</t>
  </si>
  <si>
    <t>FA Elec Amort Non-Rest Decoupling</t>
  </si>
  <si>
    <t>EZ Amort Res E Decoupling Def Rev</t>
  </si>
  <si>
    <t>EV Fast Charger</t>
  </si>
  <si>
    <t>REVPS</t>
  </si>
  <si>
    <t>EN Zeco Sky Host/EnerVee Electric</t>
  </si>
  <si>
    <t>PD Pre-Line School Deposits</t>
  </si>
  <si>
    <t>REVEARNED</t>
  </si>
  <si>
    <t>AL Apprentice Lineman School Receivable</t>
  </si>
  <si>
    <t>GA Other Gas Allocated</t>
  </si>
  <si>
    <t>OD Other Electric Direct</t>
  </si>
  <si>
    <t>Designation</t>
  </si>
  <si>
    <t>Revenue Amt</t>
  </si>
  <si>
    <t>Data Updated Daily</t>
  </si>
  <si>
    <t>Data Source: Finance Reporting</t>
  </si>
  <si>
    <t>Revenue by State</t>
  </si>
  <si>
    <t>2/   NLSL test  (year to year) is as follows:  Lesser of (a) current year load minus prior year load, or (b) current year load minus CF/CT amount.  CF/CT in this case is assumed to be 0.0 aMW.</t>
  </si>
  <si>
    <t>1/  Data represent Sep 1 - Aug 31 period for each NLSL test year (e.g., period ending Aug 31, 2009 is shown as the 2009 Test Year)</t>
  </si>
  <si>
    <t>&lt;&lt;&lt;---Input Values for Initial Rate Proposal on this line !!</t>
  </si>
  <si>
    <t xml:space="preserve"> N/A </t>
  </si>
  <si>
    <t>Pre-1979</t>
  </si>
  <si>
    <t>Test Yr  NLSL load (MWh''s)</t>
  </si>
  <si>
    <t>Test Yr  NLSL load (aMW)</t>
  </si>
  <si>
    <t>Test Yr non-NLSL load (aMW)</t>
  </si>
  <si>
    <t>NLSL Threshhold (aMW)</t>
  </si>
  <si>
    <t>NLSL Test (aMW)   2/</t>
  </si>
  <si>
    <t>Increase from prior FY (aMW)   1/</t>
  </si>
  <si>
    <t>NLSL Test Yr  Load (aMW) 1/</t>
  </si>
  <si>
    <t>NLSL Test Yr Load (kWh) 1/</t>
  </si>
  <si>
    <t>Hours</t>
  </si>
  <si>
    <t>NLSL Test Year  1/</t>
  </si>
  <si>
    <t>J</t>
  </si>
  <si>
    <t>I</t>
  </si>
  <si>
    <t>H</t>
  </si>
  <si>
    <t>G</t>
  </si>
  <si>
    <t>F</t>
  </si>
  <si>
    <t>E</t>
  </si>
  <si>
    <t>C</t>
  </si>
  <si>
    <t>B</t>
  </si>
  <si>
    <t>aMW</t>
  </si>
  <si>
    <t xml:space="preserve">NOTE:  Would qualify for CF/CT (pre-Sep 1979 load), but would NOT affect current NLSL status or amount -- based on available info. </t>
  </si>
  <si>
    <t>CF/CT Load 
(Sep 1, 1979):</t>
  </si>
  <si>
    <t>Avista - NLSL Analysis</t>
  </si>
  <si>
    <t>2/   NLSL test  (year to year) is as follows:  Lesser of (a) current year load minus prior year load, or (b) current year load minus CF/CT amount.  CF/CT in this case is 100.0 aMW.</t>
  </si>
  <si>
    <t>CF-CT Granted May 2009</t>
  </si>
  <si>
    <t>Pre-1979 - CFCT</t>
  </si>
  <si>
    <t>NLSL "Happy" Indicator</t>
  </si>
  <si>
    <t>NOTE:  CF/CT amount granted 5-11-2009</t>
  </si>
  <si>
    <t>Large ID 1</t>
  </si>
  <si>
    <t>Distribution Loss Factor</t>
  </si>
  <si>
    <t>*changed from 1.9% to 2.03%</t>
  </si>
  <si>
    <t>Exclude BPA Transmission Loss Factor</t>
  </si>
  <si>
    <t>Total Losses as % of Sales to Ultimate Consumers</t>
  </si>
  <si>
    <t>Sales to Ultimate Consumers</t>
  </si>
  <si>
    <t>Generation Level Retail Energy MWhs</t>
  </si>
  <si>
    <t xml:space="preserve">     Energy Used by the Company</t>
  </si>
  <si>
    <t xml:space="preserve">     Non-Requirements Sales for Resale</t>
  </si>
  <si>
    <t>Exclude:</t>
  </si>
  <si>
    <t>Total Energy MWhs</t>
  </si>
  <si>
    <t>Average</t>
  </si>
  <si>
    <t>Five Year</t>
  </si>
  <si>
    <t>FERC Form 1 Page 401</t>
  </si>
  <si>
    <t>Transmission and Distribution Loss Analysis</t>
  </si>
  <si>
    <t>Total(f)</t>
  </si>
  <si>
    <t>Amortization of Other Electric Plant (Acc 405)(e)</t>
  </si>
  <si>
    <t>Amortization of Limited Term Electric Plant (Account 404)(d)</t>
  </si>
  <si>
    <t>Depreciation Expense for Asset Retirement Costs (Account 403.1)(c)</t>
  </si>
  <si>
    <t>Depreciation Expense (Account 403)(b)</t>
  </si>
  <si>
    <t>Functional Classification(a).</t>
  </si>
  <si>
    <t>Line No.</t>
  </si>
  <si>
    <t>Long Term Purchased Power</t>
  </si>
  <si>
    <t>Colstrip 3 &amp; 4</t>
  </si>
  <si>
    <t xml:space="preserve">Boulder Park </t>
  </si>
  <si>
    <t xml:space="preserve">Rathdrum </t>
  </si>
  <si>
    <t>Spokane N.E.</t>
  </si>
  <si>
    <t>Wind</t>
  </si>
  <si>
    <t>Form 1 LF</t>
  </si>
  <si>
    <t>Geo-Therm</t>
  </si>
  <si>
    <t>Coal</t>
  </si>
  <si>
    <t>Natural Gas</t>
  </si>
  <si>
    <t>DX Digital Exchange (SMC)</t>
  </si>
  <si>
    <t>CU Connected Communities</t>
  </si>
  <si>
    <t>MA Mutual Aid Electric</t>
  </si>
  <si>
    <t>IG  Innovation Lab (SMC)</t>
  </si>
  <si>
    <t>RF Route Application Fees</t>
  </si>
  <si>
    <t>FE Grant Funding Electric</t>
  </si>
  <si>
    <t>REVCCB</t>
  </si>
  <si>
    <t>EY Amort Non-Res E Decoupling Def Rev</t>
  </si>
  <si>
    <t>456339</t>
  </si>
  <si>
    <t>REVGSALES</t>
  </si>
  <si>
    <t>FT Gas Realized Gain/Loss Thermal</t>
  </si>
  <si>
    <t>JU Joint Use/Make Ready</t>
  </si>
  <si>
    <t>REVMISC</t>
  </si>
  <si>
    <t>ET Electric Transmission</t>
  </si>
  <si>
    <t>PC Parallel Capacity Support Rev</t>
  </si>
  <si>
    <t>EA Electric Ancillary Transmission</t>
  </si>
  <si>
    <t>Accounting Period From 202301 through 202312</t>
  </si>
  <si>
    <t>DT</t>
  </si>
  <si>
    <t>BPA Appendix 1 - FY 26-28</t>
  </si>
  <si>
    <t>Reg Liability - Covid 19 Def</t>
  </si>
  <si>
    <t>WA REC Deferrals</t>
  </si>
  <si>
    <t>Timber Harvest</t>
  </si>
  <si>
    <t>Other Def Cr - Fiserv</t>
  </si>
  <si>
    <t>Accts Pay - Software Licenses - LT</t>
  </si>
  <si>
    <t>Deferred Liability for Software Licenses</t>
  </si>
  <si>
    <t>Other deferred Credit - Fiserv</t>
  </si>
  <si>
    <t>WA Docket UE-190334, Sch 98</t>
  </si>
  <si>
    <t>Deferral of Covid 19 costs as per Idaho PUC order No. 34718, Oregon PUC order no. 20-401, Docket UM 2036 and WA UTC order no 001, Dockets UE-200407 amd IG-200408</t>
  </si>
  <si>
    <t>FercPage No</t>
  </si>
  <si>
    <t>REG ASSET - BATTERY STORAGE</t>
  </si>
  <si>
    <t>PLANT ALLOC OF CLEARING JOURNALS</t>
  </si>
  <si>
    <t>REGULATORY ASSET ERM  DEFERRED CURRENT YEAR</t>
  </si>
  <si>
    <t xml:space="preserve">WA REC Deferral </t>
  </si>
  <si>
    <t>MISC DEF DEBIT - WA REC 1/3</t>
  </si>
  <si>
    <t>REG ASSET-DECOUPLING DEFERRED REV (&amp; NON RES DECOUPLING DEF REV)</t>
  </si>
  <si>
    <t xml:space="preserve">Reg Asset - COVID 19 Deferral </t>
  </si>
  <si>
    <t>REG ASSET - COVID 19 DEFERRAL</t>
  </si>
  <si>
    <t>REG ASSET - CEIP</t>
  </si>
  <si>
    <t>REG ASSET - WILLIAMS OUTAGE</t>
  </si>
  <si>
    <t>Misc Deferred Debits- Pension</t>
  </si>
  <si>
    <t>MISC DEFERRED DEBITS- Pension</t>
  </si>
  <si>
    <t>REGULATORY ASSET NEZ PERCE SETTLEMENT</t>
  </si>
  <si>
    <t>Project - Individual Listing</t>
  </si>
  <si>
    <t>Misc. Deferred Debits &lt;$100,000</t>
  </si>
  <si>
    <t>Suspense Projects/Deferred Charges, 186210,186320,186400,186410,186420,186460,186700,186900,186910</t>
  </si>
  <si>
    <t>BPA Appendix 1 - FY 2023</t>
  </si>
  <si>
    <t>Reg Liability - OR Tax Strategy Deferral</t>
  </si>
  <si>
    <t>Reg Liabiligy - WA Rev Def of Power Supply</t>
  </si>
  <si>
    <t>Reg Liability - Covid - 19 Deferral</t>
  </si>
  <si>
    <t>Inusrance Balancing Account</t>
  </si>
  <si>
    <t>To defer costs above or below the baseline in accordance with order No. 10/04 Docket Nos UE-220053, UE-210854 and UG-220054</t>
  </si>
  <si>
    <t>To defer costs of compliane with the Climate Commitment Act in accordance with WAC 480-100-203(3) and WAC 480-90-203(3)</t>
  </si>
  <si>
    <t>Avista's contribution to the Energy Assistance Fund as per ID Settlement Stipulation Case #AVU-E-19-04</t>
  </si>
  <si>
    <t>Defer of COVID-19 costs as per Idaho PUC order no. 20-401, Docket UM 2069 and WA UTC order no. 01, Dockets UE-200407 and UG-200408</t>
  </si>
  <si>
    <t>WA order 01, Dockets No. UE-200895 and UG-200896, ID Case Nos. AVU-E-20-12 and AVU-G-20-07 Order No. 34906 and OR Docket No UM 2124 Order No 21-131. Accounting method change for federal income tax from normalization flow-through for Industry Director Directive No. 5 mixed service costs and meters</t>
  </si>
  <si>
    <t>Insurance proceeds for failed transformer at Coyote Springs per WA order UE-210893 Order 01</t>
  </si>
  <si>
    <t>State income tax NOL carryforward will revers over the period in which we are able to utilize the loss to offset taxable income on the ID, MT and OR tax returns</t>
  </si>
  <si>
    <t>OR Docket No UM 2124. Deferral of Associated state tax savings</t>
  </si>
  <si>
    <t>Deferred liability for over-colleciton of authorized power supply cost revenue from Washington retail Customers</t>
  </si>
  <si>
    <t>Regulatory Asset Energy Imbalance Market</t>
  </si>
  <si>
    <t>Regulatory Asset OR CAT Tax</t>
  </si>
  <si>
    <t>Regulatory Asset Insurance Balancing Acct</t>
  </si>
  <si>
    <t>Regulatory Asset - MT Riverbed Escrow Int</t>
  </si>
  <si>
    <t>Regulatory Asset - depreciation</t>
  </si>
  <si>
    <t>WA Order 09 in Dockets UE-190222. Deferral of customer poriton for future rate recovery. The funds are set aside to help the Colstrip Community transition away from economic activity related to coal-fired generation.</t>
  </si>
  <si>
    <t>Deferral of COVID-19 costs as per ID PUC Order no 34718, OR PUC Order no 20-401, Docket UM2069 and WA UTC order no. 01, Dockets UE-200407 and UG-200408</t>
  </si>
  <si>
    <t>ID PUC Order No 34606. Deferral of costs related to Avista's entry in the Energy Imbalance Market in March of 2022</t>
  </si>
  <si>
    <t>OR PUC Order No. 20-398, Docket UM-2042</t>
  </si>
  <si>
    <t>Deferral of O&amp;M wildfire expenses as per ID PUC order 34883 and WA Dockets UE-200900, UG-200901, and UE-200894</t>
  </si>
  <si>
    <t>WA Order 09, Docket Nos. UE-190334, UG-190335, and UE-190222</t>
  </si>
  <si>
    <t>WA order 01, Dockets UE-200895 and UG-200896, ID Case Nos. AVU-E-20-12 and AVU-G-20-07 Order No. 34906 and OR Docket no UM 2124 Order No 21-131 - Accounting method Change for federal income tax expense associated with Industry Director Directive No 5 mixed service costs for meters</t>
  </si>
  <si>
    <t>WA Docket No UG-220596 and UE-220151</t>
  </si>
  <si>
    <t>Recognition of other liability related to foreign exchange hedge rates over a two year period</t>
  </si>
  <si>
    <t>WA Docket No UE-002066 and ID Order no 28648</t>
  </si>
  <si>
    <t>Deferral of costs associated with OR House Bill 2475</t>
  </si>
  <si>
    <t>To defer costs above or below the baseline in accordance with Order No 10/04 Docket Nos UE-220053, UE-210854, and UG-220054</t>
  </si>
  <si>
    <t>To defer costs of compliance with the Climate Protection Plan pursuant to ORS 757.259 and OAR 860-027-0300(4). Docket No. UM2254</t>
  </si>
  <si>
    <t>OR Docket No UG415/Advice No. 21-06-G. Amortization of amounts deferred previously in Order No. 20-254 in UG 395. Wa Docket No UE-220892 and UG-220893 Order No. 1</t>
  </si>
  <si>
    <t>To defer expected impacts associated with the occurrence fo pension events and amortization over 12 years - ID Case Nos. AVU-E-22-16 and AVU-G-22-08, WA Docket Nos UE-220898 and UG-220899, and OR UM 2267</t>
  </si>
  <si>
    <t>To defer costs of compliance with the Climate Commitment Act in accordance with WAC 480-100-203(3) and WAC 480-90-203(3). Wa Docket No UG-220803</t>
  </si>
  <si>
    <t>WA ERM Amortizing Deferral - Approved for Rebate Balance. Began amortizing 7/1/23</t>
  </si>
  <si>
    <t>Deferral for Montana Riverbed land lease agreement escrow release provisions following Avista and State of Montana Agreement on an updated balance owed</t>
  </si>
  <si>
    <t>Difference between depreciation rates in GRC vs. effective date based on ID Order 35909 Dockets AVU-E-23-01 and AVU-G-23-01</t>
  </si>
  <si>
    <t>Order OR 23-145</t>
  </si>
  <si>
    <t>182.374/75</t>
  </si>
  <si>
    <t>Regulatory Asset Covid-19</t>
  </si>
  <si>
    <t>Misc Regulatory Liabilities</t>
  </si>
  <si>
    <t>186280/186295</t>
  </si>
  <si>
    <t>186322/323/324</t>
  </si>
  <si>
    <t>186328/338 all</t>
  </si>
  <si>
    <t>186347/348/349</t>
  </si>
  <si>
    <t>186800/820</t>
  </si>
  <si>
    <t>186200 &amp; Various</t>
  </si>
  <si>
    <t>WASHINGTON</t>
  </si>
  <si>
    <t>IDAHO</t>
  </si>
  <si>
    <t>`</t>
  </si>
  <si>
    <t>2019-2023</t>
  </si>
  <si>
    <t>CY 2023 *</t>
  </si>
  <si>
    <t>CY 2023*</t>
  </si>
  <si>
    <t>* DENOTES Calendar Year 2023.</t>
  </si>
  <si>
    <t>LIRAP RATE DISC</t>
  </si>
  <si>
    <t>Expenses per Net KWh</t>
  </si>
  <si>
    <t>Total Production Expenses</t>
  </si>
  <si>
    <t>Maintenance of Misc Steam (or Nuclear) Plant</t>
  </si>
  <si>
    <t>Maintenance of Electric Plant</t>
  </si>
  <si>
    <t>Maintenance of Boiler (or reactor) Plant</t>
  </si>
  <si>
    <t>Misc Steam (or Nuclear) Power Expenses</t>
  </si>
  <si>
    <t>Steam Transferred (Cr)</t>
  </si>
  <si>
    <t>Steam From Other Sources</t>
  </si>
  <si>
    <t>Steam Expenses</t>
  </si>
  <si>
    <t>Coolants and Water (Nuclear Plants Only)</t>
  </si>
  <si>
    <t>Cost per KW of Installed Capacity (line 17/5) Including</t>
  </si>
  <si>
    <t>Total cost (total 13 thru 20)</t>
  </si>
  <si>
    <t>Net Generation, Exclusive of Plant Use - KWh</t>
  </si>
  <si>
    <t>When Limited by Condenser Water</t>
  </si>
  <si>
    <t>When Not Limited by Condenser Water</t>
  </si>
  <si>
    <t>Net Continuous Plant Capability (Megawatts)</t>
  </si>
  <si>
    <t>Plant Hours Connected to Load</t>
  </si>
  <si>
    <t>Net Peak Demand on Plant - MW (60 minutes)</t>
  </si>
  <si>
    <t>Total Installed Cap (Max Gen Name Plate Ratings-MW)</t>
  </si>
  <si>
    <t>1978</t>
  </si>
  <si>
    <t>1995</t>
  </si>
  <si>
    <t>1983</t>
  </si>
  <si>
    <t>2003</t>
  </si>
  <si>
    <t>1984</t>
  </si>
  <si>
    <t>2002</t>
  </si>
  <si>
    <t>Not Applicable</t>
  </si>
  <si>
    <t>Conventional</t>
  </si>
  <si>
    <t>Type of Constr (Conventional, Outdoor, Boiler, etc)</t>
  </si>
  <si>
    <t>Gas Turbine</t>
  </si>
  <si>
    <t>Internal Comb</t>
  </si>
  <si>
    <t>Kind of Plant (Internal Comb, Gas Turb, Nuclear)</t>
  </si>
  <si>
    <t>Rathdrum</t>
  </si>
  <si>
    <t>Colstrip</t>
  </si>
  <si>
    <t>Boulder Park</t>
  </si>
  <si>
    <t>Item\PlantName</t>
  </si>
  <si>
    <t>LineNo</t>
  </si>
  <si>
    <t>ADDED</t>
  </si>
  <si>
    <t>Maintenance expense</t>
  </si>
  <si>
    <t>Operations expense less fuel</t>
  </si>
  <si>
    <t>ADSS Package #1</t>
  </si>
  <si>
    <t>ADSS Package #2</t>
  </si>
  <si>
    <t>ADSS Package #3</t>
  </si>
  <si>
    <t>ADSS Package #4</t>
  </si>
  <si>
    <t>ADSS Phase 4 Pkg 1</t>
  </si>
  <si>
    <t>Energy Management Alerts-WA</t>
  </si>
  <si>
    <t>AMI_HES Enhancements 2020</t>
  </si>
  <si>
    <t xml:space="preserve">Substation Access Control		</t>
  </si>
  <si>
    <t>Global Mapper Upgrade-2019</t>
  </si>
  <si>
    <t>GPSS Mobile Solution</t>
  </si>
  <si>
    <t>Stackvision Upgrade 2019</t>
  </si>
  <si>
    <t>Energy Imbalance Market MV-90</t>
  </si>
  <si>
    <t>EMS Full Netwrk Model and Apps</t>
  </si>
  <si>
    <t>Synergi Electric - CY2020</t>
  </si>
  <si>
    <t>Serveron TMview Upgrade 2020</t>
  </si>
  <si>
    <t>Power DB Pro_Upgrade 2020</t>
  </si>
  <si>
    <t>CYMCAP Upgrade 2020</t>
  </si>
  <si>
    <t>Generation Anitvirus Update</t>
  </si>
  <si>
    <t>Gen Remote Site Server Ref</t>
  </si>
  <si>
    <t>LIMS/WeighWiz/LabWiz 2020</t>
  </si>
  <si>
    <t>AMI Outage Data Analytics v2</t>
  </si>
  <si>
    <t>SKM Power Tools Upgrade</t>
  </si>
  <si>
    <t>OATI Ferc Order 676 Implement</t>
  </si>
  <si>
    <t>AA</t>
  </si>
  <si>
    <t>OATI-webSmart OASIS</t>
  </si>
  <si>
    <t>Colstrip Transmission - AN</t>
  </si>
  <si>
    <t>ADSS Phase 4 Pkg 3</t>
  </si>
  <si>
    <t>ADSS Phase 4 Pkg 2</t>
  </si>
  <si>
    <t>ADSS Phase 4 Pkg 4</t>
  </si>
  <si>
    <t>ADSS Phase 4 Pkg 5</t>
  </si>
  <si>
    <t>ADSS Phase 4 Pkg 6</t>
  </si>
  <si>
    <t>AMI OUTAGE Data Analytics</t>
  </si>
  <si>
    <t>Electric Vehicle TOU Rate</t>
  </si>
  <si>
    <t>AMI Enhancements Jan June 2021</t>
  </si>
  <si>
    <t xml:space="preserve">BAL-003 Freq Response Upgrade	</t>
  </si>
  <si>
    <t>CROW Upgrade/Enhance 2020</t>
  </si>
  <si>
    <t>Synergi Electric 2021</t>
  </si>
  <si>
    <t>Aspen OneLiner Upgrade 2021</t>
  </si>
  <si>
    <t>CymCap 2021 - Repl</t>
  </si>
  <si>
    <t>EIM - MV90 Additional Licenses</t>
  </si>
  <si>
    <t>PSCAD Implementation</t>
  </si>
  <si>
    <t>ADSS EIM Enh. Package</t>
  </si>
  <si>
    <t>ADSS Phase 4 2021:  Pkg. 7</t>
  </si>
  <si>
    <t>ADSS Phase 4 2021:  Pkg. 8</t>
  </si>
  <si>
    <t>AMI Enhancements 2021 Jul-Dec</t>
  </si>
  <si>
    <t>Always On</t>
  </si>
  <si>
    <t>AMI Enhancements 2022 Pkg 1</t>
  </si>
  <si>
    <t>AMI Enhancements 2022 Pkg 2</t>
  </si>
  <si>
    <t>DMS PRISM 11 Upgrade</t>
  </si>
  <si>
    <t>HMI Upgrade Control Software</t>
  </si>
  <si>
    <t>EIM - Settlements &amp; Analytics</t>
  </si>
  <si>
    <t>MV90 System Upgrade</t>
  </si>
  <si>
    <t>TWACS System Upgrade</t>
  </si>
  <si>
    <t>Power Database Pro 2021</t>
  </si>
  <si>
    <t>Autodesk Inventor Upgrade 2021</t>
  </si>
  <si>
    <t xml:space="preserve"> EIMCAISO Dispatch Integration</t>
  </si>
  <si>
    <t>Innovation Lab Data Platform</t>
  </si>
  <si>
    <t>Global Mapper Upgrades 2021</t>
  </si>
  <si>
    <t>VibroZoom Licenses</t>
  </si>
  <si>
    <t>GenAppDel EDAN 2022 Pkg1</t>
  </si>
  <si>
    <t>GenAppDel EDAN 2022 Pkg2</t>
  </si>
  <si>
    <t>ADSS Expansion Pkg. #2 - 2022</t>
  </si>
  <si>
    <t>ADSS - EIM Performance</t>
  </si>
  <si>
    <t>EIM - Fall Market Upgrade</t>
  </si>
  <si>
    <t>EIM - Testing Automation</t>
  </si>
  <si>
    <t>StackVision Upgrade</t>
  </si>
  <si>
    <t>AMI Dev Environment</t>
  </si>
  <si>
    <t>AMI Enhancements 2023 Pkg 1</t>
  </si>
  <si>
    <t>AMI Enhancements 2023 Pkg 2</t>
  </si>
  <si>
    <t>CXP: Always On PEUI 2023</t>
  </si>
  <si>
    <t>Common Module Interface (CIM)</t>
  </si>
  <si>
    <t>Generation Camera Enhancement</t>
  </si>
  <si>
    <t>LIMS Upgrade 2022</t>
  </si>
  <si>
    <t>Digital Exchange Enhancements</t>
  </si>
  <si>
    <t>GAD Enh 2023 EDAN</t>
  </si>
  <si>
    <t>ADSS Expansion 2023</t>
  </si>
  <si>
    <t xml:space="preserve"> EIM - Market Expansion Pkg. 1</t>
  </si>
  <si>
    <t xml:space="preserve"> EIM - Market Expansion Pkg. 2</t>
  </si>
  <si>
    <t>Com. Module Inter. CIM Updates</t>
  </si>
  <si>
    <t>ADSS Enhancements 2023 Pkg.1</t>
  </si>
  <si>
    <t>Stackvision Upgrade 2023 (Q4)</t>
  </si>
  <si>
    <t>Widlfire Safe Tree Program</t>
  </si>
  <si>
    <t>CS2 FAMOS Software Purchase</t>
  </si>
  <si>
    <t>*Must add formulas using %'s from the Ratios tab</t>
  </si>
  <si>
    <t>3031xx</t>
  </si>
  <si>
    <t>w/plug</t>
  </si>
  <si>
    <t>3031XX</t>
  </si>
  <si>
    <t>CF</t>
  </si>
  <si>
    <t>(excludes short-term debt)</t>
  </si>
  <si>
    <t xml:space="preserve">   Total</t>
  </si>
  <si>
    <t>Common</t>
  </si>
  <si>
    <t>Pref Stock</t>
  </si>
  <si>
    <t>Pref Trust</t>
  </si>
  <si>
    <t>S/T Debt</t>
  </si>
  <si>
    <t>L/T Debt</t>
  </si>
  <si>
    <t>Structure</t>
  </si>
  <si>
    <t>ProForma</t>
  </si>
  <si>
    <t>Capital</t>
  </si>
  <si>
    <t>Idaho Electric</t>
  </si>
  <si>
    <t>Washington Electric</t>
  </si>
  <si>
    <t>Authorized Rates of Return</t>
  </si>
  <si>
    <t>General Case Order in 2022 (UE-220053)</t>
  </si>
  <si>
    <t>effective 12/21/2022</t>
  </si>
  <si>
    <t>General Case Settlement in 2023 (AVU-E-23-01)</t>
  </si>
  <si>
    <t>effective 09/01/2023</t>
  </si>
  <si>
    <t>407xxx</t>
  </si>
  <si>
    <t>OTHER REG CREDITS</t>
  </si>
  <si>
    <t>Ref Credits AFUDC</t>
  </si>
  <si>
    <t>Regulator Debit - AFUDC</t>
  </si>
  <si>
    <t>Sum of Total ($) (h+i+j)</t>
  </si>
  <si>
    <t>Sum of Megawatt Hours Sold</t>
  </si>
  <si>
    <t>Sum of Total (k+l+m) of Settlement ($)</t>
  </si>
  <si>
    <t>Sum of MegaWatt Hours Purchased</t>
  </si>
  <si>
    <t>Misc Other</t>
  </si>
  <si>
    <t>Ties w/FF1</t>
  </si>
  <si>
    <t xml:space="preserve">Electric only. </t>
  </si>
  <si>
    <t>*Request copies of commission order with reference to specific language approving data below.</t>
  </si>
  <si>
    <t>*HUGE jump from BP-24 of $3,318423.50; why??</t>
  </si>
  <si>
    <t>*HUGE jump from BP-24 of $4,249,104.75; why??</t>
  </si>
  <si>
    <t>Dir_D</t>
  </si>
  <si>
    <t>prod</t>
  </si>
  <si>
    <t>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</si>
</sst>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Red]\(#,##0\)"/>
    <numFmt numFmtId="165" formatCode="_(* #,##0_);_(* \(#,##0\);_(* &quot;-&quot;??_);_(@_)"/>
    <numFmt numFmtId="166" formatCode="0.0%"/>
    <numFmt numFmtId="167" formatCode="_(* #,##0.0_);_(* \(#,##0.0\);_(* &quot;-&quot;??_);_(@_)"/>
    <numFmt numFmtId="168" formatCode="0.000%"/>
    <numFmt numFmtId="169" formatCode="_(&quot;$&quot;* #,##0.0_);_(&quot;$&quot;* \(#,##0.0\);_(&quot;$&quot;* &quot;-&quot;??_);_(@_)"/>
    <numFmt numFmtId="170" formatCode="_(&quot;$&quot;* #,##0_);_(&quot;$&quot;* \(#,##0\);_(&quot;$&quot;* &quot;-&quot;??_);_(@_)"/>
    <numFmt numFmtId="171" formatCode="0.0"/>
    <numFmt numFmtId="172" formatCode="&quot;$&quot;#,##0"/>
    <numFmt numFmtId="173" formatCode="_(* #,##0.00000_);_(* \(#,##0.00000\);_(* &quot;-&quot;?????_);_(@_)"/>
    <numFmt numFmtId="174" formatCode="#,##0.00000_);[Red]\(#,##0.00000\)"/>
    <numFmt numFmtId="175" formatCode="0_);[Red]\(0\)"/>
    <numFmt numFmtId="176" formatCode="mm/dd/yy;@"/>
    <numFmt numFmtId="177" formatCode="&quot;$&quot;#,##0.0000_);[Red]\(&quot;$&quot;#,##0.0000\)"/>
    <numFmt numFmtId="178" formatCode="&quot;$&quot;#,##0.00000000000_);[Red]\(&quot;$&quot;#,##0.00000000000\)"/>
    <numFmt numFmtId="179" formatCode="m/d/yyyy;@"/>
    <numFmt numFmtId="180" formatCode="0.0000%"/>
    <numFmt numFmtId="181" formatCode="0.00000%"/>
    <numFmt numFmtId="182" formatCode="0.00000"/>
    <numFmt numFmtId="183" formatCode="#,##0.00000000_);[Red]\(#,##0.00000000\)"/>
    <numFmt numFmtId="184" formatCode="_(&quot;$&quot;* #,##0.000_);_(&quot;$&quot;* \(#,##0.000\);_(&quot;$&quot;* &quot;-&quot;??_);_(@_)"/>
    <numFmt numFmtId="185" formatCode="#,##0.0_);[Red]\(#,##0.0\)"/>
    <numFmt numFmtId="186" formatCode="0.000"/>
    <numFmt numFmtId="187" formatCode="_(* #,##0.000_);_(* \(#,##0.000\);_(* &quot;-&quot;??_);_(@_)"/>
    <numFmt numFmtId="188" formatCode="#,##0.000"/>
  </numFmts>
  <fonts count="200">
    <font>
      <sz val="12"/>
      <name val="Times New Roman"/>
    </font>
    <font>
      <sz val="11"/>
      <color theme="1"/>
      <name val="Calibri"/>
      <family val="2"/>
      <scheme val="minor"/>
    </font>
    <font>
      <sz val="12"/>
      <name val="Times New Roman"/>
      <family val="1"/>
    </font>
    <font>
      <sz val="10"/>
      <name val="Helv"/>
    </font>
    <font>
      <sz val="10"/>
      <name val="Arial"/>
      <family val="2"/>
    </font>
    <font>
      <sz val="12"/>
      <name val="Times New Roman"/>
      <family val="1"/>
    </font>
    <font>
      <sz val="10"/>
      <name val="Times New Roman"/>
      <family val="1"/>
    </font>
    <font>
      <b/>
      <sz val="12"/>
      <name val="Times New Roman"/>
      <family val="1"/>
    </font>
    <font>
      <b/>
      <sz val="12"/>
      <color indexed="12"/>
      <name val="Times New Roman"/>
      <family val="1"/>
    </font>
    <font>
      <b/>
      <i/>
      <u/>
      <sz val="12"/>
      <name val="Times New Roman"/>
      <family val="1"/>
    </font>
    <font>
      <b/>
      <i/>
      <u/>
      <sz val="12"/>
      <color indexed="10"/>
      <name val="Times New Roman"/>
      <family val="1"/>
    </font>
    <font>
      <sz val="8"/>
      <name val="Times New Roman"/>
      <family val="1"/>
    </font>
    <font>
      <sz val="10"/>
      <color indexed="12"/>
      <name val="Times New Roman"/>
      <family val="1"/>
    </font>
    <font>
      <sz val="8"/>
      <color indexed="12"/>
      <name val="Times New Roman"/>
      <family val="1"/>
    </font>
    <font>
      <sz val="12"/>
      <color indexed="12"/>
      <name val="Times New Roman"/>
      <family val="1"/>
    </font>
    <font>
      <b/>
      <sz val="14"/>
      <name val="Times New Roman"/>
      <family val="1"/>
    </font>
    <font>
      <sz val="10"/>
      <color indexed="8"/>
      <name val="Times New Roman"/>
      <family val="1"/>
    </font>
    <font>
      <sz val="8"/>
      <color indexed="8"/>
      <name val="Times New Roman"/>
      <family val="1"/>
    </font>
    <font>
      <b/>
      <sz val="8"/>
      <color indexed="8"/>
      <name val="Times New Roman"/>
      <family val="1"/>
    </font>
    <font>
      <b/>
      <sz val="8"/>
      <color indexed="12"/>
      <name val="Times New Roman"/>
      <family val="1"/>
    </font>
    <font>
      <sz val="8"/>
      <color indexed="10"/>
      <name val="Times New Roman"/>
      <family val="1"/>
    </font>
    <font>
      <sz val="12"/>
      <color indexed="8"/>
      <name val="Times New Roman"/>
      <family val="1"/>
    </font>
    <font>
      <b/>
      <sz val="10"/>
      <color indexed="12"/>
      <name val="Times New Roman"/>
      <family val="1"/>
    </font>
    <font>
      <sz val="10"/>
      <name val="Garamond"/>
      <family val="1"/>
    </font>
    <font>
      <sz val="10"/>
      <color indexed="48"/>
      <name val="Times New Roman"/>
      <family val="1"/>
    </font>
    <font>
      <b/>
      <i/>
      <u/>
      <sz val="10"/>
      <color indexed="48"/>
      <name val="Times New Roman"/>
      <family val="1"/>
    </font>
    <font>
      <b/>
      <sz val="10"/>
      <name val="Garamond"/>
      <family val="1"/>
    </font>
    <font>
      <b/>
      <i/>
      <u/>
      <sz val="14"/>
      <color indexed="10"/>
      <name val="Times New Roman"/>
      <family val="1"/>
    </font>
    <font>
      <sz val="11"/>
      <color indexed="12"/>
      <name val="Times New Roman"/>
      <family val="1"/>
    </font>
    <font>
      <b/>
      <sz val="11"/>
      <color indexed="12"/>
      <name val="Times New Roman"/>
      <family val="1"/>
    </font>
    <font>
      <b/>
      <u/>
      <sz val="12"/>
      <color indexed="12"/>
      <name val="Times New Roman"/>
      <family val="1"/>
    </font>
    <font>
      <b/>
      <u/>
      <sz val="8"/>
      <color indexed="12"/>
      <name val="Times New Roman"/>
      <family val="1"/>
    </font>
    <font>
      <b/>
      <u/>
      <sz val="10"/>
      <color indexed="12"/>
      <name val="Times New Roman"/>
      <family val="1"/>
    </font>
    <font>
      <i/>
      <sz val="10"/>
      <color indexed="12"/>
      <name val="Times New Roman"/>
      <family val="1"/>
    </font>
    <font>
      <b/>
      <sz val="14"/>
      <color indexed="12"/>
      <name val="Times New Roman"/>
      <family val="1"/>
    </font>
    <font>
      <b/>
      <i/>
      <sz val="12"/>
      <color indexed="12"/>
      <name val="Times New Roman"/>
      <family val="1"/>
    </font>
    <font>
      <b/>
      <i/>
      <u/>
      <sz val="12"/>
      <color indexed="12"/>
      <name val="Times New Roman"/>
      <family val="1"/>
    </font>
    <font>
      <i/>
      <sz val="8"/>
      <color indexed="12"/>
      <name val="Times New Roman"/>
      <family val="1"/>
    </font>
    <font>
      <sz val="14"/>
      <name val="Times New Roman"/>
      <family val="1"/>
    </font>
    <font>
      <b/>
      <i/>
      <sz val="10"/>
      <color indexed="12"/>
      <name val="Times New Roman"/>
      <family val="1"/>
    </font>
    <font>
      <b/>
      <i/>
      <u/>
      <sz val="8"/>
      <color indexed="12"/>
      <name val="Times New Roman"/>
      <family val="1"/>
    </font>
    <font>
      <i/>
      <sz val="12"/>
      <color indexed="12"/>
      <name val="Times New Roman"/>
      <family val="1"/>
    </font>
    <font>
      <sz val="12"/>
      <color indexed="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indexed="10"/>
      <name val="Times New Roman"/>
      <family val="1"/>
    </font>
    <font>
      <sz val="10"/>
      <color indexed="56"/>
      <name val="Times New Roman"/>
      <family val="1"/>
    </font>
    <font>
      <b/>
      <sz val="10"/>
      <color indexed="10"/>
      <name val="Times New Roman"/>
      <family val="1"/>
    </font>
    <font>
      <b/>
      <sz val="12"/>
      <color indexed="62"/>
      <name val="Times New Roman"/>
      <family val="1"/>
    </font>
    <font>
      <sz val="12"/>
      <color indexed="62"/>
      <name val="Times New Roman"/>
      <family val="1"/>
    </font>
    <font>
      <b/>
      <i/>
      <u/>
      <sz val="12"/>
      <color indexed="62"/>
      <name val="Times New Roman"/>
      <family val="1"/>
    </font>
    <font>
      <b/>
      <sz val="14"/>
      <color indexed="62"/>
      <name val="Times New Roman"/>
      <family val="1"/>
    </font>
    <font>
      <i/>
      <sz val="12"/>
      <color indexed="62"/>
      <name val="Times New Roman"/>
      <family val="1"/>
    </font>
    <font>
      <b/>
      <sz val="11"/>
      <color indexed="10"/>
      <name val="Times New Roman"/>
      <family val="1"/>
    </font>
    <font>
      <sz val="11"/>
      <color indexed="62"/>
      <name val="Times New Roman"/>
      <family val="1"/>
    </font>
    <font>
      <b/>
      <sz val="11"/>
      <color indexed="62"/>
      <name val="Times New Roman"/>
      <family val="1"/>
    </font>
    <font>
      <sz val="10"/>
      <color indexed="62"/>
      <name val="Times New Roman"/>
      <family val="1"/>
    </font>
    <font>
      <b/>
      <sz val="11"/>
      <color indexed="57"/>
      <name val="Arial"/>
      <family val="2"/>
    </font>
    <font>
      <sz val="12"/>
      <color indexed="10"/>
      <name val="Times New Roman"/>
      <family val="1"/>
    </font>
    <font>
      <sz val="10"/>
      <name val="Arial"/>
      <family val="2"/>
    </font>
    <font>
      <sz val="8"/>
      <name val="Arial"/>
      <family val="2"/>
    </font>
    <font>
      <b/>
      <sz val="10"/>
      <name val="Arial"/>
      <family val="2"/>
    </font>
    <font>
      <b/>
      <sz val="12"/>
      <color indexed="57"/>
      <name val="Times New Roman"/>
      <family val="1"/>
    </font>
    <font>
      <sz val="10"/>
      <color indexed="81"/>
      <name val="Tahoma"/>
      <family val="2"/>
    </font>
    <font>
      <b/>
      <sz val="10"/>
      <color indexed="81"/>
      <name val="Tahoma"/>
      <family val="2"/>
    </font>
    <font>
      <b/>
      <sz val="10"/>
      <name val="Tahoma"/>
      <family val="2"/>
    </font>
    <font>
      <b/>
      <sz val="10"/>
      <color indexed="14"/>
      <name val="Tahoma"/>
      <family val="2"/>
    </font>
    <font>
      <sz val="10"/>
      <name val="Tahoma"/>
      <family val="2"/>
    </font>
    <font>
      <sz val="8"/>
      <color indexed="10"/>
      <name val="Tahoma"/>
      <family val="2"/>
    </font>
    <font>
      <sz val="10"/>
      <color indexed="10"/>
      <name val="Tahoma"/>
      <family val="2"/>
    </font>
    <font>
      <b/>
      <sz val="10"/>
      <color indexed="8"/>
      <name val="Tahoma"/>
      <family val="2"/>
    </font>
    <font>
      <sz val="8"/>
      <color indexed="8"/>
      <name val="Tahoma"/>
      <family val="2"/>
    </font>
    <font>
      <b/>
      <sz val="8"/>
      <color indexed="8"/>
      <name val="Tahoma"/>
      <family val="2"/>
    </font>
    <font>
      <b/>
      <sz val="9"/>
      <name val="Tahoma"/>
      <family val="2"/>
    </font>
    <font>
      <sz val="8"/>
      <name val="Tahoma"/>
      <family val="2"/>
    </font>
    <font>
      <sz val="8"/>
      <color indexed="12"/>
      <name val="Tahoma"/>
      <family val="2"/>
    </font>
    <font>
      <sz val="8"/>
      <color indexed="10"/>
      <name val="Garamond"/>
      <family val="1"/>
    </font>
    <font>
      <sz val="10"/>
      <color indexed="12"/>
      <name val="Tahoma"/>
      <family val="2"/>
    </font>
    <font>
      <sz val="10"/>
      <name val="Garamond"/>
      <family val="1"/>
    </font>
    <font>
      <sz val="10"/>
      <color indexed="8"/>
      <name val="Tahoma"/>
      <family val="2"/>
    </font>
    <font>
      <sz val="10"/>
      <color indexed="9"/>
      <name val="Tahoma"/>
      <family val="2"/>
    </font>
    <font>
      <b/>
      <sz val="9"/>
      <color indexed="8"/>
      <name val="Tahoma"/>
      <family val="2"/>
    </font>
    <font>
      <b/>
      <sz val="10"/>
      <color indexed="62"/>
      <name val="Times New Roman"/>
      <family val="1"/>
    </font>
    <font>
      <b/>
      <sz val="12"/>
      <color indexed="14"/>
      <name val="Times New Roman"/>
      <family val="1"/>
    </font>
    <font>
      <sz val="12"/>
      <color indexed="14"/>
      <name val="Times New Roman"/>
      <family val="1"/>
    </font>
    <font>
      <sz val="14"/>
      <color indexed="62"/>
      <name val="Times New Roman"/>
      <family val="1"/>
    </font>
    <font>
      <b/>
      <sz val="12"/>
      <color indexed="18"/>
      <name val="Times New Roman"/>
      <family val="1"/>
    </font>
    <font>
      <sz val="12"/>
      <color indexed="18"/>
      <name val="Times New Roman"/>
      <family val="1"/>
    </font>
    <font>
      <sz val="12"/>
      <name val="Arial"/>
      <family val="2"/>
    </font>
    <font>
      <sz val="10"/>
      <color indexed="62"/>
      <name val="Arial"/>
      <family val="2"/>
    </font>
    <font>
      <sz val="12"/>
      <color indexed="62"/>
      <name val="Arial"/>
      <family val="2"/>
    </font>
    <font>
      <b/>
      <sz val="16"/>
      <color indexed="10"/>
      <name val="Times New Roman"/>
      <family val="1"/>
    </font>
    <font>
      <sz val="16"/>
      <color indexed="10"/>
      <name val="Arial"/>
      <family val="2"/>
    </font>
    <font>
      <b/>
      <u val="double"/>
      <sz val="16"/>
      <color indexed="10"/>
      <name val="Times New Roman"/>
      <family val="1"/>
    </font>
    <font>
      <b/>
      <sz val="9"/>
      <color indexed="12"/>
      <name val="Times New Roman"/>
      <family val="1"/>
    </font>
    <font>
      <b/>
      <sz val="12"/>
      <color indexed="12"/>
      <name val="Times New Roman"/>
      <family val="1"/>
    </font>
    <font>
      <b/>
      <sz val="11"/>
      <color indexed="12"/>
      <name val="Times New Roman"/>
      <family val="1"/>
    </font>
    <font>
      <sz val="11"/>
      <color indexed="12"/>
      <name val="Times New Roman"/>
      <family val="1"/>
    </font>
    <font>
      <b/>
      <sz val="18"/>
      <color indexed="12"/>
      <name val="Times New Roman"/>
      <family val="1"/>
    </font>
    <font>
      <b/>
      <sz val="10"/>
      <color indexed="61"/>
      <name val="Times New Roman"/>
      <family val="1"/>
    </font>
    <font>
      <sz val="10"/>
      <color indexed="61"/>
      <name val="Arial"/>
      <family val="2"/>
    </font>
    <font>
      <sz val="10"/>
      <color indexed="61"/>
      <name val="Times New Roman"/>
      <family val="1"/>
    </font>
    <font>
      <sz val="12"/>
      <name val="Tahoma"/>
      <family val="2"/>
    </font>
    <font>
      <b/>
      <sz val="10"/>
      <color indexed="14"/>
      <name val="Arial"/>
      <family val="2"/>
    </font>
    <font>
      <b/>
      <sz val="12"/>
      <name val="Tahoma"/>
      <family val="2"/>
    </font>
    <font>
      <b/>
      <i/>
      <u/>
      <sz val="12"/>
      <color indexed="10"/>
      <name val="Tahoma"/>
      <family val="2"/>
    </font>
    <font>
      <sz val="12"/>
      <color indexed="12"/>
      <name val="Tahoma"/>
      <family val="2"/>
    </font>
    <font>
      <b/>
      <i/>
      <u/>
      <sz val="12"/>
      <name val="Tahoma"/>
      <family val="2"/>
    </font>
    <font>
      <sz val="12"/>
      <name val="Garamond"/>
      <family val="1"/>
    </font>
    <font>
      <b/>
      <sz val="12"/>
      <name val="Garamond"/>
      <family val="1"/>
    </font>
    <font>
      <b/>
      <u/>
      <sz val="12"/>
      <name val="Tahoma"/>
      <family val="2"/>
    </font>
    <font>
      <sz val="12"/>
      <color indexed="8"/>
      <name val="Tahoma"/>
      <family val="2"/>
    </font>
    <font>
      <b/>
      <u/>
      <sz val="12"/>
      <name val="Times New Roman"/>
      <family val="1"/>
    </font>
    <font>
      <sz val="10"/>
      <color indexed="12"/>
      <name val="Garamond"/>
      <family val="1"/>
    </font>
    <font>
      <b/>
      <i/>
      <u/>
      <sz val="12"/>
      <color indexed="48"/>
      <name val="Times New Roman"/>
      <family val="1"/>
    </font>
    <font>
      <sz val="12"/>
      <color indexed="48"/>
      <name val="Times New Roman"/>
      <family val="1"/>
    </font>
    <font>
      <i/>
      <sz val="12"/>
      <name val="Times New Roman"/>
      <family val="1"/>
    </font>
    <font>
      <sz val="10"/>
      <color indexed="12"/>
      <name val="Arial Narrow"/>
      <family val="2"/>
    </font>
    <font>
      <b/>
      <i/>
      <sz val="10"/>
      <color indexed="12"/>
      <name val="Arial Narrow"/>
      <family val="2"/>
    </font>
    <font>
      <b/>
      <sz val="12"/>
      <color indexed="8"/>
      <name val="Times New Roman"/>
      <family val="1"/>
    </font>
    <font>
      <b/>
      <sz val="10"/>
      <name val="Times New Roman"/>
      <family val="1"/>
    </font>
    <font>
      <b/>
      <sz val="10"/>
      <color indexed="17"/>
      <name val="Times New Roman"/>
      <family val="1"/>
    </font>
    <font>
      <b/>
      <sz val="12"/>
      <color indexed="12"/>
      <name val="Tahoma"/>
      <family val="2"/>
    </font>
    <font>
      <b/>
      <sz val="12"/>
      <color indexed="14"/>
      <name val="Tahoma"/>
      <family val="2"/>
    </font>
    <font>
      <b/>
      <sz val="8"/>
      <color indexed="10"/>
      <name val="Tahoma"/>
      <family val="2"/>
    </font>
    <font>
      <sz val="12"/>
      <color indexed="48"/>
      <name val="Tahoma"/>
      <family val="2"/>
    </font>
    <font>
      <sz val="11"/>
      <name val="Tahoma"/>
      <family val="2"/>
    </font>
    <font>
      <sz val="10"/>
      <color indexed="14"/>
      <name val="Tahoma"/>
      <family val="2"/>
    </font>
    <font>
      <sz val="12"/>
      <color indexed="10"/>
      <name val="Tahoma"/>
      <family val="2"/>
    </font>
    <font>
      <sz val="11"/>
      <name val="Times New Roman"/>
      <family val="1"/>
    </font>
    <font>
      <b/>
      <sz val="11"/>
      <name val="Times New Roman"/>
      <family val="1"/>
    </font>
    <font>
      <b/>
      <sz val="11"/>
      <color indexed="18"/>
      <name val="Times New Roman"/>
      <family val="1"/>
    </font>
    <font>
      <b/>
      <u/>
      <sz val="11"/>
      <color indexed="12"/>
      <name val="Wingdings"/>
      <charset val="2"/>
    </font>
    <font>
      <sz val="8"/>
      <name val="Times New Roman"/>
      <family val="1"/>
    </font>
    <font>
      <b/>
      <u/>
      <sz val="14"/>
      <color indexed="61"/>
      <name val="Rockwell"/>
      <family val="1"/>
    </font>
    <font>
      <b/>
      <sz val="14"/>
      <color indexed="61"/>
      <name val="Rockwell"/>
      <family val="1"/>
    </font>
    <font>
      <b/>
      <sz val="12"/>
      <color indexed="61"/>
      <name val="Times New Roman"/>
      <family val="1"/>
    </font>
    <font>
      <b/>
      <sz val="12"/>
      <color indexed="12"/>
      <name val="System"/>
      <family val="2"/>
    </font>
    <font>
      <sz val="12"/>
      <color indexed="9"/>
      <name val="Times New Roman"/>
      <family val="1"/>
    </font>
    <font>
      <u/>
      <sz val="10"/>
      <name val="Arial"/>
      <family val="2"/>
    </font>
    <font>
      <sz val="12"/>
      <name val="Times New Roman"/>
      <family val="1"/>
    </font>
    <font>
      <sz val="10"/>
      <color indexed="10"/>
      <name val="Times New Roman"/>
      <family val="1"/>
    </font>
    <font>
      <b/>
      <u/>
      <sz val="12"/>
      <color indexed="12"/>
      <name val="Wingdings"/>
      <charset val="2"/>
    </font>
    <font>
      <b/>
      <sz val="12"/>
      <color indexed="12"/>
      <name val="Arial"/>
      <family val="2"/>
    </font>
    <font>
      <b/>
      <u/>
      <sz val="14"/>
      <color indexed="61"/>
      <name val="Arial"/>
      <family val="2"/>
    </font>
    <font>
      <b/>
      <u/>
      <sz val="12"/>
      <color indexed="61"/>
      <name val="Arial"/>
      <family val="2"/>
    </font>
    <font>
      <sz val="14"/>
      <name val="Times New Roman"/>
      <family val="1"/>
    </font>
    <font>
      <b/>
      <u/>
      <sz val="12"/>
      <color indexed="9"/>
      <name val="Arial"/>
      <family val="2"/>
    </font>
    <font>
      <sz val="10"/>
      <name val="Times New Roman"/>
      <family val="1"/>
    </font>
    <font>
      <b/>
      <sz val="9"/>
      <color indexed="81"/>
      <name val="Tahoma"/>
      <family val="2"/>
    </font>
    <font>
      <sz val="9"/>
      <color indexed="81"/>
      <name val="Tahoma"/>
      <family val="2"/>
    </font>
    <font>
      <sz val="12"/>
      <color rgb="FF0000FF"/>
      <name val="Times New Roman"/>
      <family val="1"/>
    </font>
    <font>
      <sz val="10"/>
      <color rgb="FF0000FF"/>
      <name val="Arial"/>
      <family val="2"/>
    </font>
    <font>
      <b/>
      <sz val="16"/>
      <color indexed="62"/>
      <name val="Times New Roman"/>
      <family val="1"/>
    </font>
    <font>
      <sz val="12"/>
      <color theme="3"/>
      <name val="Times New Roman"/>
      <family val="1"/>
    </font>
    <font>
      <sz val="12"/>
      <color rgb="FF333399"/>
      <name val="Times New Roman"/>
      <family val="1"/>
    </font>
    <font>
      <sz val="10"/>
      <color rgb="FFFF0000"/>
      <name val="Times New Roman"/>
      <family val="1"/>
    </font>
    <font>
      <sz val="12"/>
      <color rgb="FFFF0000"/>
      <name val="Times New Roman"/>
      <family val="1"/>
    </font>
    <font>
      <b/>
      <sz val="14"/>
      <color rgb="FFFF0000"/>
      <name val="Times New Roman"/>
      <family val="1"/>
    </font>
    <font>
      <u/>
      <sz val="12"/>
      <color theme="11"/>
      <name val="Times New Roman"/>
      <family val="1"/>
    </font>
    <font>
      <sz val="11"/>
      <name val="Calibri"/>
      <family val="2"/>
      <scheme val="minor"/>
    </font>
    <font>
      <u/>
      <sz val="12"/>
      <color theme="10"/>
      <name val="Times New Roman"/>
      <family val="1"/>
    </font>
    <font>
      <b/>
      <sz val="12"/>
      <color theme="1"/>
      <name val="Times New Roman"/>
      <family val="1"/>
    </font>
    <font>
      <b/>
      <sz val="10"/>
      <color rgb="FFFF0000"/>
      <name val="Arial"/>
      <family val="2"/>
    </font>
    <font>
      <sz val="10"/>
      <color rgb="FF000000"/>
      <name val="Times New Roman"/>
      <family val="1"/>
    </font>
    <font>
      <b/>
      <sz val="12"/>
      <color rgb="FF008000"/>
      <name val="Times New Roman"/>
      <family val="1"/>
    </font>
    <font>
      <sz val="12"/>
      <color rgb="FF008000"/>
      <name val="Times New Roman"/>
      <family val="1"/>
    </font>
    <font>
      <b/>
      <sz val="12"/>
      <color rgb="FFFF0000"/>
      <name val="Times New Roman"/>
      <family val="1"/>
    </font>
    <font>
      <sz val="12"/>
      <name val="Tms Rmn"/>
    </font>
    <font>
      <b/>
      <sz val="12"/>
      <name val="Tms Rmn"/>
    </font>
    <font>
      <sz val="10"/>
      <name val="Geneva"/>
    </font>
    <font>
      <b/>
      <sz val="12"/>
      <color rgb="FF0000FF"/>
      <name val="Times New Roman"/>
      <family val="1"/>
    </font>
    <font>
      <sz val="12"/>
      <color theme="1"/>
      <name val="Calibri"/>
      <family val="2"/>
      <scheme val="minor"/>
    </font>
    <font>
      <b/>
      <sz val="11"/>
      <color rgb="FFFF0000"/>
      <name val="Calibri"/>
      <family val="2"/>
      <scheme val="minor"/>
    </font>
    <font>
      <sz val="12"/>
      <name val="Times New Roman"/>
      <family val="1"/>
    </font>
    <font>
      <i/>
      <sz val="9"/>
      <name val="Times New Roman"/>
      <family val="1"/>
    </font>
    <font>
      <u/>
      <sz val="12"/>
      <name val="Times New Roman"/>
      <family val="1"/>
    </font>
    <font>
      <b/>
      <i/>
      <sz val="8"/>
      <name val="Times New Roman"/>
      <family val="1"/>
    </font>
    <font>
      <b/>
      <sz val="8"/>
      <color rgb="FFFF0000"/>
      <name val="Times New Roman"/>
      <family val="1"/>
    </font>
    <font>
      <b/>
      <sz val="12"/>
      <color rgb="FF00B050"/>
      <name val="Times New Roman"/>
      <family val="1"/>
    </font>
    <font>
      <b/>
      <sz val="12"/>
      <color rgb="FFC00000"/>
      <name val="Times New Roman"/>
      <family val="1"/>
    </font>
    <font>
      <i/>
      <sz val="12"/>
      <color rgb="FFFF0000"/>
      <name val="Times New Roman"/>
      <family val="1"/>
    </font>
    <font>
      <sz val="12"/>
      <color theme="1"/>
      <name val="Times New Roman"/>
      <family val="1"/>
    </font>
    <font>
      <sz val="10"/>
      <color theme="1"/>
      <name val="Times New Roman"/>
      <family val="1"/>
    </font>
    <font>
      <b/>
      <sz val="10"/>
      <color theme="1"/>
      <name val="Times New Roman"/>
      <family val="1"/>
    </font>
  </fonts>
  <fills count="7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mediumGray">
        <fgColor indexed="9"/>
        <bgColor indexed="22"/>
      </patternFill>
    </fill>
    <fill>
      <patternFill patternType="solid">
        <fgColor indexed="41"/>
        <bgColor indexed="64"/>
      </patternFill>
    </fill>
    <fill>
      <patternFill patternType="solid">
        <fgColor indexed="65"/>
        <bgColor indexed="64"/>
      </patternFill>
    </fill>
    <fill>
      <patternFill patternType="solid">
        <fgColor indexed="22"/>
        <bgColor indexed="64"/>
      </patternFill>
    </fill>
    <fill>
      <patternFill patternType="solid">
        <fgColor indexed="26"/>
        <bgColor indexed="64"/>
      </patternFill>
    </fill>
    <fill>
      <patternFill patternType="mediumGray">
        <fgColor indexed="9"/>
        <bgColor indexed="45"/>
      </patternFill>
    </fill>
    <fill>
      <patternFill patternType="solid">
        <fgColor indexed="15"/>
        <bgColor indexed="64"/>
      </patternFill>
    </fill>
    <fill>
      <patternFill patternType="solid">
        <fgColor indexed="11"/>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14"/>
        <bgColor indexed="64"/>
      </patternFill>
    </fill>
    <fill>
      <patternFill patternType="mediumGray">
        <fgColor indexed="9"/>
        <bgColor indexed="47"/>
      </patternFill>
    </fill>
    <fill>
      <patternFill patternType="solid">
        <fgColor indexed="29"/>
        <bgColor indexed="64"/>
      </patternFill>
    </fill>
    <fill>
      <patternFill patternType="solid">
        <fgColor indexed="56"/>
        <bgColor indexed="64"/>
      </patternFill>
    </fill>
    <fill>
      <patternFill patternType="solid">
        <fgColor indexed="60"/>
        <bgColor indexed="64"/>
      </patternFill>
    </fill>
    <fill>
      <patternFill patternType="solid">
        <fgColor indexed="57"/>
        <bgColor indexed="64"/>
      </patternFill>
    </fill>
    <fill>
      <patternFill patternType="solid">
        <fgColor indexed="50"/>
        <bgColor indexed="64"/>
      </patternFill>
    </fill>
    <fill>
      <patternFill patternType="solid">
        <fgColor indexed="10"/>
        <bgColor indexed="64"/>
      </patternFill>
    </fill>
    <fill>
      <patternFill patternType="solid">
        <fgColor indexed="19"/>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CCFF99"/>
        <bgColor indexed="64"/>
      </patternFill>
    </fill>
    <fill>
      <patternFill patternType="solid">
        <fgColor rgb="FFFFFF99"/>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00"/>
        <bgColor indexed="64"/>
      </patternFill>
    </fill>
    <fill>
      <patternFill patternType="solid">
        <fgColor rgb="FF92D050"/>
        <bgColor indexed="64"/>
      </patternFill>
    </fill>
    <fill>
      <patternFill patternType="solid">
        <fgColor rgb="FFE2EFDA"/>
        <bgColor indexed="64"/>
      </patternFill>
    </fill>
    <fill>
      <patternFill patternType="solid">
        <fgColor theme="2" tint="-9.9978637043366805E-2"/>
        <bgColor indexed="64"/>
      </patternFill>
    </fill>
    <fill>
      <patternFill patternType="solid">
        <fgColor rgb="FFF2F2F2"/>
        <bgColor indexed="64"/>
      </patternFill>
    </fill>
    <fill>
      <patternFill patternType="solid">
        <fgColor rgb="FFD9D9D9"/>
        <bgColor indexed="64"/>
      </patternFill>
    </fill>
    <fill>
      <patternFill patternType="solid">
        <fgColor rgb="FFE7E6E6"/>
        <bgColor indexed="64"/>
      </patternFill>
    </fill>
    <fill>
      <patternFill patternType="solid">
        <fgColor rgb="FFDDEBF7"/>
        <bgColor indexed="64"/>
      </patternFill>
    </fill>
    <fill>
      <patternFill patternType="solid">
        <fgColor rgb="FFFFF2CC"/>
        <bgColor indexed="64"/>
      </patternFill>
    </fill>
    <fill>
      <patternFill patternType="solid">
        <fgColor theme="5"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1"/>
        <bgColor indexed="64"/>
      </patternFill>
    </fill>
  </fills>
  <borders count="41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bottom/>
      <diagonal/>
    </border>
    <border>
      <left style="thick">
        <color indexed="18"/>
      </left>
      <right/>
      <top style="thick">
        <color indexed="18"/>
      </top>
      <bottom/>
      <diagonal/>
    </border>
    <border>
      <left/>
      <right/>
      <top style="thick">
        <color indexed="18"/>
      </top>
      <bottom/>
      <diagonal/>
    </border>
    <border>
      <left style="thick">
        <color indexed="18"/>
      </left>
      <right/>
      <top/>
      <bottom/>
      <diagonal/>
    </border>
    <border>
      <left/>
      <right style="thick">
        <color indexed="18"/>
      </right>
      <top/>
      <bottom/>
      <diagonal/>
    </border>
    <border>
      <left style="thick">
        <color indexed="18"/>
      </left>
      <right/>
      <top/>
      <bottom style="thick">
        <color indexed="18"/>
      </bottom>
      <diagonal/>
    </border>
    <border>
      <left/>
      <right/>
      <top/>
      <bottom style="thick">
        <color indexed="18"/>
      </bottom>
      <diagonal/>
    </border>
    <border>
      <left/>
      <right style="thick">
        <color indexed="18"/>
      </right>
      <top/>
      <bottom style="thick">
        <color indexed="18"/>
      </bottom>
      <diagonal/>
    </border>
    <border>
      <left/>
      <right style="thick">
        <color indexed="18"/>
      </right>
      <top style="thick">
        <color indexed="18"/>
      </top>
      <bottom/>
      <diagonal/>
    </border>
    <border>
      <left style="thin">
        <color indexed="18"/>
      </left>
      <right style="thin">
        <color indexed="18"/>
      </right>
      <top style="thin">
        <color indexed="18"/>
      </top>
      <bottom style="thin">
        <color indexed="18"/>
      </bottom>
      <diagonal/>
    </border>
    <border>
      <left style="thin">
        <color indexed="18"/>
      </left>
      <right style="thick">
        <color indexed="18"/>
      </right>
      <top style="thin">
        <color indexed="18"/>
      </top>
      <bottom style="thin">
        <color indexed="18"/>
      </bottom>
      <diagonal/>
    </border>
    <border>
      <left/>
      <right style="thin">
        <color indexed="18"/>
      </right>
      <top/>
      <bottom/>
      <diagonal/>
    </border>
    <border>
      <left style="thick">
        <color indexed="18"/>
      </left>
      <right/>
      <top/>
      <bottom style="medium">
        <color indexed="18"/>
      </bottom>
      <diagonal/>
    </border>
    <border>
      <left/>
      <right/>
      <top/>
      <bottom style="medium">
        <color indexed="18"/>
      </bottom>
      <diagonal/>
    </border>
    <border>
      <left/>
      <right style="thick">
        <color indexed="18"/>
      </right>
      <top/>
      <bottom style="medium">
        <color indexed="18"/>
      </bottom>
      <diagonal/>
    </border>
    <border>
      <left/>
      <right/>
      <top style="thin">
        <color indexed="18"/>
      </top>
      <bottom style="thick">
        <color indexed="18"/>
      </bottom>
      <diagonal/>
    </border>
    <border>
      <left/>
      <right style="thick">
        <color indexed="18"/>
      </right>
      <top style="thin">
        <color indexed="18"/>
      </top>
      <bottom style="thick">
        <color indexed="18"/>
      </bottom>
      <diagonal/>
    </border>
    <border>
      <left style="thick">
        <color indexed="62"/>
      </left>
      <right/>
      <top/>
      <bottom/>
      <diagonal/>
    </border>
    <border>
      <left/>
      <right style="thick">
        <color indexed="62"/>
      </right>
      <top/>
      <bottom/>
      <diagonal/>
    </border>
    <border>
      <left style="thick">
        <color indexed="62"/>
      </left>
      <right/>
      <top/>
      <bottom style="thick">
        <color indexed="62"/>
      </bottom>
      <diagonal/>
    </border>
    <border>
      <left/>
      <right style="thick">
        <color indexed="62"/>
      </right>
      <top/>
      <bottom style="thick">
        <color indexed="62"/>
      </bottom>
      <diagonal/>
    </border>
    <border>
      <left style="thin">
        <color indexed="62"/>
      </left>
      <right style="thin">
        <color indexed="62"/>
      </right>
      <top style="thin">
        <color indexed="62"/>
      </top>
      <bottom style="thin">
        <color indexed="62"/>
      </bottom>
      <diagonal/>
    </border>
    <border>
      <left style="thin">
        <color indexed="62"/>
      </left>
      <right style="thick">
        <color indexed="62"/>
      </right>
      <top style="thin">
        <color indexed="62"/>
      </top>
      <bottom style="thin">
        <color indexed="62"/>
      </bottom>
      <diagonal/>
    </border>
    <border>
      <left style="medium">
        <color indexed="62"/>
      </left>
      <right style="medium">
        <color indexed="62"/>
      </right>
      <top/>
      <bottom/>
      <diagonal/>
    </border>
    <border>
      <left style="medium">
        <color indexed="62"/>
      </left>
      <right style="medium">
        <color indexed="62"/>
      </right>
      <top style="thin">
        <color indexed="62"/>
      </top>
      <bottom style="thin">
        <color indexed="62"/>
      </bottom>
      <diagonal/>
    </border>
    <border>
      <left style="medium">
        <color indexed="62"/>
      </left>
      <right style="medium">
        <color indexed="62"/>
      </right>
      <top style="medium">
        <color indexed="62"/>
      </top>
      <bottom style="thin">
        <color indexed="62"/>
      </bottom>
      <diagonal/>
    </border>
    <border>
      <left style="medium">
        <color indexed="62"/>
      </left>
      <right style="medium">
        <color indexed="62"/>
      </right>
      <top style="thin">
        <color indexed="62"/>
      </top>
      <bottom style="medium">
        <color indexed="62"/>
      </bottom>
      <diagonal/>
    </border>
    <border>
      <left style="thick">
        <color indexed="62"/>
      </left>
      <right/>
      <top style="thick">
        <color indexed="62"/>
      </top>
      <bottom/>
      <diagonal/>
    </border>
    <border>
      <left/>
      <right/>
      <top style="thick">
        <color indexed="62"/>
      </top>
      <bottom/>
      <diagonal/>
    </border>
    <border>
      <left/>
      <right style="thick">
        <color indexed="62"/>
      </right>
      <top style="thick">
        <color indexed="62"/>
      </top>
      <bottom/>
      <diagonal/>
    </border>
    <border>
      <left/>
      <right/>
      <top/>
      <bottom style="medium">
        <color indexed="62"/>
      </bottom>
      <diagonal/>
    </border>
    <border>
      <left/>
      <right style="thick">
        <color indexed="62"/>
      </right>
      <top/>
      <bottom style="medium">
        <color indexed="62"/>
      </bottom>
      <diagonal/>
    </border>
    <border>
      <left style="medium">
        <color indexed="62"/>
      </left>
      <right style="medium">
        <color indexed="62"/>
      </right>
      <top style="medium">
        <color indexed="62"/>
      </top>
      <bottom/>
      <diagonal/>
    </border>
    <border>
      <left style="medium">
        <color indexed="62"/>
      </left>
      <right style="medium">
        <color indexed="62"/>
      </right>
      <top/>
      <bottom style="medium">
        <color indexed="62"/>
      </bottom>
      <diagonal/>
    </border>
    <border>
      <left style="thin">
        <color indexed="64"/>
      </left>
      <right style="thin">
        <color indexed="62"/>
      </right>
      <top style="thin">
        <color indexed="62"/>
      </top>
      <bottom style="thin">
        <color indexed="62"/>
      </bottom>
      <diagonal/>
    </border>
    <border>
      <left/>
      <right/>
      <top style="medium">
        <color indexed="62"/>
      </top>
      <bottom style="medium">
        <color indexed="62"/>
      </bottom>
      <diagonal/>
    </border>
    <border>
      <left/>
      <right style="medium">
        <color indexed="62"/>
      </right>
      <top style="medium">
        <color indexed="62"/>
      </top>
      <bottom style="medium">
        <color indexed="62"/>
      </bottom>
      <diagonal/>
    </border>
    <border>
      <left style="thin">
        <color indexed="62"/>
      </left>
      <right style="thin">
        <color indexed="62"/>
      </right>
      <top style="medium">
        <color indexed="62"/>
      </top>
      <bottom style="thin">
        <color indexed="62"/>
      </bottom>
      <diagonal/>
    </border>
    <border>
      <left style="medium">
        <color indexed="62"/>
      </left>
      <right style="thin">
        <color indexed="62"/>
      </right>
      <top style="medium">
        <color indexed="62"/>
      </top>
      <bottom style="thin">
        <color indexed="62"/>
      </bottom>
      <diagonal/>
    </border>
    <border>
      <left style="thick">
        <color indexed="62"/>
      </left>
      <right style="thin">
        <color indexed="62"/>
      </right>
      <top style="medium">
        <color indexed="62"/>
      </top>
      <bottom style="thin">
        <color indexed="62"/>
      </bottom>
      <diagonal/>
    </border>
    <border>
      <left style="thick">
        <color indexed="62"/>
      </left>
      <right style="thin">
        <color indexed="62"/>
      </right>
      <top style="thin">
        <color indexed="62"/>
      </top>
      <bottom style="thin">
        <color indexed="62"/>
      </bottom>
      <diagonal/>
    </border>
    <border>
      <left style="thick">
        <color indexed="62"/>
      </left>
      <right style="thin">
        <color indexed="62"/>
      </right>
      <top style="thin">
        <color indexed="62"/>
      </top>
      <bottom style="medium">
        <color indexed="62"/>
      </bottom>
      <diagonal/>
    </border>
    <border>
      <left style="thin">
        <color indexed="62"/>
      </left>
      <right style="thick">
        <color indexed="62"/>
      </right>
      <top style="medium">
        <color indexed="62"/>
      </top>
      <bottom style="thin">
        <color indexed="62"/>
      </bottom>
      <diagonal/>
    </border>
    <border>
      <left/>
      <right style="medium">
        <color indexed="62"/>
      </right>
      <top style="medium">
        <color indexed="62"/>
      </top>
      <bottom style="thin">
        <color indexed="62"/>
      </bottom>
      <diagonal/>
    </border>
    <border>
      <left style="thick">
        <color indexed="62"/>
      </left>
      <right style="thin">
        <color indexed="62"/>
      </right>
      <top/>
      <bottom style="thin">
        <color indexed="62"/>
      </bottom>
      <diagonal/>
    </border>
    <border>
      <left style="thin">
        <color indexed="62"/>
      </left>
      <right style="thin">
        <color indexed="62"/>
      </right>
      <top style="thin">
        <color indexed="62"/>
      </top>
      <bottom style="medium">
        <color indexed="62"/>
      </bottom>
      <diagonal/>
    </border>
    <border>
      <left/>
      <right style="medium">
        <color indexed="62"/>
      </right>
      <top style="thin">
        <color indexed="62"/>
      </top>
      <bottom style="medium">
        <color indexed="62"/>
      </bottom>
      <diagonal/>
    </border>
    <border>
      <left style="thin">
        <color indexed="62"/>
      </left>
      <right style="medium">
        <color indexed="62"/>
      </right>
      <top style="thin">
        <color indexed="62"/>
      </top>
      <bottom style="medium">
        <color indexed="62"/>
      </bottom>
      <diagonal/>
    </border>
    <border>
      <left style="thick">
        <color indexed="62"/>
      </left>
      <right style="thin">
        <color indexed="62"/>
      </right>
      <top style="medium">
        <color indexed="62"/>
      </top>
      <bottom style="medium">
        <color indexed="62"/>
      </bottom>
      <diagonal/>
    </border>
    <border>
      <left style="thin">
        <color indexed="62"/>
      </left>
      <right style="thin">
        <color indexed="62"/>
      </right>
      <top style="medium">
        <color indexed="62"/>
      </top>
      <bottom style="medium">
        <color indexed="62"/>
      </bottom>
      <diagonal/>
    </border>
    <border>
      <left style="thin">
        <color indexed="62"/>
      </left>
      <right style="medium">
        <color indexed="62"/>
      </right>
      <top style="medium">
        <color indexed="62"/>
      </top>
      <bottom style="medium">
        <color indexed="62"/>
      </bottom>
      <diagonal/>
    </border>
    <border>
      <left style="medium">
        <color indexed="62"/>
      </left>
      <right style="medium">
        <color indexed="62"/>
      </right>
      <top style="medium">
        <color indexed="62"/>
      </top>
      <bottom style="medium">
        <color indexed="62"/>
      </bottom>
      <diagonal/>
    </border>
    <border>
      <left style="medium">
        <color indexed="62"/>
      </left>
      <right style="thick">
        <color indexed="62"/>
      </right>
      <top style="medium">
        <color indexed="62"/>
      </top>
      <bottom style="medium">
        <color indexed="62"/>
      </bottom>
      <diagonal/>
    </border>
    <border>
      <left style="medium">
        <color indexed="62"/>
      </left>
      <right style="thick">
        <color indexed="62"/>
      </right>
      <top style="medium">
        <color indexed="62"/>
      </top>
      <bottom/>
      <diagonal/>
    </border>
    <border>
      <left/>
      <right style="medium">
        <color indexed="62"/>
      </right>
      <top/>
      <bottom/>
      <diagonal/>
    </border>
    <border>
      <left style="medium">
        <color indexed="62"/>
      </left>
      <right style="thick">
        <color indexed="62"/>
      </right>
      <top/>
      <bottom/>
      <diagonal/>
    </border>
    <border>
      <left style="medium">
        <color indexed="62"/>
      </left>
      <right style="medium">
        <color indexed="62"/>
      </right>
      <top/>
      <bottom style="thick">
        <color indexed="62"/>
      </bottom>
      <diagonal/>
    </border>
    <border>
      <left/>
      <right style="medium">
        <color indexed="62"/>
      </right>
      <top/>
      <bottom style="thick">
        <color indexed="62"/>
      </bottom>
      <diagonal/>
    </border>
    <border>
      <left style="medium">
        <color indexed="62"/>
      </left>
      <right style="medium">
        <color indexed="62"/>
      </right>
      <top style="medium">
        <color indexed="62"/>
      </top>
      <bottom style="thick">
        <color indexed="62"/>
      </bottom>
      <diagonal/>
    </border>
    <border>
      <left style="medium">
        <color indexed="62"/>
      </left>
      <right style="thick">
        <color indexed="62"/>
      </right>
      <top/>
      <bottom style="thick">
        <color indexed="62"/>
      </bottom>
      <diagonal/>
    </border>
    <border>
      <left style="medium">
        <color indexed="62"/>
      </left>
      <right/>
      <top style="medium">
        <color indexed="62"/>
      </top>
      <bottom style="medium">
        <color indexed="62"/>
      </bottom>
      <diagonal/>
    </border>
    <border>
      <left style="medium">
        <color indexed="62"/>
      </left>
      <right/>
      <top style="medium">
        <color indexed="62"/>
      </top>
      <bottom/>
      <diagonal/>
    </border>
    <border>
      <left/>
      <right style="medium">
        <color indexed="62"/>
      </right>
      <top style="medium">
        <color indexed="62"/>
      </top>
      <bottom/>
      <diagonal/>
    </border>
    <border>
      <left style="medium">
        <color indexed="62"/>
      </left>
      <right/>
      <top/>
      <bottom style="medium">
        <color indexed="62"/>
      </bottom>
      <diagonal/>
    </border>
    <border>
      <left/>
      <right style="medium">
        <color indexed="62"/>
      </right>
      <top/>
      <bottom style="medium">
        <color indexed="62"/>
      </bottom>
      <diagonal/>
    </border>
    <border>
      <left style="medium">
        <color indexed="62"/>
      </left>
      <right style="thick">
        <color indexed="62"/>
      </right>
      <top/>
      <bottom style="medium">
        <color indexed="62"/>
      </bottom>
      <diagonal/>
    </border>
    <border>
      <left style="medium">
        <color indexed="62"/>
      </left>
      <right style="medium">
        <color indexed="62"/>
      </right>
      <top style="thick">
        <color indexed="62"/>
      </top>
      <bottom style="medium">
        <color indexed="62"/>
      </bottom>
      <diagonal/>
    </border>
    <border>
      <left style="medium">
        <color indexed="62"/>
      </left>
      <right style="thick">
        <color indexed="62"/>
      </right>
      <top style="thick">
        <color indexed="62"/>
      </top>
      <bottom/>
      <diagonal/>
    </border>
    <border>
      <left style="thick">
        <color indexed="62"/>
      </left>
      <right/>
      <top style="medium">
        <color indexed="62"/>
      </top>
      <bottom style="medium">
        <color indexed="62"/>
      </bottom>
      <diagonal/>
    </border>
    <border>
      <left style="thick">
        <color indexed="62"/>
      </left>
      <right/>
      <top style="medium">
        <color indexed="62"/>
      </top>
      <bottom/>
      <diagonal/>
    </border>
    <border>
      <left style="thick">
        <color indexed="62"/>
      </left>
      <right/>
      <top/>
      <bottom style="medium">
        <color indexed="62"/>
      </bottom>
      <diagonal/>
    </border>
    <border>
      <left/>
      <right/>
      <top style="medium">
        <color indexed="62"/>
      </top>
      <bottom/>
      <diagonal/>
    </border>
    <border>
      <left/>
      <right style="thick">
        <color indexed="62"/>
      </right>
      <top style="medium">
        <color indexed="62"/>
      </top>
      <bottom/>
      <diagonal/>
    </border>
    <border>
      <left style="medium">
        <color indexed="62"/>
      </left>
      <right/>
      <top style="thick">
        <color indexed="62"/>
      </top>
      <bottom/>
      <diagonal/>
    </border>
    <border>
      <left/>
      <right style="medium">
        <color indexed="62"/>
      </right>
      <top style="thick">
        <color indexed="62"/>
      </top>
      <bottom/>
      <diagonal/>
    </border>
    <border>
      <left style="thin">
        <color indexed="62"/>
      </left>
      <right style="thin">
        <color indexed="62"/>
      </right>
      <top/>
      <bottom style="thin">
        <color indexed="62"/>
      </bottom>
      <diagonal/>
    </border>
    <border>
      <left style="thin">
        <color indexed="62"/>
      </left>
      <right style="medium">
        <color indexed="62"/>
      </right>
      <top/>
      <bottom style="thin">
        <color indexed="62"/>
      </bottom>
      <diagonal/>
    </border>
    <border>
      <left style="thin">
        <color indexed="62"/>
      </left>
      <right style="medium">
        <color indexed="62"/>
      </right>
      <top style="thin">
        <color indexed="62"/>
      </top>
      <bottom style="thin">
        <color indexed="62"/>
      </bottom>
      <diagonal/>
    </border>
    <border>
      <left style="medium">
        <color indexed="62"/>
      </left>
      <right style="thin">
        <color indexed="62"/>
      </right>
      <top style="thin">
        <color indexed="64"/>
      </top>
      <bottom style="thin">
        <color indexed="62"/>
      </bottom>
      <diagonal/>
    </border>
    <border>
      <left style="thin">
        <color indexed="62"/>
      </left>
      <right style="thin">
        <color indexed="62"/>
      </right>
      <top style="thin">
        <color indexed="64"/>
      </top>
      <bottom style="thin">
        <color indexed="62"/>
      </bottom>
      <diagonal/>
    </border>
    <border>
      <left style="thin">
        <color indexed="62"/>
      </left>
      <right style="thick">
        <color indexed="62"/>
      </right>
      <top style="thin">
        <color indexed="64"/>
      </top>
      <bottom style="thin">
        <color indexed="62"/>
      </bottom>
      <diagonal/>
    </border>
    <border>
      <left style="medium">
        <color indexed="62"/>
      </left>
      <right style="thin">
        <color indexed="62"/>
      </right>
      <top style="thin">
        <color indexed="62"/>
      </top>
      <bottom style="thin">
        <color indexed="62"/>
      </bottom>
      <diagonal/>
    </border>
    <border>
      <left style="medium">
        <color indexed="64"/>
      </left>
      <right style="medium">
        <color indexed="64"/>
      </right>
      <top style="medium">
        <color indexed="64"/>
      </top>
      <bottom style="medium">
        <color indexed="64"/>
      </bottom>
      <diagonal/>
    </border>
    <border>
      <left style="medium">
        <color indexed="62"/>
      </left>
      <right style="thin">
        <color indexed="62"/>
      </right>
      <top style="thin">
        <color indexed="62"/>
      </top>
      <bottom style="medium">
        <color indexed="62"/>
      </bottom>
      <diagonal/>
    </border>
    <border>
      <left style="thin">
        <color indexed="62"/>
      </left>
      <right style="thick">
        <color indexed="62"/>
      </right>
      <top style="thin">
        <color indexed="62"/>
      </top>
      <bottom style="medium">
        <color indexed="62"/>
      </bottom>
      <diagonal/>
    </border>
    <border>
      <left style="thick">
        <color indexed="62"/>
      </left>
      <right/>
      <top/>
      <bottom style="thin">
        <color indexed="62"/>
      </bottom>
      <diagonal/>
    </border>
    <border>
      <left style="thick">
        <color indexed="62"/>
      </left>
      <right/>
      <top style="thin">
        <color indexed="62"/>
      </top>
      <bottom style="thin">
        <color indexed="62"/>
      </bottom>
      <diagonal/>
    </border>
    <border>
      <left style="thick">
        <color indexed="62"/>
      </left>
      <right/>
      <top style="thin">
        <color indexed="62"/>
      </top>
      <bottom style="medium">
        <color indexed="62"/>
      </bottom>
      <diagonal/>
    </border>
    <border>
      <left style="thin">
        <color indexed="62"/>
      </left>
      <right style="medium">
        <color indexed="62"/>
      </right>
      <top style="medium">
        <color indexed="62"/>
      </top>
      <bottom style="thin">
        <color indexed="62"/>
      </bottom>
      <diagonal/>
    </border>
    <border>
      <left style="medium">
        <color indexed="62"/>
      </left>
      <right/>
      <top style="thin">
        <color indexed="62"/>
      </top>
      <bottom style="thin">
        <color indexed="62"/>
      </bottom>
      <diagonal/>
    </border>
    <border>
      <left/>
      <right/>
      <top style="thin">
        <color indexed="62"/>
      </top>
      <bottom style="thin">
        <color indexed="62"/>
      </bottom>
      <diagonal/>
    </border>
    <border>
      <left/>
      <right style="thick">
        <color indexed="62"/>
      </right>
      <top style="thin">
        <color indexed="62"/>
      </top>
      <bottom style="thin">
        <color indexed="62"/>
      </bottom>
      <diagonal/>
    </border>
    <border>
      <left style="thin">
        <color indexed="62"/>
      </left>
      <right style="medium">
        <color indexed="62"/>
      </right>
      <top style="thin">
        <color indexed="62"/>
      </top>
      <bottom style="medium">
        <color indexed="64"/>
      </bottom>
      <diagonal/>
    </border>
    <border>
      <left style="medium">
        <color indexed="62"/>
      </left>
      <right/>
      <top/>
      <bottom/>
      <diagonal/>
    </border>
    <border>
      <left/>
      <right style="medium">
        <color indexed="62"/>
      </right>
      <top/>
      <bottom style="thin">
        <color indexed="62"/>
      </bottom>
      <diagonal/>
    </border>
    <border>
      <left style="medium">
        <color indexed="62"/>
      </left>
      <right/>
      <top style="thin">
        <color indexed="64"/>
      </top>
      <bottom style="thin">
        <color indexed="62"/>
      </bottom>
      <diagonal/>
    </border>
    <border>
      <left/>
      <right style="thin">
        <color indexed="62"/>
      </right>
      <top style="thin">
        <color indexed="64"/>
      </top>
      <bottom style="thin">
        <color indexed="62"/>
      </bottom>
      <diagonal/>
    </border>
    <border>
      <left/>
      <right/>
      <top/>
      <bottom style="thin">
        <color indexed="62"/>
      </bottom>
      <diagonal/>
    </border>
    <border>
      <left style="thin">
        <color indexed="64"/>
      </left>
      <right/>
      <top style="thin">
        <color indexed="62"/>
      </top>
      <bottom style="thin">
        <color indexed="62"/>
      </bottom>
      <diagonal/>
    </border>
    <border>
      <left/>
      <right style="thin">
        <color indexed="62"/>
      </right>
      <top style="thin">
        <color indexed="62"/>
      </top>
      <bottom style="thin">
        <color indexed="62"/>
      </bottom>
      <diagonal/>
    </border>
    <border>
      <left style="thin">
        <color indexed="62"/>
      </left>
      <right style="thick">
        <color indexed="62"/>
      </right>
      <top/>
      <bottom style="thin">
        <color indexed="62"/>
      </bottom>
      <diagonal/>
    </border>
    <border>
      <left style="thin">
        <color indexed="62"/>
      </left>
      <right/>
      <top style="thin">
        <color indexed="62"/>
      </top>
      <bottom style="thin">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18"/>
      </right>
      <top style="thin">
        <color indexed="62"/>
      </top>
      <bottom style="thin">
        <color indexed="62"/>
      </bottom>
      <diagonal/>
    </border>
    <border>
      <left style="thin">
        <color indexed="62"/>
      </left>
      <right style="thin">
        <color indexed="18"/>
      </right>
      <top style="thin">
        <color indexed="18"/>
      </top>
      <bottom style="thin">
        <color indexed="18"/>
      </bottom>
      <diagonal/>
    </border>
    <border>
      <left style="thick">
        <color indexed="62"/>
      </left>
      <right style="medium">
        <color indexed="62"/>
      </right>
      <top style="medium">
        <color indexed="62"/>
      </top>
      <bottom style="medium">
        <color indexed="62"/>
      </bottom>
      <diagonal/>
    </border>
    <border>
      <left style="thin">
        <color indexed="18"/>
      </left>
      <right style="thin">
        <color indexed="64"/>
      </right>
      <top style="thin">
        <color indexed="18"/>
      </top>
      <bottom style="thin">
        <color indexed="18"/>
      </bottom>
      <diagonal/>
    </border>
    <border>
      <left style="thin">
        <color indexed="64"/>
      </left>
      <right style="thick">
        <color indexed="18"/>
      </right>
      <top style="thin">
        <color indexed="64"/>
      </top>
      <bottom style="thin">
        <color indexed="64"/>
      </bottom>
      <diagonal/>
    </border>
    <border>
      <left/>
      <right/>
      <top style="thin">
        <color indexed="18"/>
      </top>
      <bottom style="thin">
        <color indexed="18"/>
      </bottom>
      <diagonal/>
    </border>
    <border>
      <left style="medium">
        <color indexed="18"/>
      </left>
      <right style="thin">
        <color indexed="18"/>
      </right>
      <top style="medium">
        <color indexed="18"/>
      </top>
      <bottom style="thin">
        <color indexed="18"/>
      </bottom>
      <diagonal/>
    </border>
    <border>
      <left style="medium">
        <color indexed="18"/>
      </left>
      <right style="thin">
        <color indexed="18"/>
      </right>
      <top style="thin">
        <color indexed="18"/>
      </top>
      <bottom style="thin">
        <color indexed="18"/>
      </bottom>
      <diagonal/>
    </border>
    <border>
      <left style="medium">
        <color indexed="18"/>
      </left>
      <right style="thin">
        <color indexed="18"/>
      </right>
      <top style="thin">
        <color indexed="18"/>
      </top>
      <bottom style="medium">
        <color indexed="18"/>
      </bottom>
      <diagonal/>
    </border>
    <border>
      <left style="thin">
        <color indexed="18"/>
      </left>
      <right style="thin">
        <color indexed="18"/>
      </right>
      <top style="thin">
        <color indexed="18"/>
      </top>
      <bottom style="medium">
        <color indexed="18"/>
      </bottom>
      <diagonal/>
    </border>
    <border>
      <left style="thin">
        <color indexed="18"/>
      </left>
      <right style="thick">
        <color indexed="18"/>
      </right>
      <top style="thin">
        <color indexed="18"/>
      </top>
      <bottom style="medium">
        <color indexed="18"/>
      </bottom>
      <diagonal/>
    </border>
    <border>
      <left style="thin">
        <color indexed="64"/>
      </left>
      <right/>
      <top style="thin">
        <color indexed="62"/>
      </top>
      <bottom style="thick">
        <color indexed="62"/>
      </bottom>
      <diagonal/>
    </border>
    <border>
      <left/>
      <right/>
      <top style="thin">
        <color indexed="62"/>
      </top>
      <bottom style="thick">
        <color indexed="62"/>
      </bottom>
      <diagonal/>
    </border>
    <border>
      <left/>
      <right style="thin">
        <color indexed="62"/>
      </right>
      <top style="thin">
        <color indexed="62"/>
      </top>
      <bottom style="thick">
        <color indexed="62"/>
      </bottom>
      <diagonal/>
    </border>
    <border>
      <left style="thin">
        <color indexed="62"/>
      </left>
      <right style="thin">
        <color indexed="62"/>
      </right>
      <top style="thin">
        <color indexed="62"/>
      </top>
      <bottom style="thick">
        <color indexed="62"/>
      </bottom>
      <diagonal/>
    </border>
    <border>
      <left style="thin">
        <color indexed="18"/>
      </left>
      <right/>
      <top style="thin">
        <color indexed="18"/>
      </top>
      <bottom style="thin">
        <color indexed="18"/>
      </bottom>
      <diagonal/>
    </border>
    <border>
      <left/>
      <right style="thick">
        <color indexed="18"/>
      </right>
      <top style="thin">
        <color indexed="18"/>
      </top>
      <bottom style="thin">
        <color indexed="18"/>
      </bottom>
      <diagonal/>
    </border>
    <border>
      <left style="thin">
        <color indexed="62"/>
      </left>
      <right style="thin">
        <color indexed="62"/>
      </right>
      <top/>
      <bottom/>
      <diagonal/>
    </border>
    <border>
      <left style="thin">
        <color indexed="17"/>
      </left>
      <right style="thin">
        <color indexed="17"/>
      </right>
      <top style="thin">
        <color indexed="17"/>
      </top>
      <bottom style="thin">
        <color indexed="17"/>
      </bottom>
      <diagonal/>
    </border>
    <border>
      <left/>
      <right/>
      <top style="double">
        <color indexed="12"/>
      </top>
      <bottom style="thin">
        <color indexed="12"/>
      </bottom>
      <diagonal/>
    </border>
    <border>
      <left style="thin">
        <color indexed="44"/>
      </left>
      <right style="thin">
        <color indexed="44"/>
      </right>
      <top style="thin">
        <color indexed="12"/>
      </top>
      <bottom style="thin">
        <color indexed="44"/>
      </bottom>
      <diagonal/>
    </border>
    <border>
      <left style="thin">
        <color indexed="44"/>
      </left>
      <right/>
      <top style="thin">
        <color indexed="12"/>
      </top>
      <bottom style="thin">
        <color indexed="44"/>
      </bottom>
      <diagonal/>
    </border>
    <border>
      <left style="thin">
        <color indexed="44"/>
      </left>
      <right style="thin">
        <color indexed="44"/>
      </right>
      <top style="thin">
        <color indexed="44"/>
      </top>
      <bottom style="thin">
        <color indexed="44"/>
      </bottom>
      <diagonal/>
    </border>
    <border>
      <left style="thin">
        <color indexed="44"/>
      </left>
      <right style="medium">
        <color indexed="12"/>
      </right>
      <top style="thin">
        <color indexed="44"/>
      </top>
      <bottom style="thin">
        <color indexed="44"/>
      </bottom>
      <diagonal/>
    </border>
    <border>
      <left/>
      <right/>
      <top style="thin">
        <color indexed="44"/>
      </top>
      <bottom style="thin">
        <color indexed="44"/>
      </bottom>
      <diagonal/>
    </border>
    <border>
      <left/>
      <right style="medium">
        <color indexed="12"/>
      </right>
      <top style="thin">
        <color indexed="44"/>
      </top>
      <bottom style="thin">
        <color indexed="44"/>
      </bottom>
      <diagonal/>
    </border>
    <border>
      <left style="thin">
        <color indexed="44"/>
      </left>
      <right style="thin">
        <color indexed="44"/>
      </right>
      <top style="thin">
        <color indexed="44"/>
      </top>
      <bottom style="thin">
        <color indexed="12"/>
      </bottom>
      <diagonal/>
    </border>
    <border>
      <left style="thin">
        <color indexed="44"/>
      </left>
      <right style="medium">
        <color indexed="12"/>
      </right>
      <top style="thin">
        <color indexed="44"/>
      </top>
      <bottom style="thin">
        <color indexed="12"/>
      </bottom>
      <diagonal/>
    </border>
    <border>
      <left style="thin">
        <color indexed="12"/>
      </left>
      <right style="thin">
        <color indexed="12"/>
      </right>
      <top style="thin">
        <color indexed="12"/>
      </top>
      <bottom style="thin">
        <color indexed="17"/>
      </bottom>
      <diagonal/>
    </border>
    <border>
      <left style="thin">
        <color indexed="17"/>
      </left>
      <right/>
      <top style="thin">
        <color indexed="17"/>
      </top>
      <bottom style="thin">
        <color indexed="17"/>
      </bottom>
      <diagonal/>
    </border>
    <border>
      <left/>
      <right/>
      <top style="thin">
        <color indexed="12"/>
      </top>
      <bottom style="thin">
        <color indexed="48"/>
      </bottom>
      <diagonal/>
    </border>
    <border>
      <left/>
      <right style="thin">
        <color indexed="12"/>
      </right>
      <top style="thin">
        <color indexed="12"/>
      </top>
      <bottom style="thin">
        <color indexed="48"/>
      </bottom>
      <diagonal/>
    </border>
    <border>
      <left/>
      <right style="thin">
        <color indexed="48"/>
      </right>
      <top style="thin">
        <color indexed="48"/>
      </top>
      <bottom style="thin">
        <color indexed="48"/>
      </bottom>
      <diagonal/>
    </border>
    <border>
      <left style="thin">
        <color indexed="48"/>
      </left>
      <right style="thin">
        <color indexed="48"/>
      </right>
      <top style="thin">
        <color indexed="48"/>
      </top>
      <bottom style="thin">
        <color indexed="48"/>
      </bottom>
      <diagonal/>
    </border>
    <border>
      <left style="thin">
        <color indexed="48"/>
      </left>
      <right style="thin">
        <color indexed="12"/>
      </right>
      <top style="thin">
        <color indexed="48"/>
      </top>
      <bottom style="thin">
        <color indexed="48"/>
      </bottom>
      <diagonal/>
    </border>
    <border>
      <left/>
      <right/>
      <top style="thin">
        <color indexed="48"/>
      </top>
      <bottom style="thin">
        <color indexed="48"/>
      </bottom>
      <diagonal/>
    </border>
    <border>
      <left/>
      <right style="thin">
        <color indexed="12"/>
      </right>
      <top style="thin">
        <color indexed="48"/>
      </top>
      <bottom style="thin">
        <color indexed="48"/>
      </bottom>
      <diagonal/>
    </border>
    <border>
      <left/>
      <right style="thin">
        <color indexed="48"/>
      </right>
      <top style="thin">
        <color indexed="48"/>
      </top>
      <bottom style="thin">
        <color indexed="12"/>
      </bottom>
      <diagonal/>
    </border>
    <border>
      <left style="thin">
        <color indexed="48"/>
      </left>
      <right style="thin">
        <color indexed="48"/>
      </right>
      <top style="thin">
        <color indexed="48"/>
      </top>
      <bottom style="thin">
        <color indexed="12"/>
      </bottom>
      <diagonal/>
    </border>
    <border>
      <left style="thin">
        <color indexed="48"/>
      </left>
      <right style="thin">
        <color indexed="12"/>
      </right>
      <top style="thin">
        <color indexed="48"/>
      </top>
      <bottom style="thin">
        <color indexed="12"/>
      </bottom>
      <diagonal/>
    </border>
    <border>
      <left style="thick">
        <color indexed="18"/>
      </left>
      <right style="medium">
        <color indexed="62"/>
      </right>
      <top style="medium">
        <color indexed="18"/>
      </top>
      <bottom/>
      <diagonal/>
    </border>
    <border>
      <left style="medium">
        <color indexed="62"/>
      </left>
      <right style="medium">
        <color indexed="62"/>
      </right>
      <top/>
      <bottom style="medium">
        <color indexed="18"/>
      </bottom>
      <diagonal/>
    </border>
    <border>
      <left style="medium">
        <color indexed="18"/>
      </left>
      <right style="medium">
        <color indexed="18"/>
      </right>
      <top/>
      <bottom style="medium">
        <color indexed="18"/>
      </bottom>
      <diagonal/>
    </border>
    <border>
      <left style="thick">
        <color indexed="18"/>
      </left>
      <right style="thin">
        <color indexed="18"/>
      </right>
      <top style="medium">
        <color indexed="18"/>
      </top>
      <bottom/>
      <diagonal/>
    </border>
    <border>
      <left style="medium">
        <color indexed="18"/>
      </left>
      <right style="medium">
        <color indexed="18"/>
      </right>
      <top style="medium">
        <color indexed="18"/>
      </top>
      <bottom style="medium">
        <color indexed="18"/>
      </bottom>
      <diagonal/>
    </border>
    <border>
      <left style="thin">
        <color indexed="18"/>
      </left>
      <right style="thick">
        <color indexed="18"/>
      </right>
      <top style="medium">
        <color indexed="18"/>
      </top>
      <bottom/>
      <diagonal/>
    </border>
    <border>
      <left style="thick">
        <color indexed="18"/>
      </left>
      <right/>
      <top style="medium">
        <color indexed="18"/>
      </top>
      <bottom style="medium">
        <color indexed="18"/>
      </bottom>
      <diagonal/>
    </border>
    <border>
      <left style="thin">
        <color indexed="18"/>
      </left>
      <right style="thick">
        <color indexed="18"/>
      </right>
      <top style="medium">
        <color indexed="18"/>
      </top>
      <bottom style="medium">
        <color indexed="18"/>
      </bottom>
      <diagonal/>
    </border>
    <border>
      <left style="thick">
        <color indexed="18"/>
      </left>
      <right/>
      <top style="medium">
        <color indexed="18"/>
      </top>
      <bottom/>
      <diagonal/>
    </border>
    <border>
      <left style="thin">
        <color indexed="18"/>
      </left>
      <right style="thin">
        <color indexed="18"/>
      </right>
      <top style="medium">
        <color indexed="18"/>
      </top>
      <bottom/>
      <diagonal/>
    </border>
    <border>
      <left style="thin">
        <color indexed="54"/>
      </left>
      <right style="thick">
        <color indexed="18"/>
      </right>
      <top style="medium">
        <color indexed="18"/>
      </top>
      <bottom/>
      <diagonal/>
    </border>
    <border>
      <left style="thin">
        <color indexed="18"/>
      </left>
      <right style="thin">
        <color indexed="18"/>
      </right>
      <top/>
      <bottom style="medium">
        <color indexed="18"/>
      </bottom>
      <diagonal/>
    </border>
    <border>
      <left style="thin">
        <color indexed="54"/>
      </left>
      <right style="thick">
        <color indexed="18"/>
      </right>
      <top/>
      <bottom style="medium">
        <color indexed="18"/>
      </bottom>
      <diagonal/>
    </border>
    <border>
      <left style="thick">
        <color indexed="18"/>
      </left>
      <right style="thin">
        <color indexed="18"/>
      </right>
      <top/>
      <bottom/>
      <diagonal/>
    </border>
    <border>
      <left style="thin">
        <color indexed="18"/>
      </left>
      <right style="thin">
        <color indexed="18"/>
      </right>
      <top/>
      <bottom/>
      <diagonal/>
    </border>
    <border>
      <left style="thin">
        <color indexed="18"/>
      </left>
      <right/>
      <top/>
      <bottom/>
      <diagonal/>
    </border>
    <border>
      <left style="thin">
        <color indexed="18"/>
      </left>
      <right style="thick">
        <color indexed="18"/>
      </right>
      <top/>
      <bottom/>
      <diagonal/>
    </border>
    <border>
      <left style="thin">
        <color indexed="18"/>
      </left>
      <right/>
      <top/>
      <bottom style="thin">
        <color indexed="22"/>
      </bottom>
      <diagonal/>
    </border>
    <border>
      <left style="thin">
        <color indexed="64"/>
      </left>
      <right style="thin">
        <color indexed="64"/>
      </right>
      <top style="thin">
        <color indexed="22"/>
      </top>
      <bottom style="thin">
        <color indexed="22"/>
      </bottom>
      <diagonal/>
    </border>
    <border>
      <left style="thick">
        <color indexed="18"/>
      </left>
      <right style="thin">
        <color indexed="18"/>
      </right>
      <top/>
      <bottom style="medium">
        <color indexed="18"/>
      </bottom>
      <diagonal/>
    </border>
    <border>
      <left style="thin">
        <color indexed="18"/>
      </left>
      <right style="thick">
        <color indexed="18"/>
      </right>
      <top/>
      <bottom style="medium">
        <color indexed="18"/>
      </bottom>
      <diagonal/>
    </border>
    <border>
      <left/>
      <right/>
      <top style="medium">
        <color indexed="18"/>
      </top>
      <bottom/>
      <diagonal/>
    </border>
    <border>
      <left style="thin">
        <color indexed="62"/>
      </left>
      <right style="thin">
        <color indexed="62"/>
      </right>
      <top/>
      <bottom style="thick">
        <color indexed="62"/>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diagonal/>
    </border>
    <border>
      <left style="thick">
        <color indexed="62"/>
      </left>
      <right/>
      <top style="double">
        <color indexed="12"/>
      </top>
      <bottom style="thin">
        <color indexed="12"/>
      </bottom>
      <diagonal/>
    </border>
    <border>
      <left style="thick">
        <color indexed="62"/>
      </left>
      <right/>
      <top style="thin">
        <color indexed="12"/>
      </top>
      <bottom style="thin">
        <color indexed="44"/>
      </bottom>
      <diagonal/>
    </border>
    <border>
      <left style="thick">
        <color indexed="62"/>
      </left>
      <right style="thin">
        <color indexed="44"/>
      </right>
      <top style="thin">
        <color indexed="44"/>
      </top>
      <bottom style="thin">
        <color indexed="44"/>
      </bottom>
      <diagonal/>
    </border>
    <border>
      <left style="thin">
        <color indexed="48"/>
      </left>
      <right style="thick">
        <color indexed="62"/>
      </right>
      <top style="thin">
        <color indexed="48"/>
      </top>
      <bottom style="thin">
        <color indexed="48"/>
      </bottom>
      <diagonal/>
    </border>
    <border>
      <left style="thick">
        <color indexed="62"/>
      </left>
      <right/>
      <top style="thin">
        <color indexed="44"/>
      </top>
      <bottom style="thin">
        <color indexed="44"/>
      </bottom>
      <diagonal/>
    </border>
    <border>
      <left/>
      <right style="thick">
        <color indexed="62"/>
      </right>
      <top style="thin">
        <color indexed="48"/>
      </top>
      <bottom style="thin">
        <color indexed="48"/>
      </bottom>
      <diagonal/>
    </border>
    <border>
      <left style="thick">
        <color indexed="62"/>
      </left>
      <right style="thin">
        <color indexed="44"/>
      </right>
      <top style="thin">
        <color indexed="44"/>
      </top>
      <bottom style="thin">
        <color indexed="12"/>
      </bottom>
      <diagonal/>
    </border>
    <border>
      <left style="thin">
        <color indexed="48"/>
      </left>
      <right style="thick">
        <color indexed="62"/>
      </right>
      <top style="thin">
        <color indexed="48"/>
      </top>
      <bottom style="thin">
        <color indexed="12"/>
      </bottom>
      <diagonal/>
    </border>
    <border>
      <left style="thick">
        <color indexed="62"/>
      </left>
      <right style="thin">
        <color indexed="44"/>
      </right>
      <top style="thin">
        <color indexed="44"/>
      </top>
      <bottom style="thick">
        <color indexed="62"/>
      </bottom>
      <diagonal/>
    </border>
    <border>
      <left style="thin">
        <color indexed="44"/>
      </left>
      <right style="thin">
        <color indexed="44"/>
      </right>
      <top style="thin">
        <color indexed="44"/>
      </top>
      <bottom style="thick">
        <color indexed="62"/>
      </bottom>
      <diagonal/>
    </border>
    <border>
      <left style="thin">
        <color indexed="44"/>
      </left>
      <right style="medium">
        <color indexed="12"/>
      </right>
      <top style="thin">
        <color indexed="44"/>
      </top>
      <bottom style="thick">
        <color indexed="62"/>
      </bottom>
      <diagonal/>
    </border>
    <border>
      <left/>
      <right style="thin">
        <color indexed="48"/>
      </right>
      <top style="thin">
        <color indexed="48"/>
      </top>
      <bottom style="thick">
        <color indexed="62"/>
      </bottom>
      <diagonal/>
    </border>
    <border>
      <left style="thin">
        <color indexed="48"/>
      </left>
      <right style="thin">
        <color indexed="48"/>
      </right>
      <top style="thin">
        <color indexed="48"/>
      </top>
      <bottom style="thick">
        <color indexed="62"/>
      </bottom>
      <diagonal/>
    </border>
    <border>
      <left style="thin">
        <color indexed="48"/>
      </left>
      <right style="thick">
        <color indexed="62"/>
      </right>
      <top style="thin">
        <color indexed="48"/>
      </top>
      <bottom style="thick">
        <color indexed="62"/>
      </bottom>
      <diagonal/>
    </border>
    <border>
      <left style="thin">
        <color indexed="17"/>
      </left>
      <right style="thin">
        <color indexed="17"/>
      </right>
      <top/>
      <bottom style="thin">
        <color indexed="17"/>
      </bottom>
      <diagonal/>
    </border>
    <border>
      <left style="thin">
        <color indexed="12"/>
      </left>
      <right style="thin">
        <color indexed="12"/>
      </right>
      <top style="thick">
        <color indexed="62"/>
      </top>
      <bottom style="thin">
        <color indexed="17"/>
      </bottom>
      <diagonal/>
    </border>
    <border>
      <left/>
      <right style="thin">
        <color indexed="48"/>
      </right>
      <top/>
      <bottom style="thin">
        <color indexed="48"/>
      </bottom>
      <diagonal/>
    </border>
    <border>
      <left style="thin">
        <color indexed="48"/>
      </left>
      <right style="thin">
        <color indexed="48"/>
      </right>
      <top/>
      <bottom style="thin">
        <color indexed="48"/>
      </bottom>
      <diagonal/>
    </border>
    <border>
      <left/>
      <right/>
      <top style="thin">
        <color indexed="12"/>
      </top>
      <bottom/>
      <diagonal/>
    </border>
    <border>
      <left/>
      <right style="thin">
        <color indexed="48"/>
      </right>
      <top style="double">
        <color indexed="12"/>
      </top>
      <bottom style="thin">
        <color indexed="12"/>
      </bottom>
      <diagonal/>
    </border>
    <border>
      <left style="thin">
        <color indexed="48"/>
      </left>
      <right style="thin">
        <color indexed="48"/>
      </right>
      <top style="double">
        <color indexed="12"/>
      </top>
      <bottom style="thin">
        <color indexed="12"/>
      </bottom>
      <diagonal/>
    </border>
    <border>
      <left style="thin">
        <color indexed="48"/>
      </left>
      <right/>
      <top style="double">
        <color indexed="12"/>
      </top>
      <bottom style="thin">
        <color indexed="12"/>
      </bottom>
      <diagonal/>
    </border>
    <border>
      <left/>
      <right style="thin">
        <color indexed="18"/>
      </right>
      <top style="medium">
        <color indexed="18"/>
      </top>
      <bottom style="thin">
        <color indexed="18"/>
      </bottom>
      <diagonal/>
    </border>
    <border>
      <left/>
      <right style="thin">
        <color indexed="18"/>
      </right>
      <top style="thin">
        <color indexed="18"/>
      </top>
      <bottom style="thin">
        <color indexed="1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2"/>
      </right>
      <top style="thin">
        <color indexed="62"/>
      </top>
      <bottom/>
      <diagonal/>
    </border>
    <border>
      <left style="thin">
        <color indexed="62"/>
      </left>
      <right style="thin">
        <color indexed="62"/>
      </right>
      <top style="thin">
        <color indexed="62"/>
      </top>
      <bottom/>
      <diagonal/>
    </border>
    <border>
      <left/>
      <right style="thin">
        <color indexed="62"/>
      </right>
      <top style="thin">
        <color indexed="18"/>
      </top>
      <bottom style="thin">
        <color indexed="18"/>
      </bottom>
      <diagonal/>
    </border>
    <border>
      <left style="thin">
        <color indexed="64"/>
      </left>
      <right style="thick">
        <color indexed="62"/>
      </right>
      <top style="thin">
        <color indexed="64"/>
      </top>
      <bottom style="thin">
        <color indexed="64"/>
      </bottom>
      <diagonal/>
    </border>
    <border>
      <left/>
      <right style="thick">
        <color indexed="62"/>
      </right>
      <top style="thin">
        <color indexed="62"/>
      </top>
      <bottom/>
      <diagonal/>
    </border>
    <border>
      <left/>
      <right/>
      <top style="thick">
        <color indexed="62"/>
      </top>
      <bottom style="medium">
        <color indexed="62"/>
      </bottom>
      <diagonal/>
    </border>
    <border>
      <left/>
      <right style="thick">
        <color indexed="62"/>
      </right>
      <top style="thick">
        <color indexed="62"/>
      </top>
      <bottom style="medium">
        <color indexed="62"/>
      </bottom>
      <diagonal/>
    </border>
    <border>
      <left style="medium">
        <color indexed="64"/>
      </left>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right style="thin">
        <color indexed="30"/>
      </right>
      <top style="thin">
        <color indexed="30"/>
      </top>
      <bottom style="thin">
        <color indexed="30"/>
      </bottom>
      <diagonal/>
    </border>
    <border>
      <left style="thin">
        <color indexed="30"/>
      </left>
      <right style="thin">
        <color indexed="30"/>
      </right>
      <top style="thin">
        <color indexed="30"/>
      </top>
      <bottom style="thin">
        <color indexed="30"/>
      </bottom>
      <diagonal/>
    </border>
    <border>
      <left style="thin">
        <color indexed="18"/>
      </left>
      <right style="thin">
        <color indexed="18"/>
      </right>
      <top style="medium">
        <color indexed="18"/>
      </top>
      <bottom style="thin">
        <color indexed="18"/>
      </bottom>
      <diagonal/>
    </border>
    <border>
      <left style="thin">
        <color indexed="18"/>
      </left>
      <right style="thick">
        <color indexed="18"/>
      </right>
      <top style="medium">
        <color indexed="18"/>
      </top>
      <bottom style="thin">
        <color indexed="18"/>
      </bottom>
      <diagonal/>
    </border>
    <border>
      <left style="thick">
        <color indexed="18"/>
      </left>
      <right style="thin">
        <color indexed="18"/>
      </right>
      <top/>
      <bottom style="thin">
        <color indexed="55"/>
      </bottom>
      <diagonal/>
    </border>
    <border>
      <left style="thin">
        <color indexed="18"/>
      </left>
      <right style="thin">
        <color indexed="18"/>
      </right>
      <top/>
      <bottom style="thick">
        <color indexed="18"/>
      </bottom>
      <diagonal/>
    </border>
    <border>
      <left style="thin">
        <color indexed="18"/>
      </left>
      <right style="thick">
        <color indexed="18"/>
      </right>
      <top/>
      <bottom style="thick">
        <color indexed="18"/>
      </bottom>
      <diagonal/>
    </border>
    <border>
      <left style="medium">
        <color indexed="64"/>
      </left>
      <right style="thin">
        <color indexed="64"/>
      </right>
      <top style="medium">
        <color indexed="64"/>
      </top>
      <bottom style="medium">
        <color indexed="64"/>
      </bottom>
      <diagonal/>
    </border>
    <border>
      <left/>
      <right/>
      <top style="thin">
        <color indexed="64"/>
      </top>
      <bottom style="double">
        <color indexed="64"/>
      </bottom>
      <diagonal/>
    </border>
    <border>
      <left style="thin">
        <color indexed="62"/>
      </left>
      <right/>
      <top style="medium">
        <color indexed="62"/>
      </top>
      <bottom style="thin">
        <color indexed="62"/>
      </bottom>
      <diagonal/>
    </border>
    <border>
      <left style="medium">
        <color indexed="64"/>
      </left>
      <right style="medium">
        <color indexed="62"/>
      </right>
      <top style="medium">
        <color indexed="62"/>
      </top>
      <bottom style="medium">
        <color indexed="62"/>
      </bottom>
      <diagonal/>
    </border>
    <border>
      <left style="medium">
        <color indexed="64"/>
      </left>
      <right style="thin">
        <color indexed="62"/>
      </right>
      <top style="thin">
        <color indexed="62"/>
      </top>
      <bottom style="thin">
        <color indexed="62"/>
      </bottom>
      <diagonal/>
    </border>
    <border>
      <left/>
      <right/>
      <top/>
      <bottom style="medium">
        <color indexed="64"/>
      </bottom>
      <diagonal/>
    </border>
    <border>
      <left/>
      <right style="thick">
        <color indexed="62"/>
      </right>
      <top/>
      <bottom style="medium">
        <color indexed="64"/>
      </bottom>
      <diagonal/>
    </border>
    <border>
      <left style="thick">
        <color indexed="12"/>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top/>
      <bottom/>
      <diagonal/>
    </border>
    <border>
      <left style="thin">
        <color indexed="62"/>
      </left>
      <right style="medium">
        <color indexed="62"/>
      </right>
      <top style="thin">
        <color indexed="62"/>
      </top>
      <bottom style="thick">
        <color indexed="62"/>
      </bottom>
      <diagonal/>
    </border>
    <border>
      <left style="medium">
        <color indexed="62"/>
      </left>
      <right style="thin">
        <color indexed="62"/>
      </right>
      <top style="thin">
        <color indexed="62"/>
      </top>
      <bottom style="thick">
        <color indexed="62"/>
      </bottom>
      <diagonal/>
    </border>
    <border>
      <left style="thin">
        <color indexed="62"/>
      </left>
      <right style="thick">
        <color indexed="62"/>
      </right>
      <top style="thin">
        <color indexed="62"/>
      </top>
      <bottom style="thick">
        <color indexed="62"/>
      </bottom>
      <diagonal/>
    </border>
    <border>
      <left style="thick">
        <color indexed="62"/>
      </left>
      <right style="thick">
        <color indexed="62"/>
      </right>
      <top style="thick">
        <color indexed="62"/>
      </top>
      <bottom style="thick">
        <color indexed="62"/>
      </bottom>
      <diagonal/>
    </border>
    <border>
      <left style="thin">
        <color indexed="18"/>
      </left>
      <right style="thick">
        <color indexed="62"/>
      </right>
      <top style="thin">
        <color indexed="18"/>
      </top>
      <bottom style="thin">
        <color indexed="18"/>
      </bottom>
      <diagonal/>
    </border>
    <border>
      <left style="thin">
        <color indexed="64"/>
      </left>
      <right style="thin">
        <color indexed="64"/>
      </right>
      <top style="thin">
        <color indexed="64"/>
      </top>
      <bottom style="thin">
        <color indexed="18"/>
      </bottom>
      <diagonal/>
    </border>
    <border>
      <left style="thin">
        <color indexed="64"/>
      </left>
      <right style="thin">
        <color indexed="64"/>
      </right>
      <top style="thin">
        <color indexed="18"/>
      </top>
      <bottom style="thin">
        <color indexed="18"/>
      </bottom>
      <diagonal/>
    </border>
    <border>
      <left style="thin">
        <color indexed="64"/>
      </left>
      <right style="thin">
        <color indexed="64"/>
      </right>
      <top style="thin">
        <color indexed="18"/>
      </top>
      <bottom style="thin">
        <color indexed="64"/>
      </bottom>
      <diagonal/>
    </border>
    <border>
      <left style="thin">
        <color indexed="62"/>
      </left>
      <right style="thin">
        <color indexed="48"/>
      </right>
      <top style="thin">
        <color indexed="48"/>
      </top>
      <bottom style="thick">
        <color indexed="62"/>
      </bottom>
      <diagonal/>
    </border>
    <border>
      <left/>
      <right style="thin">
        <color indexed="12"/>
      </right>
      <top style="thick">
        <color indexed="62"/>
      </top>
      <bottom style="thin">
        <color indexed="17"/>
      </bottom>
      <diagonal/>
    </border>
    <border>
      <left style="thin">
        <color indexed="12"/>
      </left>
      <right style="thick">
        <color indexed="62"/>
      </right>
      <top style="thick">
        <color indexed="62"/>
      </top>
      <bottom style="thin">
        <color indexed="17"/>
      </bottom>
      <diagonal/>
    </border>
    <border>
      <left style="thin">
        <color indexed="17"/>
      </left>
      <right style="thick">
        <color indexed="62"/>
      </right>
      <top style="thin">
        <color indexed="17"/>
      </top>
      <bottom style="thin">
        <color indexed="17"/>
      </bottom>
      <diagonal/>
    </border>
    <border>
      <left/>
      <right style="thick">
        <color indexed="62"/>
      </right>
      <top style="thin">
        <color indexed="12"/>
      </top>
      <bottom/>
      <diagonal/>
    </border>
    <border>
      <left style="thin">
        <color indexed="48"/>
      </left>
      <right style="thick">
        <color indexed="62"/>
      </right>
      <top/>
      <bottom style="thin">
        <color indexed="48"/>
      </bottom>
      <diagonal/>
    </border>
    <border>
      <left style="medium">
        <color indexed="12"/>
      </left>
      <right style="thin">
        <color indexed="48"/>
      </right>
      <top style="thin">
        <color indexed="48"/>
      </top>
      <bottom style="thick">
        <color indexed="62"/>
      </bottom>
      <diagonal/>
    </border>
    <border>
      <left style="thin">
        <color indexed="48"/>
      </left>
      <right/>
      <top style="thin">
        <color indexed="48"/>
      </top>
      <bottom style="thin">
        <color indexed="48"/>
      </bottom>
      <diagonal/>
    </border>
    <border>
      <left style="thin">
        <color indexed="48"/>
      </left>
      <right style="thin">
        <color indexed="48"/>
      </right>
      <top style="double">
        <color indexed="48"/>
      </top>
      <bottom style="thin">
        <color indexed="12"/>
      </bottom>
      <diagonal/>
    </border>
    <border>
      <left style="thin">
        <color indexed="48"/>
      </left>
      <right style="thick">
        <color indexed="62"/>
      </right>
      <top style="double">
        <color indexed="48"/>
      </top>
      <bottom style="thin">
        <color indexed="12"/>
      </bottom>
      <diagonal/>
    </border>
    <border>
      <left/>
      <right/>
      <top/>
      <bottom style="thin">
        <color indexed="44"/>
      </bottom>
      <diagonal/>
    </border>
    <border>
      <left/>
      <right style="thick">
        <color indexed="62"/>
      </right>
      <top/>
      <bottom style="thin">
        <color indexed="48"/>
      </bottom>
      <diagonal/>
    </border>
    <border>
      <left style="medium">
        <color indexed="12"/>
      </left>
      <right style="thin">
        <color indexed="12"/>
      </right>
      <top style="thin">
        <color indexed="48"/>
      </top>
      <bottom style="thin">
        <color indexed="12"/>
      </bottom>
      <diagonal/>
    </border>
    <border>
      <left style="thin">
        <color indexed="12"/>
      </left>
      <right style="thin">
        <color indexed="12"/>
      </right>
      <top style="thin">
        <color indexed="48"/>
      </top>
      <bottom style="thin">
        <color indexed="12"/>
      </bottom>
      <diagonal/>
    </border>
    <border>
      <left style="thin">
        <color indexed="12"/>
      </left>
      <right style="thick">
        <color indexed="62"/>
      </right>
      <top style="thin">
        <color indexed="48"/>
      </top>
      <bottom style="thin">
        <color indexed="12"/>
      </bottom>
      <diagonal/>
    </border>
    <border>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right style="thin">
        <color indexed="62"/>
      </right>
      <top style="thin">
        <color indexed="48"/>
      </top>
      <bottom style="thick">
        <color indexed="62"/>
      </bottom>
      <diagonal/>
    </border>
    <border>
      <left style="thin">
        <color indexed="62"/>
      </left>
      <right style="thin">
        <color indexed="64"/>
      </right>
      <top style="thin">
        <color indexed="62"/>
      </top>
      <bottom style="thin">
        <color indexed="62"/>
      </bottom>
      <diagonal/>
    </border>
    <border>
      <left style="thin">
        <color indexed="62"/>
      </left>
      <right style="thin">
        <color indexed="62"/>
      </right>
      <top style="medium">
        <color indexed="62"/>
      </top>
      <bottom/>
      <diagonal/>
    </border>
    <border>
      <left style="medium">
        <color indexed="64"/>
      </left>
      <right style="thick">
        <color indexed="62"/>
      </right>
      <top style="medium">
        <color indexed="64"/>
      </top>
      <bottom style="thin">
        <color indexed="64"/>
      </bottom>
      <diagonal/>
    </border>
    <border>
      <left style="medium">
        <color indexed="64"/>
      </left>
      <right style="thick">
        <color indexed="62"/>
      </right>
      <top style="thin">
        <color indexed="64"/>
      </top>
      <bottom style="thin">
        <color indexed="64"/>
      </bottom>
      <diagonal/>
    </border>
    <border>
      <left style="medium">
        <color indexed="64"/>
      </left>
      <right style="thick">
        <color indexed="62"/>
      </right>
      <top style="thin">
        <color indexed="64"/>
      </top>
      <bottom style="medium">
        <color indexed="64"/>
      </bottom>
      <diagonal/>
    </border>
    <border>
      <left style="thick">
        <color indexed="62"/>
      </left>
      <right/>
      <top/>
      <bottom style="medium">
        <color indexed="64"/>
      </bottom>
      <diagonal/>
    </border>
    <border>
      <left style="medium">
        <color indexed="62"/>
      </left>
      <right style="thick">
        <color indexed="18"/>
      </right>
      <top/>
      <bottom/>
      <diagonal/>
    </border>
    <border>
      <left style="thin">
        <color indexed="62"/>
      </left>
      <right style="thick">
        <color indexed="18"/>
      </right>
      <top style="thin">
        <color indexed="62"/>
      </top>
      <bottom style="thin">
        <color indexed="62"/>
      </bottom>
      <diagonal/>
    </border>
    <border>
      <left style="thick">
        <color indexed="18"/>
      </left>
      <right/>
      <top/>
      <bottom style="thick">
        <color indexed="62"/>
      </bottom>
      <diagonal/>
    </border>
    <border>
      <left style="thin">
        <color indexed="62"/>
      </left>
      <right style="thick">
        <color indexed="18"/>
      </right>
      <top style="thin">
        <color indexed="62"/>
      </top>
      <bottom style="thick">
        <color indexed="62"/>
      </bottom>
      <diagonal/>
    </border>
    <border>
      <left/>
      <right style="thick">
        <color indexed="18"/>
      </right>
      <top/>
      <bottom style="thick">
        <color indexed="62"/>
      </bottom>
      <diagonal/>
    </border>
    <border>
      <left style="thick">
        <color indexed="62"/>
      </left>
      <right/>
      <top/>
      <bottom style="double">
        <color indexed="12"/>
      </bottom>
      <diagonal/>
    </border>
    <border>
      <left style="thin">
        <color indexed="62"/>
      </left>
      <right style="thick">
        <color indexed="62"/>
      </right>
      <top style="thin">
        <color indexed="18"/>
      </top>
      <bottom style="thin">
        <color indexed="18"/>
      </bottom>
      <diagonal/>
    </border>
    <border>
      <left style="thick">
        <color indexed="18"/>
      </left>
      <right/>
      <top style="medium">
        <color indexed="62"/>
      </top>
      <bottom/>
      <diagonal/>
    </border>
    <border>
      <left style="thin">
        <color indexed="62"/>
      </left>
      <right style="thick">
        <color indexed="18"/>
      </right>
      <top style="medium">
        <color indexed="62"/>
      </top>
      <bottom/>
      <diagonal/>
    </border>
    <border>
      <left style="thin">
        <color indexed="62"/>
      </left>
      <right style="thick">
        <color indexed="18"/>
      </right>
      <top/>
      <bottom/>
      <diagonal/>
    </border>
    <border>
      <left style="thick">
        <color indexed="18"/>
      </left>
      <right/>
      <top/>
      <bottom style="medium">
        <color indexed="62"/>
      </bottom>
      <diagonal/>
    </border>
    <border>
      <left style="thin">
        <color indexed="62"/>
      </left>
      <right style="thick">
        <color indexed="18"/>
      </right>
      <top/>
      <bottom style="medium">
        <color indexed="62"/>
      </bottom>
      <diagonal/>
    </border>
    <border>
      <left style="thin">
        <color indexed="62"/>
      </left>
      <right style="thick">
        <color indexed="18"/>
      </right>
      <top style="thin">
        <color indexed="18"/>
      </top>
      <bottom style="thin">
        <color indexed="18"/>
      </bottom>
      <diagonal/>
    </border>
    <border>
      <left style="thick">
        <color indexed="18"/>
      </left>
      <right/>
      <top style="thick">
        <color indexed="62"/>
      </top>
      <bottom/>
      <diagonal/>
    </border>
    <border>
      <left/>
      <right style="thick">
        <color indexed="18"/>
      </right>
      <top style="thick">
        <color indexed="62"/>
      </top>
      <bottom/>
      <diagonal/>
    </border>
    <border>
      <left style="medium">
        <color indexed="62"/>
      </left>
      <right style="thick">
        <color indexed="18"/>
      </right>
      <top style="thick">
        <color indexed="62"/>
      </top>
      <bottom/>
      <diagonal/>
    </border>
    <border>
      <left style="medium">
        <color indexed="62"/>
      </left>
      <right style="thick">
        <color indexed="18"/>
      </right>
      <top/>
      <bottom style="thick">
        <color indexed="62"/>
      </bottom>
      <diagonal/>
    </border>
    <border>
      <left/>
      <right style="thick">
        <color indexed="18"/>
      </right>
      <top style="thin">
        <color indexed="62"/>
      </top>
      <bottom/>
      <diagonal/>
    </border>
    <border>
      <left style="thick">
        <color indexed="18"/>
      </left>
      <right/>
      <top style="thick">
        <color indexed="62"/>
      </top>
      <bottom style="medium">
        <color indexed="62"/>
      </bottom>
      <diagonal/>
    </border>
    <border>
      <left/>
      <right style="thick">
        <color indexed="18"/>
      </right>
      <top style="thick">
        <color indexed="62"/>
      </top>
      <bottom style="medium">
        <color indexed="62"/>
      </bottom>
      <diagonal/>
    </border>
    <border>
      <left/>
      <right style="thick">
        <color indexed="18"/>
      </right>
      <top style="medium">
        <color indexed="62"/>
      </top>
      <bottom/>
      <diagonal/>
    </border>
    <border>
      <left style="medium">
        <color indexed="62"/>
      </left>
      <right style="thick">
        <color indexed="18"/>
      </right>
      <top style="medium">
        <color indexed="62"/>
      </top>
      <bottom style="medium">
        <color indexed="62"/>
      </bottom>
      <diagonal/>
    </border>
    <border>
      <left/>
      <right style="thick">
        <color indexed="18"/>
      </right>
      <top/>
      <bottom style="medium">
        <color indexed="62"/>
      </bottom>
      <diagonal/>
    </border>
    <border>
      <left style="thick">
        <color indexed="18"/>
      </left>
      <right/>
      <top style="thick">
        <color indexed="62"/>
      </top>
      <bottom style="thick">
        <color indexed="62"/>
      </bottom>
      <diagonal/>
    </border>
    <border>
      <left style="thin">
        <color indexed="62"/>
      </left>
      <right/>
      <top style="thin">
        <color indexed="62"/>
      </top>
      <bottom/>
      <diagonal/>
    </border>
    <border>
      <left/>
      <right/>
      <top style="thin">
        <color indexed="62"/>
      </top>
      <bottom/>
      <diagonal/>
    </border>
    <border>
      <left/>
      <right style="thin">
        <color indexed="62"/>
      </right>
      <top style="thin">
        <color indexed="62"/>
      </top>
      <bottom/>
      <diagonal/>
    </border>
    <border>
      <left style="thin">
        <color indexed="62"/>
      </left>
      <right style="thick">
        <color indexed="18"/>
      </right>
      <top style="thin">
        <color indexed="62"/>
      </top>
      <bottom/>
      <diagonal/>
    </border>
    <border>
      <left style="medium">
        <color indexed="18"/>
      </left>
      <right style="thin">
        <color indexed="18"/>
      </right>
      <top/>
      <bottom style="thin">
        <color indexed="18"/>
      </bottom>
      <diagonal/>
    </border>
    <border>
      <left style="thin">
        <color indexed="18"/>
      </left>
      <right style="thin">
        <color indexed="18"/>
      </right>
      <top/>
      <bottom style="thin">
        <color indexed="18"/>
      </bottom>
      <diagonal/>
    </border>
    <border>
      <left style="thin">
        <color indexed="18"/>
      </left>
      <right style="thick">
        <color indexed="18"/>
      </right>
      <top/>
      <bottom style="thin">
        <color indexed="18"/>
      </bottom>
      <diagonal/>
    </border>
    <border>
      <left style="medium">
        <color indexed="62"/>
      </left>
      <right style="thick">
        <color indexed="18"/>
      </right>
      <top style="medium">
        <color indexed="62"/>
      </top>
      <bottom/>
      <diagonal/>
    </border>
    <border>
      <left style="medium">
        <color indexed="62"/>
      </left>
      <right style="thick">
        <color indexed="18"/>
      </right>
      <top/>
      <bottom style="thick">
        <color indexed="18"/>
      </bottom>
      <diagonal/>
    </border>
    <border>
      <left style="medium">
        <color indexed="62"/>
      </left>
      <right style="medium">
        <color indexed="62"/>
      </right>
      <top style="thick">
        <color indexed="62"/>
      </top>
      <bottom/>
      <diagonal/>
    </border>
    <border>
      <left/>
      <right style="medium">
        <color indexed="62"/>
      </right>
      <top style="medium">
        <color indexed="64"/>
      </top>
      <bottom/>
      <diagonal/>
    </border>
    <border>
      <left style="medium">
        <color indexed="62"/>
      </left>
      <right/>
      <top style="medium">
        <color indexed="64"/>
      </top>
      <bottom/>
      <diagonal/>
    </border>
    <border>
      <left/>
      <right style="thick">
        <color indexed="62"/>
      </right>
      <top style="medium">
        <color indexed="64"/>
      </top>
      <bottom/>
      <diagonal/>
    </border>
    <border>
      <left style="thin">
        <color indexed="62"/>
      </left>
      <right/>
      <top style="thin">
        <color indexed="62"/>
      </top>
      <bottom style="thick">
        <color indexed="62"/>
      </bottom>
      <diagonal/>
    </border>
    <border>
      <left style="medium">
        <color indexed="64"/>
      </left>
      <right/>
      <top style="medium">
        <color indexed="62"/>
      </top>
      <bottom/>
      <diagonal/>
    </border>
    <border>
      <left style="medium">
        <color indexed="64"/>
      </left>
      <right/>
      <top/>
      <bottom style="medium">
        <color indexed="62"/>
      </bottom>
      <diagonal/>
    </border>
    <border>
      <left style="medium">
        <color indexed="64"/>
      </left>
      <right/>
      <top style="medium">
        <color indexed="64"/>
      </top>
      <bottom/>
      <diagonal/>
    </border>
    <border>
      <left/>
      <right/>
      <top/>
      <bottom style="thin">
        <color indexed="18"/>
      </bottom>
      <diagonal/>
    </border>
    <border>
      <left style="thin">
        <color indexed="18"/>
      </left>
      <right/>
      <top style="medium">
        <color indexed="18"/>
      </top>
      <bottom style="thin">
        <color indexed="18"/>
      </bottom>
      <diagonal/>
    </border>
    <border>
      <left style="thin">
        <color indexed="62"/>
      </left>
      <right style="medium">
        <color indexed="62"/>
      </right>
      <top style="thick">
        <color indexed="62"/>
      </top>
      <bottom/>
      <diagonal/>
    </border>
    <border>
      <left style="thin">
        <color indexed="62"/>
      </left>
      <right style="medium">
        <color indexed="62"/>
      </right>
      <top/>
      <bottom/>
      <diagonal/>
    </border>
    <border>
      <left style="thin">
        <color indexed="62"/>
      </left>
      <right style="medium">
        <color indexed="62"/>
      </right>
      <top/>
      <bottom style="thick">
        <color indexed="62"/>
      </bottom>
      <diagonal/>
    </border>
    <border>
      <left style="medium">
        <color indexed="62"/>
      </left>
      <right style="thin">
        <color indexed="62"/>
      </right>
      <top style="thick">
        <color indexed="62"/>
      </top>
      <bottom/>
      <diagonal/>
    </border>
    <border>
      <left style="medium">
        <color indexed="62"/>
      </left>
      <right style="thin">
        <color indexed="62"/>
      </right>
      <top/>
      <bottom/>
      <diagonal/>
    </border>
    <border>
      <left style="medium">
        <color indexed="62"/>
      </left>
      <right style="thin">
        <color indexed="62"/>
      </right>
      <top/>
      <bottom style="thick">
        <color indexed="62"/>
      </bottom>
      <diagonal/>
    </border>
    <border>
      <left style="thin">
        <color indexed="62"/>
      </left>
      <right style="thin">
        <color indexed="62"/>
      </right>
      <top style="thick">
        <color indexed="62"/>
      </top>
      <bottom/>
      <diagonal/>
    </border>
    <border>
      <left style="thin">
        <color indexed="62"/>
      </left>
      <right/>
      <top/>
      <bottom/>
      <diagonal/>
    </border>
    <border>
      <left style="thin">
        <color indexed="62"/>
      </left>
      <right style="medium">
        <color indexed="62"/>
      </right>
      <top/>
      <bottom style="medium">
        <color indexed="62"/>
      </bottom>
      <diagonal/>
    </border>
    <border>
      <left style="medium">
        <color indexed="62"/>
      </left>
      <right style="thin">
        <color indexed="62"/>
      </right>
      <top style="medium">
        <color indexed="62"/>
      </top>
      <bottom/>
      <diagonal/>
    </border>
    <border>
      <left style="thin">
        <color indexed="62"/>
      </left>
      <right style="medium">
        <color indexed="62"/>
      </right>
      <top style="medium">
        <color indexed="62"/>
      </top>
      <bottom/>
      <diagonal/>
    </border>
    <border>
      <left style="medium">
        <color indexed="62"/>
      </left>
      <right style="thin">
        <color indexed="62"/>
      </right>
      <top/>
      <bottom style="medium">
        <color indexed="62"/>
      </bottom>
      <diagonal/>
    </border>
    <border>
      <left style="thin">
        <color indexed="62"/>
      </left>
      <right style="thin">
        <color indexed="62"/>
      </right>
      <top/>
      <bottom style="medium">
        <color indexed="62"/>
      </bottom>
      <diagonal/>
    </border>
    <border>
      <left style="thin">
        <color indexed="62"/>
      </left>
      <right/>
      <top style="medium">
        <color indexed="62"/>
      </top>
      <bottom/>
      <diagonal/>
    </border>
    <border>
      <left style="thin">
        <color indexed="62"/>
      </left>
      <right/>
      <top/>
      <bottom style="medium">
        <color indexed="62"/>
      </bottom>
      <diagonal/>
    </border>
    <border>
      <left style="medium">
        <color indexed="62"/>
      </left>
      <right style="medium">
        <color indexed="62"/>
      </right>
      <top style="thin">
        <color indexed="62"/>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18"/>
      </left>
      <right/>
      <top style="thick">
        <color indexed="18"/>
      </top>
      <bottom style="thick">
        <color indexed="18"/>
      </bottom>
      <diagonal/>
    </border>
    <border>
      <left style="medium">
        <color indexed="18"/>
      </left>
      <right style="medium">
        <color indexed="18"/>
      </right>
      <top style="thick">
        <color indexed="18"/>
      </top>
      <bottom style="thick">
        <color indexed="18"/>
      </bottom>
      <diagonal/>
    </border>
    <border>
      <left style="medium">
        <color indexed="18"/>
      </left>
      <right style="thick">
        <color indexed="18"/>
      </right>
      <top style="thick">
        <color indexed="18"/>
      </top>
      <bottom style="thick">
        <color indexed="18"/>
      </bottom>
      <diagonal/>
    </border>
    <border>
      <left style="thick">
        <color indexed="18"/>
      </left>
      <right style="thin">
        <color indexed="18"/>
      </right>
      <top style="thick">
        <color indexed="18"/>
      </top>
      <bottom/>
      <diagonal/>
    </border>
    <border>
      <left style="thin">
        <color indexed="18"/>
      </left>
      <right style="thin">
        <color indexed="18"/>
      </right>
      <top style="thick">
        <color indexed="18"/>
      </top>
      <bottom/>
      <diagonal/>
    </border>
    <border>
      <left style="thin">
        <color indexed="18"/>
      </left>
      <right style="thick">
        <color indexed="18"/>
      </right>
      <top style="thick">
        <color indexed="18"/>
      </top>
      <bottom/>
      <diagonal/>
    </border>
    <border>
      <left style="thick">
        <color indexed="18"/>
      </left>
      <right style="thin">
        <color indexed="18"/>
      </right>
      <top/>
      <bottom style="thick">
        <color indexed="18"/>
      </bottom>
      <diagonal/>
    </border>
    <border>
      <left/>
      <right style="thin">
        <color indexed="62"/>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56"/>
      </left>
      <right/>
      <top/>
      <bottom/>
      <diagonal/>
    </border>
    <border>
      <left/>
      <right style="thick">
        <color indexed="56"/>
      </right>
      <top/>
      <bottom/>
      <diagonal/>
    </border>
    <border>
      <left style="medium">
        <color indexed="18"/>
      </left>
      <right style="thin">
        <color indexed="18"/>
      </right>
      <top style="thin">
        <color indexed="18"/>
      </top>
      <bottom style="thick">
        <color indexed="18"/>
      </bottom>
      <diagonal/>
    </border>
    <border>
      <left/>
      <right style="thin">
        <color indexed="62"/>
      </right>
      <top style="medium">
        <color indexed="64"/>
      </top>
      <bottom/>
      <diagonal/>
    </border>
    <border>
      <left style="thin">
        <color indexed="62"/>
      </left>
      <right style="thin">
        <color indexed="62"/>
      </right>
      <top style="medium">
        <color indexed="64"/>
      </top>
      <bottom/>
      <diagonal/>
    </border>
    <border>
      <left style="thin">
        <color indexed="62"/>
      </left>
      <right style="medium">
        <color indexed="64"/>
      </right>
      <top style="medium">
        <color indexed="64"/>
      </top>
      <bottom/>
      <diagonal/>
    </border>
    <border>
      <left style="thin">
        <color indexed="62"/>
      </left>
      <right style="medium">
        <color indexed="64"/>
      </right>
      <top/>
      <bottom/>
      <diagonal/>
    </border>
    <border>
      <left style="medium">
        <color indexed="64"/>
      </left>
      <right style="thin">
        <color indexed="62"/>
      </right>
      <top/>
      <bottom/>
      <diagonal/>
    </border>
    <border>
      <left style="medium">
        <color indexed="64"/>
      </left>
      <right style="thin">
        <color indexed="62"/>
      </right>
      <top/>
      <bottom style="thin">
        <color indexed="62"/>
      </bottom>
      <diagonal/>
    </border>
    <border>
      <left style="thin">
        <color indexed="62"/>
      </left>
      <right style="medium">
        <color indexed="64"/>
      </right>
      <top/>
      <bottom style="thin">
        <color indexed="62"/>
      </bottom>
      <diagonal/>
    </border>
    <border>
      <left style="medium">
        <color indexed="64"/>
      </left>
      <right style="thin">
        <color indexed="62"/>
      </right>
      <top/>
      <bottom style="medium">
        <color indexed="64"/>
      </bottom>
      <diagonal/>
    </border>
    <border>
      <left style="thin">
        <color indexed="62"/>
      </left>
      <right style="thin">
        <color indexed="62"/>
      </right>
      <top/>
      <bottom style="medium">
        <color indexed="64"/>
      </bottom>
      <diagonal/>
    </border>
    <border>
      <left style="thin">
        <color indexed="62"/>
      </left>
      <right/>
      <top/>
      <bottom style="medium">
        <color indexed="64"/>
      </bottom>
      <diagonal/>
    </border>
    <border>
      <left style="thin">
        <color indexed="62"/>
      </left>
      <right style="medium">
        <color indexed="64"/>
      </right>
      <top/>
      <bottom style="medium">
        <color indexed="64"/>
      </bottom>
      <diagonal/>
    </border>
    <border>
      <left style="thick">
        <color indexed="62"/>
      </left>
      <right style="medium">
        <color indexed="62"/>
      </right>
      <top style="medium">
        <color indexed="62"/>
      </top>
      <bottom/>
      <diagonal/>
    </border>
    <border>
      <left style="medium">
        <color indexed="62"/>
      </left>
      <right style="medium">
        <color indexed="62"/>
      </right>
      <top style="medium">
        <color indexed="64"/>
      </top>
      <bottom style="medium">
        <color indexed="64"/>
      </bottom>
      <diagonal/>
    </border>
    <border>
      <left/>
      <right style="thin">
        <color indexed="62"/>
      </right>
      <top style="medium">
        <color indexed="64"/>
      </top>
      <bottom style="medium">
        <color indexed="64"/>
      </bottom>
      <diagonal/>
    </border>
    <border>
      <left style="thin">
        <color indexed="62"/>
      </left>
      <right style="thin">
        <color indexed="62"/>
      </right>
      <top style="medium">
        <color indexed="64"/>
      </top>
      <bottom style="medium">
        <color indexed="64"/>
      </bottom>
      <diagonal/>
    </border>
    <border>
      <left style="thin">
        <color indexed="62"/>
      </left>
      <right style="medium">
        <color indexed="64"/>
      </right>
      <top style="medium">
        <color indexed="64"/>
      </top>
      <bottom style="medium">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2"/>
      </right>
      <top style="thin">
        <color indexed="62"/>
      </top>
      <bottom style="thin">
        <color indexed="64"/>
      </bottom>
      <diagonal/>
    </border>
    <border>
      <left style="thin">
        <color indexed="64"/>
      </left>
      <right/>
      <top/>
      <bottom style="thin">
        <color indexed="62"/>
      </bottom>
      <diagonal/>
    </border>
    <border>
      <left style="thin">
        <color indexed="62"/>
      </left>
      <right style="thin">
        <color indexed="62"/>
      </right>
      <top style="thin">
        <color indexed="62"/>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rgb="FF000000"/>
      </top>
      <bottom style="double">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style="double">
        <color rgb="FF000000"/>
      </bottom>
      <diagonal/>
    </border>
    <border>
      <left/>
      <right/>
      <top/>
      <bottom style="double">
        <color rgb="FF000000"/>
      </bottom>
      <diagonal/>
    </border>
    <border>
      <left/>
      <right style="thin">
        <color indexed="64"/>
      </right>
      <top/>
      <bottom/>
      <diagonal/>
    </border>
    <border>
      <left/>
      <right style="medium">
        <color rgb="FF000000"/>
      </right>
      <top/>
      <bottom style="medium">
        <color rgb="FF000000"/>
      </bottom>
      <diagonal/>
    </border>
    <border>
      <left/>
      <right/>
      <top/>
      <bottom style="medium">
        <color rgb="FF000000"/>
      </bottom>
      <diagonal/>
    </border>
    <border>
      <left style="medium">
        <color rgb="FF000000"/>
      </left>
      <right/>
      <top/>
      <bottom style="medium">
        <color rgb="FF000000"/>
      </bottom>
      <diagonal/>
    </border>
    <border>
      <left/>
      <right style="medium">
        <color rgb="FF000000"/>
      </right>
      <top/>
      <bottom style="thin">
        <color rgb="FF000000"/>
      </bottom>
      <diagonal/>
    </border>
    <border>
      <left style="medium">
        <color rgb="FF000000"/>
      </left>
      <right/>
      <top/>
      <bottom/>
      <diagonal/>
    </border>
    <border>
      <left/>
      <right style="medium">
        <color rgb="FF000000"/>
      </right>
      <top style="thin">
        <color rgb="FF000000"/>
      </top>
      <bottom style="thin">
        <color rgb="FF000000"/>
      </bottom>
      <diagonal/>
    </border>
    <border>
      <left/>
      <right style="medium">
        <color rgb="FF000000"/>
      </right>
      <top/>
      <bottom/>
      <diagonal/>
    </border>
    <border>
      <left/>
      <right style="medium">
        <color rgb="FF000000"/>
      </right>
      <top style="medium">
        <color rgb="FF000000"/>
      </top>
      <bottom/>
      <diagonal/>
    </border>
    <border>
      <left/>
      <right/>
      <top style="medium">
        <color rgb="FF000000"/>
      </top>
      <bottom/>
      <diagonal/>
    </border>
    <border>
      <left style="medium">
        <color rgb="FF000000"/>
      </left>
      <right/>
      <top style="medium">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18"/>
      </left>
      <right style="thin">
        <color rgb="FF000000"/>
      </right>
      <top/>
      <bottom/>
      <diagonal/>
    </border>
    <border>
      <left style="thin">
        <color indexed="18"/>
      </left>
      <right style="thin">
        <color rgb="FF000000"/>
      </right>
      <top/>
      <bottom style="thin">
        <color indexed="22"/>
      </bottom>
      <diagonal/>
    </border>
  </borders>
  <cellStyleXfs count="75">
    <xf numFmtId="0" fontId="0" fillId="0" borderId="0"/>
    <xf numFmtId="0" fontId="43" fillId="2" borderId="0" applyNumberFormat="0" applyBorder="0" applyAlignment="0" applyProtection="0"/>
    <xf numFmtId="0" fontId="43" fillId="3" borderId="0" applyNumberFormat="0" applyBorder="0" applyAlignment="0" applyProtection="0"/>
    <xf numFmtId="0" fontId="43" fillId="4" borderId="0" applyNumberFormat="0" applyBorder="0" applyAlignment="0" applyProtection="0"/>
    <xf numFmtId="0" fontId="43" fillId="5" borderId="0" applyNumberFormat="0" applyBorder="0" applyAlignment="0" applyProtection="0"/>
    <xf numFmtId="0" fontId="43" fillId="6" borderId="0" applyNumberFormat="0" applyBorder="0" applyAlignment="0" applyProtection="0"/>
    <xf numFmtId="0" fontId="43" fillId="7" borderId="0" applyNumberFormat="0" applyBorder="0" applyAlignment="0" applyProtection="0"/>
    <xf numFmtId="0" fontId="43" fillId="8" borderId="0" applyNumberFormat="0" applyBorder="0" applyAlignment="0" applyProtection="0"/>
    <xf numFmtId="0" fontId="43" fillId="9" borderId="0" applyNumberFormat="0" applyBorder="0" applyAlignment="0" applyProtection="0"/>
    <xf numFmtId="0" fontId="43" fillId="10" borderId="0" applyNumberFormat="0" applyBorder="0" applyAlignment="0" applyProtection="0"/>
    <xf numFmtId="0" fontId="43" fillId="5" borderId="0" applyNumberFormat="0" applyBorder="0" applyAlignment="0" applyProtection="0"/>
    <xf numFmtId="0" fontId="43" fillId="8" borderId="0" applyNumberFormat="0" applyBorder="0" applyAlignment="0" applyProtection="0"/>
    <xf numFmtId="0" fontId="43" fillId="11"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6" borderId="0" applyNumberFormat="0" applyBorder="0" applyAlignment="0" applyProtection="0"/>
    <xf numFmtId="0" fontId="44" fillId="17" borderId="0" applyNumberFormat="0" applyBorder="0" applyAlignment="0" applyProtection="0"/>
    <xf numFmtId="0" fontId="44" fillId="18"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9" borderId="0" applyNumberFormat="0" applyBorder="0" applyAlignment="0" applyProtection="0"/>
    <xf numFmtId="0" fontId="45" fillId="3" borderId="0" applyNumberFormat="0" applyBorder="0" applyAlignment="0" applyProtection="0"/>
    <xf numFmtId="0" fontId="46" fillId="20" borderId="1" applyNumberFormat="0" applyAlignment="0" applyProtection="0"/>
    <xf numFmtId="0" fontId="47" fillId="21" borderId="2"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48" fillId="0" borderId="0" applyNumberFormat="0" applyFill="0" applyBorder="0" applyAlignment="0" applyProtection="0"/>
    <xf numFmtId="0" fontId="49" fillId="4" borderId="0" applyNumberFormat="0" applyBorder="0" applyAlignment="0" applyProtection="0"/>
    <xf numFmtId="0" fontId="50" fillId="0" borderId="3" applyNumberFormat="0" applyFill="0" applyAlignment="0" applyProtection="0"/>
    <xf numFmtId="0" fontId="51" fillId="0" borderId="4" applyNumberFormat="0" applyFill="0" applyAlignment="0" applyProtection="0"/>
    <xf numFmtId="0" fontId="52" fillId="0" borderId="5" applyNumberFormat="0" applyFill="0" applyAlignment="0" applyProtection="0"/>
    <xf numFmtId="0" fontId="52" fillId="0" borderId="0" applyNumberFormat="0" applyFill="0" applyBorder="0" applyAlignment="0" applyProtection="0"/>
    <xf numFmtId="0" fontId="7" fillId="0" borderId="0" applyNumberFormat="0" applyFill="0" applyBorder="0" applyAlignment="0" applyProtection="0">
      <alignment vertical="top"/>
      <protection locked="0"/>
    </xf>
    <xf numFmtId="0" fontId="53" fillId="7" borderId="1" applyNumberFormat="0" applyAlignment="0" applyProtection="0"/>
    <xf numFmtId="0" fontId="54" fillId="0" borderId="6" applyNumberFormat="0" applyFill="0" applyAlignment="0" applyProtection="0"/>
    <xf numFmtId="0" fontId="55" fillId="22" borderId="0" applyNumberFormat="0" applyBorder="0" applyAlignment="0" applyProtection="0"/>
    <xf numFmtId="0" fontId="74" fillId="0" borderId="0"/>
    <xf numFmtId="0" fontId="5" fillId="0" borderId="0"/>
    <xf numFmtId="0" fontId="5" fillId="0" borderId="0"/>
    <xf numFmtId="0" fontId="93" fillId="0" borderId="0"/>
    <xf numFmtId="0" fontId="4" fillId="0" borderId="0"/>
    <xf numFmtId="0" fontId="93" fillId="0" borderId="0"/>
    <xf numFmtId="0" fontId="3" fillId="0" borderId="0"/>
    <xf numFmtId="0" fontId="4" fillId="0" borderId="0"/>
    <xf numFmtId="0" fontId="2" fillId="0" borderId="0"/>
    <xf numFmtId="0" fontId="4" fillId="0" borderId="0"/>
    <xf numFmtId="0" fontId="4" fillId="0" borderId="0"/>
    <xf numFmtId="0" fontId="2" fillId="23" borderId="7" applyNumberFormat="0" applyFont="0" applyAlignment="0" applyProtection="0"/>
    <xf numFmtId="0" fontId="56"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0" fontId="57" fillId="0" borderId="0" applyNumberFormat="0" applyFill="0" applyBorder="0" applyAlignment="0" applyProtection="0"/>
    <xf numFmtId="0" fontId="58" fillId="0" borderId="9" applyNumberFormat="0" applyFill="0" applyAlignment="0" applyProtection="0"/>
    <xf numFmtId="0" fontId="59" fillId="0" borderId="0" applyNumberFormat="0" applyFill="0" applyBorder="0" applyAlignment="0" applyProtection="0"/>
    <xf numFmtId="9" fontId="74" fillId="0" borderId="0" applyFont="0" applyFill="0" applyBorder="0" applyAlignment="0" applyProtection="0"/>
    <xf numFmtId="43" fontId="7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0" fontId="174" fillId="0" borderId="0" applyNumberFormat="0" applyFill="0" applyBorder="0" applyAlignment="0" applyProtection="0"/>
    <xf numFmtId="0" fontId="2" fillId="0" borderId="0"/>
    <xf numFmtId="0" fontId="4" fillId="0" borderId="0"/>
    <xf numFmtId="0" fontId="1" fillId="0" borderId="0"/>
    <xf numFmtId="0" fontId="179" fillId="0" borderId="0"/>
    <xf numFmtId="40" fontId="185" fillId="0" borderId="0" applyFont="0" applyFill="0" applyBorder="0" applyAlignment="0" applyProtection="0"/>
    <xf numFmtId="0" fontId="187" fillId="0" borderId="0"/>
    <xf numFmtId="0" fontId="6" fillId="0" borderId="0"/>
    <xf numFmtId="0" fontId="189" fillId="0" borderId="0"/>
  </cellStyleXfs>
  <cellXfs count="2502">
    <xf numFmtId="0" fontId="0" fillId="0" borderId="0" xfId="0"/>
    <xf numFmtId="0" fontId="5" fillId="0" borderId="0" xfId="0" applyFont="1"/>
    <xf numFmtId="0" fontId="7" fillId="0" borderId="0" xfId="48" applyFont="1" applyAlignment="1">
      <alignment horizontal="centerContinuous"/>
    </xf>
    <xf numFmtId="0" fontId="8" fillId="0" borderId="0" xfId="48" applyFont="1" applyAlignment="1">
      <alignment horizontal="centerContinuous"/>
    </xf>
    <xf numFmtId="38" fontId="9" fillId="0" borderId="0" xfId="48" applyNumberFormat="1" applyFont="1" applyAlignment="1">
      <alignment horizontal="centerContinuous"/>
    </xf>
    <xf numFmtId="38" fontId="7" fillId="0" borderId="0" xfId="48" applyNumberFormat="1" applyFont="1" applyAlignment="1">
      <alignment horizontal="centerContinuous"/>
    </xf>
    <xf numFmtId="0" fontId="12" fillId="0" borderId="0" xfId="48" applyFont="1" applyAlignment="1">
      <alignment horizontal="centerContinuous"/>
    </xf>
    <xf numFmtId="38" fontId="6" fillId="0" borderId="0" xfId="48" applyNumberFormat="1" applyFont="1" applyAlignment="1">
      <alignment horizontal="centerContinuous"/>
    </xf>
    <xf numFmtId="0" fontId="13" fillId="0" borderId="0" xfId="48" applyFont="1" applyAlignment="1">
      <alignment horizontal="center"/>
    </xf>
    <xf numFmtId="38" fontId="13" fillId="0" borderId="0" xfId="48" applyNumberFormat="1" applyFont="1" applyAlignment="1">
      <alignment horizontal="right"/>
    </xf>
    <xf numFmtId="0" fontId="14" fillId="0" borderId="0" xfId="48" applyFont="1" applyProtection="1">
      <protection locked="0"/>
    </xf>
    <xf numFmtId="0" fontId="6" fillId="0" borderId="0" xfId="48" applyFont="1"/>
    <xf numFmtId="0" fontId="15" fillId="0" borderId="0" xfId="0" applyFont="1" applyAlignment="1">
      <alignment horizontal="center"/>
    </xf>
    <xf numFmtId="0" fontId="16" fillId="0" borderId="0" xfId="48" applyFont="1" applyAlignment="1">
      <alignment horizontal="right"/>
    </xf>
    <xf numFmtId="0" fontId="16" fillId="0" borderId="0" xfId="48" applyFont="1" applyAlignment="1">
      <alignment horizontal="left"/>
    </xf>
    <xf numFmtId="0" fontId="7" fillId="0" borderId="0" xfId="0" applyFont="1" applyAlignment="1">
      <alignment horizontal="center"/>
    </xf>
    <xf numFmtId="38" fontId="8" fillId="0" borderId="0" xfId="48" applyNumberFormat="1" applyFont="1" applyAlignment="1">
      <alignment horizontal="centerContinuous"/>
    </xf>
    <xf numFmtId="38" fontId="12" fillId="0" borderId="0" xfId="48" applyNumberFormat="1" applyFont="1" applyAlignment="1">
      <alignment horizontal="centerContinuous"/>
    </xf>
    <xf numFmtId="0" fontId="11" fillId="0" borderId="0" xfId="48" applyFont="1" applyAlignment="1">
      <alignment horizontal="center"/>
    </xf>
    <xf numFmtId="38" fontId="17" fillId="0" borderId="0" xfId="48" applyNumberFormat="1" applyFont="1" applyAlignment="1">
      <alignment horizontal="center"/>
    </xf>
    <xf numFmtId="0" fontId="17" fillId="0" borderId="0" xfId="48" applyFont="1" applyAlignment="1">
      <alignment horizontal="right"/>
    </xf>
    <xf numFmtId="0" fontId="18" fillId="0" borderId="0" xfId="48" applyFont="1" applyAlignment="1">
      <alignment horizontal="right"/>
    </xf>
    <xf numFmtId="0" fontId="18" fillId="0" borderId="0" xfId="48" applyFont="1" applyAlignment="1">
      <alignment horizontal="left"/>
    </xf>
    <xf numFmtId="38" fontId="11" fillId="0" borderId="0" xfId="48" applyNumberFormat="1" applyFont="1"/>
    <xf numFmtId="164" fontId="17" fillId="0" borderId="0" xfId="48" applyNumberFormat="1" applyFont="1" applyAlignment="1">
      <alignment horizontal="right"/>
    </xf>
    <xf numFmtId="164" fontId="17" fillId="0" borderId="0" xfId="48" applyNumberFormat="1" applyFont="1" applyAlignment="1">
      <alignment horizontal="left"/>
    </xf>
    <xf numFmtId="164" fontId="11" fillId="0" borderId="0" xfId="0" applyNumberFormat="1" applyFont="1"/>
    <xf numFmtId="0" fontId="11" fillId="0" borderId="0" xfId="48" applyFont="1" applyAlignment="1" applyProtection="1">
      <alignment horizontal="center"/>
      <protection locked="0"/>
    </xf>
    <xf numFmtId="38" fontId="11" fillId="0" borderId="0" xfId="0" applyNumberFormat="1" applyFont="1"/>
    <xf numFmtId="0" fontId="11" fillId="0" borderId="0" xfId="48" applyFont="1"/>
    <xf numFmtId="38" fontId="17" fillId="0" borderId="0" xfId="48" applyNumberFormat="1" applyFont="1" applyAlignment="1">
      <alignment horizontal="right"/>
    </xf>
    <xf numFmtId="0" fontId="13" fillId="0" borderId="0" xfId="48" applyFont="1" applyProtection="1">
      <protection locked="0"/>
    </xf>
    <xf numFmtId="0" fontId="13" fillId="0" borderId="0" xfId="48" applyFont="1"/>
    <xf numFmtId="0" fontId="12" fillId="0" borderId="0" xfId="48" applyFont="1"/>
    <xf numFmtId="0" fontId="13" fillId="0" borderId="0" xfId="48" applyFont="1" applyAlignment="1" applyProtection="1">
      <alignment horizontal="center"/>
      <protection locked="0"/>
    </xf>
    <xf numFmtId="38" fontId="13" fillId="0" borderId="0" xfId="48" applyNumberFormat="1" applyFont="1"/>
    <xf numFmtId="0" fontId="11" fillId="0" borderId="0" xfId="0" applyFont="1" applyAlignment="1">
      <alignment horizontal="center"/>
    </xf>
    <xf numFmtId="0" fontId="5" fillId="0" borderId="0" xfId="0" applyFont="1" applyAlignment="1">
      <alignment horizontal="right"/>
    </xf>
    <xf numFmtId="0" fontId="11" fillId="0" borderId="0" xfId="0" applyFont="1"/>
    <xf numFmtId="38" fontId="5" fillId="0" borderId="0" xfId="0" applyNumberFormat="1" applyFont="1"/>
    <xf numFmtId="164" fontId="17" fillId="0" borderId="0" xfId="0" applyNumberFormat="1" applyFont="1" applyAlignment="1">
      <alignment horizontal="right"/>
    </xf>
    <xf numFmtId="10" fontId="17" fillId="0" borderId="0" xfId="55" applyNumberFormat="1" applyFont="1" applyFill="1" applyBorder="1" applyAlignment="1" applyProtection="1">
      <alignment horizontal="right"/>
    </xf>
    <xf numFmtId="3" fontId="17" fillId="0" borderId="0" xfId="48" applyNumberFormat="1" applyFont="1" applyAlignment="1">
      <alignment horizontal="right"/>
    </xf>
    <xf numFmtId="0" fontId="11" fillId="0" borderId="0" xfId="48" applyFont="1" applyAlignment="1">
      <alignment horizontal="right"/>
    </xf>
    <xf numFmtId="0" fontId="6" fillId="0" borderId="0" xfId="48" applyFont="1" applyAlignment="1">
      <alignment horizontal="right"/>
    </xf>
    <xf numFmtId="0" fontId="11" fillId="0" borderId="0" xfId="0" applyFont="1" applyAlignment="1">
      <alignment horizontal="right"/>
    </xf>
    <xf numFmtId="0" fontId="12" fillId="0" borderId="0" xfId="48" applyFont="1" applyProtection="1">
      <protection locked="0"/>
    </xf>
    <xf numFmtId="0" fontId="12" fillId="0" borderId="0" xfId="48" applyFont="1" applyAlignment="1">
      <alignment horizontal="left"/>
    </xf>
    <xf numFmtId="0" fontId="12" fillId="0" borderId="0" xfId="48" applyFont="1" applyAlignment="1" applyProtection="1">
      <alignment horizontal="center"/>
      <protection locked="0"/>
    </xf>
    <xf numFmtId="0" fontId="12" fillId="0" borderId="0" xfId="48" applyFont="1" applyAlignment="1" applyProtection="1">
      <alignment horizontal="left"/>
      <protection locked="0"/>
    </xf>
    <xf numFmtId="0" fontId="12" fillId="0" borderId="0" xfId="48" applyFont="1" applyAlignment="1">
      <alignment horizontal="center"/>
    </xf>
    <xf numFmtId="0" fontId="5" fillId="0" borderId="0" xfId="48" applyFont="1" applyAlignment="1">
      <alignment horizontal="center"/>
    </xf>
    <xf numFmtId="38" fontId="21" fillId="0" borderId="0" xfId="48" applyNumberFormat="1" applyFont="1" applyAlignment="1">
      <alignment horizontal="center"/>
    </xf>
    <xf numFmtId="0" fontId="22" fillId="0" borderId="0" xfId="0" applyFont="1" applyAlignment="1">
      <alignment horizontal="center"/>
    </xf>
    <xf numFmtId="0" fontId="12" fillId="0" borderId="0" xfId="0" applyFont="1"/>
    <xf numFmtId="0" fontId="14" fillId="0" borderId="0" xfId="48" applyFont="1" applyAlignment="1">
      <alignment horizontal="center"/>
    </xf>
    <xf numFmtId="38" fontId="21" fillId="0" borderId="0" xfId="48" applyNumberFormat="1" applyFont="1" applyAlignment="1">
      <alignment horizontal="right"/>
    </xf>
    <xf numFmtId="0" fontId="6" fillId="0" borderId="0" xfId="0" applyFont="1"/>
    <xf numFmtId="0" fontId="8" fillId="0" borderId="0" xfId="52" applyFont="1"/>
    <xf numFmtId="0" fontId="13" fillId="0" borderId="0" xfId="48" applyFont="1" applyAlignment="1">
      <alignment horizontal="left"/>
    </xf>
    <xf numFmtId="0" fontId="22" fillId="0" borderId="0" xfId="48" applyFont="1" applyAlignment="1" applyProtection="1">
      <alignment horizontal="left"/>
      <protection locked="0"/>
    </xf>
    <xf numFmtId="0" fontId="19" fillId="0" borderId="0" xfId="48" applyFont="1" applyProtection="1">
      <protection locked="0"/>
    </xf>
    <xf numFmtId="0" fontId="13" fillId="0" borderId="0" xfId="0" applyFont="1"/>
    <xf numFmtId="0" fontId="14" fillId="0" borderId="0" xfId="52" applyFont="1"/>
    <xf numFmtId="0" fontId="14" fillId="0" borderId="0" xfId="48" applyFont="1"/>
    <xf numFmtId="0" fontId="23" fillId="0" borderId="0" xfId="46" applyFont="1"/>
    <xf numFmtId="170" fontId="23" fillId="0" borderId="0" xfId="30" applyNumberFormat="1" applyFont="1"/>
    <xf numFmtId="38" fontId="12" fillId="0" borderId="0" xfId="48" applyNumberFormat="1" applyFont="1" applyAlignment="1">
      <alignment horizontal="right"/>
    </xf>
    <xf numFmtId="0" fontId="24" fillId="0" borderId="0" xfId="0" applyFont="1"/>
    <xf numFmtId="38" fontId="25" fillId="0" borderId="0" xfId="48" applyNumberFormat="1" applyFont="1" applyAlignment="1">
      <alignment horizontal="centerContinuous"/>
    </xf>
    <xf numFmtId="0" fontId="26" fillId="0" borderId="0" xfId="46" applyFont="1"/>
    <xf numFmtId="43" fontId="6" fillId="0" borderId="0" xfId="28" applyFont="1"/>
    <xf numFmtId="38" fontId="12" fillId="0" borderId="0" xfId="48" applyNumberFormat="1" applyFont="1" applyAlignment="1">
      <alignment horizontal="center"/>
    </xf>
    <xf numFmtId="0" fontId="29" fillId="0" borderId="0" xfId="48" applyFont="1" applyAlignment="1">
      <alignment horizontal="center"/>
    </xf>
    <xf numFmtId="0" fontId="29" fillId="0" borderId="0" xfId="48" applyFont="1" applyAlignment="1" applyProtection="1">
      <alignment horizontal="center"/>
      <protection locked="0"/>
    </xf>
    <xf numFmtId="0" fontId="12" fillId="0" borderId="0" xfId="0" applyFont="1" applyAlignment="1">
      <alignment horizontal="center"/>
    </xf>
    <xf numFmtId="0" fontId="29" fillId="0" borderId="0" xfId="0" applyFont="1" applyAlignment="1">
      <alignment horizontal="center"/>
    </xf>
    <xf numFmtId="0" fontId="22" fillId="0" borderId="0" xfId="48" applyFont="1" applyProtection="1">
      <protection locked="0"/>
    </xf>
    <xf numFmtId="0" fontId="22" fillId="0" borderId="0" xfId="48" applyFont="1" applyAlignment="1">
      <alignment horizontal="left"/>
    </xf>
    <xf numFmtId="0" fontId="14" fillId="0" borderId="0" xfId="0" applyFont="1"/>
    <xf numFmtId="3" fontId="12" fillId="0" borderId="0" xfId="48" applyNumberFormat="1" applyFont="1" applyAlignment="1" applyProtection="1">
      <alignment horizontal="center"/>
      <protection locked="0"/>
    </xf>
    <xf numFmtId="3" fontId="13" fillId="0" borderId="0" xfId="48" applyNumberFormat="1" applyFont="1" applyAlignment="1" applyProtection="1">
      <alignment horizontal="center"/>
      <protection locked="0"/>
    </xf>
    <xf numFmtId="0" fontId="13" fillId="0" borderId="0" xfId="0" applyFont="1" applyAlignment="1">
      <alignment horizontal="center"/>
    </xf>
    <xf numFmtId="0" fontId="8" fillId="0" borderId="0" xfId="0" applyFont="1" applyAlignment="1">
      <alignment horizontal="centerContinuous"/>
    </xf>
    <xf numFmtId="0" fontId="33" fillId="0" borderId="0" xfId="48" applyFont="1" applyAlignment="1">
      <alignment horizontal="left" vertical="center"/>
    </xf>
    <xf numFmtId="0" fontId="14" fillId="0" borderId="0" xfId="0" applyFont="1" applyAlignment="1">
      <alignment horizontal="left" vertical="center"/>
    </xf>
    <xf numFmtId="0" fontId="13" fillId="0" borderId="0" xfId="48" applyFont="1" applyAlignment="1" applyProtection="1">
      <alignment horizontal="left"/>
      <protection locked="0"/>
    </xf>
    <xf numFmtId="0" fontId="14" fillId="0" borderId="0" xfId="0" applyFont="1" applyAlignment="1">
      <alignment horizontal="left" vertical="center" wrapText="1"/>
    </xf>
    <xf numFmtId="0" fontId="14" fillId="0" borderId="0" xfId="0" applyFont="1" applyAlignment="1">
      <alignment vertical="center" wrapText="1"/>
    </xf>
    <xf numFmtId="0" fontId="12" fillId="0" borderId="10" xfId="48" applyFont="1" applyBorder="1" applyAlignment="1">
      <alignment horizontal="center"/>
    </xf>
    <xf numFmtId="0" fontId="0" fillId="0" borderId="0" xfId="0" applyAlignment="1">
      <alignment horizontal="centerContinuous"/>
    </xf>
    <xf numFmtId="9" fontId="8" fillId="0" borderId="0" xfId="52" applyNumberFormat="1" applyFont="1" applyAlignment="1">
      <alignment horizontal="center"/>
    </xf>
    <xf numFmtId="38" fontId="8" fillId="0" borderId="0" xfId="48" applyNumberFormat="1" applyFont="1" applyAlignment="1">
      <alignment horizontal="center"/>
    </xf>
    <xf numFmtId="0" fontId="38" fillId="0" borderId="0" xfId="48" applyFont="1" applyAlignment="1">
      <alignment horizontal="center"/>
    </xf>
    <xf numFmtId="0" fontId="6" fillId="0" borderId="0" xfId="0" applyFont="1" applyAlignment="1">
      <alignment horizontal="centerContinuous"/>
    </xf>
    <xf numFmtId="0" fontId="8" fillId="0" borderId="0" xfId="51" applyFont="1"/>
    <xf numFmtId="0" fontId="14" fillId="0" borderId="0" xfId="51" applyFont="1"/>
    <xf numFmtId="43" fontId="6" fillId="0" borderId="0" xfId="28" applyFont="1" applyBorder="1" applyAlignment="1">
      <alignment horizontal="centerContinuous"/>
    </xf>
    <xf numFmtId="38" fontId="12" fillId="0" borderId="11" xfId="48" applyNumberFormat="1" applyFont="1" applyBorder="1" applyAlignment="1">
      <alignment horizontal="right"/>
    </xf>
    <xf numFmtId="43" fontId="12" fillId="0" borderId="11" xfId="28" applyFont="1" applyFill="1" applyBorder="1"/>
    <xf numFmtId="0" fontId="34" fillId="0" borderId="12" xfId="0" applyFont="1" applyBorder="1" applyAlignment="1">
      <alignment horizontal="centerContinuous"/>
    </xf>
    <xf numFmtId="0" fontId="34" fillId="0" borderId="13" xfId="0" applyFont="1" applyBorder="1" applyAlignment="1">
      <alignment horizontal="centerContinuous"/>
    </xf>
    <xf numFmtId="0" fontId="6" fillId="0" borderId="13" xfId="0" applyFont="1" applyBorder="1" applyAlignment="1">
      <alignment horizontal="centerContinuous"/>
    </xf>
    <xf numFmtId="43" fontId="6" fillId="0" borderId="13" xfId="28" applyFont="1" applyBorder="1" applyAlignment="1">
      <alignment horizontal="centerContinuous"/>
    </xf>
    <xf numFmtId="0" fontId="8" fillId="0" borderId="14" xfId="0" applyFont="1" applyBorder="1" applyAlignment="1">
      <alignment horizontal="centerContinuous"/>
    </xf>
    <xf numFmtId="0" fontId="8" fillId="0" borderId="14" xfId="48" applyFont="1" applyBorder="1" applyAlignment="1">
      <alignment horizontal="centerContinuous"/>
    </xf>
    <xf numFmtId="165" fontId="6" fillId="0" borderId="0" xfId="28" applyNumberFormat="1" applyFont="1" applyFill="1" applyBorder="1"/>
    <xf numFmtId="0" fontId="8" fillId="0" borderId="14" xfId="46" applyFont="1" applyBorder="1"/>
    <xf numFmtId="0" fontId="14" fillId="0" borderId="0" xfId="46" applyFont="1"/>
    <xf numFmtId="165" fontId="14" fillId="0" borderId="0" xfId="28" applyNumberFormat="1" applyFont="1" applyFill="1" applyBorder="1"/>
    <xf numFmtId="165" fontId="14" fillId="0" borderId="15" xfId="28" applyNumberFormat="1" applyFont="1" applyFill="1" applyBorder="1"/>
    <xf numFmtId="170" fontId="14" fillId="0" borderId="0" xfId="30" applyNumberFormat="1" applyFont="1" applyBorder="1"/>
    <xf numFmtId="170" fontId="14" fillId="0" borderId="15" xfId="30" applyNumberFormat="1" applyFont="1" applyBorder="1"/>
    <xf numFmtId="0" fontId="8" fillId="0" borderId="0" xfId="46" applyFont="1"/>
    <xf numFmtId="0" fontId="8" fillId="0" borderId="16" xfId="46" applyFont="1" applyBorder="1"/>
    <xf numFmtId="0" fontId="14" fillId="0" borderId="17" xfId="46" applyFont="1" applyBorder="1"/>
    <xf numFmtId="170" fontId="14" fillId="0" borderId="17" xfId="30" applyNumberFormat="1" applyFont="1" applyBorder="1"/>
    <xf numFmtId="170" fontId="14" fillId="0" borderId="18" xfId="30" applyNumberFormat="1" applyFont="1" applyBorder="1"/>
    <xf numFmtId="170" fontId="23" fillId="0" borderId="13" xfId="30" applyNumberFormat="1" applyFont="1" applyBorder="1" applyAlignment="1">
      <alignment horizontal="centerContinuous"/>
    </xf>
    <xf numFmtId="170" fontId="23" fillId="0" borderId="19" xfId="30" applyNumberFormat="1" applyFont="1" applyBorder="1" applyAlignment="1">
      <alignment horizontal="centerContinuous"/>
    </xf>
    <xf numFmtId="170" fontId="23" fillId="0" borderId="0" xfId="30" applyNumberFormat="1" applyFont="1" applyBorder="1" applyAlignment="1">
      <alignment horizontal="centerContinuous"/>
    </xf>
    <xf numFmtId="170" fontId="23" fillId="0" borderId="15" xfId="30" applyNumberFormat="1" applyFont="1" applyBorder="1" applyAlignment="1">
      <alignment horizontal="centerContinuous"/>
    </xf>
    <xf numFmtId="0" fontId="34" fillId="0" borderId="14" xfId="46" applyFont="1" applyBorder="1"/>
    <xf numFmtId="0" fontId="8" fillId="0" borderId="0" xfId="46" applyFont="1" applyAlignment="1">
      <alignment horizontal="center"/>
    </xf>
    <xf numFmtId="0" fontId="14" fillId="0" borderId="20" xfId="46" applyFont="1" applyBorder="1"/>
    <xf numFmtId="170" fontId="14" fillId="24" borderId="20" xfId="30" applyNumberFormat="1" applyFont="1" applyFill="1" applyBorder="1"/>
    <xf numFmtId="165" fontId="14" fillId="24" borderId="20" xfId="28" applyNumberFormat="1" applyFont="1" applyFill="1" applyBorder="1"/>
    <xf numFmtId="165" fontId="14" fillId="24" borderId="21" xfId="28" applyNumberFormat="1" applyFont="1" applyFill="1" applyBorder="1"/>
    <xf numFmtId="0" fontId="14" fillId="0" borderId="22" xfId="46" applyFont="1" applyBorder="1"/>
    <xf numFmtId="0" fontId="8" fillId="0" borderId="22" xfId="46" applyFont="1" applyBorder="1"/>
    <xf numFmtId="170" fontId="14" fillId="24" borderId="21" xfId="30" applyNumberFormat="1" applyFont="1" applyFill="1" applyBorder="1"/>
    <xf numFmtId="9" fontId="8" fillId="0" borderId="0" xfId="55" applyFont="1" applyFill="1" applyBorder="1"/>
    <xf numFmtId="9" fontId="8" fillId="0" borderId="15" xfId="55" applyFont="1" applyFill="1" applyBorder="1"/>
    <xf numFmtId="0" fontId="27" fillId="0" borderId="23" xfId="0" applyFont="1" applyBorder="1" applyAlignment="1">
      <alignment horizontal="centerContinuous"/>
    </xf>
    <xf numFmtId="0" fontId="27" fillId="0" borderId="24" xfId="0" applyFont="1" applyBorder="1" applyAlignment="1">
      <alignment horizontal="centerContinuous"/>
    </xf>
    <xf numFmtId="0" fontId="6" fillId="0" borderId="24" xfId="0" applyFont="1" applyBorder="1" applyAlignment="1">
      <alignment horizontal="centerContinuous"/>
    </xf>
    <xf numFmtId="43" fontId="6" fillId="0" borderId="24" xfId="28" applyFont="1" applyBorder="1" applyAlignment="1">
      <alignment horizontal="centerContinuous"/>
    </xf>
    <xf numFmtId="170" fontId="23" fillId="0" borderId="24" xfId="30" applyNumberFormat="1" applyFont="1" applyBorder="1" applyAlignment="1">
      <alignment horizontal="centerContinuous"/>
    </xf>
    <xf numFmtId="170" fontId="23" fillId="0" borderId="25" xfId="30" applyNumberFormat="1" applyFont="1" applyBorder="1" applyAlignment="1">
      <alignment horizontal="centerContinuous"/>
    </xf>
    <xf numFmtId="170" fontId="14" fillId="0" borderId="26" xfId="30" applyNumberFormat="1" applyFont="1" applyBorder="1"/>
    <xf numFmtId="170" fontId="14" fillId="0" borderId="27" xfId="30" applyNumberFormat="1" applyFont="1" applyBorder="1"/>
    <xf numFmtId="38" fontId="36" fillId="0" borderId="0" xfId="48" applyNumberFormat="1" applyFont="1" applyAlignment="1">
      <alignment horizontal="centerContinuous"/>
    </xf>
    <xf numFmtId="38" fontId="12" fillId="0" borderId="0" xfId="48" applyNumberFormat="1" applyFont="1"/>
    <xf numFmtId="0" fontId="39" fillId="0" borderId="0" xfId="0" applyFont="1"/>
    <xf numFmtId="0" fontId="14" fillId="0" borderId="0" xfId="0" applyFont="1" applyAlignment="1">
      <alignment horizontal="centerContinuous"/>
    </xf>
    <xf numFmtId="0" fontId="8" fillId="0" borderId="0" xfId="0" applyFont="1"/>
    <xf numFmtId="0" fontId="36" fillId="0" borderId="0" xfId="48" applyFont="1" applyAlignment="1">
      <alignment horizontal="centerContinuous"/>
    </xf>
    <xf numFmtId="0" fontId="14" fillId="0" borderId="0" xfId="48" applyFont="1" applyAlignment="1">
      <alignment horizontal="centerContinuous"/>
    </xf>
    <xf numFmtId="0" fontId="13" fillId="0" borderId="0" xfId="48" applyFont="1" applyAlignment="1">
      <alignment horizontal="centerContinuous"/>
    </xf>
    <xf numFmtId="0" fontId="12" fillId="0" borderId="0" xfId="52" quotePrefix="1" applyFont="1" applyAlignment="1">
      <alignment horizontal="center"/>
    </xf>
    <xf numFmtId="0" fontId="14" fillId="0" borderId="0" xfId="52" applyFont="1" applyAlignment="1">
      <alignment horizontal="center"/>
    </xf>
    <xf numFmtId="172" fontId="14" fillId="0" borderId="0" xfId="0" applyNumberFormat="1" applyFont="1"/>
    <xf numFmtId="0" fontId="12" fillId="0" borderId="0" xfId="52" applyFont="1" applyAlignment="1">
      <alignment horizontal="center"/>
    </xf>
    <xf numFmtId="168" fontId="14" fillId="0" borderId="0" xfId="55" applyNumberFormat="1" applyFont="1" applyBorder="1"/>
    <xf numFmtId="0" fontId="14" fillId="0" borderId="0" xfId="0" applyFont="1" applyAlignment="1">
      <alignment wrapText="1"/>
    </xf>
    <xf numFmtId="0" fontId="12" fillId="0" borderId="0" xfId="52" quotePrefix="1" applyFont="1" applyAlignment="1">
      <alignment horizontal="center" wrapText="1"/>
    </xf>
    <xf numFmtId="0" fontId="41" fillId="0" borderId="0" xfId="0" applyFont="1"/>
    <xf numFmtId="0" fontId="8" fillId="0" borderId="0" xfId="48" applyFont="1" applyAlignment="1">
      <alignment horizontal="left"/>
    </xf>
    <xf numFmtId="0" fontId="8" fillId="0" borderId="28" xfId="48" applyFont="1" applyBorder="1" applyAlignment="1">
      <alignment horizontal="centerContinuous"/>
    </xf>
    <xf numFmtId="38" fontId="8" fillId="0" borderId="29" xfId="48" applyNumberFormat="1" applyFont="1" applyBorder="1" applyAlignment="1">
      <alignment horizontal="centerContinuous"/>
    </xf>
    <xf numFmtId="0" fontId="8" fillId="0" borderId="28" xfId="48" applyFont="1" applyBorder="1"/>
    <xf numFmtId="0" fontId="12" fillId="0" borderId="28" xfId="48" applyFont="1" applyBorder="1" applyAlignment="1">
      <alignment horizontal="center"/>
    </xf>
    <xf numFmtId="0" fontId="13" fillId="0" borderId="28" xfId="48" applyFont="1" applyBorder="1" applyAlignment="1">
      <alignment horizontal="center"/>
    </xf>
    <xf numFmtId="0" fontId="30" fillId="0" borderId="28" xfId="48" applyFont="1" applyBorder="1"/>
    <xf numFmtId="0" fontId="12" fillId="0" borderId="28" xfId="48" applyFont="1" applyBorder="1"/>
    <xf numFmtId="0" fontId="13" fillId="0" borderId="28" xfId="48" applyFont="1" applyBorder="1"/>
    <xf numFmtId="0" fontId="22" fillId="0" borderId="28" xfId="48" applyFont="1" applyBorder="1"/>
    <xf numFmtId="0" fontId="33" fillId="0" borderId="28" xfId="48" applyFont="1" applyBorder="1" applyAlignment="1">
      <alignment horizontal="left" vertical="center"/>
    </xf>
    <xf numFmtId="0" fontId="14" fillId="0" borderId="28" xfId="0" applyFont="1" applyBorder="1" applyAlignment="1">
      <alignment horizontal="left" vertical="center" wrapText="1"/>
    </xf>
    <xf numFmtId="0" fontId="31" fillId="0" borderId="28" xfId="48" applyFont="1" applyBorder="1"/>
    <xf numFmtId="0" fontId="14" fillId="0" borderId="28" xfId="0" applyFont="1" applyBorder="1"/>
    <xf numFmtId="0" fontId="5" fillId="0" borderId="29" xfId="0" applyFont="1" applyBorder="1"/>
    <xf numFmtId="0" fontId="33" fillId="0" borderId="30" xfId="48" applyFont="1" applyBorder="1"/>
    <xf numFmtId="0" fontId="13" fillId="0" borderId="3" xfId="48" applyFont="1" applyBorder="1"/>
    <xf numFmtId="0" fontId="13" fillId="0" borderId="3" xfId="48" applyFont="1" applyBorder="1" applyAlignment="1">
      <alignment horizontal="center"/>
    </xf>
    <xf numFmtId="38" fontId="13" fillId="0" borderId="3" xfId="48" applyNumberFormat="1" applyFont="1" applyBorder="1" applyAlignment="1">
      <alignment horizontal="right"/>
    </xf>
    <xf numFmtId="38" fontId="13" fillId="0" borderId="31" xfId="48" applyNumberFormat="1" applyFont="1" applyBorder="1" applyAlignment="1">
      <alignment horizontal="right"/>
    </xf>
    <xf numFmtId="0" fontId="27" fillId="0" borderId="28" xfId="48" applyFont="1" applyBorder="1" applyAlignment="1">
      <alignment horizontal="centerContinuous"/>
    </xf>
    <xf numFmtId="38" fontId="24" fillId="0" borderId="0" xfId="48" applyNumberFormat="1" applyFont="1"/>
    <xf numFmtId="38" fontId="11" fillId="0" borderId="29" xfId="48" applyNumberFormat="1" applyFont="1" applyBorder="1"/>
    <xf numFmtId="0" fontId="8" fillId="0" borderId="0" xfId="48" applyFont="1" applyAlignment="1">
      <alignment horizontal="center"/>
    </xf>
    <xf numFmtId="0" fontId="12" fillId="0" borderId="32" xfId="48" applyFont="1" applyBorder="1" applyAlignment="1">
      <alignment horizontal="center"/>
    </xf>
    <xf numFmtId="170" fontId="12" fillId="24" borderId="32" xfId="30" applyNumberFormat="1" applyFont="1" applyFill="1" applyBorder="1"/>
    <xf numFmtId="170" fontId="12" fillId="24" borderId="33" xfId="30" applyNumberFormat="1" applyFont="1" applyFill="1" applyBorder="1"/>
    <xf numFmtId="0" fontId="12" fillId="0" borderId="32" xfId="48" applyFont="1" applyBorder="1" applyAlignment="1" applyProtection="1">
      <alignment horizontal="center"/>
      <protection locked="0"/>
    </xf>
    <xf numFmtId="38" fontId="13" fillId="0" borderId="29" xfId="48" applyNumberFormat="1" applyFont="1" applyBorder="1" applyAlignment="1">
      <alignment horizontal="right"/>
    </xf>
    <xf numFmtId="1" fontId="12" fillId="0" borderId="32" xfId="48" applyNumberFormat="1" applyFont="1" applyBorder="1" applyAlignment="1">
      <alignment horizontal="center"/>
    </xf>
    <xf numFmtId="0" fontId="13" fillId="0" borderId="30" xfId="48" applyFont="1" applyBorder="1"/>
    <xf numFmtId="0" fontId="12" fillId="0" borderId="3" xfId="48" applyFont="1" applyBorder="1" applyProtection="1">
      <protection locked="0"/>
    </xf>
    <xf numFmtId="0" fontId="12" fillId="0" borderId="3" xfId="48" applyFont="1" applyBorder="1" applyAlignment="1">
      <alignment horizontal="center"/>
    </xf>
    <xf numFmtId="0" fontId="12" fillId="0" borderId="3" xfId="48" applyFont="1" applyBorder="1"/>
    <xf numFmtId="0" fontId="14" fillId="0" borderId="30" xfId="0" applyFont="1" applyBorder="1"/>
    <xf numFmtId="0" fontId="13" fillId="0" borderId="3" xfId="48" applyFont="1" applyBorder="1" applyProtection="1">
      <protection locked="0"/>
    </xf>
    <xf numFmtId="0" fontId="13" fillId="0" borderId="3" xfId="48" applyFont="1" applyBorder="1" applyAlignment="1" applyProtection="1">
      <alignment horizontal="center"/>
      <protection locked="0"/>
    </xf>
    <xf numFmtId="0" fontId="42" fillId="0" borderId="0" xfId="0" applyFont="1"/>
    <xf numFmtId="0" fontId="14" fillId="0" borderId="0" xfId="52" quotePrefix="1" applyFont="1" applyAlignment="1">
      <alignment horizontal="center"/>
    </xf>
    <xf numFmtId="0" fontId="14" fillId="0" borderId="0" xfId="48" applyFont="1" applyAlignment="1" applyProtection="1">
      <alignment horizontal="center"/>
      <protection locked="0"/>
    </xf>
    <xf numFmtId="38" fontId="14" fillId="0" borderId="0" xfId="52" applyNumberFormat="1" applyFont="1"/>
    <xf numFmtId="38" fontId="14" fillId="0" borderId="0" xfId="0" applyNumberFormat="1" applyFont="1" applyAlignment="1">
      <alignment horizontal="right"/>
    </xf>
    <xf numFmtId="0" fontId="8" fillId="0" borderId="28" xfId="48" applyFont="1" applyBorder="1" applyAlignment="1">
      <alignment horizontal="left"/>
    </xf>
    <xf numFmtId="38" fontId="14" fillId="0" borderId="29" xfId="0" applyNumberFormat="1" applyFont="1" applyBorder="1" applyAlignment="1">
      <alignment horizontal="right"/>
    </xf>
    <xf numFmtId="0" fontId="8" fillId="0" borderId="28" xfId="52" applyFont="1" applyBorder="1"/>
    <xf numFmtId="0" fontId="8" fillId="0" borderId="28" xfId="0" applyFont="1" applyBorder="1"/>
    <xf numFmtId="0" fontId="14" fillId="0" borderId="3" xfId="0" applyFont="1" applyBorder="1"/>
    <xf numFmtId="0" fontId="14" fillId="0" borderId="31" xfId="0" applyFont="1" applyBorder="1"/>
    <xf numFmtId="0" fontId="14" fillId="0" borderId="3" xfId="52" applyFont="1" applyBorder="1"/>
    <xf numFmtId="0" fontId="14" fillId="0" borderId="3" xfId="52" applyFont="1" applyBorder="1" applyAlignment="1">
      <alignment horizontal="center"/>
    </xf>
    <xf numFmtId="0" fontId="12" fillId="0" borderId="28" xfId="0" applyFont="1" applyBorder="1"/>
    <xf numFmtId="38" fontId="8" fillId="0" borderId="29" xfId="48" applyNumberFormat="1" applyFont="1" applyBorder="1" applyAlignment="1">
      <alignment horizontal="center"/>
    </xf>
    <xf numFmtId="0" fontId="30" fillId="0" borderId="28" xfId="48" applyFont="1" applyBorder="1" applyAlignment="1">
      <alignment horizontal="left"/>
    </xf>
    <xf numFmtId="0" fontId="12" fillId="0" borderId="28" xfId="48" applyFont="1" applyBorder="1" applyAlignment="1">
      <alignment horizontal="left"/>
    </xf>
    <xf numFmtId="0" fontId="22" fillId="0" borderId="28" xfId="48" applyFont="1" applyBorder="1" applyAlignment="1">
      <alignment horizontal="left"/>
    </xf>
    <xf numFmtId="0" fontId="32" fillId="0" borderId="28" xfId="48" applyFont="1" applyBorder="1"/>
    <xf numFmtId="0" fontId="33" fillId="0" borderId="28" xfId="48" applyFont="1" applyBorder="1"/>
    <xf numFmtId="0" fontId="5" fillId="0" borderId="28" xfId="0" applyFont="1" applyBorder="1"/>
    <xf numFmtId="0" fontId="5" fillId="0" borderId="30" xfId="0" applyFont="1" applyBorder="1"/>
    <xf numFmtId="0" fontId="5" fillId="0" borderId="3" xfId="0" applyFont="1" applyBorder="1"/>
    <xf numFmtId="0" fontId="5" fillId="0" borderId="31" xfId="0" applyFont="1" applyBorder="1"/>
    <xf numFmtId="0" fontId="8" fillId="0" borderId="34" xfId="48" applyFont="1" applyBorder="1" applyAlignment="1">
      <alignment horizontal="center"/>
    </xf>
    <xf numFmtId="0" fontId="14" fillId="0" borderId="29" xfId="0" applyFont="1" applyBorder="1"/>
    <xf numFmtId="0" fontId="14" fillId="0" borderId="0" xfId="48" applyFont="1" applyAlignment="1">
      <alignment horizontal="left"/>
    </xf>
    <xf numFmtId="38" fontId="14" fillId="0" borderId="0" xfId="48" applyNumberFormat="1" applyFont="1" applyAlignment="1">
      <alignment horizontal="right"/>
    </xf>
    <xf numFmtId="38" fontId="14" fillId="0" borderId="29" xfId="48" applyNumberFormat="1" applyFont="1" applyBorder="1" applyAlignment="1">
      <alignment horizontal="right"/>
    </xf>
    <xf numFmtId="0" fontId="0" fillId="0" borderId="29" xfId="0" applyBorder="1" applyAlignment="1">
      <alignment horizontal="centerContinuous"/>
    </xf>
    <xf numFmtId="0" fontId="35" fillId="0" borderId="28" xfId="0" applyFont="1" applyBorder="1" applyAlignment="1">
      <alignment horizontal="centerContinuous"/>
    </xf>
    <xf numFmtId="0" fontId="36" fillId="0" borderId="28" xfId="48" applyFont="1" applyBorder="1" applyAlignment="1">
      <alignment horizontal="centerContinuous"/>
    </xf>
    <xf numFmtId="38" fontId="12" fillId="0" borderId="29" xfId="48" applyNumberFormat="1" applyFont="1" applyBorder="1" applyAlignment="1">
      <alignment horizontal="right"/>
    </xf>
    <xf numFmtId="0" fontId="37" fillId="0" borderId="28" xfId="48" applyFont="1" applyBorder="1"/>
    <xf numFmtId="0" fontId="14" fillId="0" borderId="28" xfId="48" applyFont="1" applyBorder="1"/>
    <xf numFmtId="38" fontId="14" fillId="24" borderId="35" xfId="48" applyNumberFormat="1" applyFont="1" applyFill="1" applyBorder="1" applyAlignment="1">
      <alignment horizontal="right"/>
    </xf>
    <xf numFmtId="38" fontId="14" fillId="24" borderId="36" xfId="48" applyNumberFormat="1" applyFont="1" applyFill="1" applyBorder="1" applyAlignment="1">
      <alignment horizontal="right"/>
    </xf>
    <xf numFmtId="38" fontId="14" fillId="24" borderId="37" xfId="48" applyNumberFormat="1" applyFont="1" applyFill="1" applyBorder="1" applyAlignment="1">
      <alignment horizontal="right"/>
    </xf>
    <xf numFmtId="0" fontId="14" fillId="0" borderId="38" xfId="0" applyFont="1" applyBorder="1"/>
    <xf numFmtId="0" fontId="5" fillId="0" borderId="39" xfId="0" applyFont="1" applyBorder="1"/>
    <xf numFmtId="0" fontId="5" fillId="0" borderId="40" xfId="0" applyFont="1" applyBorder="1"/>
    <xf numFmtId="0" fontId="0" fillId="0" borderId="41" xfId="0" applyBorder="1" applyAlignment="1">
      <alignment horizontal="centerContinuous"/>
    </xf>
    <xf numFmtId="0" fontId="0" fillId="0" borderId="42" xfId="0" applyBorder="1" applyAlignment="1">
      <alignment horizontal="centerContinuous"/>
    </xf>
    <xf numFmtId="0" fontId="8" fillId="0" borderId="29" xfId="48" applyFont="1" applyBorder="1" applyAlignment="1">
      <alignment horizontal="center"/>
    </xf>
    <xf numFmtId="0" fontId="6" fillId="0" borderId="29" xfId="0" applyFont="1" applyBorder="1"/>
    <xf numFmtId="0" fontId="6" fillId="0" borderId="3" xfId="0" applyFont="1" applyBorder="1"/>
    <xf numFmtId="43" fontId="24" fillId="0" borderId="3" xfId="28" applyFont="1" applyFill="1" applyBorder="1"/>
    <xf numFmtId="0" fontId="6" fillId="0" borderId="31" xfId="0" applyFont="1" applyBorder="1"/>
    <xf numFmtId="0" fontId="8" fillId="0" borderId="43" xfId="48" applyFont="1" applyBorder="1" applyAlignment="1">
      <alignment horizontal="centerContinuous"/>
    </xf>
    <xf numFmtId="0" fontId="8" fillId="0" borderId="44" xfId="48" applyFont="1" applyBorder="1" applyAlignment="1">
      <alignment horizontal="center"/>
    </xf>
    <xf numFmtId="0" fontId="12" fillId="0" borderId="29" xfId="0" applyFont="1" applyBorder="1"/>
    <xf numFmtId="43" fontId="6" fillId="0" borderId="0" xfId="28" applyFont="1" applyFill="1" applyBorder="1"/>
    <xf numFmtId="165" fontId="12" fillId="0" borderId="32" xfId="28" applyNumberFormat="1" applyFont="1" applyFill="1" applyBorder="1" applyAlignment="1">
      <alignment horizontal="center"/>
    </xf>
    <xf numFmtId="3" fontId="12" fillId="24" borderId="33" xfId="0" applyNumberFormat="1" applyFont="1" applyFill="1" applyBorder="1"/>
    <xf numFmtId="0" fontId="12" fillId="0" borderId="45" xfId="48" applyFont="1" applyBorder="1" applyAlignment="1">
      <alignment horizontal="center"/>
    </xf>
    <xf numFmtId="165" fontId="12" fillId="24" borderId="32" xfId="28" applyNumberFormat="1" applyFont="1" applyFill="1" applyBorder="1"/>
    <xf numFmtId="0" fontId="12" fillId="0" borderId="10" xfId="48" applyFont="1" applyBorder="1" applyAlignment="1" applyProtection="1">
      <alignment horizontal="center"/>
      <protection locked="0"/>
    </xf>
    <xf numFmtId="38" fontId="13" fillId="0" borderId="29" xfId="48" applyNumberFormat="1" applyFont="1" applyBorder="1"/>
    <xf numFmtId="38" fontId="12" fillId="0" borderId="29" xfId="48" applyNumberFormat="1" applyFont="1" applyBorder="1"/>
    <xf numFmtId="0" fontId="14" fillId="0" borderId="29" xfId="0" applyFont="1" applyBorder="1" applyAlignment="1">
      <alignment horizontal="centerContinuous"/>
    </xf>
    <xf numFmtId="38" fontId="40" fillId="0" borderId="29" xfId="48" applyNumberFormat="1" applyFont="1" applyBorder="1"/>
    <xf numFmtId="38" fontId="40" fillId="0" borderId="29" xfId="48" applyNumberFormat="1" applyFont="1" applyBorder="1" applyAlignment="1">
      <alignment horizontal="centerContinuous"/>
    </xf>
    <xf numFmtId="0" fontId="41" fillId="0" borderId="28" xfId="0" applyFont="1" applyBorder="1" applyAlignment="1">
      <alignment wrapText="1"/>
    </xf>
    <xf numFmtId="0" fontId="41" fillId="0" borderId="28" xfId="0" applyFont="1" applyBorder="1"/>
    <xf numFmtId="0" fontId="14" fillId="0" borderId="30" xfId="0" applyFont="1" applyBorder="1" applyAlignment="1">
      <alignment horizontal="left"/>
    </xf>
    <xf numFmtId="0" fontId="8" fillId="25" borderId="46" xfId="0" applyFont="1" applyFill="1" applyBorder="1" applyAlignment="1">
      <alignment horizontal="centerContinuous"/>
    </xf>
    <xf numFmtId="0" fontId="36" fillId="25" borderId="46" xfId="48" applyFont="1" applyFill="1" applyBorder="1" applyAlignment="1">
      <alignment horizontal="centerContinuous"/>
    </xf>
    <xf numFmtId="0" fontId="14" fillId="25" borderId="46" xfId="48" applyFont="1" applyFill="1" applyBorder="1" applyAlignment="1">
      <alignment horizontal="centerContinuous"/>
    </xf>
    <xf numFmtId="0" fontId="14" fillId="25" borderId="47" xfId="48" applyFont="1" applyFill="1" applyBorder="1" applyAlignment="1">
      <alignment horizontal="centerContinuous"/>
    </xf>
    <xf numFmtId="0" fontId="8" fillId="0" borderId="48" xfId="0" applyFont="1" applyBorder="1" applyAlignment="1">
      <alignment horizontal="center"/>
    </xf>
    <xf numFmtId="38" fontId="8" fillId="0" borderId="49" xfId="48" applyNumberFormat="1" applyFont="1" applyBorder="1" applyAlignment="1">
      <alignment horizontal="center"/>
    </xf>
    <xf numFmtId="38" fontId="8" fillId="0" borderId="48" xfId="48" applyNumberFormat="1" applyFont="1" applyBorder="1" applyAlignment="1">
      <alignment horizontal="center"/>
    </xf>
    <xf numFmtId="165" fontId="12" fillId="24" borderId="33" xfId="28" applyNumberFormat="1" applyFont="1" applyFill="1" applyBorder="1"/>
    <xf numFmtId="0" fontId="8" fillId="0" borderId="28" xfId="48" applyFont="1" applyBorder="1" applyProtection="1">
      <protection locked="0"/>
    </xf>
    <xf numFmtId="0" fontId="8" fillId="0" borderId="28" xfId="0" applyFont="1" applyBorder="1" applyAlignment="1">
      <alignment horizontal="left"/>
    </xf>
    <xf numFmtId="0" fontId="8" fillId="0" borderId="28" xfId="48" applyFont="1" applyBorder="1" applyAlignment="1" applyProtection="1">
      <alignment horizontal="left"/>
      <protection locked="0"/>
    </xf>
    <xf numFmtId="38" fontId="5" fillId="0" borderId="29" xfId="0" applyNumberFormat="1" applyFont="1" applyBorder="1" applyAlignment="1">
      <alignment horizontal="right"/>
    </xf>
    <xf numFmtId="38" fontId="11" fillId="0" borderId="3" xfId="48" applyNumberFormat="1" applyFont="1" applyBorder="1"/>
    <xf numFmtId="38" fontId="17" fillId="0" borderId="3" xfId="48" applyNumberFormat="1" applyFont="1" applyBorder="1" applyAlignment="1">
      <alignment horizontal="right"/>
    </xf>
    <xf numFmtId="38" fontId="5" fillId="0" borderId="31" xfId="0" applyNumberFormat="1" applyFont="1" applyBorder="1" applyAlignment="1">
      <alignment horizontal="right"/>
    </xf>
    <xf numFmtId="0" fontId="12" fillId="0" borderId="3" xfId="52" quotePrefix="1" applyFont="1" applyBorder="1" applyAlignment="1">
      <alignment horizontal="center"/>
    </xf>
    <xf numFmtId="172" fontId="14" fillId="0" borderId="3" xfId="0" applyNumberFormat="1" applyFont="1" applyBorder="1"/>
    <xf numFmtId="0" fontId="8" fillId="0" borderId="50" xfId="0" applyFont="1" applyBorder="1"/>
    <xf numFmtId="0" fontId="14" fillId="0" borderId="51" xfId="0" applyFont="1" applyBorder="1"/>
    <xf numFmtId="0" fontId="8" fillId="0" borderId="52" xfId="0" applyFont="1" applyBorder="1" applyAlignment="1">
      <alignment horizontal="center"/>
    </xf>
    <xf numFmtId="38" fontId="8" fillId="0" borderId="53" xfId="48" applyNumberFormat="1" applyFont="1" applyBorder="1" applyAlignment="1">
      <alignment horizontal="center"/>
    </xf>
    <xf numFmtId="0" fontId="8" fillId="0" borderId="51" xfId="0" applyFont="1" applyBorder="1"/>
    <xf numFmtId="0" fontId="60" fillId="0" borderId="29" xfId="0" applyFont="1" applyBorder="1"/>
    <xf numFmtId="10" fontId="60" fillId="0" borderId="0" xfId="0" applyNumberFormat="1" applyFont="1"/>
    <xf numFmtId="0" fontId="8" fillId="0" borderId="48" xfId="48" applyFont="1" applyBorder="1" applyAlignment="1">
      <alignment horizontal="center"/>
    </xf>
    <xf numFmtId="6" fontId="14" fillId="0" borderId="0" xfId="52" applyNumberFormat="1" applyFont="1"/>
    <xf numFmtId="6" fontId="14" fillId="0" borderId="29" xfId="52" applyNumberFormat="1" applyFont="1" applyBorder="1"/>
    <xf numFmtId="49" fontId="12" fillId="0" borderId="32" xfId="48" applyNumberFormat="1" applyFont="1" applyBorder="1" applyAlignment="1" applyProtection="1">
      <alignment horizontal="center"/>
      <protection locked="0"/>
    </xf>
    <xf numFmtId="0" fontId="8" fillId="0" borderId="54" xfId="48" applyFont="1" applyBorder="1" applyAlignment="1">
      <alignment horizontal="center"/>
    </xf>
    <xf numFmtId="0" fontId="14" fillId="0" borderId="55" xfId="0" applyFont="1" applyBorder="1"/>
    <xf numFmtId="0" fontId="8" fillId="0" borderId="56" xfId="0" applyFont="1" applyBorder="1" applyAlignment="1">
      <alignment horizontal="center"/>
    </xf>
    <xf numFmtId="0" fontId="8" fillId="0" borderId="56" xfId="52" applyFont="1" applyBorder="1" applyAlignment="1">
      <alignment horizontal="center"/>
    </xf>
    <xf numFmtId="0" fontId="8" fillId="0" borderId="57" xfId="52" applyFont="1" applyBorder="1" applyAlignment="1">
      <alignment horizontal="center"/>
    </xf>
    <xf numFmtId="0" fontId="8" fillId="0" borderId="55" xfId="0" applyFont="1" applyBorder="1"/>
    <xf numFmtId="0" fontId="8" fillId="0" borderId="52" xfId="0" applyFont="1" applyBorder="1"/>
    <xf numFmtId="0" fontId="8" fillId="0" borderId="58" xfId="52" applyFont="1" applyBorder="1" applyAlignment="1">
      <alignment horizontal="center"/>
    </xf>
    <xf numFmtId="0" fontId="8" fillId="0" borderId="59" xfId="0" applyFont="1" applyBorder="1"/>
    <xf numFmtId="0" fontId="8" fillId="0" borderId="60" xfId="0" applyFont="1" applyBorder="1" applyAlignment="1">
      <alignment horizontal="center"/>
    </xf>
    <xf numFmtId="0" fontId="8" fillId="0" borderId="60" xfId="52" applyFont="1" applyBorder="1" applyAlignment="1">
      <alignment horizontal="center"/>
    </xf>
    <xf numFmtId="0" fontId="8" fillId="0" borderId="61" xfId="52" applyFont="1" applyBorder="1" applyAlignment="1">
      <alignment horizontal="center"/>
    </xf>
    <xf numFmtId="0" fontId="8" fillId="0" borderId="59" xfId="0" applyFont="1" applyBorder="1" applyAlignment="1">
      <alignment horizontal="center"/>
    </xf>
    <xf numFmtId="0" fontId="61" fillId="0" borderId="32" xfId="48" applyFont="1" applyBorder="1" applyAlignment="1" applyProtection="1">
      <alignment horizontal="center"/>
      <protection locked="0"/>
    </xf>
    <xf numFmtId="0" fontId="60" fillId="0" borderId="0" xfId="52" applyFont="1" applyAlignment="1">
      <alignment horizontal="center"/>
    </xf>
    <xf numFmtId="0" fontId="8" fillId="0" borderId="20" xfId="46" applyFont="1" applyBorder="1" applyAlignment="1">
      <alignment horizontal="center" vertical="center"/>
    </xf>
    <xf numFmtId="170" fontId="8" fillId="0" borderId="20" xfId="30" applyNumberFormat="1" applyFont="1" applyBorder="1" applyAlignment="1">
      <alignment horizontal="center" vertical="center"/>
    </xf>
    <xf numFmtId="170" fontId="8" fillId="0" borderId="21" xfId="30" applyNumberFormat="1" applyFont="1" applyBorder="1" applyAlignment="1">
      <alignment horizontal="center" vertical="center"/>
    </xf>
    <xf numFmtId="38" fontId="8" fillId="0" borderId="62" xfId="48" applyNumberFormat="1" applyFont="1" applyBorder="1" applyAlignment="1">
      <alignment horizontal="center" vertical="center"/>
    </xf>
    <xf numFmtId="38" fontId="8" fillId="0" borderId="63" xfId="48" applyNumberFormat="1" applyFont="1" applyBorder="1" applyAlignment="1">
      <alignment horizontal="center" vertical="center"/>
    </xf>
    <xf numFmtId="38" fontId="17" fillId="0" borderId="64" xfId="48" applyNumberFormat="1" applyFont="1" applyBorder="1" applyAlignment="1">
      <alignment horizontal="center" vertical="center"/>
    </xf>
    <xf numFmtId="0" fontId="8" fillId="0" borderId="34" xfId="48" applyFont="1" applyBorder="1" applyAlignment="1">
      <alignment horizontal="center" vertical="center"/>
    </xf>
    <xf numFmtId="0" fontId="8" fillId="0" borderId="65" xfId="48" applyFont="1" applyBorder="1" applyAlignment="1">
      <alignment horizontal="center" vertical="center"/>
    </xf>
    <xf numFmtId="38" fontId="8" fillId="0" borderId="66" xfId="48" applyNumberFormat="1" applyFont="1" applyBorder="1" applyAlignment="1">
      <alignment horizontal="center" vertical="center"/>
    </xf>
    <xf numFmtId="0" fontId="8" fillId="0" borderId="67" xfId="48" applyFont="1" applyBorder="1" applyAlignment="1">
      <alignment horizontal="center" vertical="center"/>
    </xf>
    <xf numFmtId="0" fontId="8" fillId="0" borderId="68" xfId="48" applyFont="1" applyBorder="1" applyAlignment="1">
      <alignment horizontal="center" vertical="center"/>
    </xf>
    <xf numFmtId="0" fontId="8" fillId="0" borderId="69" xfId="48" applyFont="1" applyBorder="1" applyAlignment="1">
      <alignment horizontal="center" vertical="center"/>
    </xf>
    <xf numFmtId="38" fontId="8" fillId="0" borderId="70" xfId="48" applyNumberFormat="1" applyFont="1" applyBorder="1" applyAlignment="1">
      <alignment horizontal="center" vertical="center"/>
    </xf>
    <xf numFmtId="0" fontId="8" fillId="0" borderId="71" xfId="48" applyFont="1" applyBorder="1" applyAlignment="1">
      <alignment horizontal="centerContinuous" vertical="center"/>
    </xf>
    <xf numFmtId="0" fontId="13" fillId="0" borderId="47" xfId="48" applyFont="1" applyBorder="1" applyAlignment="1">
      <alignment horizontal="centerContinuous" vertical="center"/>
    </xf>
    <xf numFmtId="0" fontId="8" fillId="0" borderId="72" xfId="48" applyFont="1" applyBorder="1" applyAlignment="1">
      <alignment horizontal="centerContinuous" vertical="center"/>
    </xf>
    <xf numFmtId="0" fontId="8" fillId="0" borderId="73" xfId="48" applyFont="1" applyBorder="1" applyAlignment="1">
      <alignment horizontal="centerContinuous" vertical="center"/>
    </xf>
    <xf numFmtId="0" fontId="8" fillId="0" borderId="74" xfId="48" applyFont="1" applyBorder="1" applyAlignment="1">
      <alignment horizontal="centerContinuous" vertical="center"/>
    </xf>
    <xf numFmtId="0" fontId="8" fillId="0" borderId="75" xfId="48" applyFont="1" applyBorder="1" applyAlignment="1">
      <alignment horizontal="centerContinuous" vertical="center"/>
    </xf>
    <xf numFmtId="0" fontId="8" fillId="0" borderId="44" xfId="48" applyFont="1" applyBorder="1" applyAlignment="1">
      <alignment horizontal="centerContinuous" vertical="center"/>
    </xf>
    <xf numFmtId="0" fontId="8" fillId="0" borderId="43" xfId="48" applyFont="1" applyBorder="1" applyAlignment="1">
      <alignment horizontal="center" vertical="center"/>
    </xf>
    <xf numFmtId="0" fontId="8" fillId="0" borderId="44" xfId="48" applyFont="1" applyBorder="1" applyAlignment="1">
      <alignment horizontal="center" vertical="center"/>
    </xf>
    <xf numFmtId="38" fontId="8" fillId="0" borderId="76" xfId="48" applyNumberFormat="1" applyFont="1" applyBorder="1" applyAlignment="1">
      <alignment horizontal="center" vertical="center"/>
    </xf>
    <xf numFmtId="0" fontId="8" fillId="0" borderId="77" xfId="48" applyFont="1" applyBorder="1" applyAlignment="1">
      <alignment horizontal="centerContinuous" vertical="center"/>
    </xf>
    <xf numFmtId="38" fontId="8" fillId="0" borderId="78" xfId="48" applyNumberFormat="1" applyFont="1" applyBorder="1" applyAlignment="1">
      <alignment horizontal="center" vertical="center"/>
    </xf>
    <xf numFmtId="0" fontId="8" fillId="0" borderId="62" xfId="48" applyFont="1" applyBorder="1" applyAlignment="1">
      <alignment horizontal="centerContinuous" vertical="center"/>
    </xf>
    <xf numFmtId="0" fontId="13" fillId="0" borderId="62" xfId="48" applyFont="1" applyBorder="1" applyAlignment="1">
      <alignment horizontal="centerContinuous" vertical="center"/>
    </xf>
    <xf numFmtId="38" fontId="36" fillId="0" borderId="29" xfId="48" applyNumberFormat="1" applyFont="1" applyBorder="1" applyAlignment="1">
      <alignment horizontal="centerContinuous"/>
    </xf>
    <xf numFmtId="0" fontId="60" fillId="0" borderId="0" xfId="52" quotePrefix="1" applyFont="1" applyAlignment="1">
      <alignment horizontal="center"/>
    </xf>
    <xf numFmtId="0" fontId="8" fillId="25" borderId="79" xfId="0" applyFont="1" applyFill="1" applyBorder="1" applyAlignment="1">
      <alignment horizontal="centerContinuous" vertical="center"/>
    </xf>
    <xf numFmtId="0" fontId="10" fillId="0" borderId="28" xfId="48" applyFont="1" applyBorder="1" applyAlignment="1">
      <alignment horizontal="centerContinuous"/>
    </xf>
    <xf numFmtId="38" fontId="12" fillId="24" borderId="32" xfId="28" applyNumberFormat="1" applyFont="1" applyFill="1" applyBorder="1" applyProtection="1"/>
    <xf numFmtId="38" fontId="22" fillId="0" borderId="0" xfId="48" applyNumberFormat="1" applyFont="1"/>
    <xf numFmtId="38" fontId="12" fillId="0" borderId="0" xfId="28" applyNumberFormat="1" applyFont="1" applyFill="1" applyBorder="1" applyAlignment="1" applyProtection="1">
      <alignment horizontal="right"/>
      <protection locked="0"/>
    </xf>
    <xf numFmtId="38" fontId="12" fillId="0" borderId="0" xfId="28" applyNumberFormat="1" applyFont="1" applyBorder="1"/>
    <xf numFmtId="38" fontId="12" fillId="0" borderId="0" xfId="0" applyNumberFormat="1" applyFont="1" applyAlignment="1">
      <alignment horizontal="right"/>
    </xf>
    <xf numFmtId="38" fontId="12" fillId="0" borderId="0" xfId="0" applyNumberFormat="1" applyFont="1"/>
    <xf numFmtId="38" fontId="12" fillId="0" borderId="29" xfId="0" applyNumberFormat="1" applyFont="1" applyBorder="1"/>
    <xf numFmtId="0" fontId="0" fillId="0" borderId="28" xfId="0" applyBorder="1"/>
    <xf numFmtId="0" fontId="0" fillId="0" borderId="30" xfId="0" applyBorder="1"/>
    <xf numFmtId="0" fontId="0" fillId="0" borderId="80" xfId="0" applyBorder="1"/>
    <xf numFmtId="0" fontId="0" fillId="0" borderId="81" xfId="0" applyBorder="1"/>
    <xf numFmtId="0" fontId="8" fillId="0" borderId="74" xfId="48" applyFont="1" applyBorder="1" applyAlignment="1">
      <alignment horizontal="center" vertical="center"/>
    </xf>
    <xf numFmtId="0" fontId="8" fillId="0" borderId="62" xfId="48" applyFont="1" applyBorder="1" applyAlignment="1">
      <alignment horizontal="center" vertical="center"/>
    </xf>
    <xf numFmtId="0" fontId="60" fillId="0" borderId="82" xfId="52" applyFont="1" applyBorder="1" applyAlignment="1">
      <alignment horizontal="centerContinuous"/>
    </xf>
    <xf numFmtId="0" fontId="60" fillId="0" borderId="83" xfId="0" applyFont="1" applyBorder="1" applyAlignment="1">
      <alignment horizontal="centerContinuous"/>
    </xf>
    <xf numFmtId="0" fontId="60" fillId="0" borderId="41" xfId="0" applyFont="1" applyBorder="1" applyAlignment="1">
      <alignment horizontal="centerContinuous"/>
    </xf>
    <xf numFmtId="0" fontId="60" fillId="0" borderId="42" xfId="0" applyFont="1" applyBorder="1" applyAlignment="1">
      <alignment horizontal="centerContinuous"/>
    </xf>
    <xf numFmtId="0" fontId="60" fillId="0" borderId="43" xfId="52" applyFont="1" applyBorder="1" applyAlignment="1">
      <alignment horizontal="center"/>
    </xf>
    <xf numFmtId="0" fontId="60" fillId="0" borderId="44" xfId="52" applyFont="1" applyBorder="1" applyAlignment="1">
      <alignment horizontal="center"/>
    </xf>
    <xf numFmtId="168" fontId="14" fillId="0" borderId="0" xfId="0" applyNumberFormat="1" applyFont="1"/>
    <xf numFmtId="0" fontId="10" fillId="0" borderId="0" xfId="48" applyFont="1"/>
    <xf numFmtId="0" fontId="10" fillId="0" borderId="29" xfId="48" applyFont="1" applyBorder="1"/>
    <xf numFmtId="0" fontId="0" fillId="0" borderId="29" xfId="0" applyBorder="1"/>
    <xf numFmtId="44" fontId="0" fillId="0" borderId="0" xfId="30" applyFont="1" applyBorder="1" applyAlignment="1">
      <alignment horizontal="right"/>
    </xf>
    <xf numFmtId="44" fontId="0" fillId="0" borderId="29" xfId="30" applyFont="1" applyBorder="1" applyAlignment="1">
      <alignment horizontal="right"/>
    </xf>
    <xf numFmtId="168" fontId="12" fillId="0" borderId="0" xfId="55" quotePrefix="1" applyNumberFormat="1" applyFont="1" applyBorder="1" applyAlignment="1">
      <alignment horizontal="center"/>
    </xf>
    <xf numFmtId="0" fontId="64" fillId="0" borderId="0" xfId="0" applyFont="1"/>
    <xf numFmtId="0" fontId="65" fillId="0" borderId="0" xfId="48" applyFont="1"/>
    <xf numFmtId="0" fontId="65" fillId="0" borderId="28" xfId="48" applyFont="1" applyBorder="1" applyAlignment="1">
      <alignment horizontal="centerContinuous"/>
    </xf>
    <xf numFmtId="0" fontId="63" fillId="0" borderId="28" xfId="48" applyFont="1" applyBorder="1" applyAlignment="1">
      <alignment horizontal="right"/>
    </xf>
    <xf numFmtId="0" fontId="63" fillId="0" borderId="0" xfId="0" applyFont="1" applyAlignment="1">
      <alignment horizontal="right"/>
    </xf>
    <xf numFmtId="0" fontId="64" fillId="0" borderId="0" xfId="0" applyFont="1" applyAlignment="1">
      <alignment horizontal="centerContinuous"/>
    </xf>
    <xf numFmtId="0" fontId="66" fillId="0" borderId="0" xfId="48" applyFont="1" applyAlignment="1">
      <alignment horizontal="right"/>
    </xf>
    <xf numFmtId="0" fontId="10" fillId="0" borderId="41" xfId="48" applyFont="1" applyBorder="1" applyAlignment="1">
      <alignment horizontal="center"/>
    </xf>
    <xf numFmtId="0" fontId="8" fillId="0" borderId="28" xfId="48" applyFont="1" applyBorder="1" applyAlignment="1">
      <alignment horizontal="center"/>
    </xf>
    <xf numFmtId="0" fontId="10" fillId="0" borderId="81" xfId="0" applyFont="1" applyBorder="1" applyAlignment="1">
      <alignment horizontal="center"/>
    </xf>
    <xf numFmtId="0" fontId="10" fillId="0" borderId="41" xfId="0" applyFont="1" applyBorder="1" applyAlignment="1">
      <alignment horizontal="center"/>
    </xf>
    <xf numFmtId="0" fontId="10" fillId="0" borderId="42" xfId="0" applyFont="1" applyBorder="1" applyAlignment="1">
      <alignment horizontal="center"/>
    </xf>
    <xf numFmtId="0" fontId="8" fillId="0" borderId="84" xfId="48" applyFont="1" applyBorder="1" applyAlignment="1">
      <alignment horizontal="centerContinuous" vertical="center"/>
    </xf>
    <xf numFmtId="0" fontId="8" fillId="0" borderId="85" xfId="48" applyFont="1" applyBorder="1" applyAlignment="1">
      <alignment horizontal="centerContinuous" vertical="center"/>
    </xf>
    <xf numFmtId="0" fontId="8" fillId="0" borderId="28" xfId="51" applyFont="1" applyBorder="1"/>
    <xf numFmtId="0" fontId="12" fillId="0" borderId="28" xfId="51" applyFont="1" applyBorder="1"/>
    <xf numFmtId="0" fontId="6" fillId="0" borderId="30" xfId="0" applyFont="1" applyBorder="1"/>
    <xf numFmtId="0" fontId="10" fillId="0" borderId="0" xfId="48" applyFont="1" applyAlignment="1">
      <alignment horizontal="center"/>
    </xf>
    <xf numFmtId="38" fontId="12" fillId="0" borderId="0" xfId="48" applyNumberFormat="1" applyFont="1" applyProtection="1">
      <protection locked="0"/>
    </xf>
    <xf numFmtId="38" fontId="12" fillId="0" borderId="0" xfId="28" applyNumberFormat="1" applyFont="1" applyFill="1" applyBorder="1" applyProtection="1">
      <protection locked="0"/>
    </xf>
    <xf numFmtId="38" fontId="12" fillId="0" borderId="0" xfId="28" applyNumberFormat="1" applyFont="1" applyBorder="1" applyProtection="1">
      <protection locked="0"/>
    </xf>
    <xf numFmtId="38" fontId="12" fillId="0" borderId="3" xfId="48" applyNumberFormat="1" applyFont="1" applyBorder="1"/>
    <xf numFmtId="38" fontId="12" fillId="0" borderId="0" xfId="28" applyNumberFormat="1" applyFont="1" applyFill="1" applyBorder="1" applyProtection="1"/>
    <xf numFmtId="38" fontId="12" fillId="0" borderId="0" xfId="28" applyNumberFormat="1" applyFont="1" applyFill="1" applyBorder="1"/>
    <xf numFmtId="38" fontId="12" fillId="0" borderId="3" xfId="28" applyNumberFormat="1" applyFont="1" applyFill="1" applyBorder="1" applyAlignment="1" applyProtection="1">
      <alignment horizontal="right"/>
    </xf>
    <xf numFmtId="170" fontId="12" fillId="0" borderId="0" xfId="28" applyNumberFormat="1" applyFont="1" applyFill="1" applyBorder="1" applyAlignment="1" applyProtection="1">
      <alignment horizontal="right"/>
      <protection locked="0"/>
    </xf>
    <xf numFmtId="170" fontId="12" fillId="0" borderId="0" xfId="0" applyNumberFormat="1" applyFont="1" applyAlignment="1">
      <alignment horizontal="right"/>
    </xf>
    <xf numFmtId="0" fontId="12" fillId="0" borderId="55" xfId="0" applyFont="1" applyBorder="1"/>
    <xf numFmtId="169" fontId="12" fillId="24" borderId="32" xfId="30" applyNumberFormat="1" applyFont="1" applyFill="1" applyBorder="1" applyAlignment="1">
      <alignment horizontal="center"/>
    </xf>
    <xf numFmtId="166" fontId="12" fillId="24" borderId="86" xfId="55" applyNumberFormat="1" applyFont="1" applyFill="1" applyBorder="1" applyAlignment="1">
      <alignment horizontal="center"/>
    </xf>
    <xf numFmtId="10" fontId="12" fillId="24" borderId="86" xfId="55" applyNumberFormat="1" applyFont="1" applyFill="1" applyBorder="1" applyAlignment="1">
      <alignment horizontal="center"/>
    </xf>
    <xf numFmtId="168" fontId="12" fillId="24" borderId="87" xfId="55" applyNumberFormat="1" applyFont="1" applyFill="1" applyBorder="1" applyAlignment="1">
      <alignment horizontal="center"/>
    </xf>
    <xf numFmtId="168" fontId="12" fillId="0" borderId="0" xfId="0" applyNumberFormat="1" applyFont="1"/>
    <xf numFmtId="0" fontId="12" fillId="0" borderId="51" xfId="0" applyFont="1" applyBorder="1"/>
    <xf numFmtId="166" fontId="12" fillId="24" borderId="32" xfId="55" applyNumberFormat="1" applyFont="1" applyFill="1" applyBorder="1" applyAlignment="1">
      <alignment horizontal="center"/>
    </xf>
    <xf numFmtId="10" fontId="12" fillId="24" borderId="32" xfId="55" applyNumberFormat="1" applyFont="1" applyFill="1" applyBorder="1" applyAlignment="1">
      <alignment horizontal="center"/>
    </xf>
    <xf numFmtId="168" fontId="12" fillId="24" borderId="88" xfId="55" applyNumberFormat="1" applyFont="1" applyFill="1" applyBorder="1" applyAlignment="1">
      <alignment horizontal="center"/>
    </xf>
    <xf numFmtId="170" fontId="12" fillId="24" borderId="89" xfId="30" applyNumberFormat="1" applyFont="1" applyFill="1" applyBorder="1"/>
    <xf numFmtId="170" fontId="12" fillId="24" borderId="90" xfId="30" applyNumberFormat="1" applyFont="1" applyFill="1" applyBorder="1"/>
    <xf numFmtId="170" fontId="12" fillId="24" borderId="91" xfId="30" applyNumberFormat="1" applyFont="1" applyFill="1" applyBorder="1"/>
    <xf numFmtId="168" fontId="12" fillId="24" borderId="92" xfId="0" applyNumberFormat="1" applyFont="1" applyFill="1" applyBorder="1"/>
    <xf numFmtId="168" fontId="12" fillId="24" borderId="32" xfId="0" applyNumberFormat="1" applyFont="1" applyFill="1" applyBorder="1"/>
    <xf numFmtId="168" fontId="12" fillId="24" borderId="33" xfId="0" applyNumberFormat="1" applyFont="1" applyFill="1" applyBorder="1"/>
    <xf numFmtId="0" fontId="12" fillId="0" borderId="0" xfId="52" applyFont="1"/>
    <xf numFmtId="169" fontId="22" fillId="27" borderId="56" xfId="30" applyNumberFormat="1" applyFont="1" applyFill="1" applyBorder="1" applyAlignment="1">
      <alignment horizontal="center"/>
    </xf>
    <xf numFmtId="168" fontId="22" fillId="27" borderId="56" xfId="55" applyNumberFormat="1" applyFont="1" applyFill="1" applyBorder="1" applyAlignment="1">
      <alignment horizontal="center"/>
    </xf>
    <xf numFmtId="0" fontId="22" fillId="27" borderId="56" xfId="0" applyFont="1" applyFill="1" applyBorder="1" applyAlignment="1">
      <alignment horizontal="center"/>
    </xf>
    <xf numFmtId="168" fontId="22" fillId="27" borderId="58" xfId="55" applyNumberFormat="1" applyFont="1" applyFill="1" applyBorder="1" applyAlignment="1">
      <alignment horizontal="center"/>
    </xf>
    <xf numFmtId="168" fontId="62" fillId="27" borderId="93" xfId="55" applyNumberFormat="1" applyFont="1" applyFill="1" applyBorder="1" applyAlignment="1">
      <alignment horizontal="center"/>
    </xf>
    <xf numFmtId="172" fontId="22" fillId="27" borderId="94" xfId="0" applyNumberFormat="1" applyFont="1" applyFill="1" applyBorder="1"/>
    <xf numFmtId="172" fontId="22" fillId="27" borderId="56" xfId="0" applyNumberFormat="1" applyFont="1" applyFill="1" applyBorder="1"/>
    <xf numFmtId="172" fontId="22" fillId="27" borderId="95" xfId="0" applyNumberFormat="1" applyFont="1" applyFill="1" applyBorder="1"/>
    <xf numFmtId="0" fontId="14" fillId="0" borderId="96" xfId="0" applyFont="1" applyBorder="1"/>
    <xf numFmtId="0" fontId="14" fillId="0" borderId="97" xfId="0" applyFont="1" applyBorder="1"/>
    <xf numFmtId="0" fontId="8" fillId="0" borderId="98" xfId="0" applyFont="1" applyBorder="1" applyAlignment="1">
      <alignment horizontal="center"/>
    </xf>
    <xf numFmtId="166" fontId="12" fillId="24" borderId="48" xfId="55" applyNumberFormat="1" applyFont="1" applyFill="1" applyBorder="1" applyAlignment="1">
      <alignment horizontal="center"/>
    </xf>
    <xf numFmtId="168" fontId="12" fillId="24" borderId="99" xfId="55" applyNumberFormat="1" applyFont="1" applyFill="1" applyBorder="1" applyAlignment="1">
      <alignment horizontal="center"/>
    </xf>
    <xf numFmtId="168" fontId="14" fillId="0" borderId="29" xfId="55" applyNumberFormat="1" applyFont="1" applyFill="1" applyBorder="1" applyAlignment="1">
      <alignment horizontal="center"/>
    </xf>
    <xf numFmtId="10" fontId="14" fillId="0" borderId="29" xfId="55" applyNumberFormat="1" applyFont="1" applyFill="1" applyBorder="1" applyAlignment="1">
      <alignment horizontal="center"/>
    </xf>
    <xf numFmtId="0" fontId="14" fillId="0" borderId="100" xfId="0" applyFont="1" applyBorder="1"/>
    <xf numFmtId="0" fontId="14" fillId="0" borderId="101" xfId="0" applyFont="1" applyBorder="1"/>
    <xf numFmtId="0" fontId="14" fillId="0" borderId="102" xfId="0" applyFont="1" applyBorder="1"/>
    <xf numFmtId="170" fontId="12" fillId="24" borderId="92" xfId="30" applyNumberFormat="1" applyFont="1" applyFill="1" applyBorder="1"/>
    <xf numFmtId="6" fontId="22" fillId="27" borderId="56" xfId="0" applyNumberFormat="1" applyFont="1" applyFill="1" applyBorder="1"/>
    <xf numFmtId="0" fontId="22" fillId="27" borderId="56" xfId="0" applyFont="1" applyFill="1" applyBorder="1"/>
    <xf numFmtId="10" fontId="22" fillId="27" borderId="56" xfId="52" applyNumberFormat="1" applyFont="1" applyFill="1" applyBorder="1"/>
    <xf numFmtId="6" fontId="22" fillId="27" borderId="58" xfId="52" applyNumberFormat="1" applyFont="1" applyFill="1" applyBorder="1" applyAlignment="1">
      <alignment horizontal="right"/>
    </xf>
    <xf numFmtId="10" fontId="22" fillId="27" borderId="62" xfId="52" quotePrefix="1" applyNumberFormat="1" applyFont="1" applyFill="1" applyBorder="1" applyAlignment="1">
      <alignment horizontal="center"/>
    </xf>
    <xf numFmtId="10" fontId="22" fillId="27" borderId="37" xfId="55" applyNumberFormat="1" applyFont="1" applyFill="1" applyBorder="1" applyAlignment="1">
      <alignment horizontal="center"/>
    </xf>
    <xf numFmtId="10" fontId="12" fillId="24" borderId="62" xfId="55" applyNumberFormat="1" applyFont="1" applyFill="1" applyBorder="1" applyAlignment="1">
      <alignment horizontal="center"/>
    </xf>
    <xf numFmtId="10" fontId="12" fillId="24" borderId="49" xfId="55" applyNumberFormat="1" applyFont="1" applyFill="1" applyBorder="1" applyAlignment="1">
      <alignment horizontal="center"/>
    </xf>
    <xf numFmtId="168" fontId="12" fillId="24" borderId="53" xfId="55" applyNumberFormat="1" applyFont="1" applyFill="1" applyBorder="1" applyAlignment="1">
      <alignment horizontal="center"/>
    </xf>
    <xf numFmtId="10" fontId="12" fillId="24" borderId="92" xfId="55" applyNumberFormat="1" applyFont="1" applyFill="1" applyBorder="1" applyAlignment="1">
      <alignment horizontal="center"/>
    </xf>
    <xf numFmtId="10" fontId="12" fillId="24" borderId="33" xfId="55" applyNumberFormat="1" applyFont="1" applyFill="1" applyBorder="1" applyAlignment="1">
      <alignment horizontal="center"/>
    </xf>
    <xf numFmtId="168" fontId="22" fillId="27" borderId="103" xfId="55" applyNumberFormat="1" applyFont="1" applyFill="1" applyBorder="1" applyAlignment="1">
      <alignment horizontal="center"/>
    </xf>
    <xf numFmtId="10" fontId="62" fillId="0" borderId="0" xfId="52" quotePrefix="1" applyNumberFormat="1" applyFont="1" applyAlignment="1">
      <alignment horizontal="center"/>
    </xf>
    <xf numFmtId="10" fontId="12" fillId="27" borderId="94" xfId="55" applyNumberFormat="1" applyFont="1" applyFill="1" applyBorder="1" applyAlignment="1">
      <alignment horizontal="center"/>
    </xf>
    <xf numFmtId="10" fontId="12" fillId="27" borderId="95" xfId="55" applyNumberFormat="1" applyFont="1" applyFill="1" applyBorder="1" applyAlignment="1">
      <alignment horizontal="center"/>
    </xf>
    <xf numFmtId="6" fontId="12" fillId="24" borderId="86" xfId="0" applyNumberFormat="1" applyFont="1" applyFill="1" applyBorder="1"/>
    <xf numFmtId="10" fontId="12" fillId="24" borderId="86" xfId="55" applyNumberFormat="1" applyFont="1" applyFill="1" applyBorder="1"/>
    <xf numFmtId="6" fontId="12" fillId="24" borderId="87" xfId="52" applyNumberFormat="1" applyFont="1" applyFill="1" applyBorder="1" applyAlignment="1">
      <alignment horizontal="right"/>
    </xf>
    <xf numFmtId="10" fontId="12" fillId="0" borderId="104" xfId="55" applyNumberFormat="1" applyFont="1" applyFill="1" applyBorder="1" applyAlignment="1">
      <alignment horizontal="center"/>
    </xf>
    <xf numFmtId="10" fontId="12" fillId="24" borderId="36" xfId="55" applyNumberFormat="1" applyFont="1" applyFill="1" applyBorder="1" applyAlignment="1">
      <alignment horizontal="center"/>
    </xf>
    <xf numFmtId="38" fontId="12" fillId="24" borderId="32" xfId="0" applyNumberFormat="1" applyFont="1" applyFill="1" applyBorder="1"/>
    <xf numFmtId="38" fontId="12" fillId="24" borderId="88" xfId="52" applyNumberFormat="1" applyFont="1" applyFill="1" applyBorder="1" applyAlignment="1">
      <alignment horizontal="right"/>
    </xf>
    <xf numFmtId="10" fontId="12" fillId="24" borderId="35" xfId="55" applyNumberFormat="1" applyFont="1" applyFill="1" applyBorder="1" applyAlignment="1">
      <alignment horizontal="center"/>
    </xf>
    <xf numFmtId="10" fontId="28" fillId="24" borderId="86" xfId="55" applyNumberFormat="1" applyFont="1" applyFill="1" applyBorder="1" applyAlignment="1">
      <alignment horizontal="center"/>
    </xf>
    <xf numFmtId="168" fontId="28" fillId="24" borderId="87" xfId="55" applyNumberFormat="1" applyFont="1" applyFill="1" applyBorder="1" applyAlignment="1">
      <alignment horizontal="center"/>
    </xf>
    <xf numFmtId="10" fontId="28" fillId="24" borderId="62" xfId="55" applyNumberFormat="1" applyFont="1" applyFill="1" applyBorder="1" applyAlignment="1">
      <alignment horizontal="center"/>
    </xf>
    <xf numFmtId="10" fontId="28" fillId="24" borderId="49" xfId="55" applyNumberFormat="1" applyFont="1" applyFill="1" applyBorder="1" applyAlignment="1">
      <alignment horizontal="center"/>
    </xf>
    <xf numFmtId="168" fontId="28" fillId="24" borderId="53" xfId="55" applyNumberFormat="1" applyFont="1" applyFill="1" applyBorder="1" applyAlignment="1">
      <alignment horizontal="center"/>
    </xf>
    <xf numFmtId="10" fontId="28" fillId="24" borderId="32" xfId="55" applyNumberFormat="1" applyFont="1" applyFill="1" applyBorder="1" applyAlignment="1">
      <alignment horizontal="center"/>
    </xf>
    <xf numFmtId="168" fontId="28" fillId="24" borderId="88" xfId="55" applyNumberFormat="1" applyFont="1" applyFill="1" applyBorder="1" applyAlignment="1">
      <alignment horizontal="center"/>
    </xf>
    <xf numFmtId="10" fontId="28" fillId="24" borderId="92" xfId="55" applyNumberFormat="1" applyFont="1" applyFill="1" applyBorder="1" applyAlignment="1">
      <alignment horizontal="center"/>
    </xf>
    <xf numFmtId="168" fontId="28" fillId="24" borderId="33" xfId="55" applyNumberFormat="1" applyFont="1" applyFill="1" applyBorder="1" applyAlignment="1">
      <alignment horizontal="center"/>
    </xf>
    <xf numFmtId="0" fontId="29" fillId="27" borderId="56" xfId="0" applyFont="1" applyFill="1" applyBorder="1" applyAlignment="1">
      <alignment horizontal="center"/>
    </xf>
    <xf numFmtId="168" fontId="29" fillId="27" borderId="58" xfId="55" applyNumberFormat="1" applyFont="1" applyFill="1" applyBorder="1" applyAlignment="1">
      <alignment horizontal="center"/>
    </xf>
    <xf numFmtId="10" fontId="68" fillId="0" borderId="0" xfId="52" quotePrefix="1" applyNumberFormat="1" applyFont="1" applyAlignment="1">
      <alignment horizontal="center"/>
    </xf>
    <xf numFmtId="10" fontId="28" fillId="27" borderId="94" xfId="55" applyNumberFormat="1" applyFont="1" applyFill="1" applyBorder="1" applyAlignment="1">
      <alignment horizontal="center"/>
    </xf>
    <xf numFmtId="10" fontId="28" fillId="27" borderId="95" xfId="55" applyNumberFormat="1" applyFont="1" applyFill="1" applyBorder="1" applyAlignment="1">
      <alignment horizontal="center"/>
    </xf>
    <xf numFmtId="170" fontId="12" fillId="24" borderId="86" xfId="30" applyNumberFormat="1" applyFont="1" applyFill="1" applyBorder="1" applyAlignment="1">
      <alignment horizontal="center"/>
    </xf>
    <xf numFmtId="1" fontId="12" fillId="24" borderId="86" xfId="55" applyNumberFormat="1" applyFont="1" applyFill="1" applyBorder="1" applyAlignment="1">
      <alignment horizontal="center"/>
    </xf>
    <xf numFmtId="170" fontId="12" fillId="24" borderId="105" xfId="30" applyNumberFormat="1" applyFont="1" applyFill="1" applyBorder="1" applyAlignment="1">
      <alignment horizontal="center"/>
    </xf>
    <xf numFmtId="170" fontId="12" fillId="24" borderId="32" xfId="30" applyNumberFormat="1" applyFont="1" applyFill="1" applyBorder="1" applyAlignment="1">
      <alignment horizontal="center"/>
    </xf>
    <xf numFmtId="170" fontId="12" fillId="24" borderId="106" xfId="30" applyNumberFormat="1" applyFont="1" applyFill="1" applyBorder="1"/>
    <xf numFmtId="170" fontId="12" fillId="24" borderId="107" xfId="30" applyNumberFormat="1" applyFont="1" applyFill="1" applyBorder="1"/>
    <xf numFmtId="9" fontId="12" fillId="24" borderId="92" xfId="55" applyFont="1" applyFill="1" applyBorder="1"/>
    <xf numFmtId="9" fontId="12" fillId="24" borderId="32" xfId="55" applyFont="1" applyFill="1" applyBorder="1"/>
    <xf numFmtId="9" fontId="12" fillId="24" borderId="33" xfId="55" applyFont="1" applyFill="1" applyBorder="1"/>
    <xf numFmtId="168" fontId="69" fillId="0" borderId="0" xfId="48" applyNumberFormat="1" applyFont="1"/>
    <xf numFmtId="168" fontId="71" fillId="0" borderId="0" xfId="0" applyNumberFormat="1" applyFont="1" applyAlignment="1">
      <alignment horizontal="right"/>
    </xf>
    <xf numFmtId="0" fontId="33" fillId="0" borderId="28" xfId="0" applyFont="1" applyBorder="1"/>
    <xf numFmtId="0" fontId="33" fillId="0" borderId="28" xfId="0" applyFont="1" applyBorder="1" applyAlignment="1">
      <alignment horizontal="left"/>
    </xf>
    <xf numFmtId="38" fontId="12" fillId="0" borderId="31" xfId="48" applyNumberFormat="1" applyFont="1" applyBorder="1"/>
    <xf numFmtId="0" fontId="29" fillId="27" borderId="32" xfId="48" applyFont="1" applyFill="1" applyBorder="1" applyAlignment="1">
      <alignment horizontal="center"/>
    </xf>
    <xf numFmtId="170" fontId="22" fillId="27" borderId="32" xfId="30" applyNumberFormat="1" applyFont="1" applyFill="1" applyBorder="1"/>
    <xf numFmtId="170" fontId="22" fillId="27" borderId="33" xfId="30" applyNumberFormat="1" applyFont="1" applyFill="1" applyBorder="1"/>
    <xf numFmtId="3" fontId="12" fillId="0" borderId="0" xfId="0" applyNumberFormat="1" applyFont="1" applyAlignment="1">
      <alignment horizontal="right"/>
    </xf>
    <xf numFmtId="3" fontId="12" fillId="0" borderId="29" xfId="0" applyNumberFormat="1" applyFont="1" applyBorder="1" applyAlignment="1">
      <alignment horizontal="right"/>
    </xf>
    <xf numFmtId="3" fontId="12" fillId="0" borderId="3" xfId="48" applyNumberFormat="1" applyFont="1" applyBorder="1" applyAlignment="1">
      <alignment horizontal="right"/>
    </xf>
    <xf numFmtId="3" fontId="12" fillId="0" borderId="31" xfId="48" applyNumberFormat="1" applyFont="1" applyBorder="1" applyAlignment="1">
      <alignment horizontal="right"/>
    </xf>
    <xf numFmtId="3" fontId="12" fillId="0" borderId="0" xfId="48" applyNumberFormat="1" applyFont="1"/>
    <xf numFmtId="3" fontId="12" fillId="0" borderId="29" xfId="48" applyNumberFormat="1" applyFont="1" applyBorder="1"/>
    <xf numFmtId="44" fontId="22" fillId="27" borderId="32" xfId="30" applyFont="1" applyFill="1" applyBorder="1"/>
    <xf numFmtId="0" fontId="29" fillId="27" borderId="86" xfId="48" applyFont="1" applyFill="1" applyBorder="1" applyAlignment="1">
      <alignment horizontal="center"/>
    </xf>
    <xf numFmtId="0" fontId="29" fillId="27" borderId="109" xfId="48" applyFont="1" applyFill="1" applyBorder="1" applyAlignment="1">
      <alignment horizontal="center"/>
    </xf>
    <xf numFmtId="0" fontId="29" fillId="27" borderId="101" xfId="48" applyFont="1" applyFill="1" applyBorder="1" applyAlignment="1">
      <alignment horizontal="center"/>
    </xf>
    <xf numFmtId="0" fontId="29" fillId="27" borderId="110" xfId="48" applyFont="1" applyFill="1" applyBorder="1" applyAlignment="1">
      <alignment horizontal="center"/>
    </xf>
    <xf numFmtId="170" fontId="22" fillId="27" borderId="86" xfId="30" applyNumberFormat="1" applyFont="1" applyFill="1" applyBorder="1"/>
    <xf numFmtId="170" fontId="22" fillId="27" borderId="111" xfId="30" applyNumberFormat="1" applyFont="1" applyFill="1" applyBorder="1"/>
    <xf numFmtId="170" fontId="29" fillId="27" borderId="32" xfId="30" applyNumberFormat="1" applyFont="1" applyFill="1" applyBorder="1" applyAlignment="1" applyProtection="1">
      <alignment horizontal="center"/>
    </xf>
    <xf numFmtId="0" fontId="12" fillId="0" borderId="48" xfId="51" applyFont="1" applyBorder="1"/>
    <xf numFmtId="0" fontId="12" fillId="0" borderId="32" xfId="51" applyFont="1" applyBorder="1"/>
    <xf numFmtId="0" fontId="29" fillId="27" borderId="112" xfId="48" applyFont="1" applyFill="1" applyBorder="1" applyAlignment="1">
      <alignment horizontal="center"/>
    </xf>
    <xf numFmtId="170" fontId="22" fillId="27" borderId="32" xfId="30" applyNumberFormat="1" applyFont="1" applyFill="1" applyBorder="1" applyProtection="1"/>
    <xf numFmtId="0" fontId="29" fillId="27" borderId="113" xfId="48" applyFont="1" applyFill="1" applyBorder="1" applyAlignment="1">
      <alignment horizontal="center"/>
    </xf>
    <xf numFmtId="0" fontId="29" fillId="27" borderId="114" xfId="48" applyFont="1" applyFill="1" applyBorder="1" applyAlignment="1">
      <alignment horizontal="center"/>
    </xf>
    <xf numFmtId="0" fontId="29" fillId="27" borderId="115" xfId="48" applyFont="1" applyFill="1" applyBorder="1" applyAlignment="1">
      <alignment horizontal="center"/>
    </xf>
    <xf numFmtId="170" fontId="22" fillId="27" borderId="116" xfId="48" applyNumberFormat="1" applyFont="1" applyFill="1" applyBorder="1"/>
    <xf numFmtId="170" fontId="22" fillId="27" borderId="56" xfId="30" applyNumberFormat="1" applyFont="1" applyFill="1" applyBorder="1" applyAlignment="1">
      <alignment horizontal="right"/>
    </xf>
    <xf numFmtId="170" fontId="12" fillId="24" borderId="86" xfId="30" applyNumberFormat="1" applyFont="1" applyFill="1" applyBorder="1" applyAlignment="1">
      <alignment horizontal="right"/>
    </xf>
    <xf numFmtId="170" fontId="12" fillId="24" borderId="32" xfId="30" applyNumberFormat="1" applyFont="1" applyFill="1" applyBorder="1" applyAlignment="1">
      <alignment horizontal="right"/>
    </xf>
    <xf numFmtId="10" fontId="22" fillId="27" borderId="56" xfId="0" applyNumberFormat="1" applyFont="1" applyFill="1" applyBorder="1" applyAlignment="1">
      <alignment horizontal="center"/>
    </xf>
    <xf numFmtId="0" fontId="72" fillId="0" borderId="0" xfId="48" applyFont="1" applyAlignment="1">
      <alignment horizontal="right"/>
    </xf>
    <xf numFmtId="0" fontId="21" fillId="0" borderId="0" xfId="48" applyFont="1" applyAlignment="1">
      <alignment horizontal="right"/>
    </xf>
    <xf numFmtId="0" fontId="21" fillId="0" borderId="0" xfId="48" applyFont="1" applyAlignment="1">
      <alignment horizontal="left"/>
    </xf>
    <xf numFmtId="0" fontId="14" fillId="0" borderId="39" xfId="0" applyFont="1" applyBorder="1"/>
    <xf numFmtId="0" fontId="14" fillId="0" borderId="39" xfId="52" applyFont="1" applyBorder="1"/>
    <xf numFmtId="0" fontId="14" fillId="0" borderId="39" xfId="52" applyFont="1" applyBorder="1" applyAlignment="1">
      <alignment horizontal="center"/>
    </xf>
    <xf numFmtId="0" fontId="12" fillId="0" borderId="39" xfId="52" quotePrefix="1" applyFont="1" applyBorder="1" applyAlignment="1">
      <alignment horizontal="center"/>
    </xf>
    <xf numFmtId="172" fontId="14" fillId="0" borderId="39" xfId="0" applyNumberFormat="1" applyFont="1" applyBorder="1"/>
    <xf numFmtId="0" fontId="14" fillId="0" borderId="40" xfId="0" applyFont="1" applyBorder="1"/>
    <xf numFmtId="0" fontId="33" fillId="0" borderId="30" xfId="0" applyFont="1" applyBorder="1" applyAlignment="1">
      <alignment horizontal="left"/>
    </xf>
    <xf numFmtId="3" fontId="12" fillId="0" borderId="0" xfId="48" applyNumberFormat="1" applyFont="1" applyAlignment="1">
      <alignment horizontal="left"/>
    </xf>
    <xf numFmtId="3" fontId="12" fillId="0" borderId="29" xfId="48" applyNumberFormat="1" applyFont="1" applyBorder="1" applyAlignment="1">
      <alignment horizontal="left"/>
    </xf>
    <xf numFmtId="0" fontId="10" fillId="0" borderId="28" xfId="48" applyFont="1" applyBorder="1" applyAlignment="1">
      <alignment horizontal="center"/>
    </xf>
    <xf numFmtId="0" fontId="10" fillId="0" borderId="29" xfId="48" applyFont="1" applyBorder="1" applyAlignment="1">
      <alignment horizontal="center"/>
    </xf>
    <xf numFmtId="0" fontId="12" fillId="0" borderId="32" xfId="52" applyFont="1" applyBorder="1" applyAlignment="1">
      <alignment horizontal="center"/>
    </xf>
    <xf numFmtId="0" fontId="12" fillId="0" borderId="32" xfId="52" quotePrefix="1" applyFont="1" applyBorder="1" applyAlignment="1">
      <alignment horizontal="center"/>
    </xf>
    <xf numFmtId="38" fontId="12" fillId="0" borderId="0" xfId="52" applyNumberFormat="1" applyFont="1"/>
    <xf numFmtId="38" fontId="12" fillId="0" borderId="29" xfId="52" applyNumberFormat="1" applyFont="1" applyBorder="1"/>
    <xf numFmtId="6" fontId="12" fillId="0" borderId="0" xfId="52" applyNumberFormat="1" applyFont="1"/>
    <xf numFmtId="6" fontId="12" fillId="0" borderId="29" xfId="52" applyNumberFormat="1" applyFont="1" applyBorder="1"/>
    <xf numFmtId="170" fontId="0" fillId="0" borderId="0" xfId="30" applyNumberFormat="1" applyFont="1"/>
    <xf numFmtId="165" fontId="12" fillId="24" borderId="20" xfId="28" applyNumberFormat="1" applyFont="1" applyFill="1" applyBorder="1"/>
    <xf numFmtId="0" fontId="14" fillId="27" borderId="117" xfId="48" applyFont="1" applyFill="1" applyBorder="1" applyAlignment="1">
      <alignment horizontal="center"/>
    </xf>
    <xf numFmtId="0" fontId="14" fillId="27" borderId="118" xfId="48" applyFont="1" applyFill="1" applyBorder="1" applyAlignment="1">
      <alignment horizontal="center"/>
    </xf>
    <xf numFmtId="170" fontId="22" fillId="27" borderId="20" xfId="30" applyNumberFormat="1" applyFont="1" applyFill="1" applyBorder="1"/>
    <xf numFmtId="0" fontId="14" fillId="27" borderId="112" xfId="48" applyFont="1" applyFill="1" applyBorder="1" applyAlignment="1">
      <alignment horizontal="center"/>
    </xf>
    <xf numFmtId="0" fontId="14" fillId="27" borderId="101" xfId="48" applyFont="1" applyFill="1" applyBorder="1" applyAlignment="1">
      <alignment horizontal="center"/>
    </xf>
    <xf numFmtId="0" fontId="39" fillId="0" borderId="0" xfId="48" applyFont="1" applyProtection="1">
      <protection locked="0"/>
    </xf>
    <xf numFmtId="0" fontId="39" fillId="0" borderId="0" xfId="48" applyFont="1" applyAlignment="1" applyProtection="1">
      <alignment horizontal="left"/>
      <protection locked="0"/>
    </xf>
    <xf numFmtId="170" fontId="14" fillId="24" borderId="36" xfId="30" applyNumberFormat="1" applyFont="1" applyFill="1" applyBorder="1" applyAlignment="1" applyProtection="1">
      <alignment horizontal="right"/>
    </xf>
    <xf numFmtId="170" fontId="14" fillId="24" borderId="35" xfId="30" applyNumberFormat="1" applyFont="1" applyFill="1" applyBorder="1" applyAlignment="1" applyProtection="1">
      <alignment horizontal="right"/>
    </xf>
    <xf numFmtId="170" fontId="14" fillId="24" borderId="37" xfId="30" applyNumberFormat="1" applyFont="1" applyFill="1" applyBorder="1" applyAlignment="1" applyProtection="1">
      <alignment horizontal="center"/>
    </xf>
    <xf numFmtId="0" fontId="12" fillId="0" borderId="0" xfId="51" applyFont="1"/>
    <xf numFmtId="38" fontId="12" fillId="27" borderId="112" xfId="48" applyNumberFormat="1" applyFont="1" applyFill="1" applyBorder="1" applyAlignment="1">
      <alignment horizontal="right"/>
    </xf>
    <xf numFmtId="172" fontId="22" fillId="27" borderId="102" xfId="0" applyNumberFormat="1" applyFont="1" applyFill="1" applyBorder="1"/>
    <xf numFmtId="0" fontId="27" fillId="0" borderId="0" xfId="0" applyFont="1" applyAlignment="1">
      <alignment horizontal="centerContinuous"/>
    </xf>
    <xf numFmtId="0" fontId="10" fillId="0" borderId="14" xfId="0" applyFont="1" applyBorder="1" applyAlignment="1">
      <alignment horizontal="centerContinuous"/>
    </xf>
    <xf numFmtId="165" fontId="12" fillId="0" borderId="32" xfId="28" applyNumberFormat="1" applyFont="1" applyFill="1" applyBorder="1"/>
    <xf numFmtId="165" fontId="12" fillId="0" borderId="33" xfId="28" applyNumberFormat="1" applyFont="1" applyFill="1" applyBorder="1"/>
    <xf numFmtId="170" fontId="22" fillId="27" borderId="56" xfId="30" applyNumberFormat="1" applyFont="1" applyFill="1" applyBorder="1" applyAlignment="1">
      <alignment horizontal="center"/>
    </xf>
    <xf numFmtId="1" fontId="22" fillId="27" borderId="56" xfId="55" applyNumberFormat="1" applyFont="1" applyFill="1" applyBorder="1" applyAlignment="1">
      <alignment horizontal="center"/>
    </xf>
    <xf numFmtId="10" fontId="22" fillId="27" borderId="56" xfId="55" applyNumberFormat="1" applyFont="1" applyFill="1" applyBorder="1" applyAlignment="1">
      <alignment horizontal="center"/>
    </xf>
    <xf numFmtId="170" fontId="22" fillId="27" borderId="57" xfId="30" applyNumberFormat="1" applyFont="1" applyFill="1" applyBorder="1" applyAlignment="1">
      <alignment horizontal="center"/>
    </xf>
    <xf numFmtId="168" fontId="22" fillId="27" borderId="62" xfId="55" applyNumberFormat="1" applyFont="1" applyFill="1" applyBorder="1" applyAlignment="1">
      <alignment horizontal="center"/>
    </xf>
    <xf numFmtId="168" fontId="70" fillId="28" borderId="93" xfId="30" applyNumberFormat="1" applyFont="1" applyFill="1" applyBorder="1" applyAlignment="1">
      <alignment horizontal="right"/>
    </xf>
    <xf numFmtId="0" fontId="14" fillId="27" borderId="112" xfId="52" applyFont="1" applyFill="1" applyBorder="1" applyAlignment="1">
      <alignment horizontal="center"/>
    </xf>
    <xf numFmtId="0" fontId="14" fillId="27" borderId="101" xfId="52" quotePrefix="1" applyFont="1" applyFill="1" applyBorder="1" applyAlignment="1">
      <alignment horizontal="center"/>
    </xf>
    <xf numFmtId="0" fontId="14" fillId="27" borderId="110" xfId="48" applyFont="1" applyFill="1" applyBorder="1" applyAlignment="1" applyProtection="1">
      <alignment horizontal="center"/>
      <protection locked="0"/>
    </xf>
    <xf numFmtId="170" fontId="14" fillId="29" borderId="62" xfId="30" applyNumberFormat="1" applyFont="1" applyFill="1" applyBorder="1" applyAlignment="1" applyProtection="1">
      <alignment horizontal="right"/>
    </xf>
    <xf numFmtId="170" fontId="14" fillId="29" borderId="63" xfId="30" applyNumberFormat="1" applyFont="1" applyFill="1" applyBorder="1" applyAlignment="1" applyProtection="1">
      <alignment horizontal="right"/>
    </xf>
    <xf numFmtId="170" fontId="8" fillId="29" borderId="62" xfId="30" applyNumberFormat="1" applyFont="1" applyFill="1" applyBorder="1" applyAlignment="1" applyProtection="1">
      <alignment horizontal="right"/>
    </xf>
    <xf numFmtId="170" fontId="8" fillId="29" borderId="63" xfId="30" applyNumberFormat="1" applyFont="1" applyFill="1" applyBorder="1" applyAlignment="1" applyProtection="1">
      <alignment horizontal="right"/>
    </xf>
    <xf numFmtId="0" fontId="8" fillId="29" borderId="121" xfId="48" applyFont="1" applyFill="1" applyBorder="1"/>
    <xf numFmtId="0" fontId="34" fillId="29" borderId="121" xfId="48" applyFont="1" applyFill="1" applyBorder="1"/>
    <xf numFmtId="38" fontId="8" fillId="29" borderId="62" xfId="48" applyNumberFormat="1" applyFont="1" applyFill="1" applyBorder="1" applyAlignment="1">
      <alignment horizontal="right"/>
    </xf>
    <xf numFmtId="0" fontId="14" fillId="27" borderId="122" xfId="46" applyFont="1" applyFill="1" applyBorder="1"/>
    <xf numFmtId="170" fontId="14" fillId="27" borderId="116" xfId="30" applyNumberFormat="1" applyFont="1" applyFill="1" applyBorder="1"/>
    <xf numFmtId="170" fontId="14" fillId="27" borderId="123" xfId="30" applyNumberFormat="1" applyFont="1" applyFill="1" applyBorder="1"/>
    <xf numFmtId="9" fontId="8" fillId="27" borderId="116" xfId="55" applyFont="1" applyFill="1" applyBorder="1"/>
    <xf numFmtId="0" fontId="14" fillId="27" borderId="20" xfId="46" applyFont="1" applyFill="1" applyBorder="1"/>
    <xf numFmtId="170" fontId="14" fillId="27" borderId="20" xfId="30" applyNumberFormat="1" applyFont="1" applyFill="1" applyBorder="1"/>
    <xf numFmtId="170" fontId="14" fillId="27" borderId="21" xfId="30" applyNumberFormat="1" applyFont="1" applyFill="1" applyBorder="1"/>
    <xf numFmtId="9" fontId="8" fillId="27" borderId="20" xfId="55" applyFont="1" applyFill="1" applyBorder="1"/>
    <xf numFmtId="9" fontId="8" fillId="27" borderId="124" xfId="55" applyFont="1" applyFill="1" applyBorder="1"/>
    <xf numFmtId="10" fontId="8" fillId="27" borderId="125" xfId="55" applyNumberFormat="1" applyFont="1" applyFill="1" applyBorder="1"/>
    <xf numFmtId="10" fontId="8" fillId="27" borderId="126" xfId="55" applyNumberFormat="1" applyFont="1" applyFill="1" applyBorder="1"/>
    <xf numFmtId="10" fontId="8" fillId="27" borderId="20" xfId="55" applyNumberFormat="1" applyFont="1" applyFill="1" applyBorder="1"/>
    <xf numFmtId="10" fontId="8" fillId="27" borderId="21" xfId="55" applyNumberFormat="1" applyFont="1" applyFill="1" applyBorder="1"/>
    <xf numFmtId="10" fontId="8" fillId="27" borderId="127" xfId="55" applyNumberFormat="1" applyFont="1" applyFill="1" applyBorder="1"/>
    <xf numFmtId="10" fontId="8" fillId="27" borderId="128" xfId="55" applyNumberFormat="1" applyFont="1" applyFill="1" applyBorder="1"/>
    <xf numFmtId="10" fontId="8" fillId="27" borderId="129" xfId="55" applyNumberFormat="1" applyFont="1" applyFill="1" applyBorder="1"/>
    <xf numFmtId="170" fontId="14" fillId="0" borderId="0" xfId="30" applyNumberFormat="1" applyFont="1" applyFill="1" applyBorder="1"/>
    <xf numFmtId="170" fontId="14" fillId="0" borderId="15" xfId="30" applyNumberFormat="1" applyFont="1" applyFill="1" applyBorder="1"/>
    <xf numFmtId="165" fontId="6" fillId="0" borderId="0" xfId="48" applyNumberFormat="1" applyFont="1"/>
    <xf numFmtId="43" fontId="14" fillId="0" borderId="0" xfId="48" applyNumberFormat="1" applyFont="1" applyAlignment="1">
      <alignment horizontal="center"/>
    </xf>
    <xf numFmtId="43" fontId="5" fillId="0" borderId="0" xfId="0" applyNumberFormat="1" applyFont="1"/>
    <xf numFmtId="0" fontId="5" fillId="0" borderId="29" xfId="0" quotePrefix="1" applyFont="1" applyBorder="1"/>
    <xf numFmtId="173" fontId="5" fillId="0" borderId="0" xfId="0" applyNumberFormat="1" applyFont="1"/>
    <xf numFmtId="3" fontId="5" fillId="0" borderId="0" xfId="48" applyNumberFormat="1" applyFont="1" applyAlignment="1">
      <alignment horizontal="center"/>
    </xf>
    <xf numFmtId="42" fontId="22" fillId="27" borderId="32" xfId="30" applyNumberFormat="1" applyFont="1" applyFill="1" applyBorder="1"/>
    <xf numFmtId="0" fontId="34" fillId="0" borderId="28" xfId="48" applyFont="1" applyBorder="1"/>
    <xf numFmtId="2" fontId="34" fillId="0" borderId="0" xfId="30" applyNumberFormat="1" applyFont="1" applyFill="1" applyBorder="1" applyAlignment="1" applyProtection="1">
      <alignment horizontal="right"/>
    </xf>
    <xf numFmtId="3" fontId="0" fillId="0" borderId="0" xfId="0" applyNumberFormat="1"/>
    <xf numFmtId="6" fontId="0" fillId="0" borderId="0" xfId="0" applyNumberFormat="1"/>
    <xf numFmtId="3" fontId="8" fillId="0" borderId="0" xfId="30" applyNumberFormat="1" applyFont="1" applyFill="1" applyBorder="1" applyAlignment="1" applyProtection="1">
      <alignment horizontal="right"/>
    </xf>
    <xf numFmtId="38" fontId="34" fillId="0" borderId="0" xfId="30" applyNumberFormat="1" applyFont="1" applyFill="1" applyBorder="1" applyAlignment="1" applyProtection="1">
      <alignment horizontal="right"/>
    </xf>
    <xf numFmtId="0" fontId="8" fillId="0" borderId="30" xfId="48" applyFont="1" applyBorder="1"/>
    <xf numFmtId="0" fontId="38" fillId="0" borderId="3" xfId="48" applyFont="1" applyBorder="1" applyAlignment="1">
      <alignment horizontal="center"/>
    </xf>
    <xf numFmtId="3" fontId="34" fillId="0" borderId="3" xfId="30" applyNumberFormat="1" applyFont="1" applyFill="1" applyBorder="1" applyAlignment="1" applyProtection="1">
      <alignment horizontal="right"/>
    </xf>
    <xf numFmtId="38" fontId="14" fillId="0" borderId="0" xfId="48" applyNumberFormat="1" applyFont="1" applyAlignment="1" applyProtection="1">
      <alignment horizontal="right"/>
      <protection locked="0"/>
    </xf>
    <xf numFmtId="38" fontId="14" fillId="0" borderId="0" xfId="48" applyNumberFormat="1" applyFont="1" applyAlignment="1">
      <alignment horizontal="center"/>
    </xf>
    <xf numFmtId="0" fontId="72" fillId="0" borderId="0" xfId="48" applyFont="1" applyAlignment="1">
      <alignment horizontal="centerContinuous"/>
    </xf>
    <xf numFmtId="0" fontId="10" fillId="0" borderId="28" xfId="0" applyFont="1" applyBorder="1" applyAlignment="1">
      <alignment horizontal="centerContinuous"/>
    </xf>
    <xf numFmtId="0" fontId="10" fillId="0" borderId="0" xfId="0" applyFont="1" applyAlignment="1">
      <alignment horizontal="centerContinuous"/>
    </xf>
    <xf numFmtId="0" fontId="0" fillId="0" borderId="3" xfId="0" applyBorder="1"/>
    <xf numFmtId="0" fontId="0" fillId="0" borderId="31" xfId="0" applyBorder="1"/>
    <xf numFmtId="0" fontId="10" fillId="0" borderId="81" xfId="0" applyFont="1" applyBorder="1" applyAlignment="1">
      <alignment horizontal="centerContinuous"/>
    </xf>
    <xf numFmtId="0" fontId="10" fillId="0" borderId="41" xfId="0" applyFont="1" applyBorder="1" applyAlignment="1">
      <alignment horizontal="centerContinuous"/>
    </xf>
    <xf numFmtId="0" fontId="8" fillId="0" borderId="0" xfId="48" applyFont="1"/>
    <xf numFmtId="0" fontId="34" fillId="0" borderId="0" xfId="48" applyFont="1"/>
    <xf numFmtId="9" fontId="21" fillId="0" borderId="3" xfId="48" applyNumberFormat="1" applyFont="1" applyBorder="1" applyAlignment="1">
      <alignment horizontal="center"/>
    </xf>
    <xf numFmtId="171" fontId="12" fillId="0" borderId="32" xfId="48" applyNumberFormat="1" applyFont="1" applyBorder="1" applyAlignment="1">
      <alignment horizontal="center"/>
    </xf>
    <xf numFmtId="170" fontId="12" fillId="24" borderId="49" xfId="30" applyNumberFormat="1" applyFont="1" applyFill="1" applyBorder="1"/>
    <xf numFmtId="0" fontId="14" fillId="0" borderId="104" xfId="0" applyFont="1" applyBorder="1"/>
    <xf numFmtId="0" fontId="14" fillId="0" borderId="65" xfId="0" applyFont="1" applyBorder="1"/>
    <xf numFmtId="6" fontId="12" fillId="24" borderId="48" xfId="30" applyNumberFormat="1" applyFont="1" applyFill="1" applyBorder="1"/>
    <xf numFmtId="0" fontId="0" fillId="0" borderId="65" xfId="0" applyBorder="1"/>
    <xf numFmtId="38" fontId="12" fillId="24" borderId="99" xfId="30" applyNumberFormat="1" applyFont="1" applyFill="1" applyBorder="1"/>
    <xf numFmtId="38" fontId="12" fillId="24" borderId="88" xfId="30" applyNumberFormat="1" applyFont="1" applyFill="1" applyBorder="1"/>
    <xf numFmtId="38" fontId="22" fillId="27" borderId="88" xfId="28" applyNumberFormat="1" applyFont="1" applyFill="1" applyBorder="1"/>
    <xf numFmtId="40" fontId="8" fillId="0" borderId="0" xfId="48" applyNumberFormat="1" applyFont="1" applyAlignment="1" applyProtection="1">
      <alignment horizontal="right"/>
      <protection locked="0"/>
    </xf>
    <xf numFmtId="40" fontId="21" fillId="0" borderId="0" xfId="48" applyNumberFormat="1" applyFont="1" applyAlignment="1">
      <alignment horizontal="center"/>
    </xf>
    <xf numFmtId="170" fontId="22" fillId="30" borderId="32" xfId="30" applyNumberFormat="1" applyFont="1" applyFill="1" applyBorder="1"/>
    <xf numFmtId="170" fontId="22" fillId="27" borderId="133" xfId="30" applyNumberFormat="1" applyFont="1" applyFill="1" applyBorder="1"/>
    <xf numFmtId="0" fontId="14" fillId="27" borderId="134" xfId="46" applyFont="1" applyFill="1" applyBorder="1"/>
    <xf numFmtId="0" fontId="14" fillId="0" borderId="26" xfId="46" applyFont="1" applyBorder="1"/>
    <xf numFmtId="10" fontId="8" fillId="27" borderId="116" xfId="55" applyNumberFormat="1" applyFont="1" applyFill="1" applyBorder="1"/>
    <xf numFmtId="10" fontId="8" fillId="27" borderId="123" xfId="55" applyNumberFormat="1" applyFont="1" applyFill="1" applyBorder="1"/>
    <xf numFmtId="10" fontId="8" fillId="27" borderId="124" xfId="55" applyNumberFormat="1" applyFont="1" applyFill="1" applyBorder="1"/>
    <xf numFmtId="10" fontId="8" fillId="27" borderId="135" xfId="55" applyNumberFormat="1" applyFont="1" applyFill="1" applyBorder="1"/>
    <xf numFmtId="0" fontId="0" fillId="0" borderId="0" xfId="0" applyAlignment="1">
      <alignment horizontal="center"/>
    </xf>
    <xf numFmtId="0" fontId="0" fillId="0" borderId="0" xfId="0" applyAlignment="1">
      <alignment horizontal="left"/>
    </xf>
    <xf numFmtId="0" fontId="60" fillId="0" borderId="0" xfId="48" applyFont="1" applyAlignment="1">
      <alignment horizontal="left"/>
    </xf>
    <xf numFmtId="14" fontId="8" fillId="0" borderId="0" xfId="48" applyNumberFormat="1" applyFont="1" applyAlignment="1">
      <alignment horizontal="center"/>
    </xf>
    <xf numFmtId="165" fontId="14" fillId="24" borderId="20" xfId="28" applyNumberFormat="1" applyFont="1" applyFill="1" applyBorder="1" applyAlignment="1">
      <alignment horizontal="center"/>
    </xf>
    <xf numFmtId="0" fontId="0" fillId="0" borderId="29" xfId="0" applyBorder="1" applyAlignment="1">
      <alignment horizontal="left"/>
    </xf>
    <xf numFmtId="0" fontId="0" fillId="0" borderId="28" xfId="0" applyBorder="1" applyAlignment="1">
      <alignment horizontal="left"/>
    </xf>
    <xf numFmtId="0" fontId="73" fillId="0" borderId="65" xfId="0" applyFont="1" applyBorder="1"/>
    <xf numFmtId="0" fontId="73" fillId="0" borderId="0" xfId="0" applyFont="1"/>
    <xf numFmtId="0" fontId="82" fillId="0" borderId="0" xfId="0" applyFont="1"/>
    <xf numFmtId="0" fontId="83" fillId="0" borderId="0" xfId="0" applyFont="1"/>
    <xf numFmtId="0" fontId="80" fillId="26" borderId="137" xfId="0" applyFont="1" applyFill="1" applyBorder="1" applyAlignment="1">
      <alignment horizontal="right"/>
    </xf>
    <xf numFmtId="0" fontId="83" fillId="26" borderId="0" xfId="0" applyFont="1" applyFill="1" applyProtection="1">
      <protection hidden="1"/>
    </xf>
    <xf numFmtId="0" fontId="84" fillId="26" borderId="0" xfId="0" applyFont="1" applyFill="1" applyProtection="1">
      <protection hidden="1"/>
    </xf>
    <xf numFmtId="0" fontId="83" fillId="0" borderId="0" xfId="0" applyFont="1" applyAlignment="1">
      <alignment vertical="center"/>
    </xf>
    <xf numFmtId="0" fontId="86" fillId="0" borderId="138" xfId="48" applyFont="1" applyBorder="1" applyAlignment="1">
      <alignment horizontal="center" vertical="center"/>
    </xf>
    <xf numFmtId="0" fontId="87" fillId="0" borderId="138" xfId="0" applyFont="1" applyBorder="1" applyAlignment="1">
      <alignment horizontal="right" vertical="center"/>
    </xf>
    <xf numFmtId="0" fontId="88" fillId="0" borderId="138" xfId="0" applyFont="1" applyBorder="1" applyAlignment="1">
      <alignment vertical="center"/>
    </xf>
    <xf numFmtId="0" fontId="83" fillId="0" borderId="0" xfId="0" applyFont="1" applyAlignment="1">
      <alignment horizontal="right" indent="1"/>
    </xf>
    <xf numFmtId="0" fontId="89" fillId="26" borderId="139" xfId="48" applyFont="1" applyFill="1" applyBorder="1" applyAlignment="1">
      <alignment horizontal="center"/>
    </xf>
    <xf numFmtId="0" fontId="90" fillId="26" borderId="140" xfId="48" applyFont="1" applyFill="1" applyBorder="1" applyAlignment="1">
      <alignment horizontal="center"/>
    </xf>
    <xf numFmtId="0" fontId="89" fillId="0" borderId="141" xfId="48" applyFont="1" applyBorder="1" applyAlignment="1">
      <alignment horizontal="center"/>
    </xf>
    <xf numFmtId="0" fontId="90" fillId="26" borderId="142" xfId="48" applyFont="1" applyFill="1" applyBorder="1" applyAlignment="1">
      <alignment horizontal="center"/>
    </xf>
    <xf numFmtId="0" fontId="89" fillId="26" borderId="141" xfId="48" applyFont="1" applyFill="1" applyBorder="1" applyAlignment="1">
      <alignment horizontal="center"/>
    </xf>
    <xf numFmtId="0" fontId="89" fillId="26" borderId="143" xfId="48" applyFont="1" applyFill="1" applyBorder="1" applyAlignment="1">
      <alignment horizontal="center"/>
    </xf>
    <xf numFmtId="0" fontId="90" fillId="26" borderId="143" xfId="48" applyFont="1" applyFill="1" applyBorder="1" applyAlignment="1">
      <alignment horizontal="center"/>
    </xf>
    <xf numFmtId="0" fontId="89" fillId="0" borderId="143" xfId="48" applyFont="1" applyBorder="1" applyAlignment="1">
      <alignment horizontal="center"/>
    </xf>
    <xf numFmtId="0" fontId="90" fillId="26" borderId="144" xfId="48" applyFont="1" applyFill="1" applyBorder="1" applyAlignment="1">
      <alignment horizontal="center"/>
    </xf>
    <xf numFmtId="0" fontId="89" fillId="0" borderId="145" xfId="48" applyFont="1" applyBorder="1" applyAlignment="1">
      <alignment horizontal="center"/>
    </xf>
    <xf numFmtId="0" fontId="90" fillId="26" borderId="146" xfId="48" applyFont="1" applyFill="1" applyBorder="1" applyAlignment="1">
      <alignment horizontal="center"/>
    </xf>
    <xf numFmtId="0" fontId="91" fillId="0" borderId="0" xfId="0" applyFont="1"/>
    <xf numFmtId="0" fontId="82" fillId="0" borderId="147" xfId="0" applyFont="1" applyBorder="1" applyAlignment="1">
      <alignment horizontal="center" vertical="center"/>
    </xf>
    <xf numFmtId="0" fontId="82" fillId="0" borderId="0" xfId="0" applyFont="1" applyAlignment="1">
      <alignment horizontal="center" vertical="center"/>
    </xf>
    <xf numFmtId="0" fontId="82" fillId="0" borderId="0" xfId="0" applyFont="1" applyAlignment="1" applyProtection="1">
      <alignment horizontal="center" vertical="center"/>
      <protection hidden="1"/>
    </xf>
    <xf numFmtId="0" fontId="92" fillId="0" borderId="148" xfId="45" applyFont="1" applyBorder="1" applyAlignment="1" applyProtection="1">
      <alignment horizontal="center"/>
      <protection locked="0"/>
    </xf>
    <xf numFmtId="0" fontId="75" fillId="0" borderId="0" xfId="28" applyNumberFormat="1" applyFont="1" applyFill="1" applyBorder="1" applyAlignment="1">
      <alignment horizontal="center" wrapText="1"/>
    </xf>
    <xf numFmtId="0" fontId="82" fillId="0" borderId="0" xfId="0" applyFont="1" applyProtection="1">
      <protection hidden="1"/>
    </xf>
    <xf numFmtId="0" fontId="92" fillId="0" borderId="137" xfId="45" applyFont="1" applyBorder="1" applyAlignment="1" applyProtection="1">
      <alignment horizontal="center"/>
      <protection locked="0"/>
    </xf>
    <xf numFmtId="0" fontId="94" fillId="0" borderId="0" xfId="0" applyFont="1" applyProtection="1">
      <protection hidden="1"/>
    </xf>
    <xf numFmtId="176" fontId="82" fillId="0" borderId="137" xfId="0" applyNumberFormat="1" applyFont="1" applyBorder="1" applyAlignment="1" applyProtection="1">
      <alignment horizontal="center"/>
      <protection hidden="1"/>
    </xf>
    <xf numFmtId="0" fontId="95" fillId="0" borderId="0" xfId="0" applyFont="1"/>
    <xf numFmtId="0" fontId="84" fillId="0" borderId="0" xfId="0" applyFont="1" applyProtection="1">
      <protection hidden="1"/>
    </xf>
    <xf numFmtId="0" fontId="82" fillId="0" borderId="0" xfId="0" applyFont="1" applyAlignment="1">
      <alignment vertical="center"/>
    </xf>
    <xf numFmtId="0" fontId="82" fillId="0" borderId="0" xfId="0" applyFont="1" applyAlignment="1" applyProtection="1">
      <alignment vertical="center"/>
      <protection hidden="1"/>
    </xf>
    <xf numFmtId="0" fontId="82" fillId="26" borderId="149" xfId="0" applyFont="1" applyFill="1" applyBorder="1"/>
    <xf numFmtId="0" fontId="82" fillId="26" borderId="150" xfId="0" applyFont="1" applyFill="1" applyBorder="1"/>
    <xf numFmtId="38" fontId="82" fillId="0" borderId="151" xfId="0" applyNumberFormat="1" applyFont="1" applyBorder="1" applyProtection="1">
      <protection locked="0"/>
    </xf>
    <xf numFmtId="38" fontId="82" fillId="0" borderId="152" xfId="0" applyNumberFormat="1" applyFont="1" applyBorder="1" applyProtection="1">
      <protection locked="0"/>
    </xf>
    <xf numFmtId="38" fontId="82" fillId="0" borderId="153" xfId="0" applyNumberFormat="1" applyFont="1" applyBorder="1" applyProtection="1">
      <protection locked="0"/>
    </xf>
    <xf numFmtId="38" fontId="82" fillId="26" borderId="154" xfId="0" applyNumberFormat="1" applyFont="1" applyFill="1" applyBorder="1"/>
    <xf numFmtId="38" fontId="82" fillId="26" borderId="155" xfId="0" applyNumberFormat="1" applyFont="1" applyFill="1" applyBorder="1"/>
    <xf numFmtId="38" fontId="82" fillId="0" borderId="154" xfId="0" applyNumberFormat="1" applyFont="1" applyBorder="1"/>
    <xf numFmtId="165" fontId="75" fillId="0" borderId="0" xfId="29" applyNumberFormat="1" applyFont="1" applyFill="1" applyBorder="1" applyAlignment="1">
      <alignment wrapText="1"/>
    </xf>
    <xf numFmtId="38" fontId="82" fillId="0" borderId="156" xfId="0" applyNumberFormat="1" applyFont="1" applyBorder="1" applyProtection="1">
      <protection locked="0"/>
    </xf>
    <xf numFmtId="38" fontId="82" fillId="0" borderId="157" xfId="0" applyNumberFormat="1" applyFont="1" applyBorder="1" applyProtection="1">
      <protection locked="0"/>
    </xf>
    <xf numFmtId="38" fontId="82" fillId="0" borderId="158" xfId="0" applyNumberFormat="1" applyFont="1" applyBorder="1" applyProtection="1">
      <protection locked="0"/>
    </xf>
    <xf numFmtId="38" fontId="82" fillId="0" borderId="151" xfId="0" applyNumberFormat="1" applyFont="1" applyBorder="1"/>
    <xf numFmtId="38" fontId="82" fillId="0" borderId="152" xfId="0" applyNumberFormat="1" applyFont="1" applyBorder="1"/>
    <xf numFmtId="38" fontId="82" fillId="0" borderId="153" xfId="0" applyNumberFormat="1" applyFont="1" applyBorder="1"/>
    <xf numFmtId="38" fontId="82" fillId="0" borderId="156" xfId="0" applyNumberFormat="1" applyFont="1" applyBorder="1"/>
    <xf numFmtId="38" fontId="82" fillId="0" borderId="157" xfId="0" applyNumberFormat="1" applyFont="1" applyBorder="1"/>
    <xf numFmtId="38" fontId="82" fillId="0" borderId="158" xfId="0" applyNumberFormat="1" applyFont="1" applyBorder="1"/>
    <xf numFmtId="0" fontId="63" fillId="0" borderId="159" xfId="49" applyFont="1" applyBorder="1" applyAlignment="1">
      <alignment horizontal="center" vertical="top"/>
    </xf>
    <xf numFmtId="0" fontId="63" fillId="0" borderId="34" xfId="49" applyFont="1" applyBorder="1" applyAlignment="1">
      <alignment horizontal="center" vertical="top"/>
    </xf>
    <xf numFmtId="38" fontId="97" fillId="0" borderId="104" xfId="49" applyNumberFormat="1" applyFont="1" applyBorder="1"/>
    <xf numFmtId="0" fontId="97" fillId="0" borderId="0" xfId="49" applyFont="1"/>
    <xf numFmtId="0" fontId="4" fillId="0" borderId="0" xfId="49"/>
    <xf numFmtId="0" fontId="98" fillId="0" borderId="160" xfId="49" applyFont="1" applyBorder="1" applyAlignment="1">
      <alignment horizontal="center" vertical="top"/>
    </xf>
    <xf numFmtId="0" fontId="63" fillId="0" borderId="14" xfId="49" applyFont="1" applyBorder="1"/>
    <xf numFmtId="6" fontId="99" fillId="0" borderId="34" xfId="49" applyNumberFormat="1" applyFont="1" applyBorder="1"/>
    <xf numFmtId="10" fontId="63" fillId="0" borderId="161" xfId="55" applyNumberFormat="1" applyFont="1" applyFill="1" applyBorder="1"/>
    <xf numFmtId="0" fontId="63" fillId="0" borderId="162" xfId="49" applyFont="1" applyBorder="1"/>
    <xf numFmtId="0" fontId="63" fillId="28" borderId="163" xfId="0" applyFont="1" applyFill="1" applyBorder="1" applyAlignment="1">
      <alignment horizontal="center"/>
    </xf>
    <xf numFmtId="3" fontId="63" fillId="28" borderId="163" xfId="0" applyNumberFormat="1" applyFont="1" applyFill="1" applyBorder="1" applyAlignment="1">
      <alignment horizontal="center"/>
    </xf>
    <xf numFmtId="0" fontId="7" fillId="28" borderId="163" xfId="0" applyFont="1" applyFill="1" applyBorder="1" applyAlignment="1">
      <alignment horizontal="center"/>
    </xf>
    <xf numFmtId="0" fontId="100" fillId="0" borderId="164" xfId="49" applyFont="1" applyBorder="1"/>
    <xf numFmtId="0" fontId="71" fillId="0" borderId="165" xfId="49" applyFont="1" applyBorder="1"/>
    <xf numFmtId="0" fontId="66" fillId="0" borderId="161" xfId="0" applyFont="1" applyBorder="1" applyAlignment="1">
      <alignment horizontal="center"/>
    </xf>
    <xf numFmtId="0" fontId="66" fillId="0" borderId="166" xfId="0" applyFont="1" applyBorder="1" applyAlignment="1">
      <alignment horizontal="center"/>
    </xf>
    <xf numFmtId="0" fontId="63" fillId="0" borderId="167" xfId="49" applyFont="1" applyBorder="1" applyAlignment="1">
      <alignment horizontal="center" vertical="top"/>
    </xf>
    <xf numFmtId="175" fontId="63" fillId="0" borderId="168" xfId="0" applyNumberFormat="1" applyFont="1" applyBorder="1" applyAlignment="1">
      <alignment horizontal="center"/>
    </xf>
    <xf numFmtId="0" fontId="63" fillId="0" borderId="169" xfId="0" applyFont="1" applyBorder="1" applyAlignment="1">
      <alignment horizontal="center"/>
    </xf>
    <xf numFmtId="0" fontId="63" fillId="0" borderId="23" xfId="49" applyFont="1" applyBorder="1" applyAlignment="1">
      <alignment horizontal="center" vertical="top"/>
    </xf>
    <xf numFmtId="175" fontId="63" fillId="0" borderId="170" xfId="0" applyNumberFormat="1" applyFont="1" applyBorder="1" applyAlignment="1">
      <alignment horizontal="center"/>
    </xf>
    <xf numFmtId="175" fontId="64" fillId="0" borderId="171" xfId="49" applyNumberFormat="1" applyFont="1" applyBorder="1"/>
    <xf numFmtId="0" fontId="63" fillId="0" borderId="172" xfId="49" applyFont="1" applyBorder="1" applyAlignment="1">
      <alignment horizontal="center" vertical="top"/>
    </xf>
    <xf numFmtId="38" fontId="64" fillId="0" borderId="173" xfId="0" applyNumberFormat="1" applyFont="1" applyBorder="1"/>
    <xf numFmtId="38" fontId="64" fillId="0" borderId="174" xfId="0" applyNumberFormat="1" applyFont="1" applyBorder="1"/>
    <xf numFmtId="38" fontId="64" fillId="31" borderId="173" xfId="0" applyNumberFormat="1" applyFont="1" applyFill="1" applyBorder="1"/>
    <xf numFmtId="38" fontId="64" fillId="31" borderId="173" xfId="49" applyNumberFormat="1" applyFont="1" applyFill="1" applyBorder="1"/>
    <xf numFmtId="38" fontId="64" fillId="0" borderId="175" xfId="49" applyNumberFormat="1" applyFont="1" applyBorder="1"/>
    <xf numFmtId="6" fontId="64" fillId="0" borderId="173" xfId="0" applyNumberFormat="1" applyFont="1" applyBorder="1"/>
    <xf numFmtId="6" fontId="64" fillId="0" borderId="174" xfId="0" applyNumberFormat="1" applyFont="1" applyBorder="1"/>
    <xf numFmtId="6" fontId="64" fillId="31" borderId="173" xfId="0" applyNumberFormat="1" applyFont="1" applyFill="1" applyBorder="1"/>
    <xf numFmtId="6" fontId="63" fillId="31" borderId="173" xfId="0" applyNumberFormat="1" applyFont="1" applyFill="1" applyBorder="1"/>
    <xf numFmtId="6" fontId="64" fillId="31" borderId="173" xfId="49" applyNumberFormat="1" applyFont="1" applyFill="1" applyBorder="1"/>
    <xf numFmtId="6" fontId="73" fillId="0" borderId="173" xfId="0" applyNumberFormat="1" applyFont="1" applyBorder="1"/>
    <xf numFmtId="6" fontId="73" fillId="0" borderId="174" xfId="0" applyNumberFormat="1" applyFont="1" applyBorder="1"/>
    <xf numFmtId="170" fontId="5" fillId="31" borderId="173" xfId="30" applyNumberFormat="1" applyFont="1" applyFill="1" applyBorder="1"/>
    <xf numFmtId="170" fontId="5" fillId="0" borderId="175" xfId="30" applyNumberFormat="1" applyFont="1" applyFill="1" applyBorder="1"/>
    <xf numFmtId="10" fontId="60" fillId="0" borderId="173" xfId="0" applyNumberFormat="1" applyFont="1" applyBorder="1"/>
    <xf numFmtId="10" fontId="63" fillId="0" borderId="173" xfId="0" applyNumberFormat="1" applyFont="1" applyBorder="1"/>
    <xf numFmtId="10" fontId="60" fillId="0" borderId="173" xfId="49" applyNumberFormat="1" applyFont="1" applyBorder="1"/>
    <xf numFmtId="6" fontId="5" fillId="0" borderId="175" xfId="49" applyNumberFormat="1" applyFont="1" applyBorder="1"/>
    <xf numFmtId="43" fontId="64" fillId="0" borderId="173" xfId="28" applyFont="1" applyFill="1" applyBorder="1"/>
    <xf numFmtId="170" fontId="5" fillId="24" borderId="173" xfId="30" applyNumberFormat="1" applyFont="1" applyFill="1" applyBorder="1"/>
    <xf numFmtId="10" fontId="63" fillId="0" borderId="172" xfId="49" applyNumberFormat="1" applyFont="1" applyBorder="1" applyAlignment="1">
      <alignment horizontal="center" vertical="top"/>
    </xf>
    <xf numFmtId="3" fontId="64" fillId="31" borderId="173" xfId="0" applyNumberFormat="1" applyFont="1" applyFill="1" applyBorder="1"/>
    <xf numFmtId="6" fontId="64" fillId="0" borderId="176" xfId="0" applyNumberFormat="1" applyFont="1" applyBorder="1"/>
    <xf numFmtId="5" fontId="102" fillId="32" borderId="177" xfId="0" applyNumberFormat="1" applyFont="1" applyFill="1" applyBorder="1" applyProtection="1">
      <protection locked="0"/>
    </xf>
    <xf numFmtId="6" fontId="64" fillId="24" borderId="173" xfId="0" applyNumberFormat="1" applyFont="1" applyFill="1" applyBorder="1"/>
    <xf numFmtId="6" fontId="64" fillId="24" borderId="173" xfId="49" applyNumberFormat="1" applyFont="1" applyFill="1" applyBorder="1"/>
    <xf numFmtId="6" fontId="0" fillId="24" borderId="173" xfId="0" applyNumberFormat="1" applyFill="1" applyBorder="1"/>
    <xf numFmtId="6" fontId="103" fillId="24" borderId="173" xfId="0" applyNumberFormat="1" applyFont="1" applyFill="1" applyBorder="1"/>
    <xf numFmtId="0" fontId="103" fillId="24" borderId="173" xfId="0" applyFont="1" applyFill="1" applyBorder="1"/>
    <xf numFmtId="6" fontId="103" fillId="24" borderId="173" xfId="49" applyNumberFormat="1" applyFont="1" applyFill="1" applyBorder="1"/>
    <xf numFmtId="0" fontId="104" fillId="0" borderId="172" xfId="49" applyFont="1" applyBorder="1"/>
    <xf numFmtId="0" fontId="104" fillId="0" borderId="173" xfId="0" applyFont="1" applyBorder="1"/>
    <xf numFmtId="0" fontId="0" fillId="0" borderId="173" xfId="0" applyBorder="1"/>
    <xf numFmtId="0" fontId="103" fillId="0" borderId="173" xfId="0" applyFont="1" applyBorder="1"/>
    <xf numFmtId="0" fontId="103" fillId="0" borderId="173" xfId="49" applyFont="1" applyBorder="1"/>
    <xf numFmtId="0" fontId="105" fillId="0" borderId="175" xfId="49" applyFont="1" applyBorder="1"/>
    <xf numFmtId="6" fontId="63" fillId="0" borderId="173" xfId="0" applyNumberFormat="1" applyFont="1" applyBorder="1"/>
    <xf numFmtId="6" fontId="63" fillId="0" borderId="173" xfId="49" applyNumberFormat="1" applyFont="1" applyBorder="1"/>
    <xf numFmtId="0" fontId="63" fillId="0" borderId="178" xfId="49" applyFont="1" applyBorder="1" applyAlignment="1">
      <alignment horizontal="center" vertical="top"/>
    </xf>
    <xf numFmtId="8" fontId="63" fillId="0" borderId="170" xfId="0" applyNumberFormat="1" applyFont="1" applyBorder="1"/>
    <xf numFmtId="8" fontId="63" fillId="0" borderId="170" xfId="49" applyNumberFormat="1" applyFont="1" applyBorder="1"/>
    <xf numFmtId="8" fontId="63" fillId="0" borderId="179" xfId="49" applyNumberFormat="1" applyFont="1" applyBorder="1"/>
    <xf numFmtId="0" fontId="63" fillId="0" borderId="14" xfId="49" applyFont="1" applyBorder="1" applyAlignment="1">
      <alignment horizontal="center" vertical="top"/>
    </xf>
    <xf numFmtId="0" fontId="105" fillId="0" borderId="0" xfId="49" applyFont="1"/>
    <xf numFmtId="0" fontId="4" fillId="0" borderId="180" xfId="49" applyBorder="1"/>
    <xf numFmtId="0" fontId="105" fillId="0" borderId="15" xfId="49" applyFont="1" applyBorder="1"/>
    <xf numFmtId="0" fontId="63" fillId="0" borderId="14" xfId="49" applyFont="1" applyBorder="1" applyAlignment="1">
      <alignment horizontal="left" vertical="top"/>
    </xf>
    <xf numFmtId="8" fontId="63" fillId="0" borderId="0" xfId="49" applyNumberFormat="1" applyFont="1"/>
    <xf numFmtId="8" fontId="63" fillId="0" borderId="15" xfId="49" applyNumberFormat="1" applyFont="1" applyBorder="1"/>
    <xf numFmtId="0" fontId="106" fillId="28" borderId="14" xfId="49" applyFont="1" applyFill="1" applyBorder="1" applyAlignment="1">
      <alignment horizontal="left" vertical="center"/>
    </xf>
    <xf numFmtId="0" fontId="107" fillId="28" borderId="0" xfId="49" applyFont="1" applyFill="1" applyAlignment="1">
      <alignment vertical="center"/>
    </xf>
    <xf numFmtId="8" fontId="108" fillId="28" borderId="0" xfId="49" applyNumberFormat="1" applyFont="1" applyFill="1" applyAlignment="1">
      <alignment vertical="center"/>
    </xf>
    <xf numFmtId="0" fontId="4" fillId="28" borderId="0" xfId="49" applyFill="1"/>
    <xf numFmtId="8" fontId="108" fillId="28" borderId="15" xfId="49" applyNumberFormat="1" applyFont="1" applyFill="1" applyBorder="1" applyAlignment="1">
      <alignment vertical="center"/>
    </xf>
    <xf numFmtId="0" fontId="7" fillId="0" borderId="14" xfId="49" applyFont="1" applyBorder="1" applyAlignment="1">
      <alignment horizontal="left" vertical="top"/>
    </xf>
    <xf numFmtId="0" fontId="103" fillId="0" borderId="0" xfId="49" applyFont="1"/>
    <xf numFmtId="8" fontId="7" fillId="0" borderId="0" xfId="49" applyNumberFormat="1" applyFont="1"/>
    <xf numFmtId="8" fontId="7" fillId="0" borderId="15" xfId="49" applyNumberFormat="1" applyFont="1" applyBorder="1"/>
    <xf numFmtId="0" fontId="15" fillId="0" borderId="14" xfId="49" applyFont="1" applyBorder="1" applyAlignment="1">
      <alignment horizontal="left" vertical="top"/>
    </xf>
    <xf numFmtId="8" fontId="15" fillId="0" borderId="0" xfId="49" applyNumberFormat="1" applyFont="1"/>
    <xf numFmtId="8" fontId="15" fillId="0" borderId="15" xfId="49" applyNumberFormat="1" applyFont="1" applyBorder="1"/>
    <xf numFmtId="0" fontId="4" fillId="0" borderId="16" xfId="49" applyBorder="1"/>
    <xf numFmtId="0" fontId="4" fillId="0" borderId="17" xfId="49" applyBorder="1"/>
    <xf numFmtId="8" fontId="15" fillId="0" borderId="18" xfId="49" applyNumberFormat="1" applyFont="1" applyBorder="1"/>
    <xf numFmtId="166" fontId="109" fillId="0" borderId="0" xfId="55" applyNumberFormat="1" applyFont="1" applyFill="1" applyBorder="1" applyAlignment="1" applyProtection="1">
      <alignment vertical="center"/>
      <protection locked="0"/>
    </xf>
    <xf numFmtId="44" fontId="109" fillId="0" borderId="0" xfId="30" applyFont="1" applyFill="1" applyBorder="1" applyAlignment="1" applyProtection="1">
      <alignment vertical="center"/>
      <protection locked="0"/>
    </xf>
    <xf numFmtId="165" fontId="109" fillId="0" borderId="0" xfId="28" applyNumberFormat="1" applyFont="1" applyFill="1" applyBorder="1" applyAlignment="1" applyProtection="1">
      <alignment vertical="center"/>
      <protection locked="0"/>
    </xf>
    <xf numFmtId="170" fontId="109" fillId="0" borderId="0" xfId="30" applyNumberFormat="1" applyFont="1" applyFill="1" applyBorder="1" applyAlignment="1" applyProtection="1">
      <alignment vertical="center"/>
      <protection locked="0"/>
    </xf>
    <xf numFmtId="0" fontId="42" fillId="0" borderId="0" xfId="0" applyFont="1" applyAlignment="1">
      <alignment horizontal="centerContinuous"/>
    </xf>
    <xf numFmtId="0" fontId="0" fillId="0" borderId="38" xfId="0" applyBorder="1"/>
    <xf numFmtId="0" fontId="0" fillId="0" borderId="39" xfId="0" applyBorder="1"/>
    <xf numFmtId="0" fontId="80" fillId="0" borderId="28" xfId="0" applyFont="1" applyBorder="1" applyAlignment="1">
      <alignment horizontal="center"/>
    </xf>
    <xf numFmtId="0" fontId="82" fillId="0" borderId="28" xfId="0" applyFont="1" applyBorder="1"/>
    <xf numFmtId="3" fontId="14" fillId="0" borderId="136" xfId="28" applyNumberFormat="1" applyFont="1" applyBorder="1"/>
    <xf numFmtId="165" fontId="14" fillId="0" borderId="136" xfId="28" applyNumberFormat="1" applyFont="1" applyBorder="1"/>
    <xf numFmtId="0" fontId="14" fillId="0" borderId="136" xfId="0" applyFont="1" applyBorder="1"/>
    <xf numFmtId="176" fontId="82" fillId="0" borderId="182" xfId="0" applyNumberFormat="1" applyFont="1" applyBorder="1" applyAlignment="1" applyProtection="1">
      <alignment horizontal="center"/>
      <protection hidden="1"/>
    </xf>
    <xf numFmtId="0" fontId="80" fillId="0" borderId="183" xfId="0" applyFont="1" applyBorder="1" applyAlignment="1">
      <alignment horizontal="right"/>
    </xf>
    <xf numFmtId="0" fontId="84" fillId="26" borderId="28" xfId="0" applyFont="1" applyFill="1" applyBorder="1" applyProtection="1">
      <protection hidden="1"/>
    </xf>
    <xf numFmtId="0" fontId="85" fillId="0" borderId="184" xfId="0" applyFont="1" applyBorder="1" applyAlignment="1">
      <alignment horizontal="right" vertical="center" indent="1"/>
    </xf>
    <xf numFmtId="0" fontId="87" fillId="26" borderId="185" xfId="48" applyFont="1" applyFill="1" applyBorder="1" applyAlignment="1">
      <alignment horizontal="left" indent="1"/>
    </xf>
    <xf numFmtId="0" fontId="90" fillId="26" borderId="186" xfId="48" applyFont="1" applyFill="1" applyBorder="1" applyAlignment="1">
      <alignment horizontal="right" indent="1"/>
    </xf>
    <xf numFmtId="38" fontId="82" fillId="0" borderId="187" xfId="0" applyNumberFormat="1" applyFont="1" applyBorder="1" applyProtection="1">
      <protection locked="0"/>
    </xf>
    <xf numFmtId="0" fontId="90" fillId="0" borderId="186" xfId="48" applyFont="1" applyBorder="1" applyAlignment="1">
      <alignment horizontal="right" indent="1"/>
    </xf>
    <xf numFmtId="0" fontId="87" fillId="26" borderId="188" xfId="48" applyFont="1" applyFill="1" applyBorder="1" applyAlignment="1">
      <alignment horizontal="left" indent="1"/>
    </xf>
    <xf numFmtId="38" fontId="82" fillId="26" borderId="189" xfId="0" applyNumberFormat="1" applyFont="1" applyFill="1" applyBorder="1"/>
    <xf numFmtId="0" fontId="90" fillId="0" borderId="188" xfId="48" applyFont="1" applyBorder="1" applyAlignment="1">
      <alignment horizontal="right" indent="1"/>
    </xf>
    <xf numFmtId="0" fontId="90" fillId="26" borderId="188" xfId="48" applyFont="1" applyFill="1" applyBorder="1" applyAlignment="1">
      <alignment horizontal="right" indent="1"/>
    </xf>
    <xf numFmtId="0" fontId="87" fillId="26" borderId="188" xfId="48" applyFont="1" applyFill="1" applyBorder="1" applyAlignment="1">
      <alignment horizontal="center"/>
    </xf>
    <xf numFmtId="38" fontId="82" fillId="0" borderId="189" xfId="0" applyNumberFormat="1" applyFont="1" applyBorder="1"/>
    <xf numFmtId="0" fontId="90" fillId="0" borderId="190" xfId="48" applyFont="1" applyBorder="1" applyAlignment="1">
      <alignment horizontal="right" indent="1"/>
    </xf>
    <xf numFmtId="38" fontId="82" fillId="0" borderId="191" xfId="0" applyNumberFormat="1" applyFont="1" applyBorder="1" applyProtection="1">
      <protection locked="0"/>
    </xf>
    <xf numFmtId="38" fontId="82" fillId="0" borderId="187" xfId="0" applyNumberFormat="1" applyFont="1" applyBorder="1"/>
    <xf numFmtId="0" fontId="90" fillId="0" borderId="192" xfId="48" applyFont="1" applyBorder="1" applyAlignment="1">
      <alignment horizontal="right" indent="1"/>
    </xf>
    <xf numFmtId="0" fontId="89" fillId="0" borderId="193" xfId="48" applyFont="1" applyBorder="1" applyAlignment="1">
      <alignment horizontal="center"/>
    </xf>
    <xf numFmtId="0" fontId="90" fillId="26" borderId="194" xfId="48" applyFont="1" applyFill="1" applyBorder="1" applyAlignment="1">
      <alignment horizontal="center"/>
    </xf>
    <xf numFmtId="38" fontId="82" fillId="0" borderId="195" xfId="0" applyNumberFormat="1" applyFont="1" applyBorder="1"/>
    <xf numFmtId="38" fontId="82" fillId="0" borderId="196" xfId="0" applyNumberFormat="1" applyFont="1" applyBorder="1"/>
    <xf numFmtId="38" fontId="82" fillId="0" borderId="197" xfId="0" applyNumberFormat="1" applyFont="1" applyBorder="1"/>
    <xf numFmtId="0" fontId="82" fillId="0" borderId="0" xfId="0" applyFont="1" applyAlignment="1">
      <alignment horizontal="center"/>
    </xf>
    <xf numFmtId="176" fontId="80" fillId="26" borderId="198" xfId="0" applyNumberFormat="1" applyFont="1" applyFill="1" applyBorder="1" applyAlignment="1">
      <alignment horizontal="right" indent="1"/>
    </xf>
    <xf numFmtId="176" fontId="82" fillId="0" borderId="198" xfId="0" applyNumberFormat="1" applyFont="1" applyBorder="1" applyAlignment="1" applyProtection="1">
      <alignment horizontal="center"/>
      <protection hidden="1"/>
    </xf>
    <xf numFmtId="0" fontId="82" fillId="0" borderId="199" xfId="0" applyFont="1" applyBorder="1" applyAlignment="1">
      <alignment horizontal="center" vertical="center" wrapText="1"/>
    </xf>
    <xf numFmtId="14" fontId="81" fillId="0" borderId="28" xfId="0" applyNumberFormat="1" applyFont="1" applyBorder="1" applyAlignment="1">
      <alignment horizontal="center"/>
    </xf>
    <xf numFmtId="43" fontId="34" fillId="29" borderId="62" xfId="28" applyFont="1" applyFill="1" applyBorder="1" applyAlignment="1" applyProtection="1">
      <alignment horizontal="right"/>
    </xf>
    <xf numFmtId="178" fontId="34" fillId="0" borderId="0" xfId="48" applyNumberFormat="1" applyFont="1" applyAlignment="1">
      <alignment horizontal="right"/>
    </xf>
    <xf numFmtId="38" fontId="80" fillId="0" borderId="151" xfId="0" applyNumberFormat="1" applyFont="1" applyBorder="1" applyProtection="1">
      <protection locked="0"/>
    </xf>
    <xf numFmtId="38" fontId="82" fillId="0" borderId="200" xfId="0" applyNumberFormat="1" applyFont="1" applyBorder="1" applyProtection="1">
      <protection locked="0"/>
    </xf>
    <xf numFmtId="38" fontId="82" fillId="0" borderId="201" xfId="0" applyNumberFormat="1" applyFont="1" applyBorder="1" applyProtection="1">
      <protection locked="0"/>
    </xf>
    <xf numFmtId="0" fontId="82" fillId="26" borderId="202" xfId="0" applyFont="1" applyFill="1" applyBorder="1"/>
    <xf numFmtId="0" fontId="82" fillId="0" borderId="148" xfId="45" applyFont="1" applyBorder="1" applyAlignment="1" applyProtection="1">
      <alignment horizontal="center"/>
      <protection locked="0"/>
    </xf>
    <xf numFmtId="0" fontId="82" fillId="0" borderId="137" xfId="45" applyFont="1" applyBorder="1" applyAlignment="1" applyProtection="1">
      <alignment horizontal="center"/>
      <protection locked="0"/>
    </xf>
    <xf numFmtId="0" fontId="88" fillId="0" borderId="203" xfId="0" applyFont="1" applyBorder="1" applyAlignment="1">
      <alignment vertical="center"/>
    </xf>
    <xf numFmtId="0" fontId="88" fillId="0" borderId="204" xfId="0" applyFont="1" applyBorder="1" applyAlignment="1">
      <alignment vertical="center"/>
    </xf>
    <xf numFmtId="0" fontId="88" fillId="0" borderId="205" xfId="0" applyFont="1" applyBorder="1" applyAlignment="1">
      <alignment vertical="center"/>
    </xf>
    <xf numFmtId="0" fontId="114" fillId="0" borderId="0" xfId="49" applyFont="1"/>
    <xf numFmtId="38" fontId="114" fillId="0" borderId="0" xfId="49" applyNumberFormat="1" applyFont="1"/>
    <xf numFmtId="0" fontId="114" fillId="0" borderId="0" xfId="0" applyFont="1"/>
    <xf numFmtId="38" fontId="114" fillId="0" borderId="0" xfId="0" applyNumberFormat="1" applyFont="1"/>
    <xf numFmtId="0" fontId="115" fillId="0" borderId="0" xfId="49" applyFont="1"/>
    <xf numFmtId="0" fontId="115" fillId="0" borderId="15" xfId="49" applyFont="1" applyBorder="1"/>
    <xf numFmtId="0" fontId="116" fillId="0" borderId="15" xfId="49" applyFont="1" applyBorder="1"/>
    <xf numFmtId="0" fontId="116" fillId="0" borderId="0" xfId="49" applyFont="1"/>
    <xf numFmtId="0" fontId="63" fillId="24" borderId="172" xfId="49" applyFont="1" applyFill="1" applyBorder="1" applyAlignment="1">
      <alignment horizontal="center" vertical="top"/>
    </xf>
    <xf numFmtId="6" fontId="64" fillId="24" borderId="173" xfId="0" applyNumberFormat="1" applyFont="1" applyFill="1" applyBorder="1" applyAlignment="1">
      <alignment horizontal="left"/>
    </xf>
    <xf numFmtId="6" fontId="64" fillId="24" borderId="174" xfId="0" applyNumberFormat="1" applyFont="1" applyFill="1" applyBorder="1"/>
    <xf numFmtId="170" fontId="8" fillId="0" borderId="20" xfId="30" applyNumberFormat="1" applyFont="1" applyFill="1" applyBorder="1" applyAlignment="1">
      <alignment horizontal="center" vertical="center"/>
    </xf>
    <xf numFmtId="170" fontId="14" fillId="0" borderId="20" xfId="30" applyNumberFormat="1" applyFont="1" applyFill="1" applyBorder="1"/>
    <xf numFmtId="10" fontId="8" fillId="0" borderId="116" xfId="55" applyNumberFormat="1" applyFont="1" applyFill="1" applyBorder="1"/>
    <xf numFmtId="170" fontId="8" fillId="26" borderId="20" xfId="30" applyNumberFormat="1" applyFont="1" applyFill="1" applyBorder="1" applyAlignment="1">
      <alignment horizontal="center" vertical="center"/>
    </xf>
    <xf numFmtId="0" fontId="117" fillId="0" borderId="0" xfId="46" applyFont="1"/>
    <xf numFmtId="170" fontId="117" fillId="0" borderId="0" xfId="30" applyNumberFormat="1" applyFont="1"/>
    <xf numFmtId="10" fontId="117" fillId="0" borderId="0" xfId="55" applyNumberFormat="1" applyFont="1"/>
    <xf numFmtId="1" fontId="14" fillId="0" borderId="20" xfId="28" applyNumberFormat="1" applyFont="1" applyFill="1" applyBorder="1"/>
    <xf numFmtId="1" fontId="14" fillId="24" borderId="20" xfId="30" applyNumberFormat="1" applyFont="1" applyFill="1" applyBorder="1"/>
    <xf numFmtId="10" fontId="8" fillId="27" borderId="206" xfId="55" applyNumberFormat="1" applyFont="1" applyFill="1" applyBorder="1" applyAlignment="1"/>
    <xf numFmtId="10" fontId="8" fillId="27" borderId="207" xfId="55" applyNumberFormat="1" applyFont="1" applyFill="1" applyBorder="1" applyAlignment="1"/>
    <xf numFmtId="1" fontId="14" fillId="24" borderId="20" xfId="28" applyNumberFormat="1" applyFont="1" applyFill="1" applyBorder="1"/>
    <xf numFmtId="38" fontId="64" fillId="24" borderId="175" xfId="49" applyNumberFormat="1" applyFont="1" applyFill="1" applyBorder="1"/>
    <xf numFmtId="0" fontId="8" fillId="0" borderId="0" xfId="0" applyFont="1" applyAlignment="1">
      <alignment horizontal="center"/>
    </xf>
    <xf numFmtId="0" fontId="76" fillId="0" borderId="0" xfId="0" applyFont="1" applyAlignment="1">
      <alignment horizontal="center"/>
    </xf>
    <xf numFmtId="0" fontId="76" fillId="0" borderId="0" xfId="0" applyFont="1"/>
    <xf numFmtId="0" fontId="0" fillId="0" borderId="208" xfId="0" applyBorder="1"/>
    <xf numFmtId="0" fontId="0" fillId="0" borderId="209" xfId="0" applyBorder="1"/>
    <xf numFmtId="0" fontId="76" fillId="0" borderId="0" xfId="0" applyFont="1" applyAlignment="1">
      <alignment horizontal="left"/>
    </xf>
    <xf numFmtId="1" fontId="76" fillId="0" borderId="0" xfId="0" applyNumberFormat="1" applyFont="1" applyAlignment="1">
      <alignment horizontal="center"/>
    </xf>
    <xf numFmtId="0" fontId="76" fillId="0" borderId="0" xfId="0" applyFont="1" applyAlignment="1">
      <alignment horizontal="right"/>
    </xf>
    <xf numFmtId="14" fontId="118" fillId="0" borderId="0" xfId="0" applyNumberFormat="1" applyFont="1" applyAlignment="1">
      <alignment horizontal="center"/>
    </xf>
    <xf numFmtId="10" fontId="14" fillId="0" borderId="0" xfId="55" applyNumberFormat="1" applyFont="1" applyBorder="1" applyAlignment="1" applyProtection="1">
      <alignment horizontal="right"/>
      <protection locked="0"/>
    </xf>
    <xf numFmtId="2" fontId="34" fillId="29" borderId="62" xfId="30" applyNumberFormat="1" applyFont="1" applyFill="1" applyBorder="1" applyAlignment="1" applyProtection="1">
      <alignment horizontal="right"/>
    </xf>
    <xf numFmtId="0" fontId="76" fillId="0" borderId="0" xfId="0" applyFont="1" applyAlignment="1">
      <alignment vertical="center"/>
    </xf>
    <xf numFmtId="0" fontId="0" fillId="0" borderId="210" xfId="0" applyBorder="1" applyAlignment="1">
      <alignment vertical="center"/>
    </xf>
    <xf numFmtId="0" fontId="0" fillId="0" borderId="0" xfId="0" applyAlignment="1">
      <alignment vertical="center"/>
    </xf>
    <xf numFmtId="181" fontId="0" fillId="0" borderId="210" xfId="55" applyNumberFormat="1" applyFont="1" applyFill="1" applyBorder="1" applyAlignment="1">
      <alignment vertical="center"/>
    </xf>
    <xf numFmtId="181" fontId="0" fillId="0" borderId="0" xfId="55" applyNumberFormat="1" applyFont="1" applyFill="1" applyAlignment="1">
      <alignment vertical="center"/>
    </xf>
    <xf numFmtId="0" fontId="76" fillId="0" borderId="0" xfId="0" applyFont="1" applyAlignment="1">
      <alignment horizontal="center" vertical="center"/>
    </xf>
    <xf numFmtId="0" fontId="8" fillId="0" borderId="28" xfId="48" applyFont="1" applyBorder="1" applyAlignment="1">
      <alignment horizontal="center" vertical="center"/>
    </xf>
    <xf numFmtId="0" fontId="117" fillId="0" borderId="0" xfId="0" applyFont="1"/>
    <xf numFmtId="0" fontId="117" fillId="27" borderId="0" xfId="0" applyFont="1" applyFill="1" applyAlignment="1">
      <alignment horizontal="center"/>
    </xf>
    <xf numFmtId="0" fontId="117" fillId="0" borderId="0" xfId="0" applyFont="1" applyAlignment="1">
      <alignment horizontal="center"/>
    </xf>
    <xf numFmtId="0" fontId="8" fillId="30" borderId="211" xfId="48" applyFont="1" applyFill="1" applyBorder="1" applyAlignment="1">
      <alignment horizontal="centerContinuous" vertical="center"/>
    </xf>
    <xf numFmtId="0" fontId="8" fillId="30" borderId="212" xfId="48" applyFont="1" applyFill="1" applyBorder="1" applyAlignment="1">
      <alignment horizontal="centerContinuous" vertical="center"/>
    </xf>
    <xf numFmtId="0" fontId="8" fillId="30" borderId="213" xfId="48" applyFont="1" applyFill="1" applyBorder="1" applyAlignment="1">
      <alignment horizontal="centerContinuous" vertical="center"/>
    </xf>
    <xf numFmtId="14" fontId="119" fillId="0" borderId="0" xfId="0" applyNumberFormat="1" applyFont="1"/>
    <xf numFmtId="0" fontId="8" fillId="30" borderId="214" xfId="48" applyFont="1" applyFill="1" applyBorder="1" applyAlignment="1">
      <alignment horizontal="centerContinuous" vertical="center"/>
    </xf>
    <xf numFmtId="0" fontId="8" fillId="30" borderId="114" xfId="48" applyFont="1" applyFill="1" applyBorder="1" applyAlignment="1">
      <alignment horizontal="centerContinuous" vertical="center"/>
    </xf>
    <xf numFmtId="0" fontId="8" fillId="30" borderId="215" xfId="48" applyFont="1" applyFill="1" applyBorder="1" applyAlignment="1">
      <alignment horizontal="centerContinuous" vertical="center"/>
    </xf>
    <xf numFmtId="14" fontId="8" fillId="30" borderId="216" xfId="48" applyNumberFormat="1" applyFont="1" applyFill="1" applyBorder="1" applyAlignment="1">
      <alignment horizontal="centerContinuous" vertical="center"/>
    </xf>
    <xf numFmtId="0" fontId="8" fillId="30" borderId="217" xfId="48" applyFont="1" applyFill="1" applyBorder="1" applyAlignment="1">
      <alignment horizontal="centerContinuous" vertical="center"/>
    </xf>
    <xf numFmtId="0" fontId="8" fillId="30" borderId="218" xfId="48" applyFont="1" applyFill="1" applyBorder="1" applyAlignment="1">
      <alignment horizontal="centerContinuous" vertical="center"/>
    </xf>
    <xf numFmtId="0" fontId="120" fillId="0" borderId="0" xfId="48" applyFont="1" applyAlignment="1">
      <alignment horizontal="centerContinuous" vertical="center"/>
    </xf>
    <xf numFmtId="0" fontId="117" fillId="0" borderId="0" xfId="48" applyFont="1" applyAlignment="1">
      <alignment horizontal="centerContinuous" vertical="center"/>
    </xf>
    <xf numFmtId="0" fontId="121" fillId="0" borderId="0" xfId="48" applyFont="1" applyAlignment="1">
      <alignment horizontal="centerContinuous" vertical="center"/>
    </xf>
    <xf numFmtId="38" fontId="122" fillId="0" borderId="0" xfId="48" applyNumberFormat="1" applyFont="1" applyAlignment="1">
      <alignment horizontal="centerContinuous" vertical="center"/>
    </xf>
    <xf numFmtId="0" fontId="14" fillId="0" borderId="62" xfId="48" applyFont="1" applyBorder="1" applyAlignment="1">
      <alignment horizontal="centerContinuous" vertical="center"/>
    </xf>
    <xf numFmtId="0" fontId="14" fillId="0" borderId="28" xfId="48" applyFont="1" applyBorder="1" applyAlignment="1">
      <alignment horizontal="center" vertical="center"/>
    </xf>
    <xf numFmtId="0" fontId="14" fillId="0" borderId="81" xfId="0" applyFont="1" applyBorder="1" applyAlignment="1">
      <alignment vertical="center"/>
    </xf>
    <xf numFmtId="38" fontId="5" fillId="0" borderId="0" xfId="48" applyNumberFormat="1" applyFont="1"/>
    <xf numFmtId="0" fontId="14" fillId="0" borderId="28" xfId="0" applyFont="1" applyBorder="1" applyAlignment="1">
      <alignment horizontal="center"/>
    </xf>
    <xf numFmtId="0" fontId="14" fillId="0" borderId="45" xfId="48" applyFont="1" applyBorder="1" applyAlignment="1">
      <alignment horizontal="center"/>
    </xf>
    <xf numFmtId="0" fontId="14" fillId="0" borderId="32" xfId="48" applyFont="1" applyBorder="1" applyAlignment="1">
      <alignment horizontal="center"/>
    </xf>
    <xf numFmtId="0" fontId="14" fillId="0" borderId="32" xfId="48" applyFont="1" applyBorder="1" applyAlignment="1" applyProtection="1">
      <alignment horizontal="center"/>
      <protection locked="0"/>
    </xf>
    <xf numFmtId="170" fontId="14" fillId="24" borderId="32" xfId="30" applyNumberFormat="1" applyFont="1" applyFill="1" applyBorder="1"/>
    <xf numFmtId="0" fontId="14" fillId="0" borderId="219" xfId="48" applyFont="1" applyBorder="1" applyAlignment="1">
      <alignment horizontal="center"/>
    </xf>
    <xf numFmtId="0" fontId="14" fillId="0" borderId="220" xfId="48" applyFont="1" applyBorder="1" applyAlignment="1">
      <alignment horizontal="center"/>
    </xf>
    <xf numFmtId="0" fontId="14" fillId="0" borderId="220" xfId="48" applyFont="1" applyBorder="1" applyAlignment="1" applyProtection="1">
      <alignment horizontal="center"/>
      <protection locked="0"/>
    </xf>
    <xf numFmtId="0" fontId="8" fillId="30" borderId="134" xfId="48" applyFont="1" applyFill="1" applyBorder="1" applyAlignment="1">
      <alignment horizontal="center"/>
    </xf>
    <xf numFmtId="0" fontId="8" fillId="30" borderId="124" xfId="48" applyFont="1" applyFill="1" applyBorder="1" applyAlignment="1">
      <alignment horizontal="center"/>
    </xf>
    <xf numFmtId="0" fontId="8" fillId="30" borderId="221" xfId="48" applyFont="1" applyFill="1" applyBorder="1" applyAlignment="1">
      <alignment horizontal="center"/>
    </xf>
    <xf numFmtId="0" fontId="117" fillId="0" borderId="0" xfId="48" applyFont="1"/>
    <xf numFmtId="0" fontId="117" fillId="0" borderId="0" xfId="48" applyFont="1" applyAlignment="1">
      <alignment horizontal="center"/>
    </xf>
    <xf numFmtId="0" fontId="126" fillId="0" borderId="0" xfId="48" applyFont="1" applyAlignment="1">
      <alignment horizontal="center"/>
    </xf>
    <xf numFmtId="38" fontId="126" fillId="0" borderId="0" xfId="48" applyNumberFormat="1" applyFont="1"/>
    <xf numFmtId="0" fontId="119" fillId="0" borderId="0" xfId="48" applyFont="1" applyAlignment="1">
      <alignment horizontal="left"/>
    </xf>
    <xf numFmtId="38" fontId="117" fillId="0" borderId="0" xfId="48" applyNumberFormat="1" applyFont="1"/>
    <xf numFmtId="0" fontId="0" fillId="33" borderId="0" xfId="0" applyFill="1"/>
    <xf numFmtId="0" fontId="14" fillId="24" borderId="32" xfId="48" applyFont="1" applyFill="1" applyBorder="1" applyAlignment="1" applyProtection="1">
      <alignment horizontal="center"/>
      <protection locked="0"/>
    </xf>
    <xf numFmtId="170" fontId="5" fillId="30" borderId="120" xfId="28" applyNumberFormat="1" applyFont="1" applyFill="1" applyBorder="1"/>
    <xf numFmtId="0" fontId="127" fillId="0" borderId="28" xfId="48" applyFont="1" applyBorder="1"/>
    <xf numFmtId="0" fontId="5" fillId="0" borderId="0" xfId="48" applyFont="1"/>
    <xf numFmtId="0" fontId="21" fillId="0" borderId="0" xfId="48" applyFont="1" applyAlignment="1">
      <alignment horizontal="center"/>
    </xf>
    <xf numFmtId="38" fontId="5" fillId="0" borderId="29" xfId="0" applyNumberFormat="1" applyFont="1" applyBorder="1"/>
    <xf numFmtId="38" fontId="14" fillId="0" borderId="0" xfId="48" applyNumberFormat="1" applyFont="1"/>
    <xf numFmtId="38" fontId="14" fillId="0" borderId="29" xfId="48" applyNumberFormat="1" applyFont="1" applyBorder="1"/>
    <xf numFmtId="0" fontId="14" fillId="0" borderId="28" xfId="48" applyFont="1" applyBorder="1" applyAlignment="1">
      <alignment horizontal="center"/>
    </xf>
    <xf numFmtId="0" fontId="14" fillId="0" borderId="0" xfId="48" applyFont="1" applyAlignment="1" applyProtection="1">
      <alignment horizontal="left"/>
      <protection locked="0"/>
    </xf>
    <xf numFmtId="0" fontId="8" fillId="30" borderId="109" xfId="48" applyFont="1" applyFill="1" applyBorder="1" applyAlignment="1">
      <alignment horizontal="center"/>
    </xf>
    <xf numFmtId="0" fontId="8" fillId="30" borderId="101" xfId="48" applyFont="1" applyFill="1" applyBorder="1" applyAlignment="1">
      <alignment horizontal="center"/>
    </xf>
    <xf numFmtId="0" fontId="8" fillId="30" borderId="110" xfId="48" applyFont="1" applyFill="1" applyBorder="1" applyAlignment="1">
      <alignment horizontal="center"/>
    </xf>
    <xf numFmtId="38" fontId="14" fillId="0" borderId="0" xfId="48" applyNumberFormat="1" applyFont="1" applyProtection="1">
      <protection locked="0"/>
    </xf>
    <xf numFmtId="38" fontId="14" fillId="0" borderId="29" xfId="48" applyNumberFormat="1" applyFont="1" applyBorder="1" applyProtection="1">
      <protection locked="0"/>
    </xf>
    <xf numFmtId="38" fontId="14" fillId="0" borderId="0" xfId="28" applyNumberFormat="1" applyFont="1" applyFill="1" applyBorder="1" applyProtection="1">
      <protection locked="0"/>
    </xf>
    <xf numFmtId="38" fontId="14" fillId="0" borderId="29" xfId="28" applyNumberFormat="1" applyFont="1" applyFill="1" applyBorder="1" applyProtection="1">
      <protection locked="0"/>
    </xf>
    <xf numFmtId="38" fontId="14" fillId="0" borderId="0" xfId="28" applyNumberFormat="1" applyFont="1" applyBorder="1"/>
    <xf numFmtId="0" fontId="41" fillId="0" borderId="28" xfId="48" applyFont="1" applyBorder="1"/>
    <xf numFmtId="170" fontId="7" fillId="30" borderId="120" xfId="28" applyNumberFormat="1" applyFont="1" applyFill="1" applyBorder="1"/>
    <xf numFmtId="38" fontId="14" fillId="0" borderId="0" xfId="28" applyNumberFormat="1" applyFont="1" applyBorder="1" applyProtection="1">
      <protection locked="0"/>
    </xf>
    <xf numFmtId="0" fontId="14" fillId="0" borderId="28" xfId="48" applyFont="1" applyBorder="1" applyAlignment="1">
      <alignment horizontal="left"/>
    </xf>
    <xf numFmtId="0" fontId="8" fillId="0" borderId="0" xfId="48" applyFont="1" applyAlignment="1" applyProtection="1">
      <alignment horizontal="left"/>
      <protection locked="0"/>
    </xf>
    <xf numFmtId="38" fontId="22" fillId="0" borderId="0" xfId="48" applyNumberFormat="1" applyFont="1" applyProtection="1">
      <protection locked="0"/>
    </xf>
    <xf numFmtId="38" fontId="22" fillId="0" borderId="29" xfId="48" applyNumberFormat="1" applyFont="1" applyBorder="1" applyProtection="1">
      <protection locked="0"/>
    </xf>
    <xf numFmtId="164" fontId="14" fillId="0" borderId="0" xfId="48" applyNumberFormat="1" applyFont="1"/>
    <xf numFmtId="0" fontId="41" fillId="0" borderId="30" xfId="48" applyFont="1" applyBorder="1"/>
    <xf numFmtId="0" fontId="14" fillId="0" borderId="3" xfId="48" applyFont="1" applyBorder="1"/>
    <xf numFmtId="0" fontId="14" fillId="0" borderId="3" xfId="48" applyFont="1" applyBorder="1" applyAlignment="1">
      <alignment horizontal="center"/>
    </xf>
    <xf numFmtId="164" fontId="14" fillId="0" borderId="3" xfId="48" applyNumberFormat="1" applyFont="1" applyBorder="1"/>
    <xf numFmtId="38" fontId="14" fillId="0" borderId="3" xfId="48" applyNumberFormat="1" applyFont="1" applyBorder="1"/>
    <xf numFmtId="38" fontId="14" fillId="0" borderId="31" xfId="48" applyNumberFormat="1" applyFont="1" applyBorder="1" applyAlignment="1">
      <alignment horizontal="right"/>
    </xf>
    <xf numFmtId="38" fontId="5" fillId="0" borderId="29" xfId="48" applyNumberFormat="1" applyFont="1" applyBorder="1"/>
    <xf numFmtId="0" fontId="8" fillId="0" borderId="0" xfId="48" applyFont="1" applyProtection="1">
      <protection locked="0"/>
    </xf>
    <xf numFmtId="165" fontId="128" fillId="0" borderId="0" xfId="28" applyNumberFormat="1" applyFont="1" applyFill="1" applyBorder="1"/>
    <xf numFmtId="165" fontId="128" fillId="0" borderId="29" xfId="28" applyNumberFormat="1" applyFont="1" applyFill="1" applyBorder="1"/>
    <xf numFmtId="3" fontId="14" fillId="0" borderId="0" xfId="48" applyNumberFormat="1" applyFont="1" applyAlignment="1" applyProtection="1">
      <alignment horizontal="center"/>
      <protection locked="0"/>
    </xf>
    <xf numFmtId="38" fontId="13" fillId="0" borderId="0" xfId="28" applyNumberFormat="1" applyFont="1" applyBorder="1"/>
    <xf numFmtId="38" fontId="13" fillId="0" borderId="0" xfId="0" applyNumberFormat="1" applyFont="1" applyAlignment="1">
      <alignment horizontal="right"/>
    </xf>
    <xf numFmtId="38" fontId="13" fillId="0" borderId="29" xfId="0" applyNumberFormat="1" applyFont="1" applyBorder="1" applyAlignment="1">
      <alignment horizontal="right"/>
    </xf>
    <xf numFmtId="0" fontId="5" fillId="0" borderId="28" xfId="48" applyFont="1" applyBorder="1" applyAlignment="1">
      <alignment horizontal="center"/>
    </xf>
    <xf numFmtId="3" fontId="5" fillId="0" borderId="0" xfId="48" applyNumberFormat="1" applyFont="1" applyAlignment="1" applyProtection="1">
      <alignment horizontal="center"/>
      <protection locked="0"/>
    </xf>
    <xf numFmtId="0" fontId="5" fillId="0" borderId="0" xfId="48" applyFont="1" applyAlignment="1" applyProtection="1">
      <alignment horizontal="center"/>
      <protection locked="0"/>
    </xf>
    <xf numFmtId="0" fontId="123" fillId="0" borderId="0" xfId="0" applyFont="1"/>
    <xf numFmtId="0" fontId="123" fillId="0" borderId="29" xfId="0" applyFont="1" applyBorder="1"/>
    <xf numFmtId="38" fontId="14" fillId="0" borderId="0" xfId="28" applyNumberFormat="1" applyFont="1" applyFill="1" applyBorder="1" applyAlignment="1" applyProtection="1">
      <alignment horizontal="right"/>
      <protection locked="0"/>
    </xf>
    <xf numFmtId="38" fontId="14" fillId="0" borderId="29" xfId="28" applyNumberFormat="1" applyFont="1" applyFill="1" applyBorder="1" applyAlignment="1" applyProtection="1">
      <alignment horizontal="right"/>
      <protection locked="0"/>
    </xf>
    <xf numFmtId="0" fontId="123" fillId="0" borderId="28" xfId="0" applyFont="1" applyBorder="1"/>
    <xf numFmtId="38" fontId="14" fillId="0" borderId="0" xfId="28" applyNumberFormat="1" applyFont="1" applyFill="1" applyBorder="1"/>
    <xf numFmtId="38" fontId="14" fillId="0" borderId="29" xfId="28" applyNumberFormat="1" applyFont="1" applyFill="1" applyBorder="1"/>
    <xf numFmtId="0" fontId="14" fillId="0" borderId="10" xfId="48" applyFont="1" applyBorder="1" applyAlignment="1">
      <alignment horizontal="center"/>
    </xf>
    <xf numFmtId="0" fontId="14" fillId="0" borderId="30" xfId="48" applyFont="1" applyBorder="1" applyAlignment="1">
      <alignment horizontal="center"/>
    </xf>
    <xf numFmtId="0" fontId="8" fillId="0" borderId="3" xfId="0" applyFont="1" applyBorder="1" applyAlignment="1">
      <alignment horizontal="center"/>
    </xf>
    <xf numFmtId="0" fontId="8" fillId="0" borderId="3" xfId="48" applyFont="1" applyBorder="1" applyAlignment="1">
      <alignment horizontal="center"/>
    </xf>
    <xf numFmtId="38" fontId="8" fillId="0" borderId="3" xfId="48" applyNumberFormat="1" applyFont="1" applyBorder="1"/>
    <xf numFmtId="38" fontId="8" fillId="0" borderId="31" xfId="48" applyNumberFormat="1" applyFont="1" applyBorder="1"/>
    <xf numFmtId="0" fontId="8" fillId="0" borderId="28" xfId="0" applyFont="1" applyBorder="1" applyAlignment="1">
      <alignment horizontal="left" indent="2"/>
    </xf>
    <xf numFmtId="0" fontId="7" fillId="0" borderId="28" xfId="48" applyFont="1" applyBorder="1"/>
    <xf numFmtId="38" fontId="22" fillId="0" borderId="29" xfId="48" applyNumberFormat="1" applyFont="1" applyBorder="1"/>
    <xf numFmtId="0" fontId="30" fillId="0" borderId="28" xfId="48" applyFont="1" applyBorder="1" applyAlignment="1">
      <alignment horizontal="left" indent="2"/>
    </xf>
    <xf numFmtId="0" fontId="41" fillId="0" borderId="30" xfId="48" applyFont="1" applyBorder="1" applyAlignment="1">
      <alignment horizontal="left" indent="2"/>
    </xf>
    <xf numFmtId="38" fontId="14" fillId="0" borderId="3" xfId="28" applyNumberFormat="1" applyFont="1" applyFill="1" applyBorder="1" applyAlignment="1" applyProtection="1">
      <alignment horizontal="right"/>
    </xf>
    <xf numFmtId="38" fontId="14" fillId="0" borderId="31" xfId="28" applyNumberFormat="1" applyFont="1" applyFill="1" applyBorder="1" applyAlignment="1" applyProtection="1">
      <alignment horizontal="right"/>
    </xf>
    <xf numFmtId="0" fontId="8" fillId="0" borderId="28" xfId="48" applyFont="1" applyBorder="1" applyAlignment="1">
      <alignment horizontal="left" indent="2"/>
    </xf>
    <xf numFmtId="0" fontId="14" fillId="0" borderId="0" xfId="0" applyFont="1" applyAlignment="1">
      <alignment horizontal="center"/>
    </xf>
    <xf numFmtId="0" fontId="35" fillId="0" borderId="0" xfId="0" applyFont="1"/>
    <xf numFmtId="38" fontId="22" fillId="0" borderId="0" xfId="28" applyNumberFormat="1" applyFont="1" applyFill="1" applyBorder="1" applyAlignment="1" applyProtection="1">
      <alignment horizontal="right"/>
      <protection locked="0"/>
    </xf>
    <xf numFmtId="38" fontId="22" fillId="0" borderId="0" xfId="0" applyNumberFormat="1" applyFont="1" applyAlignment="1">
      <alignment horizontal="right"/>
    </xf>
    <xf numFmtId="38" fontId="22" fillId="0" borderId="29" xfId="0" applyNumberFormat="1" applyFont="1" applyBorder="1" applyAlignment="1">
      <alignment horizontal="right"/>
    </xf>
    <xf numFmtId="38" fontId="22" fillId="0" borderId="0" xfId="0" applyNumberFormat="1" applyFont="1"/>
    <xf numFmtId="38" fontId="22" fillId="0" borderId="29" xfId="0" applyNumberFormat="1" applyFont="1" applyBorder="1"/>
    <xf numFmtId="38" fontId="5" fillId="0" borderId="3" xfId="48" applyNumberFormat="1" applyFont="1" applyBorder="1"/>
    <xf numFmtId="38" fontId="21" fillId="0" borderId="3" xfId="48" applyNumberFormat="1" applyFont="1" applyBorder="1" applyAlignment="1">
      <alignment horizontal="right"/>
    </xf>
    <xf numFmtId="180" fontId="12" fillId="24" borderId="32" xfId="55" applyNumberFormat="1" applyFont="1" applyFill="1" applyBorder="1"/>
    <xf numFmtId="0" fontId="7" fillId="0" borderId="28" xfId="0" applyFont="1" applyBorder="1"/>
    <xf numFmtId="170" fontId="14" fillId="25" borderId="113" xfId="48" applyNumberFormat="1" applyFont="1" applyFill="1" applyBorder="1"/>
    <xf numFmtId="170" fontId="14" fillId="25" borderId="222" xfId="48" applyNumberFormat="1" applyFont="1" applyFill="1" applyBorder="1"/>
    <xf numFmtId="0" fontId="10" fillId="0" borderId="38" xfId="48" applyFont="1" applyBorder="1" applyAlignment="1">
      <alignment horizontal="centerContinuous" vertical="center"/>
    </xf>
    <xf numFmtId="0" fontId="7" fillId="0" borderId="39" xfId="48" applyFont="1" applyBorder="1" applyAlignment="1">
      <alignment horizontal="centerContinuous" vertical="center"/>
    </xf>
    <xf numFmtId="0" fontId="8" fillId="0" borderId="39" xfId="48" applyFont="1" applyBorder="1" applyAlignment="1">
      <alignment horizontal="centerContinuous" vertical="center"/>
    </xf>
    <xf numFmtId="38" fontId="129" fillId="0" borderId="39" xfId="48" applyNumberFormat="1" applyFont="1" applyBorder="1" applyAlignment="1">
      <alignment horizontal="centerContinuous" vertical="center"/>
    </xf>
    <xf numFmtId="38" fontId="7" fillId="0" borderId="39" xfId="48" applyNumberFormat="1" applyFont="1" applyBorder="1" applyAlignment="1">
      <alignment horizontal="centerContinuous" vertical="center"/>
    </xf>
    <xf numFmtId="38" fontId="8" fillId="0" borderId="40" xfId="48" applyNumberFormat="1" applyFont="1" applyBorder="1" applyAlignment="1">
      <alignment horizontal="centerContinuous" vertical="center"/>
    </xf>
    <xf numFmtId="0" fontId="8" fillId="0" borderId="38" xfId="48" applyFont="1" applyBorder="1" applyAlignment="1">
      <alignment horizontal="center" vertical="center"/>
    </xf>
    <xf numFmtId="0" fontId="8" fillId="0" borderId="30" xfId="0" applyFont="1" applyBorder="1" applyAlignment="1">
      <alignment vertical="center"/>
    </xf>
    <xf numFmtId="38" fontId="130" fillId="0" borderId="0" xfId="48" applyNumberFormat="1" applyFont="1"/>
    <xf numFmtId="0" fontId="8" fillId="0" borderId="0" xfId="48" applyFont="1" applyAlignment="1" applyProtection="1">
      <alignment horizontal="center"/>
      <protection locked="0"/>
    </xf>
    <xf numFmtId="0" fontId="24" fillId="0" borderId="29" xfId="0" applyFont="1" applyBorder="1"/>
    <xf numFmtId="168" fontId="12" fillId="25" borderId="113" xfId="55" applyNumberFormat="1" applyFont="1" applyFill="1" applyBorder="1" applyProtection="1"/>
    <xf numFmtId="168" fontId="12" fillId="25" borderId="222" xfId="55" applyNumberFormat="1" applyFont="1" applyFill="1" applyBorder="1" applyProtection="1"/>
    <xf numFmtId="0" fontId="14" fillId="0" borderId="30" xfId="48" applyFont="1" applyBorder="1"/>
    <xf numFmtId="0" fontId="14" fillId="0" borderId="3" xfId="48" applyFont="1" applyBorder="1" applyProtection="1">
      <protection locked="0"/>
    </xf>
    <xf numFmtId="38" fontId="130" fillId="0" borderId="3" xfId="48" applyNumberFormat="1" applyFont="1" applyBorder="1"/>
    <xf numFmtId="38" fontId="5" fillId="0" borderId="31" xfId="48" applyNumberFormat="1" applyFont="1" applyBorder="1"/>
    <xf numFmtId="38" fontId="130" fillId="0" borderId="0" xfId="48" applyNumberFormat="1" applyFont="1" applyAlignment="1">
      <alignment horizontal="right"/>
    </xf>
    <xf numFmtId="38" fontId="21" fillId="0" borderId="29" xfId="48" applyNumberFormat="1" applyFont="1" applyBorder="1" applyAlignment="1">
      <alignment horizontal="right"/>
    </xf>
    <xf numFmtId="0" fontId="14" fillId="0" borderId="3" xfId="48" applyFont="1" applyBorder="1" applyAlignment="1" applyProtection="1">
      <alignment horizontal="center"/>
      <protection locked="0"/>
    </xf>
    <xf numFmtId="38" fontId="130" fillId="0" borderId="3" xfId="48" applyNumberFormat="1" applyFont="1" applyBorder="1" applyAlignment="1">
      <alignment horizontal="right"/>
    </xf>
    <xf numFmtId="38" fontId="14" fillId="0" borderId="3" xfId="48" applyNumberFormat="1" applyFont="1" applyBorder="1" applyAlignment="1">
      <alignment horizontal="right"/>
    </xf>
    <xf numFmtId="0" fontId="41" fillId="0" borderId="0" xfId="48" applyFont="1" applyAlignment="1">
      <alignment horizontal="left" vertical="center"/>
    </xf>
    <xf numFmtId="38" fontId="5" fillId="0" borderId="0" xfId="48" applyNumberFormat="1" applyFont="1" applyAlignment="1">
      <alignment horizontal="left"/>
    </xf>
    <xf numFmtId="38" fontId="5" fillId="0" borderId="29" xfId="48" applyNumberFormat="1" applyFont="1" applyBorder="1" applyAlignment="1">
      <alignment horizontal="left"/>
    </xf>
    <xf numFmtId="0" fontId="5" fillId="0" borderId="0" xfId="0" applyFont="1" applyAlignment="1">
      <alignment vertical="center" wrapText="1"/>
    </xf>
    <xf numFmtId="0" fontId="131" fillId="0" borderId="0" xfId="48" applyFont="1" applyAlignment="1">
      <alignment vertical="center" wrapText="1"/>
    </xf>
    <xf numFmtId="38" fontId="8" fillId="0" borderId="0" xfId="0" applyNumberFormat="1" applyFont="1" applyAlignment="1">
      <alignment vertical="center"/>
    </xf>
    <xf numFmtId="38" fontId="130" fillId="0" borderId="0" xfId="0" applyNumberFormat="1" applyFont="1" applyAlignment="1">
      <alignment vertical="center"/>
    </xf>
    <xf numFmtId="38" fontId="130" fillId="0" borderId="29" xfId="0" applyNumberFormat="1" applyFont="1" applyBorder="1" applyAlignment="1">
      <alignment vertical="center"/>
    </xf>
    <xf numFmtId="0" fontId="130" fillId="0" borderId="0" xfId="0" applyFont="1"/>
    <xf numFmtId="165" fontId="5" fillId="0" borderId="0" xfId="28" applyNumberFormat="1" applyFont="1" applyFill="1" applyBorder="1"/>
    <xf numFmtId="38" fontId="8" fillId="0" borderId="0" xfId="48" applyNumberFormat="1" applyFont="1"/>
    <xf numFmtId="38" fontId="130" fillId="0" borderId="29" xfId="48" applyNumberFormat="1" applyFont="1" applyBorder="1"/>
    <xf numFmtId="1" fontId="14" fillId="0" borderId="32" xfId="48" applyNumberFormat="1" applyFont="1" applyBorder="1" applyAlignment="1">
      <alignment horizontal="center"/>
    </xf>
    <xf numFmtId="38" fontId="130" fillId="0" borderId="0" xfId="0" applyNumberFormat="1" applyFont="1"/>
    <xf numFmtId="38" fontId="14" fillId="0" borderId="0" xfId="0" applyNumberFormat="1" applyFont="1"/>
    <xf numFmtId="38" fontId="14" fillId="0" borderId="29" xfId="0" applyNumberFormat="1" applyFont="1" applyBorder="1"/>
    <xf numFmtId="0" fontId="5" fillId="0" borderId="0" xfId="48" applyFont="1" applyAlignment="1">
      <alignment horizontal="centerContinuous"/>
    </xf>
    <xf numFmtId="38" fontId="5" fillId="0" borderId="0" xfId="48" applyNumberFormat="1" applyFont="1" applyAlignment="1">
      <alignment horizontal="centerContinuous"/>
    </xf>
    <xf numFmtId="38" fontId="14" fillId="0" borderId="0" xfId="48" applyNumberFormat="1" applyFont="1" applyAlignment="1">
      <alignment horizontal="centerContinuous"/>
    </xf>
    <xf numFmtId="0" fontId="14" fillId="0" borderId="32" xfId="52" applyFont="1" applyBorder="1" applyAlignment="1">
      <alignment horizontal="center"/>
    </xf>
    <xf numFmtId="0" fontId="14" fillId="0" borderId="32" xfId="52" quotePrefix="1" applyFont="1" applyBorder="1" applyAlignment="1">
      <alignment horizontal="center"/>
    </xf>
    <xf numFmtId="0" fontId="5" fillId="0" borderId="0" xfId="52" applyFont="1" applyAlignment="1">
      <alignment horizontal="center"/>
    </xf>
    <xf numFmtId="0" fontId="5" fillId="0" borderId="0" xfId="52" quotePrefix="1" applyFont="1" applyAlignment="1">
      <alignment horizontal="center"/>
    </xf>
    <xf numFmtId="38" fontId="14" fillId="0" borderId="29" xfId="52" applyNumberFormat="1" applyFont="1" applyBorder="1"/>
    <xf numFmtId="38" fontId="22" fillId="0" borderId="0" xfId="52" applyNumberFormat="1" applyFont="1"/>
    <xf numFmtId="38" fontId="22" fillId="0" borderId="29" xfId="52" applyNumberFormat="1" applyFont="1" applyBorder="1"/>
    <xf numFmtId="38" fontId="14" fillId="0" borderId="31" xfId="52" applyNumberFormat="1" applyFont="1" applyBorder="1"/>
    <xf numFmtId="0" fontId="132" fillId="0" borderId="0" xfId="48" applyFont="1" applyProtection="1">
      <protection locked="0"/>
    </xf>
    <xf numFmtId="0" fontId="133" fillId="0" borderId="0" xfId="48" applyFont="1" applyProtection="1">
      <protection locked="0"/>
    </xf>
    <xf numFmtId="0" fontId="132" fillId="0" borderId="0" xfId="48" applyFont="1" applyAlignment="1" applyProtection="1">
      <alignment horizontal="left"/>
      <protection locked="0"/>
    </xf>
    <xf numFmtId="0" fontId="133" fillId="0" borderId="0" xfId="48" applyFont="1" applyAlignment="1" applyProtection="1">
      <alignment horizontal="left"/>
      <protection locked="0"/>
    </xf>
    <xf numFmtId="0" fontId="5" fillId="0" borderId="28" xfId="48" applyFont="1" applyBorder="1" applyAlignment="1">
      <alignment horizontal="left"/>
    </xf>
    <xf numFmtId="38" fontId="22" fillId="0" borderId="0" xfId="48" applyNumberFormat="1" applyFont="1" applyAlignment="1">
      <alignment horizontal="right"/>
    </xf>
    <xf numFmtId="38" fontId="22" fillId="0" borderId="29" xfId="48" applyNumberFormat="1" applyFont="1" applyBorder="1" applyAlignment="1">
      <alignment horizontal="right"/>
    </xf>
    <xf numFmtId="0" fontId="14" fillId="0" borderId="223" xfId="0" applyFont="1" applyBorder="1"/>
    <xf numFmtId="0" fontId="10" fillId="0" borderId="224" xfId="0" applyFont="1" applyBorder="1" applyAlignment="1">
      <alignment horizontal="centerContinuous"/>
    </xf>
    <xf numFmtId="0" fontId="123" fillId="0" borderId="224" xfId="0" applyFont="1" applyBorder="1" applyAlignment="1">
      <alignment horizontal="centerContinuous"/>
    </xf>
    <xf numFmtId="0" fontId="123" fillId="0" borderId="225" xfId="0" applyFont="1" applyBorder="1" applyAlignment="1">
      <alignment horizontal="centerContinuous"/>
    </xf>
    <xf numFmtId="0" fontId="10" fillId="0" borderId="72" xfId="48" applyFont="1" applyBorder="1" applyAlignment="1">
      <alignment horizontal="centerContinuous"/>
    </xf>
    <xf numFmtId="0" fontId="5" fillId="0" borderId="82" xfId="48" applyFont="1" applyBorder="1" applyAlignment="1">
      <alignment horizontal="centerContinuous"/>
    </xf>
    <xf numFmtId="0" fontId="5" fillId="0" borderId="82" xfId="0" applyFont="1" applyBorder="1"/>
    <xf numFmtId="0" fontId="5" fillId="0" borderId="73" xfId="48" applyFont="1" applyBorder="1" applyAlignment="1">
      <alignment horizontal="centerContinuous"/>
    </xf>
    <xf numFmtId="0" fontId="10" fillId="0" borderId="104" xfId="48" applyFont="1" applyBorder="1" applyAlignment="1">
      <alignment horizontal="centerContinuous"/>
    </xf>
    <xf numFmtId="38" fontId="134" fillId="0" borderId="0" xfId="48" applyNumberFormat="1" applyFont="1" applyAlignment="1">
      <alignment horizontal="center"/>
    </xf>
    <xf numFmtId="38" fontId="134" fillId="0" borderId="65" xfId="48" applyNumberFormat="1" applyFont="1" applyBorder="1" applyAlignment="1">
      <alignment horizontal="center"/>
    </xf>
    <xf numFmtId="0" fontId="5" fillId="0" borderId="104" xfId="0" applyFont="1" applyBorder="1"/>
    <xf numFmtId="0" fontId="30" fillId="0" borderId="104" xfId="48" applyFont="1" applyBorder="1"/>
    <xf numFmtId="0" fontId="41" fillId="0" borderId="104" xfId="48" applyFont="1" applyBorder="1"/>
    <xf numFmtId="38" fontId="14" fillId="0" borderId="65" xfId="48" applyNumberFormat="1" applyFont="1" applyBorder="1" applyAlignment="1">
      <alignment horizontal="right"/>
    </xf>
    <xf numFmtId="38" fontId="5" fillId="0" borderId="0" xfId="48" applyNumberFormat="1" applyFont="1" applyAlignment="1">
      <alignment horizontal="center"/>
    </xf>
    <xf numFmtId="0" fontId="5" fillId="0" borderId="65" xfId="48" applyFont="1" applyBorder="1" applyAlignment="1">
      <alignment horizontal="center"/>
    </xf>
    <xf numFmtId="0" fontId="5" fillId="0" borderId="65" xfId="0" applyFont="1" applyBorder="1"/>
    <xf numFmtId="0" fontId="5" fillId="0" borderId="74" xfId="0" applyFont="1" applyBorder="1"/>
    <xf numFmtId="0" fontId="5" fillId="0" borderId="41" xfId="0" applyFont="1" applyBorder="1"/>
    <xf numFmtId="0" fontId="5" fillId="0" borderId="75" xfId="0" applyFont="1" applyBorder="1"/>
    <xf numFmtId="0" fontId="8" fillId="30" borderId="30" xfId="48" applyFont="1" applyFill="1" applyBorder="1"/>
    <xf numFmtId="0" fontId="5" fillId="30" borderId="31" xfId="48" applyFont="1" applyFill="1" applyBorder="1" applyAlignment="1">
      <alignment horizontal="center"/>
    </xf>
    <xf numFmtId="0" fontId="21" fillId="0" borderId="226" xfId="48" applyFont="1" applyBorder="1"/>
    <xf numFmtId="0" fontId="8" fillId="30" borderId="227" xfId="48" applyFont="1" applyFill="1" applyBorder="1"/>
    <xf numFmtId="0" fontId="5" fillId="30" borderId="228" xfId="48" applyFont="1" applyFill="1" applyBorder="1" applyAlignment="1">
      <alignment horizontal="center"/>
    </xf>
    <xf numFmtId="3" fontId="12" fillId="24" borderId="32" xfId="30" applyNumberFormat="1" applyFont="1" applyFill="1" applyBorder="1"/>
    <xf numFmtId="0" fontId="7" fillId="0" borderId="0" xfId="48" applyFont="1" applyAlignment="1">
      <alignment horizontal="right"/>
    </xf>
    <xf numFmtId="6" fontId="5" fillId="0" borderId="36" xfId="48" applyNumberFormat="1" applyFont="1" applyBorder="1" applyAlignment="1">
      <alignment horizontal="right"/>
    </xf>
    <xf numFmtId="38" fontId="5" fillId="0" borderId="35" xfId="48" applyNumberFormat="1" applyFont="1" applyBorder="1" applyAlignment="1">
      <alignment horizontal="right"/>
    </xf>
    <xf numFmtId="3" fontId="6" fillId="0" borderId="32" xfId="30" applyNumberFormat="1" applyFont="1" applyFill="1" applyBorder="1"/>
    <xf numFmtId="3" fontId="7" fillId="30" borderId="62" xfId="48" applyNumberFormat="1" applyFont="1" applyFill="1" applyBorder="1" applyAlignment="1">
      <alignment horizontal="right"/>
    </xf>
    <xf numFmtId="44" fontId="7" fillId="30" borderId="62" xfId="30" applyFont="1" applyFill="1" applyBorder="1" applyAlignment="1" applyProtection="1">
      <alignment horizontal="right"/>
    </xf>
    <xf numFmtId="0" fontId="7" fillId="0" borderId="0" xfId="0" applyFont="1"/>
    <xf numFmtId="170" fontId="117" fillId="0" borderId="0" xfId="30" applyNumberFormat="1" applyFont="1" applyFill="1" applyBorder="1" applyProtection="1"/>
    <xf numFmtId="38" fontId="117" fillId="0" borderId="0" xfId="30" applyNumberFormat="1" applyFont="1" applyFill="1" applyBorder="1" applyProtection="1"/>
    <xf numFmtId="38" fontId="117" fillId="33" borderId="0" xfId="0" applyNumberFormat="1" applyFont="1" applyFill="1"/>
    <xf numFmtId="9" fontId="119" fillId="24" borderId="229" xfId="55" applyFont="1" applyFill="1" applyBorder="1" applyProtection="1"/>
    <xf numFmtId="9" fontId="117" fillId="0" borderId="0" xfId="55" applyFont="1" applyFill="1" applyBorder="1" applyProtection="1"/>
    <xf numFmtId="9" fontId="117" fillId="0" borderId="0" xfId="55" applyFont="1" applyProtection="1"/>
    <xf numFmtId="9" fontId="119" fillId="34" borderId="230" xfId="55" applyFont="1" applyFill="1" applyBorder="1" applyProtection="1"/>
    <xf numFmtId="9" fontId="117" fillId="33" borderId="0" xfId="55" applyFont="1" applyFill="1" applyProtection="1"/>
    <xf numFmtId="38" fontId="117" fillId="0" borderId="0" xfId="0" applyNumberFormat="1" applyFont="1"/>
    <xf numFmtId="0" fontId="8" fillId="0" borderId="12" xfId="46" applyFont="1" applyBorder="1" applyAlignment="1">
      <alignment horizontal="left" indent="1"/>
    </xf>
    <xf numFmtId="170" fontId="14" fillId="0" borderId="13" xfId="30" applyNumberFormat="1" applyFont="1" applyBorder="1"/>
    <xf numFmtId="170" fontId="14" fillId="0" borderId="19" xfId="30" applyNumberFormat="1" applyFont="1" applyBorder="1"/>
    <xf numFmtId="10" fontId="117" fillId="0" borderId="0" xfId="55" applyNumberFormat="1" applyFont="1" applyFill="1" applyBorder="1" applyProtection="1"/>
    <xf numFmtId="38" fontId="117" fillId="0" borderId="0" xfId="55" applyNumberFormat="1" applyFont="1" applyFill="1" applyBorder="1" applyProtection="1"/>
    <xf numFmtId="10" fontId="8" fillId="0" borderId="14" xfId="46" applyNumberFormat="1" applyFont="1" applyBorder="1"/>
    <xf numFmtId="10" fontId="8" fillId="30" borderId="231" xfId="55" applyNumberFormat="1" applyFont="1" applyFill="1" applyBorder="1"/>
    <xf numFmtId="10" fontId="8" fillId="30" borderId="232" xfId="55" applyNumberFormat="1" applyFont="1" applyFill="1" applyBorder="1"/>
    <xf numFmtId="10" fontId="8" fillId="30" borderId="20" xfId="55" applyNumberFormat="1" applyFont="1" applyFill="1" applyBorder="1"/>
    <xf numFmtId="10" fontId="8" fillId="30" borderId="21" xfId="55" applyNumberFormat="1" applyFont="1" applyFill="1" applyBorder="1"/>
    <xf numFmtId="10" fontId="8" fillId="0" borderId="233" xfId="46" applyNumberFormat="1" applyFont="1" applyBorder="1"/>
    <xf numFmtId="10" fontId="8" fillId="30" borderId="234" xfId="55" applyNumberFormat="1" applyFont="1" applyFill="1" applyBorder="1"/>
    <xf numFmtId="10" fontId="8" fillId="30" borderId="235" xfId="55" applyNumberFormat="1" applyFont="1" applyFill="1" applyBorder="1"/>
    <xf numFmtId="0" fontId="14" fillId="30" borderId="20" xfId="46" applyFont="1" applyFill="1" applyBorder="1"/>
    <xf numFmtId="9" fontId="119" fillId="0" borderId="0" xfId="55" applyFont="1" applyFill="1" applyBorder="1" applyProtection="1"/>
    <xf numFmtId="9" fontId="119" fillId="33" borderId="0" xfId="55" applyFont="1" applyFill="1" applyProtection="1"/>
    <xf numFmtId="0" fontId="124" fillId="0" borderId="0" xfId="0" applyFont="1"/>
    <xf numFmtId="165" fontId="80" fillId="0" borderId="0" xfId="44" applyNumberFormat="1" applyFont="1" applyAlignment="1">
      <alignment horizontal="right" indent="1"/>
    </xf>
    <xf numFmtId="0" fontId="82" fillId="0" borderId="0" xfId="44" applyFont="1"/>
    <xf numFmtId="0" fontId="80" fillId="0" borderId="0" xfId="44" applyFont="1" applyAlignment="1">
      <alignment horizontal="right"/>
    </xf>
    <xf numFmtId="0" fontId="135" fillId="0" borderId="0" xfId="48" applyFont="1" applyAlignment="1">
      <alignment horizontal="left"/>
    </xf>
    <xf numFmtId="0" fontId="135" fillId="0" borderId="0" xfId="0" applyFont="1"/>
    <xf numFmtId="0" fontId="82" fillId="0" borderId="0" xfId="44" applyFont="1" applyAlignment="1">
      <alignment horizontal="right" indent="1"/>
    </xf>
    <xf numFmtId="0" fontId="80" fillId="0" borderId="0" xfId="44" applyFont="1" applyAlignment="1">
      <alignment horizontal="right" indent="1"/>
    </xf>
    <xf numFmtId="0" fontId="135" fillId="0" borderId="0" xfId="48" applyFont="1" applyAlignment="1">
      <alignment horizontal="right" indent="1"/>
    </xf>
    <xf numFmtId="2" fontId="7" fillId="0" borderId="0" xfId="0" applyNumberFormat="1" applyFont="1"/>
    <xf numFmtId="3" fontId="14" fillId="24" borderId="32" xfId="30" applyNumberFormat="1" applyFont="1" applyFill="1" applyBorder="1"/>
    <xf numFmtId="0" fontId="137" fillId="0" borderId="0" xfId="0" applyFont="1" applyAlignment="1">
      <alignment horizontal="center"/>
    </xf>
    <xf numFmtId="38" fontId="137" fillId="0" borderId="0" xfId="28" applyNumberFormat="1" applyFont="1" applyFill="1" applyAlignment="1" applyProtection="1">
      <alignment horizontal="center"/>
    </xf>
    <xf numFmtId="0" fontId="117" fillId="33" borderId="0" xfId="0" applyFont="1" applyFill="1"/>
    <xf numFmtId="38" fontId="117" fillId="27" borderId="0" xfId="28" applyNumberFormat="1" applyFont="1" applyFill="1" applyAlignment="1" applyProtection="1">
      <alignment horizontal="center"/>
    </xf>
    <xf numFmtId="0" fontId="117" fillId="33" borderId="0" xfId="0" applyFont="1" applyFill="1" applyAlignment="1">
      <alignment horizontal="center"/>
    </xf>
    <xf numFmtId="0" fontId="119" fillId="0" borderId="0" xfId="0" applyFont="1" applyAlignment="1">
      <alignment horizontal="center"/>
    </xf>
    <xf numFmtId="14" fontId="138" fillId="0" borderId="0" xfId="0" applyNumberFormat="1" applyFont="1" applyAlignment="1">
      <alignment horizontal="center"/>
    </xf>
    <xf numFmtId="0" fontId="139" fillId="26" borderId="0" xfId="0" applyFont="1" applyFill="1" applyProtection="1">
      <protection hidden="1"/>
    </xf>
    <xf numFmtId="0" fontId="119" fillId="0" borderId="0" xfId="0" applyFont="1" applyAlignment="1">
      <alignment horizontal="right"/>
    </xf>
    <xf numFmtId="38" fontId="117" fillId="0" borderId="0" xfId="28" applyNumberFormat="1" applyFont="1" applyProtection="1"/>
    <xf numFmtId="38" fontId="126" fillId="24" borderId="0" xfId="28" applyNumberFormat="1" applyFont="1" applyFill="1" applyProtection="1"/>
    <xf numFmtId="38" fontId="121" fillId="33" borderId="0" xfId="28" applyNumberFormat="1" applyFont="1" applyFill="1" applyProtection="1"/>
    <xf numFmtId="182" fontId="126" fillId="0" borderId="0" xfId="48" applyNumberFormat="1" applyFont="1"/>
    <xf numFmtId="38" fontId="126" fillId="25" borderId="116" xfId="48" applyNumberFormat="1" applyFont="1" applyFill="1" applyBorder="1"/>
    <xf numFmtId="182" fontId="117" fillId="0" borderId="0" xfId="48" applyNumberFormat="1" applyFont="1"/>
    <xf numFmtId="38" fontId="117" fillId="25" borderId="116" xfId="48" applyNumberFormat="1" applyFont="1" applyFill="1" applyBorder="1" applyAlignment="1">
      <alignment horizontal="right"/>
    </xf>
    <xf numFmtId="183" fontId="117" fillId="24" borderId="0" xfId="28" applyNumberFormat="1" applyFont="1" applyFill="1" applyProtection="1"/>
    <xf numFmtId="174" fontId="117" fillId="28" borderId="0" xfId="28" applyNumberFormat="1" applyFont="1" applyFill="1" applyProtection="1"/>
    <xf numFmtId="38" fontId="117" fillId="25" borderId="116" xfId="48" applyNumberFormat="1" applyFont="1" applyFill="1" applyBorder="1"/>
    <xf numFmtId="38" fontId="121" fillId="25" borderId="116" xfId="28" applyNumberFormat="1" applyFont="1" applyFill="1" applyBorder="1" applyAlignment="1" applyProtection="1">
      <alignment horizontal="right"/>
    </xf>
    <xf numFmtId="38" fontId="121" fillId="25" borderId="116" xfId="28" applyNumberFormat="1" applyFont="1" applyFill="1" applyBorder="1" applyProtection="1"/>
    <xf numFmtId="0" fontId="126" fillId="35" borderId="0" xfId="48" applyFont="1" applyFill="1" applyAlignment="1">
      <alignment horizontal="center"/>
    </xf>
    <xf numFmtId="0" fontId="126" fillId="35" borderId="0" xfId="48" applyFont="1" applyFill="1" applyAlignment="1">
      <alignment horizontal="right"/>
    </xf>
    <xf numFmtId="38" fontId="121" fillId="25" borderId="116" xfId="48" applyNumberFormat="1" applyFont="1" applyFill="1" applyBorder="1"/>
    <xf numFmtId="38" fontId="117" fillId="25" borderId="116" xfId="28" applyNumberFormat="1" applyFont="1" applyFill="1" applyBorder="1" applyAlignment="1" applyProtection="1">
      <alignment horizontal="right"/>
    </xf>
    <xf numFmtId="38" fontId="121" fillId="25" borderId="116" xfId="0" applyNumberFormat="1" applyFont="1" applyFill="1" applyBorder="1" applyAlignment="1">
      <alignment horizontal="right"/>
    </xf>
    <xf numFmtId="38" fontId="121" fillId="25" borderId="116" xfId="48" applyNumberFormat="1" applyFont="1" applyFill="1" applyBorder="1" applyAlignment="1">
      <alignment horizontal="right"/>
    </xf>
    <xf numFmtId="10" fontId="0" fillId="0" borderId="0" xfId="0" applyNumberFormat="1"/>
    <xf numFmtId="38" fontId="140" fillId="25" borderId="116" xfId="48" applyNumberFormat="1" applyFont="1" applyFill="1" applyBorder="1"/>
    <xf numFmtId="38" fontId="140" fillId="25" borderId="116" xfId="48" applyNumberFormat="1" applyFont="1" applyFill="1" applyBorder="1" applyAlignment="1">
      <alignment horizontal="right"/>
    </xf>
    <xf numFmtId="38" fontId="121" fillId="25" borderId="236" xfId="52" applyNumberFormat="1" applyFont="1" applyFill="1" applyBorder="1"/>
    <xf numFmtId="38" fontId="126" fillId="25" borderId="236" xfId="52" applyNumberFormat="1" applyFont="1" applyFill="1" applyBorder="1"/>
    <xf numFmtId="38" fontId="126" fillId="25" borderId="116" xfId="48" applyNumberFormat="1" applyFont="1" applyFill="1" applyBorder="1" applyAlignment="1">
      <alignment horizontal="right"/>
    </xf>
    <xf numFmtId="38" fontId="82" fillId="0" borderId="0" xfId="28" applyNumberFormat="1" applyFont="1" applyFill="1" applyProtection="1"/>
    <xf numFmtId="38" fontId="80" fillId="25" borderId="0" xfId="28" applyNumberFormat="1" applyFont="1" applyFill="1" applyProtection="1"/>
    <xf numFmtId="38" fontId="141" fillId="0" borderId="0" xfId="28" applyNumberFormat="1" applyFont="1" applyFill="1" applyProtection="1"/>
    <xf numFmtId="38" fontId="80" fillId="0" borderId="0" xfId="28" applyNumberFormat="1" applyFont="1" applyFill="1" applyProtection="1"/>
    <xf numFmtId="44" fontId="82" fillId="0" borderId="0" xfId="30" applyFont="1" applyFill="1" applyProtection="1"/>
    <xf numFmtId="38" fontId="117" fillId="31" borderId="0" xfId="28" applyNumberFormat="1" applyFont="1" applyFill="1" applyProtection="1"/>
    <xf numFmtId="0" fontId="0" fillId="28" borderId="0" xfId="0" applyFill="1"/>
    <xf numFmtId="165" fontId="0" fillId="28" borderId="0" xfId="28" applyNumberFormat="1" applyFont="1" applyFill="1"/>
    <xf numFmtId="44" fontId="93" fillId="28" borderId="0" xfId="30" applyFont="1" applyFill="1"/>
    <xf numFmtId="166" fontId="0" fillId="28" borderId="0" xfId="55" applyNumberFormat="1" applyFont="1" applyFill="1"/>
    <xf numFmtId="165" fontId="0" fillId="31" borderId="0" xfId="28" applyNumberFormat="1" applyFont="1" applyFill="1" applyBorder="1"/>
    <xf numFmtId="44" fontId="0" fillId="31" borderId="0" xfId="0" applyNumberFormat="1" applyFill="1"/>
    <xf numFmtId="170" fontId="0" fillId="31" borderId="0" xfId="0" applyNumberFormat="1" applyFill="1"/>
    <xf numFmtId="38" fontId="142" fillId="0" borderId="151" xfId="0" applyNumberFormat="1" applyFont="1" applyBorder="1" applyProtection="1">
      <protection locked="0"/>
    </xf>
    <xf numFmtId="167" fontId="126" fillId="35" borderId="0" xfId="28" applyNumberFormat="1" applyFont="1" applyFill="1" applyBorder="1" applyAlignment="1" applyProtection="1">
      <alignment horizontal="right"/>
    </xf>
    <xf numFmtId="165" fontId="126" fillId="35" borderId="0" xfId="28" applyNumberFormat="1" applyFont="1" applyFill="1" applyBorder="1" applyAlignment="1" applyProtection="1">
      <alignment horizontal="right"/>
    </xf>
    <xf numFmtId="10" fontId="7" fillId="0" borderId="0" xfId="55" applyNumberFormat="1" applyFont="1"/>
    <xf numFmtId="165" fontId="143" fillId="35" borderId="0" xfId="28" applyNumberFormat="1" applyFont="1" applyFill="1" applyBorder="1" applyAlignment="1" applyProtection="1">
      <alignment horizontal="right"/>
    </xf>
    <xf numFmtId="38" fontId="84" fillId="0" borderId="151" xfId="0" applyNumberFormat="1" applyFont="1" applyBorder="1" applyProtection="1">
      <protection locked="0"/>
    </xf>
    <xf numFmtId="0" fontId="80" fillId="0" borderId="0" xfId="43" applyFont="1"/>
    <xf numFmtId="0" fontId="80" fillId="0" borderId="0" xfId="48" applyFont="1"/>
    <xf numFmtId="38" fontId="126" fillId="35" borderId="0" xfId="28" applyNumberFormat="1" applyFont="1" applyFill="1" applyBorder="1" applyAlignment="1" applyProtection="1">
      <alignment horizontal="right"/>
    </xf>
    <xf numFmtId="0" fontId="110" fillId="0" borderId="0" xfId="0" applyFont="1" applyAlignment="1">
      <alignment horizontal="centerContinuous"/>
    </xf>
    <xf numFmtId="164" fontId="111" fillId="0" borderId="0" xfId="48" applyNumberFormat="1" applyFont="1" applyAlignment="1">
      <alignment horizontal="right"/>
    </xf>
    <xf numFmtId="0" fontId="112" fillId="0" borderId="0" xfId="0" applyFont="1"/>
    <xf numFmtId="0" fontId="111" fillId="0" borderId="0" xfId="0" applyFont="1"/>
    <xf numFmtId="0" fontId="111" fillId="0" borderId="0" xfId="0" applyFont="1" applyAlignment="1">
      <alignment horizontal="center"/>
    </xf>
    <xf numFmtId="0" fontId="144" fillId="0" borderId="0" xfId="50" applyFont="1"/>
    <xf numFmtId="170" fontId="144" fillId="0" borderId="0" xfId="30" applyNumberFormat="1" applyFont="1" applyFill="1" applyBorder="1" applyAlignment="1">
      <alignment horizontal="right"/>
    </xf>
    <xf numFmtId="164" fontId="144" fillId="0" borderId="0" xfId="48" applyNumberFormat="1" applyFont="1" applyAlignment="1">
      <alignment horizontal="right"/>
    </xf>
    <xf numFmtId="164" fontId="145" fillId="0" borderId="0" xfId="48" applyNumberFormat="1" applyFont="1" applyAlignment="1">
      <alignment horizontal="right"/>
    </xf>
    <xf numFmtId="164" fontId="111" fillId="0" borderId="0" xfId="48" quotePrefix="1" applyNumberFormat="1" applyFont="1" applyAlignment="1">
      <alignment horizontal="right"/>
    </xf>
    <xf numFmtId="44" fontId="144" fillId="0" borderId="0" xfId="30" applyFont="1" applyFill="1" applyBorder="1"/>
    <xf numFmtId="44" fontId="146" fillId="0" borderId="0" xfId="30" applyFont="1" applyFill="1" applyBorder="1" applyAlignment="1">
      <alignment horizontal="right"/>
    </xf>
    <xf numFmtId="0" fontId="101" fillId="0" borderId="0" xfId="0" applyFont="1"/>
    <xf numFmtId="44" fontId="146" fillId="0" borderId="0" xfId="30" applyFont="1" applyFill="1" applyBorder="1"/>
    <xf numFmtId="184" fontId="144" fillId="0" borderId="0" xfId="30" applyNumberFormat="1" applyFont="1" applyFill="1" applyBorder="1"/>
    <xf numFmtId="166" fontId="146" fillId="0" borderId="237" xfId="55" applyNumberFormat="1" applyFont="1" applyFill="1" applyBorder="1"/>
    <xf numFmtId="166" fontId="145" fillId="0" borderId="0" xfId="55" applyNumberFormat="1" applyFont="1" applyFill="1" applyBorder="1"/>
    <xf numFmtId="166" fontId="146" fillId="0" borderId="0" xfId="55" applyNumberFormat="1" applyFont="1" applyFill="1" applyBorder="1"/>
    <xf numFmtId="166" fontId="144" fillId="0" borderId="0" xfId="55" applyNumberFormat="1" applyFont="1" applyFill="1" applyBorder="1"/>
    <xf numFmtId="10" fontId="146" fillId="0" borderId="0" xfId="55" applyNumberFormat="1" applyFont="1" applyFill="1" applyBorder="1" applyAlignment="1">
      <alignment horizontal="right"/>
    </xf>
    <xf numFmtId="166" fontId="146" fillId="0" borderId="0" xfId="55" applyNumberFormat="1" applyFont="1" applyFill="1" applyBorder="1" applyAlignment="1">
      <alignment horizontal="right"/>
    </xf>
    <xf numFmtId="10" fontId="145" fillId="0" borderId="0" xfId="55" applyNumberFormat="1" applyFont="1" applyFill="1" applyBorder="1"/>
    <xf numFmtId="10" fontId="144" fillId="0" borderId="0" xfId="55" applyNumberFormat="1" applyFont="1" applyFill="1" applyBorder="1" applyAlignment="1">
      <alignment horizontal="right"/>
    </xf>
    <xf numFmtId="166" fontId="145" fillId="0" borderId="0" xfId="55" applyNumberFormat="1" applyFont="1" applyFill="1" applyBorder="1" applyAlignment="1">
      <alignment horizontal="right"/>
    </xf>
    <xf numFmtId="0" fontId="8" fillId="0" borderId="72" xfId="48" applyFont="1" applyBorder="1" applyAlignment="1">
      <alignment horizontal="center" vertical="center"/>
    </xf>
    <xf numFmtId="165" fontId="12" fillId="0" borderId="238" xfId="29" applyNumberFormat="1" applyFont="1" applyFill="1" applyBorder="1" applyAlignment="1"/>
    <xf numFmtId="165" fontId="12" fillId="0" borderId="112" xfId="29" applyNumberFormat="1" applyFont="1" applyFill="1" applyBorder="1" applyAlignment="1"/>
    <xf numFmtId="0" fontId="8" fillId="0" borderId="239" xfId="48" applyFont="1" applyBorder="1" applyAlignment="1">
      <alignment horizontal="center" vertical="center"/>
    </xf>
    <xf numFmtId="170" fontId="12" fillId="24" borderId="240" xfId="30" applyNumberFormat="1" applyFont="1" applyFill="1" applyBorder="1"/>
    <xf numFmtId="0" fontId="14" fillId="0" borderId="226" xfId="0" applyFont="1" applyBorder="1"/>
    <xf numFmtId="38" fontId="82" fillId="0" borderId="152" xfId="47" applyNumberFormat="1" applyFont="1" applyBorder="1" applyProtection="1">
      <protection locked="0"/>
    </xf>
    <xf numFmtId="38" fontId="21" fillId="0" borderId="29" xfId="48" applyNumberFormat="1" applyFont="1" applyBorder="1" applyAlignment="1">
      <alignment horizontal="center"/>
    </xf>
    <xf numFmtId="0" fontId="0" fillId="0" borderId="241" xfId="0" applyBorder="1" applyAlignment="1">
      <alignment horizontal="centerContinuous"/>
    </xf>
    <xf numFmtId="0" fontId="0" fillId="0" borderId="242" xfId="0" applyBorder="1" applyAlignment="1">
      <alignment horizontal="centerContinuous"/>
    </xf>
    <xf numFmtId="0" fontId="8" fillId="0" borderId="243" xfId="48" applyFont="1" applyBorder="1" applyAlignment="1">
      <alignment horizontal="center"/>
    </xf>
    <xf numFmtId="0" fontId="8" fillId="27" borderId="244" xfId="48" applyFont="1" applyFill="1" applyBorder="1" applyAlignment="1">
      <alignment horizontal="center"/>
    </xf>
    <xf numFmtId="0" fontId="8" fillId="27" borderId="245" xfId="48" applyFont="1" applyFill="1" applyBorder="1" applyAlignment="1">
      <alignment horizontal="center"/>
    </xf>
    <xf numFmtId="14" fontId="8" fillId="27" borderId="246" xfId="48" applyNumberFormat="1" applyFont="1" applyFill="1" applyBorder="1" applyAlignment="1">
      <alignment horizontal="center"/>
    </xf>
    <xf numFmtId="0" fontId="0" fillId="24" borderId="0" xfId="0" applyFill="1"/>
    <xf numFmtId="0" fontId="0" fillId="36" borderId="0" xfId="0" applyFill="1"/>
    <xf numFmtId="0" fontId="152" fillId="0" borderId="0" xfId="0" applyFont="1" applyAlignment="1">
      <alignment horizontal="centerContinuous"/>
    </xf>
    <xf numFmtId="0" fontId="147" fillId="26" borderId="247" xfId="38" applyFont="1" applyFill="1" applyBorder="1" applyAlignment="1" applyProtection="1">
      <alignment horizontal="center"/>
    </xf>
    <xf numFmtId="0" fontId="0" fillId="25" borderId="0" xfId="0" applyFill="1"/>
    <xf numFmtId="0" fontId="0" fillId="29" borderId="0" xfId="0" applyFill="1"/>
    <xf numFmtId="0" fontId="0" fillId="37" borderId="0" xfId="0" applyFill="1"/>
    <xf numFmtId="0" fontId="0" fillId="38" borderId="0" xfId="0" applyFill="1"/>
    <xf numFmtId="0" fontId="0" fillId="39" borderId="0" xfId="0" applyFill="1"/>
    <xf numFmtId="0" fontId="153" fillId="40" borderId="0" xfId="0" applyFont="1" applyFill="1"/>
    <xf numFmtId="0" fontId="153" fillId="41" borderId="0" xfId="0" applyFont="1" applyFill="1"/>
    <xf numFmtId="0" fontId="2" fillId="0" borderId="0" xfId="0" applyFont="1"/>
    <xf numFmtId="0" fontId="154" fillId="0" borderId="0" xfId="38" applyFont="1" applyFill="1" applyAlignment="1" applyProtection="1"/>
    <xf numFmtId="0" fontId="155" fillId="0" borderId="0" xfId="0" applyFont="1"/>
    <xf numFmtId="165" fontId="12" fillId="31" borderId="32" xfId="28" applyNumberFormat="1" applyFont="1" applyFill="1" applyBorder="1"/>
    <xf numFmtId="165" fontId="12" fillId="24" borderId="88" xfId="28" applyNumberFormat="1" applyFont="1" applyFill="1" applyBorder="1"/>
    <xf numFmtId="0" fontId="149" fillId="0" borderId="0" xfId="38" applyFont="1" applyBorder="1" applyAlignment="1" applyProtection="1">
      <alignment horizontal="center"/>
    </xf>
    <xf numFmtId="0" fontId="8" fillId="0" borderId="63" xfId="48" applyFont="1" applyBorder="1" applyAlignment="1">
      <alignment horizontal="center" vertical="center"/>
    </xf>
    <xf numFmtId="38" fontId="12" fillId="24" borderId="53" xfId="30" applyNumberFormat="1" applyFont="1" applyFill="1" applyBorder="1"/>
    <xf numFmtId="38" fontId="22" fillId="27" borderId="33" xfId="28" applyNumberFormat="1" applyFont="1" applyFill="1" applyBorder="1"/>
    <xf numFmtId="165" fontId="12" fillId="24" borderId="53" xfId="28" applyNumberFormat="1" applyFont="1" applyFill="1" applyBorder="1"/>
    <xf numFmtId="170" fontId="22" fillId="27" borderId="249" xfId="30" applyNumberFormat="1" applyFont="1" applyFill="1" applyBorder="1" applyAlignment="1" applyProtection="1">
      <alignment horizontal="right"/>
    </xf>
    <xf numFmtId="165" fontId="22" fillId="27" borderId="248" xfId="28" applyNumberFormat="1" applyFont="1" applyFill="1" applyBorder="1"/>
    <xf numFmtId="165" fontId="22" fillId="27" borderId="250" xfId="28" applyNumberFormat="1" applyFont="1" applyFill="1" applyBorder="1"/>
    <xf numFmtId="6" fontId="22" fillId="27" borderId="133" xfId="30" applyNumberFormat="1" applyFont="1" applyFill="1" applyBorder="1" applyAlignment="1" applyProtection="1">
      <alignment horizontal="right"/>
    </xf>
    <xf numFmtId="38" fontId="22" fillId="27" borderId="250" xfId="28" applyNumberFormat="1" applyFont="1" applyFill="1" applyBorder="1"/>
    <xf numFmtId="0" fontId="22" fillId="0" borderId="48" xfId="51" applyFont="1" applyBorder="1" applyAlignment="1">
      <alignment horizontal="center"/>
    </xf>
    <xf numFmtId="165" fontId="22" fillId="0" borderId="48" xfId="29" applyNumberFormat="1" applyFont="1" applyFill="1" applyBorder="1" applyAlignment="1"/>
    <xf numFmtId="0" fontId="22" fillId="0" borderId="32" xfId="51" applyFont="1" applyBorder="1" applyAlignment="1">
      <alignment horizontal="center"/>
    </xf>
    <xf numFmtId="165" fontId="22" fillId="0" borderId="32" xfId="29" applyNumberFormat="1" applyFont="1" applyFill="1" applyBorder="1" applyAlignment="1"/>
    <xf numFmtId="0" fontId="22" fillId="0" borderId="32" xfId="51" applyFont="1" applyBorder="1"/>
    <xf numFmtId="0" fontId="147" fillId="26" borderId="0" xfId="38" applyFont="1" applyFill="1" applyBorder="1" applyAlignment="1" applyProtection="1">
      <alignment horizontal="center"/>
    </xf>
    <xf numFmtId="3" fontId="14" fillId="0" borderId="136" xfId="28" applyNumberFormat="1" applyFont="1" applyFill="1" applyBorder="1"/>
    <xf numFmtId="0" fontId="147" fillId="26" borderId="28" xfId="38" applyFont="1" applyFill="1" applyBorder="1" applyAlignment="1" applyProtection="1">
      <alignment horizontal="left"/>
    </xf>
    <xf numFmtId="0" fontId="160" fillId="0" borderId="247" xfId="38" applyFont="1" applyBorder="1" applyAlignment="1" applyProtection="1">
      <alignment horizontal="center"/>
    </xf>
    <xf numFmtId="165" fontId="12" fillId="31" borderId="33" xfId="28" applyNumberFormat="1" applyFont="1" applyFill="1" applyBorder="1"/>
    <xf numFmtId="0" fontId="160" fillId="0" borderId="0" xfId="38" applyFont="1" applyBorder="1" applyAlignment="1" applyProtection="1">
      <alignment horizontal="center"/>
    </xf>
    <xf numFmtId="165" fontId="12" fillId="31" borderId="20" xfId="28" applyNumberFormat="1" applyFont="1" applyFill="1" applyBorder="1"/>
    <xf numFmtId="0" fontId="160" fillId="0" borderId="28" xfId="38" applyFont="1" applyBorder="1" applyAlignment="1" applyProtection="1">
      <alignment horizontal="center"/>
    </xf>
    <xf numFmtId="0" fontId="34" fillId="0" borderId="0" xfId="0" applyFont="1"/>
    <xf numFmtId="0" fontId="63" fillId="27" borderId="172" xfId="49" applyFont="1" applyFill="1" applyBorder="1" applyAlignment="1">
      <alignment horizontal="center" vertical="top"/>
    </xf>
    <xf numFmtId="6" fontId="63" fillId="27" borderId="173" xfId="0" applyNumberFormat="1" applyFont="1" applyFill="1" applyBorder="1"/>
    <xf numFmtId="38" fontId="63" fillId="27" borderId="175" xfId="49" applyNumberFormat="1" applyFont="1" applyFill="1" applyBorder="1"/>
    <xf numFmtId="10" fontId="63" fillId="27" borderId="172" xfId="49" applyNumberFormat="1" applyFont="1" applyFill="1" applyBorder="1" applyAlignment="1">
      <alignment horizontal="center" vertical="top"/>
    </xf>
    <xf numFmtId="10" fontId="63" fillId="27" borderId="173" xfId="55" applyNumberFormat="1" applyFont="1" applyFill="1" applyBorder="1"/>
    <xf numFmtId="10" fontId="63" fillId="27" borderId="175" xfId="55" applyNumberFormat="1" applyFont="1" applyFill="1" applyBorder="1"/>
    <xf numFmtId="14" fontId="63" fillId="0" borderId="23" xfId="49" applyNumberFormat="1" applyFont="1" applyBorder="1" applyAlignment="1">
      <alignment horizontal="center" vertical="top"/>
    </xf>
    <xf numFmtId="6" fontId="5" fillId="0" borderId="32" xfId="48" applyNumberFormat="1" applyFont="1" applyBorder="1" applyAlignment="1">
      <alignment horizontal="right"/>
    </xf>
    <xf numFmtId="38" fontId="5" fillId="0" borderId="32" xfId="48" applyNumberFormat="1" applyFont="1" applyBorder="1" applyAlignment="1">
      <alignment horizontal="right"/>
    </xf>
    <xf numFmtId="170" fontId="7" fillId="30" borderId="32" xfId="28" applyNumberFormat="1" applyFont="1" applyFill="1" applyBorder="1"/>
    <xf numFmtId="3" fontId="7" fillId="30" borderId="32" xfId="48" applyNumberFormat="1" applyFont="1" applyFill="1" applyBorder="1" applyAlignment="1">
      <alignment horizontal="right"/>
    </xf>
    <xf numFmtId="44" fontId="7" fillId="30" borderId="32" xfId="30" applyFont="1" applyFill="1" applyBorder="1" applyAlignment="1" applyProtection="1">
      <alignment horizontal="right"/>
    </xf>
    <xf numFmtId="44" fontId="7" fillId="30" borderId="112" xfId="30" applyFont="1" applyFill="1" applyBorder="1" applyAlignment="1" applyProtection="1">
      <alignment horizontal="right"/>
    </xf>
    <xf numFmtId="0" fontId="5" fillId="0" borderId="11" xfId="48" applyFont="1" applyBorder="1" applyAlignment="1">
      <alignment horizontal="center"/>
    </xf>
    <xf numFmtId="0" fontId="8" fillId="30" borderId="251" xfId="48" applyFont="1" applyFill="1" applyBorder="1"/>
    <xf numFmtId="165" fontId="12" fillId="24" borderId="252" xfId="28" applyNumberFormat="1" applyFont="1" applyFill="1" applyBorder="1"/>
    <xf numFmtId="170" fontId="22" fillId="27" borderId="252" xfId="30" applyNumberFormat="1" applyFont="1" applyFill="1" applyBorder="1"/>
    <xf numFmtId="165" fontId="12" fillId="31" borderId="252" xfId="28" applyNumberFormat="1" applyFont="1" applyFill="1" applyBorder="1"/>
    <xf numFmtId="0" fontId="82" fillId="25" borderId="0" xfId="44" applyFont="1" applyFill="1"/>
    <xf numFmtId="0" fontId="82" fillId="0" borderId="0" xfId="48" applyFont="1" applyAlignment="1">
      <alignment horizontal="right" indent="1"/>
    </xf>
    <xf numFmtId="0" fontId="136" fillId="0" borderId="0" xfId="48" applyFont="1" applyAlignment="1">
      <alignment horizontal="right" indent="1"/>
    </xf>
    <xf numFmtId="165" fontId="80" fillId="25" borderId="0" xfId="28" applyNumberFormat="1" applyFont="1" applyFill="1" applyBorder="1" applyAlignment="1" applyProtection="1">
      <alignment horizontal="right" indent="1"/>
    </xf>
    <xf numFmtId="10" fontId="8" fillId="30" borderId="253" xfId="55" applyNumberFormat="1" applyFont="1" applyFill="1" applyBorder="1"/>
    <xf numFmtId="10" fontId="8" fillId="30" borderId="254" xfId="55" applyNumberFormat="1" applyFont="1" applyFill="1" applyBorder="1"/>
    <xf numFmtId="10" fontId="8" fillId="30" borderId="255" xfId="55" applyNumberFormat="1" applyFont="1" applyFill="1" applyBorder="1"/>
    <xf numFmtId="38" fontId="82" fillId="0" borderId="256" xfId="0" applyNumberFormat="1" applyFont="1" applyBorder="1"/>
    <xf numFmtId="38" fontId="82" fillId="0" borderId="154" xfId="0" applyNumberFormat="1" applyFont="1" applyBorder="1" applyProtection="1">
      <protection locked="0"/>
    </xf>
    <xf numFmtId="0" fontId="0" fillId="0" borderId="38" xfId="0" applyBorder="1" applyAlignment="1">
      <alignment horizontal="center"/>
    </xf>
    <xf numFmtId="0" fontId="8" fillId="0" borderId="14" xfId="48" applyFont="1" applyBorder="1" applyAlignment="1">
      <alignment horizontal="center"/>
    </xf>
    <xf numFmtId="0" fontId="8" fillId="0" borderId="15" xfId="48" applyFont="1" applyBorder="1" applyAlignment="1">
      <alignment horizontal="center"/>
    </xf>
    <xf numFmtId="0" fontId="82" fillId="0" borderId="257" xfId="0" applyFont="1" applyBorder="1" applyAlignment="1">
      <alignment horizontal="center" vertical="center"/>
    </xf>
    <xf numFmtId="0" fontId="82" fillId="0" borderId="199" xfId="0" applyFont="1" applyBorder="1" applyAlignment="1">
      <alignment horizontal="center" vertical="center"/>
    </xf>
    <xf numFmtId="0" fontId="82" fillId="0" borderId="258" xfId="0" applyFont="1" applyBorder="1" applyAlignment="1">
      <alignment horizontal="center" vertical="center"/>
    </xf>
    <xf numFmtId="0" fontId="82" fillId="0" borderId="259" xfId="45" applyFont="1" applyBorder="1" applyAlignment="1" applyProtection="1">
      <alignment horizontal="center"/>
      <protection locked="0"/>
    </xf>
    <xf numFmtId="176" fontId="82" fillId="0" borderId="259" xfId="0" applyNumberFormat="1" applyFont="1" applyBorder="1" applyAlignment="1" applyProtection="1">
      <alignment horizontal="center"/>
      <protection hidden="1"/>
    </xf>
    <xf numFmtId="0" fontId="84" fillId="26" borderId="29" xfId="0" applyFont="1" applyFill="1" applyBorder="1" applyProtection="1">
      <protection hidden="1"/>
    </xf>
    <xf numFmtId="0" fontId="82" fillId="26" borderId="260" xfId="0" applyFont="1" applyFill="1" applyBorder="1"/>
    <xf numFmtId="38" fontId="82" fillId="0" borderId="261" xfId="0" applyNumberFormat="1" applyFont="1" applyBorder="1" applyProtection="1">
      <protection locked="0"/>
    </xf>
    <xf numFmtId="38" fontId="82" fillId="0" borderId="262" xfId="0" applyNumberFormat="1" applyFont="1" applyBorder="1"/>
    <xf numFmtId="38" fontId="82" fillId="0" borderId="263" xfId="0" applyNumberFormat="1" applyFont="1" applyBorder="1" applyProtection="1">
      <protection locked="0"/>
    </xf>
    <xf numFmtId="0" fontId="96" fillId="0" borderId="264" xfId="0" applyFont="1" applyBorder="1" applyAlignment="1">
      <alignment vertical="center"/>
    </xf>
    <xf numFmtId="0" fontId="96" fillId="0" borderId="265" xfId="0" applyFont="1" applyBorder="1" applyAlignment="1">
      <alignment vertical="center"/>
    </xf>
    <xf numFmtId="0" fontId="90" fillId="26" borderId="266" xfId="48" applyFont="1" applyFill="1" applyBorder="1" applyAlignment="1">
      <alignment horizontal="center"/>
    </xf>
    <xf numFmtId="0" fontId="90" fillId="26" borderId="267" xfId="48" applyFont="1" applyFill="1" applyBorder="1" applyAlignment="1">
      <alignment horizontal="center"/>
    </xf>
    <xf numFmtId="38" fontId="82" fillId="0" borderId="268" xfId="0" applyNumberFormat="1" applyFont="1" applyBorder="1" applyProtection="1">
      <protection locked="0"/>
    </xf>
    <xf numFmtId="38" fontId="82" fillId="0" borderId="269" xfId="0" applyNumberFormat="1" applyFont="1" applyBorder="1" applyProtection="1">
      <protection locked="0"/>
    </xf>
    <xf numFmtId="38" fontId="82" fillId="0" borderId="270" xfId="0" applyNumberFormat="1" applyFont="1" applyBorder="1" applyProtection="1">
      <protection locked="0"/>
    </xf>
    <xf numFmtId="0" fontId="160" fillId="0" borderId="29" xfId="38" applyFont="1" applyBorder="1" applyAlignment="1" applyProtection="1">
      <alignment horizontal="center"/>
    </xf>
    <xf numFmtId="0" fontId="147" fillId="26" borderId="29" xfId="38" applyFont="1" applyFill="1" applyBorder="1" applyAlignment="1" applyProtection="1">
      <alignment horizontal="center"/>
    </xf>
    <xf numFmtId="0" fontId="83" fillId="0" borderId="29" xfId="0" applyFont="1" applyBorder="1"/>
    <xf numFmtId="0" fontId="83" fillId="26" borderId="29" xfId="0" applyFont="1" applyFill="1" applyBorder="1" applyProtection="1">
      <protection hidden="1"/>
    </xf>
    <xf numFmtId="0" fontId="83" fillId="0" borderId="29" xfId="0" applyFont="1" applyBorder="1" applyAlignment="1">
      <alignment horizontal="right" indent="1"/>
    </xf>
    <xf numFmtId="0" fontId="147" fillId="26" borderId="29" xfId="38" applyFont="1" applyFill="1" applyBorder="1" applyAlignment="1" applyProtection="1">
      <alignment horizontal="center" textRotation="90"/>
    </xf>
    <xf numFmtId="3" fontId="12" fillId="24" borderId="220" xfId="30" applyNumberFormat="1" applyFont="1" applyFill="1" applyBorder="1"/>
    <xf numFmtId="0" fontId="8" fillId="42" borderId="251" xfId="48" applyFont="1" applyFill="1" applyBorder="1"/>
    <xf numFmtId="0" fontId="0" fillId="24" borderId="271" xfId="0" applyFill="1" applyBorder="1"/>
    <xf numFmtId="9" fontId="119" fillId="24" borderId="230" xfId="55" applyFont="1" applyFill="1" applyBorder="1" applyProtection="1"/>
    <xf numFmtId="170" fontId="14" fillId="25" borderId="32" xfId="30" applyNumberFormat="1" applyFont="1" applyFill="1" applyBorder="1"/>
    <xf numFmtId="0" fontId="147" fillId="26" borderId="28" xfId="38" applyFont="1" applyFill="1" applyBorder="1" applyAlignment="1" applyProtection="1">
      <alignment horizontal="center"/>
    </xf>
    <xf numFmtId="9" fontId="119" fillId="24" borderId="272" xfId="55" applyFont="1" applyFill="1" applyBorder="1" applyProtection="1"/>
    <xf numFmtId="38" fontId="142" fillId="0" borderId="154" xfId="0" applyNumberFormat="1" applyFont="1" applyBorder="1" applyProtection="1">
      <protection locked="0"/>
    </xf>
    <xf numFmtId="38" fontId="82" fillId="26" borderId="152" xfId="0" applyNumberFormat="1" applyFont="1" applyFill="1" applyBorder="1"/>
    <xf numFmtId="38" fontId="142" fillId="0" borderId="152" xfId="0" applyNumberFormat="1" applyFont="1" applyBorder="1" applyProtection="1">
      <protection locked="0"/>
    </xf>
    <xf numFmtId="38" fontId="82" fillId="26" borderId="149" xfId="0" applyNumberFormat="1" applyFont="1" applyFill="1" applyBorder="1"/>
    <xf numFmtId="38" fontId="82" fillId="0" borderId="273" xfId="0" applyNumberFormat="1" applyFont="1" applyBorder="1"/>
    <xf numFmtId="0" fontId="87" fillId="0" borderId="138" xfId="0" applyFont="1" applyBorder="1" applyAlignment="1">
      <alignment horizontal="left" vertical="center"/>
    </xf>
    <xf numFmtId="0" fontId="87" fillId="0" borderId="138" xfId="0" applyFont="1" applyBorder="1" applyAlignment="1">
      <alignment horizontal="center" vertical="center"/>
    </xf>
    <xf numFmtId="0" fontId="161" fillId="0" borderId="0" xfId="0" applyFont="1"/>
    <xf numFmtId="0" fontId="15" fillId="0" borderId="0" xfId="0" applyFont="1"/>
    <xf numFmtId="0" fontId="83" fillId="0" borderId="0" xfId="0" applyFont="1" applyAlignment="1">
      <alignment horizontal="center"/>
    </xf>
    <xf numFmtId="14" fontId="8" fillId="0" borderId="0" xfId="48" applyNumberFormat="1" applyFont="1"/>
    <xf numFmtId="38" fontId="42" fillId="0" borderId="0" xfId="0" applyNumberFormat="1" applyFont="1"/>
    <xf numFmtId="3" fontId="8" fillId="0" borderId="0" xfId="0" applyNumberFormat="1" applyFont="1" applyAlignment="1">
      <alignment horizontal="right"/>
    </xf>
    <xf numFmtId="0" fontId="8" fillId="0" borderId="226" xfId="48" applyFont="1" applyBorder="1"/>
    <xf numFmtId="0" fontId="0" fillId="43" borderId="0" xfId="0" applyFill="1"/>
    <xf numFmtId="0" fontId="153" fillId="44" borderId="0" xfId="0" applyFont="1" applyFill="1"/>
    <xf numFmtId="0" fontId="153" fillId="45" borderId="0" xfId="0" applyFont="1" applyFill="1"/>
    <xf numFmtId="0" fontId="153" fillId="46" borderId="0" xfId="0" applyFont="1" applyFill="1"/>
    <xf numFmtId="0" fontId="153" fillId="47" borderId="0" xfId="0" applyFont="1" applyFill="1"/>
    <xf numFmtId="0" fontId="0" fillId="48" borderId="0" xfId="0" applyFill="1"/>
    <xf numFmtId="0" fontId="0" fillId="49" borderId="0" xfId="0" applyFill="1"/>
    <xf numFmtId="0" fontId="14" fillId="0" borderId="86" xfId="0" applyFont="1" applyBorder="1"/>
    <xf numFmtId="3" fontId="14" fillId="0" borderId="86" xfId="0" applyNumberFormat="1" applyFont="1" applyBorder="1"/>
    <xf numFmtId="179" fontId="8" fillId="27" borderId="246" xfId="48" applyNumberFormat="1" applyFont="1" applyFill="1" applyBorder="1" applyAlignment="1">
      <alignment horizontal="center"/>
    </xf>
    <xf numFmtId="179" fontId="8" fillId="27" borderId="245" xfId="48" applyNumberFormat="1" applyFont="1" applyFill="1" applyBorder="1" applyAlignment="1">
      <alignment horizontal="center"/>
    </xf>
    <xf numFmtId="0" fontId="8" fillId="27" borderId="276" xfId="48" applyFont="1" applyFill="1" applyBorder="1" applyAlignment="1">
      <alignment horizontal="center"/>
    </xf>
    <xf numFmtId="179" fontId="8" fillId="27" borderId="277" xfId="48" applyNumberFormat="1" applyFont="1" applyFill="1" applyBorder="1" applyAlignment="1">
      <alignment horizontal="center"/>
    </xf>
    <xf numFmtId="0" fontId="157" fillId="26" borderId="28" xfId="38" applyFont="1" applyFill="1" applyBorder="1" applyAlignment="1" applyProtection="1">
      <alignment horizontal="center"/>
    </xf>
    <xf numFmtId="179" fontId="8" fillId="27" borderId="278" xfId="48" applyNumberFormat="1" applyFont="1" applyFill="1" applyBorder="1" applyAlignment="1">
      <alignment horizontal="center"/>
    </xf>
    <xf numFmtId="0" fontId="147" fillId="26" borderId="279" xfId="38" applyFont="1" applyFill="1" applyBorder="1" applyAlignment="1" applyProtection="1"/>
    <xf numFmtId="0" fontId="147" fillId="26" borderId="28" xfId="38" applyFont="1" applyFill="1" applyBorder="1" applyAlignment="1" applyProtection="1"/>
    <xf numFmtId="0" fontId="64" fillId="0" borderId="28" xfId="0" applyFont="1" applyBorder="1"/>
    <xf numFmtId="10" fontId="62" fillId="0" borderId="0" xfId="0" applyNumberFormat="1" applyFont="1"/>
    <xf numFmtId="10" fontId="68" fillId="0" borderId="0" xfId="0" applyNumberFormat="1" applyFont="1"/>
    <xf numFmtId="0" fontId="158" fillId="0" borderId="28" xfId="48" applyFont="1" applyBorder="1" applyAlignment="1">
      <alignment horizontal="center"/>
    </xf>
    <xf numFmtId="0" fontId="149" fillId="0" borderId="28" xfId="38" applyFont="1" applyBorder="1" applyAlignment="1" applyProtection="1">
      <alignment horizontal="center"/>
    </xf>
    <xf numFmtId="0" fontId="158" fillId="0" borderId="14" xfId="48" applyFont="1" applyBorder="1" applyAlignment="1">
      <alignment horizontal="center"/>
    </xf>
    <xf numFmtId="0" fontId="147" fillId="26" borderId="14" xfId="38" applyFont="1" applyFill="1" applyBorder="1" applyAlignment="1" applyProtection="1">
      <alignment horizontal="center"/>
    </xf>
    <xf numFmtId="0" fontId="10" fillId="0" borderId="14" xfId="48" applyFont="1" applyBorder="1" applyAlignment="1">
      <alignment horizontal="center"/>
    </xf>
    <xf numFmtId="0" fontId="10" fillId="0" borderId="15" xfId="48" applyFont="1" applyBorder="1" applyAlignment="1">
      <alignment horizontal="center"/>
    </xf>
    <xf numFmtId="0" fontId="8" fillId="0" borderId="14" xfId="48" applyFont="1" applyBorder="1" applyAlignment="1">
      <alignment horizontal="center" vertical="center"/>
    </xf>
    <xf numFmtId="38" fontId="8" fillId="0" borderId="280" xfId="48" applyNumberFormat="1" applyFont="1" applyBorder="1" applyAlignment="1">
      <alignment horizontal="center" vertical="center"/>
    </xf>
    <xf numFmtId="0" fontId="8" fillId="0" borderId="14" xfId="48" applyFont="1" applyBorder="1" applyAlignment="1">
      <alignment horizontal="left"/>
    </xf>
    <xf numFmtId="0" fontId="13" fillId="0" borderId="14" xfId="0" applyFont="1" applyBorder="1" applyAlignment="1">
      <alignment horizontal="center"/>
    </xf>
    <xf numFmtId="165" fontId="12" fillId="24" borderId="281" xfId="28" applyNumberFormat="1" applyFont="1" applyFill="1" applyBorder="1"/>
    <xf numFmtId="0" fontId="30" fillId="0" borderId="14" xfId="48" applyFont="1" applyBorder="1"/>
    <xf numFmtId="42" fontId="22" fillId="27" borderId="281" xfId="30" applyNumberFormat="1" applyFont="1" applyFill="1" applyBorder="1"/>
    <xf numFmtId="0" fontId="31" fillId="0" borderId="14" xfId="48" applyFont="1" applyBorder="1"/>
    <xf numFmtId="38" fontId="12" fillId="0" borderId="15" xfId="48" applyNumberFormat="1" applyFont="1" applyBorder="1"/>
    <xf numFmtId="0" fontId="13" fillId="0" borderId="14" xfId="48" applyFont="1" applyBorder="1" applyAlignment="1">
      <alignment horizontal="center"/>
    </xf>
    <xf numFmtId="44" fontId="22" fillId="27" borderId="281" xfId="30" applyFont="1" applyFill="1" applyBorder="1"/>
    <xf numFmtId="0" fontId="30" fillId="0" borderId="14" xfId="48" applyFont="1" applyBorder="1" applyAlignment="1">
      <alignment horizontal="left"/>
    </xf>
    <xf numFmtId="0" fontId="32" fillId="0" borderId="14" xfId="48" applyFont="1" applyBorder="1" applyAlignment="1">
      <alignment horizontal="left"/>
    </xf>
    <xf numFmtId="38" fontId="12" fillId="0" borderId="15" xfId="48" applyNumberFormat="1" applyFont="1" applyBorder="1" applyAlignment="1">
      <alignment horizontal="right"/>
    </xf>
    <xf numFmtId="0" fontId="19" fillId="0" borderId="14" xfId="48" applyFont="1" applyBorder="1"/>
    <xf numFmtId="38" fontId="12" fillId="0" borderId="15" xfId="0" applyNumberFormat="1" applyFont="1" applyBorder="1" applyAlignment="1">
      <alignment horizontal="right"/>
    </xf>
    <xf numFmtId="0" fontId="30" fillId="0" borderId="282" xfId="48" applyFont="1" applyBorder="1"/>
    <xf numFmtId="0" fontId="33" fillId="0" borderId="14" xfId="48" applyFont="1" applyBorder="1"/>
    <xf numFmtId="0" fontId="19" fillId="0" borderId="14" xfId="48" applyFont="1" applyBorder="1" applyAlignment="1">
      <alignment horizontal="left"/>
    </xf>
    <xf numFmtId="0" fontId="13" fillId="0" borderId="14" xfId="48" applyFont="1" applyBorder="1" applyAlignment="1">
      <alignment horizontal="left"/>
    </xf>
    <xf numFmtId="0" fontId="33" fillId="0" borderId="282" xfId="48" applyFont="1" applyBorder="1"/>
    <xf numFmtId="38" fontId="12" fillId="0" borderId="284" xfId="48" applyNumberFormat="1" applyFont="1" applyBorder="1" applyAlignment="1">
      <alignment horizontal="right"/>
    </xf>
    <xf numFmtId="0" fontId="8" fillId="0" borderId="14" xfId="48" applyFont="1" applyBorder="1"/>
    <xf numFmtId="0" fontId="22" fillId="0" borderId="14" xfId="48" applyFont="1" applyBorder="1"/>
    <xf numFmtId="0" fontId="8" fillId="0" borderId="14" xfId="48" applyFont="1" applyBorder="1" applyProtection="1">
      <protection locked="0"/>
    </xf>
    <xf numFmtId="0" fontId="8" fillId="0" borderId="14" xfId="0" applyFont="1" applyBorder="1" applyAlignment="1">
      <alignment horizontal="left"/>
    </xf>
    <xf numFmtId="170" fontId="22" fillId="27" borderId="281" xfId="30" applyNumberFormat="1" applyFont="1" applyFill="1" applyBorder="1" applyProtection="1"/>
    <xf numFmtId="38" fontId="22" fillId="0" borderId="15" xfId="48" applyNumberFormat="1" applyFont="1" applyBorder="1"/>
    <xf numFmtId="0" fontId="8" fillId="0" borderId="14" xfId="48" applyFont="1" applyBorder="1" applyAlignment="1" applyProtection="1">
      <alignment horizontal="left"/>
      <protection locked="0"/>
    </xf>
    <xf numFmtId="38" fontId="12" fillId="0" borderId="15" xfId="28" applyNumberFormat="1" applyFont="1" applyFill="1" applyBorder="1" applyAlignment="1" applyProtection="1">
      <alignment horizontal="right"/>
      <protection locked="0"/>
    </xf>
    <xf numFmtId="38" fontId="12" fillId="0" borderId="15" xfId="28" applyNumberFormat="1" applyFont="1" applyFill="1" applyBorder="1"/>
    <xf numFmtId="38" fontId="12" fillId="0" borderId="284" xfId="28" applyNumberFormat="1" applyFont="1" applyFill="1" applyBorder="1" applyAlignment="1" applyProtection="1">
      <alignment horizontal="right"/>
    </xf>
    <xf numFmtId="170" fontId="12" fillId="0" borderId="15" xfId="0" applyNumberFormat="1" applyFont="1" applyBorder="1" applyAlignment="1">
      <alignment horizontal="right"/>
    </xf>
    <xf numFmtId="0" fontId="14" fillId="0" borderId="14" xfId="48" applyFont="1" applyBorder="1"/>
    <xf numFmtId="0" fontId="14" fillId="0" borderId="14" xfId="0" applyFont="1" applyBorder="1"/>
    <xf numFmtId="38" fontId="12" fillId="0" borderId="15" xfId="0" applyNumberFormat="1" applyFont="1" applyBorder="1"/>
    <xf numFmtId="170" fontId="22" fillId="27" borderId="123" xfId="48" applyNumberFormat="1" applyFont="1" applyFill="1" applyBorder="1"/>
    <xf numFmtId="38" fontId="5" fillId="0" borderId="15" xfId="0" applyNumberFormat="1" applyFont="1" applyBorder="1" applyAlignment="1">
      <alignment horizontal="right"/>
    </xf>
    <xf numFmtId="38" fontId="5" fillId="0" borderId="284" xfId="0" applyNumberFormat="1" applyFont="1" applyBorder="1" applyAlignment="1">
      <alignment horizontal="right"/>
    </xf>
    <xf numFmtId="0" fontId="162" fillId="0" borderId="28" xfId="38" applyFont="1" applyBorder="1" applyAlignment="1" applyProtection="1">
      <alignment horizontal="center"/>
    </xf>
    <xf numFmtId="0" fontId="8" fillId="0" borderId="28" xfId="0" applyFont="1" applyBorder="1" applyAlignment="1">
      <alignment horizontal="center"/>
    </xf>
    <xf numFmtId="0" fontId="160" fillId="0" borderId="14" xfId="38" applyFont="1" applyBorder="1" applyAlignment="1" applyProtection="1">
      <alignment horizontal="center"/>
    </xf>
    <xf numFmtId="0" fontId="157" fillId="26" borderId="14" xfId="38" applyFont="1" applyFill="1" applyBorder="1" applyAlignment="1" applyProtection="1">
      <alignment horizontal="center"/>
    </xf>
    <xf numFmtId="0" fontId="82" fillId="0" borderId="28" xfId="0" applyFont="1" applyBorder="1" applyAlignment="1">
      <alignment horizontal="center"/>
    </xf>
    <xf numFmtId="0" fontId="83" fillId="0" borderId="285" xfId="0" applyFont="1" applyBorder="1" applyAlignment="1">
      <alignment horizontal="center"/>
    </xf>
    <xf numFmtId="0" fontId="14" fillId="0" borderId="38" xfId="48" applyFont="1" applyBorder="1" applyAlignment="1">
      <alignment horizontal="center" vertical="center"/>
    </xf>
    <xf numFmtId="0" fontId="14" fillId="0" borderId="77" xfId="48" applyFont="1" applyBorder="1" applyAlignment="1">
      <alignment horizontal="centerContinuous" vertical="center"/>
    </xf>
    <xf numFmtId="170" fontId="14" fillId="24" borderId="33" xfId="30" applyNumberFormat="1" applyFont="1" applyFill="1" applyBorder="1"/>
    <xf numFmtId="170" fontId="5" fillId="30" borderId="286" xfId="28" applyNumberFormat="1" applyFont="1" applyFill="1" applyBorder="1"/>
    <xf numFmtId="0" fontId="125" fillId="0" borderId="28" xfId="48" applyFont="1" applyBorder="1"/>
    <xf numFmtId="38" fontId="126" fillId="0" borderId="29" xfId="48" applyNumberFormat="1" applyFont="1" applyBorder="1"/>
    <xf numFmtId="38" fontId="117" fillId="0" borderId="29" xfId="48" applyNumberFormat="1" applyFont="1" applyBorder="1"/>
    <xf numFmtId="0" fontId="126" fillId="35" borderId="28" xfId="48" applyFont="1" applyFill="1" applyBorder="1" applyAlignment="1">
      <alignment horizontal="center"/>
    </xf>
    <xf numFmtId="170" fontId="7" fillId="30" borderId="286" xfId="28" applyNumberFormat="1" applyFont="1" applyFill="1" applyBorder="1"/>
    <xf numFmtId="0" fontId="117" fillId="0" borderId="28" xfId="48" applyFont="1" applyBorder="1" applyAlignment="1">
      <alignment horizontal="center"/>
    </xf>
    <xf numFmtId="0" fontId="126" fillId="0" borderId="28" xfId="48" applyFont="1" applyBorder="1" applyAlignment="1">
      <alignment horizontal="center"/>
    </xf>
    <xf numFmtId="0" fontId="130" fillId="0" borderId="29" xfId="0" applyFont="1" applyBorder="1"/>
    <xf numFmtId="0" fontId="117" fillId="0" borderId="12" xfId="0" applyFont="1" applyBorder="1"/>
    <xf numFmtId="0" fontId="117" fillId="0" borderId="13" xfId="0" applyFont="1" applyBorder="1"/>
    <xf numFmtId="0" fontId="117" fillId="27" borderId="13" xfId="0" applyFont="1" applyFill="1" applyBorder="1" applyAlignment="1">
      <alignment horizontal="center"/>
    </xf>
    <xf numFmtId="0" fontId="117" fillId="0" borderId="19" xfId="0" applyFont="1" applyBorder="1"/>
    <xf numFmtId="0" fontId="117" fillId="0" borderId="14" xfId="0" applyFont="1" applyBorder="1" applyAlignment="1">
      <alignment horizontal="center"/>
    </xf>
    <xf numFmtId="0" fontId="117" fillId="0" borderId="15" xfId="0" applyFont="1" applyBorder="1" applyAlignment="1">
      <alignment horizontal="center"/>
    </xf>
    <xf numFmtId="0" fontId="117" fillId="0" borderId="14" xfId="0" applyFont="1" applyBorder="1"/>
    <xf numFmtId="0" fontId="117" fillId="0" borderId="15" xfId="0" applyFont="1" applyBorder="1"/>
    <xf numFmtId="14" fontId="119" fillId="0" borderId="15" xfId="0" applyNumberFormat="1" applyFont="1" applyBorder="1"/>
    <xf numFmtId="0" fontId="120" fillId="0" borderId="14" xfId="48" applyFont="1" applyBorder="1" applyAlignment="1">
      <alignment horizontal="centerContinuous" vertical="center"/>
    </xf>
    <xf numFmtId="38" fontId="122" fillId="0" borderId="15" xfId="48" applyNumberFormat="1" applyFont="1" applyBorder="1" applyAlignment="1">
      <alignment horizontal="centerContinuous" vertical="center"/>
    </xf>
    <xf numFmtId="0" fontId="14" fillId="0" borderId="287" xfId="48" applyFont="1" applyBorder="1" applyAlignment="1">
      <alignment horizontal="center" vertical="center"/>
    </xf>
    <xf numFmtId="38" fontId="8" fillId="0" borderId="288" xfId="48" applyNumberFormat="1" applyFont="1" applyBorder="1" applyAlignment="1">
      <alignment horizontal="center" vertical="center"/>
    </xf>
    <xf numFmtId="0" fontId="14" fillId="0" borderId="14" xfId="48" applyFont="1" applyBorder="1" applyAlignment="1">
      <alignment horizontal="center" vertical="center"/>
    </xf>
    <xf numFmtId="38" fontId="8" fillId="0" borderId="289" xfId="48" applyNumberFormat="1" applyFont="1" applyBorder="1" applyAlignment="1">
      <alignment horizontal="center" vertical="center"/>
    </xf>
    <xf numFmtId="0" fontId="14" fillId="0" borderId="290" xfId="0" applyFont="1" applyBorder="1" applyAlignment="1">
      <alignment vertical="center"/>
    </xf>
    <xf numFmtId="38" fontId="8" fillId="0" borderId="291" xfId="48" applyNumberFormat="1" applyFont="1" applyBorder="1" applyAlignment="1">
      <alignment horizontal="center" vertical="center"/>
    </xf>
    <xf numFmtId="0" fontId="0" fillId="0" borderId="15" xfId="0" applyBorder="1"/>
    <xf numFmtId="0" fontId="14" fillId="0" borderId="14" xfId="0" applyFont="1" applyBorder="1" applyAlignment="1">
      <alignment horizontal="center"/>
    </xf>
    <xf numFmtId="170" fontId="14" fillId="24" borderId="281" xfId="30" applyNumberFormat="1" applyFont="1" applyFill="1" applyBorder="1"/>
    <xf numFmtId="170" fontId="5" fillId="30" borderId="292" xfId="28" applyNumberFormat="1" applyFont="1" applyFill="1" applyBorder="1"/>
    <xf numFmtId="0" fontId="125" fillId="0" borderId="14" xfId="48" applyFont="1" applyBorder="1"/>
    <xf numFmtId="38" fontId="126" fillId="0" borderId="15" xfId="48" applyNumberFormat="1" applyFont="1" applyBorder="1"/>
    <xf numFmtId="38" fontId="117" fillId="0" borderId="15" xfId="48" applyNumberFormat="1" applyFont="1" applyBorder="1"/>
    <xf numFmtId="165" fontId="126" fillId="35" borderId="14" xfId="28" applyNumberFormat="1" applyFont="1" applyFill="1" applyBorder="1" applyAlignment="1" applyProtection="1">
      <alignment horizontal="center"/>
    </xf>
    <xf numFmtId="0" fontId="127" fillId="0" borderId="14" xfId="48" applyFont="1" applyBorder="1"/>
    <xf numFmtId="0" fontId="14" fillId="0" borderId="14" xfId="48" applyFont="1" applyBorder="1" applyAlignment="1">
      <alignment horizontal="center"/>
    </xf>
    <xf numFmtId="170" fontId="12" fillId="24" borderId="281" xfId="30" applyNumberFormat="1" applyFont="1" applyFill="1" applyBorder="1"/>
    <xf numFmtId="38" fontId="14" fillId="0" borderId="15" xfId="48" applyNumberFormat="1" applyFont="1" applyBorder="1" applyProtection="1">
      <protection locked="0"/>
    </xf>
    <xf numFmtId="38" fontId="14" fillId="0" borderId="15" xfId="48" applyNumberFormat="1" applyFont="1" applyBorder="1"/>
    <xf numFmtId="38" fontId="14" fillId="0" borderId="15" xfId="28" applyNumberFormat="1" applyFont="1" applyFill="1" applyBorder="1" applyProtection="1">
      <protection locked="0"/>
    </xf>
    <xf numFmtId="38" fontId="14" fillId="0" borderId="15" xfId="48" applyNumberFormat="1" applyFont="1" applyBorder="1" applyAlignment="1">
      <alignment horizontal="right"/>
    </xf>
    <xf numFmtId="38" fontId="14" fillId="0" borderId="15" xfId="0" applyNumberFormat="1" applyFont="1" applyBorder="1" applyAlignment="1">
      <alignment horizontal="right"/>
    </xf>
    <xf numFmtId="0" fontId="41" fillId="0" borderId="14" xfId="48" applyFont="1" applyBorder="1"/>
    <xf numFmtId="170" fontId="7" fillId="30" borderId="292" xfId="28" applyNumberFormat="1" applyFont="1" applyFill="1" applyBorder="1"/>
    <xf numFmtId="0" fontId="14" fillId="0" borderId="14" xfId="48" applyFont="1" applyBorder="1" applyAlignment="1">
      <alignment horizontal="left"/>
    </xf>
    <xf numFmtId="38" fontId="22" fillId="0" borderId="15" xfId="48" applyNumberFormat="1" applyFont="1" applyBorder="1" applyProtection="1">
      <protection locked="0"/>
    </xf>
    <xf numFmtId="0" fontId="41" fillId="0" borderId="282" xfId="48" applyFont="1" applyBorder="1"/>
    <xf numFmtId="38" fontId="14" fillId="0" borderId="284" xfId="48" applyNumberFormat="1" applyFont="1" applyBorder="1" applyAlignment="1">
      <alignment horizontal="right"/>
    </xf>
    <xf numFmtId="38" fontId="5" fillId="0" borderId="15" xfId="48" applyNumberFormat="1" applyFont="1" applyBorder="1"/>
    <xf numFmtId="165" fontId="128" fillId="0" borderId="15" xfId="28" applyNumberFormat="1" applyFont="1" applyFill="1" applyBorder="1"/>
    <xf numFmtId="38" fontId="13" fillId="0" borderId="15" xfId="0" applyNumberFormat="1" applyFont="1" applyBorder="1" applyAlignment="1">
      <alignment horizontal="right"/>
    </xf>
    <xf numFmtId="0" fontId="5" fillId="0" borderId="14" xfId="48" applyFont="1" applyBorder="1" applyAlignment="1">
      <alignment horizontal="center"/>
    </xf>
    <xf numFmtId="0" fontId="123" fillId="0" borderId="15" xfId="0" applyFont="1" applyBorder="1"/>
    <xf numFmtId="38" fontId="14" fillId="0" borderId="15" xfId="28" applyNumberFormat="1" applyFont="1" applyFill="1" applyBorder="1" applyAlignment="1" applyProtection="1">
      <alignment horizontal="right"/>
      <protection locked="0"/>
    </xf>
    <xf numFmtId="0" fontId="123" fillId="0" borderId="14" xfId="0" applyFont="1" applyBorder="1"/>
    <xf numFmtId="38" fontId="14" fillId="0" borderId="15" xfId="28" applyNumberFormat="1" applyFont="1" applyFill="1" applyBorder="1"/>
    <xf numFmtId="0" fontId="126" fillId="35" borderId="14" xfId="48" applyFont="1" applyFill="1" applyBorder="1" applyAlignment="1">
      <alignment horizontal="center"/>
    </xf>
    <xf numFmtId="0" fontId="117" fillId="0" borderId="14" xfId="48" applyFont="1" applyBorder="1" applyAlignment="1">
      <alignment horizontal="center"/>
    </xf>
    <xf numFmtId="0" fontId="14" fillId="0" borderId="282" xfId="48" applyFont="1" applyBorder="1" applyAlignment="1">
      <alignment horizontal="center"/>
    </xf>
    <xf numFmtId="38" fontId="8" fillId="0" borderId="284" xfId="48" applyNumberFormat="1" applyFont="1" applyBorder="1"/>
    <xf numFmtId="0" fontId="8" fillId="0" borderId="14" xfId="0" applyFont="1" applyBorder="1" applyAlignment="1">
      <alignment horizontal="left" indent="2"/>
    </xf>
    <xf numFmtId="0" fontId="7" fillId="0" borderId="14" xfId="48" applyFont="1" applyBorder="1"/>
    <xf numFmtId="0" fontId="30" fillId="0" borderId="14" xfId="48" applyFont="1" applyBorder="1" applyAlignment="1">
      <alignment horizontal="left" indent="2"/>
    </xf>
    <xf numFmtId="0" fontId="41" fillId="0" borderId="282" xfId="48" applyFont="1" applyBorder="1" applyAlignment="1">
      <alignment horizontal="left" indent="2"/>
    </xf>
    <xf numFmtId="38" fontId="14" fillId="0" borderId="284" xfId="28" applyNumberFormat="1" applyFont="1" applyFill="1" applyBorder="1" applyAlignment="1" applyProtection="1">
      <alignment horizontal="right"/>
    </xf>
    <xf numFmtId="0" fontId="8" fillId="0" borderId="14" xfId="48" applyFont="1" applyBorder="1" applyAlignment="1">
      <alignment horizontal="left" indent="2"/>
    </xf>
    <xf numFmtId="38" fontId="22" fillId="0" borderId="15" xfId="0" applyNumberFormat="1" applyFont="1" applyBorder="1" applyAlignment="1">
      <alignment horizontal="right"/>
    </xf>
    <xf numFmtId="38" fontId="22" fillId="0" borderId="15" xfId="0" applyNumberFormat="1" applyFont="1" applyBorder="1"/>
    <xf numFmtId="168" fontId="12" fillId="25" borderId="123" xfId="55" applyNumberFormat="1" applyFont="1" applyFill="1" applyBorder="1" applyProtection="1"/>
    <xf numFmtId="0" fontId="5" fillId="0" borderId="14" xfId="0" applyFont="1" applyBorder="1"/>
    <xf numFmtId="0" fontId="5" fillId="0" borderId="15" xfId="0" applyFont="1" applyBorder="1"/>
    <xf numFmtId="0" fontId="7" fillId="0" borderId="14" xfId="0" applyFont="1" applyBorder="1"/>
    <xf numFmtId="170" fontId="14" fillId="25" borderId="123" xfId="48" applyNumberFormat="1" applyFont="1" applyFill="1" applyBorder="1"/>
    <xf numFmtId="0" fontId="10" fillId="0" borderId="293" xfId="48" applyFont="1" applyBorder="1" applyAlignment="1">
      <alignment horizontal="centerContinuous" vertical="center"/>
    </xf>
    <xf numFmtId="38" fontId="8" fillId="0" borderId="294" xfId="48" applyNumberFormat="1" applyFont="1" applyBorder="1" applyAlignment="1">
      <alignment horizontal="centerContinuous" vertical="center"/>
    </xf>
    <xf numFmtId="0" fontId="8" fillId="0" borderId="293" xfId="48" applyFont="1" applyBorder="1" applyAlignment="1">
      <alignment horizontal="center" vertical="center"/>
    </xf>
    <xf numFmtId="38" fontId="8" fillId="0" borderId="295" xfId="48" applyNumberFormat="1" applyFont="1" applyBorder="1" applyAlignment="1">
      <alignment horizontal="center" vertical="center"/>
    </xf>
    <xf numFmtId="0" fontId="8" fillId="0" borderId="282" xfId="0" applyFont="1" applyBorder="1" applyAlignment="1">
      <alignment vertical="center"/>
    </xf>
    <xf numFmtId="38" fontId="8" fillId="0" borderId="296" xfId="48" applyNumberFormat="1" applyFont="1" applyBorder="1" applyAlignment="1">
      <alignment horizontal="center" vertical="center"/>
    </xf>
    <xf numFmtId="0" fontId="24" fillId="0" borderId="15" xfId="0" applyFont="1" applyBorder="1"/>
    <xf numFmtId="0" fontId="126" fillId="0" borderId="14" xfId="48" applyFont="1" applyBorder="1" applyAlignment="1">
      <alignment horizontal="center"/>
    </xf>
    <xf numFmtId="0" fontId="14" fillId="0" borderId="282" xfId="48" applyFont="1" applyBorder="1"/>
    <xf numFmtId="38" fontId="5" fillId="0" borderId="284" xfId="48" applyNumberFormat="1" applyFont="1" applyBorder="1"/>
    <xf numFmtId="38" fontId="21" fillId="0" borderId="15" xfId="48" applyNumberFormat="1" applyFont="1" applyBorder="1" applyAlignment="1">
      <alignment horizontal="right"/>
    </xf>
    <xf numFmtId="0" fontId="14" fillId="0" borderId="282" xfId="0" applyFont="1" applyBorder="1"/>
    <xf numFmtId="0" fontId="33" fillId="0" borderId="14" xfId="48" applyFont="1" applyBorder="1" applyAlignment="1">
      <alignment horizontal="left" vertical="center"/>
    </xf>
    <xf numFmtId="38" fontId="5" fillId="0" borderId="15" xfId="48" applyNumberFormat="1" applyFont="1" applyBorder="1" applyAlignment="1">
      <alignment horizontal="left"/>
    </xf>
    <xf numFmtId="38" fontId="130" fillId="0" borderId="15" xfId="0" applyNumberFormat="1" applyFont="1" applyBorder="1" applyAlignment="1">
      <alignment vertical="center"/>
    </xf>
    <xf numFmtId="38" fontId="130" fillId="0" borderId="15" xfId="48" applyNumberFormat="1" applyFont="1" applyBorder="1"/>
    <xf numFmtId="38" fontId="14" fillId="0" borderId="15" xfId="0" applyNumberFormat="1" applyFont="1" applyBorder="1"/>
    <xf numFmtId="0" fontId="130" fillId="0" borderId="15" xfId="0" applyFont="1" applyBorder="1"/>
    <xf numFmtId="0" fontId="10" fillId="0" borderId="14" xfId="48" applyFont="1" applyBorder="1" applyAlignment="1">
      <alignment horizontal="centerContinuous"/>
    </xf>
    <xf numFmtId="38" fontId="21" fillId="0" borderId="15" xfId="48" applyNumberFormat="1" applyFont="1" applyBorder="1" applyAlignment="1">
      <alignment horizontal="center"/>
    </xf>
    <xf numFmtId="0" fontId="8" fillId="0" borderId="14" xfId="52" applyFont="1" applyBorder="1"/>
    <xf numFmtId="38" fontId="14" fillId="0" borderId="15" xfId="52" applyNumberFormat="1" applyFont="1" applyBorder="1"/>
    <xf numFmtId="0" fontId="8" fillId="0" borderId="14" xfId="0" applyFont="1" applyBorder="1"/>
    <xf numFmtId="38" fontId="22" fillId="0" borderId="15" xfId="52" applyNumberFormat="1" applyFont="1" applyBorder="1"/>
    <xf numFmtId="38" fontId="14" fillId="0" borderId="284" xfId="52" applyNumberFormat="1" applyFont="1" applyBorder="1"/>
    <xf numFmtId="0" fontId="5" fillId="0" borderId="14" xfId="48" applyFont="1" applyBorder="1" applyAlignment="1">
      <alignment horizontal="left"/>
    </xf>
    <xf numFmtId="38" fontId="22" fillId="0" borderId="15" xfId="48" applyNumberFormat="1" applyFont="1" applyBorder="1" applyAlignment="1">
      <alignment horizontal="right"/>
    </xf>
    <xf numFmtId="0" fontId="14" fillId="0" borderId="297" xfId="0" applyFont="1" applyBorder="1"/>
    <xf numFmtId="0" fontId="5" fillId="0" borderId="282" xfId="0" applyFont="1" applyBorder="1"/>
    <xf numFmtId="0" fontId="14" fillId="0" borderId="284" xfId="0" applyFont="1" applyBorder="1"/>
    <xf numFmtId="0" fontId="10" fillId="0" borderId="298" xfId="0" applyFont="1" applyBorder="1" applyAlignment="1">
      <alignment horizontal="centerContinuous"/>
    </xf>
    <xf numFmtId="0" fontId="123" fillId="0" borderId="299" xfId="0" applyFont="1" applyBorder="1" applyAlignment="1">
      <alignment horizontal="centerContinuous"/>
    </xf>
    <xf numFmtId="0" fontId="10" fillId="0" borderId="287" xfId="48" applyFont="1" applyBorder="1" applyAlignment="1">
      <alignment horizontal="centerContinuous"/>
    </xf>
    <xf numFmtId="0" fontId="5" fillId="0" borderId="300" xfId="48" applyFont="1" applyBorder="1" applyAlignment="1">
      <alignment horizontal="centerContinuous"/>
    </xf>
    <xf numFmtId="38" fontId="134" fillId="0" borderId="15" xfId="48" applyNumberFormat="1" applyFont="1" applyBorder="1" applyAlignment="1">
      <alignment horizontal="center"/>
    </xf>
    <xf numFmtId="38" fontId="8" fillId="0" borderId="301" xfId="48" applyNumberFormat="1" applyFont="1" applyBorder="1" applyAlignment="1">
      <alignment horizontal="center" vertical="center"/>
    </xf>
    <xf numFmtId="0" fontId="5" fillId="0" borderId="15" xfId="48" applyFont="1" applyBorder="1" applyAlignment="1">
      <alignment horizontal="center"/>
    </xf>
    <xf numFmtId="0" fontId="5" fillId="0" borderId="290" xfId="0" applyFont="1" applyBorder="1"/>
    <xf numFmtId="0" fontId="5" fillId="0" borderId="302" xfId="0" applyFont="1" applyBorder="1"/>
    <xf numFmtId="0" fontId="8" fillId="30" borderId="282" xfId="48" applyFont="1" applyFill="1" applyBorder="1"/>
    <xf numFmtId="0" fontId="21" fillId="0" borderId="14" xfId="48" applyFont="1" applyBorder="1"/>
    <xf numFmtId="0" fontId="8" fillId="30" borderId="303" xfId="48" applyFont="1" applyFill="1" applyBorder="1"/>
    <xf numFmtId="3" fontId="12" fillId="24" borderId="281" xfId="30" applyNumberFormat="1" applyFont="1" applyFill="1" applyBorder="1"/>
    <xf numFmtId="0" fontId="0" fillId="0" borderId="14" xfId="0" applyBorder="1"/>
    <xf numFmtId="0" fontId="0" fillId="0" borderId="16" xfId="0" applyBorder="1"/>
    <xf numFmtId="0" fontId="0" fillId="0" borderId="17" xfId="0" applyBorder="1"/>
    <xf numFmtId="0" fontId="0" fillId="0" borderId="18" xfId="0" applyBorder="1"/>
    <xf numFmtId="0" fontId="29" fillId="27" borderId="305" xfId="48" applyFont="1" applyFill="1" applyBorder="1" applyAlignment="1">
      <alignment horizontal="center"/>
    </xf>
    <xf numFmtId="0" fontId="29" fillId="27" borderId="306" xfId="48" applyFont="1" applyFill="1" applyBorder="1" applyAlignment="1">
      <alignment horizontal="center"/>
    </xf>
    <xf numFmtId="170" fontId="22" fillId="27" borderId="220" xfId="30" applyNumberFormat="1" applyFont="1" applyFill="1" applyBorder="1" applyProtection="1"/>
    <xf numFmtId="170" fontId="22" fillId="27" borderId="307" xfId="30" applyNumberFormat="1" applyFont="1" applyFill="1" applyBorder="1" applyProtection="1"/>
    <xf numFmtId="0" fontId="13" fillId="0" borderId="12" xfId="48" applyFont="1" applyBorder="1" applyAlignment="1">
      <alignment horizontal="center"/>
    </xf>
    <xf numFmtId="0" fontId="29" fillId="0" borderId="13" xfId="0" applyFont="1" applyBorder="1" applyAlignment="1">
      <alignment horizontal="center"/>
    </xf>
    <xf numFmtId="0" fontId="29" fillId="0" borderId="13" xfId="48" applyFont="1" applyBorder="1" applyAlignment="1">
      <alignment horizontal="center"/>
    </xf>
    <xf numFmtId="38" fontId="22" fillId="0" borderId="13" xfId="48" applyNumberFormat="1" applyFont="1" applyBorder="1"/>
    <xf numFmtId="38" fontId="22" fillId="0" borderId="19" xfId="48" applyNumberFormat="1" applyFont="1" applyBorder="1"/>
    <xf numFmtId="0" fontId="8" fillId="0" borderId="12" xfId="48" applyFont="1" applyBorder="1" applyAlignment="1">
      <alignment horizontal="left"/>
    </xf>
    <xf numFmtId="0" fontId="19" fillId="0" borderId="13" xfId="48" applyFont="1" applyBorder="1" applyAlignment="1">
      <alignment horizontal="left"/>
    </xf>
    <xf numFmtId="0" fontId="13" fillId="0" borderId="13" xfId="48" applyFont="1" applyBorder="1" applyAlignment="1">
      <alignment horizontal="center"/>
    </xf>
    <xf numFmtId="38" fontId="11" fillId="0" borderId="13" xfId="48" applyNumberFormat="1" applyFont="1" applyBorder="1"/>
    <xf numFmtId="38" fontId="11" fillId="0" borderId="19" xfId="48" applyNumberFormat="1" applyFont="1" applyBorder="1"/>
    <xf numFmtId="38" fontId="13" fillId="0" borderId="29" xfId="48" applyNumberFormat="1" applyFont="1" applyBorder="1" applyAlignment="1">
      <alignment horizontal="center" vertical="center" wrapText="1"/>
    </xf>
    <xf numFmtId="38" fontId="14" fillId="0" borderId="0" xfId="30" applyNumberFormat="1" applyFont="1" applyFill="1" applyBorder="1" applyAlignment="1" applyProtection="1">
      <alignment horizontal="right"/>
    </xf>
    <xf numFmtId="10" fontId="42" fillId="0" borderId="0" xfId="0" applyNumberFormat="1" applyFont="1"/>
    <xf numFmtId="10" fontId="8" fillId="0" borderId="0" xfId="0" applyNumberFormat="1" applyFont="1"/>
    <xf numFmtId="0" fontId="12" fillId="0" borderId="112" xfId="48" applyFont="1" applyBorder="1" applyAlignment="1" applyProtection="1">
      <alignment horizontal="center"/>
      <protection locked="0"/>
    </xf>
    <xf numFmtId="0" fontId="156" fillId="0" borderId="0" xfId="48" applyFont="1" applyAlignment="1" applyProtection="1">
      <alignment horizontal="left"/>
      <protection locked="0"/>
    </xf>
    <xf numFmtId="0" fontId="156" fillId="0" borderId="32" xfId="48" applyFont="1" applyBorder="1" applyAlignment="1">
      <alignment horizontal="center"/>
    </xf>
    <xf numFmtId="38" fontId="12" fillId="0" borderId="108" xfId="28" applyNumberFormat="1" applyFont="1" applyFill="1" applyBorder="1" applyProtection="1"/>
    <xf numFmtId="165" fontId="156" fillId="24" borderId="32" xfId="28" applyNumberFormat="1" applyFont="1" applyFill="1" applyBorder="1"/>
    <xf numFmtId="165" fontId="156" fillId="24" borderId="33" xfId="28" applyNumberFormat="1" applyFont="1" applyFill="1" applyBorder="1"/>
    <xf numFmtId="0" fontId="73" fillId="0" borderId="0" xfId="46" applyFont="1"/>
    <xf numFmtId="165" fontId="73" fillId="24" borderId="20" xfId="28" applyNumberFormat="1" applyFont="1" applyFill="1" applyBorder="1"/>
    <xf numFmtId="165" fontId="73" fillId="24" borderId="21" xfId="28" applyNumberFormat="1" applyFont="1" applyFill="1" applyBorder="1"/>
    <xf numFmtId="170" fontId="22" fillId="27" borderId="92" xfId="30" applyNumberFormat="1" applyFont="1" applyFill="1" applyBorder="1" applyAlignment="1" applyProtection="1">
      <alignment horizontal="right"/>
    </xf>
    <xf numFmtId="10" fontId="146" fillId="0" borderId="241" xfId="55" applyNumberFormat="1" applyFont="1" applyFill="1" applyBorder="1"/>
    <xf numFmtId="10" fontId="8" fillId="27" borderId="308" xfId="55" applyNumberFormat="1" applyFont="1" applyFill="1" applyBorder="1"/>
    <xf numFmtId="10" fontId="8" fillId="27" borderId="309" xfId="55" applyNumberFormat="1" applyFont="1" applyFill="1" applyBorder="1"/>
    <xf numFmtId="10" fontId="8" fillId="27" borderId="310" xfId="55" applyNumberFormat="1" applyFont="1" applyFill="1" applyBorder="1"/>
    <xf numFmtId="10" fontId="8" fillId="0" borderId="24" xfId="55" applyNumberFormat="1" applyFont="1" applyFill="1" applyBorder="1"/>
    <xf numFmtId="10" fontId="8" fillId="0" borderId="25" xfId="55" applyNumberFormat="1" applyFont="1" applyFill="1" applyBorder="1"/>
    <xf numFmtId="0" fontId="12" fillId="24" borderId="32" xfId="48" applyFont="1" applyFill="1" applyBorder="1" applyAlignment="1" applyProtection="1">
      <alignment horizontal="left"/>
      <protection locked="0"/>
    </xf>
    <xf numFmtId="0" fontId="22" fillId="30" borderId="124" xfId="48" applyFont="1" applyFill="1" applyBorder="1" applyAlignment="1">
      <alignment horizontal="left"/>
    </xf>
    <xf numFmtId="0" fontId="94" fillId="0" borderId="0" xfId="48" applyFont="1" applyAlignment="1">
      <alignment horizontal="left"/>
    </xf>
    <xf numFmtId="0" fontId="163" fillId="0" borderId="0" xfId="0" applyFont="1" applyAlignment="1">
      <alignment horizontal="left"/>
    </xf>
    <xf numFmtId="170" fontId="117" fillId="50" borderId="0" xfId="30" applyNumberFormat="1" applyFont="1" applyFill="1"/>
    <xf numFmtId="170" fontId="14" fillId="50" borderId="20" xfId="30" applyNumberFormat="1" applyFont="1" applyFill="1" applyBorder="1"/>
    <xf numFmtId="170" fontId="14" fillId="24" borderId="338" xfId="30" applyNumberFormat="1" applyFont="1" applyFill="1" applyBorder="1" applyAlignment="1" applyProtection="1">
      <alignment horizontal="right"/>
    </xf>
    <xf numFmtId="38" fontId="14" fillId="24" borderId="338" xfId="48" applyNumberFormat="1" applyFont="1" applyFill="1" applyBorder="1" applyAlignment="1">
      <alignment horizontal="right"/>
    </xf>
    <xf numFmtId="38" fontId="134" fillId="0" borderId="0" xfId="48" applyNumberFormat="1" applyFont="1" applyAlignment="1">
      <alignment horizontal="right"/>
    </xf>
    <xf numFmtId="8" fontId="14" fillId="24" borderId="63" xfId="48" applyNumberFormat="1" applyFont="1" applyFill="1" applyBorder="1" applyAlignment="1">
      <alignment horizontal="right"/>
    </xf>
    <xf numFmtId="0" fontId="12" fillId="51" borderId="0" xfId="48" applyFont="1" applyFill="1"/>
    <xf numFmtId="0" fontId="0" fillId="51" borderId="0" xfId="0" applyFill="1"/>
    <xf numFmtId="165" fontId="12" fillId="51" borderId="32" xfId="28" applyNumberFormat="1" applyFont="1" applyFill="1" applyBorder="1"/>
    <xf numFmtId="3" fontId="14" fillId="0" borderId="136" xfId="0" applyNumberFormat="1" applyFont="1" applyBorder="1"/>
    <xf numFmtId="0" fontId="76" fillId="51" borderId="0" xfId="0" applyFont="1" applyFill="1" applyAlignment="1">
      <alignment vertical="center"/>
    </xf>
    <xf numFmtId="2" fontId="0" fillId="0" borderId="210" xfId="0" applyNumberFormat="1" applyBorder="1" applyAlignment="1">
      <alignment vertical="center"/>
    </xf>
    <xf numFmtId="2" fontId="0" fillId="0" borderId="209" xfId="0" applyNumberFormat="1" applyBorder="1" applyAlignment="1">
      <alignment vertical="center"/>
    </xf>
    <xf numFmtId="2" fontId="166" fillId="0" borderId="210" xfId="0" applyNumberFormat="1" applyFont="1" applyBorder="1" applyAlignment="1">
      <alignment vertical="center"/>
    </xf>
    <xf numFmtId="2" fontId="166" fillId="0" borderId="209" xfId="0" applyNumberFormat="1" applyFont="1" applyBorder="1" applyAlignment="1">
      <alignment vertical="center"/>
    </xf>
    <xf numFmtId="2" fontId="0" fillId="0" borderId="0" xfId="0" applyNumberFormat="1" applyAlignment="1">
      <alignment vertical="center"/>
    </xf>
    <xf numFmtId="2" fontId="166" fillId="0" borderId="0" xfId="0" applyNumberFormat="1" applyFont="1" applyAlignment="1">
      <alignment vertical="center"/>
    </xf>
    <xf numFmtId="2" fontId="166" fillId="52" borderId="210" xfId="0" applyNumberFormat="1" applyFont="1" applyFill="1" applyBorder="1" applyAlignment="1">
      <alignment vertical="center"/>
    </xf>
    <xf numFmtId="2" fontId="166" fillId="52" borderId="209" xfId="0" applyNumberFormat="1" applyFont="1" applyFill="1" applyBorder="1" applyAlignment="1">
      <alignment vertical="center"/>
    </xf>
    <xf numFmtId="2" fontId="5" fillId="0" borderId="210" xfId="0" applyNumberFormat="1" applyFont="1" applyBorder="1" applyAlignment="1">
      <alignment vertical="center"/>
    </xf>
    <xf numFmtId="2" fontId="5" fillId="0" borderId="209" xfId="0" applyNumberFormat="1" applyFont="1" applyBorder="1" applyAlignment="1">
      <alignment vertical="center"/>
    </xf>
    <xf numFmtId="2" fontId="166" fillId="0" borderId="208" xfId="0" applyNumberFormat="1" applyFont="1" applyBorder="1" applyAlignment="1">
      <alignment vertical="center"/>
    </xf>
    <xf numFmtId="168" fontId="0" fillId="0" borderId="210" xfId="55" applyNumberFormat="1" applyFont="1" applyFill="1" applyBorder="1" applyAlignment="1">
      <alignment vertical="center"/>
    </xf>
    <xf numFmtId="168" fontId="0" fillId="24" borderId="210" xfId="55" applyNumberFormat="1" applyFont="1" applyFill="1" applyBorder="1" applyAlignment="1">
      <alignment vertical="center"/>
    </xf>
    <xf numFmtId="168" fontId="0" fillId="24" borderId="209" xfId="55" applyNumberFormat="1" applyFont="1" applyFill="1" applyBorder="1" applyAlignment="1">
      <alignment vertical="center"/>
    </xf>
    <xf numFmtId="168" fontId="166" fillId="24" borderId="210" xfId="55" applyNumberFormat="1" applyFont="1" applyFill="1" applyBorder="1" applyAlignment="1">
      <alignment vertical="center"/>
    </xf>
    <xf numFmtId="168" fontId="166" fillId="24" borderId="209" xfId="55" applyNumberFormat="1" applyFont="1" applyFill="1" applyBorder="1" applyAlignment="1">
      <alignment vertical="center"/>
    </xf>
    <xf numFmtId="168" fontId="0" fillId="0" borderId="0" xfId="55" applyNumberFormat="1" applyFont="1" applyFill="1" applyAlignment="1">
      <alignment vertical="center"/>
    </xf>
    <xf numFmtId="168" fontId="0" fillId="0" borderId="0" xfId="55" applyNumberFormat="1" applyFont="1" applyAlignment="1">
      <alignment vertical="center"/>
    </xf>
    <xf numFmtId="168" fontId="167" fillId="0" borderId="0" xfId="60" applyNumberFormat="1" applyFont="1"/>
    <xf numFmtId="168" fontId="166" fillId="0" borderId="0" xfId="55" applyNumberFormat="1" applyFont="1" applyAlignment="1">
      <alignment vertical="center"/>
    </xf>
    <xf numFmtId="0" fontId="0" fillId="0" borderId="209" xfId="0" applyBorder="1" applyAlignment="1">
      <alignment vertical="center"/>
    </xf>
    <xf numFmtId="180" fontId="7" fillId="0" borderId="210" xfId="0" applyNumberFormat="1" applyFont="1" applyBorder="1" applyAlignment="1">
      <alignment vertical="center"/>
    </xf>
    <xf numFmtId="165" fontId="0" fillId="0" borderId="208" xfId="28" applyNumberFormat="1" applyFont="1" applyBorder="1" applyAlignment="1">
      <alignment vertical="center"/>
    </xf>
    <xf numFmtId="165" fontId="0" fillId="0" borderId="209" xfId="28" applyNumberFormat="1" applyFont="1" applyBorder="1" applyAlignment="1">
      <alignment vertical="center"/>
    </xf>
    <xf numFmtId="165" fontId="0" fillId="53" borderId="208" xfId="28" applyNumberFormat="1" applyFont="1" applyFill="1" applyBorder="1" applyAlignment="1">
      <alignment vertical="center"/>
    </xf>
    <xf numFmtId="165" fontId="0" fillId="53" borderId="209" xfId="28" applyNumberFormat="1" applyFont="1" applyFill="1" applyBorder="1" applyAlignment="1">
      <alignment vertical="center"/>
    </xf>
    <xf numFmtId="181" fontId="7" fillId="0" borderId="210" xfId="55" applyNumberFormat="1" applyFont="1" applyFill="1" applyBorder="1" applyAlignment="1">
      <alignment vertical="center"/>
    </xf>
    <xf numFmtId="181" fontId="0" fillId="0" borderId="93" xfId="55" applyNumberFormat="1" applyFont="1" applyFill="1" applyBorder="1" applyAlignment="1">
      <alignment vertical="center"/>
    </xf>
    <xf numFmtId="165" fontId="0" fillId="0" borderId="339" xfId="28" applyNumberFormat="1" applyFont="1" applyFill="1" applyBorder="1" applyAlignment="1">
      <alignment vertical="center"/>
    </xf>
    <xf numFmtId="165" fontId="0" fillId="0" borderId="341" xfId="28" applyNumberFormat="1" applyFont="1" applyFill="1" applyBorder="1" applyAlignment="1">
      <alignment vertical="center"/>
    </xf>
    <xf numFmtId="165" fontId="0" fillId="0" borderId="342" xfId="28" applyNumberFormat="1" applyFont="1" applyFill="1" applyBorder="1" applyAlignment="1">
      <alignment vertical="center"/>
    </xf>
    <xf numFmtId="0" fontId="166" fillId="0" borderId="0" xfId="0" applyFont="1"/>
    <xf numFmtId="0" fontId="0" fillId="0" borderId="339" xfId="0" applyBorder="1"/>
    <xf numFmtId="0" fontId="0" fillId="0" borderId="341" xfId="0" applyBorder="1"/>
    <xf numFmtId="0" fontId="0" fillId="0" borderId="342" xfId="0" applyBorder="1"/>
    <xf numFmtId="10" fontId="14" fillId="0" borderId="136" xfId="0" applyNumberFormat="1" applyFont="1" applyBorder="1"/>
    <xf numFmtId="0" fontId="168" fillId="0" borderId="159" xfId="49" applyFont="1" applyBorder="1" applyAlignment="1">
      <alignment horizontal="center" vertical="top"/>
    </xf>
    <xf numFmtId="0" fontId="63" fillId="0" borderId="104" xfId="49" applyFont="1" applyBorder="1" applyAlignment="1">
      <alignment horizontal="center" vertical="top"/>
    </xf>
    <xf numFmtId="38" fontId="97" fillId="0" borderId="0" xfId="49" applyNumberFormat="1" applyFont="1"/>
    <xf numFmtId="0" fontId="98" fillId="0" borderId="104" xfId="49" applyFont="1" applyBorder="1" applyAlignment="1">
      <alignment horizontal="center" vertical="top"/>
    </xf>
    <xf numFmtId="6" fontId="99" fillId="0" borderId="104" xfId="49" applyNumberFormat="1" applyFont="1" applyBorder="1"/>
    <xf numFmtId="0" fontId="63" fillId="0" borderId="343" xfId="49" applyFont="1" applyBorder="1" applyAlignment="1">
      <alignment horizontal="center" vertical="top"/>
    </xf>
    <xf numFmtId="0" fontId="66" fillId="0" borderId="344" xfId="0" applyFont="1" applyBorder="1" applyAlignment="1">
      <alignment horizontal="center"/>
    </xf>
    <xf numFmtId="0" fontId="63" fillId="0" borderId="345" xfId="0" applyFont="1" applyBorder="1" applyAlignment="1">
      <alignment horizontal="center"/>
    </xf>
    <xf numFmtId="0" fontId="63" fillId="0" borderId="346" xfId="49" applyFont="1" applyBorder="1" applyAlignment="1">
      <alignment horizontal="center" vertical="top"/>
    </xf>
    <xf numFmtId="0" fontId="66" fillId="0" borderId="347" xfId="0" applyFont="1" applyBorder="1" applyAlignment="1">
      <alignment horizontal="center"/>
    </xf>
    <xf numFmtId="0" fontId="63" fillId="0" borderId="348" xfId="0" applyFont="1" applyBorder="1" applyAlignment="1">
      <alignment horizontal="center"/>
    </xf>
    <xf numFmtId="1" fontId="63" fillId="0" borderId="173" xfId="0" applyNumberFormat="1" applyFont="1" applyBorder="1" applyAlignment="1">
      <alignment horizontal="center"/>
    </xf>
    <xf numFmtId="49" fontId="63" fillId="0" borderId="173" xfId="0" applyNumberFormat="1" applyFont="1" applyBorder="1" applyAlignment="1">
      <alignment horizontal="center"/>
    </xf>
    <xf numFmtId="175" fontId="63" fillId="0" borderId="173" xfId="0" applyNumberFormat="1" applyFont="1" applyBorder="1" applyAlignment="1">
      <alignment horizontal="center"/>
    </xf>
    <xf numFmtId="0" fontId="63" fillId="0" borderId="175" xfId="0" applyFont="1" applyBorder="1" applyAlignment="1">
      <alignment horizontal="center"/>
    </xf>
    <xf numFmtId="185" fontId="64" fillId="0" borderId="173" xfId="0" applyNumberFormat="1" applyFont="1" applyBorder="1" applyAlignment="1">
      <alignment horizontal="center"/>
    </xf>
    <xf numFmtId="1" fontId="64" fillId="0" borderId="173" xfId="0" applyNumberFormat="1" applyFont="1" applyBorder="1" applyAlignment="1">
      <alignment horizontal="center"/>
    </xf>
    <xf numFmtId="38" fontId="169" fillId="0" borderId="173" xfId="0" applyNumberFormat="1" applyFont="1" applyBorder="1" applyAlignment="1">
      <alignment horizontal="center"/>
    </xf>
    <xf numFmtId="165" fontId="2" fillId="0" borderId="175" xfId="28" applyNumberFormat="1" applyFont="1" applyFill="1" applyBorder="1"/>
    <xf numFmtId="10" fontId="63" fillId="0" borderId="173" xfId="0" applyNumberFormat="1" applyFont="1" applyBorder="1" applyAlignment="1">
      <alignment horizontal="center"/>
    </xf>
    <xf numFmtId="6" fontId="2" fillId="0" borderId="175" xfId="49" applyNumberFormat="1" applyFont="1" applyBorder="1"/>
    <xf numFmtId="38" fontId="64" fillId="0" borderId="173" xfId="0" applyNumberFormat="1" applyFont="1" applyBorder="1" applyAlignment="1">
      <alignment horizontal="center"/>
    </xf>
    <xf numFmtId="38" fontId="63" fillId="0" borderId="175" xfId="49" applyNumberFormat="1" applyFont="1" applyBorder="1"/>
    <xf numFmtId="43" fontId="64" fillId="0" borderId="173" xfId="28" applyFont="1" applyFill="1" applyBorder="1" applyAlignment="1">
      <alignment horizontal="center"/>
    </xf>
    <xf numFmtId="6" fontId="170" fillId="0" borderId="0" xfId="28" applyNumberFormat="1" applyFont="1"/>
    <xf numFmtId="10" fontId="63" fillId="0" borderId="173" xfId="55" applyNumberFormat="1" applyFont="1" applyFill="1" applyBorder="1"/>
    <xf numFmtId="6" fontId="170" fillId="0" borderId="0" xfId="62" applyNumberFormat="1" applyFont="1"/>
    <xf numFmtId="8" fontId="64" fillId="0" borderId="173" xfId="0" applyNumberFormat="1" applyFont="1" applyBorder="1"/>
    <xf numFmtId="0" fontId="64" fillId="0" borderId="175" xfId="49" applyFont="1" applyBorder="1"/>
    <xf numFmtId="38" fontId="64" fillId="0" borderId="15" xfId="49" applyNumberFormat="1" applyFont="1" applyBorder="1"/>
    <xf numFmtId="0" fontId="63" fillId="0" borderId="349" xfId="49" applyFont="1" applyBorder="1" applyAlignment="1">
      <alignment horizontal="center" vertical="top"/>
    </xf>
    <xf numFmtId="8" fontId="64" fillId="0" borderId="234" xfId="0" applyNumberFormat="1" applyFont="1" applyBorder="1"/>
    <xf numFmtId="6" fontId="64" fillId="0" borderId="234" xfId="0" applyNumberFormat="1" applyFont="1" applyBorder="1"/>
    <xf numFmtId="38" fontId="64" fillId="0" borderId="235" xfId="49" applyNumberFormat="1" applyFont="1" applyBorder="1"/>
    <xf numFmtId="6" fontId="64" fillId="53" borderId="173" xfId="0" applyNumberFormat="1" applyFont="1" applyFill="1" applyBorder="1"/>
    <xf numFmtId="3" fontId="64" fillId="53" borderId="173" xfId="0" applyNumberFormat="1" applyFont="1" applyFill="1" applyBorder="1"/>
    <xf numFmtId="6" fontId="64" fillId="53" borderId="173" xfId="49" applyNumberFormat="1" applyFont="1" applyFill="1" applyBorder="1"/>
    <xf numFmtId="0" fontId="171" fillId="0" borderId="32" xfId="48" applyFont="1" applyBorder="1" applyAlignment="1" applyProtection="1">
      <alignment horizontal="center"/>
      <protection locked="0"/>
    </xf>
    <xf numFmtId="0" fontId="171" fillId="0" borderId="32" xfId="48" applyFont="1" applyBorder="1" applyAlignment="1">
      <alignment horizontal="center"/>
    </xf>
    <xf numFmtId="170" fontId="14" fillId="51" borderId="20" xfId="30" applyNumberFormat="1" applyFont="1" applyFill="1" applyBorder="1"/>
    <xf numFmtId="170" fontId="14" fillId="51" borderId="21" xfId="30" applyNumberFormat="1" applyFont="1" applyFill="1" applyBorder="1"/>
    <xf numFmtId="165" fontId="14" fillId="51" borderId="20" xfId="28" applyNumberFormat="1" applyFont="1" applyFill="1" applyBorder="1"/>
    <xf numFmtId="165" fontId="14" fillId="51" borderId="21" xfId="28" applyNumberFormat="1" applyFont="1" applyFill="1" applyBorder="1"/>
    <xf numFmtId="0" fontId="172" fillId="0" borderId="32" xfId="48" applyFont="1" applyBorder="1" applyAlignment="1" applyProtection="1">
      <alignment horizontal="left"/>
      <protection locked="0"/>
    </xf>
    <xf numFmtId="0" fontId="172" fillId="51" borderId="32" xfId="48" applyFont="1" applyFill="1" applyBorder="1" applyAlignment="1" applyProtection="1">
      <alignment horizontal="left"/>
      <protection locked="0"/>
    </xf>
    <xf numFmtId="44" fontId="144" fillId="51" borderId="0" xfId="0" applyNumberFormat="1" applyFont="1" applyFill="1"/>
    <xf numFmtId="3" fontId="14" fillId="0" borderId="350" xfId="28" applyNumberFormat="1" applyFont="1" applyBorder="1"/>
    <xf numFmtId="165" fontId="81" fillId="51" borderId="10" xfId="28" applyNumberFormat="1" applyFont="1" applyFill="1" applyBorder="1"/>
    <xf numFmtId="0" fontId="172" fillId="0" borderId="0" xfId="0" applyFont="1"/>
    <xf numFmtId="0" fontId="85" fillId="0" borderId="138" xfId="0" applyFont="1" applyBorder="1" applyAlignment="1">
      <alignment horizontal="right" vertical="center"/>
    </xf>
    <xf numFmtId="0" fontId="2" fillId="0" borderId="0" xfId="0" quotePrefix="1" applyFont="1"/>
    <xf numFmtId="0" fontId="14" fillId="51" borderId="0" xfId="48" applyFont="1" applyFill="1" applyAlignment="1" applyProtection="1">
      <alignment horizontal="center"/>
      <protection locked="0"/>
    </xf>
    <xf numFmtId="165" fontId="128" fillId="51" borderId="0" xfId="28" applyNumberFormat="1" applyFont="1" applyFill="1" applyBorder="1"/>
    <xf numFmtId="0" fontId="34" fillId="0" borderId="0" xfId="46" applyFont="1" applyAlignment="1">
      <alignment horizontal="right"/>
    </xf>
    <xf numFmtId="0" fontId="34" fillId="0" borderId="0" xfId="46" applyFont="1"/>
    <xf numFmtId="170" fontId="2" fillId="30" borderId="120" xfId="28" applyNumberFormat="1" applyFont="1" applyFill="1" applyBorder="1"/>
    <xf numFmtId="10" fontId="119" fillId="34" borderId="230" xfId="55" applyNumberFormat="1" applyFont="1" applyFill="1" applyBorder="1" applyProtection="1"/>
    <xf numFmtId="0" fontId="7" fillId="0" borderId="0" xfId="0" quotePrefix="1" applyFont="1" applyAlignment="1">
      <alignment horizontal="left"/>
    </xf>
    <xf numFmtId="0" fontId="7" fillId="0" borderId="0" xfId="38" applyAlignment="1" applyProtection="1"/>
    <xf numFmtId="170" fontId="2" fillId="31" borderId="173" xfId="30" applyNumberFormat="1" applyFont="1" applyFill="1" applyBorder="1"/>
    <xf numFmtId="170" fontId="2" fillId="0" borderId="175" xfId="30" applyNumberFormat="1" applyFont="1" applyFill="1" applyBorder="1"/>
    <xf numFmtId="170" fontId="2" fillId="24" borderId="173" xfId="30" applyNumberFormat="1" applyFont="1" applyFill="1" applyBorder="1"/>
    <xf numFmtId="38" fontId="64" fillId="53" borderId="175" xfId="49" applyNumberFormat="1" applyFont="1" applyFill="1" applyBorder="1"/>
    <xf numFmtId="0" fontId="2" fillId="0" borderId="0" xfId="0" applyFont="1" applyAlignment="1">
      <alignment horizontal="center"/>
    </xf>
    <xf numFmtId="0" fontId="175" fillId="0" borderId="351" xfId="67" applyFont="1" applyBorder="1" applyAlignment="1">
      <alignment vertical="center"/>
    </xf>
    <xf numFmtId="165" fontId="175" fillId="0" borderId="117" xfId="28" applyNumberFormat="1" applyFont="1" applyFill="1" applyBorder="1" applyAlignment="1">
      <alignment vertical="center"/>
    </xf>
    <xf numFmtId="0" fontId="7" fillId="0" borderId="0" xfId="0" applyFont="1" applyAlignment="1">
      <alignment horizontal="left"/>
    </xf>
    <xf numFmtId="0" fontId="8" fillId="0" borderId="39" xfId="0" applyFont="1" applyBorder="1" applyAlignment="1">
      <alignment horizontal="centerContinuous"/>
    </xf>
    <xf numFmtId="0" fontId="7" fillId="0" borderId="39" xfId="0" applyFont="1" applyBorder="1" applyAlignment="1">
      <alignment horizontal="centerContinuous"/>
    </xf>
    <xf numFmtId="0" fontId="7" fillId="0" borderId="40" xfId="0" applyFont="1" applyBorder="1" applyAlignment="1">
      <alignment horizontal="centerContinuous"/>
    </xf>
    <xf numFmtId="0" fontId="7" fillId="0" borderId="0" xfId="0" applyFont="1" applyAlignment="1">
      <alignment horizontal="centerContinuous"/>
    </xf>
    <xf numFmtId="0" fontId="7" fillId="0" borderId="29" xfId="0" applyFont="1" applyBorder="1" applyAlignment="1">
      <alignment horizontal="centerContinuous"/>
    </xf>
    <xf numFmtId="0" fontId="176" fillId="0" borderId="354" xfId="38" applyFont="1" applyBorder="1" applyAlignment="1" applyProtection="1">
      <alignment horizontal="center"/>
    </xf>
    <xf numFmtId="0" fontId="8" fillId="0" borderId="355" xfId="48" applyFont="1" applyBorder="1" applyAlignment="1">
      <alignment horizontal="center"/>
    </xf>
    <xf numFmtId="0" fontId="8" fillId="0" borderId="354" xfId="48" applyFont="1" applyBorder="1" applyAlignment="1">
      <alignment horizontal="center"/>
    </xf>
    <xf numFmtId="0" fontId="8" fillId="0" borderId="354" xfId="48" applyFont="1" applyBorder="1" applyAlignment="1">
      <alignment horizontal="centerContinuous"/>
    </xf>
    <xf numFmtId="38" fontId="8" fillId="0" borderId="355" xfId="48" applyNumberFormat="1" applyFont="1" applyBorder="1" applyAlignment="1">
      <alignment horizontal="centerContinuous"/>
    </xf>
    <xf numFmtId="0" fontId="2" fillId="0" borderId="28" xfId="0" applyFont="1" applyBorder="1"/>
    <xf numFmtId="0" fontId="2" fillId="0" borderId="0" xfId="48" applyFont="1" applyAlignment="1">
      <alignment horizontal="centerContinuous"/>
    </xf>
    <xf numFmtId="0" fontId="10" fillId="0" borderId="0" xfId="48" applyFont="1" applyAlignment="1">
      <alignment horizontal="left"/>
    </xf>
    <xf numFmtId="0" fontId="2" fillId="0" borderId="29" xfId="0" applyFont="1" applyBorder="1"/>
    <xf numFmtId="0" fontId="8" fillId="34" borderId="152" xfId="0" applyFont="1" applyFill="1" applyBorder="1" applyAlignment="1">
      <alignment horizontal="center" vertical="center"/>
    </xf>
    <xf numFmtId="0" fontId="7" fillId="0" borderId="0" xfId="0" applyFont="1" applyAlignment="1">
      <alignment horizontal="left" vertical="center"/>
    </xf>
    <xf numFmtId="0" fontId="2" fillId="0" borderId="29" xfId="0" applyFont="1" applyBorder="1" applyAlignment="1">
      <alignment vertical="center"/>
    </xf>
    <xf numFmtId="165" fontId="12" fillId="53" borderId="32" xfId="28" applyNumberFormat="1" applyFont="1" applyFill="1" applyBorder="1"/>
    <xf numFmtId="0" fontId="2" fillId="0" borderId="0" xfId="48" applyFont="1"/>
    <xf numFmtId="0" fontId="2" fillId="0" borderId="0" xfId="48" applyFont="1" applyAlignment="1">
      <alignment horizontal="center"/>
    </xf>
    <xf numFmtId="38" fontId="21" fillId="0" borderId="0" xfId="48" applyNumberFormat="1" applyFont="1"/>
    <xf numFmtId="38" fontId="21" fillId="0" borderId="29" xfId="48" applyNumberFormat="1" applyFont="1" applyBorder="1"/>
    <xf numFmtId="38" fontId="2" fillId="0" borderId="0" xfId="0" applyNumberFormat="1" applyFont="1"/>
    <xf numFmtId="38" fontId="2" fillId="0" borderId="29" xfId="0" applyNumberFormat="1" applyFont="1" applyBorder="1"/>
    <xf numFmtId="170" fontId="22" fillId="30" borderId="32" xfId="28" applyNumberFormat="1" applyFont="1" applyFill="1" applyBorder="1"/>
    <xf numFmtId="170" fontId="22" fillId="30" borderId="33" xfId="28" applyNumberFormat="1" applyFont="1" applyFill="1" applyBorder="1"/>
    <xf numFmtId="38" fontId="2" fillId="0" borderId="0" xfId="48" applyNumberFormat="1" applyFont="1"/>
    <xf numFmtId="38" fontId="2" fillId="0" borderId="29" xfId="48" applyNumberFormat="1" applyFont="1" applyBorder="1"/>
    <xf numFmtId="0" fontId="22" fillId="0" borderId="0" xfId="48" applyFont="1"/>
    <xf numFmtId="0" fontId="2" fillId="0" borderId="28" xfId="48" applyFont="1" applyBorder="1" applyAlignment="1">
      <alignment horizontal="center"/>
    </xf>
    <xf numFmtId="38" fontId="12" fillId="53" borderId="32" xfId="28" applyNumberFormat="1" applyFont="1" applyFill="1" applyBorder="1" applyProtection="1"/>
    <xf numFmtId="38" fontId="2" fillId="0" borderId="15" xfId="0" applyNumberFormat="1" applyFont="1" applyBorder="1" applyAlignment="1">
      <alignment horizontal="right"/>
    </xf>
    <xf numFmtId="38" fontId="2" fillId="0" borderId="3" xfId="48" applyNumberFormat="1" applyFont="1" applyBorder="1"/>
    <xf numFmtId="38" fontId="2" fillId="0" borderId="31" xfId="0" applyNumberFormat="1" applyFont="1" applyBorder="1" applyAlignment="1">
      <alignment horizontal="right"/>
    </xf>
    <xf numFmtId="38" fontId="2" fillId="0" borderId="29" xfId="0" applyNumberFormat="1" applyFont="1" applyBorder="1" applyAlignment="1">
      <alignment horizontal="right"/>
    </xf>
    <xf numFmtId="38" fontId="2" fillId="0" borderId="31" xfId="48" applyNumberFormat="1" applyFont="1" applyBorder="1"/>
    <xf numFmtId="38" fontId="2" fillId="0" borderId="0" xfId="48" applyNumberFormat="1" applyFont="1" applyAlignment="1">
      <alignment horizontal="left"/>
    </xf>
    <xf numFmtId="38" fontId="2" fillId="0" borderId="29" xfId="48" applyNumberFormat="1" applyFont="1" applyBorder="1" applyAlignment="1">
      <alignment horizontal="left"/>
    </xf>
    <xf numFmtId="0" fontId="2" fillId="0" borderId="0" xfId="0" applyFont="1" applyAlignment="1">
      <alignment vertical="center" wrapText="1"/>
    </xf>
    <xf numFmtId="165" fontId="2" fillId="0" borderId="0" xfId="28" applyNumberFormat="1" applyFont="1" applyFill="1" applyBorder="1"/>
    <xf numFmtId="38" fontId="2" fillId="0" borderId="0" xfId="48" applyNumberFormat="1" applyFont="1" applyAlignment="1">
      <alignment horizontal="centerContinuous"/>
    </xf>
    <xf numFmtId="0" fontId="2" fillId="0" borderId="0" xfId="52" applyFont="1" applyAlignment="1">
      <alignment horizontal="center"/>
    </xf>
    <xf numFmtId="0" fontId="2" fillId="0" borderId="0" xfId="52" quotePrefix="1" applyFont="1" applyAlignment="1">
      <alignment horizontal="center"/>
    </xf>
    <xf numFmtId="0" fontId="2" fillId="0" borderId="0" xfId="48" applyFont="1" applyAlignment="1" applyProtection="1">
      <alignment horizontal="center"/>
      <protection locked="0"/>
    </xf>
    <xf numFmtId="0" fontId="2" fillId="0" borderId="28" xfId="48" applyFont="1" applyBorder="1" applyAlignment="1">
      <alignment horizontal="left"/>
    </xf>
    <xf numFmtId="0" fontId="2" fillId="0" borderId="30" xfId="0" applyFont="1" applyBorder="1"/>
    <xf numFmtId="0" fontId="2" fillId="0" borderId="3" xfId="0" applyFont="1" applyBorder="1"/>
    <xf numFmtId="0" fontId="2" fillId="0" borderId="82" xfId="48" applyFont="1" applyBorder="1" applyAlignment="1">
      <alignment horizontal="centerContinuous"/>
    </xf>
    <xf numFmtId="0" fontId="2" fillId="0" borderId="82" xfId="0" applyFont="1" applyBorder="1"/>
    <xf numFmtId="0" fontId="2" fillId="0" borderId="73" xfId="48" applyFont="1" applyBorder="1" applyAlignment="1">
      <alignment horizontal="centerContinuous"/>
    </xf>
    <xf numFmtId="0" fontId="2" fillId="0" borderId="104" xfId="0" applyFont="1" applyBorder="1"/>
    <xf numFmtId="170" fontId="14" fillId="30" borderId="62" xfId="48" applyNumberFormat="1" applyFont="1" applyFill="1" applyBorder="1" applyAlignment="1">
      <alignment horizontal="right"/>
    </xf>
    <xf numFmtId="170" fontId="8" fillId="30" borderId="62" xfId="48" applyNumberFormat="1" applyFont="1" applyFill="1" applyBorder="1" applyAlignment="1">
      <alignment horizontal="right"/>
    </xf>
    <xf numFmtId="38" fontId="2" fillId="0" borderId="0" xfId="48" applyNumberFormat="1" applyFont="1" applyAlignment="1">
      <alignment horizontal="center"/>
    </xf>
    <xf numFmtId="0" fontId="2" fillId="0" borderId="65" xfId="48" applyFont="1" applyBorder="1" applyAlignment="1">
      <alignment horizontal="center"/>
    </xf>
    <xf numFmtId="0" fontId="2" fillId="0" borderId="65" xfId="0" applyFont="1" applyBorder="1"/>
    <xf numFmtId="0" fontId="2" fillId="0" borderId="74" xfId="0" applyFont="1" applyBorder="1"/>
    <xf numFmtId="0" fontId="2" fillId="0" borderId="41" xfId="0" applyFont="1" applyBorder="1"/>
    <xf numFmtId="0" fontId="2" fillId="0" borderId="75" xfId="0" applyFont="1" applyBorder="1"/>
    <xf numFmtId="0" fontId="8" fillId="54" borderId="121" xfId="48" applyFont="1" applyFill="1" applyBorder="1"/>
    <xf numFmtId="6" fontId="14" fillId="24" borderId="36" xfId="48" applyNumberFormat="1" applyFont="1" applyFill="1" applyBorder="1" applyAlignment="1">
      <alignment horizontal="right"/>
    </xf>
    <xf numFmtId="165" fontId="14" fillId="24" borderId="36" xfId="28" applyNumberFormat="1" applyFont="1" applyFill="1" applyBorder="1" applyAlignment="1" applyProtection="1">
      <alignment horizontal="right"/>
    </xf>
    <xf numFmtId="165" fontId="14" fillId="24" borderId="35" xfId="28" applyNumberFormat="1" applyFont="1" applyFill="1" applyBorder="1" applyAlignment="1" applyProtection="1">
      <alignment horizontal="right"/>
    </xf>
    <xf numFmtId="0" fontId="7" fillId="0" borderId="0" xfId="48" applyFont="1" applyAlignment="1">
      <alignment horizontal="center"/>
    </xf>
    <xf numFmtId="0" fontId="2" fillId="0" borderId="241" xfId="48" applyFont="1" applyBorder="1" applyAlignment="1">
      <alignment horizontal="center"/>
    </xf>
    <xf numFmtId="165" fontId="8" fillId="30" borderId="62" xfId="28" applyNumberFormat="1" applyFont="1" applyFill="1" applyBorder="1" applyAlignment="1" applyProtection="1">
      <alignment horizontal="right"/>
    </xf>
    <xf numFmtId="43" fontId="8" fillId="0" borderId="0" xfId="28" applyFont="1" applyFill="1" applyBorder="1" applyAlignment="1" applyProtection="1">
      <alignment horizontal="right"/>
    </xf>
    <xf numFmtId="0" fontId="34" fillId="54" borderId="121" xfId="48" applyFont="1" applyFill="1" applyBorder="1"/>
    <xf numFmtId="43" fontId="8" fillId="30" borderId="62" xfId="28" applyFont="1" applyFill="1" applyBorder="1" applyAlignment="1" applyProtection="1">
      <alignment horizontal="right"/>
    </xf>
    <xf numFmtId="0" fontId="7" fillId="0" borderId="0" xfId="51" applyFont="1"/>
    <xf numFmtId="0" fontId="7" fillId="0" borderId="0" xfId="46" applyFont="1"/>
    <xf numFmtId="0" fontId="2" fillId="0" borderId="0" xfId="46" applyFont="1"/>
    <xf numFmtId="0" fontId="119" fillId="0" borderId="0" xfId="46" applyFont="1"/>
    <xf numFmtId="170" fontId="2" fillId="0" borderId="0" xfId="30" applyNumberFormat="1" applyFont="1"/>
    <xf numFmtId="0" fontId="14" fillId="30" borderId="112" xfId="48" applyFont="1" applyFill="1" applyBorder="1" applyAlignment="1">
      <alignment horizontal="center"/>
    </xf>
    <xf numFmtId="0" fontId="14" fillId="30" borderId="110" xfId="48" applyFont="1" applyFill="1" applyBorder="1" applyAlignment="1">
      <alignment horizontal="center"/>
    </xf>
    <xf numFmtId="170" fontId="8" fillId="30" borderId="32" xfId="30" applyNumberFormat="1" applyFont="1" applyFill="1" applyBorder="1" applyAlignment="1" applyProtection="1">
      <alignment horizontal="right"/>
    </xf>
    <xf numFmtId="9" fontId="8" fillId="30" borderId="32" xfId="55" applyFont="1" applyFill="1" applyBorder="1" applyAlignment="1" applyProtection="1">
      <alignment horizontal="right"/>
    </xf>
    <xf numFmtId="170" fontId="2" fillId="0" borderId="0" xfId="30" applyNumberFormat="1" applyFont="1" applyFill="1"/>
    <xf numFmtId="170" fontId="2" fillId="0" borderId="0" xfId="30" applyNumberFormat="1" applyFont="1" applyFill="1" applyBorder="1"/>
    <xf numFmtId="0" fontId="8" fillId="0" borderId="12" xfId="46" applyFont="1" applyBorder="1" applyAlignment="1">
      <alignment horizontal="center"/>
    </xf>
    <xf numFmtId="0" fontId="14" fillId="0" borderId="13" xfId="46" applyFont="1" applyBorder="1"/>
    <xf numFmtId="10" fontId="8" fillId="30" borderId="125" xfId="55" applyNumberFormat="1" applyFont="1" applyFill="1" applyBorder="1"/>
    <xf numFmtId="10" fontId="8" fillId="30" borderId="126" xfId="55" applyNumberFormat="1" applyFont="1" applyFill="1" applyBorder="1"/>
    <xf numFmtId="10" fontId="8" fillId="30" borderId="356" xfId="55" applyNumberFormat="1" applyFont="1" applyFill="1" applyBorder="1"/>
    <xf numFmtId="9" fontId="2" fillId="0" borderId="0" xfId="55" applyFont="1" applyFill="1" applyBorder="1"/>
    <xf numFmtId="49" fontId="14" fillId="0" borderId="32" xfId="48" applyNumberFormat="1" applyFont="1" applyBorder="1" applyAlignment="1" applyProtection="1">
      <alignment horizontal="center"/>
      <protection locked="0"/>
    </xf>
    <xf numFmtId="0" fontId="29" fillId="0" borderId="112" xfId="48" applyFont="1" applyBorder="1" applyAlignment="1">
      <alignment horizontal="center"/>
    </xf>
    <xf numFmtId="0" fontId="29" fillId="0" borderId="304" xfId="48" applyFont="1" applyBorder="1" applyAlignment="1">
      <alignment horizontal="center"/>
    </xf>
    <xf numFmtId="0" fontId="8" fillId="0" borderId="109" xfId="48" applyFont="1" applyBorder="1" applyAlignment="1">
      <alignment horizontal="center"/>
    </xf>
    <xf numFmtId="0" fontId="0" fillId="0" borderId="0" xfId="0" applyAlignment="1">
      <alignment horizontal="right"/>
    </xf>
    <xf numFmtId="44" fontId="144" fillId="51" borderId="0" xfId="0" applyNumberFormat="1" applyFont="1" applyFill="1" applyProtection="1">
      <protection locked="0"/>
    </xf>
    <xf numFmtId="165" fontId="12" fillId="24" borderId="32" xfId="28" applyNumberFormat="1" applyFont="1" applyFill="1" applyBorder="1" applyProtection="1"/>
    <xf numFmtId="165" fontId="12" fillId="24" borderId="281" xfId="28" applyNumberFormat="1" applyFont="1" applyFill="1" applyBorder="1" applyProtection="1"/>
    <xf numFmtId="42" fontId="22" fillId="27" borderId="32" xfId="30" applyNumberFormat="1" applyFont="1" applyFill="1" applyBorder="1" applyProtection="1"/>
    <xf numFmtId="42" fontId="22" fillId="27" borderId="281" xfId="30" applyNumberFormat="1" applyFont="1" applyFill="1" applyBorder="1" applyProtection="1"/>
    <xf numFmtId="44" fontId="22" fillId="27" borderId="32" xfId="30" applyFont="1" applyFill="1" applyBorder="1" applyProtection="1"/>
    <xf numFmtId="44" fontId="22" fillId="27" borderId="281" xfId="30" applyFont="1" applyFill="1" applyBorder="1" applyProtection="1"/>
    <xf numFmtId="38" fontId="12" fillId="0" borderId="15" xfId="28" applyNumberFormat="1" applyFont="1" applyFill="1" applyBorder="1" applyProtection="1"/>
    <xf numFmtId="170" fontId="22" fillId="27" borderId="133" xfId="30" applyNumberFormat="1" applyFont="1" applyFill="1" applyBorder="1" applyProtection="1"/>
    <xf numFmtId="170" fontId="22" fillId="27" borderId="283" xfId="30" applyNumberFormat="1" applyFont="1" applyFill="1" applyBorder="1" applyProtection="1"/>
    <xf numFmtId="165" fontId="12" fillId="43" borderId="32" xfId="28" applyNumberFormat="1" applyFont="1" applyFill="1" applyBorder="1" applyProtection="1"/>
    <xf numFmtId="165" fontId="12" fillId="43" borderId="274" xfId="28" applyNumberFormat="1" applyFont="1" applyFill="1" applyBorder="1" applyProtection="1"/>
    <xf numFmtId="165" fontId="12" fillId="43" borderId="123" xfId="28" applyNumberFormat="1" applyFont="1" applyFill="1" applyBorder="1" applyProtection="1"/>
    <xf numFmtId="165" fontId="12" fillId="0" borderId="0" xfId="28" applyNumberFormat="1" applyFont="1" applyFill="1" applyBorder="1" applyProtection="1"/>
    <xf numFmtId="165" fontId="12" fillId="0" borderId="15" xfId="28" applyNumberFormat="1" applyFont="1" applyFill="1" applyBorder="1" applyProtection="1"/>
    <xf numFmtId="38" fontId="12" fillId="0" borderId="0" xfId="28" applyNumberFormat="1" applyFont="1" applyFill="1" applyBorder="1" applyAlignment="1" applyProtection="1">
      <alignment horizontal="right"/>
    </xf>
    <xf numFmtId="38" fontId="12" fillId="0" borderId="15" xfId="28" applyNumberFormat="1" applyFont="1" applyFill="1" applyBorder="1" applyAlignment="1" applyProtection="1">
      <alignment horizontal="right"/>
    </xf>
    <xf numFmtId="0" fontId="17" fillId="0" borderId="0" xfId="48" applyFont="1" applyAlignment="1" applyProtection="1">
      <alignment horizontal="left"/>
      <protection locked="0"/>
    </xf>
    <xf numFmtId="0" fontId="5" fillId="0" borderId="0" xfId="0" applyFont="1" applyProtection="1">
      <protection locked="0"/>
    </xf>
    <xf numFmtId="165" fontId="12" fillId="24" borderId="32" xfId="28" applyNumberFormat="1" applyFont="1" applyFill="1" applyBorder="1" applyProtection="1">
      <protection locked="0"/>
    </xf>
    <xf numFmtId="164" fontId="17" fillId="0" borderId="0" xfId="48" applyNumberFormat="1" applyFont="1" applyAlignment="1" applyProtection="1">
      <alignment horizontal="left"/>
      <protection locked="0"/>
    </xf>
    <xf numFmtId="0" fontId="6" fillId="0" borderId="0" xfId="48" applyFont="1" applyProtection="1">
      <protection locked="0"/>
    </xf>
    <xf numFmtId="164" fontId="11" fillId="0" borderId="0" xfId="0" applyNumberFormat="1" applyFont="1" applyProtection="1">
      <protection locked="0"/>
    </xf>
    <xf numFmtId="164" fontId="11" fillId="0" borderId="0" xfId="0" applyNumberFormat="1" applyFont="1" applyAlignment="1" applyProtection="1">
      <alignment horizontal="left"/>
      <protection locked="0"/>
    </xf>
    <xf numFmtId="164" fontId="13" fillId="0" borderId="0" xfId="0" applyNumberFormat="1" applyFont="1" applyProtection="1">
      <protection locked="0"/>
    </xf>
    <xf numFmtId="0" fontId="0" fillId="0" borderId="0" xfId="0" applyProtection="1">
      <protection locked="0"/>
    </xf>
    <xf numFmtId="164" fontId="17" fillId="0" borderId="0" xfId="48" applyNumberFormat="1" applyFont="1" applyAlignment="1" applyProtection="1">
      <alignment horizontal="center"/>
      <protection locked="0"/>
    </xf>
    <xf numFmtId="0" fontId="63" fillId="0" borderId="0" xfId="0" applyFont="1" applyProtection="1">
      <protection locked="0"/>
    </xf>
    <xf numFmtId="164" fontId="17" fillId="0" borderId="0" xfId="48" applyNumberFormat="1" applyFont="1" applyAlignment="1" applyProtection="1">
      <alignment horizontal="right"/>
      <protection locked="0"/>
    </xf>
    <xf numFmtId="164" fontId="11" fillId="0" borderId="0" xfId="48" applyNumberFormat="1" applyFont="1" applyAlignment="1" applyProtection="1">
      <alignment horizontal="right"/>
      <protection locked="0"/>
    </xf>
    <xf numFmtId="3" fontId="20" fillId="0" borderId="0" xfId="48" applyNumberFormat="1" applyFont="1" applyProtection="1">
      <protection locked="0"/>
    </xf>
    <xf numFmtId="164" fontId="17" fillId="0" borderId="0" xfId="0" applyNumberFormat="1" applyFont="1" applyAlignment="1" applyProtection="1">
      <alignment horizontal="right"/>
      <protection locked="0"/>
    </xf>
    <xf numFmtId="0" fontId="5" fillId="0" borderId="0" xfId="0" applyFont="1" applyAlignment="1" applyProtection="1">
      <alignment horizontal="right"/>
      <protection locked="0"/>
    </xf>
    <xf numFmtId="9" fontId="17" fillId="0" borderId="0" xfId="55" applyFont="1" applyFill="1" applyBorder="1" applyAlignment="1" applyProtection="1">
      <alignment horizontal="right"/>
      <protection locked="0"/>
    </xf>
    <xf numFmtId="10" fontId="17" fillId="0" borderId="0" xfId="55" applyNumberFormat="1" applyFont="1" applyFill="1" applyBorder="1" applyAlignment="1" applyProtection="1">
      <alignment horizontal="right"/>
      <protection locked="0"/>
    </xf>
    <xf numFmtId="0" fontId="11" fillId="0" borderId="0" xfId="48" applyFont="1" applyProtection="1">
      <protection locked="0"/>
    </xf>
    <xf numFmtId="3" fontId="17" fillId="0" borderId="0" xfId="48" applyNumberFormat="1" applyFont="1" applyAlignment="1" applyProtection="1">
      <alignment horizontal="left"/>
      <protection locked="0"/>
    </xf>
    <xf numFmtId="0" fontId="17" fillId="0" borderId="0" xfId="48" applyFont="1" applyAlignment="1" applyProtection="1">
      <alignment horizontal="center"/>
      <protection locked="0"/>
    </xf>
    <xf numFmtId="0" fontId="11" fillId="0" borderId="0" xfId="48" applyFont="1" applyAlignment="1" applyProtection="1">
      <alignment horizontal="left"/>
      <protection locked="0"/>
    </xf>
    <xf numFmtId="3" fontId="17" fillId="0" borderId="0" xfId="48" applyNumberFormat="1" applyFont="1" applyAlignment="1" applyProtection="1">
      <alignment horizontal="center"/>
      <protection locked="0"/>
    </xf>
    <xf numFmtId="0" fontId="6" fillId="0" borderId="0" xfId="48" applyFont="1" applyAlignment="1" applyProtection="1">
      <alignment horizontal="left"/>
      <protection locked="0"/>
    </xf>
    <xf numFmtId="0" fontId="16" fillId="0" borderId="0" xfId="48" applyFont="1" applyAlignment="1" applyProtection="1">
      <alignment horizontal="left"/>
      <protection locked="0"/>
    </xf>
    <xf numFmtId="0" fontId="11" fillId="0" borderId="0" xfId="0" applyFont="1" applyProtection="1">
      <protection locked="0"/>
    </xf>
    <xf numFmtId="170" fontId="22" fillId="27" borderId="32" xfId="30" applyNumberFormat="1" applyFont="1" applyFill="1" applyBorder="1" applyProtection="1">
      <protection locked="0"/>
    </xf>
    <xf numFmtId="38" fontId="12" fillId="0" borderId="0" xfId="0" applyNumberFormat="1" applyFont="1" applyProtection="1">
      <protection locked="0"/>
    </xf>
    <xf numFmtId="38" fontId="12" fillId="24" borderId="32" xfId="28" applyNumberFormat="1" applyFont="1" applyFill="1" applyBorder="1" applyProtection="1">
      <protection locked="0"/>
    </xf>
    <xf numFmtId="38" fontId="12" fillId="0" borderId="0" xfId="48" applyNumberFormat="1" applyFont="1" applyAlignment="1" applyProtection="1">
      <alignment horizontal="right"/>
      <protection locked="0"/>
    </xf>
    <xf numFmtId="38" fontId="12" fillId="0" borderId="3" xfId="48" applyNumberFormat="1" applyFont="1" applyBorder="1" applyProtection="1">
      <protection locked="0"/>
    </xf>
    <xf numFmtId="165" fontId="12" fillId="43" borderId="32" xfId="28" applyNumberFormat="1" applyFont="1" applyFill="1" applyBorder="1" applyProtection="1">
      <protection locked="0"/>
    </xf>
    <xf numFmtId="170" fontId="22" fillId="27" borderId="220" xfId="30" applyNumberFormat="1" applyFont="1" applyFill="1" applyBorder="1" applyProtection="1">
      <protection locked="0"/>
    </xf>
    <xf numFmtId="38" fontId="22" fillId="0" borderId="13" xfId="48" applyNumberFormat="1" applyFont="1" applyBorder="1" applyProtection="1">
      <protection locked="0"/>
    </xf>
    <xf numFmtId="38" fontId="12" fillId="0" borderId="3" xfId="28" applyNumberFormat="1" applyFont="1" applyFill="1" applyBorder="1" applyAlignment="1" applyProtection="1">
      <alignment horizontal="right"/>
      <protection locked="0"/>
    </xf>
    <xf numFmtId="38" fontId="12" fillId="0" borderId="108" xfId="28" applyNumberFormat="1" applyFont="1" applyFill="1" applyBorder="1" applyProtection="1">
      <protection locked="0"/>
    </xf>
    <xf numFmtId="170" fontId="22" fillId="27" borderId="116" xfId="48" applyNumberFormat="1" applyFont="1" applyFill="1" applyBorder="1" applyProtection="1">
      <protection locked="0"/>
    </xf>
    <xf numFmtId="38" fontId="13" fillId="0" borderId="0" xfId="48" applyNumberFormat="1" applyFont="1" applyProtection="1">
      <protection locked="0"/>
    </xf>
    <xf numFmtId="38" fontId="13" fillId="0" borderId="3" xfId="48" applyNumberFormat="1" applyFont="1" applyBorder="1" applyProtection="1">
      <protection locked="0"/>
    </xf>
    <xf numFmtId="3" fontId="12" fillId="0" borderId="0" xfId="0" applyNumberFormat="1" applyFont="1" applyProtection="1">
      <protection locked="0"/>
    </xf>
    <xf numFmtId="170" fontId="22" fillId="27" borderId="86" xfId="30" applyNumberFormat="1" applyFont="1" applyFill="1" applyBorder="1" applyProtection="1">
      <protection locked="0"/>
    </xf>
    <xf numFmtId="170" fontId="22" fillId="30" borderId="32" xfId="30" applyNumberFormat="1" applyFont="1" applyFill="1" applyBorder="1" applyProtection="1">
      <protection locked="0"/>
    </xf>
    <xf numFmtId="3" fontId="12" fillId="0" borderId="3" xfId="48" applyNumberFormat="1" applyFont="1" applyBorder="1" applyAlignment="1" applyProtection="1">
      <alignment horizontal="right"/>
      <protection locked="0"/>
    </xf>
    <xf numFmtId="3" fontId="12" fillId="0" borderId="0" xfId="48" applyNumberFormat="1" applyFont="1" applyAlignment="1" applyProtection="1">
      <alignment horizontal="left"/>
      <protection locked="0"/>
    </xf>
    <xf numFmtId="3" fontId="12" fillId="0" borderId="0" xfId="0" applyNumberFormat="1" applyFont="1" applyAlignment="1" applyProtection="1">
      <alignment vertical="center"/>
      <protection locked="0"/>
    </xf>
    <xf numFmtId="3" fontId="12" fillId="0" borderId="108" xfId="48" applyNumberFormat="1" applyFont="1" applyBorder="1" applyProtection="1">
      <protection locked="0"/>
    </xf>
    <xf numFmtId="0" fontId="12" fillId="0" borderId="0" xfId="0" applyFont="1" applyProtection="1">
      <protection locked="0"/>
    </xf>
    <xf numFmtId="38" fontId="24" fillId="0" borderId="3" xfId="48" applyNumberFormat="1" applyFont="1" applyBorder="1" applyAlignment="1" applyProtection="1">
      <alignment horizontal="right"/>
      <protection locked="0"/>
    </xf>
    <xf numFmtId="0" fontId="24" fillId="0" borderId="0" xfId="0" applyFont="1" applyProtection="1">
      <protection locked="0"/>
    </xf>
    <xf numFmtId="0" fontId="160" fillId="0" borderId="0" xfId="38" applyFont="1" applyBorder="1" applyAlignment="1" applyProtection="1">
      <alignment horizontal="center"/>
      <protection locked="0"/>
    </xf>
    <xf numFmtId="0" fontId="8" fillId="0" borderId="0" xfId="0" applyFont="1" applyProtection="1">
      <protection locked="0"/>
    </xf>
    <xf numFmtId="165" fontId="156" fillId="24" borderId="32" xfId="28" applyNumberFormat="1" applyFont="1" applyFill="1" applyBorder="1" applyProtection="1">
      <protection locked="0"/>
    </xf>
    <xf numFmtId="0" fontId="29" fillId="27" borderId="32" xfId="48" applyFont="1" applyFill="1" applyBorder="1" applyAlignment="1" applyProtection="1">
      <alignment horizontal="center"/>
      <protection locked="0"/>
    </xf>
    <xf numFmtId="0" fontId="60" fillId="0" borderId="32" xfId="48" applyFont="1" applyBorder="1" applyAlignment="1" applyProtection="1">
      <alignment horizontal="center"/>
      <protection locked="0"/>
    </xf>
    <xf numFmtId="0" fontId="29" fillId="27" borderId="86" xfId="48" applyFont="1" applyFill="1" applyBorder="1" applyAlignment="1" applyProtection="1">
      <alignment horizontal="center"/>
      <protection locked="0"/>
    </xf>
    <xf numFmtId="0" fontId="14" fillId="0" borderId="0" xfId="0" applyFont="1" applyAlignment="1" applyProtection="1">
      <alignment vertical="center" wrapText="1"/>
      <protection locked="0"/>
    </xf>
    <xf numFmtId="165" fontId="6" fillId="0" borderId="0" xfId="28" applyNumberFormat="1" applyFont="1" applyFill="1" applyBorder="1" applyProtection="1">
      <protection locked="0"/>
    </xf>
    <xf numFmtId="170" fontId="29" fillId="27" borderId="32" xfId="30" applyNumberFormat="1" applyFont="1" applyFill="1" applyBorder="1" applyAlignment="1" applyProtection="1">
      <alignment horizontal="center"/>
      <protection locked="0"/>
    </xf>
    <xf numFmtId="0" fontId="14" fillId="0" borderId="0" xfId="0" applyFont="1" applyProtection="1">
      <protection locked="0"/>
    </xf>
    <xf numFmtId="38" fontId="12" fillId="0" borderId="0" xfId="52" applyNumberFormat="1" applyFont="1" applyProtection="1">
      <protection locked="0"/>
    </xf>
    <xf numFmtId="6" fontId="12" fillId="0" borderId="0" xfId="52" applyNumberFormat="1" applyFont="1" applyProtection="1">
      <protection locked="0"/>
    </xf>
    <xf numFmtId="0" fontId="14" fillId="27" borderId="101" xfId="48" applyFont="1" applyFill="1" applyBorder="1" applyAlignment="1" applyProtection="1">
      <alignment horizontal="center"/>
      <protection locked="0"/>
    </xf>
    <xf numFmtId="0" fontId="14" fillId="27" borderId="119" xfId="48" applyFont="1" applyFill="1" applyBorder="1" applyAlignment="1" applyProtection="1">
      <alignment horizontal="center"/>
      <protection locked="0"/>
    </xf>
    <xf numFmtId="170" fontId="22" fillId="27" borderId="20" xfId="30" applyNumberFormat="1" applyFont="1" applyFill="1" applyBorder="1" applyProtection="1">
      <protection locked="0"/>
    </xf>
    <xf numFmtId="165" fontId="12" fillId="31" borderId="20" xfId="28" applyNumberFormat="1" applyFont="1" applyFill="1" applyBorder="1" applyProtection="1">
      <protection locked="0"/>
    </xf>
    <xf numFmtId="170" fontId="22" fillId="27" borderId="120" xfId="30" applyNumberFormat="1" applyFont="1" applyFill="1" applyBorder="1" applyProtection="1">
      <protection locked="0"/>
    </xf>
    <xf numFmtId="0" fontId="6" fillId="0" borderId="0" xfId="0" applyFont="1" applyProtection="1">
      <protection locked="0"/>
    </xf>
    <xf numFmtId="38" fontId="5" fillId="0" borderId="29" xfId="0" applyNumberFormat="1" applyFont="1" applyBorder="1" applyProtection="1">
      <protection locked="0"/>
    </xf>
    <xf numFmtId="0" fontId="12" fillId="0" borderId="64" xfId="48" applyFont="1" applyBorder="1" applyAlignment="1" applyProtection="1">
      <alignment horizontal="center" vertical="center"/>
      <protection locked="0"/>
    </xf>
    <xf numFmtId="10" fontId="14" fillId="24" borderId="63" xfId="48" applyNumberFormat="1" applyFont="1" applyFill="1" applyBorder="1" applyAlignment="1" applyProtection="1">
      <alignment horizontal="right"/>
      <protection locked="0"/>
    </xf>
    <xf numFmtId="165" fontId="14" fillId="24" borderId="63" xfId="28" applyNumberFormat="1" applyFont="1" applyFill="1" applyBorder="1" applyAlignment="1" applyProtection="1">
      <alignment horizontal="right"/>
      <protection locked="0"/>
    </xf>
    <xf numFmtId="177" fontId="5" fillId="0" borderId="29" xfId="0" applyNumberFormat="1" applyFont="1" applyBorder="1" applyProtection="1">
      <protection locked="0"/>
    </xf>
    <xf numFmtId="0" fontId="159" fillId="0" borderId="14" xfId="38" applyFont="1" applyBorder="1" applyAlignment="1" applyProtection="1">
      <alignment horizontal="center"/>
      <protection locked="0"/>
    </xf>
    <xf numFmtId="0" fontId="150" fillId="0" borderId="0" xfId="48" applyFont="1" applyAlignment="1" applyProtection="1">
      <alignment horizontal="center"/>
      <protection locked="0"/>
    </xf>
    <xf numFmtId="0" fontId="72" fillId="0" borderId="0" xfId="48" applyFont="1" applyAlignment="1" applyProtection="1">
      <alignment horizontal="right"/>
      <protection locked="0"/>
    </xf>
    <xf numFmtId="0" fontId="8" fillId="27" borderId="244" xfId="48" applyFont="1" applyFill="1" applyBorder="1" applyAlignment="1" applyProtection="1">
      <alignment horizontal="center"/>
      <protection locked="0"/>
    </xf>
    <xf numFmtId="0" fontId="8" fillId="0" borderId="15" xfId="48" applyFont="1" applyBorder="1" applyAlignment="1" applyProtection="1">
      <alignment horizontal="center"/>
      <protection locked="0"/>
    </xf>
    <xf numFmtId="0" fontId="147" fillId="26" borderId="14" xfId="38" applyFont="1" applyFill="1" applyBorder="1" applyAlignment="1" applyProtection="1">
      <alignment horizontal="center"/>
      <protection locked="0"/>
    </xf>
    <xf numFmtId="0" fontId="151" fillId="0" borderId="0" xfId="48" applyFont="1" applyAlignment="1" applyProtection="1">
      <alignment horizontal="center"/>
      <protection locked="0"/>
    </xf>
    <xf numFmtId="0" fontId="60" fillId="0" borderId="0" xfId="48" applyFont="1" applyAlignment="1" applyProtection="1">
      <alignment horizontal="left"/>
      <protection locked="0"/>
    </xf>
    <xf numFmtId="14" fontId="8" fillId="27" borderId="245" xfId="48" quotePrefix="1" applyNumberFormat="1" applyFont="1" applyFill="1" applyBorder="1" applyAlignment="1" applyProtection="1">
      <alignment horizontal="center"/>
      <protection locked="0"/>
    </xf>
    <xf numFmtId="0" fontId="8" fillId="0" borderId="14" xfId="48" applyFont="1" applyBorder="1" applyAlignment="1" applyProtection="1">
      <alignment horizontal="centerContinuous"/>
      <protection locked="0"/>
    </xf>
    <xf numFmtId="14" fontId="8" fillId="27" borderId="246" xfId="48" quotePrefix="1" applyNumberFormat="1" applyFont="1" applyFill="1" applyBorder="1" applyAlignment="1" applyProtection="1">
      <alignment horizontal="center"/>
      <protection locked="0"/>
    </xf>
    <xf numFmtId="0" fontId="8" fillId="0" borderId="0" xfId="48" applyFont="1" applyAlignment="1" applyProtection="1">
      <alignment horizontal="centerContinuous"/>
      <protection locked="0"/>
    </xf>
    <xf numFmtId="0" fontId="7" fillId="0" borderId="0" xfId="48" applyFont="1" applyAlignment="1" applyProtection="1">
      <alignment horizontal="centerContinuous"/>
      <protection locked="0"/>
    </xf>
    <xf numFmtId="38" fontId="9" fillId="0" borderId="0" xfId="48" applyNumberFormat="1" applyFont="1" applyAlignment="1" applyProtection="1">
      <alignment horizontal="centerContinuous"/>
      <protection locked="0"/>
    </xf>
    <xf numFmtId="38" fontId="7" fillId="0" borderId="0" xfId="48" applyNumberFormat="1" applyFont="1" applyAlignment="1" applyProtection="1">
      <alignment horizontal="centerContinuous"/>
      <protection locked="0"/>
    </xf>
    <xf numFmtId="38" fontId="8" fillId="0" borderId="15" xfId="48" applyNumberFormat="1" applyFont="1" applyBorder="1" applyAlignment="1" applyProtection="1">
      <alignment horizontal="centerContinuous"/>
      <protection locked="0"/>
    </xf>
    <xf numFmtId="0" fontId="29" fillId="27" borderId="109" xfId="48" applyFont="1" applyFill="1" applyBorder="1" applyAlignment="1" applyProtection="1">
      <alignment horizontal="center"/>
      <protection locked="0"/>
    </xf>
    <xf numFmtId="0" fontId="29" fillId="27" borderId="101" xfId="48" applyFont="1" applyFill="1" applyBorder="1" applyAlignment="1" applyProtection="1">
      <alignment horizontal="center"/>
      <protection locked="0"/>
    </xf>
    <xf numFmtId="0" fontId="29" fillId="27" borderId="110" xfId="48" applyFont="1" applyFill="1" applyBorder="1" applyAlignment="1" applyProtection="1">
      <alignment horizontal="center"/>
      <protection locked="0"/>
    </xf>
    <xf numFmtId="0" fontId="22" fillId="0" borderId="0" xfId="48" applyFont="1" applyAlignment="1" applyProtection="1">
      <alignment horizontal="center"/>
      <protection locked="0"/>
    </xf>
    <xf numFmtId="0" fontId="29" fillId="27" borderId="130" xfId="48" applyFont="1" applyFill="1" applyBorder="1" applyAlignment="1" applyProtection="1">
      <alignment horizontal="center"/>
      <protection locked="0"/>
    </xf>
    <xf numFmtId="0" fontId="29" fillId="27" borderId="131" xfId="48" applyFont="1" applyFill="1" applyBorder="1" applyAlignment="1" applyProtection="1">
      <alignment horizontal="center"/>
      <protection locked="0"/>
    </xf>
    <xf numFmtId="0" fontId="29" fillId="27" borderId="132" xfId="48" applyFont="1" applyFill="1" applyBorder="1" applyAlignment="1" applyProtection="1">
      <alignment horizontal="center"/>
      <protection locked="0"/>
    </xf>
    <xf numFmtId="0" fontId="29" fillId="27" borderId="112" xfId="48" applyFont="1" applyFill="1" applyBorder="1" applyAlignment="1" applyProtection="1">
      <alignment horizontal="center"/>
      <protection locked="0"/>
    </xf>
    <xf numFmtId="164" fontId="13" fillId="0" borderId="0" xfId="48" applyNumberFormat="1" applyFont="1" applyProtection="1">
      <protection locked="0"/>
    </xf>
    <xf numFmtId="164" fontId="13" fillId="0" borderId="3" xfId="48" applyNumberFormat="1" applyFont="1" applyBorder="1" applyProtection="1">
      <protection locked="0"/>
    </xf>
    <xf numFmtId="0" fontId="29" fillId="27" borderId="304" xfId="48" applyFont="1" applyFill="1" applyBorder="1" applyAlignment="1" applyProtection="1">
      <alignment horizontal="center"/>
      <protection locked="0"/>
    </xf>
    <xf numFmtId="0" fontId="29" fillId="27" borderId="305" xfId="48" applyFont="1" applyFill="1" applyBorder="1" applyAlignment="1" applyProtection="1">
      <alignment horizontal="center"/>
      <protection locked="0"/>
    </xf>
    <xf numFmtId="0" fontId="29" fillId="27" borderId="306" xfId="48" applyFont="1" applyFill="1" applyBorder="1" applyAlignment="1" applyProtection="1">
      <alignment horizontal="center"/>
      <protection locked="0"/>
    </xf>
    <xf numFmtId="0" fontId="29" fillId="0" borderId="13" xfId="48" applyFont="1" applyBorder="1" applyAlignment="1" applyProtection="1">
      <alignment horizontal="center"/>
      <protection locked="0"/>
    </xf>
    <xf numFmtId="0" fontId="12" fillId="0" borderId="0" xfId="0" applyFont="1" applyAlignment="1" applyProtection="1">
      <alignment horizontal="center"/>
      <protection locked="0"/>
    </xf>
    <xf numFmtId="0" fontId="13" fillId="0" borderId="0" xfId="0" applyFont="1" applyAlignment="1" applyProtection="1">
      <alignment horizontal="center"/>
      <protection locked="0"/>
    </xf>
    <xf numFmtId="0" fontId="29" fillId="27" borderId="113" xfId="48" applyFont="1" applyFill="1" applyBorder="1" applyAlignment="1" applyProtection="1">
      <alignment horizontal="center"/>
      <protection locked="0"/>
    </xf>
    <xf numFmtId="0" fontId="29" fillId="27" borderId="114" xfId="48" applyFont="1" applyFill="1" applyBorder="1" applyAlignment="1" applyProtection="1">
      <alignment horizontal="center"/>
      <protection locked="0"/>
    </xf>
    <xf numFmtId="0" fontId="29" fillId="27" borderId="115" xfId="48" applyFont="1" applyFill="1" applyBorder="1" applyAlignment="1" applyProtection="1">
      <alignment horizontal="center"/>
      <protection locked="0"/>
    </xf>
    <xf numFmtId="0" fontId="73" fillId="0" borderId="0" xfId="46" applyFont="1" applyProtection="1">
      <protection locked="0"/>
    </xf>
    <xf numFmtId="165" fontId="73" fillId="24" borderId="20" xfId="28" applyNumberFormat="1" applyFont="1" applyFill="1" applyBorder="1" applyProtection="1">
      <protection locked="0"/>
    </xf>
    <xf numFmtId="165" fontId="73" fillId="24" borderId="21" xfId="28" applyNumberFormat="1" applyFont="1" applyFill="1" applyBorder="1" applyProtection="1">
      <protection locked="0"/>
    </xf>
    <xf numFmtId="0" fontId="23" fillId="0" borderId="0" xfId="46" applyFont="1" applyProtection="1">
      <protection locked="0"/>
    </xf>
    <xf numFmtId="165" fontId="14" fillId="24" borderId="20" xfId="28" applyNumberFormat="1" applyFont="1" applyFill="1" applyBorder="1" applyProtection="1">
      <protection locked="0"/>
    </xf>
    <xf numFmtId="0" fontId="14" fillId="0" borderId="330" xfId="0" applyFont="1" applyBorder="1"/>
    <xf numFmtId="3" fontId="14" fillId="0" borderId="330" xfId="0" applyNumberFormat="1" applyFont="1" applyBorder="1"/>
    <xf numFmtId="0" fontId="8" fillId="27" borderId="0" xfId="48" applyFont="1" applyFill="1" applyAlignment="1">
      <alignment horizontal="center"/>
    </xf>
    <xf numFmtId="14" fontId="8" fillId="27" borderId="0" xfId="48" applyNumberFormat="1" applyFont="1" applyFill="1" applyAlignment="1">
      <alignment horizontal="center"/>
    </xf>
    <xf numFmtId="0" fontId="8" fillId="0" borderId="320" xfId="0" applyFont="1" applyBorder="1" applyAlignment="1">
      <alignment horizontal="left"/>
    </xf>
    <xf numFmtId="165" fontId="60" fillId="51" borderId="340" xfId="28" applyNumberFormat="1" applyFont="1" applyFill="1" applyBorder="1"/>
    <xf numFmtId="3" fontId="8" fillId="0" borderId="357" xfId="28" applyNumberFormat="1" applyFont="1" applyBorder="1"/>
    <xf numFmtId="3" fontId="8" fillId="0" borderId="358" xfId="28" applyNumberFormat="1" applyFont="1" applyFill="1" applyBorder="1"/>
    <xf numFmtId="3" fontId="8" fillId="0" borderId="359" xfId="28" applyNumberFormat="1" applyFont="1" applyFill="1" applyBorder="1"/>
    <xf numFmtId="0" fontId="8" fillId="0" borderId="226" xfId="0" applyFont="1" applyBorder="1" applyAlignment="1">
      <alignment horizontal="left"/>
    </xf>
    <xf numFmtId="3" fontId="14" fillId="0" borderId="360" xfId="28" applyNumberFormat="1" applyFont="1" applyFill="1" applyBorder="1"/>
    <xf numFmtId="0" fontId="8" fillId="0" borderId="361" xfId="0" applyFont="1" applyBorder="1" applyAlignment="1">
      <alignment horizontal="left"/>
    </xf>
    <xf numFmtId="0" fontId="8" fillId="0" borderId="361" xfId="0" applyFont="1" applyBorder="1" applyAlignment="1">
      <alignment horizontal="right"/>
    </xf>
    <xf numFmtId="0" fontId="8" fillId="0" borderId="361" xfId="0" applyFont="1" applyBorder="1"/>
    <xf numFmtId="0" fontId="8" fillId="0" borderId="362" xfId="0" applyFont="1" applyBorder="1" applyAlignment="1">
      <alignment horizontal="left"/>
    </xf>
    <xf numFmtId="3" fontId="14" fillId="0" borderId="363" xfId="0" applyNumberFormat="1" applyFont="1" applyBorder="1"/>
    <xf numFmtId="3" fontId="14" fillId="0" borderId="360" xfId="0" applyNumberFormat="1" applyFont="1" applyBorder="1"/>
    <xf numFmtId="0" fontId="14" fillId="0" borderId="360" xfId="0" applyFont="1" applyBorder="1"/>
    <xf numFmtId="0" fontId="8" fillId="0" borderId="364" xfId="0" applyFont="1" applyBorder="1"/>
    <xf numFmtId="0" fontId="14" fillId="0" borderId="365" xfId="0" applyFont="1" applyBorder="1"/>
    <xf numFmtId="0" fontId="14" fillId="0" borderId="366" xfId="0" applyFont="1" applyBorder="1"/>
    <xf numFmtId="0" fontId="14" fillId="0" borderId="367" xfId="0" applyFont="1" applyBorder="1"/>
    <xf numFmtId="0" fontId="34" fillId="0" borderId="368" xfId="0" applyFont="1" applyBorder="1"/>
    <xf numFmtId="0" fontId="173" fillId="0" borderId="43" xfId="0" applyFont="1" applyBorder="1" applyAlignment="1">
      <alignment horizontal="center" wrapText="1"/>
    </xf>
    <xf numFmtId="0" fontId="8" fillId="0" borderId="210" xfId="0" applyFont="1" applyBorder="1" applyAlignment="1">
      <alignment horizontal="center"/>
    </xf>
    <xf numFmtId="0" fontId="60" fillId="0" borderId="369" xfId="0" applyFont="1" applyBorder="1" applyAlignment="1">
      <alignment horizontal="center" vertical="center" wrapText="1"/>
    </xf>
    <xf numFmtId="0" fontId="8" fillId="0" borderId="370" xfId="0" applyFont="1" applyBorder="1" applyAlignment="1">
      <alignment horizontal="center"/>
    </xf>
    <xf numFmtId="0" fontId="8" fillId="0" borderId="371" xfId="0" applyFont="1" applyBorder="1" applyAlignment="1">
      <alignment horizontal="center"/>
    </xf>
    <xf numFmtId="0" fontId="8" fillId="0" borderId="372" xfId="0" applyFont="1" applyBorder="1" applyAlignment="1">
      <alignment horizontal="center"/>
    </xf>
    <xf numFmtId="0" fontId="0" fillId="55" borderId="0" xfId="0" applyFill="1"/>
    <xf numFmtId="0" fontId="0" fillId="55" borderId="0" xfId="0" applyFill="1" applyAlignment="1">
      <alignment horizontal="left"/>
    </xf>
    <xf numFmtId="0" fontId="7" fillId="55" borderId="0" xfId="0" applyFont="1" applyFill="1" applyAlignment="1">
      <alignment horizontal="center"/>
    </xf>
    <xf numFmtId="0" fontId="2" fillId="55" borderId="0" xfId="0" applyFont="1" applyFill="1"/>
    <xf numFmtId="0" fontId="177" fillId="55" borderId="0" xfId="38" applyFont="1" applyFill="1" applyAlignment="1" applyProtection="1"/>
    <xf numFmtId="0" fontId="7" fillId="55" borderId="0" xfId="0" quotePrefix="1" applyFont="1" applyFill="1" applyAlignment="1">
      <alignment horizontal="left"/>
    </xf>
    <xf numFmtId="0" fontId="2" fillId="55" borderId="0" xfId="0" applyFont="1" applyFill="1" applyAlignment="1">
      <alignment horizontal="center"/>
    </xf>
    <xf numFmtId="0" fontId="7" fillId="55" borderId="0" xfId="0" applyFont="1" applyFill="1" applyAlignment="1">
      <alignment horizontal="left"/>
    </xf>
    <xf numFmtId="0" fontId="0" fillId="0" borderId="352" xfId="0" applyBorder="1"/>
    <xf numFmtId="0" fontId="0" fillId="0" borderId="353" xfId="0" applyBorder="1"/>
    <xf numFmtId="0" fontId="175" fillId="0" borderId="373" xfId="67" applyFont="1" applyBorder="1" applyAlignment="1">
      <alignment vertical="center"/>
    </xf>
    <xf numFmtId="165" fontId="175" fillId="0" borderId="118" xfId="28" applyNumberFormat="1" applyFont="1" applyFill="1" applyBorder="1" applyAlignment="1">
      <alignment vertical="center"/>
    </xf>
    <xf numFmtId="2" fontId="166" fillId="52" borderId="208" xfId="0" applyNumberFormat="1" applyFont="1" applyFill="1" applyBorder="1" applyAlignment="1">
      <alignment vertical="center"/>
    </xf>
    <xf numFmtId="2" fontId="5" fillId="0" borderId="208" xfId="0" applyNumberFormat="1" applyFont="1" applyBorder="1" applyAlignment="1">
      <alignment vertical="center"/>
    </xf>
    <xf numFmtId="168" fontId="166" fillId="24" borderId="208" xfId="55" applyNumberFormat="1" applyFont="1" applyFill="1" applyBorder="1" applyAlignment="1">
      <alignment vertical="center"/>
    </xf>
    <xf numFmtId="0" fontId="0" fillId="0" borderId="208" xfId="0" applyBorder="1" applyAlignment="1">
      <alignment vertical="center"/>
    </xf>
    <xf numFmtId="165" fontId="0" fillId="0" borderId="0" xfId="28" applyNumberFormat="1" applyFont="1" applyBorder="1" applyAlignment="1">
      <alignment vertical="center"/>
    </xf>
    <xf numFmtId="0" fontId="0" fillId="0" borderId="376" xfId="0" applyBorder="1"/>
    <xf numFmtId="0" fontId="0" fillId="0" borderId="377" xfId="0" applyBorder="1"/>
    <xf numFmtId="0" fontId="0" fillId="0" borderId="374" xfId="0" applyBorder="1"/>
    <xf numFmtId="165" fontId="0" fillId="0" borderId="378" xfId="28" applyNumberFormat="1" applyFont="1" applyFill="1" applyBorder="1" applyAlignment="1">
      <alignment vertical="center"/>
    </xf>
    <xf numFmtId="165" fontId="0" fillId="0" borderId="11" xfId="28" applyNumberFormat="1" applyFont="1" applyFill="1" applyBorder="1" applyAlignment="1">
      <alignment vertical="center"/>
    </xf>
    <xf numFmtId="165" fontId="0" fillId="0" borderId="379" xfId="28" applyNumberFormat="1" applyFont="1" applyFill="1" applyBorder="1" applyAlignment="1">
      <alignment vertical="center"/>
    </xf>
    <xf numFmtId="165" fontId="167" fillId="0" borderId="0" xfId="61" applyNumberFormat="1" applyFont="1" applyBorder="1"/>
    <xf numFmtId="165" fontId="167" fillId="0" borderId="320" xfId="61" applyNumberFormat="1" applyFont="1" applyBorder="1"/>
    <xf numFmtId="165" fontId="167" fillId="0" borderId="380" xfId="61" applyNumberFormat="1" applyFont="1" applyBorder="1"/>
    <xf numFmtId="165" fontId="167" fillId="0" borderId="226" xfId="61" applyNumberFormat="1" applyFont="1" applyBorder="1"/>
    <xf numFmtId="165" fontId="167" fillId="0" borderId="375" xfId="61" applyNumberFormat="1" applyFont="1" applyBorder="1"/>
    <xf numFmtId="165" fontId="167" fillId="0" borderId="241" xfId="61" applyNumberFormat="1" applyFont="1" applyBorder="1"/>
    <xf numFmtId="0" fontId="0" fillId="0" borderId="378" xfId="0" applyBorder="1"/>
    <xf numFmtId="0" fontId="0" fillId="0" borderId="11" xfId="0" applyBorder="1"/>
    <xf numFmtId="0" fontId="0" fillId="0" borderId="379" xfId="0" applyBorder="1"/>
    <xf numFmtId="0" fontId="0" fillId="0" borderId="320" xfId="0" applyBorder="1"/>
    <xf numFmtId="0" fontId="0" fillId="0" borderId="380" xfId="0" applyBorder="1"/>
    <xf numFmtId="0" fontId="0" fillId="0" borderId="226" xfId="0" applyBorder="1"/>
    <xf numFmtId="0" fontId="0" fillId="0" borderId="375" xfId="0" applyBorder="1"/>
    <xf numFmtId="0" fontId="0" fillId="0" borderId="241" xfId="0" applyBorder="1"/>
    <xf numFmtId="2" fontId="166" fillId="0" borderId="226" xfId="0" applyNumberFormat="1" applyFont="1" applyBorder="1" applyAlignment="1">
      <alignment vertical="center"/>
    </xf>
    <xf numFmtId="0" fontId="0" fillId="0" borderId="210" xfId="0" applyBorder="1"/>
    <xf numFmtId="165" fontId="0" fillId="53" borderId="210" xfId="28" applyNumberFormat="1" applyFont="1" applyFill="1" applyBorder="1" applyAlignment="1">
      <alignment vertical="center"/>
    </xf>
    <xf numFmtId="181" fontId="0" fillId="0" borderId="209" xfId="55" applyNumberFormat="1" applyFont="1" applyFill="1" applyBorder="1" applyAlignment="1">
      <alignment vertical="center"/>
    </xf>
    <xf numFmtId="165" fontId="0" fillId="0" borderId="210" xfId="28" applyNumberFormat="1" applyFont="1" applyBorder="1" applyAlignment="1">
      <alignment vertical="center"/>
    </xf>
    <xf numFmtId="0" fontId="12" fillId="0" borderId="45" xfId="48" applyFont="1" applyBorder="1" applyAlignment="1" applyProtection="1">
      <alignment horizontal="center"/>
      <protection locked="0"/>
    </xf>
    <xf numFmtId="0" fontId="29" fillId="27" borderId="382" xfId="48" applyFont="1" applyFill="1" applyBorder="1" applyAlignment="1" applyProtection="1">
      <alignment horizontal="center"/>
      <protection locked="0"/>
    </xf>
    <xf numFmtId="0" fontId="29" fillId="27" borderId="108" xfId="48" applyFont="1" applyFill="1" applyBorder="1" applyAlignment="1" applyProtection="1">
      <alignment horizontal="center"/>
      <protection locked="0"/>
    </xf>
    <xf numFmtId="0" fontId="12" fillId="0" borderId="381" xfId="48" applyFont="1" applyBorder="1" applyAlignment="1" applyProtection="1">
      <alignment horizontal="center"/>
      <protection locked="0"/>
    </xf>
    <xf numFmtId="0" fontId="12" fillId="0" borderId="383" xfId="48" applyFont="1" applyBorder="1" applyAlignment="1" applyProtection="1">
      <alignment horizontal="center"/>
      <protection locked="0"/>
    </xf>
    <xf numFmtId="0" fontId="7" fillId="0" borderId="0" xfId="38" applyFill="1" applyAlignment="1" applyProtection="1"/>
    <xf numFmtId="14" fontId="7" fillId="0" borderId="0" xfId="0" quotePrefix="1" applyNumberFormat="1" applyFont="1" applyAlignment="1">
      <alignment horizontal="left"/>
    </xf>
    <xf numFmtId="0" fontId="4" fillId="0" borderId="0" xfId="68"/>
    <xf numFmtId="37" fontId="4" fillId="0" borderId="0" xfId="68" applyNumberFormat="1"/>
    <xf numFmtId="37" fontId="4" fillId="50" borderId="0" xfId="68" applyNumberFormat="1" applyFill="1"/>
    <xf numFmtId="0" fontId="4" fillId="50" borderId="0" xfId="68" applyFill="1"/>
    <xf numFmtId="1" fontId="4" fillId="0" borderId="0" xfId="68" applyNumberFormat="1"/>
    <xf numFmtId="165" fontId="4" fillId="0" borderId="0" xfId="68" applyNumberFormat="1"/>
    <xf numFmtId="165" fontId="4" fillId="56" borderId="0" xfId="68" applyNumberFormat="1" applyFill="1"/>
    <xf numFmtId="0" fontId="4" fillId="56" borderId="0" xfId="68" applyFill="1"/>
    <xf numFmtId="0" fontId="4" fillId="57" borderId="0" xfId="68" applyFill="1"/>
    <xf numFmtId="0" fontId="4" fillId="0" borderId="0" xfId="68" applyAlignment="1">
      <alignment horizontal="center"/>
    </xf>
    <xf numFmtId="37" fontId="4" fillId="58" borderId="0" xfId="68" applyNumberFormat="1" applyFill="1"/>
    <xf numFmtId="3" fontId="4" fillId="0" borderId="0" xfId="68" applyNumberFormat="1" applyAlignment="1">
      <alignment horizontal="center"/>
    </xf>
    <xf numFmtId="0" fontId="4" fillId="58" borderId="0" xfId="68" applyFill="1"/>
    <xf numFmtId="0" fontId="4" fillId="58" borderId="0" xfId="68" applyFill="1" applyAlignment="1">
      <alignment horizontal="center"/>
    </xf>
    <xf numFmtId="14" fontId="4" fillId="0" borderId="0" xfId="68" applyNumberFormat="1"/>
    <xf numFmtId="0" fontId="178" fillId="0" borderId="0" xfId="68" applyFont="1"/>
    <xf numFmtId="0" fontId="76" fillId="0" borderId="384" xfId="68" applyFont="1" applyBorder="1"/>
    <xf numFmtId="0" fontId="1" fillId="0" borderId="0" xfId="69"/>
    <xf numFmtId="0" fontId="1" fillId="0" borderId="0" xfId="69" applyAlignment="1">
      <alignment horizontal="left"/>
    </xf>
    <xf numFmtId="0" fontId="1" fillId="0" borderId="0" xfId="69" pivotButton="1"/>
    <xf numFmtId="0" fontId="4" fillId="0" borderId="118" xfId="68" applyBorder="1"/>
    <xf numFmtId="0" fontId="4" fillId="59" borderId="0" xfId="68" applyFill="1"/>
    <xf numFmtId="0" fontId="179" fillId="0" borderId="0" xfId="70" applyAlignment="1">
      <alignment horizontal="left" vertical="top"/>
    </xf>
    <xf numFmtId="0" fontId="179" fillId="0" borderId="0" xfId="70" pivotButton="1" applyAlignment="1">
      <alignment horizontal="left" vertical="top"/>
    </xf>
    <xf numFmtId="165" fontId="76" fillId="56" borderId="0" xfId="68" applyNumberFormat="1" applyFont="1" applyFill="1"/>
    <xf numFmtId="0" fontId="4" fillId="0" borderId="0" xfId="68" applyAlignment="1">
      <alignment horizontal="right"/>
    </xf>
    <xf numFmtId="49" fontId="4" fillId="0" borderId="0" xfId="68" applyNumberFormat="1" applyAlignment="1">
      <alignment horizontal="right"/>
    </xf>
    <xf numFmtId="0" fontId="29" fillId="27" borderId="304" xfId="48" applyFont="1" applyFill="1" applyBorder="1" applyAlignment="1">
      <alignment horizontal="center"/>
    </xf>
    <xf numFmtId="0" fontId="13" fillId="56" borderId="28" xfId="48" applyFont="1" applyFill="1" applyBorder="1" applyAlignment="1">
      <alignment horizontal="center"/>
    </xf>
    <xf numFmtId="0" fontId="0" fillId="0" borderId="0" xfId="0" applyAlignment="1">
      <alignment vertical="top" wrapText="1"/>
    </xf>
    <xf numFmtId="44" fontId="0" fillId="0" borderId="0" xfId="0" applyNumberFormat="1"/>
    <xf numFmtId="41" fontId="0" fillId="0" borderId="0" xfId="0" applyNumberFormat="1"/>
    <xf numFmtId="9" fontId="0" fillId="0" borderId="0" xfId="0" applyNumberFormat="1"/>
    <xf numFmtId="0" fontId="181" fillId="0" borderId="0" xfId="0" applyFont="1"/>
    <xf numFmtId="0" fontId="0" fillId="0" borderId="389" xfId="0" applyBorder="1"/>
    <xf numFmtId="0" fontId="7" fillId="0" borderId="384" xfId="0" applyFont="1" applyBorder="1" applyAlignment="1">
      <alignment horizontal="center"/>
    </xf>
    <xf numFmtId="37" fontId="0" fillId="0" borderId="0" xfId="0" applyNumberFormat="1"/>
    <xf numFmtId="0" fontId="180" fillId="0" borderId="0" xfId="0" applyFont="1"/>
    <xf numFmtId="0" fontId="0" fillId="0" borderId="392" xfId="0" applyBorder="1"/>
    <xf numFmtId="37" fontId="0" fillId="58" borderId="384" xfId="0" applyNumberFormat="1" applyFill="1" applyBorder="1"/>
    <xf numFmtId="0" fontId="0" fillId="0" borderId="384" xfId="0" applyBorder="1"/>
    <xf numFmtId="0" fontId="0" fillId="0" borderId="393" xfId="0" applyBorder="1"/>
    <xf numFmtId="0" fontId="0" fillId="0" borderId="388" xfId="0" applyBorder="1"/>
    <xf numFmtId="37" fontId="0" fillId="0" borderId="387" xfId="0" applyNumberFormat="1" applyBorder="1"/>
    <xf numFmtId="37" fontId="0" fillId="0" borderId="385" xfId="0" applyNumberFormat="1" applyBorder="1"/>
    <xf numFmtId="37" fontId="0" fillId="56" borderId="0" xfId="0" applyNumberFormat="1" applyFill="1"/>
    <xf numFmtId="0" fontId="0" fillId="0" borderId="385" xfId="0" applyBorder="1"/>
    <xf numFmtId="0" fontId="0" fillId="56" borderId="0" xfId="0" applyFill="1"/>
    <xf numFmtId="3" fontId="0" fillId="0" borderId="387" xfId="0" applyNumberFormat="1" applyBorder="1"/>
    <xf numFmtId="0" fontId="0" fillId="0" borderId="398" xfId="0" applyBorder="1"/>
    <xf numFmtId="0" fontId="7" fillId="0" borderId="398" xfId="0" applyFont="1" applyBorder="1"/>
    <xf numFmtId="37" fontId="0" fillId="0" borderId="393" xfId="0" applyNumberFormat="1" applyBorder="1"/>
    <xf numFmtId="0" fontId="7" fillId="0" borderId="388" xfId="0" applyFont="1" applyBorder="1" applyAlignment="1">
      <alignment horizontal="left"/>
    </xf>
    <xf numFmtId="37" fontId="0" fillId="0" borderId="389" xfId="0" applyNumberFormat="1" applyBorder="1"/>
    <xf numFmtId="0" fontId="0" fillId="0" borderId="388" xfId="0" applyBorder="1" applyAlignment="1">
      <alignment horizontal="left"/>
    </xf>
    <xf numFmtId="37" fontId="0" fillId="0" borderId="399" xfId="0" applyNumberFormat="1" applyBorder="1"/>
    <xf numFmtId="0" fontId="7" fillId="0" borderId="397" xfId="0" applyFont="1" applyBorder="1"/>
    <xf numFmtId="37" fontId="7" fillId="0" borderId="390" xfId="0" applyNumberFormat="1" applyFont="1" applyBorder="1"/>
    <xf numFmtId="37" fontId="0" fillId="0" borderId="386" xfId="0" applyNumberFormat="1" applyBorder="1"/>
    <xf numFmtId="0" fontId="0" fillId="57" borderId="0" xfId="0" applyFill="1"/>
    <xf numFmtId="3" fontId="7" fillId="0" borderId="385" xfId="0" applyNumberFormat="1" applyFont="1" applyBorder="1"/>
    <xf numFmtId="3" fontId="0" fillId="61" borderId="400" xfId="0" applyNumberFormat="1" applyFill="1" applyBorder="1"/>
    <xf numFmtId="3" fontId="0" fillId="61" borderId="385" xfId="0" applyNumberFormat="1" applyFill="1" applyBorder="1"/>
    <xf numFmtId="3" fontId="0" fillId="62" borderId="387" xfId="0" applyNumberFormat="1" applyFill="1" applyBorder="1"/>
    <xf numFmtId="0" fontId="0" fillId="62" borderId="387" xfId="0" applyFill="1" applyBorder="1"/>
    <xf numFmtId="4" fontId="0" fillId="61" borderId="387" xfId="0" applyNumberFormat="1" applyFill="1" applyBorder="1"/>
    <xf numFmtId="3" fontId="0" fillId="0" borderId="385" xfId="0" applyNumberFormat="1" applyBorder="1"/>
    <xf numFmtId="3" fontId="0" fillId="62" borderId="385" xfId="0" applyNumberFormat="1" applyFill="1" applyBorder="1"/>
    <xf numFmtId="3" fontId="0" fillId="62" borderId="386" xfId="0" applyNumberFormat="1" applyFill="1" applyBorder="1"/>
    <xf numFmtId="3" fontId="166" fillId="0" borderId="353" xfId="0" applyNumberFormat="1" applyFont="1" applyBorder="1"/>
    <xf numFmtId="165" fontId="166" fillId="0" borderId="118" xfId="0" applyNumberFormat="1" applyFont="1" applyBorder="1"/>
    <xf numFmtId="0" fontId="166" fillId="0" borderId="118" xfId="0" applyFont="1" applyBorder="1"/>
    <xf numFmtId="0" fontId="166" fillId="0" borderId="117" xfId="0" applyFont="1" applyBorder="1"/>
    <xf numFmtId="3" fontId="7" fillId="61" borderId="387" xfId="0" applyNumberFormat="1" applyFont="1" applyFill="1" applyBorder="1"/>
    <xf numFmtId="0" fontId="166" fillId="0" borderId="401" xfId="0" applyFont="1" applyBorder="1"/>
    <xf numFmtId="165" fontId="166" fillId="0" borderId="0" xfId="0" applyNumberFormat="1" applyFont="1"/>
    <xf numFmtId="0" fontId="166" fillId="0" borderId="11" xfId="0" applyFont="1" applyBorder="1"/>
    <xf numFmtId="165" fontId="166" fillId="0" borderId="401" xfId="0" applyNumberFormat="1" applyFont="1" applyBorder="1"/>
    <xf numFmtId="3" fontId="0" fillId="61" borderId="387" xfId="0" applyNumberFormat="1" applyFill="1" applyBorder="1"/>
    <xf numFmtId="0" fontId="166" fillId="0" borderId="352" xfId="0" applyFont="1" applyBorder="1"/>
    <xf numFmtId="165" fontId="166" fillId="0" borderId="373" xfId="0" applyNumberFormat="1" applyFont="1" applyBorder="1"/>
    <xf numFmtId="0" fontId="166" fillId="0" borderId="373" xfId="0" applyFont="1" applyBorder="1"/>
    <xf numFmtId="0" fontId="166" fillId="0" borderId="351" xfId="0" applyFont="1" applyBorder="1"/>
    <xf numFmtId="0" fontId="7" fillId="61" borderId="391" xfId="0" applyFont="1" applyFill="1" applyBorder="1" applyAlignment="1">
      <alignment horizontal="center"/>
    </xf>
    <xf numFmtId="41" fontId="0" fillId="58" borderId="0" xfId="0" applyNumberFormat="1" applyFill="1"/>
    <xf numFmtId="3" fontId="0" fillId="0" borderId="398" xfId="0" applyNumberFormat="1" applyBorder="1"/>
    <xf numFmtId="3" fontId="0" fillId="58" borderId="398" xfId="0" applyNumberFormat="1" applyFill="1" applyBorder="1"/>
    <xf numFmtId="0" fontId="0" fillId="58" borderId="398" xfId="0" applyFill="1" applyBorder="1"/>
    <xf numFmtId="0" fontId="0" fillId="58" borderId="0" xfId="0" applyFill="1"/>
    <xf numFmtId="3" fontId="0" fillId="58" borderId="0" xfId="0" applyNumberFormat="1" applyFill="1"/>
    <xf numFmtId="41" fontId="0" fillId="58" borderId="398" xfId="0" applyNumberFormat="1" applyFill="1" applyBorder="1"/>
    <xf numFmtId="41" fontId="0" fillId="0" borderId="398" xfId="0" applyNumberFormat="1" applyBorder="1"/>
    <xf numFmtId="3" fontId="0" fillId="0" borderId="402" xfId="0" applyNumberFormat="1" applyBorder="1"/>
    <xf numFmtId="0" fontId="0" fillId="0" borderId="403" xfId="0" applyBorder="1"/>
    <xf numFmtId="0" fontId="0" fillId="0" borderId="404" xfId="0" applyBorder="1"/>
    <xf numFmtId="3" fontId="7" fillId="0" borderId="405" xfId="0" applyNumberFormat="1" applyFont="1" applyBorder="1"/>
    <xf numFmtId="0" fontId="0" fillId="0" borderId="406" xfId="0" applyBorder="1"/>
    <xf numFmtId="3" fontId="7" fillId="0" borderId="407" xfId="0" applyNumberFormat="1" applyFont="1" applyBorder="1"/>
    <xf numFmtId="0" fontId="0" fillId="0" borderId="406" xfId="0" applyBorder="1" applyAlignment="1">
      <alignment horizontal="right"/>
    </xf>
    <xf numFmtId="3" fontId="0" fillId="0" borderId="408" xfId="0" applyNumberFormat="1" applyBorder="1"/>
    <xf numFmtId="0" fontId="0" fillId="0" borderId="408" xfId="0" applyBorder="1"/>
    <xf numFmtId="0" fontId="7" fillId="0" borderId="405" xfId="0" applyFont="1" applyBorder="1" applyAlignment="1">
      <alignment horizontal="center"/>
    </xf>
    <xf numFmtId="0" fontId="0" fillId="0" borderId="409" xfId="0" applyBorder="1"/>
    <xf numFmtId="0" fontId="0" fillId="0" borderId="410" xfId="0" applyBorder="1"/>
    <xf numFmtId="0" fontId="0" fillId="0" borderId="411" xfId="0" applyBorder="1"/>
    <xf numFmtId="3" fontId="0" fillId="63" borderId="398" xfId="0" applyNumberFormat="1" applyFill="1" applyBorder="1"/>
    <xf numFmtId="0" fontId="0" fillId="63" borderId="398" xfId="0" applyFill="1" applyBorder="1"/>
    <xf numFmtId="3" fontId="0" fillId="64" borderId="398" xfId="0" applyNumberFormat="1" applyFill="1" applyBorder="1"/>
    <xf numFmtId="37" fontId="183" fillId="0" borderId="0" xfId="0" applyNumberFormat="1" applyFont="1"/>
    <xf numFmtId="37" fontId="184" fillId="0" borderId="0" xfId="0" applyNumberFormat="1" applyFont="1"/>
    <xf numFmtId="0" fontId="0" fillId="0" borderId="0" xfId="0" applyAlignment="1">
      <alignment horizontal="left" vertical="top" wrapText="1"/>
    </xf>
    <xf numFmtId="0" fontId="0" fillId="0" borderId="0" xfId="0" applyAlignment="1">
      <alignment horizontal="left" vertical="top"/>
    </xf>
    <xf numFmtId="41" fontId="0" fillId="0" borderId="0" xfId="0" applyNumberFormat="1" applyAlignment="1">
      <alignment horizontal="left" vertical="top"/>
    </xf>
    <xf numFmtId="41" fontId="0" fillId="65" borderId="373" xfId="0" applyNumberFormat="1" applyFill="1" applyBorder="1"/>
    <xf numFmtId="41" fontId="0" fillId="65" borderId="0" xfId="0" applyNumberFormat="1" applyFill="1"/>
    <xf numFmtId="0" fontId="0" fillId="65" borderId="0" xfId="0" applyFill="1"/>
    <xf numFmtId="0" fontId="180" fillId="0" borderId="0" xfId="0" applyFont="1" applyAlignment="1">
      <alignment vertical="top"/>
    </xf>
    <xf numFmtId="3" fontId="180" fillId="0" borderId="0" xfId="0" applyNumberFormat="1" applyFont="1" applyAlignment="1">
      <alignment vertical="top" wrapText="1"/>
    </xf>
    <xf numFmtId="3" fontId="7" fillId="0" borderId="387" xfId="0" applyNumberFormat="1" applyFont="1" applyBorder="1" applyAlignment="1">
      <alignment vertical="top" wrapText="1"/>
    </xf>
    <xf numFmtId="0" fontId="0" fillId="0" borderId="0" xfId="0" applyAlignment="1">
      <alignment vertical="top"/>
    </xf>
    <xf numFmtId="3" fontId="0" fillId="0" borderId="0" xfId="0" applyNumberFormat="1" applyAlignment="1">
      <alignment vertical="top"/>
    </xf>
    <xf numFmtId="3" fontId="7" fillId="0" borderId="387" xfId="0" applyNumberFormat="1" applyFont="1" applyBorder="1"/>
    <xf numFmtId="0" fontId="0" fillId="0" borderId="402" xfId="0" applyBorder="1"/>
    <xf numFmtId="37" fontId="0" fillId="0" borderId="403" xfId="0" applyNumberFormat="1" applyBorder="1"/>
    <xf numFmtId="0" fontId="180" fillId="0" borderId="406" xfId="0" applyFont="1" applyBorder="1" applyAlignment="1">
      <alignment vertical="top" wrapText="1"/>
    </xf>
    <xf numFmtId="3" fontId="0" fillId="0" borderId="403" xfId="0" applyNumberFormat="1" applyBorder="1"/>
    <xf numFmtId="0" fontId="182" fillId="0" borderId="0" xfId="0" applyFont="1" applyAlignment="1">
      <alignment horizontal="right"/>
    </xf>
    <xf numFmtId="0" fontId="182" fillId="0" borderId="0" xfId="0" applyFont="1"/>
    <xf numFmtId="9" fontId="0" fillId="0" borderId="408" xfId="0" applyNumberFormat="1" applyBorder="1"/>
    <xf numFmtId="165" fontId="0" fillId="0" borderId="0" xfId="0" applyNumberFormat="1"/>
    <xf numFmtId="165" fontId="0" fillId="0" borderId="0" xfId="28" applyNumberFormat="1" applyFont="1"/>
    <xf numFmtId="3" fontId="182" fillId="0" borderId="0" xfId="0" applyNumberFormat="1" applyFont="1"/>
    <xf numFmtId="37" fontId="182" fillId="0" borderId="0" xfId="0" applyNumberFormat="1" applyFont="1"/>
    <xf numFmtId="37" fontId="7" fillId="0" borderId="0" xfId="0" applyNumberFormat="1" applyFont="1"/>
    <xf numFmtId="37" fontId="0" fillId="0" borderId="0" xfId="0" applyNumberFormat="1" applyAlignment="1">
      <alignment horizontal="right"/>
    </xf>
    <xf numFmtId="40" fontId="0" fillId="0" borderId="0" xfId="0" applyNumberFormat="1"/>
    <xf numFmtId="38" fontId="0" fillId="0" borderId="0" xfId="0" applyNumberFormat="1"/>
    <xf numFmtId="43" fontId="0" fillId="0" borderId="0" xfId="0" applyNumberFormat="1"/>
    <xf numFmtId="4" fontId="0" fillId="0" borderId="0" xfId="0" applyNumberFormat="1"/>
    <xf numFmtId="0" fontId="7" fillId="0" borderId="0" xfId="0" applyFont="1" applyAlignment="1">
      <alignment horizontal="right"/>
    </xf>
    <xf numFmtId="3" fontId="7" fillId="0" borderId="0" xfId="0" applyNumberFormat="1" applyFont="1"/>
    <xf numFmtId="37" fontId="183" fillId="0" borderId="401" xfId="71" applyNumberFormat="1" applyFont="1" applyBorder="1" applyAlignment="1">
      <alignment horizontal="right" shrinkToFit="1"/>
    </xf>
    <xf numFmtId="165" fontId="0" fillId="58" borderId="0" xfId="0" applyNumberFormat="1" applyFill="1"/>
    <xf numFmtId="0" fontId="7" fillId="0" borderId="384" xfId="0" applyFont="1" applyBorder="1"/>
    <xf numFmtId="0" fontId="7" fillId="58" borderId="384" xfId="0" applyFont="1" applyFill="1" applyBorder="1"/>
    <xf numFmtId="0" fontId="7" fillId="0" borderId="412" xfId="0" applyFont="1" applyBorder="1"/>
    <xf numFmtId="0" fontId="7" fillId="0" borderId="413" xfId="0" applyFont="1" applyBorder="1"/>
    <xf numFmtId="165" fontId="7" fillId="58" borderId="0" xfId="0" applyNumberFormat="1" applyFont="1" applyFill="1"/>
    <xf numFmtId="165" fontId="0" fillId="0" borderId="384" xfId="0" applyNumberFormat="1" applyBorder="1"/>
    <xf numFmtId="3" fontId="7" fillId="58" borderId="0" xfId="0" applyNumberFormat="1" applyFont="1" applyFill="1"/>
    <xf numFmtId="0" fontId="186" fillId="0" borderId="0" xfId="0" applyFont="1" applyAlignment="1">
      <alignment horizontal="center"/>
    </xf>
    <xf numFmtId="0" fontId="7" fillId="56" borderId="385" xfId="0" applyFont="1" applyFill="1" applyBorder="1"/>
    <xf numFmtId="0" fontId="0" fillId="56" borderId="397" xfId="0" applyFill="1" applyBorder="1"/>
    <xf numFmtId="0" fontId="0" fillId="56" borderId="385" xfId="0" applyFill="1" applyBorder="1"/>
    <xf numFmtId="3" fontId="0" fillId="56" borderId="385" xfId="0" applyNumberFormat="1" applyFill="1" applyBorder="1"/>
    <xf numFmtId="10" fontId="180" fillId="0" borderId="0" xfId="0" applyNumberFormat="1" applyFont="1"/>
    <xf numFmtId="10" fontId="7" fillId="0" borderId="0" xfId="0" applyNumberFormat="1" applyFont="1"/>
    <xf numFmtId="0" fontId="187" fillId="0" borderId="0" xfId="72"/>
    <xf numFmtId="165" fontId="5" fillId="0" borderId="0" xfId="0" applyNumberFormat="1" applyFont="1" applyProtection="1">
      <protection locked="0"/>
    </xf>
    <xf numFmtId="0" fontId="188" fillId="58" borderId="0" xfId="0" applyFont="1" applyFill="1" applyAlignment="1">
      <alignment horizontal="center"/>
    </xf>
    <xf numFmtId="186" fontId="0" fillId="0" borderId="0" xfId="0" applyNumberFormat="1"/>
    <xf numFmtId="0" fontId="66" fillId="0" borderId="161" xfId="0" applyFont="1" applyBorder="1" applyAlignment="1">
      <alignment horizontal="center" wrapText="1"/>
    </xf>
    <xf numFmtId="6" fontId="73" fillId="65" borderId="174" xfId="0" applyNumberFormat="1" applyFont="1" applyFill="1" applyBorder="1"/>
    <xf numFmtId="170" fontId="2" fillId="65" borderId="173" xfId="30" applyNumberFormat="1" applyFont="1" applyFill="1" applyBorder="1"/>
    <xf numFmtId="6" fontId="64" fillId="0" borderId="414" xfId="0" applyNumberFormat="1" applyFont="1" applyBorder="1"/>
    <xf numFmtId="6" fontId="64" fillId="0" borderId="415" xfId="0" applyNumberFormat="1" applyFont="1" applyBorder="1"/>
    <xf numFmtId="37" fontId="183" fillId="59" borderId="0" xfId="0" applyNumberFormat="1" applyFont="1" applyFill="1"/>
    <xf numFmtId="3" fontId="0" fillId="66" borderId="385" xfId="0" applyNumberFormat="1" applyFill="1" applyBorder="1"/>
    <xf numFmtId="3" fontId="0" fillId="66" borderId="0" xfId="0" applyNumberFormat="1" applyFill="1"/>
    <xf numFmtId="0" fontId="0" fillId="66" borderId="0" xfId="0" applyFill="1"/>
    <xf numFmtId="4" fontId="0" fillId="66" borderId="0" xfId="0" applyNumberFormat="1" applyFill="1"/>
    <xf numFmtId="6" fontId="0" fillId="66" borderId="0" xfId="0" applyNumberFormat="1" applyFill="1"/>
    <xf numFmtId="0" fontId="2" fillId="66" borderId="0" xfId="0" applyFont="1" applyFill="1"/>
    <xf numFmtId="0" fontId="0" fillId="66" borderId="0" xfId="0" applyFill="1" applyAlignment="1">
      <alignment horizontal="right"/>
    </xf>
    <xf numFmtId="44" fontId="0" fillId="0" borderId="0" xfId="30" applyFont="1"/>
    <xf numFmtId="0" fontId="2" fillId="0" borderId="0" xfId="0" applyFont="1" applyAlignment="1">
      <alignment vertical="top"/>
    </xf>
    <xf numFmtId="0" fontId="2" fillId="0" borderId="0" xfId="0" applyFont="1" applyAlignment="1">
      <alignment vertical="top" wrapText="1"/>
    </xf>
    <xf numFmtId="0" fontId="34" fillId="0" borderId="12" xfId="0" applyFont="1" applyBorder="1" applyAlignment="1">
      <alignment horizontal="center"/>
    </xf>
    <xf numFmtId="0" fontId="34" fillId="0" borderId="13" xfId="0" applyFont="1" applyBorder="1" applyAlignment="1">
      <alignment horizontal="center"/>
    </xf>
    <xf numFmtId="0" fontId="34" fillId="0" borderId="19" xfId="0" applyFont="1" applyBorder="1" applyAlignment="1">
      <alignment horizontal="center"/>
    </xf>
    <xf numFmtId="0" fontId="8" fillId="0" borderId="14" xfId="0" applyFont="1" applyBorder="1" applyAlignment="1">
      <alignment horizontal="center"/>
    </xf>
    <xf numFmtId="0" fontId="8" fillId="0" borderId="15" xfId="0" applyFont="1" applyBorder="1" applyAlignment="1">
      <alignment horizontal="center"/>
    </xf>
    <xf numFmtId="0" fontId="8" fillId="0" borderId="23" xfId="48" applyFont="1" applyBorder="1" applyAlignment="1">
      <alignment horizontal="center"/>
    </xf>
    <xf numFmtId="0" fontId="8" fillId="0" borderId="24" xfId="48" applyFont="1" applyBorder="1" applyAlignment="1">
      <alignment horizontal="center"/>
    </xf>
    <xf numFmtId="0" fontId="8" fillId="0" borderId="25" xfId="48" applyFont="1" applyBorder="1" applyAlignment="1">
      <alignment horizontal="center"/>
    </xf>
    <xf numFmtId="0" fontId="2" fillId="0" borderId="0" xfId="0" applyFont="1" applyAlignment="1">
      <alignment horizontal="left" vertical="top" wrapText="1"/>
    </xf>
    <xf numFmtId="0" fontId="2" fillId="56" borderId="390" xfId="0" applyFont="1" applyFill="1" applyBorder="1"/>
    <xf numFmtId="0" fontId="2" fillId="56" borderId="385" xfId="0" applyFont="1" applyFill="1" applyBorder="1"/>
    <xf numFmtId="0" fontId="0" fillId="67" borderId="0" xfId="0" applyFill="1"/>
    <xf numFmtId="170" fontId="0" fillId="0" borderId="0" xfId="0" applyNumberFormat="1"/>
    <xf numFmtId="165" fontId="0" fillId="0" borderId="0" xfId="28" applyNumberFormat="1" applyFont="1" applyFill="1"/>
    <xf numFmtId="0" fontId="2" fillId="0" borderId="398" xfId="0" applyFont="1" applyBorder="1"/>
    <xf numFmtId="3" fontId="0" fillId="68" borderId="0" xfId="0" applyNumberFormat="1" applyFill="1"/>
    <xf numFmtId="165" fontId="0" fillId="0" borderId="387" xfId="28" applyNumberFormat="1" applyFont="1" applyFill="1" applyBorder="1"/>
    <xf numFmtId="0" fontId="189" fillId="0" borderId="0" xfId="74"/>
    <xf numFmtId="0" fontId="189" fillId="0" borderId="0" xfId="74" applyAlignment="1">
      <alignment vertical="top" wrapText="1"/>
    </xf>
    <xf numFmtId="44" fontId="189" fillId="0" borderId="0" xfId="74" applyNumberFormat="1"/>
    <xf numFmtId="43" fontId="0" fillId="0" borderId="0" xfId="29" applyFont="1"/>
    <xf numFmtId="41" fontId="189" fillId="0" borderId="384" xfId="74" applyNumberFormat="1" applyBorder="1"/>
    <xf numFmtId="41" fontId="189" fillId="0" borderId="0" xfId="74" applyNumberFormat="1"/>
    <xf numFmtId="41" fontId="189" fillId="0" borderId="385" xfId="74" applyNumberFormat="1" applyBorder="1"/>
    <xf numFmtId="44" fontId="180" fillId="0" borderId="0" xfId="74" applyNumberFormat="1" applyFont="1"/>
    <xf numFmtId="41" fontId="189" fillId="0" borderId="386" xfId="74" applyNumberFormat="1" applyBorder="1"/>
    <xf numFmtId="9" fontId="189" fillId="0" borderId="0" xfId="74" applyNumberFormat="1"/>
    <xf numFmtId="41" fontId="189" fillId="60" borderId="387" xfId="74" applyNumberFormat="1" applyFill="1" applyBorder="1"/>
    <xf numFmtId="2" fontId="189" fillId="0" borderId="0" xfId="74" applyNumberFormat="1"/>
    <xf numFmtId="0" fontId="181" fillId="0" borderId="0" xfId="74" applyFont="1"/>
    <xf numFmtId="0" fontId="189" fillId="0" borderId="389" xfId="74" applyBorder="1"/>
    <xf numFmtId="0" fontId="7" fillId="60" borderId="390" xfId="74" applyFont="1" applyFill="1" applyBorder="1" applyAlignment="1">
      <alignment horizontal="center"/>
    </xf>
    <xf numFmtId="0" fontId="7" fillId="60" borderId="391" xfId="74" applyFont="1" applyFill="1" applyBorder="1" applyAlignment="1">
      <alignment horizontal="center"/>
    </xf>
    <xf numFmtId="0" fontId="7" fillId="0" borderId="384" xfId="74" applyFont="1" applyBorder="1" applyAlignment="1">
      <alignment horizontal="center"/>
    </xf>
    <xf numFmtId="0" fontId="180" fillId="57" borderId="0" xfId="0" applyFont="1" applyFill="1"/>
    <xf numFmtId="0" fontId="0" fillId="0" borderId="0" xfId="74" applyFont="1"/>
    <xf numFmtId="0" fontId="189" fillId="0" borderId="0" xfId="74" applyAlignment="1">
      <alignment horizontal="right"/>
    </xf>
    <xf numFmtId="0" fontId="190" fillId="0" borderId="241" xfId="0" applyFont="1" applyBorder="1"/>
    <xf numFmtId="0" fontId="190" fillId="0" borderId="0" xfId="0" applyFont="1"/>
    <xf numFmtId="10" fontId="2" fillId="0" borderId="0" xfId="0" applyNumberFormat="1" applyFont="1"/>
    <xf numFmtId="10" fontId="2" fillId="0" borderId="0" xfId="55" applyNumberFormat="1" applyFont="1"/>
    <xf numFmtId="10" fontId="2" fillId="0" borderId="118" xfId="55" applyNumberFormat="1" applyFont="1" applyBorder="1"/>
    <xf numFmtId="10" fontId="2" fillId="67" borderId="0" xfId="55" applyNumberFormat="1" applyFont="1" applyFill="1"/>
    <xf numFmtId="10" fontId="2" fillId="67" borderId="118" xfId="55" applyNumberFormat="1" applyFont="1" applyFill="1" applyBorder="1"/>
    <xf numFmtId="168" fontId="2" fillId="0" borderId="0" xfId="55" applyNumberFormat="1" applyFont="1"/>
    <xf numFmtId="0" fontId="191" fillId="0" borderId="0" xfId="0" applyFont="1"/>
    <xf numFmtId="0" fontId="191" fillId="0" borderId="0" xfId="0" applyFont="1" applyAlignment="1">
      <alignment horizontal="center"/>
    </xf>
    <xf numFmtId="0" fontId="192" fillId="0" borderId="0" xfId="0" applyFont="1"/>
    <xf numFmtId="0" fontId="2" fillId="0" borderId="0" xfId="0" applyFont="1" applyAlignment="1">
      <alignment horizontal="centerContinuous"/>
    </xf>
    <xf numFmtId="10" fontId="2" fillId="0" borderId="0" xfId="55" applyNumberFormat="1" applyFont="1" applyFill="1"/>
    <xf numFmtId="10" fontId="2" fillId="0" borderId="118" xfId="55" applyNumberFormat="1" applyFont="1" applyFill="1" applyBorder="1"/>
    <xf numFmtId="169" fontId="12" fillId="24" borderId="48" xfId="30" applyNumberFormat="1" applyFont="1" applyFill="1" applyBorder="1" applyAlignment="1">
      <alignment horizontal="center"/>
    </xf>
    <xf numFmtId="170" fontId="4" fillId="0" borderId="0" xfId="30" applyNumberFormat="1" applyFont="1"/>
    <xf numFmtId="170" fontId="187" fillId="0" borderId="0" xfId="30" applyNumberFormat="1" applyFont="1"/>
    <xf numFmtId="170" fontId="4" fillId="0" borderId="0" xfId="68" applyNumberFormat="1"/>
    <xf numFmtId="0" fontId="74" fillId="0" borderId="0" xfId="42" applyAlignment="1">
      <alignment vertical="top"/>
    </xf>
    <xf numFmtId="0" fontId="74" fillId="56" borderId="0" xfId="42" applyFill="1" applyAlignment="1">
      <alignment vertical="top"/>
    </xf>
    <xf numFmtId="168" fontId="2" fillId="0" borderId="0" xfId="0" applyNumberFormat="1" applyFont="1"/>
    <xf numFmtId="0" fontId="2" fillId="0" borderId="0" xfId="0" applyFont="1" applyAlignment="1">
      <alignment horizontal="right"/>
    </xf>
    <xf numFmtId="0" fontId="2" fillId="58" borderId="0" xfId="0" applyFont="1" applyFill="1"/>
    <xf numFmtId="170" fontId="5" fillId="0" borderId="0" xfId="0" applyNumberFormat="1" applyFont="1"/>
    <xf numFmtId="6" fontId="0" fillId="57" borderId="0" xfId="0" applyNumberFormat="1" applyFill="1"/>
    <xf numFmtId="4" fontId="0" fillId="57" borderId="0" xfId="0" applyNumberFormat="1" applyFill="1"/>
    <xf numFmtId="41" fontId="0" fillId="60" borderId="386" xfId="0" applyNumberFormat="1" applyFill="1" applyBorder="1"/>
    <xf numFmtId="41" fontId="0" fillId="0" borderId="385" xfId="0" applyNumberFormat="1" applyBorder="1"/>
    <xf numFmtId="43" fontId="5" fillId="0" borderId="0" xfId="0" applyNumberFormat="1" applyFont="1" applyProtection="1">
      <protection locked="0"/>
    </xf>
    <xf numFmtId="43" fontId="0" fillId="0" borderId="0" xfId="65" applyFont="1"/>
    <xf numFmtId="0" fontId="0" fillId="0" borderId="0" xfId="0" pivotButton="1"/>
    <xf numFmtId="170" fontId="0" fillId="0" borderId="0" xfId="30" pivotButton="1" applyNumberFormat="1" applyFont="1"/>
    <xf numFmtId="165" fontId="0" fillId="0" borderId="0" xfId="65" applyNumberFormat="1" applyFont="1"/>
    <xf numFmtId="44" fontId="0" fillId="0" borderId="0" xfId="30" pivotButton="1" applyFont="1"/>
    <xf numFmtId="43" fontId="187" fillId="0" borderId="0" xfId="28" applyFont="1"/>
    <xf numFmtId="43" fontId="4" fillId="0" borderId="0" xfId="28" applyFont="1"/>
    <xf numFmtId="165" fontId="6" fillId="0" borderId="0" xfId="0" applyNumberFormat="1" applyFont="1"/>
    <xf numFmtId="165" fontId="12" fillId="69" borderId="32" xfId="28" applyNumberFormat="1" applyFont="1" applyFill="1" applyBorder="1" applyProtection="1">
      <protection locked="0"/>
    </xf>
    <xf numFmtId="38" fontId="12" fillId="69" borderId="32" xfId="28" applyNumberFormat="1" applyFont="1" applyFill="1" applyBorder="1" applyProtection="1">
      <protection locked="0"/>
    </xf>
    <xf numFmtId="38" fontId="8" fillId="69" borderId="29" xfId="48" applyNumberFormat="1" applyFont="1" applyFill="1" applyBorder="1" applyAlignment="1">
      <alignment horizontal="centerContinuous"/>
    </xf>
    <xf numFmtId="0" fontId="2" fillId="0" borderId="0" xfId="0" applyFont="1" applyProtection="1">
      <protection locked="0"/>
    </xf>
    <xf numFmtId="165" fontId="12" fillId="69" borderId="32" xfId="28" applyNumberFormat="1" applyFont="1" applyFill="1" applyBorder="1"/>
    <xf numFmtId="165" fontId="12" fillId="69" borderId="33" xfId="28" applyNumberFormat="1" applyFont="1" applyFill="1" applyBorder="1"/>
    <xf numFmtId="165" fontId="0" fillId="57" borderId="0" xfId="28" applyNumberFormat="1" applyFont="1" applyFill="1"/>
    <xf numFmtId="37" fontId="183" fillId="57" borderId="0" xfId="0" applyNumberFormat="1" applyFont="1" applyFill="1"/>
    <xf numFmtId="37" fontId="183" fillId="69" borderId="0" xfId="0" applyNumberFormat="1" applyFont="1" applyFill="1"/>
    <xf numFmtId="164" fontId="193" fillId="0" borderId="0" xfId="48" applyNumberFormat="1" applyFont="1" applyAlignment="1" applyProtection="1">
      <alignment horizontal="left"/>
      <protection locked="0"/>
    </xf>
    <xf numFmtId="3" fontId="0" fillId="57" borderId="385" xfId="0" applyNumberFormat="1" applyFill="1" applyBorder="1"/>
    <xf numFmtId="0" fontId="194" fillId="0" borderId="0" xfId="0" applyFont="1"/>
    <xf numFmtId="0" fontId="7" fillId="0" borderId="0" xfId="0" applyFont="1" applyAlignment="1">
      <alignment horizontal="left" vertical="top" wrapText="1"/>
    </xf>
    <xf numFmtId="0" fontId="182" fillId="65" borderId="118" xfId="0" applyFont="1" applyFill="1" applyBorder="1" applyAlignment="1">
      <alignment horizontal="center" vertical="top" wrapText="1"/>
    </xf>
    <xf numFmtId="0" fontId="7" fillId="0" borderId="0" xfId="0" applyFont="1" applyAlignment="1">
      <alignment vertical="top" wrapText="1"/>
    </xf>
    <xf numFmtId="0" fontId="7" fillId="57" borderId="0" xfId="0" applyFont="1" applyFill="1" applyAlignment="1">
      <alignment vertical="top" wrapText="1"/>
    </xf>
    <xf numFmtId="168" fontId="69" fillId="0" borderId="0" xfId="55" applyNumberFormat="1" applyFont="1" applyBorder="1" applyAlignment="1"/>
    <xf numFmtId="0" fontId="191" fillId="70" borderId="0" xfId="0" applyFont="1" applyFill="1" applyAlignment="1">
      <alignment horizontal="left"/>
    </xf>
    <xf numFmtId="0" fontId="2" fillId="70" borderId="0" xfId="0" applyFont="1" applyFill="1" applyAlignment="1">
      <alignment horizontal="centerContinuous"/>
    </xf>
    <xf numFmtId="4" fontId="0" fillId="56" borderId="0" xfId="0" applyNumberFormat="1" applyFill="1"/>
    <xf numFmtId="3" fontId="172" fillId="0" borderId="0" xfId="0" applyNumberFormat="1" applyFont="1"/>
    <xf numFmtId="6" fontId="0" fillId="56" borderId="0" xfId="0" applyNumberFormat="1" applyFill="1"/>
    <xf numFmtId="44" fontId="196" fillId="0" borderId="0" xfId="74" applyNumberFormat="1" applyFont="1"/>
    <xf numFmtId="44" fontId="131" fillId="0" borderId="0" xfId="74" applyNumberFormat="1" applyFont="1"/>
    <xf numFmtId="4" fontId="34" fillId="0" borderId="0" xfId="30" applyNumberFormat="1" applyFont="1" applyFill="1" applyBorder="1" applyAlignment="1" applyProtection="1">
      <alignment horizontal="right"/>
    </xf>
    <xf numFmtId="4" fontId="21" fillId="0" borderId="0" xfId="48" applyNumberFormat="1" applyFont="1" applyAlignment="1">
      <alignment horizontal="center"/>
    </xf>
    <xf numFmtId="165" fontId="12" fillId="53" borderId="32" xfId="28" applyNumberFormat="1" applyFont="1" applyFill="1" applyBorder="1" applyProtection="1">
      <protection locked="0"/>
    </xf>
    <xf numFmtId="38" fontId="12" fillId="53" borderId="32" xfId="28" applyNumberFormat="1" applyFont="1" applyFill="1" applyBorder="1" applyProtection="1">
      <protection locked="0"/>
    </xf>
    <xf numFmtId="165" fontId="12" fillId="53" borderId="32" xfId="28" applyNumberFormat="1" applyFont="1" applyFill="1" applyBorder="1" applyProtection="1"/>
    <xf numFmtId="165" fontId="12" fillId="53" borderId="281" xfId="28" applyNumberFormat="1" applyFont="1" applyFill="1" applyBorder="1" applyProtection="1"/>
    <xf numFmtId="9" fontId="172" fillId="0" borderId="0" xfId="55" applyFont="1" applyFill="1"/>
    <xf numFmtId="0" fontId="2" fillId="0" borderId="388" xfId="0" applyFont="1" applyBorder="1"/>
    <xf numFmtId="0" fontId="0" fillId="0" borderId="118" xfId="0" applyBorder="1"/>
    <xf numFmtId="0" fontId="7" fillId="0" borderId="388" xfId="0" applyFont="1" applyBorder="1"/>
    <xf numFmtId="41" fontId="0" fillId="0" borderId="0" xfId="0" applyNumberFormat="1" applyAlignment="1">
      <alignment horizontal="left" vertical="top" wrapText="1"/>
    </xf>
    <xf numFmtId="41" fontId="181" fillId="0" borderId="0" xfId="0" applyNumberFormat="1" applyFont="1" applyAlignment="1">
      <alignment horizontal="left" vertical="top" wrapText="1"/>
    </xf>
    <xf numFmtId="165" fontId="0" fillId="0" borderId="0" xfId="0" applyNumberFormat="1" applyAlignment="1">
      <alignment horizontal="left" vertical="top" wrapText="1"/>
    </xf>
    <xf numFmtId="41" fontId="7" fillId="0" borderId="387" xfId="0" applyNumberFormat="1" applyFont="1" applyBorder="1" applyAlignment="1">
      <alignment horizontal="left" vertical="top"/>
    </xf>
    <xf numFmtId="0" fontId="172" fillId="0" borderId="0" xfId="0" applyFont="1" applyAlignment="1">
      <alignment vertical="top"/>
    </xf>
    <xf numFmtId="0" fontId="74" fillId="0" borderId="0" xfId="42" applyAlignment="1">
      <alignment horizontal="left" vertical="top" wrapText="1"/>
    </xf>
    <xf numFmtId="0" fontId="4" fillId="0" borderId="0" xfId="42" applyFont="1" applyAlignment="1">
      <alignment horizontal="left" vertical="top" wrapText="1"/>
    </xf>
    <xf numFmtId="3" fontId="0" fillId="0" borderId="387" xfId="0" applyNumberFormat="1" applyBorder="1" applyAlignment="1">
      <alignment horizontal="left" vertical="top"/>
    </xf>
    <xf numFmtId="0" fontId="195" fillId="0" borderId="0" xfId="0" applyFont="1" applyAlignment="1">
      <alignment horizontal="left" vertical="top"/>
    </xf>
    <xf numFmtId="3" fontId="0" fillId="0" borderId="0" xfId="0" applyNumberFormat="1" applyAlignment="1">
      <alignment horizontal="left" vertical="top" wrapText="1"/>
    </xf>
    <xf numFmtId="0" fontId="74" fillId="0" borderId="0" xfId="42"/>
    <xf numFmtId="0" fontId="0" fillId="0" borderId="0" xfId="0" applyAlignment="1">
      <alignment wrapText="1"/>
    </xf>
    <xf numFmtId="0" fontId="4" fillId="0" borderId="0" xfId="42" applyFont="1"/>
    <xf numFmtId="10" fontId="12" fillId="53" borderId="48" xfId="55" applyNumberFormat="1" applyFont="1" applyFill="1" applyBorder="1" applyAlignment="1">
      <alignment horizontal="center"/>
    </xf>
    <xf numFmtId="10" fontId="12" fillId="53" borderId="32" xfId="55" applyNumberFormat="1" applyFont="1" applyFill="1" applyBorder="1" applyAlignment="1">
      <alignment horizontal="center"/>
    </xf>
    <xf numFmtId="165" fontId="5" fillId="0" borderId="0" xfId="28" applyNumberFormat="1" applyFont="1" applyFill="1" applyProtection="1">
      <protection locked="0"/>
    </xf>
    <xf numFmtId="0" fontId="171" fillId="0" borderId="0" xfId="48" applyFont="1" applyAlignment="1" applyProtection="1">
      <alignment horizontal="left"/>
      <protection locked="0"/>
    </xf>
    <xf numFmtId="165" fontId="12" fillId="53" borderId="33" xfId="28" applyNumberFormat="1" applyFont="1" applyFill="1" applyBorder="1"/>
    <xf numFmtId="43" fontId="5" fillId="0" borderId="0" xfId="28" applyFont="1" applyFill="1" applyProtection="1">
      <protection locked="0"/>
    </xf>
    <xf numFmtId="38" fontId="14" fillId="53" borderId="36" xfId="48" applyNumberFormat="1" applyFont="1" applyFill="1" applyBorder="1" applyAlignment="1" applyProtection="1">
      <alignment horizontal="right"/>
      <protection locked="0"/>
    </xf>
    <xf numFmtId="10" fontId="0" fillId="71" borderId="0" xfId="0" applyNumberFormat="1" applyFill="1"/>
    <xf numFmtId="0" fontId="197" fillId="72" borderId="0" xfId="0" applyFont="1" applyFill="1"/>
    <xf numFmtId="3" fontId="197" fillId="72" borderId="0" xfId="0" applyNumberFormat="1" applyFont="1" applyFill="1"/>
    <xf numFmtId="0" fontId="177" fillId="72" borderId="0" xfId="0" applyFont="1" applyFill="1" applyAlignment="1">
      <alignment horizontal="center"/>
    </xf>
    <xf numFmtId="0" fontId="177" fillId="72" borderId="384" xfId="0" applyFont="1" applyFill="1" applyBorder="1"/>
    <xf numFmtId="186" fontId="197" fillId="72" borderId="0" xfId="0" applyNumberFormat="1" applyFont="1" applyFill="1"/>
    <xf numFmtId="2" fontId="197" fillId="72" borderId="0" xfId="0" applyNumberFormat="1" applyFont="1" applyFill="1"/>
    <xf numFmtId="188" fontId="197" fillId="72" borderId="0" xfId="0" applyNumberFormat="1" applyFont="1" applyFill="1"/>
    <xf numFmtId="1" fontId="197" fillId="72" borderId="0" xfId="0" applyNumberFormat="1" applyFont="1" applyFill="1"/>
    <xf numFmtId="43" fontId="198" fillId="72" borderId="0" xfId="65" applyFont="1" applyFill="1" applyAlignment="1">
      <alignment horizontal="center"/>
    </xf>
    <xf numFmtId="187" fontId="199" fillId="72" borderId="0" xfId="73" applyNumberFormat="1" applyFont="1" applyFill="1"/>
    <xf numFmtId="0" fontId="177" fillId="72" borderId="390" xfId="0" applyFont="1" applyFill="1" applyBorder="1"/>
    <xf numFmtId="0" fontId="177" fillId="72" borderId="385" xfId="0" applyFont="1" applyFill="1" applyBorder="1"/>
    <xf numFmtId="3" fontId="177" fillId="72" borderId="385" xfId="0" applyNumberFormat="1" applyFont="1" applyFill="1" applyBorder="1"/>
    <xf numFmtId="4" fontId="177" fillId="72" borderId="385" xfId="0" applyNumberFormat="1" applyFont="1" applyFill="1" applyBorder="1"/>
    <xf numFmtId="0" fontId="177" fillId="72" borderId="397" xfId="0" applyFont="1" applyFill="1" applyBorder="1"/>
    <xf numFmtId="0" fontId="0" fillId="0" borderId="0" xfId="0" applyAlignment="1">
      <alignment horizontal="center"/>
    </xf>
    <xf numFmtId="0" fontId="7" fillId="0" borderId="0" xfId="0" applyFont="1" applyAlignment="1">
      <alignment horizontal="left"/>
    </xf>
    <xf numFmtId="0" fontId="7" fillId="0" borderId="0" xfId="0" applyFont="1" applyAlignment="1">
      <alignment horizontal="center"/>
    </xf>
    <xf numFmtId="0" fontId="34" fillId="0" borderId="12" xfId="0" applyFont="1" applyBorder="1" applyAlignment="1">
      <alignment horizontal="center"/>
    </xf>
    <xf numFmtId="0" fontId="34" fillId="0" borderId="13" xfId="0" applyFont="1" applyBorder="1" applyAlignment="1">
      <alignment horizontal="center"/>
    </xf>
    <xf numFmtId="0" fontId="34" fillId="0" borderId="19" xfId="0" applyFont="1" applyBorder="1" applyAlignment="1">
      <alignment horizontal="center"/>
    </xf>
    <xf numFmtId="0" fontId="8" fillId="0" borderId="287" xfId="48" applyFont="1" applyBorder="1" applyAlignment="1">
      <alignment horizontal="center" vertical="center"/>
    </xf>
    <xf numFmtId="0" fontId="8" fillId="0" borderId="73" xfId="48" applyFont="1" applyBorder="1" applyAlignment="1">
      <alignment horizontal="center" vertical="center"/>
    </xf>
    <xf numFmtId="0" fontId="8" fillId="0" borderId="14" xfId="48" applyFont="1" applyBorder="1" applyAlignment="1">
      <alignment horizontal="center" vertical="center"/>
    </xf>
    <xf numFmtId="0" fontId="8" fillId="0" borderId="65" xfId="48" applyFont="1" applyBorder="1" applyAlignment="1">
      <alignment horizontal="center" vertical="center"/>
    </xf>
    <xf numFmtId="38" fontId="8" fillId="0" borderId="43" xfId="48" applyNumberFormat="1" applyFont="1" applyBorder="1" applyAlignment="1">
      <alignment horizontal="center" vertical="center"/>
    </xf>
    <xf numFmtId="38" fontId="8" fillId="0" borderId="34" xfId="48" applyNumberFormat="1" applyFont="1" applyBorder="1" applyAlignment="1">
      <alignment horizontal="center" vertical="center"/>
    </xf>
    <xf numFmtId="0" fontId="8" fillId="0" borderId="14" xfId="48" applyFont="1" applyBorder="1" applyAlignment="1">
      <alignment horizontal="center"/>
    </xf>
    <xf numFmtId="0" fontId="8" fillId="0" borderId="0" xfId="48" applyFont="1" applyAlignment="1">
      <alignment horizontal="center"/>
    </xf>
    <xf numFmtId="0" fontId="8" fillId="0" borderId="15" xfId="48" applyFont="1" applyBorder="1" applyAlignment="1">
      <alignment horizontal="center"/>
    </xf>
    <xf numFmtId="0" fontId="8" fillId="0" borderId="14" xfId="0" applyFont="1" applyBorder="1" applyAlignment="1">
      <alignment horizontal="center"/>
    </xf>
    <xf numFmtId="0" fontId="8" fillId="0" borderId="0" xfId="0" applyFont="1" applyAlignment="1">
      <alignment horizontal="center"/>
    </xf>
    <xf numFmtId="0" fontId="8" fillId="0" borderId="15" xfId="0" applyFont="1" applyBorder="1" applyAlignment="1">
      <alignment horizontal="center"/>
    </xf>
    <xf numFmtId="0" fontId="8" fillId="27" borderId="211" xfId="48" applyFont="1" applyFill="1" applyBorder="1" applyAlignment="1" applyProtection="1">
      <alignment horizontal="center"/>
      <protection locked="0"/>
    </xf>
    <xf numFmtId="0" fontId="8" fillId="27" borderId="212" xfId="48" applyFont="1" applyFill="1" applyBorder="1" applyAlignment="1" applyProtection="1">
      <alignment horizontal="center"/>
      <protection locked="0"/>
    </xf>
    <xf numFmtId="0" fontId="8" fillId="27" borderId="213" xfId="48" applyFont="1" applyFill="1" applyBorder="1" applyAlignment="1" applyProtection="1">
      <alignment horizontal="center"/>
      <protection locked="0"/>
    </xf>
    <xf numFmtId="0" fontId="8" fillId="50" borderId="214" xfId="48" applyFont="1" applyFill="1" applyBorder="1" applyAlignment="1" applyProtection="1">
      <alignment horizontal="center"/>
      <protection locked="0"/>
    </xf>
    <xf numFmtId="0" fontId="8" fillId="50" borderId="114" xfId="48" applyFont="1" applyFill="1" applyBorder="1" applyAlignment="1" applyProtection="1">
      <alignment horizontal="center"/>
      <protection locked="0"/>
    </xf>
    <xf numFmtId="0" fontId="8" fillId="50" borderId="215" xfId="48" applyFont="1" applyFill="1" applyBorder="1" applyAlignment="1" applyProtection="1">
      <alignment horizontal="center"/>
      <protection locked="0"/>
    </xf>
    <xf numFmtId="14" fontId="8" fillId="50" borderId="216" xfId="48" applyNumberFormat="1" applyFont="1" applyFill="1" applyBorder="1" applyAlignment="1" applyProtection="1">
      <alignment horizontal="center"/>
      <protection locked="0"/>
    </xf>
    <xf numFmtId="0" fontId="8" fillId="50" borderId="217" xfId="48" applyFont="1" applyFill="1" applyBorder="1" applyAlignment="1" applyProtection="1">
      <alignment horizontal="center"/>
      <protection locked="0"/>
    </xf>
    <xf numFmtId="0" fontId="8" fillId="50" borderId="218" xfId="48" applyFont="1" applyFill="1" applyBorder="1" applyAlignment="1" applyProtection="1">
      <alignment horizontal="center"/>
      <protection locked="0"/>
    </xf>
    <xf numFmtId="0" fontId="156" fillId="0" borderId="112" xfId="48" applyFont="1" applyBorder="1" applyAlignment="1" applyProtection="1">
      <alignment horizontal="center"/>
      <protection locked="0"/>
    </xf>
    <xf numFmtId="0" fontId="156" fillId="0" borderId="101" xfId="48" applyFont="1" applyBorder="1" applyAlignment="1" applyProtection="1">
      <alignment horizontal="center"/>
      <protection locked="0"/>
    </xf>
    <xf numFmtId="0" fontId="156" fillId="0" borderId="110" xfId="48" applyFont="1" applyBorder="1" applyAlignment="1" applyProtection="1">
      <alignment horizontal="center"/>
      <protection locked="0"/>
    </xf>
    <xf numFmtId="0" fontId="10" fillId="0" borderId="14" xfId="48" applyFont="1" applyBorder="1" applyAlignment="1" applyProtection="1">
      <alignment horizontal="center"/>
      <protection locked="0"/>
    </xf>
    <xf numFmtId="0" fontId="10" fillId="0" borderId="0" xfId="48" applyFont="1" applyAlignment="1" applyProtection="1">
      <alignment horizontal="center"/>
      <protection locked="0"/>
    </xf>
    <xf numFmtId="0" fontId="10" fillId="0" borderId="15" xfId="48" applyFont="1" applyBorder="1" applyAlignment="1" applyProtection="1">
      <alignment horizontal="center"/>
      <protection locked="0"/>
    </xf>
    <xf numFmtId="38" fontId="8" fillId="0" borderId="44" xfId="48" applyNumberFormat="1" applyFont="1" applyBorder="1" applyAlignment="1">
      <alignment horizontal="center" vertical="center"/>
    </xf>
    <xf numFmtId="38" fontId="8" fillId="0" borderId="311" xfId="48" applyNumberFormat="1" applyFont="1" applyBorder="1" applyAlignment="1">
      <alignment horizontal="center" vertical="center" wrapText="1"/>
    </xf>
    <xf numFmtId="38" fontId="8" fillId="0" borderId="280" xfId="48" applyNumberFormat="1" applyFont="1" applyBorder="1" applyAlignment="1">
      <alignment horizontal="center" vertical="center" wrapText="1"/>
    </xf>
    <xf numFmtId="38" fontId="8" fillId="0" borderId="312" xfId="48" applyNumberFormat="1" applyFont="1" applyBorder="1" applyAlignment="1">
      <alignment horizontal="center" vertical="center" wrapText="1"/>
    </xf>
    <xf numFmtId="0" fontId="7" fillId="0" borderId="0" xfId="74" applyFont="1" applyAlignment="1">
      <alignment horizontal="left"/>
    </xf>
    <xf numFmtId="0" fontId="189" fillId="0" borderId="0" xfId="74" applyAlignment="1">
      <alignment horizontal="left" vertical="top" wrapText="1"/>
    </xf>
    <xf numFmtId="41" fontId="189" fillId="0" borderId="0" xfId="74" applyNumberFormat="1" applyAlignment="1">
      <alignment horizontal="center"/>
    </xf>
    <xf numFmtId="41" fontId="189" fillId="0" borderId="384" xfId="74" applyNumberFormat="1" applyBorder="1" applyAlignment="1">
      <alignment horizontal="center"/>
    </xf>
    <xf numFmtId="0" fontId="7" fillId="0" borderId="0" xfId="74" applyFont="1" applyAlignment="1">
      <alignment horizontal="center"/>
    </xf>
    <xf numFmtId="0" fontId="189" fillId="0" borderId="0" xfId="74" applyAlignment="1">
      <alignment horizontal="center"/>
    </xf>
    <xf numFmtId="0" fontId="7" fillId="0" borderId="390" xfId="0" applyFont="1" applyBorder="1" applyAlignment="1">
      <alignment horizontal="center"/>
    </xf>
    <xf numFmtId="0" fontId="7" fillId="0" borderId="385" xfId="0" applyFont="1" applyBorder="1" applyAlignment="1">
      <alignment horizontal="center"/>
    </xf>
    <xf numFmtId="0" fontId="7" fillId="0" borderId="397" xfId="0" applyFont="1" applyBorder="1" applyAlignment="1">
      <alignment horizontal="center"/>
    </xf>
    <xf numFmtId="0" fontId="7" fillId="0" borderId="396" xfId="0" applyFont="1" applyBorder="1" applyAlignment="1">
      <alignment horizontal="center"/>
    </xf>
    <xf numFmtId="0" fontId="7" fillId="0" borderId="395" xfId="0" applyFont="1" applyBorder="1" applyAlignment="1">
      <alignment horizontal="center"/>
    </xf>
    <xf numFmtId="0" fontId="7" fillId="0" borderId="394" xfId="0" applyFont="1" applyBorder="1" applyAlignment="1">
      <alignment horizontal="center"/>
    </xf>
    <xf numFmtId="0" fontId="7" fillId="0" borderId="384" xfId="0" applyFont="1" applyBorder="1" applyAlignment="1">
      <alignment horizontal="center"/>
    </xf>
    <xf numFmtId="0" fontId="180" fillId="0" borderId="0" xfId="0" applyFont="1" applyAlignment="1">
      <alignment horizontal="left" wrapText="1"/>
    </xf>
    <xf numFmtId="0" fontId="182" fillId="0" borderId="0" xfId="0" applyFont="1" applyAlignment="1">
      <alignment horizontal="left"/>
    </xf>
    <xf numFmtId="0" fontId="0" fillId="0" borderId="0" xfId="0" applyAlignment="1">
      <alignment horizontal="right"/>
    </xf>
    <xf numFmtId="0" fontId="0" fillId="0" borderId="390" xfId="0" applyBorder="1" applyAlignment="1">
      <alignment horizontal="center"/>
    </xf>
    <xf numFmtId="0" fontId="0" fillId="0" borderId="397" xfId="0" applyBorder="1" applyAlignment="1">
      <alignment horizontal="center"/>
    </xf>
    <xf numFmtId="0" fontId="7" fillId="57" borderId="0" xfId="0" applyFont="1" applyFill="1" applyAlignment="1">
      <alignment horizontal="center"/>
    </xf>
    <xf numFmtId="0" fontId="0" fillId="0" borderId="0" xfId="0" applyAlignment="1">
      <alignment horizontal="left" vertical="top" wrapText="1"/>
    </xf>
    <xf numFmtId="0" fontId="0" fillId="0" borderId="0" xfId="0" applyAlignment="1">
      <alignment horizontal="center" vertical="top" wrapText="1"/>
    </xf>
    <xf numFmtId="0" fontId="0" fillId="0" borderId="0" xfId="0" applyAlignment="1">
      <alignment vertical="top" wrapText="1"/>
    </xf>
    <xf numFmtId="0" fontId="0" fillId="0" borderId="0" xfId="0" applyAlignment="1">
      <alignment horizontal="center" wrapText="1"/>
    </xf>
    <xf numFmtId="0" fontId="0" fillId="0" borderId="0" xfId="0" applyAlignment="1">
      <alignment wrapText="1"/>
    </xf>
    <xf numFmtId="0" fontId="8" fillId="0" borderId="28" xfId="48" applyFont="1" applyBorder="1" applyAlignment="1">
      <alignment horizontal="center"/>
    </xf>
    <xf numFmtId="0" fontId="8" fillId="0" borderId="29" xfId="48" applyFont="1" applyBorder="1" applyAlignment="1">
      <alignment horizontal="center"/>
    </xf>
    <xf numFmtId="0" fontId="8" fillId="0" borderId="28" xfId="0" applyFont="1" applyBorder="1" applyAlignment="1">
      <alignment horizontal="center"/>
    </xf>
    <xf numFmtId="0" fontId="8" fillId="0" borderId="29" xfId="0" applyFont="1" applyBorder="1" applyAlignment="1">
      <alignment horizontal="center"/>
    </xf>
    <xf numFmtId="0" fontId="34" fillId="0" borderId="38" xfId="0" applyFont="1" applyBorder="1" applyAlignment="1">
      <alignment horizontal="center"/>
    </xf>
    <xf numFmtId="0" fontId="34" fillId="0" borderId="39" xfId="0" applyFont="1" applyBorder="1" applyAlignment="1">
      <alignment horizontal="center"/>
    </xf>
    <xf numFmtId="0" fontId="34" fillId="0" borderId="40" xfId="0" applyFont="1" applyBorder="1" applyAlignment="1">
      <alignment horizontal="center"/>
    </xf>
    <xf numFmtId="38" fontId="8" fillId="0" borderId="64" xfId="48" applyNumberFormat="1" applyFont="1" applyBorder="1" applyAlignment="1">
      <alignment horizontal="center" vertical="center" wrapText="1"/>
    </xf>
    <xf numFmtId="38" fontId="8" fillId="0" borderId="76" xfId="48" applyNumberFormat="1" applyFont="1" applyBorder="1" applyAlignment="1">
      <alignment horizontal="center" vertical="center" wrapText="1"/>
    </xf>
    <xf numFmtId="0" fontId="8" fillId="0" borderId="80" xfId="48" applyFont="1" applyBorder="1" applyAlignment="1">
      <alignment horizontal="center" vertical="center"/>
    </xf>
    <xf numFmtId="0" fontId="8" fillId="0" borderId="81" xfId="48" applyFont="1" applyBorder="1" applyAlignment="1">
      <alignment horizontal="center" vertical="center"/>
    </xf>
    <xf numFmtId="0" fontId="8" fillId="0" borderId="75" xfId="48" applyFont="1" applyBorder="1" applyAlignment="1">
      <alignment horizontal="center" vertical="center"/>
    </xf>
    <xf numFmtId="0" fontId="60" fillId="0" borderId="81" xfId="48" applyFont="1" applyBorder="1" applyAlignment="1">
      <alignment horizontal="center"/>
    </xf>
    <xf numFmtId="0" fontId="60" fillId="0" borderId="41" xfId="48" applyFont="1" applyBorder="1" applyAlignment="1">
      <alignment horizontal="center"/>
    </xf>
    <xf numFmtId="0" fontId="60" fillId="0" borderId="42" xfId="48" applyFont="1" applyBorder="1" applyAlignment="1">
      <alignment horizontal="center"/>
    </xf>
    <xf numFmtId="0" fontId="8" fillId="27" borderId="211" xfId="48" applyFont="1" applyFill="1" applyBorder="1" applyAlignment="1">
      <alignment horizontal="center"/>
    </xf>
    <xf numFmtId="0" fontId="8" fillId="27" borderId="212" xfId="48" applyFont="1" applyFill="1" applyBorder="1" applyAlignment="1">
      <alignment horizontal="center"/>
    </xf>
    <xf numFmtId="0" fontId="8" fillId="27" borderId="214" xfId="48" applyFont="1" applyFill="1" applyBorder="1" applyAlignment="1">
      <alignment horizontal="center"/>
    </xf>
    <xf numFmtId="0" fontId="8" fillId="27" borderId="114" xfId="48" applyFont="1" applyFill="1" applyBorder="1" applyAlignment="1">
      <alignment horizontal="center"/>
    </xf>
    <xf numFmtId="14" fontId="8" fillId="27" borderId="216" xfId="48" applyNumberFormat="1" applyFont="1" applyFill="1" applyBorder="1" applyAlignment="1">
      <alignment horizontal="center"/>
    </xf>
    <xf numFmtId="14" fontId="8" fillId="27" borderId="217" xfId="48" applyNumberFormat="1" applyFont="1" applyFill="1" applyBorder="1" applyAlignment="1">
      <alignment horizontal="center"/>
    </xf>
    <xf numFmtId="0" fontId="8" fillId="27" borderId="217" xfId="48" applyFont="1" applyFill="1" applyBorder="1" applyAlignment="1">
      <alignment horizontal="center"/>
    </xf>
    <xf numFmtId="0" fontId="8" fillId="27" borderId="218" xfId="48" applyFont="1" applyFill="1" applyBorder="1" applyAlignment="1">
      <alignment horizontal="center"/>
    </xf>
    <xf numFmtId="0" fontId="8" fillId="27" borderId="213" xfId="48" applyFont="1" applyFill="1" applyBorder="1" applyAlignment="1">
      <alignment horizontal="center"/>
    </xf>
    <xf numFmtId="0" fontId="8" fillId="27" borderId="215" xfId="48" applyFont="1" applyFill="1" applyBorder="1" applyAlignment="1">
      <alignment horizontal="center"/>
    </xf>
    <xf numFmtId="0" fontId="10" fillId="0" borderId="28" xfId="48" applyFont="1" applyBorder="1" applyAlignment="1">
      <alignment horizontal="center"/>
    </xf>
    <xf numFmtId="0" fontId="10" fillId="0" borderId="0" xfId="48" applyFont="1" applyAlignment="1">
      <alignment horizontal="center"/>
    </xf>
    <xf numFmtId="0" fontId="10" fillId="0" borderId="29" xfId="48" applyFont="1" applyBorder="1" applyAlignment="1">
      <alignment horizontal="center"/>
    </xf>
    <xf numFmtId="0" fontId="33" fillId="0" borderId="28" xfId="0" applyFont="1" applyBorder="1" applyAlignment="1">
      <alignment horizontal="left" wrapText="1"/>
    </xf>
    <xf numFmtId="0" fontId="33" fillId="0" borderId="0" xfId="0" applyFont="1" applyAlignment="1">
      <alignment horizontal="left" wrapText="1"/>
    </xf>
    <xf numFmtId="0" fontId="8" fillId="0" borderId="48" xfId="48" applyFont="1" applyBorder="1" applyAlignment="1">
      <alignment horizontal="center"/>
    </xf>
    <xf numFmtId="0" fontId="8" fillId="0" borderId="99" xfId="48" applyFont="1" applyBorder="1" applyAlignment="1">
      <alignment horizontal="center"/>
    </xf>
    <xf numFmtId="0" fontId="8" fillId="0" borderId="48" xfId="0" applyFont="1" applyBorder="1" applyAlignment="1">
      <alignment horizontal="center"/>
    </xf>
    <xf numFmtId="38" fontId="8" fillId="0" borderId="43" xfId="48" applyNumberFormat="1" applyFont="1" applyBorder="1" applyAlignment="1" applyProtection="1">
      <alignment horizontal="center" vertical="center"/>
      <protection locked="0"/>
    </xf>
    <xf numFmtId="38" fontId="8" fillId="0" borderId="34" xfId="48" applyNumberFormat="1" applyFont="1" applyBorder="1" applyAlignment="1" applyProtection="1">
      <alignment horizontal="center" vertical="center"/>
      <protection locked="0"/>
    </xf>
    <xf numFmtId="38" fontId="8" fillId="0" borderId="44" xfId="48" applyNumberFormat="1" applyFont="1" applyBorder="1" applyAlignment="1" applyProtection="1">
      <alignment horizontal="center" vertical="center"/>
      <protection locked="0"/>
    </xf>
    <xf numFmtId="38" fontId="8" fillId="0" borderId="64" xfId="48" applyNumberFormat="1" applyFont="1" applyBorder="1" applyAlignment="1" applyProtection="1">
      <alignment horizontal="center" vertical="center" wrapText="1"/>
      <protection locked="0"/>
    </xf>
    <xf numFmtId="38" fontId="8" fillId="0" borderId="66" xfId="48" applyNumberFormat="1" applyFont="1" applyBorder="1" applyAlignment="1" applyProtection="1">
      <alignment horizontal="center" vertical="center" wrapText="1"/>
      <protection locked="0"/>
    </xf>
    <xf numFmtId="38" fontId="8" fillId="0" borderId="76" xfId="48" applyNumberFormat="1" applyFont="1" applyBorder="1" applyAlignment="1" applyProtection="1">
      <alignment horizontal="center" vertical="center" wrapText="1"/>
      <protection locked="0"/>
    </xf>
    <xf numFmtId="38" fontId="8" fillId="0" borderId="313" xfId="48" applyNumberFormat="1" applyFont="1" applyBorder="1" applyAlignment="1">
      <alignment horizontal="center" vertical="center"/>
    </xf>
    <xf numFmtId="38" fontId="8" fillId="0" borderId="67" xfId="48" applyNumberFormat="1" applyFont="1" applyBorder="1" applyAlignment="1">
      <alignment horizontal="center" vertical="center"/>
    </xf>
    <xf numFmtId="0" fontId="8" fillId="0" borderId="38" xfId="48" applyFont="1" applyBorder="1" applyAlignment="1">
      <alignment horizontal="center" vertical="center"/>
    </xf>
    <xf numFmtId="0" fontId="8" fillId="0" borderId="85" xfId="48" applyFont="1" applyBorder="1" applyAlignment="1">
      <alignment horizontal="center" vertical="center"/>
    </xf>
    <xf numFmtId="0" fontId="8" fillId="0" borderId="28" xfId="48" applyFont="1" applyBorder="1" applyAlignment="1">
      <alignment horizontal="center" vertical="center"/>
    </xf>
    <xf numFmtId="0" fontId="8" fillId="0" borderId="30" xfId="48" applyFont="1" applyBorder="1" applyAlignment="1">
      <alignment horizontal="center" vertical="center"/>
    </xf>
    <xf numFmtId="0" fontId="8" fillId="0" borderId="68" xfId="48" applyFont="1" applyBorder="1" applyAlignment="1">
      <alignment horizontal="center" vertical="center"/>
    </xf>
    <xf numFmtId="38" fontId="22" fillId="0" borderId="313" xfId="48" applyNumberFormat="1" applyFont="1" applyBorder="1" applyAlignment="1">
      <alignment horizontal="center" vertical="center"/>
    </xf>
    <xf numFmtId="38" fontId="22" fillId="0" borderId="34" xfId="48" applyNumberFormat="1" applyFont="1" applyBorder="1" applyAlignment="1">
      <alignment horizontal="center" vertical="center"/>
    </xf>
    <xf numFmtId="38" fontId="22" fillId="0" borderId="67" xfId="48" applyNumberFormat="1" applyFont="1" applyBorder="1" applyAlignment="1">
      <alignment horizontal="center" vertical="center"/>
    </xf>
    <xf numFmtId="38" fontId="8" fillId="0" borderId="78" xfId="48" applyNumberFormat="1" applyFont="1" applyBorder="1" applyAlignment="1">
      <alignment horizontal="center" vertical="center" wrapText="1"/>
    </xf>
    <xf numFmtId="38" fontId="8" fillId="0" borderId="66" xfId="48" applyNumberFormat="1" applyFont="1" applyBorder="1" applyAlignment="1">
      <alignment horizontal="center" vertical="center" wrapText="1"/>
    </xf>
    <xf numFmtId="38" fontId="8" fillId="0" borderId="70" xfId="48" applyNumberFormat="1" applyFont="1" applyBorder="1" applyAlignment="1">
      <alignment horizontal="center" vertical="center" wrapText="1"/>
    </xf>
    <xf numFmtId="0" fontId="8" fillId="0" borderId="43" xfId="48" applyFont="1" applyBorder="1" applyAlignment="1">
      <alignment horizontal="center" vertical="center" wrapText="1"/>
    </xf>
    <xf numFmtId="0" fontId="8" fillId="0" borderId="34" xfId="48" applyFont="1" applyBorder="1" applyAlignment="1">
      <alignment horizontal="center" vertical="center" wrapText="1"/>
    </xf>
    <xf numFmtId="0" fontId="8" fillId="0" borderId="44" xfId="48" applyFont="1" applyBorder="1" applyAlignment="1">
      <alignment horizontal="center" vertical="center" wrapText="1"/>
    </xf>
    <xf numFmtId="0" fontId="197" fillId="72" borderId="0" xfId="0" applyFont="1" applyFill="1" applyAlignment="1">
      <alignment horizontal="center" wrapText="1"/>
    </xf>
    <xf numFmtId="0" fontId="197" fillId="72" borderId="0" xfId="0" applyFont="1" applyFill="1" applyAlignment="1">
      <alignment horizontal="center"/>
    </xf>
    <xf numFmtId="10" fontId="8" fillId="27" borderId="134" xfId="55" applyNumberFormat="1" applyFont="1" applyFill="1" applyBorder="1" applyAlignment="1">
      <alignment horizontal="center"/>
    </xf>
    <xf numFmtId="10" fontId="8" fillId="27" borderId="207" xfId="55" applyNumberFormat="1" applyFont="1" applyFill="1" applyBorder="1" applyAlignment="1">
      <alignment horizontal="center"/>
    </xf>
    <xf numFmtId="165" fontId="8" fillId="0" borderId="321" xfId="28" applyNumberFormat="1" applyFont="1" applyFill="1" applyBorder="1" applyAlignment="1">
      <alignment horizontal="center"/>
    </xf>
    <xf numFmtId="10" fontId="8" fillId="27" borderId="322" xfId="55" applyNumberFormat="1" applyFont="1" applyFill="1" applyBorder="1" applyAlignment="1">
      <alignment horizontal="center"/>
    </xf>
    <xf numFmtId="10" fontId="8" fillId="27" borderId="206" xfId="55" applyNumberFormat="1" applyFont="1" applyFill="1" applyBorder="1" applyAlignment="1">
      <alignment horizontal="center"/>
    </xf>
    <xf numFmtId="0" fontId="12" fillId="0" borderId="64" xfId="48" applyFont="1" applyBorder="1" applyAlignment="1">
      <alignment horizontal="center" vertical="center" wrapText="1"/>
    </xf>
    <xf numFmtId="0" fontId="12" fillId="0" borderId="76" xfId="48" applyFont="1" applyBorder="1" applyAlignment="1">
      <alignment horizontal="center" vertical="center" wrapText="1"/>
    </xf>
    <xf numFmtId="0" fontId="10" fillId="0" borderId="28" xfId="0" applyFont="1" applyBorder="1" applyAlignment="1">
      <alignment horizontal="center"/>
    </xf>
    <xf numFmtId="0" fontId="10" fillId="0" borderId="0" xfId="0" applyFont="1" applyAlignment="1">
      <alignment horizontal="center"/>
    </xf>
    <xf numFmtId="0" fontId="10" fillId="0" borderId="29" xfId="0" applyFont="1" applyBorder="1" applyAlignment="1">
      <alignment horizontal="center"/>
    </xf>
    <xf numFmtId="0" fontId="22" fillId="0" borderId="317" xfId="51" applyFont="1" applyBorder="1" applyAlignment="1">
      <alignment horizontal="center"/>
    </xf>
    <xf numFmtId="0" fontId="22" fillId="0" borderId="132" xfId="51" applyFont="1" applyBorder="1" applyAlignment="1">
      <alignment horizontal="center"/>
    </xf>
    <xf numFmtId="0" fontId="12" fillId="0" borderId="317" xfId="51" applyFont="1" applyBorder="1" applyAlignment="1">
      <alignment horizontal="center"/>
    </xf>
    <xf numFmtId="0" fontId="12" fillId="0" borderId="131" xfId="51" applyFont="1" applyBorder="1" applyAlignment="1">
      <alignment horizontal="center"/>
    </xf>
    <xf numFmtId="0" fontId="8" fillId="31" borderId="318" xfId="0" applyFont="1" applyFill="1" applyBorder="1" applyAlignment="1">
      <alignment horizontal="center" vertical="center"/>
    </xf>
    <xf numFmtId="0" fontId="8" fillId="31" borderId="73" xfId="0" applyFont="1" applyFill="1" applyBorder="1" applyAlignment="1">
      <alignment horizontal="center" vertical="center"/>
    </xf>
    <xf numFmtId="0" fontId="8" fillId="31" borderId="319" xfId="0" applyFont="1" applyFill="1" applyBorder="1" applyAlignment="1">
      <alignment horizontal="center" vertical="center"/>
    </xf>
    <xf numFmtId="0" fontId="8" fillId="31" borderId="75" xfId="0" applyFont="1" applyFill="1" applyBorder="1" applyAlignment="1">
      <alignment horizontal="center" vertical="center"/>
    </xf>
    <xf numFmtId="0" fontId="8" fillId="31" borderId="320" xfId="0" applyFont="1" applyFill="1" applyBorder="1" applyAlignment="1">
      <alignment horizontal="center" vertical="center"/>
    </xf>
    <xf numFmtId="0" fontId="8" fillId="31" borderId="314" xfId="0" applyFont="1" applyFill="1" applyBorder="1" applyAlignment="1">
      <alignment horizontal="center" vertical="center"/>
    </xf>
    <xf numFmtId="0" fontId="12" fillId="0" borderId="112" xfId="51" applyFont="1" applyBorder="1" applyAlignment="1">
      <alignment horizontal="center"/>
    </xf>
    <xf numFmtId="0" fontId="12" fillId="0" borderId="101" xfId="51" applyFont="1"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85" xfId="0" applyBorder="1" applyAlignment="1">
      <alignment horizontal="center"/>
    </xf>
    <xf numFmtId="0" fontId="0" fillId="0" borderId="28" xfId="0" applyBorder="1" applyAlignment="1">
      <alignment horizontal="center"/>
    </xf>
    <xf numFmtId="0" fontId="0" fillId="0" borderId="65" xfId="0" applyBorder="1" applyAlignment="1">
      <alignment horizontal="center"/>
    </xf>
    <xf numFmtId="0" fontId="0" fillId="0" borderId="81" xfId="0" applyBorder="1" applyAlignment="1">
      <alignment horizontal="center"/>
    </xf>
    <xf numFmtId="0" fontId="0" fillId="0" borderId="41" xfId="0" applyBorder="1" applyAlignment="1">
      <alignment horizontal="center"/>
    </xf>
    <xf numFmtId="0" fontId="0" fillId="0" borderId="75" xfId="0" applyBorder="1" applyAlignment="1">
      <alignment horizontal="center"/>
    </xf>
    <xf numFmtId="0" fontId="8" fillId="31" borderId="84" xfId="0" applyFont="1" applyFill="1" applyBorder="1" applyAlignment="1">
      <alignment horizontal="center" vertical="center" wrapText="1"/>
    </xf>
    <xf numFmtId="0" fontId="8" fillId="31" borderId="40" xfId="0" applyFont="1" applyFill="1" applyBorder="1" applyAlignment="1">
      <alignment horizontal="center" vertical="center" wrapText="1"/>
    </xf>
    <xf numFmtId="0" fontId="8" fillId="31" borderId="74" xfId="0" applyFont="1" applyFill="1" applyBorder="1" applyAlignment="1">
      <alignment horizontal="center" vertical="center" wrapText="1"/>
    </xf>
    <xf numFmtId="0" fontId="8" fillId="31" borderId="42" xfId="0" applyFont="1" applyFill="1" applyBorder="1" applyAlignment="1">
      <alignment horizontal="center" vertical="center" wrapText="1"/>
    </xf>
    <xf numFmtId="0" fontId="0" fillId="0" borderId="65" xfId="0" applyBorder="1" applyAlignment="1">
      <alignment horizontal="center" vertical="center" wrapText="1"/>
    </xf>
    <xf numFmtId="0" fontId="8" fillId="31" borderId="72" xfId="0" applyFont="1" applyFill="1" applyBorder="1" applyAlignment="1">
      <alignment horizontal="center" vertical="center" wrapText="1"/>
    </xf>
    <xf numFmtId="0" fontId="8" fillId="31" borderId="73" xfId="0" applyFont="1" applyFill="1" applyBorder="1" applyAlignment="1">
      <alignment horizontal="center" vertical="center" wrapText="1"/>
    </xf>
    <xf numFmtId="0" fontId="8" fillId="31" borderId="75" xfId="0" applyFont="1" applyFill="1" applyBorder="1" applyAlignment="1">
      <alignment horizontal="center" vertical="center" wrapText="1"/>
    </xf>
    <xf numFmtId="0" fontId="8" fillId="31" borderId="83" xfId="0" applyFont="1" applyFill="1" applyBorder="1" applyAlignment="1">
      <alignment horizontal="center" vertical="center" wrapText="1"/>
    </xf>
    <xf numFmtId="0" fontId="0" fillId="0" borderId="314" xfId="0" applyBorder="1" applyAlignment="1">
      <alignment horizontal="center" vertical="center" wrapText="1"/>
    </xf>
    <xf numFmtId="0" fontId="8" fillId="31" borderId="315" xfId="0" applyFont="1" applyFill="1" applyBorder="1" applyAlignment="1">
      <alignment horizontal="center" vertical="center" wrapText="1"/>
    </xf>
    <xf numFmtId="0" fontId="8" fillId="31" borderId="314" xfId="0" applyFont="1" applyFill="1" applyBorder="1" applyAlignment="1">
      <alignment horizontal="center" vertical="center" wrapText="1"/>
    </xf>
    <xf numFmtId="0" fontId="8" fillId="31" borderId="315" xfId="0" applyFont="1" applyFill="1" applyBorder="1" applyAlignment="1">
      <alignment horizontal="center" vertical="center"/>
    </xf>
    <xf numFmtId="0" fontId="8" fillId="31" borderId="316" xfId="0" applyFont="1" applyFill="1" applyBorder="1" applyAlignment="1">
      <alignment horizontal="center" vertical="center"/>
    </xf>
    <xf numFmtId="0" fontId="8" fillId="31" borderId="74" xfId="0" applyFont="1" applyFill="1" applyBorder="1" applyAlignment="1">
      <alignment horizontal="center" vertical="center"/>
    </xf>
    <xf numFmtId="0" fontId="8" fillId="31" borderId="42" xfId="0" applyFont="1" applyFill="1" applyBorder="1" applyAlignment="1">
      <alignment horizontal="center" vertical="center"/>
    </xf>
    <xf numFmtId="0" fontId="113" fillId="0" borderId="38" xfId="0" applyFont="1" applyBorder="1" applyAlignment="1">
      <alignment horizontal="center"/>
    </xf>
    <xf numFmtId="0" fontId="113" fillId="0" borderId="39" xfId="0" applyFont="1" applyBorder="1" applyAlignment="1">
      <alignment horizontal="center"/>
    </xf>
    <xf numFmtId="0" fontId="113" fillId="0" borderId="40" xfId="0" applyFont="1" applyBorder="1" applyAlignment="1">
      <alignment horizontal="center"/>
    </xf>
    <xf numFmtId="0" fontId="34" fillId="0" borderId="0" xfId="0" applyFont="1" applyAlignment="1">
      <alignment horizontal="center"/>
    </xf>
    <xf numFmtId="14" fontId="8" fillId="27" borderId="218" xfId="48" applyNumberFormat="1" applyFont="1" applyFill="1" applyBorder="1" applyAlignment="1">
      <alignment horizontal="center"/>
    </xf>
    <xf numFmtId="0" fontId="34" fillId="0" borderId="72" xfId="0" applyFont="1" applyBorder="1" applyAlignment="1">
      <alignment horizontal="center"/>
    </xf>
    <xf numFmtId="0" fontId="34" fillId="0" borderId="82" xfId="0" applyFont="1" applyBorder="1" applyAlignment="1">
      <alignment horizontal="center"/>
    </xf>
    <xf numFmtId="0" fontId="34" fillId="0" borderId="83" xfId="0" applyFont="1" applyBorder="1" applyAlignment="1">
      <alignment horizontal="center"/>
    </xf>
    <xf numFmtId="0" fontId="8" fillId="0" borderId="64" xfId="48" applyFont="1" applyBorder="1" applyAlignment="1">
      <alignment horizontal="center" vertical="center"/>
    </xf>
    <xf numFmtId="0" fontId="8" fillId="0" borderId="66" xfId="48" applyFont="1" applyBorder="1" applyAlignment="1">
      <alignment horizontal="center" vertical="center"/>
    </xf>
    <xf numFmtId="0" fontId="8" fillId="0" borderId="76" xfId="48" applyFont="1" applyBorder="1" applyAlignment="1">
      <alignment horizontal="center" vertical="center"/>
    </xf>
    <xf numFmtId="0" fontId="8" fillId="0" borderId="80" xfId="0" applyFont="1" applyBorder="1" applyAlignment="1">
      <alignment horizontal="center" vertical="center"/>
    </xf>
    <xf numFmtId="0" fontId="8" fillId="0" borderId="73" xfId="0" applyFont="1" applyBorder="1" applyAlignment="1">
      <alignment horizontal="center" vertical="center"/>
    </xf>
    <xf numFmtId="0" fontId="8" fillId="0" borderId="28" xfId="0" applyFont="1" applyBorder="1" applyAlignment="1">
      <alignment horizontal="center" vertical="center"/>
    </xf>
    <xf numFmtId="0" fontId="8" fillId="0" borderId="65" xfId="0" applyFont="1" applyBorder="1" applyAlignment="1">
      <alignment horizontal="center" vertical="center"/>
    </xf>
    <xf numFmtId="0" fontId="8" fillId="0" borderId="81" xfId="0" applyFont="1" applyBorder="1" applyAlignment="1">
      <alignment horizontal="center" vertical="center"/>
    </xf>
    <xf numFmtId="0" fontId="8" fillId="0" borderId="75" xfId="0" applyFont="1" applyBorder="1" applyAlignment="1">
      <alignment horizontal="center" vertical="center"/>
    </xf>
    <xf numFmtId="38" fontId="8" fillId="0" borderId="323" xfId="48" applyNumberFormat="1" applyFont="1" applyBorder="1" applyAlignment="1">
      <alignment horizontal="center" vertical="center"/>
    </xf>
    <xf numFmtId="0" fontId="123" fillId="0" borderId="324" xfId="0" applyFont="1" applyBorder="1" applyAlignment="1">
      <alignment horizontal="center" vertical="center"/>
    </xf>
    <xf numFmtId="0" fontId="123" fillId="0" borderId="331" xfId="0" applyFont="1" applyBorder="1" applyAlignment="1">
      <alignment horizontal="center" vertical="center"/>
    </xf>
    <xf numFmtId="0" fontId="123" fillId="0" borderId="65" xfId="0" applyFont="1" applyBorder="1" applyAlignment="1">
      <alignment horizontal="center" vertical="center"/>
    </xf>
    <xf numFmtId="0" fontId="123" fillId="0" borderId="68" xfId="0" applyFont="1" applyBorder="1" applyAlignment="1">
      <alignment horizontal="center" vertical="center"/>
    </xf>
    <xf numFmtId="0" fontId="8" fillId="0" borderId="72" xfId="48" applyFont="1" applyBorder="1" applyAlignment="1">
      <alignment horizontal="center" vertical="center"/>
    </xf>
    <xf numFmtId="0" fontId="123" fillId="0" borderId="73" xfId="0" applyFont="1" applyBorder="1" applyAlignment="1">
      <alignment horizontal="center" vertical="center"/>
    </xf>
    <xf numFmtId="0" fontId="123" fillId="0" borderId="74" xfId="0" applyFont="1" applyBorder="1" applyAlignment="1">
      <alignment horizontal="center" vertical="center"/>
    </xf>
    <xf numFmtId="0" fontId="123" fillId="0" borderId="75" xfId="0" applyFont="1" applyBorder="1" applyAlignment="1">
      <alignment horizontal="center" vertical="center"/>
    </xf>
    <xf numFmtId="38" fontId="8" fillId="0" borderId="332" xfId="48" applyNumberFormat="1" applyFont="1" applyBorder="1" applyAlignment="1">
      <alignment horizontal="center" vertical="center"/>
    </xf>
    <xf numFmtId="0" fontId="123" fillId="0" borderId="327" xfId="0" applyFont="1" applyBorder="1" applyAlignment="1">
      <alignment horizontal="center" vertical="center"/>
    </xf>
    <xf numFmtId="0" fontId="123" fillId="0" borderId="328" xfId="0" applyFont="1" applyBorder="1" applyAlignment="1">
      <alignment horizontal="center" vertical="center"/>
    </xf>
    <xf numFmtId="38" fontId="8" fillId="0" borderId="275" xfId="48" applyNumberFormat="1" applyFont="1" applyBorder="1" applyAlignment="1">
      <alignment horizontal="center" vertical="center"/>
    </xf>
    <xf numFmtId="0" fontId="123" fillId="0" borderId="136" xfId="0" applyFont="1" applyBorder="1" applyAlignment="1">
      <alignment horizontal="center" vertical="center"/>
    </xf>
    <xf numFmtId="0" fontId="123" fillId="0" borderId="181" xfId="0" applyFont="1" applyBorder="1" applyAlignment="1">
      <alignment horizontal="center" vertical="center"/>
    </xf>
    <xf numFmtId="38" fontId="8" fillId="0" borderId="333" xfId="48" applyNumberFormat="1" applyFont="1" applyBorder="1" applyAlignment="1">
      <alignment horizontal="center" vertical="center"/>
    </xf>
    <xf numFmtId="0" fontId="123" fillId="0" borderId="325" xfId="0" applyFont="1" applyBorder="1" applyAlignment="1">
      <alignment horizontal="center" vertical="center"/>
    </xf>
    <xf numFmtId="0" fontId="8" fillId="0" borderId="85" xfId="48" quotePrefix="1" applyFont="1" applyBorder="1" applyAlignment="1">
      <alignment horizontal="center" vertical="center"/>
    </xf>
    <xf numFmtId="0" fontId="124" fillId="0" borderId="65" xfId="0" applyFont="1" applyBorder="1" applyAlignment="1">
      <alignment vertical="center"/>
    </xf>
    <xf numFmtId="0" fontId="124" fillId="0" borderId="75" xfId="0" applyFont="1" applyBorder="1" applyAlignment="1">
      <alignment vertical="center"/>
    </xf>
    <xf numFmtId="0" fontId="8" fillId="0" borderId="84" xfId="48" applyFont="1" applyBorder="1" applyAlignment="1">
      <alignment horizontal="center" vertical="center" wrapText="1"/>
    </xf>
    <xf numFmtId="0" fontId="123" fillId="0" borderId="85" xfId="0" applyFont="1" applyBorder="1" applyAlignment="1">
      <alignment horizontal="center" vertical="center"/>
    </xf>
    <xf numFmtId="38" fontId="8" fillId="0" borderId="326" xfId="48" applyNumberFormat="1" applyFont="1" applyBorder="1" applyAlignment="1">
      <alignment horizontal="center" vertical="center"/>
    </xf>
    <xf numFmtId="0" fontId="123" fillId="0" borderId="334" xfId="0" applyFont="1" applyBorder="1" applyAlignment="1">
      <alignment horizontal="center" vertical="center"/>
    </xf>
    <xf numFmtId="38" fontId="8" fillId="0" borderId="329" xfId="48" applyNumberFormat="1" applyFont="1" applyBorder="1" applyAlignment="1">
      <alignment horizontal="center" vertical="center"/>
    </xf>
    <xf numFmtId="0" fontId="123" fillId="0" borderId="335" xfId="0" applyFont="1" applyBorder="1" applyAlignment="1">
      <alignment horizontal="center" vertical="center"/>
    </xf>
    <xf numFmtId="0" fontId="80" fillId="0" borderId="330" xfId="43" applyFont="1" applyBorder="1" applyAlignment="1">
      <alignment horizontal="center"/>
    </xf>
    <xf numFmtId="0" fontId="80" fillId="0" borderId="0" xfId="43" applyFont="1" applyAlignment="1">
      <alignment horizontal="center"/>
    </xf>
    <xf numFmtId="0" fontId="80" fillId="0" borderId="330" xfId="48" applyFont="1" applyBorder="1" applyAlignment="1">
      <alignment horizontal="center"/>
    </xf>
    <xf numFmtId="0" fontId="80" fillId="0" borderId="0" xfId="48" applyFont="1" applyAlignment="1">
      <alignment horizontal="center"/>
    </xf>
    <xf numFmtId="0" fontId="8" fillId="0" borderId="84" xfId="48" applyFont="1" applyBorder="1" applyAlignment="1">
      <alignment horizontal="center" vertical="center"/>
    </xf>
    <xf numFmtId="0" fontId="8" fillId="0" borderId="73" xfId="48" quotePrefix="1" applyFont="1" applyBorder="1" applyAlignment="1">
      <alignment horizontal="center" vertical="center"/>
    </xf>
    <xf numFmtId="0" fontId="8" fillId="0" borderId="72" xfId="48" applyFont="1" applyBorder="1" applyAlignment="1">
      <alignment horizontal="center" vertical="center" wrapText="1"/>
    </xf>
    <xf numFmtId="38" fontId="8" fillId="0" borderId="336" xfId="48" applyNumberFormat="1" applyFont="1" applyBorder="1" applyAlignment="1">
      <alignment horizontal="center" vertical="center"/>
    </xf>
    <xf numFmtId="0" fontId="123" fillId="0" borderId="330" xfId="0" applyFont="1" applyBorder="1" applyAlignment="1">
      <alignment horizontal="center" vertical="center"/>
    </xf>
    <xf numFmtId="0" fontId="123" fillId="0" borderId="337" xfId="0" applyFont="1" applyBorder="1" applyAlignment="1">
      <alignment horizontal="center" vertical="center"/>
    </xf>
    <xf numFmtId="0" fontId="8" fillId="0" borderId="23" xfId="48" applyFont="1" applyBorder="1" applyAlignment="1">
      <alignment horizontal="center"/>
    </xf>
    <xf numFmtId="0" fontId="8" fillId="0" borderId="24" xfId="48" applyFont="1" applyBorder="1" applyAlignment="1">
      <alignment horizontal="center"/>
    </xf>
    <xf numFmtId="0" fontId="8" fillId="0" borderId="25" xfId="48" applyFont="1" applyBorder="1" applyAlignment="1">
      <alignment horizontal="center"/>
    </xf>
    <xf numFmtId="0" fontId="8" fillId="27" borderId="210" xfId="48" applyFont="1" applyFill="1" applyBorder="1" applyAlignment="1">
      <alignment horizontal="center"/>
    </xf>
    <xf numFmtId="0" fontId="8" fillId="27" borderId="209" xfId="48" applyFont="1" applyFill="1" applyBorder="1" applyAlignment="1">
      <alignment horizontal="center"/>
    </xf>
    <xf numFmtId="38" fontId="8" fillId="0" borderId="14" xfId="48" applyNumberFormat="1" applyFont="1" applyBorder="1" applyAlignment="1">
      <alignment horizontal="center" vertical="center" wrapText="1"/>
    </xf>
  </cellXfs>
  <cellStyles count="7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omma 2" xfId="29" xr:uid="{00000000-0005-0000-0000-00001C000000}"/>
    <cellStyle name="Comma 3" xfId="61" xr:uid="{00000000-0005-0000-0000-00001D000000}"/>
    <cellStyle name="Comma 3 2" xfId="65" xr:uid="{00000000-0005-0000-0000-00001E000000}"/>
    <cellStyle name="Comma 6" xfId="62" xr:uid="{00000000-0005-0000-0000-00001F000000}"/>
    <cellStyle name="Comma 7" xfId="71" xr:uid="{11F1644E-2327-41BC-8FE2-1C98EF5A8103}"/>
    <cellStyle name="Currency" xfId="30" builtinId="4"/>
    <cellStyle name="Currency 2" xfId="31" xr:uid="{00000000-0005-0000-0000-000021000000}"/>
    <cellStyle name="Explanatory Text" xfId="32" builtinId="53" customBuiltin="1"/>
    <cellStyle name="Followed Hyperlink" xfId="66" builtinId="9" customBuiltin="1"/>
    <cellStyle name="Good" xfId="33" builtinId="26" customBuiltin="1"/>
    <cellStyle name="Heading 1" xfId="34" builtinId="16" customBuiltin="1"/>
    <cellStyle name="Heading 2" xfId="35" builtinId="17" customBuiltin="1"/>
    <cellStyle name="Heading 3" xfId="36" builtinId="18" customBuiltin="1"/>
    <cellStyle name="Heading 4" xfId="37" builtinId="19" customBuiltin="1"/>
    <cellStyle name="Hyperlink" xfId="38" builtinId="8" customBuiltin="1"/>
    <cellStyle name="Input" xfId="39" builtinId="20" customBuiltin="1"/>
    <cellStyle name="Linked Cell" xfId="40" builtinId="24" customBuiltin="1"/>
    <cellStyle name="Neutral" xfId="41" builtinId="28" customBuiltin="1"/>
    <cellStyle name="Normal" xfId="0" builtinId="0"/>
    <cellStyle name="Normal 10" xfId="69" xr:uid="{D7E5396A-E88C-4C1F-858B-DFE530F4C553}"/>
    <cellStyle name="Normal 2" xfId="42" xr:uid="{00000000-0005-0000-0000-00002E000000}"/>
    <cellStyle name="Normal 2 2" xfId="63" xr:uid="{00000000-0005-0000-0000-00002F000000}"/>
    <cellStyle name="Normal 2 3" xfId="72" xr:uid="{6F95A125-2C58-4549-8038-D591743676D6}"/>
    <cellStyle name="Normal 2 4" xfId="74" xr:uid="{66C5FBC6-1EF2-4A4C-AD6F-FE1B557BCDF6}"/>
    <cellStyle name="Normal 3" xfId="68" xr:uid="{F62287DA-1147-4B82-BFCF-76C61C360945}"/>
    <cellStyle name="Normal 8" xfId="70" xr:uid="{E973F663-1E69-411F-B402-110170B0BE79}"/>
    <cellStyle name="Normal 9" xfId="67" xr:uid="{00000000-0005-0000-0000-000030000000}"/>
    <cellStyle name="Normal_09 Forecast - Draft 8 2_PGE_ASC_Fcst_Mdl_FY2010-11_New_Res_Add_Logic_rbr_2_ALW007" xfId="43" xr:uid="{00000000-0005-0000-0000-000031000000}"/>
    <cellStyle name="Normal_09 Forecast - Draft 8 2_PGE_ASC_Forecast_Model_FY2010-11_Final" xfId="44" xr:uid="{00000000-0005-0000-0000-000032000000}"/>
    <cellStyle name="Normal_ASC 5_9_08 Avista_New Resources" xfId="45" xr:uid="{00000000-0005-0000-0000-000033000000}"/>
    <cellStyle name="Normal_Book1" xfId="46" xr:uid="{00000000-0005-0000-0000-000034000000}"/>
    <cellStyle name="Normal_Copy of Snohomish PUD ASC_Forecast_Model_FY2010-11_Rev02_report" xfId="47" xr:uid="{00000000-0005-0000-0000-000035000000}"/>
    <cellStyle name="Normal_Georgia Pacific annual loads Sep-Aug FINAL Mar 2006" xfId="73" xr:uid="{81C401F5-0857-4DF2-97A3-E2A550AE7D07}"/>
    <cellStyle name="Normal_Last Approved" xfId="48" xr:uid="{00000000-0005-0000-0000-000036000000}"/>
    <cellStyle name="Normal_NLSL_Essc_Test" xfId="49" xr:uid="{00000000-0005-0000-0000-000037000000}"/>
    <cellStyle name="Normal_Sheet1" xfId="50" xr:uid="{00000000-0005-0000-0000-000038000000}"/>
    <cellStyle name="Normal_Sheet2" xfId="51" xr:uid="{00000000-0005-0000-0000-000039000000}"/>
    <cellStyle name="Normal_Sheet7" xfId="52" xr:uid="{00000000-0005-0000-0000-00003A000000}"/>
    <cellStyle name="Note" xfId="53" builtinId="10" customBuiltin="1"/>
    <cellStyle name="Output" xfId="54" builtinId="21" customBuiltin="1"/>
    <cellStyle name="Percent" xfId="55" builtinId="5"/>
    <cellStyle name="Percent 2" xfId="56" xr:uid="{00000000-0005-0000-0000-00003E000000}"/>
    <cellStyle name="Percent 3" xfId="60" xr:uid="{00000000-0005-0000-0000-00003F000000}"/>
    <cellStyle name="Percent 3 2" xfId="64" xr:uid="{00000000-0005-0000-0000-000040000000}"/>
    <cellStyle name="Title" xfId="57" builtinId="15" customBuiltin="1"/>
    <cellStyle name="Total" xfId="58" builtinId="25" customBuiltin="1"/>
    <cellStyle name="Warning Text" xfId="59" builtinId="11" customBuiltin="1"/>
  </cellStyles>
  <dxfs count="23">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darkGray">
          <fgColor indexed="9"/>
          <bgColor indexed="50"/>
        </patternFill>
      </fill>
    </dxf>
    <dxf>
      <fill>
        <patternFill patternType="mediumGray">
          <fgColor indexed="22"/>
          <bgColor indexed="9"/>
        </patternFill>
      </fill>
    </dxf>
    <dxf>
      <fill>
        <patternFill patternType="darkGray">
          <fgColor indexed="9"/>
          <bgColor indexed="50"/>
        </patternFill>
      </fill>
    </dxf>
    <dxf>
      <fill>
        <patternFill patternType="mediumGray">
          <fgColor indexed="22"/>
          <bgColor indexed="9"/>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numFmt numFmtId="165" formatCode="_(* #,##0_);_(* \(#,##0\);_(* &quot;-&quot;??_);_(@_)"/>
    </dxf>
    <dxf>
      <numFmt numFmtId="165" formatCode="_(* #,##0_);_(* \(#,##0\);_(* &quot;-&quot;??_);_(@_)"/>
    </dxf>
    <dxf>
      <numFmt numFmtId="165" formatCode="_(* #,##0_);_(* \(#,##0\);_(* &quot;-&quot;??_);_(@_)"/>
    </dxf>
    <dxf>
      <numFmt numFmtId="165" formatCode="_(* #,##0_);_(* \(#,##0\);_(* &quot;-&quot;??_);_(@_)"/>
    </dxf>
    <dxf>
      <numFmt numFmtId="165" formatCode="_(* #,##0_);_(* \(#,##0\);_(* &quot;-&quot;??_);_(@_)"/>
    </dxf>
    <dxf>
      <numFmt numFmtId="170" formatCode="_(&quot;$&quot;* #,##0_);_(&quot;$&quot;* \(#,##0\);_(&quot;$&quot;* &quot;-&quot;??_);_(@_)"/>
    </dxf>
    <dxf>
      <numFmt numFmtId="170" formatCode="_(&quot;$&quot;* #,##0_);_(&quot;$&quot;* \(#,##0\);_(&quot;$&quot;* &quot;-&quot;??_);_(@_)"/>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CCFFFF"/>
      <color rgb="FF1DC4FF"/>
      <color rgb="FFE2D810"/>
      <color rgb="FFEEE41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externalLink" Target="externalLinks/externalLink2.xml"/><Relationship Id="rId84" Type="http://schemas.openxmlformats.org/officeDocument/2006/relationships/pivotCacheDefinition" Target="pivotCache/pivotCacheDefinition2.xml"/><Relationship Id="rId89"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externalLink" Target="externalLinks/externalLink5.xml"/><Relationship Id="rId87" Type="http://schemas.openxmlformats.org/officeDocument/2006/relationships/pivotCacheDefinition" Target="pivotCache/pivotCacheDefinition5.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externalLink" Target="externalLinks/externalLink8.xml"/><Relationship Id="rId90"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externalLink" Target="externalLinks/externalLink3.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externalLink" Target="externalLinks/externalLink6.xml"/><Relationship Id="rId85" Type="http://schemas.openxmlformats.org/officeDocument/2006/relationships/pivotCacheDefinition" Target="pivotCache/pivotCacheDefinition3.xml"/><Relationship Id="rId93"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externalLink" Target="externalLinks/externalLink1.xml"/><Relationship Id="rId83" Type="http://schemas.openxmlformats.org/officeDocument/2006/relationships/pivotCacheDefinition" Target="pivotCache/pivotCacheDefinition1.xml"/><Relationship Id="rId88" Type="http://schemas.openxmlformats.org/officeDocument/2006/relationships/pivotCacheDefinition" Target="pivotCache/pivotCacheDefinition6.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externalLink" Target="externalLinks/externalLink4.xml"/><Relationship Id="rId81" Type="http://schemas.openxmlformats.org/officeDocument/2006/relationships/externalLink" Target="externalLinks/externalLink7.xml"/><Relationship Id="rId86" Type="http://schemas.openxmlformats.org/officeDocument/2006/relationships/pivotCacheDefinition" Target="pivotCache/pivotCacheDefinition4.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vmlDrawing3.v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vmlDrawing4.vml.rels><?xml version="1.0" encoding="UTF-8" standalone="yes"?>
<Relationships xmlns="http://schemas.openxmlformats.org/package/2006/relationships"><Relationship Id="rId2" Type="http://schemas.openxmlformats.org/officeDocument/2006/relationships/image" Target="../media/image10.emf"/><Relationship Id="rId1" Type="http://schemas.openxmlformats.org/officeDocument/2006/relationships/image" Target="../media/image9.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10</xdr:col>
          <xdr:colOff>133350</xdr:colOff>
          <xdr:row>14</xdr:row>
          <xdr:rowOff>47625</xdr:rowOff>
        </xdr:from>
        <xdr:to>
          <xdr:col>10</xdr:col>
          <xdr:colOff>1028700</xdr:colOff>
          <xdr:row>14</xdr:row>
          <xdr:rowOff>771525</xdr:rowOff>
        </xdr:to>
        <xdr:sp macro="" textlink="">
          <xdr:nvSpPr>
            <xdr:cNvPr id="171009" name="Object 1" hidden="1">
              <a:extLst>
                <a:ext uri="{63B3BB69-23CF-44E3-9099-C40C66FF867C}">
                  <a14:compatExt spid="_x0000_s171009"/>
                </a:ext>
                <a:ext uri="{FF2B5EF4-FFF2-40B4-BE49-F238E27FC236}">
                  <a16:creationId xmlns:a16="http://schemas.microsoft.com/office/drawing/2014/main" id="{00000000-0008-0000-0B00-000001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66675</xdr:colOff>
          <xdr:row>15</xdr:row>
          <xdr:rowOff>104775</xdr:rowOff>
        </xdr:from>
        <xdr:to>
          <xdr:col>11</xdr:col>
          <xdr:colOff>523875</xdr:colOff>
          <xdr:row>15</xdr:row>
          <xdr:rowOff>561975</xdr:rowOff>
        </xdr:to>
        <xdr:sp macro="" textlink="">
          <xdr:nvSpPr>
            <xdr:cNvPr id="171010" name="Object 2" hidden="1">
              <a:extLst>
                <a:ext uri="{63B3BB69-23CF-44E3-9099-C40C66FF867C}">
                  <a14:compatExt spid="_x0000_s171010"/>
                </a:ext>
                <a:ext uri="{FF2B5EF4-FFF2-40B4-BE49-F238E27FC236}">
                  <a16:creationId xmlns:a16="http://schemas.microsoft.com/office/drawing/2014/main" id="{00000000-0008-0000-0B00-000002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552450</xdr:colOff>
          <xdr:row>15</xdr:row>
          <xdr:rowOff>95250</xdr:rowOff>
        </xdr:from>
        <xdr:to>
          <xdr:col>12</xdr:col>
          <xdr:colOff>352425</xdr:colOff>
          <xdr:row>15</xdr:row>
          <xdr:rowOff>561975</xdr:rowOff>
        </xdr:to>
        <xdr:sp macro="" textlink="">
          <xdr:nvSpPr>
            <xdr:cNvPr id="171011" name="Object 3" hidden="1">
              <a:extLst>
                <a:ext uri="{63B3BB69-23CF-44E3-9099-C40C66FF867C}">
                  <a14:compatExt spid="_x0000_s171011"/>
                </a:ext>
                <a:ext uri="{FF2B5EF4-FFF2-40B4-BE49-F238E27FC236}">
                  <a16:creationId xmlns:a16="http://schemas.microsoft.com/office/drawing/2014/main" id="{00000000-0008-0000-0B00-000003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47625</xdr:colOff>
          <xdr:row>19</xdr:row>
          <xdr:rowOff>57150</xdr:rowOff>
        </xdr:from>
        <xdr:to>
          <xdr:col>10</xdr:col>
          <xdr:colOff>609600</xdr:colOff>
          <xdr:row>19</xdr:row>
          <xdr:rowOff>771525</xdr:rowOff>
        </xdr:to>
        <xdr:sp macro="" textlink="">
          <xdr:nvSpPr>
            <xdr:cNvPr id="171012" name="Object 4" hidden="1">
              <a:extLst>
                <a:ext uri="{63B3BB69-23CF-44E3-9099-C40C66FF867C}">
                  <a14:compatExt spid="_x0000_s171012"/>
                </a:ext>
                <a:ext uri="{FF2B5EF4-FFF2-40B4-BE49-F238E27FC236}">
                  <a16:creationId xmlns:a16="http://schemas.microsoft.com/office/drawing/2014/main" id="{00000000-0008-0000-0B00-000004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733425</xdr:colOff>
          <xdr:row>19</xdr:row>
          <xdr:rowOff>38100</xdr:rowOff>
        </xdr:from>
        <xdr:to>
          <xdr:col>10</xdr:col>
          <xdr:colOff>1314450</xdr:colOff>
          <xdr:row>19</xdr:row>
          <xdr:rowOff>771525</xdr:rowOff>
        </xdr:to>
        <xdr:sp macro="" textlink="">
          <xdr:nvSpPr>
            <xdr:cNvPr id="171013" name="Object 5" hidden="1">
              <a:extLst>
                <a:ext uri="{63B3BB69-23CF-44E3-9099-C40C66FF867C}">
                  <a14:compatExt spid="_x0000_s171013"/>
                </a:ext>
                <a:ext uri="{FF2B5EF4-FFF2-40B4-BE49-F238E27FC236}">
                  <a16:creationId xmlns:a16="http://schemas.microsoft.com/office/drawing/2014/main" id="{00000000-0008-0000-0B00-000005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1419225</xdr:colOff>
          <xdr:row>19</xdr:row>
          <xdr:rowOff>57150</xdr:rowOff>
        </xdr:from>
        <xdr:to>
          <xdr:col>10</xdr:col>
          <xdr:colOff>1962150</xdr:colOff>
          <xdr:row>19</xdr:row>
          <xdr:rowOff>771525</xdr:rowOff>
        </xdr:to>
        <xdr:sp macro="" textlink="">
          <xdr:nvSpPr>
            <xdr:cNvPr id="171014" name="Object 6" hidden="1">
              <a:extLst>
                <a:ext uri="{63B3BB69-23CF-44E3-9099-C40C66FF867C}">
                  <a14:compatExt spid="_x0000_s171014"/>
                </a:ext>
                <a:ext uri="{FF2B5EF4-FFF2-40B4-BE49-F238E27FC236}">
                  <a16:creationId xmlns:a16="http://schemas.microsoft.com/office/drawing/2014/main" id="{00000000-0008-0000-0B00-000006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2705100</xdr:colOff>
          <xdr:row>19</xdr:row>
          <xdr:rowOff>57150</xdr:rowOff>
        </xdr:from>
        <xdr:to>
          <xdr:col>10</xdr:col>
          <xdr:colOff>3228975</xdr:colOff>
          <xdr:row>19</xdr:row>
          <xdr:rowOff>771525</xdr:rowOff>
        </xdr:to>
        <xdr:sp macro="" textlink="">
          <xdr:nvSpPr>
            <xdr:cNvPr id="171015" name="Object 7" hidden="1">
              <a:extLst>
                <a:ext uri="{63B3BB69-23CF-44E3-9099-C40C66FF867C}">
                  <a14:compatExt spid="_x0000_s171015"/>
                </a:ext>
                <a:ext uri="{FF2B5EF4-FFF2-40B4-BE49-F238E27FC236}">
                  <a16:creationId xmlns:a16="http://schemas.microsoft.com/office/drawing/2014/main" id="{00000000-0008-0000-0B00-000007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2028825</xdr:colOff>
          <xdr:row>19</xdr:row>
          <xdr:rowOff>47625</xdr:rowOff>
        </xdr:from>
        <xdr:to>
          <xdr:col>10</xdr:col>
          <xdr:colOff>2571750</xdr:colOff>
          <xdr:row>19</xdr:row>
          <xdr:rowOff>771525</xdr:rowOff>
        </xdr:to>
        <xdr:sp macro="" textlink="">
          <xdr:nvSpPr>
            <xdr:cNvPr id="171016" name="Object 8" hidden="1">
              <a:extLst>
                <a:ext uri="{63B3BB69-23CF-44E3-9099-C40C66FF867C}">
                  <a14:compatExt spid="_x0000_s171016"/>
                </a:ext>
                <a:ext uri="{FF2B5EF4-FFF2-40B4-BE49-F238E27FC236}">
                  <a16:creationId xmlns:a16="http://schemas.microsoft.com/office/drawing/2014/main" id="{00000000-0008-0000-0B00-0000089C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47625</xdr:colOff>
          <xdr:row>7</xdr:row>
          <xdr:rowOff>304800</xdr:rowOff>
        </xdr:from>
        <xdr:to>
          <xdr:col>12</xdr:col>
          <xdr:colOff>47625</xdr:colOff>
          <xdr:row>9</xdr:row>
          <xdr:rowOff>9525</xdr:rowOff>
        </xdr:to>
        <xdr:sp macro="" textlink="">
          <xdr:nvSpPr>
            <xdr:cNvPr id="172033" name="Object 1" hidden="1">
              <a:extLst>
                <a:ext uri="{63B3BB69-23CF-44E3-9099-C40C66FF867C}">
                  <a14:compatExt spid="_x0000_s172033"/>
                </a:ext>
                <a:ext uri="{FF2B5EF4-FFF2-40B4-BE49-F238E27FC236}">
                  <a16:creationId xmlns:a16="http://schemas.microsoft.com/office/drawing/2014/main" id="{00000000-0008-0000-0C00-000001A0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0</xdr:colOff>
          <xdr:row>14</xdr:row>
          <xdr:rowOff>190500</xdr:rowOff>
        </xdr:from>
        <xdr:to>
          <xdr:col>12</xdr:col>
          <xdr:colOff>228600</xdr:colOff>
          <xdr:row>17</xdr:row>
          <xdr:rowOff>76200</xdr:rowOff>
        </xdr:to>
        <xdr:sp macro="" textlink="">
          <xdr:nvSpPr>
            <xdr:cNvPr id="172034" name="Object 2" hidden="1">
              <a:extLst>
                <a:ext uri="{63B3BB69-23CF-44E3-9099-C40C66FF867C}">
                  <a14:compatExt spid="_x0000_s172034"/>
                </a:ext>
                <a:ext uri="{FF2B5EF4-FFF2-40B4-BE49-F238E27FC236}">
                  <a16:creationId xmlns:a16="http://schemas.microsoft.com/office/drawing/2014/main" id="{00000000-0008-0000-0C00-000002A0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10</xdr:col>
          <xdr:colOff>57150</xdr:colOff>
          <xdr:row>8</xdr:row>
          <xdr:rowOff>0</xdr:rowOff>
        </xdr:from>
        <xdr:to>
          <xdr:col>11</xdr:col>
          <xdr:colOff>285750</xdr:colOff>
          <xdr:row>9</xdr:row>
          <xdr:rowOff>133350</xdr:rowOff>
        </xdr:to>
        <xdr:sp macro="" textlink="">
          <xdr:nvSpPr>
            <xdr:cNvPr id="174081" name="Object 1" hidden="1">
              <a:extLst>
                <a:ext uri="{63B3BB69-23CF-44E3-9099-C40C66FF867C}">
                  <a14:compatExt spid="_x0000_s174081"/>
                </a:ext>
                <a:ext uri="{FF2B5EF4-FFF2-40B4-BE49-F238E27FC236}">
                  <a16:creationId xmlns:a16="http://schemas.microsoft.com/office/drawing/2014/main" id="{00000000-0008-0000-0E00-000001A802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123825</xdr:colOff>
      <xdr:row>0</xdr:row>
      <xdr:rowOff>161925</xdr:rowOff>
    </xdr:from>
    <xdr:to>
      <xdr:col>14</xdr:col>
      <xdr:colOff>0</xdr:colOff>
      <xdr:row>68</xdr:row>
      <xdr:rowOff>123825</xdr:rowOff>
    </xdr:to>
    <xdr:sp macro="" textlink="">
      <xdr:nvSpPr>
        <xdr:cNvPr id="2" name="TextBox 1">
          <a:extLst>
            <a:ext uri="{FF2B5EF4-FFF2-40B4-BE49-F238E27FC236}">
              <a16:creationId xmlns:a16="http://schemas.microsoft.com/office/drawing/2014/main" id="{D1B2426B-F494-946B-E9C7-336588B5AB1E}"/>
            </a:ext>
          </a:extLst>
        </xdr:cNvPr>
        <xdr:cNvSpPr txBox="1"/>
      </xdr:nvSpPr>
      <xdr:spPr>
        <a:xfrm>
          <a:off x="123825" y="161925"/>
          <a:ext cx="15049500" cy="13563600"/>
        </a:xfrm>
        <a:prstGeom prst="rect">
          <a:avLst/>
        </a:prstGeom>
        <a:solidFill>
          <a:schemeClr val="tx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01u66\c01u66\MLL7557\My%20Documents\Avista%20Corp_Appendix_1_2025-2026_FP.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_FPS-PRODUCTS\PriceModels\Post2001\FPM\FPM_NEW-SUMY.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_FPS-PRODUCTS\Rates-01\MicroFin_2Oct9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Financial%20Reporting\BPA%20Average%20System%20Cost%20-%20Annual%20Report\2022\Supporting%20Documentation%20Used\12E-2021.12_Avista%20Electric%20Pull.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TEMP\fpm100299p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_FPS-PRODUCTS\Rates-01\FPM-rate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mll7557\AppData\Local\Microsoft\Windows\INetCache\Content.Outlook\06QG2ZF8\12E-202312_Avista%20Electric%20Pull.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mll7557\AppData\Local\Microsoft\Windows\INetCache\Content.Outlook\06QG2ZF8\NLSL%20Avista%202023%20Base%20Ye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s_2022-23"/>
      <sheetName val="TOC"/>
      <sheetName val="Sch 1- Rate Base "/>
      <sheetName val="Sch 1A - Cash Working Capital"/>
      <sheetName val="Sch 2 -Rate of Return"/>
      <sheetName val="Sch 3 - Expenses"/>
      <sheetName val="Sch 3A - Taxes"/>
      <sheetName val="Sch 3B - Other Items"/>
      <sheetName val="Sch 4 - Average System Cost"/>
      <sheetName val="1.1 Intangible Assets Summary"/>
      <sheetName val="1.1a Intangible Detail"/>
      <sheetName val="1.1b Intangible Soft. 303100"/>
      <sheetName val="Intangible Reserve 1.1c"/>
      <sheetName val="1.3 Common Plt Summary "/>
      <sheetName val="1.3a Common Plant"/>
      <sheetName val="1.3b Common Plt Acc. Depr"/>
      <sheetName val="1.3c Common Amort Exp"/>
      <sheetName val="1.4 Reg Assets"/>
      <sheetName val="1.5 Misc. Def. Debits"/>
      <sheetName val="1.6 Misc. Def. Credits"/>
      <sheetName val="1.7 Reg Liabilities"/>
      <sheetName val="3.1 908 Detail"/>
      <sheetName val="3.2 557 Detail"/>
      <sheetName val="3b.1 Other Exp. Support"/>
      <sheetName val="3B.2 Revenue"/>
      <sheetName val="4.1 NLSL SUMMARY - Lg WA 1"/>
      <sheetName val="SUMMARY - Lg ID 1"/>
      <sheetName val="4.2 Dist Losses"/>
      <sheetName val="3-YEAR PP &amp; OSS Worksheet"/>
      <sheetName val="Load Forecast"/>
      <sheetName val="Salaries"/>
      <sheetName val="Distribution Loss Calc"/>
      <sheetName val="Ratios"/>
      <sheetName val="A-RHWM_Ratios"/>
      <sheetName val="New Resources - Individual"/>
      <sheetName val="New Resources - Group"/>
      <sheetName val="Materiality - Individual"/>
      <sheetName val="NLSL_Base_New-Calc"/>
      <sheetName val="Wind_Resources_Costs"/>
      <sheetName val="Materiality -  Group"/>
      <sheetName val="Above-RHWM_Base_Calc"/>
      <sheetName val="Tiered Rates"/>
      <sheetName val="110-111"/>
      <sheetName val="112-113"/>
      <sheetName val="FERC 114-117"/>
      <sheetName val="200-201"/>
      <sheetName val="202-203"/>
      <sheetName val="Acerno_Cache_XXXXX"/>
      <sheetName val="204-207"/>
      <sheetName val="219"/>
      <sheetName val="219-1"/>
      <sheetName val="232"/>
      <sheetName val="233"/>
      <sheetName val="233-1"/>
      <sheetName val="256-257"/>
      <sheetName val="262-263"/>
      <sheetName val="262 FERC Taxes Cleaned Up"/>
      <sheetName val="269"/>
      <sheetName val="278"/>
      <sheetName val="FERC 300b Op Revenues"/>
      <sheetName val="300b-1"/>
      <sheetName val="310-311"/>
      <sheetName val="310-311 Pivot"/>
      <sheetName val="336"/>
      <sheetName val="320-323"/>
      <sheetName val="326-327"/>
      <sheetName val="326-327 Pivot"/>
      <sheetName val="326-327-1"/>
      <sheetName val="336-1"/>
      <sheetName val="336-2"/>
      <sheetName val="354"/>
      <sheetName val="FERC 401a Elec Energy Acct"/>
      <sheetName val="401a-1"/>
      <sheetName val="Export"/>
      <sheetName val="_56F9DC9755BA473782653E2940F9"/>
    </sheetNames>
    <sheetDataSet>
      <sheetData sheetId="0"/>
      <sheetData sheetId="1"/>
      <sheetData sheetId="2">
        <row r="1">
          <cell r="A1" t="str">
            <v>BONNEVILLE POWER ADMINISTRATION</v>
          </cell>
          <cell r="B1"/>
          <cell r="C1"/>
          <cell r="D1"/>
          <cell r="E1"/>
          <cell r="F1"/>
          <cell r="G1"/>
          <cell r="H1"/>
          <cell r="I1"/>
          <cell r="J1"/>
          <cell r="P1" t="str">
            <v>DIRECT</v>
          </cell>
          <cell r="Q1" t="str">
            <v>DIRECT</v>
          </cell>
          <cell r="R1" t="str">
            <v>DIRECT</v>
          </cell>
        </row>
        <row r="2">
          <cell r="A2" t="str">
            <v>RESIDENTIAL PURCHASE AND SALES AGREEMENT</v>
          </cell>
          <cell r="B2"/>
          <cell r="C2"/>
          <cell r="D2"/>
          <cell r="E2"/>
          <cell r="F2"/>
          <cell r="G2"/>
          <cell r="H2"/>
          <cell r="I2"/>
          <cell r="J2"/>
          <cell r="P2"/>
          <cell r="Q2"/>
          <cell r="R2"/>
        </row>
        <row r="3">
          <cell r="A3" t="str">
            <v>2008 Average System Cost Methodology (ASCM) Appendix 1</v>
          </cell>
          <cell r="B3"/>
          <cell r="C3"/>
          <cell r="D3"/>
          <cell r="E3"/>
          <cell r="F3"/>
          <cell r="G3"/>
          <cell r="H3"/>
          <cell r="I3"/>
          <cell r="J3"/>
          <cell r="P3" t="str">
            <v>PTD</v>
          </cell>
          <cell r="Q3" t="str">
            <v>DIST</v>
          </cell>
          <cell r="R3" t="str">
            <v>PROD</v>
          </cell>
        </row>
        <row r="5">
          <cell r="D5" t="str">
            <v>UTILITY NAME:</v>
          </cell>
          <cell r="E5" t="str">
            <v>Avista Corp</v>
          </cell>
          <cell r="F5"/>
          <cell r="G5"/>
        </row>
        <row r="6">
          <cell r="D6" t="str">
            <v>End of Year Report Period:</v>
          </cell>
          <cell r="E6">
            <v>2023</v>
          </cell>
          <cell r="F6"/>
          <cell r="G6"/>
        </row>
        <row r="7">
          <cell r="D7" t="str">
            <v>ASC Filing Date:</v>
          </cell>
          <cell r="E7">
            <v>45474</v>
          </cell>
          <cell r="F7"/>
          <cell r="G7"/>
        </row>
        <row r="16">
          <cell r="C16" t="str">
            <v>204-207</v>
          </cell>
          <cell r="D16">
            <v>301</v>
          </cell>
          <cell r="E16" t="str">
            <v>DIST</v>
          </cell>
          <cell r="F16" t="str">
            <v xml:space="preserve"> </v>
          </cell>
          <cell r="G16">
            <v>0</v>
          </cell>
          <cell r="H16">
            <v>0</v>
          </cell>
          <cell r="I16">
            <v>0</v>
          </cell>
          <cell r="J16">
            <v>0</v>
          </cell>
        </row>
        <row r="17">
          <cell r="C17" t="str">
            <v>204-207</v>
          </cell>
          <cell r="D17">
            <v>302</v>
          </cell>
          <cell r="E17" t="str">
            <v>DIRECT</v>
          </cell>
          <cell r="F17" t="str">
            <v>PTD</v>
          </cell>
          <cell r="G17">
            <v>46804271</v>
          </cell>
          <cell r="H17">
            <v>42107007.580000006</v>
          </cell>
          <cell r="I17">
            <v>1942210.47</v>
          </cell>
          <cell r="J17">
            <v>0</v>
          </cell>
        </row>
        <row r="18">
          <cell r="C18" t="str">
            <v>204-207</v>
          </cell>
          <cell r="D18">
            <v>303</v>
          </cell>
          <cell r="E18" t="str">
            <v>DIRECT</v>
          </cell>
          <cell r="F18" t="str">
            <v>DIST</v>
          </cell>
          <cell r="G18">
            <v>57840902</v>
          </cell>
          <cell r="H18">
            <v>14357987.999335889</v>
          </cell>
          <cell r="I18">
            <v>7595698.8665776234</v>
          </cell>
          <cell r="J18">
            <v>3774072.5440864898</v>
          </cell>
        </row>
        <row r="19">
          <cell r="G19">
            <v>104645173</v>
          </cell>
          <cell r="H19">
            <v>56464995.579335898</v>
          </cell>
          <cell r="I19">
            <v>9537909.3365776241</v>
          </cell>
          <cell r="J19">
            <v>3774072.5440864898</v>
          </cell>
        </row>
        <row r="22">
          <cell r="C22" t="str">
            <v>204-207</v>
          </cell>
          <cell r="D22" t="str">
            <v>310-317</v>
          </cell>
          <cell r="E22" t="str">
            <v>PROD</v>
          </cell>
          <cell r="F22"/>
          <cell r="G22">
            <v>494693042</v>
          </cell>
          <cell r="H22">
            <v>494693042</v>
          </cell>
          <cell r="I22">
            <v>0</v>
          </cell>
          <cell r="J22">
            <v>0</v>
          </cell>
        </row>
        <row r="23">
          <cell r="C23" t="str">
            <v>204-207</v>
          </cell>
          <cell r="D23" t="str">
            <v>320-326</v>
          </cell>
          <cell r="E23" t="str">
            <v>PROD</v>
          </cell>
          <cell r="F23"/>
          <cell r="G23">
            <v>0</v>
          </cell>
          <cell r="H23">
            <v>0</v>
          </cell>
          <cell r="I23">
            <v>0</v>
          </cell>
          <cell r="J23">
            <v>0</v>
          </cell>
        </row>
        <row r="24">
          <cell r="C24" t="str">
            <v>204-207</v>
          </cell>
          <cell r="D24" t="str">
            <v>330-337</v>
          </cell>
          <cell r="E24" t="str">
            <v>PROD</v>
          </cell>
          <cell r="F24"/>
          <cell r="G24">
            <v>791656686</v>
          </cell>
          <cell r="H24">
            <v>791656686</v>
          </cell>
          <cell r="I24">
            <v>0</v>
          </cell>
          <cell r="J24">
            <v>0</v>
          </cell>
        </row>
        <row r="25">
          <cell r="C25" t="str">
            <v>204-207</v>
          </cell>
          <cell r="D25" t="str">
            <v>340-347</v>
          </cell>
          <cell r="E25" t="str">
            <v>PROD</v>
          </cell>
          <cell r="F25"/>
          <cell r="G25">
            <v>327526210</v>
          </cell>
          <cell r="H25">
            <v>327526210</v>
          </cell>
          <cell r="I25">
            <v>0</v>
          </cell>
          <cell r="J25">
            <v>0</v>
          </cell>
        </row>
        <row r="26">
          <cell r="G26">
            <v>1613875938</v>
          </cell>
          <cell r="H26">
            <v>1613875938</v>
          </cell>
          <cell r="I26">
            <v>0</v>
          </cell>
          <cell r="J26">
            <v>0</v>
          </cell>
        </row>
        <row r="29">
          <cell r="C29" t="str">
            <v>204-207</v>
          </cell>
          <cell r="D29" t="str">
            <v>350-359.1</v>
          </cell>
          <cell r="E29" t="str">
            <v>TRANS</v>
          </cell>
          <cell r="F29"/>
          <cell r="G29">
            <v>1057719030</v>
          </cell>
          <cell r="H29">
            <v>0</v>
          </cell>
          <cell r="I29">
            <v>1057719030</v>
          </cell>
          <cell r="J29">
            <v>0</v>
          </cell>
        </row>
        <row r="33">
          <cell r="C33" t="str">
            <v>204-207</v>
          </cell>
          <cell r="D33" t="str">
            <v>360-374</v>
          </cell>
          <cell r="E33" t="str">
            <v>DIST</v>
          </cell>
          <cell r="F33"/>
          <cell r="G33">
            <v>2407306658</v>
          </cell>
          <cell r="H33">
            <v>0</v>
          </cell>
          <cell r="I33">
            <v>0</v>
          </cell>
          <cell r="J33">
            <v>2407306658</v>
          </cell>
        </row>
        <row r="37">
          <cell r="C37" t="str">
            <v>204-207</v>
          </cell>
          <cell r="D37">
            <v>389</v>
          </cell>
          <cell r="E37" t="str">
            <v>PTD</v>
          </cell>
          <cell r="G37">
            <v>1083006</v>
          </cell>
          <cell r="H37">
            <v>344136.87305185618</v>
          </cell>
          <cell r="I37">
            <v>225544.05266288968</v>
          </cell>
          <cell r="J37">
            <v>513325.07428525412</v>
          </cell>
        </row>
        <row r="38">
          <cell r="C38" t="str">
            <v>204-207</v>
          </cell>
          <cell r="D38">
            <v>390</v>
          </cell>
          <cell r="E38" t="str">
            <v>PTD</v>
          </cell>
          <cell r="G38">
            <v>21045508</v>
          </cell>
          <cell r="H38">
            <v>6687437.8488280065</v>
          </cell>
          <cell r="I38">
            <v>4382883.5340425316</v>
          </cell>
          <cell r="J38">
            <v>9975186.6171294618</v>
          </cell>
        </row>
        <row r="39">
          <cell r="C39" t="str">
            <v>204-207</v>
          </cell>
          <cell r="D39">
            <v>391</v>
          </cell>
          <cell r="E39" t="str">
            <v>LABOR</v>
          </cell>
          <cell r="G39">
            <v>3976622</v>
          </cell>
          <cell r="H39">
            <v>1455724.5705582532</v>
          </cell>
          <cell r="I39">
            <v>634177.11378421984</v>
          </cell>
          <cell r="J39">
            <v>1886720.3156575267</v>
          </cell>
        </row>
        <row r="40">
          <cell r="C40" t="str">
            <v>204-207</v>
          </cell>
          <cell r="D40">
            <v>392</v>
          </cell>
          <cell r="E40" t="str">
            <v>TD</v>
          </cell>
          <cell r="G40">
            <v>62357831</v>
          </cell>
          <cell r="H40">
            <v>0</v>
          </cell>
          <cell r="I40">
            <v>19035086.737349443</v>
          </cell>
          <cell r="J40">
            <v>43322744.262650557</v>
          </cell>
        </row>
        <row r="41">
          <cell r="C41" t="str">
            <v>204-207</v>
          </cell>
          <cell r="D41">
            <v>393</v>
          </cell>
          <cell r="E41" t="str">
            <v>PTD</v>
          </cell>
          <cell r="G41">
            <v>472784</v>
          </cell>
          <cell r="H41">
            <v>150232.23083616229</v>
          </cell>
          <cell r="I41">
            <v>98460.78359138513</v>
          </cell>
          <cell r="J41">
            <v>224090.9855724526</v>
          </cell>
        </row>
        <row r="42">
          <cell r="C42" t="str">
            <v>204-207</v>
          </cell>
          <cell r="D42">
            <v>394</v>
          </cell>
          <cell r="E42" t="str">
            <v>PTD</v>
          </cell>
          <cell r="G42">
            <v>9005539</v>
          </cell>
          <cell r="H42">
            <v>2861607.4441014547</v>
          </cell>
          <cell r="I42">
            <v>1875470.4613582075</v>
          </cell>
          <cell r="J42">
            <v>4268461.094540338</v>
          </cell>
        </row>
        <row r="43">
          <cell r="C43" t="str">
            <v>204-207</v>
          </cell>
          <cell r="D43">
            <v>395</v>
          </cell>
          <cell r="E43" t="str">
            <v>PTD</v>
          </cell>
          <cell r="G43">
            <v>3305287</v>
          </cell>
          <cell r="H43">
            <v>1050290.7026544178</v>
          </cell>
          <cell r="I43">
            <v>688350.59565133031</v>
          </cell>
          <cell r="J43">
            <v>1566645.7016942517</v>
          </cell>
        </row>
        <row r="44">
          <cell r="C44" t="str">
            <v>204-207</v>
          </cell>
          <cell r="D44">
            <v>396</v>
          </cell>
          <cell r="E44" t="str">
            <v>TD</v>
          </cell>
          <cell r="G44">
            <v>25432532</v>
          </cell>
          <cell r="H44">
            <v>0</v>
          </cell>
          <cell r="I44">
            <v>7763426.7389835175</v>
          </cell>
          <cell r="J44">
            <v>17669105.261016481</v>
          </cell>
        </row>
        <row r="45">
          <cell r="C45" t="str">
            <v>204-207</v>
          </cell>
          <cell r="D45">
            <v>397</v>
          </cell>
          <cell r="E45" t="str">
            <v>PTD</v>
          </cell>
          <cell r="G45">
            <v>42279271</v>
          </cell>
          <cell r="H45">
            <v>13434695.760551672</v>
          </cell>
          <cell r="I45">
            <v>8804972.5716871228</v>
          </cell>
          <cell r="J45">
            <v>20039602.667761203</v>
          </cell>
        </row>
        <row r="46">
          <cell r="C46" t="str">
            <v>204-207</v>
          </cell>
          <cell r="D46">
            <v>398</v>
          </cell>
          <cell r="E46" t="str">
            <v>PTD</v>
          </cell>
          <cell r="G46">
            <v>258773</v>
          </cell>
          <cell r="H46">
            <v>82227.920297992794</v>
          </cell>
          <cell r="I46">
            <v>53891.401469367622</v>
          </cell>
          <cell r="J46">
            <v>122653.67823263959</v>
          </cell>
        </row>
        <row r="47">
          <cell r="C47" t="str">
            <v>204-207</v>
          </cell>
          <cell r="D47">
            <v>399</v>
          </cell>
          <cell r="E47" t="str">
            <v>DIRECT</v>
          </cell>
          <cell r="F47" t="str">
            <v>PTD</v>
          </cell>
          <cell r="G47">
            <v>0</v>
          </cell>
          <cell r="H47">
            <v>0</v>
          </cell>
          <cell r="I47">
            <v>0</v>
          </cell>
          <cell r="J47">
            <v>0</v>
          </cell>
        </row>
        <row r="48">
          <cell r="C48" t="str">
            <v>204-208</v>
          </cell>
          <cell r="D48">
            <v>399.1</v>
          </cell>
          <cell r="E48" t="str">
            <v>PTD</v>
          </cell>
          <cell r="G48">
            <v>0</v>
          </cell>
          <cell r="H48">
            <v>0</v>
          </cell>
          <cell r="I48">
            <v>0</v>
          </cell>
          <cell r="J48">
            <v>0</v>
          </cell>
        </row>
        <row r="50">
          <cell r="G50">
            <v>169217153</v>
          </cell>
          <cell r="H50">
            <v>26066353.350879814</v>
          </cell>
          <cell r="I50">
            <v>43562263.990580015</v>
          </cell>
          <cell r="J50">
            <v>99588535.658540159</v>
          </cell>
        </row>
        <row r="52">
          <cell r="G52">
            <v>5352763952</v>
          </cell>
          <cell r="H52">
            <v>1696407286.9302158</v>
          </cell>
          <cell r="I52">
            <v>1110819203.3271577</v>
          </cell>
          <cell r="J52">
            <v>2510669266.2026267</v>
          </cell>
        </row>
        <row r="57">
          <cell r="C57">
            <v>219</v>
          </cell>
          <cell r="D57">
            <v>108</v>
          </cell>
          <cell r="E57" t="str">
            <v>PROD</v>
          </cell>
          <cell r="G57">
            <v>394650809</v>
          </cell>
          <cell r="H57">
            <v>394650809</v>
          </cell>
          <cell r="I57">
            <v>0</v>
          </cell>
          <cell r="J57">
            <v>0</v>
          </cell>
        </row>
        <row r="58">
          <cell r="C58">
            <v>219</v>
          </cell>
          <cell r="D58">
            <v>108</v>
          </cell>
          <cell r="E58" t="str">
            <v>PROD</v>
          </cell>
          <cell r="G58">
            <v>0</v>
          </cell>
          <cell r="H58">
            <v>0</v>
          </cell>
          <cell r="I58">
            <v>0</v>
          </cell>
          <cell r="J58">
            <v>0</v>
          </cell>
        </row>
        <row r="59">
          <cell r="C59">
            <v>219</v>
          </cell>
          <cell r="D59">
            <v>108</v>
          </cell>
          <cell r="E59" t="str">
            <v>PROD</v>
          </cell>
          <cell r="G59">
            <v>202979974</v>
          </cell>
          <cell r="H59">
            <v>202979974</v>
          </cell>
          <cell r="I59">
            <v>0</v>
          </cell>
          <cell r="J59">
            <v>0</v>
          </cell>
        </row>
        <row r="60">
          <cell r="C60">
            <v>219</v>
          </cell>
          <cell r="D60">
            <v>108</v>
          </cell>
          <cell r="E60" t="str">
            <v>PROD</v>
          </cell>
          <cell r="G60">
            <v>177969738</v>
          </cell>
          <cell r="H60">
            <v>177969738</v>
          </cell>
          <cell r="I60">
            <v>0</v>
          </cell>
          <cell r="J60">
            <v>0</v>
          </cell>
        </row>
        <row r="61">
          <cell r="C61">
            <v>219</v>
          </cell>
          <cell r="D61">
            <v>108</v>
          </cell>
          <cell r="E61" t="str">
            <v>TRANS</v>
          </cell>
          <cell r="G61">
            <v>285851148</v>
          </cell>
          <cell r="H61">
            <v>0</v>
          </cell>
          <cell r="I61">
            <v>285851148</v>
          </cell>
          <cell r="J61">
            <v>0</v>
          </cell>
        </row>
        <row r="62">
          <cell r="C62">
            <v>219</v>
          </cell>
          <cell r="D62">
            <v>108</v>
          </cell>
          <cell r="E62" t="str">
            <v>DIST</v>
          </cell>
          <cell r="G62">
            <v>788670773</v>
          </cell>
          <cell r="H62">
            <v>0</v>
          </cell>
          <cell r="I62">
            <v>0</v>
          </cell>
          <cell r="J62">
            <v>788670773</v>
          </cell>
        </row>
        <row r="63">
          <cell r="C63">
            <v>219</v>
          </cell>
          <cell r="D63">
            <v>108</v>
          </cell>
          <cell r="E63" t="str">
            <v>GP</v>
          </cell>
          <cell r="G63">
            <v>78045959</v>
          </cell>
          <cell r="H63">
            <v>12022265.525896648</v>
          </cell>
          <cell r="I63">
            <v>20091690.5235723</v>
          </cell>
          <cell r="J63">
            <v>45932002.950531043</v>
          </cell>
        </row>
        <row r="64">
          <cell r="C64">
            <v>219</v>
          </cell>
          <cell r="D64">
            <v>111</v>
          </cell>
          <cell r="E64" t="str">
            <v>DIST</v>
          </cell>
          <cell r="F64" t="str">
            <v xml:space="preserve"> </v>
          </cell>
          <cell r="G64">
            <v>0</v>
          </cell>
          <cell r="H64">
            <v>0</v>
          </cell>
          <cell r="I64">
            <v>0</v>
          </cell>
          <cell r="J64">
            <v>0</v>
          </cell>
        </row>
        <row r="65">
          <cell r="C65">
            <v>219</v>
          </cell>
          <cell r="D65">
            <v>111</v>
          </cell>
          <cell r="E65" t="str">
            <v>DIRECT</v>
          </cell>
          <cell r="F65" t="str">
            <v>PTD</v>
          </cell>
          <cell r="G65">
            <v>9306035.6400000025</v>
          </cell>
          <cell r="H65">
            <v>8402719.4400000013</v>
          </cell>
          <cell r="I65">
            <v>903316.2</v>
          </cell>
          <cell r="J65">
            <v>0</v>
          </cell>
        </row>
        <row r="66">
          <cell r="C66">
            <v>219</v>
          </cell>
          <cell r="D66">
            <v>111</v>
          </cell>
          <cell r="E66" t="str">
            <v>DIRECT</v>
          </cell>
          <cell r="F66" t="str">
            <v>DIST</v>
          </cell>
          <cell r="G66">
            <v>8218633.7199999997</v>
          </cell>
          <cell r="H66">
            <v>4395779.3655016273</v>
          </cell>
          <cell r="I66">
            <v>2285513.0223982604</v>
          </cell>
          <cell r="J66">
            <v>1537340.8888029039</v>
          </cell>
        </row>
        <row r="67">
          <cell r="C67">
            <v>219</v>
          </cell>
          <cell r="D67">
            <v>108</v>
          </cell>
          <cell r="E67" t="str">
            <v>PROD</v>
          </cell>
          <cell r="G67">
            <v>0</v>
          </cell>
          <cell r="H67">
            <v>0</v>
          </cell>
          <cell r="I67">
            <v>0</v>
          </cell>
          <cell r="J67">
            <v>0</v>
          </cell>
        </row>
        <row r="68">
          <cell r="C68">
            <v>219</v>
          </cell>
          <cell r="D68">
            <v>111</v>
          </cell>
          <cell r="E68" t="str">
            <v>DIST</v>
          </cell>
          <cell r="G68">
            <v>0</v>
          </cell>
          <cell r="H68">
            <v>0</v>
          </cell>
          <cell r="I68">
            <v>0</v>
          </cell>
          <cell r="J68">
            <v>0</v>
          </cell>
        </row>
        <row r="69">
          <cell r="C69">
            <v>219</v>
          </cell>
          <cell r="D69">
            <v>108</v>
          </cell>
          <cell r="E69" t="str">
            <v>DIRECT</v>
          </cell>
          <cell r="F69" t="str">
            <v>PTD</v>
          </cell>
          <cell r="G69">
            <v>0</v>
          </cell>
          <cell r="H69">
            <v>0</v>
          </cell>
          <cell r="I69">
            <v>0</v>
          </cell>
          <cell r="J69">
            <v>0</v>
          </cell>
        </row>
        <row r="70">
          <cell r="C70" t="str">
            <v>200-201</v>
          </cell>
          <cell r="D70">
            <v>108</v>
          </cell>
          <cell r="E70" t="str">
            <v>DIRECT</v>
          </cell>
          <cell r="F70" t="str">
            <v>DIST</v>
          </cell>
          <cell r="G70">
            <v>0</v>
          </cell>
          <cell r="H70">
            <v>0</v>
          </cell>
          <cell r="I70">
            <v>0</v>
          </cell>
          <cell r="J70">
            <v>0</v>
          </cell>
        </row>
        <row r="71">
          <cell r="C71" t="str">
            <v>200-201</v>
          </cell>
          <cell r="D71">
            <v>108</v>
          </cell>
          <cell r="E71" t="str">
            <v>DIRECT</v>
          </cell>
          <cell r="F71" t="str">
            <v>PTD</v>
          </cell>
          <cell r="G71">
            <v>223974060</v>
          </cell>
          <cell r="H71">
            <v>62712736.800000004</v>
          </cell>
          <cell r="I71">
            <v>31356368.400000002</v>
          </cell>
          <cell r="J71">
            <v>129904954.8</v>
          </cell>
        </row>
        <row r="72">
          <cell r="C72" t="str">
            <v>200-201</v>
          </cell>
          <cell r="D72">
            <v>108</v>
          </cell>
          <cell r="E72" t="str">
            <v>DIRECT</v>
          </cell>
          <cell r="F72" t="str">
            <v>DIST</v>
          </cell>
          <cell r="G72">
            <v>0</v>
          </cell>
          <cell r="H72">
            <v>0</v>
          </cell>
          <cell r="I72">
            <v>0</v>
          </cell>
          <cell r="J72">
            <v>0</v>
          </cell>
        </row>
        <row r="73">
          <cell r="C73" t="str">
            <v>200-201</v>
          </cell>
          <cell r="D73">
            <v>115</v>
          </cell>
          <cell r="E73" t="str">
            <v>DIRECT</v>
          </cell>
          <cell r="F73" t="str">
            <v>DIST</v>
          </cell>
          <cell r="G73">
            <v>0</v>
          </cell>
          <cell r="H73">
            <v>0</v>
          </cell>
          <cell r="I73">
            <v>0</v>
          </cell>
          <cell r="J73">
            <v>0</v>
          </cell>
        </row>
        <row r="75">
          <cell r="E75" t="str">
            <v>DIRECT</v>
          </cell>
          <cell r="F75"/>
          <cell r="G75">
            <v>0</v>
          </cell>
          <cell r="H75">
            <v>0</v>
          </cell>
          <cell r="I75">
            <v>0</v>
          </cell>
          <cell r="J75">
            <v>0</v>
          </cell>
        </row>
        <row r="77">
          <cell r="G77">
            <v>2169667130.3600001</v>
          </cell>
        </row>
        <row r="79">
          <cell r="G79">
            <v>3183096821.6399999</v>
          </cell>
        </row>
        <row r="84">
          <cell r="G84" t="e">
            <v>#REF!</v>
          </cell>
          <cell r="H84" t="e">
            <v>#REF!</v>
          </cell>
          <cell r="I84" t="e">
            <v>#REF!</v>
          </cell>
          <cell r="J84" t="e">
            <v>#REF!</v>
          </cell>
        </row>
        <row r="87">
          <cell r="C87" t="str">
            <v>200-201</v>
          </cell>
          <cell r="D87">
            <v>105</v>
          </cell>
          <cell r="E87" t="str">
            <v>DIST</v>
          </cell>
          <cell r="G87">
            <v>2928319</v>
          </cell>
          <cell r="H87">
            <v>0</v>
          </cell>
          <cell r="I87">
            <v>0</v>
          </cell>
          <cell r="J87">
            <v>2928319</v>
          </cell>
        </row>
        <row r="88">
          <cell r="C88" t="str">
            <v>200-201</v>
          </cell>
          <cell r="D88">
            <v>106</v>
          </cell>
          <cell r="E88" t="str">
            <v>PTD</v>
          </cell>
          <cell r="G88">
            <v>0</v>
          </cell>
          <cell r="H88">
            <v>0</v>
          </cell>
          <cell r="I88">
            <v>0</v>
          </cell>
          <cell r="J88">
            <v>0</v>
          </cell>
        </row>
        <row r="89">
          <cell r="C89"/>
          <cell r="D89" t="str">
            <v>120.1-120.6</v>
          </cell>
          <cell r="E89" t="str">
            <v>PROD</v>
          </cell>
          <cell r="G89">
            <v>0</v>
          </cell>
          <cell r="H89">
            <v>0</v>
          </cell>
          <cell r="I89">
            <v>0</v>
          </cell>
          <cell r="J89">
            <v>0</v>
          </cell>
        </row>
        <row r="90">
          <cell r="C90" t="str">
            <v>200-201</v>
          </cell>
          <cell r="D90" t="str">
            <v>107 &amp; 120.1</v>
          </cell>
          <cell r="E90" t="str">
            <v>DIST</v>
          </cell>
          <cell r="G90">
            <v>132548007</v>
          </cell>
          <cell r="H90">
            <v>0</v>
          </cell>
          <cell r="I90">
            <v>0</v>
          </cell>
          <cell r="J90">
            <v>132548007</v>
          </cell>
        </row>
        <row r="91">
          <cell r="C91" t="str">
            <v>356 &amp; 356.1</v>
          </cell>
          <cell r="D91"/>
          <cell r="E91" t="str">
            <v>DIRECT</v>
          </cell>
          <cell r="G91">
            <v>527520424</v>
          </cell>
          <cell r="H91">
            <v>95603687.228371158</v>
          </cell>
          <cell r="I91">
            <v>62247387.814652018</v>
          </cell>
          <cell r="J91">
            <v>369669348.95697683</v>
          </cell>
        </row>
        <row r="92">
          <cell r="C92" t="str">
            <v>200-201</v>
          </cell>
          <cell r="D92">
            <v>114</v>
          </cell>
          <cell r="E92" t="str">
            <v>DIST</v>
          </cell>
          <cell r="F92" t="str">
            <v>DIST</v>
          </cell>
          <cell r="G92">
            <v>256800</v>
          </cell>
          <cell r="H92">
            <v>0</v>
          </cell>
          <cell r="I92">
            <v>0</v>
          </cell>
          <cell r="J92">
            <v>256800</v>
          </cell>
        </row>
        <row r="93">
          <cell r="G93">
            <v>663253550</v>
          </cell>
          <cell r="H93">
            <v>95603687.228371158</v>
          </cell>
          <cell r="I93">
            <v>62247387.814652018</v>
          </cell>
          <cell r="J93">
            <v>505402474.95697683</v>
          </cell>
        </row>
        <row r="96">
          <cell r="C96" t="str">
            <v>110-111</v>
          </cell>
          <cell r="D96">
            <v>123</v>
          </cell>
          <cell r="E96" t="str">
            <v>DIRECT</v>
          </cell>
          <cell r="F96" t="str">
            <v>DIST</v>
          </cell>
          <cell r="G96">
            <v>11547000</v>
          </cell>
          <cell r="H96">
            <v>0</v>
          </cell>
          <cell r="I96">
            <v>0</v>
          </cell>
          <cell r="J96">
            <v>11547000</v>
          </cell>
        </row>
        <row r="97">
          <cell r="C97" t="str">
            <v>110-111</v>
          </cell>
          <cell r="D97">
            <v>124</v>
          </cell>
          <cell r="E97" t="str">
            <v>DIST</v>
          </cell>
          <cell r="G97">
            <v>14093.53</v>
          </cell>
          <cell r="H97">
            <v>0</v>
          </cell>
          <cell r="I97">
            <v>0</v>
          </cell>
          <cell r="J97">
            <v>14093.53</v>
          </cell>
        </row>
        <row r="98">
          <cell r="C98" t="str">
            <v>110-111</v>
          </cell>
          <cell r="D98">
            <v>175</v>
          </cell>
          <cell r="E98" t="str">
            <v>DIST</v>
          </cell>
          <cell r="G98">
            <v>0</v>
          </cell>
          <cell r="H98">
            <v>0</v>
          </cell>
          <cell r="I98">
            <v>0</v>
          </cell>
          <cell r="J98">
            <v>0</v>
          </cell>
        </row>
        <row r="99">
          <cell r="C99" t="str">
            <v>110-111</v>
          </cell>
          <cell r="D99">
            <v>176</v>
          </cell>
          <cell r="E99" t="str">
            <v>DIST</v>
          </cell>
          <cell r="G99">
            <v>0</v>
          </cell>
          <cell r="H99">
            <v>0</v>
          </cell>
          <cell r="I99">
            <v>0</v>
          </cell>
          <cell r="J99">
            <v>0</v>
          </cell>
        </row>
        <row r="100">
          <cell r="G100">
            <v>11561093.529999999</v>
          </cell>
          <cell r="H100">
            <v>0</v>
          </cell>
          <cell r="I100">
            <v>0</v>
          </cell>
          <cell r="J100">
            <v>11561093.529999999</v>
          </cell>
        </row>
        <row r="103">
          <cell r="C103" t="str">
            <v>110-111</v>
          </cell>
          <cell r="D103">
            <v>151</v>
          </cell>
          <cell r="E103" t="str">
            <v>PROD</v>
          </cell>
          <cell r="G103">
            <v>4683150.17</v>
          </cell>
          <cell r="H103">
            <v>4683150.17</v>
          </cell>
          <cell r="I103">
            <v>0</v>
          </cell>
          <cell r="J103">
            <v>0</v>
          </cell>
        </row>
        <row r="104">
          <cell r="C104" t="str">
            <v>110-111</v>
          </cell>
          <cell r="D104">
            <v>152</v>
          </cell>
          <cell r="E104" t="str">
            <v>PROD</v>
          </cell>
          <cell r="G104">
            <v>0</v>
          </cell>
          <cell r="H104">
            <v>0</v>
          </cell>
          <cell r="I104">
            <v>0</v>
          </cell>
          <cell r="J104">
            <v>0</v>
          </cell>
        </row>
        <row r="105">
          <cell r="C105" t="str">
            <v>110-111</v>
          </cell>
          <cell r="D105">
            <v>154</v>
          </cell>
          <cell r="E105" t="str">
            <v>PTD</v>
          </cell>
          <cell r="G105">
            <v>79492527.939999998</v>
          </cell>
          <cell r="H105">
            <v>25259610.746624589</v>
          </cell>
          <cell r="I105">
            <v>16554910.044824857</v>
          </cell>
          <cell r="J105">
            <v>37678007.148550555</v>
          </cell>
        </row>
        <row r="106">
          <cell r="C106" t="str">
            <v>110-112</v>
          </cell>
          <cell r="D106">
            <v>155</v>
          </cell>
          <cell r="E106" t="str">
            <v>DIST</v>
          </cell>
          <cell r="G106">
            <v>0</v>
          </cell>
          <cell r="H106">
            <v>0</v>
          </cell>
          <cell r="I106">
            <v>0</v>
          </cell>
          <cell r="J106">
            <v>0</v>
          </cell>
        </row>
        <row r="107">
          <cell r="C107" t="str">
            <v>110-111</v>
          </cell>
          <cell r="D107">
            <v>156</v>
          </cell>
          <cell r="E107" t="str">
            <v>DIST</v>
          </cell>
          <cell r="G107">
            <v>0</v>
          </cell>
          <cell r="H107">
            <v>0</v>
          </cell>
          <cell r="I107">
            <v>0</v>
          </cell>
          <cell r="J107">
            <v>0</v>
          </cell>
        </row>
        <row r="108">
          <cell r="C108" t="str">
            <v>110-112</v>
          </cell>
          <cell r="D108">
            <v>158.1</v>
          </cell>
          <cell r="E108" t="str">
            <v>PROD</v>
          </cell>
          <cell r="G108">
            <v>30071678.350000001</v>
          </cell>
          <cell r="H108">
            <v>30071678.350000001</v>
          </cell>
          <cell r="I108">
            <v>0</v>
          </cell>
          <cell r="J108">
            <v>0</v>
          </cell>
        </row>
        <row r="109">
          <cell r="C109" t="str">
            <v>110-112</v>
          </cell>
          <cell r="D109">
            <v>158.19999999999999</v>
          </cell>
          <cell r="E109" t="str">
            <v>PROD</v>
          </cell>
          <cell r="G109">
            <v>0</v>
          </cell>
          <cell r="H109">
            <v>0</v>
          </cell>
          <cell r="I109">
            <v>0</v>
          </cell>
          <cell r="J109">
            <v>0</v>
          </cell>
        </row>
        <row r="110">
          <cell r="C110" t="str">
            <v>110-111</v>
          </cell>
          <cell r="D110">
            <v>163</v>
          </cell>
          <cell r="E110" t="str">
            <v>PTD</v>
          </cell>
          <cell r="G110">
            <v>0</v>
          </cell>
          <cell r="H110">
            <v>0</v>
          </cell>
          <cell r="I110">
            <v>0</v>
          </cell>
          <cell r="J110">
            <v>0</v>
          </cell>
        </row>
        <row r="111">
          <cell r="C111" t="str">
            <v>110-111</v>
          </cell>
          <cell r="D111">
            <v>165</v>
          </cell>
          <cell r="E111" t="str">
            <v>PTD</v>
          </cell>
          <cell r="G111">
            <v>50221551.920000002</v>
          </cell>
          <cell r="H111">
            <v>15958441.446825081</v>
          </cell>
          <cell r="I111">
            <v>10459011.631566703</v>
          </cell>
          <cell r="J111">
            <v>23804098.841608215</v>
          </cell>
        </row>
        <row r="112">
          <cell r="C112" t="str">
            <v>110-111</v>
          </cell>
          <cell r="D112">
            <v>175</v>
          </cell>
          <cell r="E112" t="str">
            <v>DIST</v>
          </cell>
          <cell r="G112">
            <v>11821032.84</v>
          </cell>
          <cell r="H112">
            <v>0</v>
          </cell>
          <cell r="I112">
            <v>0</v>
          </cell>
          <cell r="J112">
            <v>11821032.84</v>
          </cell>
        </row>
        <row r="113">
          <cell r="C113" t="str">
            <v>110-112</v>
          </cell>
          <cell r="D113">
            <v>175</v>
          </cell>
          <cell r="E113" t="str">
            <v>DIST</v>
          </cell>
          <cell r="G113">
            <v>0</v>
          </cell>
          <cell r="H113">
            <v>0</v>
          </cell>
          <cell r="I113">
            <v>0</v>
          </cell>
          <cell r="J113">
            <v>0</v>
          </cell>
        </row>
        <row r="114">
          <cell r="C114" t="str">
            <v>110-111</v>
          </cell>
          <cell r="D114">
            <v>176</v>
          </cell>
          <cell r="E114" t="str">
            <v>DIST</v>
          </cell>
          <cell r="G114">
            <v>0</v>
          </cell>
          <cell r="H114">
            <v>0</v>
          </cell>
          <cell r="I114">
            <v>0</v>
          </cell>
          <cell r="J114">
            <v>0</v>
          </cell>
        </row>
        <row r="115">
          <cell r="C115" t="str">
            <v>110-112</v>
          </cell>
          <cell r="D115">
            <v>176</v>
          </cell>
          <cell r="E115" t="str">
            <v>DIST</v>
          </cell>
          <cell r="G115">
            <v>0</v>
          </cell>
          <cell r="H115">
            <v>0</v>
          </cell>
          <cell r="I115">
            <v>0</v>
          </cell>
          <cell r="J115">
            <v>0</v>
          </cell>
        </row>
        <row r="119">
          <cell r="C119" t="str">
            <v>110-111</v>
          </cell>
          <cell r="D119">
            <v>181</v>
          </cell>
          <cell r="E119" t="str">
            <v>PTDG</v>
          </cell>
          <cell r="G119">
            <v>21586300.960000001</v>
          </cell>
          <cell r="H119">
            <v>6841168.1469216254</v>
          </cell>
          <cell r="I119">
            <v>4479644.1334216082</v>
          </cell>
          <cell r="J119">
            <v>10124874.341044407</v>
          </cell>
        </row>
        <row r="120">
          <cell r="C120" t="str">
            <v>110-111</v>
          </cell>
          <cell r="D120">
            <v>182.1</v>
          </cell>
          <cell r="E120" t="str">
            <v>DIRECT</v>
          </cell>
          <cell r="F120" t="str">
            <v>DIST</v>
          </cell>
          <cell r="G120">
            <v>0</v>
          </cell>
          <cell r="H120">
            <v>0</v>
          </cell>
          <cell r="I120">
            <v>0</v>
          </cell>
          <cell r="J120">
            <v>0</v>
          </cell>
        </row>
        <row r="121">
          <cell r="C121" t="str">
            <v>110-111</v>
          </cell>
          <cell r="D121">
            <v>182.2</v>
          </cell>
          <cell r="E121" t="str">
            <v>DIRECT</v>
          </cell>
          <cell r="F121" t="str">
            <v>DIST</v>
          </cell>
          <cell r="G121">
            <v>0</v>
          </cell>
          <cell r="H121">
            <v>0</v>
          </cell>
          <cell r="I121">
            <v>0</v>
          </cell>
          <cell r="J121">
            <v>0</v>
          </cell>
        </row>
        <row r="122">
          <cell r="C122" t="str">
            <v>110-111</v>
          </cell>
          <cell r="D122">
            <v>182.3</v>
          </cell>
          <cell r="E122" t="str">
            <v>DIRECT</v>
          </cell>
          <cell r="F122" t="str">
            <v>DIST</v>
          </cell>
          <cell r="G122">
            <v>898192106.79999995</v>
          </cell>
          <cell r="H122">
            <v>36692352</v>
          </cell>
          <cell r="I122">
            <v>0</v>
          </cell>
          <cell r="J122">
            <v>530735617</v>
          </cell>
        </row>
        <row r="123">
          <cell r="C123" t="str">
            <v>110-111</v>
          </cell>
          <cell r="D123">
            <v>183</v>
          </cell>
          <cell r="E123" t="str">
            <v>DIST</v>
          </cell>
          <cell r="G123">
            <v>0</v>
          </cell>
          <cell r="H123">
            <v>0</v>
          </cell>
          <cell r="I123">
            <v>0</v>
          </cell>
          <cell r="J123">
            <v>0</v>
          </cell>
        </row>
        <row r="124">
          <cell r="C124" t="str">
            <v>110-111</v>
          </cell>
          <cell r="D124">
            <v>183.1</v>
          </cell>
          <cell r="E124" t="str">
            <v>DIST</v>
          </cell>
          <cell r="G124">
            <v>0</v>
          </cell>
          <cell r="H124">
            <v>0</v>
          </cell>
          <cell r="I124">
            <v>0</v>
          </cell>
          <cell r="J124">
            <v>0</v>
          </cell>
        </row>
        <row r="125">
          <cell r="C125" t="str">
            <v>110-111</v>
          </cell>
          <cell r="D125">
            <v>183.2</v>
          </cell>
          <cell r="E125" t="str">
            <v>DIST</v>
          </cell>
          <cell r="G125">
            <v>0</v>
          </cell>
          <cell r="H125">
            <v>0</v>
          </cell>
          <cell r="I125">
            <v>0</v>
          </cell>
          <cell r="J125">
            <v>0</v>
          </cell>
        </row>
        <row r="126">
          <cell r="C126" t="str">
            <v>110-111</v>
          </cell>
          <cell r="D126">
            <v>184</v>
          </cell>
          <cell r="E126" t="str">
            <v>DIST</v>
          </cell>
          <cell r="G126">
            <v>858506.23</v>
          </cell>
          <cell r="H126">
            <v>0</v>
          </cell>
          <cell r="I126">
            <v>0</v>
          </cell>
          <cell r="J126">
            <v>858506.23</v>
          </cell>
        </row>
        <row r="127">
          <cell r="C127" t="str">
            <v>110-111</v>
          </cell>
          <cell r="D127">
            <v>185</v>
          </cell>
          <cell r="E127" t="str">
            <v>PTDG</v>
          </cell>
          <cell r="G127">
            <v>0</v>
          </cell>
          <cell r="H127">
            <v>0</v>
          </cell>
          <cell r="I127">
            <v>0</v>
          </cell>
          <cell r="J127">
            <v>0</v>
          </cell>
        </row>
        <row r="128">
          <cell r="C128" t="str">
            <v>110-111</v>
          </cell>
          <cell r="D128">
            <v>186</v>
          </cell>
          <cell r="E128" t="str">
            <v>DIRECT</v>
          </cell>
          <cell r="F128" t="str">
            <v>DIST</v>
          </cell>
          <cell r="G128">
            <v>87517903.719999999</v>
          </cell>
          <cell r="H128">
            <v>3570010.1583954575</v>
          </cell>
          <cell r="I128">
            <v>119794.59485533467</v>
          </cell>
          <cell r="J128">
            <v>14794581.246749207</v>
          </cell>
        </row>
        <row r="129">
          <cell r="C129" t="str">
            <v>110-111</v>
          </cell>
          <cell r="D129">
            <v>187</v>
          </cell>
          <cell r="E129" t="str">
            <v>DIRECT</v>
          </cell>
          <cell r="G129">
            <v>0</v>
          </cell>
          <cell r="H129">
            <v>0</v>
          </cell>
          <cell r="I129">
            <v>0</v>
          </cell>
          <cell r="J129">
            <v>0</v>
          </cell>
        </row>
        <row r="130">
          <cell r="C130" t="str">
            <v>110-111</v>
          </cell>
          <cell r="D130">
            <v>188</v>
          </cell>
          <cell r="E130" t="str">
            <v>DIST</v>
          </cell>
          <cell r="G130">
            <v>0</v>
          </cell>
          <cell r="H130">
            <v>0</v>
          </cell>
          <cell r="I130">
            <v>0</v>
          </cell>
          <cell r="J130">
            <v>0</v>
          </cell>
        </row>
        <row r="131">
          <cell r="C131" t="str">
            <v>110-111</v>
          </cell>
          <cell r="D131">
            <v>189</v>
          </cell>
          <cell r="E131" t="str">
            <v>PTDG</v>
          </cell>
          <cell r="G131">
            <v>5701050.9199999999</v>
          </cell>
          <cell r="H131">
            <v>1806787.0002439837</v>
          </cell>
          <cell r="I131">
            <v>1183096.601656751</v>
          </cell>
          <cell r="J131">
            <v>2674030.3623050945</v>
          </cell>
        </row>
        <row r="132">
          <cell r="C132" t="str">
            <v>110-111</v>
          </cell>
          <cell r="D132">
            <v>190</v>
          </cell>
          <cell r="E132" t="str">
            <v>DIST</v>
          </cell>
          <cell r="G132">
            <v>214152187.74000001</v>
          </cell>
          <cell r="H132">
            <v>0</v>
          </cell>
          <cell r="I132">
            <v>0</v>
          </cell>
          <cell r="J132">
            <v>214152187.74000001</v>
          </cell>
        </row>
        <row r="133">
          <cell r="G133">
            <v>1228008056.3699999</v>
          </cell>
          <cell r="H133">
            <v>48910317.305561066</v>
          </cell>
          <cell r="I133">
            <v>5782535.3299336936</v>
          </cell>
          <cell r="J133">
            <v>773339796.92009866</v>
          </cell>
        </row>
        <row r="135">
          <cell r="G135" t="e">
            <v>#REF!</v>
          </cell>
          <cell r="H135" t="e">
            <v>#REF!</v>
          </cell>
          <cell r="I135" t="e">
            <v>#REF!</v>
          </cell>
          <cell r="J135" t="e">
            <v>#REF!</v>
          </cell>
        </row>
        <row r="139">
          <cell r="C139" t="str">
            <v>112-113</v>
          </cell>
          <cell r="D139">
            <v>244</v>
          </cell>
          <cell r="E139" t="str">
            <v>DIST</v>
          </cell>
          <cell r="G139">
            <v>35118959.25</v>
          </cell>
          <cell r="H139">
            <v>0</v>
          </cell>
          <cell r="I139">
            <v>0</v>
          </cell>
          <cell r="J139">
            <v>35118959.25</v>
          </cell>
        </row>
        <row r="140">
          <cell r="C140" t="str">
            <v>112-114</v>
          </cell>
          <cell r="D140">
            <v>244</v>
          </cell>
          <cell r="E140" t="str">
            <v>DIST</v>
          </cell>
          <cell r="G140">
            <v>17902180</v>
          </cell>
          <cell r="H140">
            <v>0</v>
          </cell>
          <cell r="I140">
            <v>0</v>
          </cell>
          <cell r="J140">
            <v>17902180</v>
          </cell>
        </row>
        <row r="141">
          <cell r="C141" t="str">
            <v>112-115</v>
          </cell>
          <cell r="D141">
            <v>245</v>
          </cell>
          <cell r="E141" t="str">
            <v>DIST</v>
          </cell>
          <cell r="G141">
            <v>0</v>
          </cell>
          <cell r="H141">
            <v>0</v>
          </cell>
          <cell r="I141">
            <v>0</v>
          </cell>
          <cell r="J141">
            <v>0</v>
          </cell>
        </row>
        <row r="142">
          <cell r="C142" t="str">
            <v>112-114</v>
          </cell>
          <cell r="D142">
            <v>245</v>
          </cell>
          <cell r="E142" t="str">
            <v>DIST</v>
          </cell>
          <cell r="G142">
            <v>0</v>
          </cell>
          <cell r="H142">
            <v>0</v>
          </cell>
          <cell r="I142">
            <v>0</v>
          </cell>
          <cell r="J142">
            <v>0</v>
          </cell>
        </row>
        <row r="143">
          <cell r="G143">
            <v>17216779.25</v>
          </cell>
          <cell r="H143">
            <v>0</v>
          </cell>
          <cell r="I143">
            <v>0</v>
          </cell>
          <cell r="J143">
            <v>17216779.25</v>
          </cell>
        </row>
        <row r="145">
          <cell r="C145" t="str">
            <v>112-113</v>
          </cell>
          <cell r="D145">
            <v>244</v>
          </cell>
          <cell r="E145" t="str">
            <v>DIST</v>
          </cell>
          <cell r="G145"/>
          <cell r="H145">
            <v>0</v>
          </cell>
          <cell r="I145">
            <v>0</v>
          </cell>
          <cell r="J145">
            <v>0</v>
          </cell>
        </row>
        <row r="146">
          <cell r="C146" t="str">
            <v>112-114</v>
          </cell>
          <cell r="D146">
            <v>245</v>
          </cell>
          <cell r="E146" t="str">
            <v>DIST</v>
          </cell>
          <cell r="G146"/>
          <cell r="H146">
            <v>0</v>
          </cell>
          <cell r="I146">
            <v>0</v>
          </cell>
          <cell r="J146">
            <v>0</v>
          </cell>
        </row>
        <row r="147">
          <cell r="C147" t="str">
            <v>112-113</v>
          </cell>
          <cell r="D147">
            <v>252</v>
          </cell>
          <cell r="E147" t="str">
            <v>DIST</v>
          </cell>
          <cell r="G147">
            <v>4436512.88</v>
          </cell>
          <cell r="H147">
            <v>0</v>
          </cell>
          <cell r="I147">
            <v>0</v>
          </cell>
          <cell r="J147">
            <v>4436512.88</v>
          </cell>
        </row>
        <row r="148">
          <cell r="C148" t="str">
            <v>112-113</v>
          </cell>
          <cell r="D148">
            <v>253</v>
          </cell>
          <cell r="E148" t="str">
            <v>DIRECT</v>
          </cell>
          <cell r="F148" t="str">
            <v>DIST</v>
          </cell>
          <cell r="G148">
            <v>32918242.530000001</v>
          </cell>
          <cell r="H148">
            <v>297078</v>
          </cell>
          <cell r="I148">
            <v>0</v>
          </cell>
          <cell r="J148">
            <v>29362480</v>
          </cell>
        </row>
        <row r="149">
          <cell r="C149" t="str">
            <v>112-113</v>
          </cell>
          <cell r="D149">
            <v>254</v>
          </cell>
          <cell r="E149" t="str">
            <v>DIRECT</v>
          </cell>
          <cell r="F149" t="str">
            <v>DIST</v>
          </cell>
          <cell r="G149">
            <v>479233915.16999996</v>
          </cell>
          <cell r="H149">
            <v>528308</v>
          </cell>
          <cell r="I149">
            <v>0</v>
          </cell>
          <cell r="J149">
            <v>480678825</v>
          </cell>
        </row>
        <row r="150">
          <cell r="C150" t="str">
            <v>112-113</v>
          </cell>
          <cell r="D150">
            <v>255</v>
          </cell>
          <cell r="E150" t="str">
            <v>DIST</v>
          </cell>
          <cell r="G150">
            <v>28233162.039999999</v>
          </cell>
          <cell r="H150">
            <v>0</v>
          </cell>
          <cell r="I150">
            <v>0</v>
          </cell>
          <cell r="J150">
            <v>28233162.039999999</v>
          </cell>
        </row>
        <row r="151">
          <cell r="C151" t="str">
            <v>112-113</v>
          </cell>
          <cell r="D151">
            <v>256</v>
          </cell>
          <cell r="E151" t="str">
            <v>DIRECT</v>
          </cell>
          <cell r="G151">
            <v>0</v>
          </cell>
          <cell r="H151">
            <v>0</v>
          </cell>
          <cell r="I151">
            <v>0</v>
          </cell>
          <cell r="J151">
            <v>0</v>
          </cell>
        </row>
        <row r="152">
          <cell r="C152" t="str">
            <v>112-113</v>
          </cell>
          <cell r="D152">
            <v>257</v>
          </cell>
          <cell r="E152" t="str">
            <v>PTDG</v>
          </cell>
          <cell r="G152">
            <v>942383.92</v>
          </cell>
          <cell r="H152">
            <v>298661.95545135852</v>
          </cell>
          <cell r="I152">
            <v>195565.91036516606</v>
          </cell>
          <cell r="J152">
            <v>442017.31406884105</v>
          </cell>
        </row>
        <row r="153">
          <cell r="C153" t="str">
            <v>112-113</v>
          </cell>
          <cell r="D153">
            <v>281</v>
          </cell>
          <cell r="E153" t="str">
            <v>DIST</v>
          </cell>
          <cell r="G153">
            <v>0</v>
          </cell>
          <cell r="H153">
            <v>0</v>
          </cell>
          <cell r="I153">
            <v>0</v>
          </cell>
          <cell r="J153">
            <v>0</v>
          </cell>
        </row>
        <row r="154">
          <cell r="C154" t="str">
            <v>112-113</v>
          </cell>
          <cell r="D154">
            <v>282</v>
          </cell>
          <cell r="E154" t="str">
            <v>DIST</v>
          </cell>
          <cell r="G154">
            <v>653219869.71000004</v>
          </cell>
          <cell r="H154">
            <v>0</v>
          </cell>
          <cell r="I154">
            <v>0</v>
          </cell>
          <cell r="J154">
            <v>653219869.71000004</v>
          </cell>
        </row>
        <row r="155">
          <cell r="C155" t="str">
            <v>112-113</v>
          </cell>
          <cell r="D155">
            <v>283</v>
          </cell>
          <cell r="E155" t="str">
            <v>DIST</v>
          </cell>
          <cell r="G155">
            <v>256710715.16</v>
          </cell>
          <cell r="H155">
            <v>0</v>
          </cell>
          <cell r="I155">
            <v>0</v>
          </cell>
          <cell r="J155">
            <v>256710715.16</v>
          </cell>
        </row>
        <row r="156">
          <cell r="G156">
            <v>1455694801.4100001</v>
          </cell>
          <cell r="H156">
            <v>1124047.9554513586</v>
          </cell>
          <cell r="I156">
            <v>195565.91036516606</v>
          </cell>
          <cell r="J156">
            <v>1453083582.104069</v>
          </cell>
        </row>
        <row r="158">
          <cell r="G158">
            <v>1472911580.6600001</v>
          </cell>
          <cell r="H158">
            <v>1124047.9554513586</v>
          </cell>
          <cell r="I158">
            <v>195565.91036516606</v>
          </cell>
          <cell r="J158">
            <v>1470300361.354069</v>
          </cell>
        </row>
        <row r="161">
          <cell r="G161" t="e">
            <v>#REF!</v>
          </cell>
          <cell r="H161" t="e">
            <v>#REF!</v>
          </cell>
          <cell r="I161" t="e">
            <v>#REF!</v>
          </cell>
          <cell r="J161" t="e">
            <v>#REF!</v>
          </cell>
        </row>
      </sheetData>
      <sheetData sheetId="3">
        <row r="30">
          <cell r="G30">
            <v>28986993</v>
          </cell>
          <cell r="H30">
            <v>28986993</v>
          </cell>
        </row>
      </sheetData>
      <sheetData sheetId="4">
        <row r="97">
          <cell r="E97">
            <v>8.6892728165347516E-2</v>
          </cell>
          <cell r="F97">
            <v>8.6892728165347516E-2</v>
          </cell>
          <cell r="G97">
            <v>8.6892728165347516E-2</v>
          </cell>
          <cell r="H97">
            <v>8.6892728165347516E-2</v>
          </cell>
        </row>
        <row r="98">
          <cell r="E98" t="e">
            <v>#REF!</v>
          </cell>
          <cell r="F98" t="e">
            <v>#REF!</v>
          </cell>
          <cell r="G98" t="e">
            <v>#REF!</v>
          </cell>
          <cell r="H98" t="e">
            <v>#REF!</v>
          </cell>
        </row>
      </sheetData>
      <sheetData sheetId="5">
        <row r="16">
          <cell r="C16" t="str">
            <v>320-323</v>
          </cell>
          <cell r="D16">
            <v>501</v>
          </cell>
          <cell r="E16" t="str">
            <v>PROD</v>
          </cell>
          <cell r="G16">
            <v>46052299</v>
          </cell>
          <cell r="H16">
            <v>46052299</v>
          </cell>
          <cell r="I16">
            <v>0</v>
          </cell>
          <cell r="J16">
            <v>0</v>
          </cell>
        </row>
        <row r="17">
          <cell r="C17" t="str">
            <v>320-323</v>
          </cell>
          <cell r="D17" t="str">
            <v>500-509</v>
          </cell>
          <cell r="E17" t="str">
            <v>PROD</v>
          </cell>
          <cell r="G17">
            <v>12263177</v>
          </cell>
          <cell r="H17">
            <v>12263177</v>
          </cell>
          <cell r="I17">
            <v>0</v>
          </cell>
          <cell r="J17">
            <v>0</v>
          </cell>
        </row>
        <row r="18">
          <cell r="C18" t="str">
            <v>320-323</v>
          </cell>
          <cell r="D18" t="str">
            <v>510-515</v>
          </cell>
          <cell r="E18" t="str">
            <v>PROD</v>
          </cell>
          <cell r="G18">
            <v>10563065</v>
          </cell>
          <cell r="H18">
            <v>10563065</v>
          </cell>
          <cell r="I18">
            <v>0</v>
          </cell>
          <cell r="J18">
            <v>0</v>
          </cell>
        </row>
        <row r="20">
          <cell r="C20" t="str">
            <v>320-323</v>
          </cell>
          <cell r="D20">
            <v>518</v>
          </cell>
          <cell r="E20" t="str">
            <v>PROD</v>
          </cell>
          <cell r="G20">
            <v>0</v>
          </cell>
          <cell r="H20">
            <v>0</v>
          </cell>
          <cell r="I20">
            <v>0</v>
          </cell>
          <cell r="J20">
            <v>0</v>
          </cell>
        </row>
        <row r="21">
          <cell r="C21" t="str">
            <v>320-323</v>
          </cell>
          <cell r="D21" t="str">
            <v>517-525</v>
          </cell>
          <cell r="E21" t="str">
            <v>PROD</v>
          </cell>
          <cell r="G21">
            <v>0</v>
          </cell>
          <cell r="H21">
            <v>0</v>
          </cell>
          <cell r="I21">
            <v>0</v>
          </cell>
          <cell r="J21">
            <v>0</v>
          </cell>
        </row>
        <row r="22">
          <cell r="C22" t="str">
            <v>320-323</v>
          </cell>
          <cell r="D22" t="str">
            <v>528-532</v>
          </cell>
          <cell r="E22" t="str">
            <v>PROD</v>
          </cell>
          <cell r="G22">
            <v>0</v>
          </cell>
          <cell r="H22">
            <v>0</v>
          </cell>
          <cell r="I22">
            <v>0</v>
          </cell>
          <cell r="J22">
            <v>0</v>
          </cell>
        </row>
        <row r="24">
          <cell r="C24" t="str">
            <v>320-323</v>
          </cell>
          <cell r="D24" t="str">
            <v>535-540.1</v>
          </cell>
          <cell r="E24" t="str">
            <v>PROD</v>
          </cell>
          <cell r="G24">
            <v>29951984</v>
          </cell>
          <cell r="H24">
            <v>29951984</v>
          </cell>
          <cell r="I24">
            <v>0</v>
          </cell>
          <cell r="J24">
            <v>0</v>
          </cell>
        </row>
        <row r="25">
          <cell r="C25" t="str">
            <v>320-323</v>
          </cell>
          <cell r="D25" t="str">
            <v>541-545.1</v>
          </cell>
          <cell r="E25" t="str">
            <v>PROD</v>
          </cell>
          <cell r="G25">
            <v>5501093</v>
          </cell>
          <cell r="H25">
            <v>5501093</v>
          </cell>
          <cell r="I25">
            <v>0</v>
          </cell>
          <cell r="J25">
            <v>0</v>
          </cell>
        </row>
        <row r="27">
          <cell r="C27" t="str">
            <v>320-323</v>
          </cell>
          <cell r="D27">
            <v>547</v>
          </cell>
          <cell r="E27" t="str">
            <v>PROD</v>
          </cell>
          <cell r="G27">
            <v>116227146</v>
          </cell>
          <cell r="H27">
            <v>116227146</v>
          </cell>
          <cell r="I27">
            <v>0</v>
          </cell>
          <cell r="J27">
            <v>0</v>
          </cell>
        </row>
        <row r="28">
          <cell r="C28" t="str">
            <v>320-323</v>
          </cell>
          <cell r="D28" t="str">
            <v>546-550.1</v>
          </cell>
          <cell r="E28" t="str">
            <v>PROD</v>
          </cell>
          <cell r="G28">
            <v>5842028</v>
          </cell>
          <cell r="H28">
            <v>5842028</v>
          </cell>
          <cell r="I28">
            <v>0</v>
          </cell>
          <cell r="J28">
            <v>0</v>
          </cell>
        </row>
        <row r="29">
          <cell r="C29" t="str">
            <v>320-323</v>
          </cell>
          <cell r="D29" t="str">
            <v>551-554.1</v>
          </cell>
          <cell r="E29" t="str">
            <v>PROD</v>
          </cell>
          <cell r="G29">
            <v>3782274</v>
          </cell>
          <cell r="H29">
            <v>3782274</v>
          </cell>
          <cell r="I29">
            <v>0</v>
          </cell>
          <cell r="J29">
            <v>0</v>
          </cell>
        </row>
        <row r="31">
          <cell r="C31" t="str">
            <v>320-323</v>
          </cell>
          <cell r="D31">
            <v>555</v>
          </cell>
          <cell r="E31" t="str">
            <v>PROD</v>
          </cell>
          <cell r="G31" t="e">
            <v>#REF!</v>
          </cell>
          <cell r="H31" t="e">
            <v>#REF!</v>
          </cell>
          <cell r="I31" t="e">
            <v>#REF!</v>
          </cell>
          <cell r="J31" t="e">
            <v>#REF!</v>
          </cell>
        </row>
        <row r="32">
          <cell r="C32" t="str">
            <v>320-323</v>
          </cell>
          <cell r="D32">
            <v>556</v>
          </cell>
          <cell r="E32" t="str">
            <v>PROD</v>
          </cell>
          <cell r="G32">
            <v>764664</v>
          </cell>
          <cell r="H32">
            <v>764664</v>
          </cell>
          <cell r="I32">
            <v>0</v>
          </cell>
          <cell r="J32">
            <v>0</v>
          </cell>
        </row>
        <row r="33">
          <cell r="C33" t="str">
            <v>320-323</v>
          </cell>
          <cell r="D33">
            <v>557</v>
          </cell>
          <cell r="E33" t="str">
            <v>PROD</v>
          </cell>
          <cell r="G33">
            <v>38247947</v>
          </cell>
          <cell r="H33">
            <v>38247947</v>
          </cell>
          <cell r="I33">
            <v>0</v>
          </cell>
          <cell r="J33">
            <v>0</v>
          </cell>
        </row>
        <row r="34">
          <cell r="C34">
            <v>327</v>
          </cell>
          <cell r="D34">
            <v>555</v>
          </cell>
          <cell r="E34" t="str">
            <v>PROD</v>
          </cell>
          <cell r="G34">
            <v>0</v>
          </cell>
          <cell r="H34">
            <v>0</v>
          </cell>
          <cell r="I34">
            <v>0</v>
          </cell>
          <cell r="J34">
            <v>0</v>
          </cell>
        </row>
        <row r="35">
          <cell r="C35"/>
          <cell r="D35"/>
          <cell r="E35" t="str">
            <v>DIRECT</v>
          </cell>
          <cell r="F35" t="str">
            <v>DIST</v>
          </cell>
          <cell r="G35"/>
          <cell r="H35">
            <v>0</v>
          </cell>
          <cell r="I35">
            <v>0</v>
          </cell>
          <cell r="J35">
            <v>0</v>
          </cell>
        </row>
        <row r="36">
          <cell r="G36" t="e">
            <v>#REF!</v>
          </cell>
          <cell r="H36" t="e">
            <v>#REF!</v>
          </cell>
          <cell r="I36" t="e">
            <v>#REF!</v>
          </cell>
          <cell r="J36" t="e">
            <v>#REF!</v>
          </cell>
        </row>
        <row r="39">
          <cell r="C39" t="str">
            <v>320-323</v>
          </cell>
          <cell r="D39" t="str">
            <v>565</v>
          </cell>
          <cell r="E39" t="str">
            <v>TRANS</v>
          </cell>
          <cell r="G39">
            <v>19063436</v>
          </cell>
          <cell r="H39">
            <v>0</v>
          </cell>
          <cell r="I39">
            <v>19063436</v>
          </cell>
          <cell r="J39">
            <v>0</v>
          </cell>
        </row>
        <row r="40">
          <cell r="C40" t="str">
            <v>320-323</v>
          </cell>
          <cell r="D40" t="str">
            <v>560-567.1</v>
          </cell>
          <cell r="E40" t="str">
            <v>TRANS</v>
          </cell>
          <cell r="G40">
            <v>10227273</v>
          </cell>
          <cell r="H40">
            <v>0</v>
          </cell>
          <cell r="I40">
            <v>10227273</v>
          </cell>
          <cell r="J40">
            <v>0</v>
          </cell>
        </row>
        <row r="41">
          <cell r="C41" t="str">
            <v>320-323</v>
          </cell>
          <cell r="D41" t="str">
            <v>568-574</v>
          </cell>
          <cell r="E41" t="str">
            <v>TRANS</v>
          </cell>
          <cell r="G41">
            <v>4374909</v>
          </cell>
          <cell r="H41">
            <v>0</v>
          </cell>
          <cell r="I41">
            <v>4374909</v>
          </cell>
          <cell r="J41">
            <v>0</v>
          </cell>
        </row>
        <row r="42">
          <cell r="G42">
            <v>33665618</v>
          </cell>
          <cell r="H42">
            <v>0</v>
          </cell>
          <cell r="I42">
            <v>33665618</v>
          </cell>
          <cell r="J42">
            <v>0</v>
          </cell>
        </row>
        <row r="45">
          <cell r="C45" t="str">
            <v>320-323</v>
          </cell>
          <cell r="D45" t="str">
            <v>580-589</v>
          </cell>
          <cell r="E45" t="str">
            <v>DIST</v>
          </cell>
          <cell r="G45">
            <v>23429072</v>
          </cell>
          <cell r="H45">
            <v>0</v>
          </cell>
          <cell r="I45">
            <v>0</v>
          </cell>
          <cell r="J45">
            <v>23429072</v>
          </cell>
        </row>
        <row r="46">
          <cell r="C46" t="str">
            <v>320-323</v>
          </cell>
          <cell r="D46" t="str">
            <v>590-598</v>
          </cell>
          <cell r="E46" t="str">
            <v>DIST</v>
          </cell>
          <cell r="G46">
            <v>32595713.199999999</v>
          </cell>
          <cell r="H46">
            <v>0</v>
          </cell>
          <cell r="I46">
            <v>0</v>
          </cell>
          <cell r="J46">
            <v>32595713.199999999</v>
          </cell>
        </row>
        <row r="47">
          <cell r="G47">
            <v>56024785.200000003</v>
          </cell>
          <cell r="H47">
            <v>0</v>
          </cell>
          <cell r="I47">
            <v>0</v>
          </cell>
          <cell r="J47">
            <v>56024785.200000003</v>
          </cell>
        </row>
        <row r="50">
          <cell r="C50" t="str">
            <v>320-323</v>
          </cell>
          <cell r="D50" t="str">
            <v>901-905</v>
          </cell>
          <cell r="E50" t="str">
            <v>DIST</v>
          </cell>
          <cell r="G50">
            <v>10411205</v>
          </cell>
          <cell r="H50">
            <v>0</v>
          </cell>
          <cell r="I50">
            <v>0</v>
          </cell>
          <cell r="J50">
            <v>10411205</v>
          </cell>
        </row>
        <row r="51">
          <cell r="C51" t="str">
            <v>320-323</v>
          </cell>
          <cell r="D51" t="str">
            <v>906-907</v>
          </cell>
          <cell r="E51" t="str">
            <v>DIST</v>
          </cell>
          <cell r="G51">
            <v>0</v>
          </cell>
          <cell r="H51">
            <v>0</v>
          </cell>
          <cell r="I51">
            <v>0</v>
          </cell>
          <cell r="J51">
            <v>0</v>
          </cell>
        </row>
        <row r="52">
          <cell r="C52" t="str">
            <v>320-323</v>
          </cell>
          <cell r="D52">
            <v>908</v>
          </cell>
          <cell r="E52" t="str">
            <v>DIRECT</v>
          </cell>
          <cell r="F52" t="str">
            <v>DIRECT</v>
          </cell>
          <cell r="G52">
            <v>31870071.329999998</v>
          </cell>
          <cell r="H52">
            <v>31287134.193455175</v>
          </cell>
          <cell r="I52">
            <v>0</v>
          </cell>
          <cell r="J52">
            <v>6399224.8113431837</v>
          </cell>
        </row>
        <row r="53">
          <cell r="C53" t="str">
            <v>320-323</v>
          </cell>
          <cell r="D53" t="str">
            <v>909-910</v>
          </cell>
          <cell r="E53" t="str">
            <v>DIST</v>
          </cell>
          <cell r="F53" t="str">
            <v>DIRECT</v>
          </cell>
          <cell r="G53">
            <v>1095949.52</v>
          </cell>
          <cell r="H53">
            <v>0</v>
          </cell>
          <cell r="I53">
            <v>0</v>
          </cell>
          <cell r="J53">
            <v>1095949.52</v>
          </cell>
        </row>
        <row r="54">
          <cell r="C54" t="str">
            <v>320-323</v>
          </cell>
          <cell r="D54" t="str">
            <v>911-917</v>
          </cell>
          <cell r="E54" t="str">
            <v>DIST</v>
          </cell>
          <cell r="G54">
            <v>43646</v>
          </cell>
          <cell r="H54">
            <v>0</v>
          </cell>
          <cell r="I54">
            <v>0</v>
          </cell>
          <cell r="J54">
            <v>43646</v>
          </cell>
        </row>
        <row r="55">
          <cell r="G55">
            <v>43420871.850000001</v>
          </cell>
          <cell r="H55">
            <v>31287134.193455175</v>
          </cell>
          <cell r="I55">
            <v>0</v>
          </cell>
          <cell r="J55">
            <v>17950025.331343185</v>
          </cell>
        </row>
        <row r="59">
          <cell r="C59" t="str">
            <v>320-323</v>
          </cell>
          <cell r="D59">
            <v>920</v>
          </cell>
          <cell r="E59" t="str">
            <v>LABOR</v>
          </cell>
          <cell r="G59">
            <v>32491999.100000001</v>
          </cell>
          <cell r="H59">
            <v>11894366.986961963</v>
          </cell>
          <cell r="I59">
            <v>5181705.0276132524</v>
          </cell>
          <cell r="J59">
            <v>15415927.085424785</v>
          </cell>
        </row>
        <row r="60">
          <cell r="C60" t="str">
            <v>320-323</v>
          </cell>
          <cell r="D60">
            <v>921</v>
          </cell>
          <cell r="E60" t="str">
            <v>LABOR</v>
          </cell>
          <cell r="G60">
            <v>3924957.88</v>
          </cell>
          <cell r="H60">
            <v>1436811.8529551544</v>
          </cell>
          <cell r="I60">
            <v>625937.90912564239</v>
          </cell>
          <cell r="J60">
            <v>1862208.1179192031</v>
          </cell>
        </row>
        <row r="61">
          <cell r="C61" t="str">
            <v>320-323</v>
          </cell>
          <cell r="D61">
            <v>922</v>
          </cell>
          <cell r="E61" t="str">
            <v>LABOR</v>
          </cell>
          <cell r="G61">
            <v>-114021.94</v>
          </cell>
          <cell r="H61">
            <v>-41740.084836003756</v>
          </cell>
          <cell r="I61">
            <v>-18183.801431787451</v>
          </cell>
          <cell r="J61">
            <v>-54098.053732208791</v>
          </cell>
        </row>
        <row r="62">
          <cell r="C62" t="str">
            <v>320-323</v>
          </cell>
          <cell r="D62">
            <v>923</v>
          </cell>
          <cell r="E62" t="str">
            <v>LABOR</v>
          </cell>
          <cell r="G62">
            <v>14933868.609999999</v>
          </cell>
          <cell r="H62">
            <v>5466850.8772183098</v>
          </cell>
          <cell r="I62">
            <v>2381598.6766462987</v>
          </cell>
          <cell r="J62">
            <v>7085419.0561353909</v>
          </cell>
        </row>
        <row r="63">
          <cell r="C63" t="str">
            <v>320-323</v>
          </cell>
          <cell r="D63">
            <v>924</v>
          </cell>
          <cell r="E63" t="str">
            <v>PTDG</v>
          </cell>
          <cell r="G63">
            <v>2806700.76</v>
          </cell>
          <cell r="H63">
            <v>889504.49976737075</v>
          </cell>
          <cell r="I63">
            <v>582453.68750774465</v>
          </cell>
          <cell r="J63">
            <v>1316459.571307387</v>
          </cell>
        </row>
        <row r="64">
          <cell r="C64" t="str">
            <v>320-323</v>
          </cell>
          <cell r="D64">
            <v>925</v>
          </cell>
          <cell r="E64" t="str">
            <v>LABOR</v>
          </cell>
          <cell r="G64">
            <v>10784298.52</v>
          </cell>
          <cell r="H64">
            <v>3947815.0882329289</v>
          </cell>
          <cell r="I64">
            <v>1719840.4348215729</v>
          </cell>
          <cell r="J64">
            <v>5116642.9969454976</v>
          </cell>
        </row>
        <row r="65">
          <cell r="C65" t="str">
            <v>320-323</v>
          </cell>
          <cell r="D65">
            <v>926</v>
          </cell>
          <cell r="E65" t="str">
            <v>LABOR</v>
          </cell>
          <cell r="G65">
            <v>28096653.760000002</v>
          </cell>
          <cell r="H65">
            <v>10285360.094296098</v>
          </cell>
          <cell r="I65">
            <v>4480751.4489713497</v>
          </cell>
          <cell r="J65">
            <v>13330542.216732554</v>
          </cell>
        </row>
        <row r="66">
          <cell r="C66" t="str">
            <v>320-323</v>
          </cell>
          <cell r="D66">
            <v>927</v>
          </cell>
          <cell r="E66" t="str">
            <v>DIST</v>
          </cell>
          <cell r="G66">
            <v>1200</v>
          </cell>
          <cell r="H66">
            <v>0</v>
          </cell>
          <cell r="I66">
            <v>0</v>
          </cell>
          <cell r="J66">
            <v>1200</v>
          </cell>
        </row>
        <row r="67">
          <cell r="C67" t="str">
            <v>320-323</v>
          </cell>
          <cell r="D67">
            <v>928</v>
          </cell>
          <cell r="E67" t="str">
            <v>DIST</v>
          </cell>
          <cell r="G67">
            <v>8387545.0899999999</v>
          </cell>
          <cell r="H67">
            <v>0</v>
          </cell>
          <cell r="I67">
            <v>0</v>
          </cell>
          <cell r="J67">
            <v>8387545.0899999999</v>
          </cell>
        </row>
        <row r="68">
          <cell r="C68" t="str">
            <v>320-323</v>
          </cell>
          <cell r="D68">
            <v>929</v>
          </cell>
          <cell r="E68" t="str">
            <v>PTDG</v>
          </cell>
          <cell r="G68">
            <v>0</v>
          </cell>
          <cell r="H68">
            <v>0</v>
          </cell>
          <cell r="I68">
            <v>0</v>
          </cell>
          <cell r="J68">
            <v>0</v>
          </cell>
        </row>
        <row r="69">
          <cell r="C69" t="str">
            <v>320-323</v>
          </cell>
          <cell r="D69">
            <v>930.1</v>
          </cell>
          <cell r="E69" t="str">
            <v>DIST</v>
          </cell>
          <cell r="F69" t="str">
            <v>DIRECT</v>
          </cell>
          <cell r="G69">
            <v>0</v>
          </cell>
          <cell r="H69">
            <v>0</v>
          </cell>
          <cell r="I69">
            <v>0</v>
          </cell>
          <cell r="J69">
            <v>0</v>
          </cell>
        </row>
        <row r="70">
          <cell r="C70" t="str">
            <v>320-323</v>
          </cell>
          <cell r="D70">
            <v>930.2</v>
          </cell>
          <cell r="E70" t="str">
            <v>DIST</v>
          </cell>
          <cell r="F70" t="str">
            <v>DIRECT</v>
          </cell>
          <cell r="G70">
            <v>5644866</v>
          </cell>
          <cell r="H70">
            <v>0</v>
          </cell>
          <cell r="I70">
            <v>0</v>
          </cell>
          <cell r="J70">
            <v>5644866</v>
          </cell>
        </row>
        <row r="71">
          <cell r="C71" t="str">
            <v>320-323</v>
          </cell>
          <cell r="D71">
            <v>931</v>
          </cell>
          <cell r="E71" t="str">
            <v>DIST</v>
          </cell>
          <cell r="G71">
            <v>938930</v>
          </cell>
          <cell r="H71">
            <v>0</v>
          </cell>
          <cell r="I71">
            <v>0</v>
          </cell>
          <cell r="J71">
            <v>938930</v>
          </cell>
        </row>
        <row r="72">
          <cell r="C72" t="str">
            <v>320-324</v>
          </cell>
          <cell r="D72">
            <v>933</v>
          </cell>
          <cell r="E72" t="str">
            <v>DIST</v>
          </cell>
          <cell r="G72">
            <v>0</v>
          </cell>
          <cell r="H72">
            <v>0</v>
          </cell>
          <cell r="I72">
            <v>0</v>
          </cell>
          <cell r="J72">
            <v>0</v>
          </cell>
        </row>
        <row r="74">
          <cell r="C74" t="str">
            <v>320-323</v>
          </cell>
          <cell r="D74">
            <v>935</v>
          </cell>
          <cell r="E74" t="str">
            <v>GPM</v>
          </cell>
          <cell r="G74">
            <v>14630422</v>
          </cell>
          <cell r="H74">
            <v>4690577.0284544546</v>
          </cell>
          <cell r="I74">
            <v>3004886.1751773297</v>
          </cell>
          <cell r="J74">
            <v>6934958.7963682162</v>
          </cell>
        </row>
        <row r="75">
          <cell r="G75">
            <v>122755463.66000001</v>
          </cell>
        </row>
        <row r="77">
          <cell r="G77" t="e">
            <v>#REF!</v>
          </cell>
          <cell r="H77" t="e">
            <v>#REF!</v>
          </cell>
          <cell r="I77" t="e">
            <v>#REF!</v>
          </cell>
          <cell r="J77" t="e">
            <v>#REF!</v>
          </cell>
        </row>
        <row r="81">
          <cell r="C81">
            <v>336</v>
          </cell>
          <cell r="D81">
            <v>404</v>
          </cell>
          <cell r="E81" t="str">
            <v>DIST</v>
          </cell>
          <cell r="F81" t="str">
            <v xml:space="preserve"> </v>
          </cell>
          <cell r="G81"/>
          <cell r="H81">
            <v>0</v>
          </cell>
          <cell r="I81">
            <v>0</v>
          </cell>
          <cell r="J81">
            <v>0</v>
          </cell>
        </row>
        <row r="82">
          <cell r="C82">
            <v>336</v>
          </cell>
          <cell r="D82">
            <v>404</v>
          </cell>
          <cell r="E82" t="str">
            <v>DIRECT</v>
          </cell>
          <cell r="F82" t="str">
            <v>PTD</v>
          </cell>
          <cell r="G82">
            <v>942553</v>
          </cell>
          <cell r="H82">
            <v>851061.47480113443</v>
          </cell>
          <cell r="I82">
            <v>91491.52519886542</v>
          </cell>
          <cell r="J82">
            <v>0</v>
          </cell>
        </row>
        <row r="83">
          <cell r="C83">
            <v>336</v>
          </cell>
          <cell r="D83">
            <v>404</v>
          </cell>
          <cell r="E83" t="str">
            <v>DIRECT</v>
          </cell>
          <cell r="F83" t="str">
            <v>DIST</v>
          </cell>
          <cell r="G83">
            <v>3221870</v>
          </cell>
          <cell r="H83">
            <v>2352974.4555752077</v>
          </cell>
          <cell r="I83">
            <v>586258.89000899706</v>
          </cell>
          <cell r="J83">
            <v>282636.57291662658</v>
          </cell>
        </row>
        <row r="84">
          <cell r="C84">
            <v>336</v>
          </cell>
          <cell r="D84">
            <v>403</v>
          </cell>
          <cell r="E84" t="str">
            <v>PROD</v>
          </cell>
          <cell r="G84">
            <v>17056563</v>
          </cell>
          <cell r="H84">
            <v>17056563</v>
          </cell>
          <cell r="I84">
            <v>0</v>
          </cell>
          <cell r="J84">
            <v>0</v>
          </cell>
        </row>
        <row r="85">
          <cell r="C85">
            <v>336</v>
          </cell>
          <cell r="D85">
            <v>403</v>
          </cell>
          <cell r="E85" t="str">
            <v>PROD</v>
          </cell>
          <cell r="G85"/>
          <cell r="H85">
            <v>0</v>
          </cell>
          <cell r="I85">
            <v>0</v>
          </cell>
          <cell r="J85">
            <v>0</v>
          </cell>
        </row>
        <row r="86">
          <cell r="C86">
            <v>336</v>
          </cell>
          <cell r="D86">
            <v>403</v>
          </cell>
          <cell r="E86" t="str">
            <v>PROD</v>
          </cell>
          <cell r="G86">
            <v>16632247</v>
          </cell>
          <cell r="H86">
            <v>16632247</v>
          </cell>
          <cell r="I86">
            <v>0</v>
          </cell>
          <cell r="J86">
            <v>0</v>
          </cell>
        </row>
        <row r="87">
          <cell r="C87">
            <v>336</v>
          </cell>
          <cell r="D87">
            <v>403</v>
          </cell>
          <cell r="E87" t="str">
            <v>PROD</v>
          </cell>
          <cell r="G87"/>
          <cell r="H87">
            <v>0</v>
          </cell>
          <cell r="I87">
            <v>0</v>
          </cell>
          <cell r="J87">
            <v>0</v>
          </cell>
        </row>
        <row r="88">
          <cell r="C88">
            <v>336</v>
          </cell>
          <cell r="D88">
            <v>403</v>
          </cell>
          <cell r="E88" t="str">
            <v>PROD</v>
          </cell>
          <cell r="G88">
            <v>11041726</v>
          </cell>
          <cell r="H88">
            <v>11041726</v>
          </cell>
          <cell r="I88">
            <v>0</v>
          </cell>
          <cell r="J88">
            <v>0</v>
          </cell>
        </row>
        <row r="89">
          <cell r="C89">
            <v>336</v>
          </cell>
          <cell r="D89">
            <v>403</v>
          </cell>
          <cell r="E89" t="str">
            <v>TRANS</v>
          </cell>
          <cell r="G89">
            <v>21064671</v>
          </cell>
          <cell r="H89">
            <v>0</v>
          </cell>
          <cell r="I89">
            <v>21064671</v>
          </cell>
          <cell r="J89">
            <v>0</v>
          </cell>
        </row>
        <row r="90">
          <cell r="C90">
            <v>336</v>
          </cell>
          <cell r="D90">
            <v>403</v>
          </cell>
          <cell r="E90" t="str">
            <v>DIST</v>
          </cell>
          <cell r="G90">
            <v>60509580</v>
          </cell>
          <cell r="H90">
            <v>0</v>
          </cell>
          <cell r="I90">
            <v>0</v>
          </cell>
          <cell r="J90">
            <v>60509580</v>
          </cell>
        </row>
        <row r="91">
          <cell r="C91">
            <v>336</v>
          </cell>
          <cell r="D91">
            <v>403</v>
          </cell>
          <cell r="E91" t="str">
            <v>GP</v>
          </cell>
          <cell r="G91">
            <v>5172455</v>
          </cell>
          <cell r="H91">
            <v>796769.34241722547</v>
          </cell>
          <cell r="I91">
            <v>1331566.2519708953</v>
          </cell>
          <cell r="J91">
            <v>3044119.4056118787</v>
          </cell>
        </row>
        <row r="92">
          <cell r="C92">
            <v>336</v>
          </cell>
          <cell r="D92">
            <v>403</v>
          </cell>
          <cell r="E92" t="str">
            <v>DIRECT</v>
          </cell>
          <cell r="G92">
            <v>18217879</v>
          </cell>
          <cell r="H92">
            <v>5092813.8800000008</v>
          </cell>
          <cell r="I92">
            <v>2546406.9400000004</v>
          </cell>
          <cell r="J92">
            <v>10549400.18</v>
          </cell>
        </row>
        <row r="93">
          <cell r="C93">
            <v>336</v>
          </cell>
          <cell r="D93">
            <v>404</v>
          </cell>
          <cell r="E93" t="str">
            <v>DIRECT</v>
          </cell>
          <cell r="G93">
            <v>36465620</v>
          </cell>
          <cell r="H93">
            <v>6916522.7600000007</v>
          </cell>
          <cell r="I93">
            <v>3458261.3800000004</v>
          </cell>
          <cell r="J93">
            <v>14327082.859999999</v>
          </cell>
        </row>
        <row r="94">
          <cell r="C94">
            <v>336</v>
          </cell>
          <cell r="D94">
            <v>403.1</v>
          </cell>
          <cell r="E94" t="str">
            <v>DIRECT</v>
          </cell>
          <cell r="G94"/>
          <cell r="H94">
            <v>0</v>
          </cell>
          <cell r="I94">
            <v>0</v>
          </cell>
          <cell r="J94">
            <v>0</v>
          </cell>
        </row>
        <row r="95">
          <cell r="C95">
            <v>336</v>
          </cell>
          <cell r="D95">
            <v>404</v>
          </cell>
          <cell r="E95" t="str">
            <v>DIRECT</v>
          </cell>
          <cell r="G95"/>
          <cell r="H95">
            <v>0</v>
          </cell>
          <cell r="I95">
            <v>0</v>
          </cell>
          <cell r="J95">
            <v>0</v>
          </cell>
        </row>
        <row r="96">
          <cell r="C96" t="str">
            <v>200-201</v>
          </cell>
          <cell r="D96">
            <v>406</v>
          </cell>
          <cell r="E96" t="str">
            <v>DIRECT</v>
          </cell>
          <cell r="G96"/>
          <cell r="H96">
            <v>0</v>
          </cell>
          <cell r="I96">
            <v>0</v>
          </cell>
          <cell r="J96">
            <v>0</v>
          </cell>
        </row>
        <row r="97">
          <cell r="G97">
            <v>190325164</v>
          </cell>
          <cell r="H97">
            <v>60740677.912793569</v>
          </cell>
          <cell r="I97">
            <v>29078655.987178758</v>
          </cell>
          <cell r="J97">
            <v>88712819.018528506</v>
          </cell>
        </row>
        <row r="100">
          <cell r="G100" t="e">
            <v>#REF!</v>
          </cell>
          <cell r="H100" t="e">
            <v>#REF!</v>
          </cell>
          <cell r="I100" t="e">
            <v>#REF!</v>
          </cell>
          <cell r="J100" t="e">
            <v>#REF!</v>
          </cell>
        </row>
      </sheetData>
      <sheetData sheetId="6">
        <row r="16">
          <cell r="C16">
            <v>262</v>
          </cell>
          <cell r="D16">
            <v>409.1</v>
          </cell>
          <cell r="E16" t="str">
            <v>DIST</v>
          </cell>
          <cell r="F16">
            <v>15013915</v>
          </cell>
          <cell r="G16">
            <v>0</v>
          </cell>
          <cell r="H16">
            <v>0</v>
          </cell>
          <cell r="I16">
            <v>15013915</v>
          </cell>
        </row>
        <row r="17">
          <cell r="C17">
            <v>262</v>
          </cell>
          <cell r="D17">
            <v>408.1</v>
          </cell>
          <cell r="E17" t="str">
            <v>LABOR</v>
          </cell>
          <cell r="F17"/>
          <cell r="G17">
            <v>0</v>
          </cell>
          <cell r="H17">
            <v>0</v>
          </cell>
          <cell r="I17">
            <v>0</v>
          </cell>
        </row>
        <row r="18">
          <cell r="C18">
            <v>262</v>
          </cell>
          <cell r="D18">
            <v>408.1</v>
          </cell>
          <cell r="E18" t="str">
            <v>DIST</v>
          </cell>
          <cell r="F18"/>
          <cell r="G18">
            <v>0</v>
          </cell>
          <cell r="H18">
            <v>0</v>
          </cell>
          <cell r="I18">
            <v>0</v>
          </cell>
        </row>
        <row r="19">
          <cell r="F19">
            <v>15013915</v>
          </cell>
          <cell r="G19">
            <v>0</v>
          </cell>
          <cell r="H19">
            <v>0</v>
          </cell>
          <cell r="I19">
            <v>15013915</v>
          </cell>
        </row>
        <row r="22">
          <cell r="C22">
            <v>262</v>
          </cell>
          <cell r="D22">
            <v>408.1</v>
          </cell>
          <cell r="E22" t="str">
            <v>PTDG</v>
          </cell>
          <cell r="F22">
            <v>37863278</v>
          </cell>
          <cell r="G22">
            <v>11999696.097614231</v>
          </cell>
          <cell r="H22">
            <v>7857483.8495539734</v>
          </cell>
          <cell r="I22">
            <v>17759454.600415763</v>
          </cell>
        </row>
        <row r="23">
          <cell r="C23">
            <v>262</v>
          </cell>
          <cell r="D23">
            <v>408.1</v>
          </cell>
          <cell r="E23" t="str">
            <v>LABOR</v>
          </cell>
          <cell r="F23">
            <v>0</v>
          </cell>
          <cell r="G23">
            <v>0</v>
          </cell>
          <cell r="H23">
            <v>0</v>
          </cell>
          <cell r="I23">
            <v>0</v>
          </cell>
        </row>
        <row r="24">
          <cell r="C24">
            <v>262</v>
          </cell>
          <cell r="D24">
            <v>409.1</v>
          </cell>
          <cell r="E24" t="str">
            <v>DIST</v>
          </cell>
          <cell r="F24">
            <v>39401059</v>
          </cell>
          <cell r="G24">
            <v>0</v>
          </cell>
          <cell r="H24">
            <v>0</v>
          </cell>
          <cell r="I24">
            <v>39401059</v>
          </cell>
        </row>
        <row r="25">
          <cell r="C25">
            <v>262</v>
          </cell>
          <cell r="D25">
            <v>408.1</v>
          </cell>
          <cell r="E25" t="str">
            <v>DIST</v>
          </cell>
          <cell r="F25">
            <v>11526477</v>
          </cell>
          <cell r="G25">
            <v>0</v>
          </cell>
          <cell r="H25">
            <v>0</v>
          </cell>
          <cell r="I25">
            <v>11526477</v>
          </cell>
        </row>
        <row r="26">
          <cell r="C26">
            <v>262</v>
          </cell>
          <cell r="D26">
            <v>408.1</v>
          </cell>
          <cell r="E26" t="str">
            <v>DIST</v>
          </cell>
          <cell r="F26">
            <v>240</v>
          </cell>
          <cell r="G26">
            <v>0</v>
          </cell>
          <cell r="H26">
            <v>0</v>
          </cell>
          <cell r="I26">
            <v>240</v>
          </cell>
        </row>
        <row r="27">
          <cell r="C27">
            <v>262</v>
          </cell>
          <cell r="D27">
            <v>408.1</v>
          </cell>
          <cell r="E27" t="str">
            <v>DIST</v>
          </cell>
          <cell r="F27">
            <v>29955592</v>
          </cell>
          <cell r="G27">
            <v>0</v>
          </cell>
          <cell r="H27">
            <v>0</v>
          </cell>
          <cell r="I27">
            <v>29955592</v>
          </cell>
        </row>
        <row r="28">
          <cell r="C28">
            <v>262</v>
          </cell>
          <cell r="D28">
            <v>408.1</v>
          </cell>
          <cell r="E28" t="str">
            <v>DIST</v>
          </cell>
          <cell r="F28">
            <v>2014671</v>
          </cell>
          <cell r="G28">
            <v>0</v>
          </cell>
          <cell r="H28">
            <v>0</v>
          </cell>
          <cell r="I28">
            <v>2014671</v>
          </cell>
        </row>
        <row r="29">
          <cell r="F29">
            <v>120761317</v>
          </cell>
          <cell r="G29">
            <v>11999696.097614231</v>
          </cell>
          <cell r="H29">
            <v>7857483.8495539734</v>
          </cell>
          <cell r="I29">
            <v>100657493.60041577</v>
          </cell>
        </row>
        <row r="31">
          <cell r="F31">
            <v>135775232</v>
          </cell>
          <cell r="G31">
            <v>11999696.097614231</v>
          </cell>
          <cell r="H31">
            <v>7857483.8495539734</v>
          </cell>
          <cell r="I31">
            <v>115671408.60041577</v>
          </cell>
        </row>
      </sheetData>
      <sheetData sheetId="7">
        <row r="15">
          <cell r="C15">
            <v>114</v>
          </cell>
          <cell r="D15">
            <v>407.4</v>
          </cell>
          <cell r="E15" t="str">
            <v>DIRECT</v>
          </cell>
          <cell r="F15" t="str">
            <v>PROD</v>
          </cell>
          <cell r="G15">
            <v>43048247.780000001</v>
          </cell>
          <cell r="H15" t="e">
            <v>#REF!</v>
          </cell>
          <cell r="I15" t="e">
            <v>#REF!</v>
          </cell>
          <cell r="J15" t="e">
            <v>#REF!</v>
          </cell>
        </row>
        <row r="16">
          <cell r="C16">
            <v>114</v>
          </cell>
          <cell r="D16">
            <v>407.3</v>
          </cell>
          <cell r="E16" t="str">
            <v>DIRECT</v>
          </cell>
          <cell r="F16" t="str">
            <v>DIST</v>
          </cell>
          <cell r="G16">
            <v>21751021.41</v>
          </cell>
          <cell r="H16" t="e">
            <v>#REF!</v>
          </cell>
          <cell r="I16">
            <v>2066864.3947057775</v>
          </cell>
          <cell r="J16">
            <v>-2055829.8014101069</v>
          </cell>
        </row>
        <row r="17">
          <cell r="C17">
            <v>114</v>
          </cell>
          <cell r="D17">
            <v>411.6</v>
          </cell>
          <cell r="E17" t="str">
            <v>DIRECT</v>
          </cell>
          <cell r="F17" t="str">
            <v>PROD</v>
          </cell>
          <cell r="G17">
            <v>0</v>
          </cell>
          <cell r="H17">
            <v>0</v>
          </cell>
          <cell r="I17">
            <v>0</v>
          </cell>
          <cell r="J17">
            <v>0</v>
          </cell>
        </row>
        <row r="18">
          <cell r="C18">
            <v>114</v>
          </cell>
          <cell r="D18" t="str">
            <v>411.7</v>
          </cell>
          <cell r="E18" t="str">
            <v>DIRECT</v>
          </cell>
          <cell r="F18" t="str">
            <v>DIST</v>
          </cell>
          <cell r="G18">
            <v>0</v>
          </cell>
          <cell r="H18">
            <v>0</v>
          </cell>
          <cell r="I18">
            <v>0</v>
          </cell>
          <cell r="J18">
            <v>0</v>
          </cell>
        </row>
        <row r="19">
          <cell r="C19">
            <v>114</v>
          </cell>
          <cell r="D19">
            <v>411.8</v>
          </cell>
          <cell r="E19" t="str">
            <v>PROD</v>
          </cell>
          <cell r="F19"/>
          <cell r="G19">
            <v>0</v>
          </cell>
          <cell r="H19">
            <v>0</v>
          </cell>
          <cell r="I19">
            <v>0</v>
          </cell>
          <cell r="J19">
            <v>0</v>
          </cell>
        </row>
        <row r="20">
          <cell r="C20">
            <v>114</v>
          </cell>
          <cell r="D20">
            <v>411.9</v>
          </cell>
          <cell r="E20" t="str">
            <v>PROD</v>
          </cell>
          <cell r="F20"/>
          <cell r="G20">
            <v>0</v>
          </cell>
          <cell r="H20">
            <v>0</v>
          </cell>
          <cell r="I20">
            <v>0</v>
          </cell>
          <cell r="J20">
            <v>0</v>
          </cell>
        </row>
        <row r="21">
          <cell r="C21">
            <v>114</v>
          </cell>
          <cell r="D21">
            <v>421</v>
          </cell>
          <cell r="E21" t="str">
            <v>DIRECT</v>
          </cell>
          <cell r="F21" t="str">
            <v>PROD</v>
          </cell>
          <cell r="G21">
            <v>0</v>
          </cell>
          <cell r="H21">
            <v>0</v>
          </cell>
          <cell r="I21">
            <v>0</v>
          </cell>
          <cell r="J21">
            <v>0</v>
          </cell>
        </row>
        <row r="22">
          <cell r="G22">
            <v>21297226.370000001</v>
          </cell>
          <cell r="H22" t="e">
            <v>#REF!</v>
          </cell>
          <cell r="I22" t="e">
            <v>#REF!</v>
          </cell>
          <cell r="J22" t="e">
            <v>#REF!</v>
          </cell>
        </row>
        <row r="25">
          <cell r="C25">
            <v>310</v>
          </cell>
          <cell r="D25">
            <v>447</v>
          </cell>
          <cell r="E25" t="str">
            <v>PROD</v>
          </cell>
          <cell r="F25"/>
          <cell r="G25" t="e">
            <v>#REF!</v>
          </cell>
          <cell r="H25" t="e">
            <v>#REF!</v>
          </cell>
          <cell r="I25" t="e">
            <v>#REF!</v>
          </cell>
          <cell r="J25" t="e">
            <v>#REF!</v>
          </cell>
        </row>
        <row r="26">
          <cell r="G26" t="e">
            <v>#REF!</v>
          </cell>
          <cell r="H26" t="e">
            <v>#REF!</v>
          </cell>
          <cell r="I26" t="e">
            <v>#REF!</v>
          </cell>
          <cell r="J26" t="e">
            <v>#REF!</v>
          </cell>
        </row>
        <row r="29">
          <cell r="C29">
            <v>300</v>
          </cell>
          <cell r="D29">
            <v>450</v>
          </cell>
          <cell r="E29" t="str">
            <v>DIST</v>
          </cell>
          <cell r="F29"/>
          <cell r="G29">
            <v>0</v>
          </cell>
          <cell r="H29">
            <v>0</v>
          </cell>
          <cell r="I29">
            <v>0</v>
          </cell>
          <cell r="J29">
            <v>0</v>
          </cell>
        </row>
        <row r="30">
          <cell r="C30">
            <v>300</v>
          </cell>
          <cell r="D30" t="str">
            <v>451</v>
          </cell>
          <cell r="E30" t="str">
            <v>DIST</v>
          </cell>
          <cell r="F30"/>
          <cell r="G30">
            <v>129396</v>
          </cell>
          <cell r="H30">
            <v>0</v>
          </cell>
          <cell r="I30">
            <v>0</v>
          </cell>
          <cell r="J30">
            <v>129396</v>
          </cell>
        </row>
        <row r="31">
          <cell r="C31">
            <v>300</v>
          </cell>
          <cell r="D31" t="str">
            <v>453</v>
          </cell>
          <cell r="E31" t="str">
            <v>PROD</v>
          </cell>
          <cell r="F31"/>
          <cell r="G31">
            <v>688332</v>
          </cell>
          <cell r="H31">
            <v>688332</v>
          </cell>
          <cell r="I31">
            <v>0</v>
          </cell>
          <cell r="J31">
            <v>0</v>
          </cell>
        </row>
        <row r="32">
          <cell r="C32">
            <v>300</v>
          </cell>
          <cell r="D32" t="str">
            <v>454</v>
          </cell>
          <cell r="E32" t="str">
            <v>TD</v>
          </cell>
          <cell r="F32"/>
          <cell r="G32">
            <v>7542853</v>
          </cell>
          <cell r="H32">
            <v>0</v>
          </cell>
          <cell r="I32">
            <v>2302499.2819598946</v>
          </cell>
          <cell r="J32">
            <v>5240353.718040105</v>
          </cell>
        </row>
        <row r="33">
          <cell r="C33">
            <v>300</v>
          </cell>
          <cell r="D33">
            <v>455</v>
          </cell>
          <cell r="E33" t="str">
            <v>DIST</v>
          </cell>
          <cell r="F33"/>
          <cell r="G33">
            <v>0</v>
          </cell>
          <cell r="H33">
            <v>0</v>
          </cell>
          <cell r="I33">
            <v>0</v>
          </cell>
          <cell r="J33">
            <v>0</v>
          </cell>
        </row>
        <row r="34">
          <cell r="C34">
            <v>300</v>
          </cell>
          <cell r="D34" t="str">
            <v>456</v>
          </cell>
          <cell r="E34" t="str">
            <v>DIRECT</v>
          </cell>
          <cell r="F34" t="str">
            <v>PROD</v>
          </cell>
          <cell r="G34">
            <v>2198927</v>
          </cell>
          <cell r="H34">
            <v>-5823888</v>
          </cell>
          <cell r="I34">
            <v>1057573</v>
          </cell>
          <cell r="J34">
            <v>73945213</v>
          </cell>
        </row>
        <row r="35">
          <cell r="C35">
            <v>330</v>
          </cell>
          <cell r="D35">
            <v>456.1</v>
          </cell>
          <cell r="E35" t="str">
            <v>TRANS</v>
          </cell>
          <cell r="F35"/>
          <cell r="G35">
            <v>30969981</v>
          </cell>
          <cell r="H35">
            <v>0</v>
          </cell>
          <cell r="I35">
            <v>30969981</v>
          </cell>
          <cell r="J35">
            <v>0</v>
          </cell>
        </row>
        <row r="37">
          <cell r="G37">
            <v>41529489</v>
          </cell>
          <cell r="H37">
            <v>-5135556</v>
          </cell>
          <cell r="I37">
            <v>34330053.281959891</v>
          </cell>
          <cell r="J37">
            <v>79314962.718040109</v>
          </cell>
        </row>
        <row r="39">
          <cell r="G39" t="e">
            <v>#REF!</v>
          </cell>
          <cell r="H39" t="e">
            <v>#REF!</v>
          </cell>
          <cell r="I39" t="e">
            <v>#REF!</v>
          </cell>
          <cell r="J39" t="e">
            <v>#REF!</v>
          </cell>
        </row>
      </sheetData>
      <sheetData sheetId="8">
        <row r="12">
          <cell r="C12" t="str">
            <v>Total</v>
          </cell>
          <cell r="D12" t="str">
            <v>Production</v>
          </cell>
          <cell r="E12" t="str">
            <v>Transmission</v>
          </cell>
          <cell r="F12" t="str">
            <v>Distribution/Other</v>
          </cell>
        </row>
        <row r="13">
          <cell r="C13" t="e">
            <v>#REF!</v>
          </cell>
          <cell r="D13" t="e">
            <v>#REF!</v>
          </cell>
          <cell r="E13" t="e">
            <v>#REF!</v>
          </cell>
          <cell r="F13" t="e">
            <v>#REF!</v>
          </cell>
        </row>
        <row r="16">
          <cell r="C16" t="e">
            <v>#REF!</v>
          </cell>
          <cell r="D16" t="e">
            <v>#REF!</v>
          </cell>
          <cell r="E16" t="e">
            <v>#REF!</v>
          </cell>
          <cell r="F16" t="e">
            <v>#REF!</v>
          </cell>
        </row>
        <row r="19">
          <cell r="C19">
            <v>135775232</v>
          </cell>
          <cell r="D19">
            <v>11999696.097614231</v>
          </cell>
          <cell r="E19">
            <v>7857483.8495539734</v>
          </cell>
          <cell r="F19">
            <v>115671408.60041577</v>
          </cell>
        </row>
        <row r="22">
          <cell r="C22" t="e">
            <v>#REF!</v>
          </cell>
          <cell r="D22" t="e">
            <v>#REF!</v>
          </cell>
          <cell r="E22" t="e">
            <v>#REF!</v>
          </cell>
          <cell r="F22" t="e">
            <v>#REF!</v>
          </cell>
        </row>
        <row r="25">
          <cell r="C25" t="e">
            <v>#REF!</v>
          </cell>
          <cell r="D25" t="e">
            <v>#REF!</v>
          </cell>
          <cell r="E25" t="e">
            <v>#REF!</v>
          </cell>
          <cell r="F25" t="e">
            <v>#REF!</v>
          </cell>
        </row>
        <row r="32">
          <cell r="D32" t="e">
            <v>#REF!</v>
          </cell>
        </row>
        <row r="33">
          <cell r="D33" t="e">
            <v>#REF!</v>
          </cell>
        </row>
        <row r="34">
          <cell r="D34" t="e">
            <v>#REF!</v>
          </cell>
        </row>
        <row r="35">
          <cell r="D35" t="e">
            <v>#REF!</v>
          </cell>
        </row>
        <row r="36">
          <cell r="D36" t="e">
            <v>#REF!</v>
          </cell>
        </row>
        <row r="39">
          <cell r="D39">
            <v>9307869</v>
          </cell>
        </row>
        <row r="40">
          <cell r="D40" t="e">
            <v>#REF!</v>
          </cell>
        </row>
        <row r="41">
          <cell r="D41" t="e">
            <v>#REF!</v>
          </cell>
        </row>
        <row r="42">
          <cell r="D42">
            <v>343088.52337068028</v>
          </cell>
        </row>
        <row r="43">
          <cell r="D43" t="e">
            <v>#REF!</v>
          </cell>
        </row>
        <row r="44">
          <cell r="D44" t="e">
            <v>#REF!</v>
          </cell>
        </row>
        <row r="45">
          <cell r="F45">
            <v>132849.682</v>
          </cell>
        </row>
        <row r="46">
          <cell r="D46" t="e">
            <v>#REF!</v>
          </cell>
        </row>
        <row r="48">
          <cell r="F48"/>
        </row>
      </sheetData>
      <sheetData sheetId="9"/>
      <sheetData sheetId="10">
        <row r="32">
          <cell r="D32">
            <v>7494383.9199999999</v>
          </cell>
        </row>
        <row r="45">
          <cell r="D45">
            <v>29766370.949999999</v>
          </cell>
        </row>
        <row r="83">
          <cell r="G83">
            <v>0</v>
          </cell>
        </row>
        <row r="87">
          <cell r="G87">
            <v>6864993.6900000013</v>
          </cell>
        </row>
        <row r="92">
          <cell r="G92">
            <v>447092.23</v>
          </cell>
        </row>
        <row r="98">
          <cell r="G98">
            <v>182298</v>
          </cell>
        </row>
      </sheetData>
      <sheetData sheetId="11">
        <row r="104">
          <cell r="I104">
            <v>4142690.715501627</v>
          </cell>
          <cell r="J104">
            <v>294472.33239826042</v>
          </cell>
          <cell r="K104">
            <v>1513448.728802904</v>
          </cell>
        </row>
      </sheetData>
      <sheetData sheetId="12">
        <row r="11">
          <cell r="F11">
            <v>-9306035.6400000025</v>
          </cell>
        </row>
        <row r="27">
          <cell r="F27">
            <v>-2268021.5</v>
          </cell>
        </row>
        <row r="40">
          <cell r="F40">
            <v>-8402719.4400000013</v>
          </cell>
        </row>
        <row r="41">
          <cell r="F41">
            <v>-903316.2</v>
          </cell>
        </row>
        <row r="46">
          <cell r="F46">
            <v>-1991040.69</v>
          </cell>
        </row>
        <row r="47">
          <cell r="F47">
            <v>-294472.33239826042</v>
          </cell>
        </row>
        <row r="51">
          <cell r="F51">
            <v>-253088.64999999997</v>
          </cell>
        </row>
        <row r="52">
          <cell r="F52">
            <v>-4142690.715501627</v>
          </cell>
        </row>
        <row r="55">
          <cell r="F55">
            <v>-23892.16</v>
          </cell>
        </row>
        <row r="56">
          <cell r="F56">
            <v>-1513448.728802904</v>
          </cell>
        </row>
      </sheetData>
      <sheetData sheetId="13"/>
      <sheetData sheetId="14">
        <row r="17">
          <cell r="I17">
            <v>4512416</v>
          </cell>
        </row>
        <row r="26">
          <cell r="I26">
            <v>85095679</v>
          </cell>
        </row>
        <row r="35">
          <cell r="I35">
            <v>24828440</v>
          </cell>
        </row>
        <row r="53">
          <cell r="I53">
            <v>68822259</v>
          </cell>
        </row>
        <row r="62">
          <cell r="I62">
            <v>20467720</v>
          </cell>
        </row>
        <row r="71">
          <cell r="I71">
            <v>2951000</v>
          </cell>
        </row>
        <row r="80">
          <cell r="I80">
            <v>15510750</v>
          </cell>
        </row>
        <row r="81">
          <cell r="Q81">
            <v>94171546</v>
          </cell>
        </row>
        <row r="109">
          <cell r="I109">
            <v>10303494</v>
          </cell>
          <cell r="Q109">
            <v>4158883</v>
          </cell>
        </row>
        <row r="119">
          <cell r="I119">
            <v>117958282</v>
          </cell>
          <cell r="Q119">
            <v>47021412</v>
          </cell>
        </row>
        <row r="129">
          <cell r="I129">
            <v>52107378</v>
          </cell>
          <cell r="Q129">
            <v>22075316</v>
          </cell>
        </row>
        <row r="139">
          <cell r="I139">
            <v>10962380</v>
          </cell>
          <cell r="Q139">
            <v>3935750</v>
          </cell>
        </row>
        <row r="149">
          <cell r="I149">
            <v>4684177</v>
          </cell>
          <cell r="Q149">
            <v>1389035</v>
          </cell>
        </row>
        <row r="159">
          <cell r="I159">
            <v>12717622</v>
          </cell>
          <cell r="Q159">
            <v>5218298</v>
          </cell>
        </row>
        <row r="178">
          <cell r="I178">
            <v>929160</v>
          </cell>
          <cell r="Q178">
            <v>396091</v>
          </cell>
        </row>
        <row r="188">
          <cell r="I188">
            <v>1424950</v>
          </cell>
          <cell r="Q188">
            <v>470370</v>
          </cell>
        </row>
        <row r="198">
          <cell r="I198">
            <v>93649773</v>
          </cell>
          <cell r="Q198">
            <v>38219758</v>
          </cell>
        </row>
        <row r="208">
          <cell r="I208">
            <v>594944</v>
          </cell>
          <cell r="Q208">
            <v>252286</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3">
          <cell r="C13" t="str">
            <v>PROD</v>
          </cell>
          <cell r="D13">
            <v>19893844</v>
          </cell>
          <cell r="E13">
            <v>19893844</v>
          </cell>
          <cell r="F13">
            <v>0</v>
          </cell>
          <cell r="G13">
            <v>0</v>
          </cell>
        </row>
        <row r="14">
          <cell r="C14" t="str">
            <v>TRANS</v>
          </cell>
          <cell r="D14">
            <v>6611795</v>
          </cell>
          <cell r="E14">
            <v>0</v>
          </cell>
          <cell r="F14">
            <v>6611795</v>
          </cell>
          <cell r="G14">
            <v>0</v>
          </cell>
        </row>
        <row r="15">
          <cell r="C15" t="str">
            <v>DIST</v>
          </cell>
          <cell r="D15">
            <v>17025418</v>
          </cell>
          <cell r="E15">
            <v>0</v>
          </cell>
          <cell r="F15">
            <v>0</v>
          </cell>
          <cell r="G15">
            <v>17025418</v>
          </cell>
        </row>
        <row r="16">
          <cell r="C16" t="str">
            <v>DIST</v>
          </cell>
          <cell r="D16">
            <v>6507117</v>
          </cell>
          <cell r="E16">
            <v>0</v>
          </cell>
          <cell r="F16">
            <v>0</v>
          </cell>
          <cell r="G16">
            <v>6507117</v>
          </cell>
        </row>
        <row r="17">
          <cell r="C17" t="str">
            <v>DIST</v>
          </cell>
          <cell r="D17">
            <v>422600</v>
          </cell>
          <cell r="E17">
            <v>0</v>
          </cell>
          <cell r="F17">
            <v>0</v>
          </cell>
          <cell r="G17">
            <v>422600</v>
          </cell>
        </row>
        <row r="18">
          <cell r="C18" t="str">
            <v>DIST</v>
          </cell>
          <cell r="D18">
            <v>0</v>
          </cell>
          <cell r="E18">
            <v>0</v>
          </cell>
          <cell r="F18">
            <v>0</v>
          </cell>
          <cell r="G18">
            <v>0</v>
          </cell>
        </row>
        <row r="19">
          <cell r="C19" t="str">
            <v>PTD</v>
          </cell>
          <cell r="D19">
            <v>29427473</v>
          </cell>
          <cell r="E19">
            <v>9350897.9082645196</v>
          </cell>
          <cell r="F19">
            <v>6128490.0730446223</v>
          </cell>
          <cell r="G19">
            <v>13948085.018690856</v>
          </cell>
        </row>
        <row r="21">
          <cell r="D21">
            <v>79888247</v>
          </cell>
          <cell r="E21">
            <v>29244741.908264518</v>
          </cell>
          <cell r="F21">
            <v>12740285.073044622</v>
          </cell>
          <cell r="G21">
            <v>37903220.018690854</v>
          </cell>
        </row>
        <row r="22">
          <cell r="D22">
            <v>1</v>
          </cell>
          <cell r="E22">
            <v>0.36607064250971133</v>
          </cell>
          <cell r="F22">
            <v>0.15947633790292862</v>
          </cell>
          <cell r="G22">
            <v>0.47445301958736003</v>
          </cell>
        </row>
        <row r="50">
          <cell r="E50">
            <v>0.31776081854750221</v>
          </cell>
          <cell r="F50">
            <v>0.2082574359356178</v>
          </cell>
          <cell r="G50">
            <v>0.47398174551687999</v>
          </cell>
        </row>
        <row r="65">
          <cell r="E65">
            <v>0</v>
          </cell>
          <cell r="F65">
            <v>0.30525575428288138</v>
          </cell>
          <cell r="G65">
            <v>0.69474424571711857</v>
          </cell>
        </row>
        <row r="77">
          <cell r="D77"/>
          <cell r="E77"/>
          <cell r="F77"/>
          <cell r="G77"/>
        </row>
        <row r="78">
          <cell r="D78" t="str">
            <v>DIST</v>
          </cell>
          <cell r="E78">
            <v>0</v>
          </cell>
          <cell r="F78">
            <v>0</v>
          </cell>
          <cell r="G78">
            <v>1</v>
          </cell>
        </row>
        <row r="79">
          <cell r="D79" t="str">
            <v>PROD</v>
          </cell>
          <cell r="E79">
            <v>1</v>
          </cell>
          <cell r="F79">
            <v>0</v>
          </cell>
          <cell r="G79">
            <v>0</v>
          </cell>
        </row>
        <row r="80">
          <cell r="D80" t="str">
            <v>TRANS</v>
          </cell>
          <cell r="E80">
            <v>0</v>
          </cell>
          <cell r="F80">
            <v>1</v>
          </cell>
          <cell r="G80">
            <v>0</v>
          </cell>
        </row>
        <row r="81">
          <cell r="D81" t="str">
            <v>DIRECT</v>
          </cell>
          <cell r="E81">
            <v>0</v>
          </cell>
          <cell r="F81">
            <v>0</v>
          </cell>
          <cell r="G81">
            <v>0</v>
          </cell>
        </row>
        <row r="82">
          <cell r="D82" t="str">
            <v>GP</v>
          </cell>
          <cell r="E82">
            <v>0.15404084567525972</v>
          </cell>
          <cell r="F82">
            <v>0.25743409115611354</v>
          </cell>
          <cell r="G82">
            <v>0.58852506316862663</v>
          </cell>
        </row>
        <row r="83">
          <cell r="D83" t="str">
            <v>GPM</v>
          </cell>
          <cell r="E83">
            <v>0.32060435635106455</v>
          </cell>
          <cell r="F83">
            <v>0.20538615872989377</v>
          </cell>
          <cell r="G83">
            <v>0.47400948491904171</v>
          </cell>
        </row>
        <row r="84">
          <cell r="D84" t="str">
            <v>LABOR</v>
          </cell>
          <cell r="E84">
            <v>0.36607064250971133</v>
          </cell>
          <cell r="F84">
            <v>0.15947633790292862</v>
          </cell>
          <cell r="G84">
            <v>0.47445301958736003</v>
          </cell>
        </row>
        <row r="85">
          <cell r="D85" t="str">
            <v>PTD</v>
          </cell>
          <cell r="E85">
            <v>0.31776081854750221</v>
          </cell>
          <cell r="F85">
            <v>0.2082574359356178</v>
          </cell>
          <cell r="G85">
            <v>0.47398174551687999</v>
          </cell>
        </row>
        <row r="86">
          <cell r="D86" t="str">
            <v>PTDG</v>
          </cell>
          <cell r="E86">
            <v>0.31692174400785456</v>
          </cell>
          <cell r="F86">
            <v>0.20752254597591824</v>
          </cell>
          <cell r="G86">
            <v>0.46904165562252065</v>
          </cell>
        </row>
        <row r="87">
          <cell r="D87" t="str">
            <v>TD</v>
          </cell>
          <cell r="E87">
            <v>0</v>
          </cell>
          <cell r="F87">
            <v>0.30525575428288138</v>
          </cell>
          <cell r="G87">
            <v>0.69474424571711857</v>
          </cell>
        </row>
      </sheetData>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ow r="5">
          <cell r="M5">
            <v>57840902</v>
          </cell>
        </row>
      </sheetData>
      <sheetData sheetId="49"/>
      <sheetData sheetId="50"/>
      <sheetData sheetId="51">
        <row r="45">
          <cell r="L45">
            <v>898192107</v>
          </cell>
        </row>
      </sheetData>
      <sheetData sheetId="52">
        <row r="23">
          <cell r="N23">
            <v>0</v>
          </cell>
        </row>
      </sheetData>
      <sheetData sheetId="53"/>
      <sheetData sheetId="54"/>
      <sheetData sheetId="55"/>
      <sheetData sheetId="56"/>
      <sheetData sheetId="57"/>
      <sheetData sheetId="58"/>
      <sheetData sheetId="59"/>
      <sheetData sheetId="60"/>
      <sheetData sheetId="61"/>
      <sheetData sheetId="62"/>
      <sheetData sheetId="63">
        <row r="2">
          <cell r="J2">
            <v>9850589</v>
          </cell>
        </row>
        <row r="11">
          <cell r="J11">
            <v>422432</v>
          </cell>
        </row>
        <row r="12">
          <cell r="J12">
            <v>36465620</v>
          </cell>
        </row>
      </sheetData>
      <sheetData sheetId="64"/>
      <sheetData sheetId="65"/>
      <sheetData sheetId="66"/>
      <sheetData sheetId="67"/>
      <sheetData sheetId="68"/>
      <sheetData sheetId="69"/>
      <sheetData sheetId="70"/>
      <sheetData sheetId="71"/>
      <sheetData sheetId="72"/>
      <sheetData sheetId="73"/>
      <sheetData sheetId="7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Input_R&amp;L"/>
      <sheetName val="Results"/>
      <sheetName val="Loads"/>
      <sheetName val="Resources"/>
      <sheetName val="Rates@PF96_01"/>
      <sheetName val="Revenue"/>
      <sheetName val="IPRevenue"/>
      <sheetName val="PF02-3&amp;2Rates"/>
      <sheetName val="PF02-5Rates"/>
      <sheetName val="NR02-3&amp;2Rates"/>
      <sheetName val="NR02-5Rates"/>
      <sheetName val="DSI02-5IPRates"/>
      <sheetName val="PF96Rates"/>
      <sheetName val="Aurora"/>
      <sheetName val="MarketModel"/>
      <sheetName val="Capacity"/>
      <sheetName val="Start"/>
      <sheetName val="Notes"/>
      <sheetName val="Demand"/>
      <sheetName val="comp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AV Output"/>
      <sheetName val="Aurora Calcs"/>
      <sheetName val="SUMMARY"/>
      <sheetName val="PROJECT"/>
      <sheetName val="FUEL"/>
      <sheetName val="FINANCIAL"/>
      <sheetName val="ESCALATION"/>
      <sheetName val="TAXDEP"/>
      <sheetName val="ICALCS"/>
      <sheetName val="PUBLIC"/>
      <sheetName val="REGULATED"/>
      <sheetName val="UNREGULATED"/>
      <sheetName val="NOTES"/>
      <sheetName val="Module1"/>
      <sheetName val="Module3"/>
      <sheetName val="Module4"/>
      <sheetName val="Module2"/>
      <sheetName val="Module5"/>
    </sheetNames>
    <sheetDataSet>
      <sheetData sheetId="0"/>
      <sheetData sheetId="1"/>
      <sheetData sheetId="2"/>
      <sheetData sheetId="3"/>
      <sheetData sheetId="4"/>
      <sheetData sheetId="5">
        <row r="54">
          <cell r="C54">
            <v>2.5000000000000001E-2</v>
          </cell>
        </row>
      </sheetData>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ias"/>
      <sheetName val="Data"/>
      <sheetName val="E-CHK"/>
      <sheetName val="E-CHK-UI"/>
      <sheetName val="E-ALL"/>
      <sheetName val="E-OPS"/>
      <sheetName val="E-456"/>
      <sheetName val="E-555"/>
      <sheetName val="E-557"/>
      <sheetName val="E-908"/>
      <sheetName val="E-INT"/>
      <sheetName val="E-FIT"/>
      <sheetName val="E-SCM"/>
      <sheetName val="E-DTE"/>
      <sheetName val="E-OTX"/>
      <sheetName val="E-PLT"/>
      <sheetName val="E-APL"/>
      <sheetName val="E-DEPX"/>
      <sheetName val="E-AMTX"/>
      <sheetName val="E-ADEP"/>
      <sheetName val="E-AAMT"/>
      <sheetName val="C-GPL"/>
      <sheetName val="C-IPL"/>
      <sheetName val="C-DTX"/>
      <sheetName val="C-WKC"/>
      <sheetName val="E-ROR"/>
    </sheetNames>
    <sheetDataSet>
      <sheetData sheetId="0" refreshError="1"/>
      <sheetData sheetId="1">
        <row r="2">
          <cell r="H2">
            <v>12</v>
          </cell>
        </row>
        <row r="3">
          <cell r="H3" t="str">
            <v>E</v>
          </cell>
        </row>
        <row r="4">
          <cell r="H4" t="str">
            <v>For Twelve Months Ended December 31, 2021</v>
          </cell>
        </row>
        <row r="5">
          <cell r="H5" t="str">
            <v>Ending Balance Basis</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Input"/>
      <sheetName val="Input_R&amp;L"/>
      <sheetName val="graphs"/>
      <sheetName val="Input_b&amp;vlf"/>
      <sheetName val="Revenue"/>
      <sheetName val="NewResults"/>
      <sheetName val="Results"/>
      <sheetName val="Target"/>
      <sheetName val="Output Annual 2"/>
      <sheetName val="MarginMatrix"/>
      <sheetName val="GSP Fctr"/>
      <sheetName val="HLH%"/>
      <sheetName val="fcst"/>
      <sheetName val="ldd"/>
      <sheetName val="util_sys_pk"/>
      <sheetName val="res_dem@BPA_pk"/>
      <sheetName val="res_tot_energy"/>
      <sheetName val="res_hlh_energy"/>
      <sheetName val="custnames"/>
      <sheetName val="AcctExec"/>
      <sheetName val="prodtype"/>
      <sheetName val="Resources"/>
      <sheetName val="Output Annual"/>
      <sheetName val="Annual Output"/>
      <sheetName val="Output Monthly"/>
      <sheetName val="Loads"/>
      <sheetName val="Rates@PF96_01"/>
      <sheetName val="PF96Rates"/>
      <sheetName val="PF02-5Rates"/>
      <sheetName val="PF02-3&amp;2Rates"/>
      <sheetName val="MarketModel"/>
      <sheetName val="TFPrices"/>
      <sheetName val="demand"/>
      <sheetName val="capacity"/>
      <sheetName val="Notes"/>
      <sheetName val="Aurora"/>
      <sheetName val="comp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enue"/>
      <sheetName val="Input_R&amp;L"/>
    </sheetNames>
    <sheetDataSet>
      <sheetData sheetId="0"/>
      <sheetData sheetId="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lias"/>
      <sheetName val="Data"/>
      <sheetName val="E-CHK"/>
      <sheetName val="E-CHK-UI"/>
      <sheetName val="E-ALL"/>
      <sheetName val="E-OPS"/>
      <sheetName val="E-456"/>
      <sheetName val="E-555"/>
      <sheetName val="E-557"/>
      <sheetName val="E-908"/>
      <sheetName val="E-FIT"/>
      <sheetName val="E-INT"/>
      <sheetName val="E-SCM"/>
      <sheetName val="E-DTE"/>
      <sheetName val="E-OTX"/>
      <sheetName val="E-PLT"/>
      <sheetName val="E-APL"/>
      <sheetName val="E-DEPX"/>
      <sheetName val="E-AMTX"/>
      <sheetName val="E-ADEP"/>
      <sheetName val="E-AAMT"/>
      <sheetName val="C-GPL"/>
      <sheetName val="C-IPL"/>
      <sheetName val="C-DTX"/>
      <sheetName val="C-WKC"/>
      <sheetName val="E-R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20">
          <cell r="G20">
            <v>21045509</v>
          </cell>
          <cell r="H20">
            <v>8516429</v>
          </cell>
          <cell r="I20">
            <v>3388448</v>
          </cell>
          <cell r="J20">
            <v>9140632</v>
          </cell>
          <cell r="K20">
            <v>21045509</v>
          </cell>
          <cell r="L20">
            <v>0</v>
          </cell>
          <cell r="M20">
            <v>0</v>
          </cell>
          <cell r="N20">
            <v>0</v>
          </cell>
          <cell r="O20">
            <v>0</v>
          </cell>
          <cell r="P20">
            <v>0</v>
          </cell>
          <cell r="Q20">
            <v>0</v>
          </cell>
          <cell r="R20">
            <v>0</v>
          </cell>
        </row>
        <row r="21">
          <cell r="G21">
            <v>25050600</v>
          </cell>
          <cell r="H21">
            <v>0</v>
          </cell>
          <cell r="I21">
            <v>0</v>
          </cell>
          <cell r="J21">
            <v>0</v>
          </cell>
          <cell r="K21">
            <v>0</v>
          </cell>
          <cell r="L21">
            <v>25050600</v>
          </cell>
          <cell r="M21">
            <v>0</v>
          </cell>
          <cell r="N21">
            <v>0</v>
          </cell>
          <cell r="O21">
            <v>25050600</v>
          </cell>
          <cell r="P21">
            <v>0</v>
          </cell>
          <cell r="Q21">
            <v>0</v>
          </cell>
          <cell r="R21">
            <v>0</v>
          </cell>
        </row>
        <row r="22">
          <cell r="G22">
            <v>4457921</v>
          </cell>
          <cell r="H22">
            <v>0</v>
          </cell>
          <cell r="I22">
            <v>0</v>
          </cell>
          <cell r="J22">
            <v>0</v>
          </cell>
          <cell r="K22">
            <v>0</v>
          </cell>
          <cell r="L22">
            <v>0</v>
          </cell>
          <cell r="M22">
            <v>0</v>
          </cell>
          <cell r="N22">
            <v>0</v>
          </cell>
          <cell r="O22">
            <v>0</v>
          </cell>
          <cell r="P22">
            <v>4457921</v>
          </cell>
          <cell r="Q22">
            <v>0</v>
          </cell>
          <cell r="R22">
            <v>4457921</v>
          </cell>
        </row>
        <row r="23">
          <cell r="G23">
            <v>0</v>
          </cell>
          <cell r="H23">
            <v>0</v>
          </cell>
          <cell r="I23">
            <v>0</v>
          </cell>
          <cell r="J23">
            <v>0</v>
          </cell>
          <cell r="K23">
            <v>0</v>
          </cell>
          <cell r="L23">
            <v>0</v>
          </cell>
          <cell r="M23">
            <v>0</v>
          </cell>
          <cell r="N23">
            <v>0</v>
          </cell>
          <cell r="O23">
            <v>0</v>
          </cell>
          <cell r="P23">
            <v>0</v>
          </cell>
          <cell r="Q23">
            <v>0</v>
          </cell>
          <cell r="R23">
            <v>0</v>
          </cell>
        </row>
        <row r="24">
          <cell r="G24">
            <v>132442094</v>
          </cell>
          <cell r="H24">
            <v>0</v>
          </cell>
          <cell r="I24">
            <v>0</v>
          </cell>
          <cell r="J24">
            <v>92857801</v>
          </cell>
          <cell r="K24">
            <v>92857801</v>
          </cell>
          <cell r="L24">
            <v>0</v>
          </cell>
          <cell r="M24">
            <v>0</v>
          </cell>
          <cell r="N24">
            <v>27426109</v>
          </cell>
          <cell r="O24">
            <v>27426109</v>
          </cell>
          <cell r="P24">
            <v>0</v>
          </cell>
          <cell r="Q24">
            <v>12158184</v>
          </cell>
          <cell r="R24">
            <v>12158184</v>
          </cell>
        </row>
        <row r="25">
          <cell r="G25">
            <v>32537600</v>
          </cell>
          <cell r="H25">
            <v>9599820</v>
          </cell>
          <cell r="I25">
            <v>6330918</v>
          </cell>
          <cell r="J25">
            <v>9169743</v>
          </cell>
          <cell r="K25">
            <v>25100481</v>
          </cell>
          <cell r="L25">
            <v>2844368</v>
          </cell>
          <cell r="M25">
            <v>1875812</v>
          </cell>
          <cell r="N25">
            <v>2716939</v>
          </cell>
          <cell r="O25">
            <v>7437119</v>
          </cell>
          <cell r="P25">
            <v>0</v>
          </cell>
          <cell r="Q25">
            <v>0</v>
          </cell>
          <cell r="R25">
            <v>0</v>
          </cell>
        </row>
        <row r="30">
          <cell r="G30">
            <v>3979342</v>
          </cell>
          <cell r="H30">
            <v>1691302</v>
          </cell>
          <cell r="I30">
            <v>7798</v>
          </cell>
          <cell r="J30">
            <v>2280242</v>
          </cell>
          <cell r="K30">
            <v>3979342</v>
          </cell>
          <cell r="L30">
            <v>0</v>
          </cell>
          <cell r="M30">
            <v>0</v>
          </cell>
          <cell r="N30">
            <v>0</v>
          </cell>
          <cell r="O30">
            <v>0</v>
          </cell>
          <cell r="P30">
            <v>0</v>
          </cell>
          <cell r="Q30">
            <v>0</v>
          </cell>
          <cell r="R30">
            <v>0</v>
          </cell>
        </row>
        <row r="31">
          <cell r="G31">
            <v>233123</v>
          </cell>
          <cell r="H31">
            <v>0</v>
          </cell>
          <cell r="I31">
            <v>0</v>
          </cell>
          <cell r="J31">
            <v>0</v>
          </cell>
          <cell r="K31">
            <v>0</v>
          </cell>
          <cell r="L31">
            <v>233123</v>
          </cell>
          <cell r="M31">
            <v>0</v>
          </cell>
          <cell r="N31">
            <v>0</v>
          </cell>
          <cell r="O31">
            <v>233123</v>
          </cell>
          <cell r="P31">
            <v>0</v>
          </cell>
          <cell r="Q31">
            <v>0</v>
          </cell>
          <cell r="R31">
            <v>0</v>
          </cell>
        </row>
        <row r="32">
          <cell r="G32">
            <v>12109</v>
          </cell>
          <cell r="H32">
            <v>0</v>
          </cell>
          <cell r="I32">
            <v>0</v>
          </cell>
          <cell r="J32">
            <v>0</v>
          </cell>
          <cell r="K32">
            <v>0</v>
          </cell>
          <cell r="L32">
            <v>0</v>
          </cell>
          <cell r="M32">
            <v>0</v>
          </cell>
          <cell r="N32">
            <v>0</v>
          </cell>
          <cell r="O32">
            <v>0</v>
          </cell>
          <cell r="P32">
            <v>12109</v>
          </cell>
          <cell r="Q32">
            <v>0</v>
          </cell>
          <cell r="R32">
            <v>12109</v>
          </cell>
        </row>
        <row r="33">
          <cell r="G33">
            <v>170667</v>
          </cell>
          <cell r="H33">
            <v>0</v>
          </cell>
          <cell r="I33">
            <v>0</v>
          </cell>
          <cell r="J33">
            <v>0</v>
          </cell>
          <cell r="K33">
            <v>0</v>
          </cell>
          <cell r="L33">
            <v>0</v>
          </cell>
          <cell r="M33">
            <v>0</v>
          </cell>
          <cell r="N33">
            <v>117820</v>
          </cell>
          <cell r="O33">
            <v>117820</v>
          </cell>
          <cell r="P33">
            <v>0</v>
          </cell>
          <cell r="Q33">
            <v>52847</v>
          </cell>
          <cell r="R33">
            <v>52847</v>
          </cell>
        </row>
        <row r="34">
          <cell r="G34">
            <v>72811513</v>
          </cell>
          <cell r="H34">
            <v>0</v>
          </cell>
          <cell r="I34">
            <v>0</v>
          </cell>
          <cell r="J34">
            <v>51049608</v>
          </cell>
          <cell r="K34">
            <v>51049608</v>
          </cell>
          <cell r="L34">
            <v>0</v>
          </cell>
          <cell r="M34">
            <v>0</v>
          </cell>
          <cell r="N34">
            <v>15077808</v>
          </cell>
          <cell r="O34">
            <v>15077808</v>
          </cell>
          <cell r="P34">
            <v>0</v>
          </cell>
          <cell r="Q34">
            <v>6684097</v>
          </cell>
          <cell r="R34">
            <v>6684097</v>
          </cell>
        </row>
        <row r="35">
          <cell r="G35">
            <v>1371181</v>
          </cell>
          <cell r="H35">
            <v>853099</v>
          </cell>
          <cell r="I35">
            <v>7622</v>
          </cell>
          <cell r="J35">
            <v>197049</v>
          </cell>
          <cell r="K35">
            <v>1057770</v>
          </cell>
          <cell r="L35">
            <v>252768</v>
          </cell>
          <cell r="M35">
            <v>2258</v>
          </cell>
          <cell r="N35">
            <v>58385</v>
          </cell>
          <cell r="O35">
            <v>313411</v>
          </cell>
          <cell r="P35">
            <v>0</v>
          </cell>
          <cell r="Q35">
            <v>0</v>
          </cell>
          <cell r="R35">
            <v>0</v>
          </cell>
        </row>
      </sheetData>
      <sheetData sheetId="22"/>
      <sheetData sheetId="23"/>
      <sheetData sheetId="24"/>
      <sheetData sheetId="2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 Lg WA 1"/>
      <sheetName val="SUMMARY - Lg ID 1"/>
      <sheetName val="Pivot_Lg WA 1"/>
      <sheetName val="Pivot_Lg ID 1"/>
      <sheetName val="Acerno_Cache_XXXXX"/>
      <sheetName val="Lg WA 1 Data"/>
      <sheetName val="Lg ID 1 Data"/>
      <sheetName val="Sheet 1"/>
    </sheetNames>
    <sheetDataSet>
      <sheetData sheetId="0" refreshError="1"/>
      <sheetData sheetId="1" refreshError="1"/>
      <sheetData sheetId="2">
        <row r="48">
          <cell r="F48">
            <v>448381610</v>
          </cell>
        </row>
        <row r="49">
          <cell r="F49">
            <v>429865176</v>
          </cell>
        </row>
      </sheetData>
      <sheetData sheetId="3" refreshError="1"/>
      <sheetData sheetId="4" refreshError="1"/>
      <sheetData sheetId="5" refreshError="1"/>
      <sheetData sheetId="6" refreshError="1"/>
      <sheetData sheetId="7">
        <row r="2">
          <cell r="A2" t="str">
            <v>NLSL</v>
          </cell>
        </row>
        <row r="3">
          <cell r="A3" t="str">
            <v>N/A</v>
          </cell>
        </row>
      </sheetData>
    </sheetDataSet>
  </externalBook>
</externalLink>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Book2"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file:///\\c01u66\c01u66\MLL7557\My%20Documents\2023%20Purchased%20Power%20(Account%20555)%20Page%20326%20with%20backup.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openxmlformats.org/officeDocument/2006/relationships/externalLinkPath" Target="file:///C:\Users\mll7557\AppData\Local\Microsoft\Windows\INetCache\Content.Outlook\06QG2ZF8\Sales_For_Resale_Template%20Q4%202022.xlsx" TargetMode="External"/><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2" Type="http://schemas.openxmlformats.org/officeDocument/2006/relationships/externalLinkPath" Target="file:///C:\Users\mll7557\AppData\Local\Microsoft\Windows\INetCache\Content.Outlook\06QG2ZF8\Sales_For_Resale_Template%20Q4%202021.xlsx" TargetMode="External"/><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2" Type="http://schemas.openxmlformats.org/officeDocument/2006/relationships/externalLinkPath" Target="file:///C:\Users\mll7557\AppData\Local\Microsoft\Windows\INetCache\Content.Outlook\06QG2ZF8\Purchased_Power_Template%202022%20Q4.xlsx" TargetMode="External"/><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2" Type="http://schemas.openxmlformats.org/officeDocument/2006/relationships/externalLinkPath" Target="file:///C:\Users\mll7557\AppData\Local\Microsoft\Windows\INetCache\Content.Outlook\06QG2ZF8\Purchased_Power_Template%202021%20Q4.xlsx" TargetMode="External"/><Relationship Id="rId1" Type="http://schemas.openxmlformats.org/officeDocument/2006/relationships/pivotCacheRecords" Target="pivotCacheRecords6.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26.511640277778" createdVersion="8" refreshedVersion="8" minRefreshableVersion="3" recordCount="113" xr:uid="{90EDFD99-0A19-4196-9AB7-5419AF890DD5}">
  <cacheSource type="worksheet">
    <worksheetSource ref="A1:Q114" sheet="310-311 (2)" r:id="rId2"/>
  </cacheSource>
  <cacheFields count="17">
    <cacheField name="resp_name" numFmtId="0">
      <sharedItems/>
    </cacheField>
    <cacheField name="resp_id" numFmtId="0">
      <sharedItems containsSemiMixedTypes="0" containsString="0" containsNumber="1" containsInteger="1" minValue="187" maxValue="187"/>
    </cacheField>
    <cacheField name="report_yr" numFmtId="0">
      <sharedItems containsSemiMixedTypes="0" containsString="0" containsNumber="1" containsInteger="1" minValue="2023" maxValue="2023"/>
    </cacheField>
    <cacheField name="report_prd" numFmtId="0">
      <sharedItems containsSemiMixedTypes="0" containsString="0" containsNumber="1" containsInteger="1" minValue="12" maxValue="12"/>
    </cacheField>
    <cacheField name="row_number" numFmtId="0">
      <sharedItems containsSemiMixedTypes="0" containsString="0" containsNumber="1" containsInteger="1" minValue="1" maxValue="14"/>
    </cacheField>
    <cacheField name="spplmnt_num" numFmtId="0">
      <sharedItems containsSemiMixedTypes="0" containsString="0" containsNumber="1" containsInteger="1" minValue="0" maxValue="6"/>
    </cacheField>
    <cacheField name="company_name" numFmtId="0">
      <sharedItems/>
    </cacheField>
    <cacheField name="sttstcl_clssfctn" numFmtId="0">
      <sharedItems count="4">
        <s v="SF"/>
        <s v="LF"/>
        <s v="IF"/>
        <s v="OS"/>
      </sharedItems>
    </cacheField>
    <cacheField name="ferc_rt_schedule" numFmtId="0">
      <sharedItems containsBlank="1"/>
    </cacheField>
    <cacheField name="avg_mthly_demand" numFmtId="0">
      <sharedItems containsBlank="1"/>
    </cacheField>
    <cacheField name="avg_mthly_ncp" numFmtId="0">
      <sharedItems containsBlank="1"/>
    </cacheField>
    <cacheField name="avg_mthly_cp" numFmtId="0">
      <sharedItems containsBlank="1"/>
    </cacheField>
    <cacheField name="mwh_sold" numFmtId="0">
      <sharedItems containsString="0" containsBlank="1" containsNumber="1" containsInteger="1" minValue="0" maxValue="386264"/>
    </cacheField>
    <cacheField name="demand_charges" numFmtId="0">
      <sharedItems containsString="0" containsBlank="1" containsNumber="1" containsInteger="1" minValue="760" maxValue="511006"/>
    </cacheField>
    <cacheField name="energy_charges" numFmtId="0">
      <sharedItems containsString="0" containsBlank="1" containsNumber="1" containsInteger="1" minValue="-35503866" maxValue="25049365"/>
    </cacheField>
    <cacheField name="other_charges" numFmtId="0">
      <sharedItems containsString="0" containsBlank="1" containsNumber="1" containsInteger="1" minValue="6000" maxValue="35503866"/>
    </cacheField>
    <cacheField name="tot_revenue_chgs" numFmtId="0">
      <sharedItems containsSemiMixedTypes="0" containsString="0" containsNumber="1" containsInteger="1" minValue="0" maxValue="2504936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20.424005787034" createdVersion="8" refreshedVersion="8" minRefreshableVersion="3" recordCount="114" xr:uid="{A1059463-BD01-4A8B-B20B-46265784464F}">
  <cacheSource type="worksheet">
    <worksheetSource ref="A1:T115" sheet="326-327 (2)" r:id="rId2"/>
  </cacheSource>
  <cacheFields count="20">
    <cacheField name="resp_name" numFmtId="0">
      <sharedItems/>
    </cacheField>
    <cacheField name="resp_id" numFmtId="0">
      <sharedItems containsSemiMixedTypes="0" containsString="0" containsNumber="1" containsInteger="1" minValue="187" maxValue="187"/>
    </cacheField>
    <cacheField name="report_yr" numFmtId="0">
      <sharedItems containsSemiMixedTypes="0" containsString="0" containsNumber="1" containsInteger="1" minValue="2019" maxValue="2019"/>
    </cacheField>
    <cacheField name="report_prd" numFmtId="0">
      <sharedItems containsSemiMixedTypes="0" containsString="0" containsNumber="1" containsInteger="1" minValue="12" maxValue="12"/>
    </cacheField>
    <cacheField name="row_number" numFmtId="0">
      <sharedItems containsSemiMixedTypes="0" containsString="0" containsNumber="1" containsInteger="1" minValue="1" maxValue="16"/>
    </cacheField>
    <cacheField name="spplmnt_num" numFmtId="0">
      <sharedItems containsString="0" containsBlank="1" containsNumber="1" containsInteger="1" minValue="0" maxValue="7"/>
    </cacheField>
    <cacheField name="row_literal" numFmtId="0">
      <sharedItems/>
    </cacheField>
    <cacheField name="athrty_co_name" numFmtId="0">
      <sharedItems/>
    </cacheField>
    <cacheField name="sttstcl_clssfctn" numFmtId="0">
      <sharedItems containsBlank="1" count="9">
        <s v="LU"/>
        <s v="SF"/>
        <s v="OS"/>
        <s v="LF"/>
        <s v="IF"/>
        <s v="IU"/>
        <s v="EX"/>
        <s v="RQ"/>
        <m/>
      </sharedItems>
    </cacheField>
    <cacheField name="rtsched_trffnbr" numFmtId="0">
      <sharedItems containsBlank="1" containsMixedTypes="1" containsNumber="1" containsInteger="1" minValue="208" maxValue="208"/>
    </cacheField>
    <cacheField name="avgmth_bill_dmnd" numFmtId="0">
      <sharedItems containsBlank="1"/>
    </cacheField>
    <cacheField name="avgmth_ncp_dmnd" numFmtId="0">
      <sharedItems containsBlank="1"/>
    </cacheField>
    <cacheField name="avgmth_cp_dmnd" numFmtId="0">
      <sharedItems containsBlank="1"/>
    </cacheField>
    <cacheField name="mwh_purchased" numFmtId="0">
      <sharedItems containsString="0" containsBlank="1" containsNumber="1" containsInteger="1" minValue="-23686" maxValue="5601050"/>
    </cacheField>
    <cacheField name="mwh_recv" numFmtId="0">
      <sharedItems containsSemiMixedTypes="0" containsString="0" containsNumber="1" containsInteger="1" minValue="0" maxValue="11825"/>
    </cacheField>
    <cacheField name="mwh_delvd" numFmtId="0">
      <sharedItems containsSemiMixedTypes="0" containsString="0" containsNumber="1" containsInteger="1" minValue="0" maxValue="421689"/>
    </cacheField>
    <cacheField name="dmnd_charges" numFmtId="0">
      <sharedItems containsSemiMixedTypes="0" containsString="0" containsNumber="1" containsInteger="1" minValue="0" maxValue="53160136"/>
    </cacheField>
    <cacheField name="erg_charges" numFmtId="0">
      <sharedItems containsSemiMixedTypes="0" containsString="0" containsNumber="1" containsInteger="1" minValue="-177" maxValue="130295285"/>
    </cacheField>
    <cacheField name="othr_charges" numFmtId="0">
      <sharedItems containsString="0" containsBlank="1" containsNumber="1" containsInteger="1" minValue="-502871" maxValue="32972294"/>
    </cacheField>
    <cacheField name="settlement_tot" numFmtId="0">
      <sharedItems containsSemiMixedTypes="0" containsString="0" containsNumber="1" containsInteger="1" minValue="-502871" maxValue="216427715" count="99">
        <n v="1556428"/>
        <n v="68800"/>
        <n v="0"/>
        <n v="2412851"/>
        <n v="472"/>
        <n v="64500"/>
        <n v="-502871"/>
        <n v="4565427"/>
        <n v="9019"/>
        <n v="47401"/>
        <n v="1340218"/>
        <n v="264"/>
        <n v="1302"/>
        <n v="124621"/>
        <n v="92250"/>
        <n v="3001346"/>
        <n v="21875"/>
        <n v="183428"/>
        <n v="361"/>
        <n v="15466880"/>
        <n v="1938259"/>
        <n v="5886485"/>
        <n v="41380"/>
        <n v="2550"/>
        <n v="10433987"/>
        <n v="814188"/>
        <n v="292690"/>
        <n v="5351"/>
        <n v="3627412"/>
        <n v="84"/>
        <n v="5185314"/>
        <n v="975038"/>
        <n v="588281"/>
        <n v="1634168"/>
        <n v="40355"/>
        <n v="158570"/>
        <n v="34065844"/>
        <n v="596"/>
        <n v="94328"/>
        <n v="473"/>
        <n v="283485"/>
        <n v="425804"/>
        <n v="424640"/>
        <n v="59029"/>
        <n v="-373"/>
        <n v="2804211"/>
        <n v="3337"/>
        <n v="10565"/>
        <n v="49105"/>
        <n v="2585009"/>
        <n v="140824"/>
        <n v="4350932"/>
        <n v="1334144"/>
        <n v="500"/>
        <n v="155"/>
        <n v="1336980"/>
        <n v="1041"/>
        <n v="276133"/>
        <n v="-245932"/>
        <n v="46375"/>
        <n v="1995"/>
        <n v="-177"/>
        <n v="-48"/>
        <n v="19574599"/>
        <n v="2776687"/>
        <n v="451508"/>
        <n v="4139"/>
        <n v="228925"/>
        <n v="2699"/>
        <n v="87235"/>
        <n v="3499"/>
        <n v="724500"/>
        <n v="1764002"/>
        <n v="2651"/>
        <n v="30004"/>
        <n v="5257"/>
        <n v="8560"/>
        <n v="5538203"/>
        <n v="30466404"/>
        <n v="10349387"/>
        <n v="14140"/>
        <n v="320662"/>
        <n v="914"/>
        <n v="226497"/>
        <n v="474188"/>
        <n v="183375"/>
        <n v="613916"/>
        <n v="313557"/>
        <n v="374845"/>
        <n v="430"/>
        <n v="91319"/>
        <n v="1276188"/>
        <n v="1573266"/>
        <n v="29735"/>
        <n v="1578790"/>
        <n v="2781158"/>
        <n v="1173595"/>
        <n v="25255222"/>
        <n v="216427715"/>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62.445324305554" createdVersion="8" refreshedVersion="8" minRefreshableVersion="3" recordCount="109" xr:uid="{45767BDE-2921-4077-A860-CD2E7729BBA8}">
  <cacheSource type="worksheet">
    <worksheetSource ref="A1:M110" sheet="Sales for Resale" r:id="rId2"/>
  </cacheSource>
  <cacheFields count="13">
    <cacheField name="Line Number" numFmtId="0">
      <sharedItems containsSemiMixedTypes="0" containsString="0" containsNumber="1" containsInteger="1" minValue="1" maxValue="109"/>
    </cacheField>
    <cacheField name="Member Id" numFmtId="0">
      <sharedItems/>
    </cacheField>
    <cacheField name="Name of Company or Public Authority (Footnote Affiliations)" numFmtId="0">
      <sharedItems/>
    </cacheField>
    <cacheField name=" Statistical Classification" numFmtId="0">
      <sharedItems count="4">
        <s v="SF"/>
        <s v="LF"/>
        <s v="IF"/>
        <s v="OS"/>
      </sharedItems>
    </cacheField>
    <cacheField name="FERC Rate Schedule or Tariff Number" numFmtId="0">
      <sharedItems containsBlank="1"/>
    </cacheField>
    <cacheField name="Average Monthly Billing Demand (MW)" numFmtId="0">
      <sharedItems containsNonDate="0" containsString="0" containsBlank="1"/>
    </cacheField>
    <cacheField name=" Average Monthly NCP Demand" numFmtId="0">
      <sharedItems containsNonDate="0" containsString="0" containsBlank="1"/>
    </cacheField>
    <cacheField name="Average Monthly CP Demand" numFmtId="0">
      <sharedItems containsNonDate="0" containsString="0" containsBlank="1"/>
    </cacheField>
    <cacheField name="Megawatt Hours Sold" numFmtId="0">
      <sharedItems containsString="0" containsBlank="1" containsNumber="1" containsInteger="1" minValue="0" maxValue="375290"/>
    </cacheField>
    <cacheField name="Demand Charges" numFmtId="0">
      <sharedItems containsString="0" containsBlank="1" containsNumber="1" minValue="3000" maxValue="426663.17"/>
    </cacheField>
    <cacheField name="Energy Charges" numFmtId="0">
      <sharedItems containsString="0" containsBlank="1" containsNumber="1" minValue="-30722508.34" maxValue="27159917.370000001"/>
    </cacheField>
    <cacheField name="Other Charges" numFmtId="0">
      <sharedItems containsString="0" containsBlank="1" containsNumber="1" minValue="-10512540" maxValue="30722508.34"/>
    </cacheField>
    <cacheField name="Total ($) (h+i+j)" numFmtId="0">
      <sharedItems containsSemiMixedTypes="0" containsString="0" containsNumber="1" minValue="-10512540" maxValue="27159917.37000000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62.447871412034" createdVersion="8" refreshedVersion="8" minRefreshableVersion="3" recordCount="88" xr:uid="{49E80839-0964-42B7-B651-C94488CE5504}">
  <cacheSource type="worksheet">
    <worksheetSource ref="A1:M89" sheet="Miscellaneous Deferred Debits" r:id="rId2"/>
  </cacheSource>
  <cacheFields count="13">
    <cacheField name="Line Number" numFmtId="0">
      <sharedItems containsSemiMixedTypes="0" containsString="0" containsNumber="1" containsInteger="1" minValue="1" maxValue="88"/>
    </cacheField>
    <cacheField name="Member Id" numFmtId="0">
      <sharedItems/>
    </cacheField>
    <cacheField name="Name of Company or Public Authority (Footnote Affiliations)" numFmtId="0">
      <sharedItems/>
    </cacheField>
    <cacheField name=" Statistical Classification" numFmtId="0">
      <sharedItems count="4">
        <s v="SF"/>
        <s v="LF"/>
        <s v="IF"/>
        <s v="OS"/>
      </sharedItems>
    </cacheField>
    <cacheField name="FERC Rate Schedule or Tariff Number" numFmtId="0">
      <sharedItems containsBlank="1"/>
    </cacheField>
    <cacheField name="Average Monthly Billing Demand (MW)" numFmtId="0">
      <sharedItems containsNonDate="0" containsString="0" containsBlank="1"/>
    </cacheField>
    <cacheField name=" Average Monthly NCP Demand" numFmtId="0">
      <sharedItems containsNonDate="0" containsString="0" containsBlank="1"/>
    </cacheField>
    <cacheField name="Average Monthly CP Demand" numFmtId="0">
      <sharedItems containsNonDate="0" containsString="0" containsBlank="1"/>
    </cacheField>
    <cacheField name="Megawatt Hours Sold" numFmtId="0">
      <sharedItems containsString="0" containsBlank="1" containsNumber="1" containsInteger="1" minValue="0" maxValue="450735"/>
    </cacheField>
    <cacheField name="Demand Charges" numFmtId="0">
      <sharedItems containsString="0" containsBlank="1" containsNumber="1" containsInteger="1" minValue="43800" maxValue="423950"/>
    </cacheField>
    <cacheField name="Energy Charges" numFmtId="0">
      <sharedItems containsString="0" containsBlank="1" containsNumber="1" containsInteger="1" minValue="-17311196" maxValue="19348251"/>
    </cacheField>
    <cacheField name="Other Charges" numFmtId="0">
      <sharedItems containsString="0" containsBlank="1" containsNumber="1" containsInteger="1" minValue="-14352636" maxValue="17311196"/>
    </cacheField>
    <cacheField name="Total ($) (h+i+j)" numFmtId="0">
      <sharedItems containsSemiMixedTypes="0" containsString="0" containsNumber="1" containsInteger="1" minValue="-14352636" maxValue="1934825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62.450227777779" createdVersion="8" refreshedVersion="8" minRefreshableVersion="3" recordCount="116" xr:uid="{9D237045-5079-4C2A-BDB7-430BFD65DF52}">
  <cacheSource type="worksheet">
    <worksheetSource ref="A1:P117" sheet="Purchased Power" r:id="rId2"/>
  </cacheSource>
  <cacheFields count="16">
    <cacheField name="Order Number" numFmtId="0">
      <sharedItems containsSemiMixedTypes="0" containsString="0" containsNumber="1" containsInteger="1" minValue="1" maxValue="116"/>
    </cacheField>
    <cacheField name="Member Identifier" numFmtId="0">
      <sharedItems/>
    </cacheField>
    <cacheField name="Name of Company or Public Authority " numFmtId="0">
      <sharedItems/>
    </cacheField>
    <cacheField name="Statistical Classification" numFmtId="0">
      <sharedItems count="8">
        <s v="LU"/>
        <s v="LF"/>
        <s v="OS"/>
        <s v="SF"/>
        <s v="IF"/>
        <s v="IU"/>
        <s v="RQ"/>
        <s v="EX"/>
      </sharedItems>
    </cacheField>
    <cacheField name="Ferc Rate Schedule or Tariff Number" numFmtId="0">
      <sharedItems containsBlank="1" containsMixedTypes="1" containsNumber="1" containsInteger="1" minValue="208" maxValue="208"/>
    </cacheField>
    <cacheField name="Average Monthly Billing Demand (MW)" numFmtId="0">
      <sharedItems containsNonDate="0" containsString="0" containsBlank="1"/>
    </cacheField>
    <cacheField name="Average Monthly NCP Demand" numFmtId="0">
      <sharedItems containsNonDate="0" containsString="0" containsBlank="1"/>
    </cacheField>
    <cacheField name="Average Monthly CP Demand" numFmtId="0">
      <sharedItems containsNonDate="0" containsString="0" containsBlank="1"/>
    </cacheField>
    <cacheField name="MegaWatt Hours Purchased" numFmtId="0">
      <sharedItems containsString="0" containsBlank="1" containsNumber="1" containsInteger="1" minValue="-23762" maxValue="1652620"/>
    </cacheField>
    <cacheField name="MegaWatt Hours Purchased for Energy Storage" numFmtId="0">
      <sharedItems containsNonDate="0" containsString="0" containsBlank="1"/>
    </cacheField>
    <cacheField name="MegaWatt Hours Received" numFmtId="0">
      <sharedItems containsString="0" containsBlank="1" containsNumber="1" containsInteger="1" minValue="10770" maxValue="10770"/>
    </cacheField>
    <cacheField name="MegaWatt Hours Delivered" numFmtId="0">
      <sharedItems containsString="0" containsBlank="1" containsNumber="1" containsInteger="1" minValue="910" maxValue="411720"/>
    </cacheField>
    <cacheField name="Demand Charges ($)" numFmtId="0">
      <sharedItems containsString="0" containsBlank="1" containsNumber="1" minValue="3781195.63" maxValue="17203940.640000001"/>
    </cacheField>
    <cacheField name="Energy Charges ($)" numFmtId="0">
      <sharedItems containsString="0" containsBlank="1" containsNumber="1" minValue="-2835" maxValue="29121131.82"/>
    </cacheField>
    <cacheField name="Other Charges ($)" numFmtId="0">
      <sharedItems containsString="0" containsBlank="1" containsNumber="1" minValue="-36518.049999999974" maxValue="8756205.9100000001"/>
    </cacheField>
    <cacheField name="Total (k+l+m) of Settlement ($)" numFmtId="0">
      <sharedItems containsSemiMixedTypes="0" containsString="0" containsNumber="1" minValue="-36518.049999999974" maxValue="29121131.82"/>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oosmore, Morgan" refreshedDate="45462.451217013891" createdVersion="8" refreshedVersion="8" minRefreshableVersion="3" recordCount="101" xr:uid="{E0A536BF-DF2B-42D6-BACA-DFA9DB048F03}">
  <cacheSource type="worksheet">
    <worksheetSource ref="A1:P102" sheet="Purchased Power" r:id="rId2"/>
  </cacheSource>
  <cacheFields count="16">
    <cacheField name="Order Number" numFmtId="0">
      <sharedItems containsSemiMixedTypes="0" containsString="0" containsNumber="1" containsInteger="1" minValue="1" maxValue="101"/>
    </cacheField>
    <cacheField name="Member Identifier" numFmtId="0">
      <sharedItems/>
    </cacheField>
    <cacheField name="Name of Company or Public Authority " numFmtId="0">
      <sharedItems/>
    </cacheField>
    <cacheField name="Statistical Classification" numFmtId="0">
      <sharedItems count="8">
        <s v="LU"/>
        <s v="SF"/>
        <s v="LF"/>
        <s v="OS"/>
        <s v="IU"/>
        <s v="RQ"/>
        <s v="EX"/>
        <s v="IF"/>
      </sharedItems>
    </cacheField>
    <cacheField name="Ferc Rate Schedule or Tariff Number" numFmtId="0">
      <sharedItems containsBlank="1" containsMixedTypes="1" containsNumber="1" containsInteger="1" minValue="208" maxValue="208"/>
    </cacheField>
    <cacheField name="Average Monthly Billing Demand (MW)" numFmtId="0">
      <sharedItems containsNonDate="0" containsString="0" containsBlank="1"/>
    </cacheField>
    <cacheField name="Average Monthly NCP Demand" numFmtId="0">
      <sharedItems containsNonDate="0" containsString="0" containsBlank="1"/>
    </cacheField>
    <cacheField name="Average Monthly CP Demand" numFmtId="0">
      <sharedItems containsNonDate="0" containsString="0" containsBlank="1"/>
    </cacheField>
    <cacheField name="MegaWatt Hours Purchased" numFmtId="0">
      <sharedItems containsString="0" containsBlank="1" containsNumber="1" containsInteger="1" minValue="-23762" maxValue="1820368"/>
    </cacheField>
    <cacheField name="MegaWatt Hours Purchased for Energy Storage" numFmtId="0">
      <sharedItems containsNonDate="0" containsString="0" containsBlank="1"/>
    </cacheField>
    <cacheField name="MegaWatt Hours Received" numFmtId="0">
      <sharedItems containsString="0" containsBlank="1" containsNumber="1" containsInteger="1" minValue="7890" maxValue="7890"/>
    </cacheField>
    <cacheField name="MegaWatt Hours Delivered" numFmtId="0">
      <sharedItems containsString="0" containsBlank="1" containsNumber="1" containsInteger="1" minValue="747" maxValue="411720"/>
    </cacheField>
    <cacheField name="Demand Charges ($)" numFmtId="0">
      <sharedItems containsString="0" containsBlank="1" containsNumber="1" containsInteger="1" minValue="3400592" maxValue="14300000"/>
    </cacheField>
    <cacheField name="Energy Charges ($)" numFmtId="0">
      <sharedItems containsString="0" containsBlank="1" containsNumber="1" containsInteger="1" minValue="25" maxValue="28827646"/>
    </cacheField>
    <cacheField name="Other Charges ($)" numFmtId="0">
      <sharedItems containsString="0" containsBlank="1" containsNumber="1" containsInteger="1" minValue="-3188064" maxValue="1514192"/>
    </cacheField>
    <cacheField name="Total (k+l+m) of Settlement ($)" numFmtId="0">
      <sharedItems containsSemiMixedTypes="0" containsString="0" containsNumber="1" containsInteger="1" minValue="-3188064" maxValue="2882764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3">
  <r>
    <s v="Avista Corporation"/>
    <n v="187"/>
    <n v="2023"/>
    <n v="12"/>
    <n v="1"/>
    <n v="0"/>
    <s v="Altop Energy Trading"/>
    <x v="0"/>
    <s v="Tariff 9"/>
    <s v=""/>
    <s v=""/>
    <s v=""/>
    <n v="3200"/>
    <m/>
    <n v="202276"/>
    <m/>
    <n v="202276"/>
  </r>
  <r>
    <s v="Avista Corporation"/>
    <n v="187"/>
    <n v="2023"/>
    <n v="12"/>
    <n v="2"/>
    <n v="0"/>
    <s v="Avangrid Renewables, LLC "/>
    <x v="0"/>
    <s v="Tariff 9"/>
    <s v=""/>
    <s v=""/>
    <s v=""/>
    <n v="114800"/>
    <m/>
    <n v="6767366"/>
    <m/>
    <n v="6767366"/>
  </r>
  <r>
    <s v="Avista Corporation"/>
    <n v="187"/>
    <n v="2023"/>
    <n v="12"/>
    <n v="3"/>
    <n v="0"/>
    <s v="Avangrid Renewables, LLC "/>
    <x v="1"/>
    <s v="Tariff 12"/>
    <s v=""/>
    <s v=""/>
    <s v=""/>
    <n v="14"/>
    <m/>
    <n v="1085"/>
    <m/>
    <n v="1085"/>
  </r>
  <r>
    <s v="Avista Corporation"/>
    <n v="187"/>
    <n v="2023"/>
    <n v="12"/>
    <n v="4"/>
    <n v="0"/>
    <s v="Avangrid Renewables, LLC "/>
    <x v="1"/>
    <s v="Tariff 9"/>
    <s v=""/>
    <s v=""/>
    <s v=""/>
    <n v="164"/>
    <m/>
    <n v="9815"/>
    <m/>
    <n v="9815"/>
  </r>
  <r>
    <s v="Avista Corporation"/>
    <n v="187"/>
    <n v="2023"/>
    <n v="12"/>
    <n v="5"/>
    <n v="0"/>
    <s v="Avangrid Renewables, LLC "/>
    <x v="2"/>
    <s v="Tariff 9"/>
    <s v=""/>
    <s v=""/>
    <s v=""/>
    <n v="7816"/>
    <m/>
    <n v="0"/>
    <m/>
    <n v="0"/>
  </r>
  <r>
    <s v="Avista Corporation"/>
    <n v="187"/>
    <n v="2023"/>
    <n v="12"/>
    <n v="6"/>
    <n v="0"/>
    <s v="BHE Power Watch, LLC "/>
    <x v="1"/>
    <s v="Tariff 12"/>
    <s v=""/>
    <s v=""/>
    <s v=""/>
    <n v="5"/>
    <m/>
    <n v="201"/>
    <m/>
    <n v="201"/>
  </r>
  <r>
    <s v="Avista Corporation"/>
    <n v="187"/>
    <n v="2023"/>
    <n v="12"/>
    <n v="7"/>
    <n v="0"/>
    <s v="BP Energy Company"/>
    <x v="0"/>
    <s v="Tariff 9"/>
    <s v=""/>
    <s v=""/>
    <s v=""/>
    <n v="220554"/>
    <m/>
    <n v="11960142"/>
    <m/>
    <n v="11960142"/>
  </r>
  <r>
    <s v="Avista Corporation"/>
    <n v="187"/>
    <n v="2023"/>
    <n v="12"/>
    <n v="8"/>
    <n v="0"/>
    <s v="Basin Electric Power Cooperative"/>
    <x v="0"/>
    <s v="Tariff 9"/>
    <s v=""/>
    <s v=""/>
    <s v=""/>
    <n v="1400"/>
    <m/>
    <n v="50960"/>
    <m/>
    <n v="50960"/>
  </r>
  <r>
    <s v="Avista Corporation"/>
    <n v="187"/>
    <n v="2023"/>
    <n v="12"/>
    <n v="9"/>
    <n v="0"/>
    <s v="Bonneville Power Administration"/>
    <x v="0"/>
    <s v="Tariff 9"/>
    <s v=""/>
    <s v=""/>
    <s v=""/>
    <n v="156950"/>
    <m/>
    <n v="12737834"/>
    <m/>
    <n v="12737834"/>
  </r>
  <r>
    <s v="Avista Corporation"/>
    <n v="187"/>
    <n v="2023"/>
    <n v="12"/>
    <n v="10"/>
    <n v="0"/>
    <s v="Bonneville Power Administration"/>
    <x v="1"/>
    <s v="Tariff 12"/>
    <s v=""/>
    <s v=""/>
    <s v=""/>
    <n v="55"/>
    <m/>
    <n v="2567"/>
    <m/>
    <n v="2567"/>
  </r>
  <r>
    <s v="Avista Corporation"/>
    <n v="187"/>
    <n v="2023"/>
    <n v="12"/>
    <n v="11"/>
    <n v="0"/>
    <s v="Bonneville Power Administration"/>
    <x v="2"/>
    <s v="Tariff 9"/>
    <s v=""/>
    <s v=""/>
    <s v=""/>
    <n v="62143"/>
    <m/>
    <n v="4489296"/>
    <m/>
    <n v="4489296"/>
  </r>
  <r>
    <s v="Avista Corporation"/>
    <n v="187"/>
    <n v="2023"/>
    <n v="12"/>
    <n v="12"/>
    <n v="0"/>
    <s v="Bonneville Power Administration"/>
    <x v="2"/>
    <s v="Tariff 9"/>
    <s v=""/>
    <s v=""/>
    <s v=""/>
    <n v="121152"/>
    <m/>
    <n v="0"/>
    <m/>
    <n v="0"/>
  </r>
  <r>
    <s v="Avista Corporation"/>
    <n v="187"/>
    <n v="2023"/>
    <n v="12"/>
    <n v="13"/>
    <n v="0"/>
    <s v="British Columbia Hydro and Power Authority"/>
    <x v="1"/>
    <s v="Tariff 12"/>
    <s v=""/>
    <s v=""/>
    <s v=""/>
    <n v="16"/>
    <m/>
    <n v="1184"/>
    <m/>
    <n v="1184"/>
  </r>
  <r>
    <s v="Avista Corporation"/>
    <n v="187"/>
    <n v="2023"/>
    <n v="12"/>
    <n v="14"/>
    <n v="0"/>
    <s v="Brookfield Energy Marketing LP"/>
    <x v="0"/>
    <s v="Tariff 9"/>
    <s v=""/>
    <s v=""/>
    <s v=""/>
    <n v="26533"/>
    <m/>
    <n v="878024"/>
    <m/>
    <n v="878024"/>
  </r>
  <r>
    <s v="Avista Corporation"/>
    <n v="187"/>
    <n v="2023"/>
    <n v="12"/>
    <n v="1"/>
    <n v="1"/>
    <s v="Brookfield Energy Marketing LP"/>
    <x v="2"/>
    <s v="Tariff 9"/>
    <s v=""/>
    <s v=""/>
    <s v=""/>
    <m/>
    <m/>
    <n v="6169"/>
    <m/>
    <n v="6169"/>
  </r>
  <r>
    <s v="Avista Corporation"/>
    <n v="187"/>
    <n v="2023"/>
    <n v="12"/>
    <n v="2"/>
    <n v="1"/>
    <s v="CP Energy Marketing (US) Inc."/>
    <x v="0"/>
    <s v="Tariff 9"/>
    <s v=""/>
    <s v=""/>
    <s v=""/>
    <n v="75"/>
    <m/>
    <n v="2250"/>
    <m/>
    <n v="2250"/>
  </r>
  <r>
    <s v="Avista Corporation"/>
    <n v="187"/>
    <n v="2023"/>
    <n v="12"/>
    <n v="3"/>
    <n v="1"/>
    <s v="CP Energy Marketing (US) Inc."/>
    <x v="2"/>
    <s v="Tariff 9"/>
    <s v=""/>
    <s v=""/>
    <s v=""/>
    <n v="13"/>
    <m/>
    <n v="590"/>
    <m/>
    <n v="590"/>
  </r>
  <r>
    <s v="Avista Corporation"/>
    <n v="187"/>
    <n v="2023"/>
    <n v="12"/>
    <n v="4"/>
    <n v="1"/>
    <s v="California Independent System Operator Corporation"/>
    <x v="0"/>
    <s v="Tariff 9"/>
    <s v=""/>
    <s v=""/>
    <s v=""/>
    <n v="4181"/>
    <m/>
    <n v="317595"/>
    <m/>
    <n v="317595"/>
  </r>
  <r>
    <s v="Avista Corporation"/>
    <n v="187"/>
    <n v="2023"/>
    <n v="12"/>
    <n v="5"/>
    <n v="1"/>
    <s v="Calpine Energy Services, LP"/>
    <x v="0"/>
    <s v="Tariff 9"/>
    <s v=""/>
    <s v=""/>
    <s v=""/>
    <n v="26920"/>
    <m/>
    <n v="1900933"/>
    <m/>
    <n v="1900933"/>
  </r>
  <r>
    <s v="Avista Corporation"/>
    <n v="187"/>
    <n v="2023"/>
    <n v="12"/>
    <n v="6"/>
    <n v="1"/>
    <s v="Chelan County PUD No. 1"/>
    <x v="1"/>
    <s v="Tariff 12"/>
    <s v=""/>
    <s v=""/>
    <s v=""/>
    <n v="11"/>
    <m/>
    <n v="1345"/>
    <m/>
    <n v="1345"/>
  </r>
  <r>
    <s v="Avista Corporation"/>
    <n v="187"/>
    <n v="2023"/>
    <n v="12"/>
    <n v="7"/>
    <n v="1"/>
    <s v="Clatskanie Peoples PUD"/>
    <x v="0"/>
    <s v="Tariff 9"/>
    <s v=""/>
    <s v=""/>
    <s v=""/>
    <n v="778"/>
    <m/>
    <n v="47061"/>
    <m/>
    <n v="47061"/>
  </r>
  <r>
    <s v="Avista Corporation"/>
    <n v="187"/>
    <n v="2023"/>
    <n v="12"/>
    <n v="8"/>
    <n v="1"/>
    <s v="ConocoPhillips Company"/>
    <x v="0"/>
    <s v="Tariff 9"/>
    <s v=""/>
    <s v=""/>
    <s v=""/>
    <n v="53158"/>
    <m/>
    <n v="4356249"/>
    <m/>
    <n v="4356249"/>
  </r>
  <r>
    <s v="Avista Corporation"/>
    <n v="187"/>
    <n v="2023"/>
    <n v="12"/>
    <n v="9"/>
    <n v="1"/>
    <s v="Constellation Energy Generation, LLC"/>
    <x v="0"/>
    <s v="Tariff 9"/>
    <s v=""/>
    <s v=""/>
    <s v=""/>
    <n v="31381"/>
    <m/>
    <n v="2397559"/>
    <m/>
    <n v="2397559"/>
  </r>
  <r>
    <s v="Avista Corporation"/>
    <n v="187"/>
    <n v="2023"/>
    <n v="12"/>
    <n v="10"/>
    <n v="1"/>
    <s v="Constellation Energy Generation, LLC"/>
    <x v="2"/>
    <s v="Tariff 9"/>
    <s v=""/>
    <s v=""/>
    <s v=""/>
    <n v="72"/>
    <m/>
    <n v="555"/>
    <m/>
    <n v="555"/>
  </r>
  <r>
    <s v="Avista Corporation"/>
    <n v="187"/>
    <n v="2023"/>
    <n v="12"/>
    <n v="11"/>
    <n v="1"/>
    <s v="Dynasty Power, Inc."/>
    <x v="0"/>
    <s v="Tariff 9"/>
    <s v=""/>
    <s v=""/>
    <s v=""/>
    <n v="25561"/>
    <m/>
    <n v="2594907"/>
    <m/>
    <n v="2594907"/>
  </r>
  <r>
    <s v="Avista Corporation"/>
    <n v="187"/>
    <n v="2023"/>
    <n v="12"/>
    <n v="12"/>
    <n v="1"/>
    <s v="Dynasty Power, Inc."/>
    <x v="2"/>
    <s v="Tariff 9"/>
    <s v=""/>
    <s v=""/>
    <s v=""/>
    <n v="156"/>
    <m/>
    <n v="12898"/>
    <m/>
    <n v="12898"/>
  </r>
  <r>
    <s v="Avista Corporation"/>
    <n v="187"/>
    <n v="2023"/>
    <n v="12"/>
    <n v="13"/>
    <n v="1"/>
    <s v="EDF Trading North America, LLC "/>
    <x v="0"/>
    <s v="Tariff 9"/>
    <s v=""/>
    <s v=""/>
    <s v=""/>
    <n v="10338"/>
    <m/>
    <n v="507270"/>
    <m/>
    <n v="507270"/>
  </r>
  <r>
    <s v="Avista Corporation"/>
    <n v="187"/>
    <n v="2023"/>
    <n v="12"/>
    <n v="14"/>
    <n v="1"/>
    <s v="EDF Trading North America, LLC "/>
    <x v="2"/>
    <s v="Tariff 9"/>
    <s v=""/>
    <s v=""/>
    <s v=""/>
    <n v="318"/>
    <m/>
    <n v="14568"/>
    <m/>
    <n v="14568"/>
  </r>
  <r>
    <s v="Avista Corporation"/>
    <n v="187"/>
    <n v="2023"/>
    <n v="12"/>
    <n v="1"/>
    <n v="2"/>
    <s v="EDF Trading North America, LLC "/>
    <x v="0"/>
    <s v="Tariff 9"/>
    <s v=""/>
    <s v=""/>
    <s v=""/>
    <n v="0"/>
    <n v="760"/>
    <m/>
    <m/>
    <n v="760"/>
  </r>
  <r>
    <s v="Avista Corporation"/>
    <n v="187"/>
    <n v="2023"/>
    <n v="12"/>
    <n v="2"/>
    <n v="2"/>
    <s v="Energy Keepers, Inc."/>
    <x v="0"/>
    <s v="Tariff 9"/>
    <s v=""/>
    <s v=""/>
    <s v=""/>
    <n v="13885"/>
    <m/>
    <n v="1070835"/>
    <m/>
    <n v="1070835"/>
  </r>
  <r>
    <s v="Avista Corporation"/>
    <n v="187"/>
    <n v="2023"/>
    <n v="12"/>
    <n v="3"/>
    <n v="2"/>
    <s v="Energy Keepers, Inc."/>
    <x v="1"/>
    <s v="Tariff 9"/>
    <s v=""/>
    <s v=""/>
    <s v=""/>
    <n v="975"/>
    <m/>
    <n v="71551"/>
    <m/>
    <n v="71551"/>
  </r>
  <r>
    <s v="Avista Corporation"/>
    <n v="187"/>
    <n v="2023"/>
    <n v="12"/>
    <n v="4"/>
    <n v="2"/>
    <s v="Eugene Water Electric Board"/>
    <x v="0"/>
    <s v="Tariff 9"/>
    <s v=""/>
    <s v=""/>
    <s v=""/>
    <n v="4011"/>
    <m/>
    <n v="316902"/>
    <m/>
    <n v="316902"/>
  </r>
  <r>
    <s v="Avista Corporation"/>
    <n v="187"/>
    <n v="2023"/>
    <n v="12"/>
    <n v="5"/>
    <n v="2"/>
    <s v="Franklin County PUD No. 1"/>
    <x v="0"/>
    <s v="Tariff 9"/>
    <s v=""/>
    <s v=""/>
    <s v=""/>
    <n v="4"/>
    <m/>
    <n v="0"/>
    <m/>
    <n v="0"/>
  </r>
  <r>
    <s v="Avista Corporation"/>
    <n v="187"/>
    <n v="2023"/>
    <n v="12"/>
    <n v="6"/>
    <n v="2"/>
    <s v="Grant County PUD No. 2"/>
    <x v="1"/>
    <s v="Tariff 12"/>
    <s v=""/>
    <s v=""/>
    <s v=""/>
    <n v="18"/>
    <m/>
    <n v="983"/>
    <m/>
    <n v="983"/>
  </r>
  <r>
    <s v="Avista Corporation"/>
    <n v="187"/>
    <n v="2023"/>
    <n v="12"/>
    <n v="7"/>
    <n v="2"/>
    <s v="Gridforce Energy Management, LLC"/>
    <x v="1"/>
    <s v="Tariff 12"/>
    <s v=""/>
    <s v=""/>
    <s v=""/>
    <n v="447"/>
    <m/>
    <n v="34708"/>
    <m/>
    <n v="34708"/>
  </r>
  <r>
    <s v="Avista Corporation"/>
    <n v="187"/>
    <n v="2023"/>
    <n v="12"/>
    <n v="8"/>
    <n v="2"/>
    <s v="Guzman Energy, LLC"/>
    <x v="0"/>
    <s v="Tariff 9"/>
    <s v=""/>
    <s v=""/>
    <s v=""/>
    <n v="4049"/>
    <m/>
    <n v="305097"/>
    <m/>
    <n v="305097"/>
  </r>
  <r>
    <s v="Avista Corporation"/>
    <n v="187"/>
    <n v="2023"/>
    <n v="12"/>
    <n v="9"/>
    <n v="2"/>
    <s v="Guzman Energy, LLC"/>
    <x v="2"/>
    <s v="Tariff 9"/>
    <s v=""/>
    <s v=""/>
    <s v=""/>
    <n v="6565"/>
    <m/>
    <n v="622414"/>
    <m/>
    <n v="622414"/>
  </r>
  <r>
    <s v="Avista Corporation"/>
    <n v="187"/>
    <n v="2023"/>
    <n v="12"/>
    <n v="10"/>
    <n v="2"/>
    <s v="Heartland Generation Ltd."/>
    <x v="0"/>
    <s v="Tariff 9"/>
    <s v=""/>
    <s v=""/>
    <s v=""/>
    <n v="75"/>
    <m/>
    <n v="7500"/>
    <m/>
    <n v="7500"/>
  </r>
  <r>
    <s v="Avista Corporation"/>
    <n v="187"/>
    <n v="2023"/>
    <n v="12"/>
    <n v="11"/>
    <n v="2"/>
    <s v="Idaho Power Company"/>
    <x v="0"/>
    <s v="Tariff 9"/>
    <s v=""/>
    <s v=""/>
    <s v=""/>
    <n v="275"/>
    <m/>
    <n v="34200"/>
    <m/>
    <n v="34200"/>
  </r>
  <r>
    <s v="Avista Corporation"/>
    <n v="187"/>
    <n v="2023"/>
    <n v="12"/>
    <n v="12"/>
    <n v="2"/>
    <s v="Idaho Power Company"/>
    <x v="1"/>
    <s v="Tariff 12"/>
    <s v=""/>
    <s v=""/>
    <s v=""/>
    <n v="43"/>
    <m/>
    <n v="2240"/>
    <m/>
    <n v="2240"/>
  </r>
  <r>
    <s v="Avista Corporation"/>
    <n v="187"/>
    <n v="2023"/>
    <n v="12"/>
    <n v="13"/>
    <n v="2"/>
    <s v="Idaho Power Company"/>
    <x v="1"/>
    <s v="Tariff 9"/>
    <s v=""/>
    <s v=""/>
    <s v=""/>
    <n v="2"/>
    <m/>
    <n v="114"/>
    <m/>
    <n v="114"/>
  </r>
  <r>
    <s v="Avista Corporation"/>
    <n v="187"/>
    <n v="2023"/>
    <n v="12"/>
    <n v="14"/>
    <n v="2"/>
    <s v="Idaho Power Company Balancing "/>
    <x v="0"/>
    <s v="Tariff 9"/>
    <s v=""/>
    <s v=""/>
    <s v=""/>
    <n v="400"/>
    <m/>
    <n v="21100"/>
    <m/>
    <n v="21100"/>
  </r>
  <r>
    <s v="Avista Corporation"/>
    <n v="187"/>
    <n v="2023"/>
    <n v="12"/>
    <n v="1"/>
    <n v="3"/>
    <s v="Idaho Power Company Balancing "/>
    <x v="1"/>
    <s v="Tariff 9"/>
    <s v=""/>
    <s v=""/>
    <s v=""/>
    <n v="10121"/>
    <m/>
    <n v="857956"/>
    <m/>
    <n v="857956"/>
  </r>
  <r>
    <s v="Avista Corporation"/>
    <n v="187"/>
    <n v="2023"/>
    <n v="12"/>
    <n v="2"/>
    <n v="3"/>
    <s v="Idaho Power Company Balancing "/>
    <x v="2"/>
    <s v="Tariff 9"/>
    <s v=""/>
    <s v=""/>
    <s v=""/>
    <n v="255"/>
    <m/>
    <n v="0"/>
    <m/>
    <n v="0"/>
  </r>
  <r>
    <s v="Avista Corporation"/>
    <n v="187"/>
    <n v="2023"/>
    <n v="12"/>
    <n v="3"/>
    <n v="3"/>
    <s v="Idaho Power Company Balancing "/>
    <x v="2"/>
    <s v="Tariff 9"/>
    <s v=""/>
    <s v=""/>
    <s v=""/>
    <n v="86718"/>
    <m/>
    <n v="0"/>
    <m/>
    <n v="0"/>
  </r>
  <r>
    <s v="Avista Corporation"/>
    <n v="187"/>
    <n v="2023"/>
    <n v="12"/>
    <n v="4"/>
    <n v="3"/>
    <s v="Idaho Power Company Balancing "/>
    <x v="2"/>
    <s v="Tariff 9"/>
    <s v=""/>
    <s v=""/>
    <s v=""/>
    <n v="121002"/>
    <m/>
    <n v="0"/>
    <m/>
    <n v="0"/>
  </r>
  <r>
    <s v="Avista Corporation"/>
    <n v="187"/>
    <n v="2023"/>
    <n v="12"/>
    <n v="5"/>
    <n v="3"/>
    <s v="J. Aron &amp; Company"/>
    <x v="0"/>
    <s v="Tariff 9"/>
    <s v=""/>
    <s v=""/>
    <s v=""/>
    <n v="274"/>
    <m/>
    <n v="31535"/>
    <m/>
    <n v="31535"/>
  </r>
  <r>
    <s v="Avista Corporation"/>
    <n v="187"/>
    <n v="2023"/>
    <n v="12"/>
    <n v="6"/>
    <n v="3"/>
    <s v="Kootenai Electric Cooperative"/>
    <x v="2"/>
    <s v="Tariff 9"/>
    <s v=""/>
    <s v=""/>
    <s v=""/>
    <n v="495"/>
    <m/>
    <n v="30636"/>
    <m/>
    <n v="30636"/>
  </r>
  <r>
    <s v="Avista Corporation"/>
    <n v="187"/>
    <n v="2023"/>
    <n v="12"/>
    <n v="7"/>
    <n v="3"/>
    <s v="Macquarie Energy LLC"/>
    <x v="0"/>
    <s v="Tariff 9"/>
    <s v=""/>
    <s v=""/>
    <s v=""/>
    <n v="36392"/>
    <m/>
    <n v="1982419"/>
    <m/>
    <n v="1982419"/>
  </r>
  <r>
    <s v="Avista Corporation"/>
    <n v="187"/>
    <n v="2023"/>
    <n v="12"/>
    <n v="8"/>
    <n v="3"/>
    <s v="Macquarie Energy LLC"/>
    <x v="1"/>
    <s v="Tariff 9"/>
    <s v=""/>
    <s v=""/>
    <s v=""/>
    <n v="1460"/>
    <m/>
    <n v="183751"/>
    <m/>
    <n v="183751"/>
  </r>
  <r>
    <s v="Avista Corporation"/>
    <n v="187"/>
    <n v="2023"/>
    <n v="12"/>
    <n v="9"/>
    <n v="3"/>
    <s v="Mercuria Energy America, LLC "/>
    <x v="2"/>
    <s v="Tariff 9"/>
    <s v=""/>
    <s v=""/>
    <s v=""/>
    <n v="249"/>
    <m/>
    <n v="19071"/>
    <m/>
    <n v="19071"/>
  </r>
  <r>
    <s v="Avista Corporation"/>
    <n v="187"/>
    <n v="2023"/>
    <n v="12"/>
    <n v="10"/>
    <n v="3"/>
    <s v="Mercuria Energy America, LLC "/>
    <x v="0"/>
    <s v="Tariff 9"/>
    <s v=""/>
    <s v=""/>
    <s v=""/>
    <n v="14000"/>
    <m/>
    <n v="1423100"/>
    <m/>
    <n v="1423100"/>
  </r>
  <r>
    <s v="Avista Corporation"/>
    <n v="187"/>
    <n v="2023"/>
    <n v="12"/>
    <n v="11"/>
    <n v="3"/>
    <s v="Mizuho Securities USA Inc. "/>
    <x v="3"/>
    <s v="NA"/>
    <s v=""/>
    <s v=""/>
    <s v=""/>
    <n v="0"/>
    <m/>
    <m/>
    <n v="11931625"/>
    <n v="11931625"/>
  </r>
  <r>
    <s v="Avista Corporation"/>
    <n v="187"/>
    <n v="2023"/>
    <n v="12"/>
    <n v="12"/>
    <n v="3"/>
    <s v="Morgan Stanley Capital Group Inc."/>
    <x v="0"/>
    <s v="Tariff 9"/>
    <s v=""/>
    <s v=""/>
    <s v=""/>
    <n v="386264"/>
    <m/>
    <n v="19059884"/>
    <m/>
    <n v="19059884"/>
  </r>
  <r>
    <s v="Avista Corporation"/>
    <n v="187"/>
    <n v="2023"/>
    <n v="12"/>
    <n v="13"/>
    <n v="3"/>
    <s v="Morgan Stanley Capital Group Inc."/>
    <x v="1"/>
    <s v="Tariff 9"/>
    <s v=""/>
    <s v=""/>
    <s v=""/>
    <n v="5367"/>
    <m/>
    <n v="424104"/>
    <m/>
    <n v="424104"/>
  </r>
  <r>
    <s v="Avista Corporation"/>
    <n v="187"/>
    <n v="2023"/>
    <n v="12"/>
    <n v="14"/>
    <n v="3"/>
    <s v="Morgan Stanley Capital Group Inc."/>
    <x v="2"/>
    <s v="Tariff 9"/>
    <s v=""/>
    <s v=""/>
    <s v=""/>
    <n v="365097"/>
    <m/>
    <n v="25049365"/>
    <m/>
    <n v="25049365"/>
  </r>
  <r>
    <s v="Avista Corporation"/>
    <n v="187"/>
    <n v="2023"/>
    <n v="12"/>
    <n v="1"/>
    <n v="4"/>
    <s v="Morgan Stanley Capital Group Inc. "/>
    <x v="0"/>
    <s v="Tariff 9"/>
    <s v=""/>
    <s v=""/>
    <s v=""/>
    <n v="0"/>
    <n v="275940"/>
    <m/>
    <m/>
    <n v="275940"/>
  </r>
  <r>
    <s v="Avista Corporation"/>
    <n v="187"/>
    <n v="2023"/>
    <n v="12"/>
    <n v="2"/>
    <n v="4"/>
    <s v="Morgan Stanley Capital Group Inc. "/>
    <x v="0"/>
    <s v="Tariff 9"/>
    <s v=""/>
    <s v=""/>
    <s v=""/>
    <n v="0"/>
    <n v="275940"/>
    <m/>
    <m/>
    <n v="275940"/>
  </r>
  <r>
    <s v="Avista Corporation"/>
    <n v="187"/>
    <n v="2023"/>
    <n v="12"/>
    <n v="3"/>
    <n v="4"/>
    <s v="NaturEner Power Watch, LLC "/>
    <x v="1"/>
    <s v="Tariff 12"/>
    <s v=""/>
    <s v=""/>
    <s v=""/>
    <n v="25"/>
    <m/>
    <n v="1775"/>
    <m/>
    <n v="1775"/>
  </r>
  <r>
    <s v="Avista Corporation"/>
    <n v="187"/>
    <n v="2023"/>
    <n v="12"/>
    <n v="4"/>
    <n v="4"/>
    <s v="Nevada Power Company"/>
    <x v="0"/>
    <s v="Tariff 9"/>
    <s v=""/>
    <s v=""/>
    <s v=""/>
    <n v="1050"/>
    <m/>
    <n v="110375"/>
    <m/>
    <n v="110375"/>
  </r>
  <r>
    <s v="Avista Corporation"/>
    <n v="187"/>
    <n v="2023"/>
    <n v="12"/>
    <n v="5"/>
    <n v="4"/>
    <s v="NorthWestern Energy "/>
    <x v="0"/>
    <s v="Tariff 9"/>
    <s v=""/>
    <s v=""/>
    <s v=""/>
    <n v="16233"/>
    <m/>
    <n v="1956765"/>
    <m/>
    <n v="1956765"/>
  </r>
  <r>
    <s v="Avista Corporation"/>
    <n v="187"/>
    <n v="2023"/>
    <n v="12"/>
    <n v="6"/>
    <n v="4"/>
    <s v="NorthWestern Energy"/>
    <x v="1"/>
    <s v="Tariff 9"/>
    <s v=""/>
    <s v=""/>
    <s v=""/>
    <n v="48"/>
    <m/>
    <n v="3512"/>
    <m/>
    <n v="3512"/>
  </r>
  <r>
    <s v="Avista Corporation"/>
    <n v="187"/>
    <n v="2023"/>
    <n v="12"/>
    <n v="7"/>
    <n v="4"/>
    <s v="NorthWestern Energy "/>
    <x v="1"/>
    <s v="Tariff 12"/>
    <s v=""/>
    <s v=""/>
    <s v=""/>
    <n v="5"/>
    <m/>
    <n v="428"/>
    <m/>
    <n v="428"/>
  </r>
  <r>
    <s v="Avista Corporation"/>
    <n v="187"/>
    <n v="2023"/>
    <n v="12"/>
    <n v="8"/>
    <n v="4"/>
    <s v="NorthWestern Energy "/>
    <x v="1"/>
    <s v="Tariff 9"/>
    <s v=""/>
    <s v=""/>
    <s v=""/>
    <n v="9014"/>
    <m/>
    <n v="690916"/>
    <m/>
    <n v="690916"/>
  </r>
  <r>
    <s v="Avista Corporation"/>
    <n v="187"/>
    <n v="2023"/>
    <n v="12"/>
    <n v="9"/>
    <n v="4"/>
    <s v="NorthWestern Energy"/>
    <x v="2"/>
    <s v="Tariff 9"/>
    <s v=""/>
    <s v=""/>
    <s v=""/>
    <n v="90086"/>
    <m/>
    <n v="0"/>
    <m/>
    <n v="0"/>
  </r>
  <r>
    <s v="Avista Corporation"/>
    <n v="187"/>
    <n v="2023"/>
    <n v="12"/>
    <n v="10"/>
    <n v="4"/>
    <s v="PacifiCorp"/>
    <x v="0"/>
    <s v="Tariff 9"/>
    <s v=""/>
    <s v=""/>
    <s v=""/>
    <n v="232560"/>
    <m/>
    <n v="23897675"/>
    <m/>
    <n v="23897675"/>
  </r>
  <r>
    <s v="Avista Corporation"/>
    <n v="187"/>
    <n v="2023"/>
    <n v="12"/>
    <n v="11"/>
    <n v="4"/>
    <s v="PacifiCorp"/>
    <x v="2"/>
    <s v="Tariff 9"/>
    <s v=""/>
    <s v=""/>
    <s v=""/>
    <n v="49283"/>
    <m/>
    <n v="0"/>
    <m/>
    <n v="0"/>
  </r>
  <r>
    <s v="Avista Corporation"/>
    <n v="187"/>
    <n v="2023"/>
    <n v="12"/>
    <n v="12"/>
    <n v="4"/>
    <s v="PacifiCorp"/>
    <x v="1"/>
    <s v="Tariff 12"/>
    <s v=""/>
    <s v=""/>
    <s v=""/>
    <n v="33"/>
    <m/>
    <n v="4250"/>
    <m/>
    <n v="4250"/>
  </r>
  <r>
    <s v="Avista Corporation"/>
    <n v="187"/>
    <n v="2023"/>
    <n v="12"/>
    <n v="13"/>
    <n v="4"/>
    <s v="PacifiCorp"/>
    <x v="2"/>
    <s v="Tariff 9"/>
    <s v=""/>
    <s v=""/>
    <s v=""/>
    <n v="1816"/>
    <m/>
    <n v="93858"/>
    <m/>
    <n v="93858"/>
  </r>
  <r>
    <s v="Avista Corporation"/>
    <n v="187"/>
    <n v="2023"/>
    <n v="12"/>
    <n v="14"/>
    <n v="4"/>
    <s v="PacifiCorp "/>
    <x v="1"/>
    <s v="Tariff 9"/>
    <s v=""/>
    <s v=""/>
    <s v=""/>
    <n v="6010"/>
    <m/>
    <n v="460611"/>
    <m/>
    <n v="460611"/>
  </r>
  <r>
    <s v="Avista Corporation"/>
    <n v="187"/>
    <n v="2023"/>
    <n v="12"/>
    <n v="1"/>
    <n v="5"/>
    <s v="Pend Oreille County Public Utility District #1"/>
    <x v="1"/>
    <s v="Tariff 9"/>
    <s v=""/>
    <s v=""/>
    <s v=""/>
    <n v="0"/>
    <n v="511006"/>
    <m/>
    <m/>
    <n v="511006"/>
  </r>
  <r>
    <s v="Avista Corporation"/>
    <n v="187"/>
    <n v="2023"/>
    <n v="12"/>
    <n v="2"/>
    <n v="5"/>
    <s v="Pend Oreille County Public Utility District #1"/>
    <x v="1"/>
    <s v="Tariff 9"/>
    <s v=""/>
    <s v=""/>
    <s v=""/>
    <n v="11692"/>
    <m/>
    <n v="849146"/>
    <m/>
    <n v="849146"/>
  </r>
  <r>
    <s v="Avista Corporation"/>
    <n v="187"/>
    <n v="2023"/>
    <n v="12"/>
    <n v="3"/>
    <n v="5"/>
    <s v="Pend Oreille County Public Utility District #1"/>
    <x v="1"/>
    <s v="Tariff 9"/>
    <s v=""/>
    <s v=""/>
    <s v=""/>
    <n v="44"/>
    <m/>
    <n v="3929"/>
    <m/>
    <n v="3929"/>
  </r>
  <r>
    <s v="Avista Corporation"/>
    <n v="187"/>
    <n v="2023"/>
    <n v="12"/>
    <n v="4"/>
    <n v="5"/>
    <s v="Pend Oreille County Public Utility District #1"/>
    <x v="0"/>
    <s v="Tariff 9"/>
    <s v=""/>
    <s v=""/>
    <s v=""/>
    <n v="5663"/>
    <m/>
    <n v="817525"/>
    <m/>
    <n v="817525"/>
  </r>
  <r>
    <s v="Avista Corporation"/>
    <n v="187"/>
    <n v="2023"/>
    <n v="12"/>
    <n v="5"/>
    <n v="5"/>
    <s v="Phillips 66 Energy Trading, LLC  "/>
    <x v="0"/>
    <s v="Tariff 9"/>
    <s v=""/>
    <s v=""/>
    <s v=""/>
    <n v="10550"/>
    <m/>
    <n v="614236"/>
    <m/>
    <n v="614236"/>
  </r>
  <r>
    <s v="Avista Corporation"/>
    <n v="187"/>
    <n v="2023"/>
    <n v="12"/>
    <n v="6"/>
    <n v="5"/>
    <s v="Phillips 66 Energy Trading, LLC  "/>
    <x v="2"/>
    <s v="Tariff 9"/>
    <s v=""/>
    <s v=""/>
    <s v=""/>
    <n v="3553"/>
    <m/>
    <n v="170032"/>
    <m/>
    <n v="170032"/>
  </r>
  <r>
    <s v="Avista Corporation"/>
    <n v="187"/>
    <n v="2023"/>
    <n v="12"/>
    <n v="7"/>
    <n v="5"/>
    <s v="Portland General Electric "/>
    <x v="0"/>
    <s v="Tariff 9"/>
    <s v=""/>
    <s v=""/>
    <s v=""/>
    <n v="108263"/>
    <m/>
    <n v="11440822"/>
    <m/>
    <n v="11440822"/>
  </r>
  <r>
    <s v="Avista Corporation"/>
    <n v="187"/>
    <n v="2023"/>
    <n v="12"/>
    <n v="8"/>
    <n v="5"/>
    <s v="Portland General Electric "/>
    <x v="1"/>
    <s v="Tariff 12"/>
    <s v=""/>
    <s v=""/>
    <s v=""/>
    <n v="34"/>
    <m/>
    <n v="2356"/>
    <m/>
    <n v="2356"/>
  </r>
  <r>
    <s v="Avista Corporation"/>
    <n v="187"/>
    <n v="2023"/>
    <n v="12"/>
    <n v="9"/>
    <n v="5"/>
    <s v="Portland General Electric "/>
    <x v="2"/>
    <s v="Tariff 9"/>
    <s v=""/>
    <s v=""/>
    <s v=""/>
    <n v="660"/>
    <m/>
    <n v="47285"/>
    <m/>
    <n v="47285"/>
  </r>
  <r>
    <s v="Avista Corporation"/>
    <n v="187"/>
    <n v="2023"/>
    <n v="12"/>
    <n v="10"/>
    <n v="5"/>
    <s v="Portland General Electric "/>
    <x v="2"/>
    <s v="Tariff 9"/>
    <s v=""/>
    <s v=""/>
    <s v=""/>
    <n v="2051"/>
    <m/>
    <n v="126204"/>
    <m/>
    <n v="126204"/>
  </r>
  <r>
    <s v="Avista Corporation"/>
    <n v="187"/>
    <n v="2023"/>
    <n v="12"/>
    <n v="11"/>
    <n v="5"/>
    <s v="Power Ex"/>
    <x v="0"/>
    <s v="Tariff 9"/>
    <s v=""/>
    <s v=""/>
    <s v=""/>
    <n v="381983"/>
    <m/>
    <n v="22697641"/>
    <m/>
    <n v="22697641"/>
  </r>
  <r>
    <s v="Avista Corporation"/>
    <n v="187"/>
    <n v="2023"/>
    <n v="12"/>
    <n v="12"/>
    <n v="5"/>
    <s v="Power Ex"/>
    <x v="1"/>
    <s v="Tariff 9"/>
    <s v=""/>
    <s v=""/>
    <s v=""/>
    <n v="14356"/>
    <m/>
    <n v="707286"/>
    <m/>
    <n v="707286"/>
  </r>
  <r>
    <s v="Avista Corporation"/>
    <n v="187"/>
    <n v="2023"/>
    <n v="12"/>
    <n v="13"/>
    <n v="5"/>
    <s v="Puget Sound Energy "/>
    <x v="1"/>
    <s v="Tariff 9"/>
    <s v=""/>
    <s v=""/>
    <s v=""/>
    <n v="15024"/>
    <m/>
    <n v="1151527"/>
    <m/>
    <n v="1151527"/>
  </r>
  <r>
    <s v="Avista Corporation"/>
    <n v="187"/>
    <n v="2023"/>
    <n v="12"/>
    <n v="14"/>
    <n v="5"/>
    <s v="Puget Sound Energy"/>
    <x v="0"/>
    <s v="Tariff 9"/>
    <s v=""/>
    <s v=""/>
    <s v=""/>
    <n v="55935"/>
    <m/>
    <n v="4488653"/>
    <m/>
    <n v="4488653"/>
  </r>
  <r>
    <s v="Avista Corporation"/>
    <n v="187"/>
    <n v="2023"/>
    <n v="12"/>
    <n v="1"/>
    <n v="6"/>
    <s v="Puget Sound Energy"/>
    <x v="1"/>
    <s v="Tariff 12"/>
    <s v=""/>
    <s v=""/>
    <s v=""/>
    <n v="18"/>
    <m/>
    <n v="1670"/>
    <m/>
    <n v="1670"/>
  </r>
  <r>
    <s v="Avista Corporation"/>
    <n v="187"/>
    <n v="2023"/>
    <n v="12"/>
    <n v="2"/>
    <n v="6"/>
    <s v="Puget Sound Energy"/>
    <x v="2"/>
    <s v="Tariff 9"/>
    <s v=""/>
    <s v=""/>
    <s v=""/>
    <n v="3707"/>
    <m/>
    <n v="205636"/>
    <m/>
    <n v="205636"/>
  </r>
  <r>
    <s v="Avista Corporation"/>
    <n v="187"/>
    <n v="2023"/>
    <n v="12"/>
    <n v="3"/>
    <n v="6"/>
    <s v="Rainbow Energy Marketing"/>
    <x v="0"/>
    <s v="Tariff 9"/>
    <s v=""/>
    <s v=""/>
    <s v=""/>
    <n v="12682"/>
    <m/>
    <n v="993218"/>
    <m/>
    <n v="993218"/>
  </r>
  <r>
    <s v="Avista Corporation"/>
    <n v="187"/>
    <n v="2023"/>
    <n v="12"/>
    <n v="4"/>
    <n v="6"/>
    <s v="Rainbow Energy Marketing"/>
    <x v="1"/>
    <s v="Tariff 9"/>
    <s v=""/>
    <s v=""/>
    <s v=""/>
    <n v="431"/>
    <m/>
    <n v="26565"/>
    <m/>
    <n v="26565"/>
  </r>
  <r>
    <s v="Avista Corporation"/>
    <n v="187"/>
    <n v="2023"/>
    <n v="12"/>
    <n v="5"/>
    <n v="6"/>
    <s v="Sacramento Municipal Utility District"/>
    <x v="1"/>
    <s v="Tariff 12"/>
    <s v=""/>
    <s v=""/>
    <s v=""/>
    <n v="32"/>
    <m/>
    <n v="2034"/>
    <m/>
    <n v="2034"/>
  </r>
  <r>
    <s v="Avista Corporation"/>
    <n v="187"/>
    <n v="2023"/>
    <n v="12"/>
    <n v="6"/>
    <n v="6"/>
    <s v="Seattle City Light"/>
    <x v="0"/>
    <s v="Tariff 9"/>
    <s v=""/>
    <s v=""/>
    <s v=""/>
    <n v="37585"/>
    <m/>
    <n v="2394338"/>
    <m/>
    <n v="2394338"/>
  </r>
  <r>
    <s v="Avista Corporation"/>
    <n v="187"/>
    <n v="2023"/>
    <n v="12"/>
    <n v="7"/>
    <n v="6"/>
    <s v="Seattle City Light"/>
    <x v="1"/>
    <s v="Tariff 9"/>
    <s v=""/>
    <s v=""/>
    <s v=""/>
    <n v="635"/>
    <m/>
    <n v="40340"/>
    <m/>
    <n v="40340"/>
  </r>
  <r>
    <s v="Avista Corporation"/>
    <n v="187"/>
    <n v="2023"/>
    <n v="12"/>
    <n v="8"/>
    <n v="6"/>
    <s v="Seattle City Light"/>
    <x v="2"/>
    <s v="Tariff 9"/>
    <s v=""/>
    <s v=""/>
    <s v=""/>
    <n v="8"/>
    <m/>
    <n v="458"/>
    <m/>
    <n v="458"/>
  </r>
  <r>
    <s v="Avista Corporation"/>
    <n v="187"/>
    <n v="2023"/>
    <n v="12"/>
    <n v="9"/>
    <n v="6"/>
    <s v="Seattle City Light"/>
    <x v="1"/>
    <s v="Tariff 12"/>
    <s v=""/>
    <s v=""/>
    <s v=""/>
    <n v="6"/>
    <m/>
    <n v="387"/>
    <m/>
    <n v="387"/>
  </r>
  <r>
    <s v="Avista Corporation"/>
    <n v="187"/>
    <n v="2023"/>
    <n v="12"/>
    <n v="10"/>
    <n v="6"/>
    <s v="Shell Energy N.A."/>
    <x v="0"/>
    <s v="Tariff 9"/>
    <s v=""/>
    <s v=""/>
    <s v=""/>
    <n v="112642"/>
    <m/>
    <n v="8010476"/>
    <m/>
    <n v="8010476"/>
  </r>
  <r>
    <s v="Avista Corporation"/>
    <n v="187"/>
    <n v="2023"/>
    <n v="12"/>
    <n v="11"/>
    <n v="6"/>
    <s v="Shell Energy N.A."/>
    <x v="2"/>
    <s v="Tariff 9"/>
    <s v=""/>
    <s v=""/>
    <s v=""/>
    <n v="116"/>
    <m/>
    <n v="7703"/>
    <m/>
    <n v="7703"/>
  </r>
  <r>
    <s v="Avista Corporation"/>
    <n v="187"/>
    <n v="2023"/>
    <n v="12"/>
    <n v="12"/>
    <n v="6"/>
    <s v="Shell Energy N.A."/>
    <x v="3"/>
    <s v="Tariff 9"/>
    <s v=""/>
    <s v=""/>
    <s v=""/>
    <m/>
    <m/>
    <m/>
    <n v="6000"/>
    <n v="6000"/>
  </r>
  <r>
    <s v="Avista Corporation"/>
    <n v="187"/>
    <n v="2023"/>
    <n v="12"/>
    <n v="13"/>
    <n v="6"/>
    <s v="Snohomish County PUD"/>
    <x v="0"/>
    <s v="Tariff 9"/>
    <s v=""/>
    <s v=""/>
    <s v=""/>
    <n v="35580"/>
    <m/>
    <n v="3324903"/>
    <m/>
    <n v="3324903"/>
  </r>
  <r>
    <s v="Avista Corporation"/>
    <n v="187"/>
    <n v="2023"/>
    <n v="12"/>
    <n v="14"/>
    <n v="6"/>
    <s v="Sovereign Power"/>
    <x v="1"/>
    <s v="Tariff 9"/>
    <s v=""/>
    <s v=""/>
    <s v=""/>
    <n v="0"/>
    <n v="148528"/>
    <m/>
    <m/>
    <n v="148528"/>
  </r>
  <r>
    <s v="Avista Corporation"/>
    <n v="187"/>
    <n v="2023"/>
    <n v="12"/>
    <n v="14"/>
    <n v="6"/>
    <s v="Sovereign Power"/>
    <x v="1"/>
    <s v="Tariff 9"/>
    <m/>
    <m/>
    <m/>
    <n v="15167"/>
    <m/>
    <n v="926987"/>
    <m/>
    <n v="926987"/>
  </r>
  <r>
    <s v="Avista Corporation"/>
    <n v="187"/>
    <n v="2023"/>
    <n v="12"/>
    <n v="14"/>
    <n v="6"/>
    <s v="Tacoma Power"/>
    <x v="0"/>
    <s v="Tariff 9"/>
    <m/>
    <m/>
    <m/>
    <n v="4240"/>
    <m/>
    <n v="276750"/>
    <m/>
    <n v="276750"/>
  </r>
  <r>
    <s v="Avista Corporation"/>
    <n v="187"/>
    <n v="2023"/>
    <n v="12"/>
    <n v="14"/>
    <n v="6"/>
    <s v="Tacoma Power"/>
    <x v="1"/>
    <s v="Tariff 9"/>
    <m/>
    <m/>
    <m/>
    <n v="1553"/>
    <m/>
    <n v="100417"/>
    <m/>
    <n v="100417"/>
  </r>
  <r>
    <s v="Avista Corporation"/>
    <n v="187"/>
    <n v="2023"/>
    <n v="12"/>
    <n v="14"/>
    <n v="6"/>
    <s v="Tacoma Power"/>
    <x v="1"/>
    <s v="Tariff 12"/>
    <m/>
    <m/>
    <m/>
    <n v="14"/>
    <m/>
    <n v="463"/>
    <m/>
    <n v="463"/>
  </r>
  <r>
    <s v="Avista Corporation"/>
    <n v="187"/>
    <n v="2023"/>
    <n v="12"/>
    <n v="14"/>
    <n v="6"/>
    <s v="Talen Energy Montana, LLC  "/>
    <x v="1"/>
    <s v="Tariff 9"/>
    <m/>
    <m/>
    <m/>
    <n v="9014"/>
    <m/>
    <n v="690916"/>
    <m/>
    <n v="690916"/>
  </r>
  <r>
    <s v="Avista Corporation"/>
    <n v="187"/>
    <n v="2023"/>
    <n v="12"/>
    <n v="14"/>
    <n v="6"/>
    <s v="Tenaska Power Services Co."/>
    <x v="1"/>
    <s v="Tariff 9"/>
    <m/>
    <m/>
    <m/>
    <n v="19"/>
    <m/>
    <n v="178"/>
    <m/>
    <n v="178"/>
  </r>
  <r>
    <s v="Avista Corporation"/>
    <n v="187"/>
    <n v="2023"/>
    <n v="12"/>
    <n v="14"/>
    <n v="6"/>
    <s v="The Energy Authority"/>
    <x v="0"/>
    <s v="Tariff 9"/>
    <m/>
    <m/>
    <m/>
    <n v="96777"/>
    <m/>
    <n v="6585535"/>
    <m/>
    <n v="6585535"/>
  </r>
  <r>
    <s v="Avista Corporation"/>
    <n v="187"/>
    <n v="2023"/>
    <n v="12"/>
    <n v="14"/>
    <n v="6"/>
    <s v="The Energy Authority"/>
    <x v="1"/>
    <s v="Tariff 9"/>
    <m/>
    <m/>
    <m/>
    <n v="271"/>
    <m/>
    <n v="21625"/>
    <m/>
    <n v="21625"/>
  </r>
  <r>
    <s v="Avista Corporation"/>
    <n v="187"/>
    <n v="2023"/>
    <n v="12"/>
    <n v="14"/>
    <n v="6"/>
    <s v="TransAlta Energy Marketing "/>
    <x v="0"/>
    <s v="Tariff 9"/>
    <m/>
    <m/>
    <m/>
    <n v="236859"/>
    <m/>
    <n v="16007509"/>
    <m/>
    <n v="16007509"/>
  </r>
  <r>
    <s v="Avista Corporation"/>
    <n v="187"/>
    <n v="2023"/>
    <n v="12"/>
    <n v="14"/>
    <n v="6"/>
    <s v="TransAlta Energy Marketing "/>
    <x v="1"/>
    <s v="Tariff 9"/>
    <m/>
    <m/>
    <m/>
    <n v="197"/>
    <m/>
    <n v="18548"/>
    <m/>
    <n v="18548"/>
  </r>
  <r>
    <s v="Avista Corporation"/>
    <n v="187"/>
    <n v="2023"/>
    <n v="12"/>
    <n v="14"/>
    <n v="6"/>
    <s v="Vitol, Inc."/>
    <x v="0"/>
    <s v="Tariff 9"/>
    <m/>
    <m/>
    <m/>
    <n v="11760"/>
    <m/>
    <n v="611932"/>
    <m/>
    <n v="611932"/>
  </r>
  <r>
    <s v="Avista Corporation"/>
    <n v="187"/>
    <n v="2023"/>
    <n v="12"/>
    <n v="14"/>
    <n v="6"/>
    <s v="Wells Fargo Securities, LLC "/>
    <x v="3"/>
    <s v="NA"/>
    <m/>
    <m/>
    <m/>
    <n v="0"/>
    <m/>
    <m/>
    <n v="14517377"/>
    <n v="14517377"/>
  </r>
  <r>
    <s v="Avista Corporation"/>
    <n v="187"/>
    <n v="2023"/>
    <n v="12"/>
    <n v="14"/>
    <n v="6"/>
    <s v="IntraCompany Wheeling"/>
    <x v="1"/>
    <m/>
    <m/>
    <m/>
    <m/>
    <m/>
    <m/>
    <n v="-35503866"/>
    <n v="35503866"/>
    <n v="0"/>
  </r>
  <r>
    <s v="Avista Corporation"/>
    <n v="187"/>
    <n v="2023"/>
    <n v="12"/>
    <n v="14"/>
    <n v="6"/>
    <s v="IntraCompany Generation"/>
    <x v="1"/>
    <m/>
    <m/>
    <m/>
    <m/>
    <m/>
    <m/>
    <m/>
    <n v="1173595"/>
    <n v="1173595"/>
  </r>
  <r>
    <s v="Avista Corporation"/>
    <n v="187"/>
    <n v="2023"/>
    <n v="12"/>
    <n v="14"/>
    <n v="6"/>
    <s v="California Independent System Operator Corporation"/>
    <x v="3"/>
    <s v="Tariff 9"/>
    <m/>
    <m/>
    <m/>
    <m/>
    <m/>
    <m/>
    <n v="13421671"/>
    <n v="13421671"/>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4">
  <r>
    <s v="Avista Corporation"/>
    <n v="187"/>
    <n v="2019"/>
    <n v="12"/>
    <n v="1"/>
    <n v="0"/>
    <s v="Line 1"/>
    <s v="Adams Nielson Solar, LLC"/>
    <x v="0"/>
    <s v="PURPA"/>
    <s v=""/>
    <s v=""/>
    <s v=""/>
    <n v="36961"/>
    <n v="0"/>
    <n v="0"/>
    <n v="0"/>
    <n v="1556428"/>
    <n v="0"/>
    <x v="0"/>
  </r>
  <r>
    <s v="Avista Corporation"/>
    <n v="187"/>
    <n v="2019"/>
    <n v="12"/>
    <n v="2"/>
    <m/>
    <s v="Line 2"/>
    <s v="Altop Energy Trading"/>
    <x v="1"/>
    <s v="Tariff 9"/>
    <m/>
    <m/>
    <m/>
    <n v="1200"/>
    <n v="0"/>
    <n v="0"/>
    <n v="0"/>
    <n v="68800"/>
    <n v="0"/>
    <x v="1"/>
  </r>
  <r>
    <s v="Avista Corporation"/>
    <n v="187"/>
    <n v="2019"/>
    <n v="12"/>
    <n v="3"/>
    <m/>
    <s v="Line 3"/>
    <s v="(  a)  Arizona Public Service Company"/>
    <x v="2"/>
    <s v="APS OATT"/>
    <m/>
    <m/>
    <m/>
    <m/>
    <n v="0"/>
    <n v="0"/>
    <n v="0"/>
    <n v="0"/>
    <n v="0"/>
    <x v="2"/>
  </r>
  <r>
    <s v="Avista Corporation"/>
    <n v="187"/>
    <n v="2019"/>
    <n v="12"/>
    <n v="4"/>
    <n v="0"/>
    <s v="Line 4"/>
    <s v="Avangrid Renewables, LLC"/>
    <x v="1"/>
    <s v="Tariff 9"/>
    <s v=""/>
    <s v=""/>
    <s v=""/>
    <n v="38231"/>
    <n v="0"/>
    <n v="0"/>
    <n v="0"/>
    <n v="2412851"/>
    <n v="0"/>
    <x v="3"/>
  </r>
  <r>
    <s v="Avista Corporation"/>
    <n v="187"/>
    <n v="2019"/>
    <n v="12"/>
    <n v="5"/>
    <n v="0"/>
    <s v="Line 5"/>
    <s v="Avangrid Renewables, LLC"/>
    <x v="3"/>
    <s v="NWPP"/>
    <s v=""/>
    <s v=""/>
    <s v=""/>
    <n v="6"/>
    <n v="0"/>
    <n v="0"/>
    <n v="0"/>
    <n v="472"/>
    <n v="0"/>
    <x v="4"/>
  </r>
  <r>
    <s v="Avista Corporation"/>
    <n v="187"/>
    <n v="2019"/>
    <n v="12"/>
    <n v="6"/>
    <n v="0"/>
    <s v="Line 6"/>
    <s v="Avangrid Renewables, LLC"/>
    <x v="4"/>
    <s v="Tariff 9"/>
    <s v=""/>
    <s v=""/>
    <s v=""/>
    <n v="13716"/>
    <n v="0"/>
    <n v="0"/>
    <n v="0"/>
    <n v="0"/>
    <n v="0"/>
    <x v="2"/>
  </r>
  <r>
    <s v="Avista Corporation"/>
    <n v="187"/>
    <n v="2019"/>
    <n v="12"/>
    <n v="7"/>
    <n v="0"/>
    <s v="Line 7"/>
    <s v="BP Energy"/>
    <x v="1"/>
    <s v="Tariff 9"/>
    <s v=""/>
    <s v=""/>
    <s v=""/>
    <n v="4800"/>
    <n v="0"/>
    <n v="0"/>
    <n v="0"/>
    <n v="64500"/>
    <n v="0"/>
    <x v="5"/>
  </r>
  <r>
    <s v="Avista Corporation"/>
    <n v="187"/>
    <n v="2019"/>
    <n v="12"/>
    <n v="8"/>
    <n v="0"/>
    <s v="Line 8"/>
    <s v="Bonneville Power Administration"/>
    <x v="2"/>
    <s v="BPA OATT"/>
    <s v=""/>
    <s v=""/>
    <s v=""/>
    <n v="0"/>
    <n v="0"/>
    <n v="0"/>
    <n v="0"/>
    <n v="0"/>
    <n v="-502871"/>
    <x v="6"/>
  </r>
  <r>
    <s v="Avista Corporation"/>
    <n v="187"/>
    <n v="2019"/>
    <n v="12"/>
    <n v="9"/>
    <n v="0"/>
    <s v="Line 9"/>
    <s v="Bonneville Power Administration"/>
    <x v="3"/>
    <s v="Tariff 8"/>
    <s v=""/>
    <s v=""/>
    <s v=""/>
    <n v="440"/>
    <n v="0"/>
    <n v="0"/>
    <n v="0"/>
    <n v="0"/>
    <n v="0"/>
    <x v="2"/>
  </r>
  <r>
    <s v="Avista Corporation"/>
    <n v="187"/>
    <n v="2019"/>
    <n v="12"/>
    <n v="10"/>
    <n v="0"/>
    <s v="Line 10"/>
    <s v="Bonneville Power Administration"/>
    <x v="1"/>
    <s v="Tariff 9"/>
    <s v=""/>
    <s v=""/>
    <s v=""/>
    <n v="116145"/>
    <n v="0"/>
    <n v="0"/>
    <n v="0"/>
    <n v="4565427"/>
    <n v="0"/>
    <x v="7"/>
  </r>
  <r>
    <s v="Avista Corporation"/>
    <n v="187"/>
    <n v="2019"/>
    <n v="12"/>
    <n v="11"/>
    <n v="0"/>
    <s v="Line 11"/>
    <s v="Bonneville Power Administration"/>
    <x v="3"/>
    <s v="NWPP"/>
    <s v=""/>
    <s v=""/>
    <s v=""/>
    <n v="140"/>
    <n v="0"/>
    <n v="0"/>
    <n v="0"/>
    <n v="9019"/>
    <n v="0"/>
    <x v="8"/>
  </r>
  <r>
    <s v="Avista Corporation"/>
    <n v="187"/>
    <n v="2019"/>
    <n v="12"/>
    <n v="12"/>
    <n v="0"/>
    <s v="Line 12"/>
    <s v="Bonneville Power Administration"/>
    <x v="2"/>
    <s v="BPA OATT"/>
    <s v=""/>
    <s v=""/>
    <s v=""/>
    <n v="0"/>
    <n v="0"/>
    <n v="0"/>
    <n v="0"/>
    <n v="0"/>
    <n v="47401"/>
    <x v="9"/>
  </r>
  <r>
    <s v="Avista Corporation"/>
    <n v="187"/>
    <n v="2019"/>
    <n v="12"/>
    <n v="13"/>
    <n v="0"/>
    <s v="Line 13"/>
    <s v="Bonneville Power Administration"/>
    <x v="4"/>
    <s v="Tariff 9"/>
    <s v=""/>
    <s v=""/>
    <s v=""/>
    <n v="23601"/>
    <n v="0"/>
    <n v="0"/>
    <n v="0"/>
    <n v="1340218"/>
    <n v="0"/>
    <x v="10"/>
  </r>
  <r>
    <s v="Avista Corporation"/>
    <n v="187"/>
    <n v="2019"/>
    <n v="12"/>
    <n v="14"/>
    <n v="0"/>
    <s v="Line 14"/>
    <s v="Bonneville Power Administration"/>
    <x v="2"/>
    <s v="BPA OATT"/>
    <s v=""/>
    <s v=""/>
    <s v=""/>
    <n v="0"/>
    <n v="0"/>
    <n v="0"/>
    <n v="0"/>
    <n v="0"/>
    <n v="264"/>
    <x v="11"/>
  </r>
  <r>
    <s v="Avista Corporation"/>
    <n v="187"/>
    <n v="2019"/>
    <n v="12"/>
    <n v="15"/>
    <n v="0"/>
    <s v="Line 15"/>
    <s v="Bonneville Power Administration"/>
    <x v="2"/>
    <s v="BPA OATT"/>
    <s v=""/>
    <s v=""/>
    <s v=""/>
    <n v="0"/>
    <n v="0"/>
    <n v="0"/>
    <n v="0"/>
    <n v="0"/>
    <n v="1302"/>
    <x v="12"/>
  </r>
  <r>
    <s v="Avista Corporation"/>
    <n v="187"/>
    <n v="2019"/>
    <n v="12"/>
    <n v="16"/>
    <n v="0"/>
    <s v="Line 16"/>
    <s v="Bonneville Power Administration"/>
    <x v="4"/>
    <s v="Tariff 9"/>
    <s v=""/>
    <s v=""/>
    <s v=""/>
    <n v="96717"/>
    <n v="0"/>
    <n v="0"/>
    <n v="0"/>
    <n v="0"/>
    <n v="0"/>
    <x v="2"/>
  </r>
  <r>
    <s v="Avista Corporation"/>
    <n v="187"/>
    <n v="2019"/>
    <n v="12"/>
    <n v="1"/>
    <n v="1"/>
    <s v="Line 1"/>
    <s v="Brookfield Energy Marketing LP"/>
    <x v="1"/>
    <s v="Tariff 9"/>
    <m/>
    <m/>
    <m/>
    <n v="1443"/>
    <n v="0"/>
    <n v="0"/>
    <n v="0"/>
    <n v="124621"/>
    <n v="0"/>
    <x v="13"/>
  </r>
  <r>
    <s v="Avista Corporation"/>
    <n v="187"/>
    <n v="2019"/>
    <n v="12"/>
    <n v="2"/>
    <n v="1"/>
    <s v="Line 2"/>
    <s v="CP Energy Marketing (US) Inc."/>
    <x v="1"/>
    <s v="Tariff 9"/>
    <m/>
    <m/>
    <m/>
    <n v="1300"/>
    <n v="0"/>
    <n v="0"/>
    <n v="0"/>
    <n v="92250"/>
    <n v="0"/>
    <x v="14"/>
  </r>
  <r>
    <s v="Avista Corporation"/>
    <n v="187"/>
    <n v="2019"/>
    <n v="12"/>
    <n v="3"/>
    <n v="1"/>
    <s v="Line 3"/>
    <s v="California Independent System_x000a_Operator"/>
    <x v="1"/>
    <s v="Tariff 9"/>
    <m/>
    <m/>
    <m/>
    <n v="51155"/>
    <n v="0"/>
    <n v="0"/>
    <n v="0"/>
    <n v="3001346"/>
    <n v="0"/>
    <x v="15"/>
  </r>
  <r>
    <s v="Avista Corporation"/>
    <n v="187"/>
    <n v="2019"/>
    <n v="12"/>
    <n v="4"/>
    <n v="1"/>
    <s v="Line 4"/>
    <s v="Calpine Energy Services, LP"/>
    <x v="1"/>
    <s v="Tariff 9"/>
    <m/>
    <m/>
    <m/>
    <n v="175"/>
    <n v="0"/>
    <n v="0"/>
    <n v="0"/>
    <n v="21875"/>
    <n v="0"/>
    <x v="16"/>
  </r>
  <r>
    <s v="Avista Corporation"/>
    <n v="187"/>
    <n v="2019"/>
    <n v="12"/>
    <n v="5"/>
    <n v="1"/>
    <s v="Line 5"/>
    <s v="Chelan County PUD"/>
    <x v="5"/>
    <s v="Rocky Reach"/>
    <m/>
    <m/>
    <m/>
    <n v="22575"/>
    <n v="0"/>
    <n v="0"/>
    <n v="0"/>
    <n v="0"/>
    <n v="0"/>
    <x v="2"/>
  </r>
  <r>
    <s v="Avista Corporation"/>
    <n v="187"/>
    <n v="2019"/>
    <n v="12"/>
    <n v="6"/>
    <n v="1"/>
    <s v="Line 6"/>
    <s v="(l)  Chelan County PUD"/>
    <x v="5"/>
    <s v="Rocky Reach"/>
    <m/>
    <m/>
    <m/>
    <n v="-23686"/>
    <n v="0"/>
    <n v="0"/>
    <n v="0"/>
    <n v="0"/>
    <n v="0"/>
    <x v="2"/>
  </r>
  <r>
    <s v="Avista Corporation"/>
    <n v="187"/>
    <n v="2019"/>
    <n v="12"/>
    <n v="7"/>
    <n v="1"/>
    <s v="Line 7"/>
    <s v="Chelan County PUD"/>
    <x v="1"/>
    <s v="Tariff 9"/>
    <m/>
    <m/>
    <m/>
    <n v="2800"/>
    <n v="0"/>
    <n v="0"/>
    <n v="0"/>
    <n v="183428"/>
    <n v="0"/>
    <x v="17"/>
  </r>
  <r>
    <s v="Avista Corporation"/>
    <n v="187"/>
    <n v="2019"/>
    <n v="12"/>
    <n v="8"/>
    <n v="1"/>
    <s v="Line 8"/>
    <s v=" (m)  Chelan County PUD"/>
    <x v="3"/>
    <s v="NWPP"/>
    <m/>
    <m/>
    <m/>
    <n v="5"/>
    <n v="0"/>
    <n v="0"/>
    <n v="0"/>
    <n v="361"/>
    <n v="0"/>
    <x v="18"/>
  </r>
  <r>
    <s v="Avista Corporation"/>
    <n v="187"/>
    <n v="2019"/>
    <n v="12"/>
    <n v="9"/>
    <n v="1"/>
    <s v="Line 9"/>
    <s v="Chelan County PUD"/>
    <x v="5"/>
    <s v="Chelan Sys"/>
    <m/>
    <m/>
    <m/>
    <n v="351170"/>
    <n v="0"/>
    <n v="0"/>
    <n v="15466880"/>
    <n v="0"/>
    <n v="0"/>
    <x v="19"/>
  </r>
  <r>
    <s v="Avista Corporation"/>
    <n v="187"/>
    <n v="2019"/>
    <n v="12"/>
    <n v="10"/>
    <n v="1"/>
    <s v="Line 10"/>
    <s v="City of Spokane"/>
    <x v="5"/>
    <s v="PURPA"/>
    <m/>
    <m/>
    <m/>
    <n v="38502"/>
    <n v="0"/>
    <n v="0"/>
    <n v="0"/>
    <n v="1938259"/>
    <n v="0"/>
    <x v="20"/>
  </r>
  <r>
    <s v="Avista Corporation"/>
    <n v="187"/>
    <n v="2019"/>
    <n v="12"/>
    <n v="11"/>
    <n v="1"/>
    <s v="Line 11"/>
    <s v="City of Spokane"/>
    <x v="5"/>
    <s v="PURPA"/>
    <m/>
    <m/>
    <m/>
    <n v="124696"/>
    <n v="0"/>
    <n v="0"/>
    <n v="0"/>
    <n v="5886485"/>
    <n v="0"/>
    <x v="21"/>
  </r>
  <r>
    <s v="Avista Corporation"/>
    <n v="187"/>
    <n v="2019"/>
    <n v="12"/>
    <n v="12"/>
    <n v="1"/>
    <s v="Line 12"/>
    <s v="Clark Fork Hydro"/>
    <x v="0"/>
    <s v="PURPA"/>
    <m/>
    <m/>
    <m/>
    <n v="635"/>
    <n v="0"/>
    <n v="0"/>
    <n v="0"/>
    <n v="41380"/>
    <n v="0"/>
    <x v="22"/>
  </r>
  <r>
    <s v="Avista Corporation"/>
    <n v="187"/>
    <n v="2019"/>
    <n v="12"/>
    <n v="13"/>
    <n v="1"/>
    <s v="Line 13"/>
    <s v="Clatskanie PUD"/>
    <x v="1"/>
    <s v="Tariff 9"/>
    <m/>
    <m/>
    <m/>
    <n v="190"/>
    <n v="0"/>
    <n v="0"/>
    <n v="0"/>
    <n v="2550"/>
    <n v="0"/>
    <x v="23"/>
  </r>
  <r>
    <s v="Avista Corporation"/>
    <n v="187"/>
    <n v="2019"/>
    <n v="12"/>
    <n v="14"/>
    <n v="1"/>
    <s v="Line 14"/>
    <s v="Clearwater Paper Company"/>
    <x v="5"/>
    <s v="PURPA"/>
    <m/>
    <m/>
    <m/>
    <n v="425877"/>
    <n v="0"/>
    <n v="0"/>
    <n v="0"/>
    <n v="10433987"/>
    <n v="0"/>
    <x v="24"/>
  </r>
  <r>
    <s v="Avista Corporation"/>
    <n v="187"/>
    <n v="2019"/>
    <n v="12"/>
    <n v="1"/>
    <n v="2"/>
    <s v="Line 1"/>
    <s v="Community_x000a_Solar"/>
    <x v="0"/>
    <s v="PURPA"/>
    <m/>
    <m/>
    <m/>
    <n v="478"/>
    <n v="0"/>
    <n v="0"/>
    <n v="0"/>
    <n v="0"/>
    <n v="0"/>
    <x v="2"/>
  </r>
  <r>
    <s v="Avista Corporation"/>
    <n v="187"/>
    <n v="2019"/>
    <n v="12"/>
    <n v="2"/>
    <n v="2"/>
    <s v="Line 2"/>
    <s v="ConocoPhillips Company"/>
    <x v="1"/>
    <s v="Tariff 9"/>
    <m/>
    <m/>
    <m/>
    <n v="10200"/>
    <n v="0"/>
    <n v="0"/>
    <n v="0"/>
    <n v="814188"/>
    <n v="0"/>
    <x v="25"/>
  </r>
  <r>
    <s v="Avista Corporation"/>
    <n v="187"/>
    <n v="2019"/>
    <n v="12"/>
    <n v="3"/>
    <n v="2"/>
    <s v="Line 3"/>
    <s v="Constellation Energy Generation, LLC"/>
    <x v="1"/>
    <s v="Tariff 9"/>
    <m/>
    <m/>
    <m/>
    <n v="5736"/>
    <n v="0"/>
    <n v="0"/>
    <n v="0"/>
    <n v="292690"/>
    <n v="0"/>
    <x v="26"/>
  </r>
  <r>
    <s v="Avista Corporation"/>
    <n v="187"/>
    <n v="2019"/>
    <n v="12"/>
    <n v="4"/>
    <n v="2"/>
    <s v="Line 4"/>
    <s v="Deep Creek_x000a_Energy, LLC"/>
    <x v="5"/>
    <s v="PURPA"/>
    <m/>
    <m/>
    <m/>
    <n v="50"/>
    <n v="0"/>
    <n v="0"/>
    <n v="0"/>
    <n v="5351"/>
    <n v="0"/>
    <x v="27"/>
  </r>
  <r>
    <s v="Avista Corporation"/>
    <n v="187"/>
    <n v="2019"/>
    <n v="12"/>
    <n v="5"/>
    <n v="2"/>
    <s v="Line 5"/>
    <s v="Douglas County PUD No. 1"/>
    <x v="0"/>
    <s v="Wells"/>
    <m/>
    <m/>
    <m/>
    <n v="379055"/>
    <n v="0"/>
    <n v="0"/>
    <n v="3627412"/>
    <n v="0"/>
    <n v="0"/>
    <x v="28"/>
  </r>
  <r>
    <s v="Avista Corporation"/>
    <n v="187"/>
    <n v="2019"/>
    <n v="12"/>
    <n v="6"/>
    <n v="2"/>
    <s v="Line 6"/>
    <s v=" (n)  Douglas County PUD No. 1"/>
    <x v="3"/>
    <s v="NWPP"/>
    <m/>
    <m/>
    <m/>
    <n v="1"/>
    <n v="0"/>
    <n v="0"/>
    <n v="0"/>
    <n v="84"/>
    <n v="0"/>
    <x v="29"/>
  </r>
  <r>
    <s v="Avista Corporation"/>
    <n v="187"/>
    <n v="2019"/>
    <n v="12"/>
    <n v="7"/>
    <n v="2"/>
    <s v="Line 7"/>
    <s v="Douglas County PUD_x000a_No. 1"/>
    <x v="6"/>
    <s v="Tariff 9"/>
    <m/>
    <m/>
    <m/>
    <n v="0"/>
    <n v="0"/>
    <n v="411720"/>
    <n v="0"/>
    <n v="0"/>
    <n v="0"/>
    <x v="2"/>
  </r>
  <r>
    <s v="Avista Corporation"/>
    <n v="187"/>
    <n v="2019"/>
    <n v="12"/>
    <n v="8"/>
    <n v="2"/>
    <s v="Line 8"/>
    <s v="Dynasty Power, Inc."/>
    <x v="1"/>
    <s v="Tariff 9"/>
    <m/>
    <m/>
    <m/>
    <n v="41188"/>
    <n v="0"/>
    <n v="0"/>
    <n v="0"/>
    <n v="5185314"/>
    <n v="0"/>
    <x v="30"/>
  </r>
  <r>
    <s v="Avista Corporation"/>
    <n v="187"/>
    <n v="2019"/>
    <n v="12"/>
    <n v="9"/>
    <n v="2"/>
    <s v="Line 9"/>
    <s v="East, South, Quincy Columbia Basin Irrigation Districts"/>
    <x v="0"/>
    <s v="PURPA"/>
    <m/>
    <m/>
    <m/>
    <n v="22586"/>
    <n v="0"/>
    <n v="0"/>
    <n v="0"/>
    <n v="975038"/>
    <n v="0"/>
    <x v="31"/>
  </r>
  <r>
    <s v="Avista Corporation"/>
    <n v="187"/>
    <n v="2019"/>
    <n v="12"/>
    <n v="10"/>
    <n v="2"/>
    <s v="Line 10"/>
    <s v="EDF Trading No America"/>
    <x v="1"/>
    <s v="Tariff 9"/>
    <m/>
    <m/>
    <m/>
    <n v="9015"/>
    <n v="0"/>
    <n v="0"/>
    <n v="0"/>
    <n v="588281"/>
    <n v="0"/>
    <x v="32"/>
  </r>
  <r>
    <s v="Avista Corporation"/>
    <n v="187"/>
    <n v="2019"/>
    <n v="12"/>
    <n v="11"/>
    <n v="2"/>
    <s v="Line 11"/>
    <s v="Enel X North America, Inc."/>
    <x v="0"/>
    <s v="PURPA"/>
    <m/>
    <m/>
    <m/>
    <n v="5"/>
    <n v="0"/>
    <n v="0"/>
    <n v="0"/>
    <n v="0"/>
    <n v="0"/>
    <x v="2"/>
  </r>
  <r>
    <s v="Avista Corporation"/>
    <n v="187"/>
    <n v="2019"/>
    <n v="12"/>
    <n v="12"/>
    <n v="2"/>
    <s v="Line 12"/>
    <s v="Energy Keepers, Inc."/>
    <x v="1"/>
    <s v="Tariff 9"/>
    <m/>
    <m/>
    <m/>
    <n v="19913"/>
    <n v="0"/>
    <n v="0"/>
    <n v="0"/>
    <n v="1634168"/>
    <n v="0"/>
    <x v="33"/>
  </r>
  <r>
    <s v="Avista Corporation"/>
    <n v="187"/>
    <n v="2019"/>
    <n v="12"/>
    <n v="13"/>
    <n v="2"/>
    <s v="Line 13"/>
    <s v="Eugene Water &amp; Electric Board"/>
    <x v="1"/>
    <s v="Tariff 9"/>
    <m/>
    <m/>
    <m/>
    <n v="2021"/>
    <n v="0"/>
    <n v="0"/>
    <n v="0"/>
    <n v="40355"/>
    <n v="0"/>
    <x v="34"/>
  </r>
  <r>
    <s v="Avista Corporation"/>
    <n v="187"/>
    <n v="2019"/>
    <n v="12"/>
    <n v="14"/>
    <n v="2"/>
    <s v="Line 14"/>
    <s v="Ford Hydro_x000a_Limited Partnership"/>
    <x v="0"/>
    <s v="PURPA"/>
    <m/>
    <m/>
    <m/>
    <n v="3093"/>
    <n v="0"/>
    <n v="0"/>
    <n v="0"/>
    <n v="158570"/>
    <n v="0"/>
    <x v="35"/>
  </r>
  <r>
    <s v="Avista Corporation"/>
    <n v="187"/>
    <n v="2019"/>
    <n v="12"/>
    <n v="1"/>
    <n v="3"/>
    <s v="Line 1"/>
    <s v="Grant County PUD No. 2"/>
    <x v="0"/>
    <s v="Priest Rapids"/>
    <m/>
    <m/>
    <m/>
    <n v="255042"/>
    <n v="0"/>
    <n v="0"/>
    <n v="34065844"/>
    <n v="0"/>
    <n v="0"/>
    <x v="36"/>
  </r>
  <r>
    <s v="Avista Corporation"/>
    <n v="187"/>
    <n v="2019"/>
    <n v="12"/>
    <n v="2"/>
    <n v="3"/>
    <s v="Line 2"/>
    <s v="(  o)  Grant County PUD No. 2"/>
    <x v="3"/>
    <s v="NWPP"/>
    <m/>
    <m/>
    <m/>
    <n v="9"/>
    <n v="0"/>
    <n v="0"/>
    <n v="0"/>
    <n v="596"/>
    <n v="0"/>
    <x v="37"/>
  </r>
  <r>
    <s v="Avista Corporation"/>
    <n v="187"/>
    <n v="2019"/>
    <n v="12"/>
    <n v="3"/>
    <n v="3"/>
    <s v="Line 3"/>
    <s v="Grant County_x000a_PUD No. 2"/>
    <x v="6"/>
    <s v="FERC #104"/>
    <m/>
    <m/>
    <m/>
    <n v="0"/>
    <n v="0"/>
    <n v="0"/>
    <n v="0"/>
    <n v="0"/>
    <n v="94328"/>
    <x v="38"/>
  </r>
  <r>
    <s v="Avista Corporation"/>
    <n v="187"/>
    <n v="2019"/>
    <n v="12"/>
    <n v="4"/>
    <n v="3"/>
    <s v="Line 4"/>
    <s v=" (p)  Gridforce Energy Management, LLC"/>
    <x v="3"/>
    <s v="NWPP"/>
    <m/>
    <m/>
    <m/>
    <n v="6"/>
    <n v="0"/>
    <n v="0"/>
    <n v="0"/>
    <n v="473"/>
    <n v="0"/>
    <x v="39"/>
  </r>
  <r>
    <s v="Avista Corporation"/>
    <n v="187"/>
    <n v="2019"/>
    <n v="12"/>
    <n v="5"/>
    <n v="3"/>
    <s v="Line 5"/>
    <s v="Guzman Energy, LLC"/>
    <x v="1"/>
    <s v="Tariff 9"/>
    <m/>
    <m/>
    <m/>
    <n v="2408"/>
    <n v="0"/>
    <n v="0"/>
    <n v="0"/>
    <n v="283485"/>
    <n v="0"/>
    <x v="40"/>
  </r>
  <r>
    <s v="Avista Corporation"/>
    <n v="187"/>
    <n v="2019"/>
    <n v="12"/>
    <n v="6"/>
    <n v="3"/>
    <s v="Line 6"/>
    <s v="Heartland_x000a_Generation Ltd."/>
    <x v="1"/>
    <s v="Tariff 9"/>
    <m/>
    <m/>
    <m/>
    <n v="4642"/>
    <n v="0"/>
    <n v="0"/>
    <n v="0"/>
    <n v="425804"/>
    <n v="0"/>
    <x v="41"/>
  </r>
  <r>
    <s v="Avista Corporation"/>
    <n v="187"/>
    <n v="2019"/>
    <n v="12"/>
    <n v="7"/>
    <n v="3"/>
    <s v="Line 7"/>
    <s v="Hydro Technology Systems"/>
    <x v="5"/>
    <s v="PURPA"/>
    <m/>
    <m/>
    <m/>
    <n v="9528"/>
    <n v="0"/>
    <n v="0"/>
    <n v="0"/>
    <n v="424640"/>
    <n v="0"/>
    <x v="42"/>
  </r>
  <r>
    <s v="Avista Corporation"/>
    <n v="187"/>
    <n v="2019"/>
    <n v="12"/>
    <n v="8"/>
    <n v="3"/>
    <s v="Line 8"/>
    <s v="Idaho County Power &amp; Light"/>
    <x v="0"/>
    <s v="PURPA"/>
    <m/>
    <m/>
    <m/>
    <n v="1267"/>
    <n v="0"/>
    <n v="0"/>
    <n v="0"/>
    <n v="59029"/>
    <n v="0"/>
    <x v="43"/>
  </r>
  <r>
    <s v="Avista Corporation"/>
    <n v="187"/>
    <n v="2019"/>
    <n v="12"/>
    <n v="9"/>
    <n v="3"/>
    <s v="Line 9"/>
    <s v=" (q)  Idaho Power Company"/>
    <x v="2"/>
    <s v="Idaho Power Co OATT"/>
    <m/>
    <m/>
    <m/>
    <n v="0"/>
    <n v="0"/>
    <n v="0"/>
    <n v="0"/>
    <n v="0"/>
    <n v="-373"/>
    <x v="44"/>
  </r>
  <r>
    <s v="Avista Corporation"/>
    <n v="187"/>
    <n v="2019"/>
    <n v="12"/>
    <n v="10"/>
    <n v="3"/>
    <s v="Line 10"/>
    <s v="Idaho Power Company"/>
    <x v="1"/>
    <s v="Tariff 9"/>
    <m/>
    <m/>
    <m/>
    <n v="44154"/>
    <n v="0"/>
    <n v="0"/>
    <n v="0"/>
    <n v="2804211"/>
    <n v="0"/>
    <x v="45"/>
  </r>
  <r>
    <s v="Avista Corporation"/>
    <n v="187"/>
    <n v="2019"/>
    <n v="12"/>
    <n v="11"/>
    <n v="3"/>
    <s v="Line 11"/>
    <s v="(r)  Idaho Power Company"/>
    <x v="3"/>
    <s v="Tariff 9"/>
    <m/>
    <m/>
    <m/>
    <n v="96"/>
    <n v="0"/>
    <n v="0"/>
    <n v="0"/>
    <n v="3337"/>
    <n v="0"/>
    <x v="46"/>
  </r>
  <r>
    <s v="Avista Corporation"/>
    <n v="187"/>
    <n v="2019"/>
    <n v="12"/>
    <n v="12"/>
    <n v="3"/>
    <s v="Line 12"/>
    <s v=" (s)  Idaho Power Company Balancing"/>
    <x v="4"/>
    <s v="Tariff 9"/>
    <m/>
    <m/>
    <m/>
    <n v="1024"/>
    <n v="0"/>
    <n v="0"/>
    <n v="0"/>
    <n v="0"/>
    <n v="0"/>
    <x v="2"/>
  </r>
  <r>
    <s v="Avista Corporation"/>
    <n v="187"/>
    <n v="2019"/>
    <n v="12"/>
    <n v="13"/>
    <n v="3"/>
    <s v="Line 13"/>
    <s v="(t)  Idaho Power Company Balancing"/>
    <x v="4"/>
    <s v="Tariff 9"/>
    <m/>
    <m/>
    <m/>
    <n v="341750"/>
    <n v="0"/>
    <n v="0"/>
    <n v="0"/>
    <n v="0"/>
    <n v="0"/>
    <x v="2"/>
  </r>
  <r>
    <s v="Avista Corporation"/>
    <n v="187"/>
    <n v="2019"/>
    <n v="12"/>
    <n v="14"/>
    <n v="3"/>
    <s v="Line 14"/>
    <s v=" (u)  Inland Power &amp; Light Company"/>
    <x v="7"/>
    <n v="208"/>
    <m/>
    <m/>
    <m/>
    <n v="155"/>
    <n v="0"/>
    <n v="0"/>
    <n v="0"/>
    <n v="10565"/>
    <n v="0"/>
    <x v="47"/>
  </r>
  <r>
    <s v="Avista Corporation"/>
    <n v="187"/>
    <n v="2019"/>
    <n v="12"/>
    <n v="1"/>
    <n v="4"/>
    <s v="Line 1"/>
    <s v="J. Aron &amp; Company, LLC"/>
    <x v="1"/>
    <s v="Tariff 9"/>
    <m/>
    <m/>
    <m/>
    <n v="274"/>
    <n v="0"/>
    <n v="0"/>
    <n v="0"/>
    <n v="49105"/>
    <n v="0"/>
    <x v="48"/>
  </r>
  <r>
    <s v="Avista Corporation"/>
    <n v="187"/>
    <n v="2019"/>
    <n v="12"/>
    <n v="2"/>
    <n v="4"/>
    <s v="Line 2"/>
    <s v="Kootenai Electric Cooperative"/>
    <x v="6"/>
    <s v="Tariff 8"/>
    <m/>
    <m/>
    <m/>
    <n v="0"/>
    <n v="0"/>
    <n v="0"/>
    <n v="0"/>
    <n v="0"/>
    <n v="0"/>
    <x v="2"/>
  </r>
  <r>
    <s v="Avista Corporation"/>
    <n v="187"/>
    <n v="2019"/>
    <n v="12"/>
    <n v="3"/>
    <n v="4"/>
    <s v="Line 3"/>
    <s v="Macquarie Energy, LLC"/>
    <x v="1"/>
    <s v="Tariff 9"/>
    <m/>
    <m/>
    <m/>
    <n v="36730"/>
    <n v="0"/>
    <n v="0"/>
    <n v="0"/>
    <n v="2585009"/>
    <n v="0"/>
    <x v="49"/>
  </r>
  <r>
    <s v="Avista Corporation"/>
    <n v="187"/>
    <n v="2019"/>
    <n v="12"/>
    <n v="4"/>
    <n v="4"/>
    <s v="Line 4"/>
    <s v="Mercuria Energy America, LLC"/>
    <x v="1"/>
    <s v="Tariff 9"/>
    <m/>
    <m/>
    <m/>
    <n v="1216"/>
    <n v="0"/>
    <n v="0"/>
    <n v="0"/>
    <n v="140824"/>
    <n v="0"/>
    <x v="50"/>
  </r>
  <r>
    <s v="Avista Corporation"/>
    <n v="187"/>
    <n v="2019"/>
    <n v="12"/>
    <n v="5"/>
    <n v="4"/>
    <s v="Line 5"/>
    <s v=" (v)  Mizuho Securities USA, Inc."/>
    <x v="2"/>
    <s v="NA"/>
    <m/>
    <m/>
    <m/>
    <n v="0"/>
    <n v="0"/>
    <n v="0"/>
    <n v="0"/>
    <n v="0"/>
    <n v="4350932"/>
    <x v="51"/>
  </r>
  <r>
    <s v="Avista Corporation"/>
    <n v="187"/>
    <n v="2019"/>
    <n v="12"/>
    <n v="6"/>
    <n v="4"/>
    <s v="Line 6"/>
    <s v="Morgan Stanley Capital Group"/>
    <x v="1"/>
    <s v="Tariff 9"/>
    <m/>
    <m/>
    <m/>
    <n v="20600"/>
    <n v="0"/>
    <n v="0"/>
    <n v="0"/>
    <n v="1334144"/>
    <n v="0"/>
    <x v="52"/>
  </r>
  <r>
    <s v="Avista Corporation"/>
    <n v="187"/>
    <n v="2019"/>
    <n v="12"/>
    <n v="7"/>
    <n v="4"/>
    <s v="Line 7"/>
    <s v="Nevada Power Company"/>
    <x v="1"/>
    <s v="Tariff 9"/>
    <m/>
    <m/>
    <m/>
    <n v="100"/>
    <n v="0"/>
    <n v="0"/>
    <n v="0"/>
    <n v="500"/>
    <n v="0"/>
    <x v="53"/>
  </r>
  <r>
    <s v="Avista Corporation"/>
    <n v="187"/>
    <n v="2019"/>
    <n v="12"/>
    <n v="8"/>
    <n v="4"/>
    <s v="Line 8"/>
    <s v=" (w)  Nevada Power Company"/>
    <x v="3"/>
    <s v="Tariff 9"/>
    <m/>
    <m/>
    <m/>
    <n v="1"/>
    <n v="0"/>
    <n v="0"/>
    <n v="0"/>
    <n v="155"/>
    <n v="0"/>
    <x v="54"/>
  </r>
  <r>
    <s v="Avista Corporation"/>
    <n v="187"/>
    <n v="2019"/>
    <n v="12"/>
    <n v="9"/>
    <n v="4"/>
    <s v="Line 9"/>
    <s v="NorthWestern Energy"/>
    <x v="1"/>
    <s v="Tariff 9"/>
    <m/>
    <m/>
    <m/>
    <n v="26785"/>
    <n v="0"/>
    <n v="0"/>
    <n v="0"/>
    <n v="1336980"/>
    <n v="0"/>
    <x v="55"/>
  </r>
  <r>
    <s v="Avista Corporation"/>
    <n v="187"/>
    <n v="2019"/>
    <n v="12"/>
    <n v="10"/>
    <n v="4"/>
    <s v="Line 10"/>
    <s v="(  x)_x000a_NorthWestern Energy"/>
    <x v="3"/>
    <s v="NWPP"/>
    <m/>
    <m/>
    <m/>
    <n v="16"/>
    <n v="0"/>
    <n v="0"/>
    <n v="0"/>
    <n v="1041"/>
    <n v="0"/>
    <x v="56"/>
  </r>
  <r>
    <s v="Avista Corporation"/>
    <n v="187"/>
    <n v="2019"/>
    <n v="12"/>
    <n v="11"/>
    <n v="4"/>
    <s v="Line 11"/>
    <s v="(  y)_x000a_NorthWestern Energy"/>
    <x v="4"/>
    <s v="Tariff 9"/>
    <m/>
    <m/>
    <m/>
    <n v="4711"/>
    <n v="0"/>
    <n v="0"/>
    <n v="0"/>
    <n v="276133"/>
    <n v="0"/>
    <x v="57"/>
  </r>
  <r>
    <s v="Avista Corporation"/>
    <n v="187"/>
    <n v="2019"/>
    <n v="12"/>
    <n v="12"/>
    <n v="4"/>
    <s v="Line 12"/>
    <s v="(  z)_x000a_NorthWestern Energy"/>
    <x v="4"/>
    <s v="Tariff 9"/>
    <m/>
    <m/>
    <m/>
    <n v="221363"/>
    <n v="0"/>
    <n v="0"/>
    <n v="0"/>
    <n v="0"/>
    <n v="0"/>
    <x v="2"/>
  </r>
  <r>
    <s v="Avista Corporation"/>
    <n v="187"/>
    <n v="2019"/>
    <n v="12"/>
    <n v="13"/>
    <n v="4"/>
    <s v="Line 13"/>
    <s v="(  aa)_x000a_NorthWestern Energy"/>
    <x v="2"/>
    <s v="NorthWestern Energy OATT"/>
    <m/>
    <m/>
    <m/>
    <n v="0"/>
    <n v="0"/>
    <n v="0"/>
    <n v="0"/>
    <n v="0"/>
    <n v="-245932"/>
    <x v="58"/>
  </r>
  <r>
    <s v="Avista Corporation"/>
    <n v="187"/>
    <n v="2019"/>
    <n v="12"/>
    <n v="14"/>
    <n v="4"/>
    <s v="Line 14"/>
    <s v="PacifiCorp"/>
    <x v="1"/>
    <s v="Tariff 9"/>
    <m/>
    <m/>
    <m/>
    <n v="1415"/>
    <n v="0"/>
    <n v="0"/>
    <n v="0"/>
    <n v="46375"/>
    <n v="0"/>
    <x v="59"/>
  </r>
  <r>
    <s v="Avista Corporation"/>
    <n v="187"/>
    <n v="2019"/>
    <n v="12"/>
    <n v="1"/>
    <n v="5"/>
    <s v="Line 1"/>
    <s v="(  ab)  PacifiCorp"/>
    <x v="4"/>
    <s v="Tariff 9"/>
    <m/>
    <m/>
    <m/>
    <n v="95771"/>
    <n v="0"/>
    <n v="0"/>
    <n v="0"/>
    <n v="0"/>
    <n v="0"/>
    <x v="2"/>
  </r>
  <r>
    <s v="Avista Corporation"/>
    <n v="187"/>
    <n v="2019"/>
    <n v="12"/>
    <n v="2"/>
    <n v="5"/>
    <s v="Line 2"/>
    <s v=" (ac)  PacifiCorp"/>
    <x v="3"/>
    <s v="NWPP"/>
    <m/>
    <m/>
    <m/>
    <n v="31"/>
    <n v="0"/>
    <n v="0"/>
    <n v="0"/>
    <n v="1995"/>
    <n v="0"/>
    <x v="60"/>
  </r>
  <r>
    <s v="Avista Corporation"/>
    <n v="187"/>
    <n v="2019"/>
    <n v="12"/>
    <n v="3"/>
    <n v="5"/>
    <s v="Line 3"/>
    <s v=" (ad)  PacifiCorp"/>
    <x v="3"/>
    <s v="Tariff 9"/>
    <m/>
    <m/>
    <m/>
    <n v="1"/>
    <n v="0"/>
    <n v="0"/>
    <n v="0"/>
    <n v="-177"/>
    <n v="0"/>
    <x v="61"/>
  </r>
  <r>
    <s v="Avista Corporation"/>
    <n v="187"/>
    <n v="2019"/>
    <n v="12"/>
    <n v="4"/>
    <n v="5"/>
    <s v="Line 4"/>
    <s v=" (ae)  PacifiCorp"/>
    <x v="2"/>
    <s v="PacifiCorp_x000a_OATT"/>
    <m/>
    <m/>
    <m/>
    <n v="0"/>
    <n v="0"/>
    <n v="0"/>
    <n v="0"/>
    <n v="0"/>
    <n v="-48"/>
    <x v="62"/>
  </r>
  <r>
    <s v="Avista Corporation"/>
    <n v="187"/>
    <n v="2019"/>
    <n v="12"/>
    <n v="5"/>
    <n v="5"/>
    <s v="Line 5"/>
    <s v="Palouse Wind, LLC"/>
    <x v="0"/>
    <s v="PPA"/>
    <m/>
    <m/>
    <m/>
    <n v="294887"/>
    <n v="0"/>
    <n v="0"/>
    <n v="0"/>
    <n v="19574599"/>
    <n v="0"/>
    <x v="63"/>
  </r>
  <r>
    <s v="Avista Corporation"/>
    <n v="187"/>
    <n v="2019"/>
    <n v="12"/>
    <n v="6"/>
    <n v="5"/>
    <s v="Line 6"/>
    <s v="Pend Oreille County PUD No. 1"/>
    <x v="1"/>
    <s v="Pend O'"/>
    <m/>
    <m/>
    <m/>
    <n v="42481"/>
    <n v="0"/>
    <n v="0"/>
    <n v="0"/>
    <n v="2776687"/>
    <n v="0"/>
    <x v="64"/>
  </r>
  <r>
    <s v="Avista Corporation"/>
    <n v="187"/>
    <n v="2019"/>
    <n v="12"/>
    <n v="7"/>
    <n v="5"/>
    <s v="Line 7"/>
    <s v=" (af)  Pend Oreille County PUD No. 1"/>
    <x v="3"/>
    <s v="Pend O'"/>
    <m/>
    <m/>
    <m/>
    <n v="7457"/>
    <n v="0"/>
    <n v="0"/>
    <n v="0"/>
    <n v="451508"/>
    <n v="0"/>
    <x v="65"/>
  </r>
  <r>
    <s v="Avista Corporation"/>
    <n v="187"/>
    <n v="2019"/>
    <n v="12"/>
    <n v="8"/>
    <n v="5"/>
    <s v="Line 8"/>
    <s v="Pend Oreille County PUD No. 1"/>
    <x v="3"/>
    <s v="Pend O'"/>
    <m/>
    <m/>
    <m/>
    <n v="301"/>
    <n v="0"/>
    <n v="0"/>
    <n v="0"/>
    <n v="4139"/>
    <n v="0"/>
    <x v="66"/>
  </r>
  <r>
    <s v="Avista Corporation"/>
    <n v="187"/>
    <n v="2019"/>
    <n v="12"/>
    <n v="9"/>
    <n v="5"/>
    <s v="Line 9"/>
    <s v="Portland General Electric Company"/>
    <x v="6"/>
    <s v="Tariff 9"/>
    <m/>
    <m/>
    <m/>
    <n v="0"/>
    <n v="9973"/>
    <n v="9969"/>
    <n v="0"/>
    <n v="0"/>
    <n v="0"/>
    <x v="2"/>
  </r>
  <r>
    <s v="Avista Corporation"/>
    <n v="187"/>
    <n v="2019"/>
    <n v="12"/>
    <n v="10"/>
    <n v="5"/>
    <s v="Line 10"/>
    <s v="Portland General Electric Company"/>
    <x v="1"/>
    <s v="Tariff 9"/>
    <m/>
    <m/>
    <m/>
    <n v="5160"/>
    <n v="0"/>
    <n v="0"/>
    <n v="0"/>
    <n v="228925"/>
    <n v="0"/>
    <x v="67"/>
  </r>
  <r>
    <s v="Avista Corporation"/>
    <n v="187"/>
    <n v="2019"/>
    <n v="12"/>
    <n v="11"/>
    <n v="5"/>
    <s v="Line 11"/>
    <s v=" (ag)  Portland General Electric_x000a_Company"/>
    <x v="3"/>
    <s v="NWPP"/>
    <m/>
    <m/>
    <m/>
    <n v="41"/>
    <n v="0"/>
    <n v="0"/>
    <n v="0"/>
    <n v="2699"/>
    <n v="0"/>
    <x v="68"/>
  </r>
  <r>
    <s v="Avista Corporation"/>
    <n v="187"/>
    <n v="2019"/>
    <n v="12"/>
    <n v="12"/>
    <n v="5"/>
    <s v="Line 12"/>
    <s v=" (ah)  Portland General Electric Company"/>
    <x v="3"/>
    <s v="Tariff 9"/>
    <m/>
    <m/>
    <m/>
    <n v="2102"/>
    <n v="0"/>
    <n v="0"/>
    <n v="0"/>
    <n v="87235"/>
    <n v="0"/>
    <x v="69"/>
  </r>
  <r>
    <s v="Avista Corporation"/>
    <n v="187"/>
    <n v="2019"/>
    <n v="12"/>
    <n v="13"/>
    <n v="5"/>
    <s v="Line 13"/>
    <s v=" (ai)  Portland General Electric Company"/>
    <x v="2"/>
    <s v="Portland General OATT"/>
    <m/>
    <m/>
    <m/>
    <n v="0"/>
    <n v="0"/>
    <n v="0"/>
    <n v="0"/>
    <n v="0"/>
    <n v="3499"/>
    <x v="70"/>
  </r>
  <r>
    <s v="Avista Corporation"/>
    <n v="187"/>
    <n v="2019"/>
    <n v="12"/>
    <n v="14"/>
    <n v="5"/>
    <s v="Line 14"/>
    <s v="Powerex Corp"/>
    <x v="1"/>
    <s v="Tariff 9"/>
    <m/>
    <m/>
    <m/>
    <n v="4850"/>
    <n v="0"/>
    <n v="0"/>
    <n v="0"/>
    <n v="724500"/>
    <n v="0"/>
    <x v="71"/>
  </r>
  <r>
    <s v="Avista Corporation"/>
    <n v="187"/>
    <n v="2019"/>
    <n v="12"/>
    <n v="1"/>
    <n v="6"/>
    <s v="Line 1"/>
    <s v="Puget Sound Energy"/>
    <x v="1"/>
    <s v="Tariff 9"/>
    <m/>
    <m/>
    <m/>
    <n v="22387"/>
    <n v="0"/>
    <n v="0"/>
    <n v="0"/>
    <n v="1764002"/>
    <n v="0"/>
    <x v="72"/>
  </r>
  <r>
    <s v="Avista Corporation"/>
    <n v="187"/>
    <n v="2019"/>
    <n v="12"/>
    <n v="2"/>
    <n v="6"/>
    <s v="Line 2"/>
    <s v=" (aj)  Puget_x000a_Sound Energy"/>
    <x v="3"/>
    <s v="NWPP"/>
    <m/>
    <m/>
    <m/>
    <n v="39"/>
    <n v="0"/>
    <n v="0"/>
    <n v="0"/>
    <n v="2651"/>
    <n v="0"/>
    <x v="73"/>
  </r>
  <r>
    <s v="Avista Corporation"/>
    <n v="187"/>
    <n v="2019"/>
    <n v="12"/>
    <n v="3"/>
    <n v="6"/>
    <s v="Line 3"/>
    <s v=" (ak)  Puget_x000a_Sound Energy"/>
    <x v="3"/>
    <s v="Tariff 9"/>
    <m/>
    <m/>
    <m/>
    <n v="278"/>
    <n v="0"/>
    <n v="0"/>
    <n v="0"/>
    <n v="30004"/>
    <n v="0"/>
    <x v="74"/>
  </r>
  <r>
    <s v="Avista Corporation"/>
    <n v="187"/>
    <n v="2019"/>
    <n v="12"/>
    <n v="4"/>
    <n v="6"/>
    <s v="Line 4"/>
    <s v=" (al)  Puget Sound Energy"/>
    <x v="2"/>
    <s v="Puget Sound Energy OATT"/>
    <m/>
    <m/>
    <m/>
    <n v="0"/>
    <n v="0"/>
    <n v="0"/>
    <n v="0"/>
    <n v="0"/>
    <n v="5257"/>
    <x v="75"/>
  </r>
  <r>
    <s v="Avista Corporation"/>
    <n v="187"/>
    <n v="2019"/>
    <n v="12"/>
    <n v="5"/>
    <n v="6"/>
    <s v="Line 5"/>
    <s v=" (am)  Puget_x000a_Sound Energy"/>
    <x v="2"/>
    <s v="Tariff 9"/>
    <m/>
    <m/>
    <m/>
    <n v="0"/>
    <n v="0"/>
    <n v="0"/>
    <n v="0"/>
    <n v="0"/>
    <n v="8560"/>
    <x v="76"/>
  </r>
  <r>
    <s v="Avista Corporation"/>
    <n v="187"/>
    <n v="2019"/>
    <n v="12"/>
    <n v="6"/>
    <n v="6"/>
    <s v="Line 6"/>
    <s v="Rainbow Energy Marketing Co."/>
    <x v="1"/>
    <s v="Tariff 9"/>
    <m/>
    <m/>
    <m/>
    <n v="60140"/>
    <n v="0"/>
    <n v="0"/>
    <n v="0"/>
    <n v="5538203"/>
    <n v="0"/>
    <x v="77"/>
  </r>
  <r>
    <s v="Avista Corporation"/>
    <n v="187"/>
    <n v="2019"/>
    <n v="12"/>
    <n v="7"/>
    <n v="6"/>
    <s v="Line 7"/>
    <s v="Rathdrum Power, LLC"/>
    <x v="0"/>
    <s v="Lancaster"/>
    <m/>
    <m/>
    <m/>
    <n v="1806400"/>
    <n v="0"/>
    <n v="0"/>
    <n v="0"/>
    <n v="30466404"/>
    <n v="0"/>
    <x v="78"/>
  </r>
  <r>
    <s v="Avista Corporation"/>
    <n v="187"/>
    <n v="2019"/>
    <n v="12"/>
    <n v="8"/>
    <n v="6"/>
    <s v="Line 8"/>
    <s v="Rattlesnake Flat, LLC"/>
    <x v="0"/>
    <s v="PPA"/>
    <m/>
    <m/>
    <m/>
    <n v="343410"/>
    <n v="0"/>
    <n v="0"/>
    <n v="0"/>
    <n v="10349387"/>
    <n v="0"/>
    <x v="79"/>
  </r>
  <r>
    <s v="Avista Corporation"/>
    <n v="187"/>
    <n v="2019"/>
    <n v="12"/>
    <n v="9"/>
    <n v="6"/>
    <s v="Line 9"/>
    <s v="Sacramento_x000a_Municipal Utility District"/>
    <x v="1"/>
    <s v="Tariff 9"/>
    <m/>
    <m/>
    <m/>
    <n v="270"/>
    <n v="0"/>
    <n v="0"/>
    <n v="0"/>
    <n v="14140"/>
    <n v="0"/>
    <x v="80"/>
  </r>
  <r>
    <s v="Avista Corporation"/>
    <n v="187"/>
    <n v="2019"/>
    <n v="12"/>
    <n v="10"/>
    <n v="6"/>
    <s v="Line 10"/>
    <s v="Seattle City Light"/>
    <x v="1"/>
    <s v="Tariff 9"/>
    <m/>
    <m/>
    <m/>
    <n v="8750"/>
    <n v="0"/>
    <n v="0"/>
    <n v="0"/>
    <n v="320662"/>
    <n v="0"/>
    <x v="81"/>
  </r>
  <r>
    <s v="Avista Corporation"/>
    <n v="187"/>
    <n v="2019"/>
    <n v="12"/>
    <n v="11"/>
    <n v="6"/>
    <s v="Line 11"/>
    <s v=" (an)  Seattle City Light"/>
    <x v="3"/>
    <s v="NWPP"/>
    <m/>
    <m/>
    <m/>
    <n v="14"/>
    <n v="0"/>
    <n v="0"/>
    <n v="0"/>
    <n v="914"/>
    <n v="0"/>
    <x v="82"/>
  </r>
  <r>
    <s v="Avista Corporation"/>
    <n v="187"/>
    <n v="2019"/>
    <n v="12"/>
    <n v="12"/>
    <n v="6"/>
    <s v="Line 12"/>
    <s v="Sheep Creek Hydro"/>
    <x v="5"/>
    <s v="PURPA"/>
    <m/>
    <m/>
    <m/>
    <n v="5473"/>
    <n v="0"/>
    <n v="0"/>
    <n v="0"/>
    <n v="226497"/>
    <n v="0"/>
    <x v="83"/>
  </r>
  <r>
    <s v="Avista Corporation"/>
    <n v="187"/>
    <n v="2019"/>
    <n v="12"/>
    <n v="13"/>
    <n v="6"/>
    <s v="Line 13"/>
    <s v="Shell Energy"/>
    <x v="1"/>
    <s v="Tariff 9"/>
    <m/>
    <m/>
    <m/>
    <n v="8514"/>
    <n v="0"/>
    <n v="0"/>
    <n v="0"/>
    <n v="474188"/>
    <n v="0"/>
    <x v="84"/>
  </r>
  <r>
    <s v="Avista Corporation"/>
    <n v="187"/>
    <n v="2019"/>
    <n v="12"/>
    <n v="14"/>
    <n v="6"/>
    <s v="Line 14"/>
    <s v="Snohomish County PUD No. 1"/>
    <x v="1"/>
    <s v="Tariff 9"/>
    <m/>
    <m/>
    <m/>
    <n v="6655"/>
    <n v="0"/>
    <n v="0"/>
    <n v="0"/>
    <n v="183375"/>
    <m/>
    <x v="85"/>
  </r>
  <r>
    <s v="Avista Corporation"/>
    <n v="187"/>
    <n v="2019"/>
    <n v="12"/>
    <n v="1"/>
    <n v="7"/>
    <s v="Line 1"/>
    <s v="(  ao)  Sovereign Power"/>
    <x v="3"/>
    <s v="Sovereign"/>
    <m/>
    <m/>
    <m/>
    <n v="8134"/>
    <n v="0"/>
    <n v="0"/>
    <n v="0"/>
    <n v="613916"/>
    <n v="0"/>
    <x v="86"/>
  </r>
  <r>
    <s v="Avista Corporation"/>
    <n v="187"/>
    <n v="2019"/>
    <n v="12"/>
    <n v="2"/>
    <n v="7"/>
    <s v="Line 2"/>
    <s v="Stimson Lumber"/>
    <x v="5"/>
    <s v="PURPA"/>
    <m/>
    <m/>
    <m/>
    <n v="8784"/>
    <n v="0"/>
    <n v="0"/>
    <n v="0"/>
    <n v="313557"/>
    <m/>
    <x v="87"/>
  </r>
  <r>
    <s v="Avista Corporation"/>
    <n v="187"/>
    <n v="2019"/>
    <n v="12"/>
    <n v="3"/>
    <n v="7"/>
    <s v="Line 3"/>
    <s v="Tacoma Power"/>
    <x v="1"/>
    <s v="Tariff 9"/>
    <m/>
    <m/>
    <m/>
    <n v="12461"/>
    <n v="0"/>
    <n v="0"/>
    <n v="0"/>
    <n v="374845"/>
    <n v="0"/>
    <x v="88"/>
  </r>
  <r>
    <s v="Avista Corporation"/>
    <n v="187"/>
    <n v="2019"/>
    <n v="12"/>
    <n v="4"/>
    <n v="7"/>
    <s v="Line 4"/>
    <s v=" (ap)  Tacoma Power"/>
    <x v="3"/>
    <s v="NWPP"/>
    <m/>
    <m/>
    <m/>
    <n v="6"/>
    <n v="0"/>
    <n v="0"/>
    <n v="0"/>
    <n v="430"/>
    <n v="0"/>
    <x v="89"/>
  </r>
  <r>
    <s v="Avista Corporation"/>
    <n v="187"/>
    <n v="2019"/>
    <n v="12"/>
    <n v="5"/>
    <n v="7"/>
    <s v="Line 5"/>
    <s v="The City of_x000a_Cove"/>
    <x v="0"/>
    <s v="PURPA"/>
    <m/>
    <m/>
    <m/>
    <n v="2114"/>
    <n v="0"/>
    <n v="0"/>
    <n v="0"/>
    <n v="91319"/>
    <n v="0"/>
    <x v="90"/>
  </r>
  <r>
    <s v="Avista Corporation"/>
    <n v="187"/>
    <n v="2019"/>
    <n v="12"/>
    <n v="6"/>
    <n v="7"/>
    <s v="Line 6"/>
    <s v="The Energy Authority"/>
    <x v="1"/>
    <s v="Tariff 9"/>
    <m/>
    <m/>
    <m/>
    <n v="18717"/>
    <n v="0"/>
    <n v="0"/>
    <n v="0"/>
    <n v="1276188"/>
    <n v="0"/>
    <x v="91"/>
  </r>
  <r>
    <s v="Avista Corporation"/>
    <n v="187"/>
    <n v="2019"/>
    <n v="12"/>
    <n v="7"/>
    <n v="7"/>
    <s v="Line 7"/>
    <s v="TransAlta Energy Marketing"/>
    <x v="1"/>
    <s v="Tariff 9"/>
    <m/>
    <m/>
    <m/>
    <n v="23120"/>
    <n v="0"/>
    <n v="0"/>
    <n v="0"/>
    <n v="1573266"/>
    <n v="0"/>
    <x v="92"/>
  </r>
  <r>
    <s v="Avista Corporation"/>
    <n v="187"/>
    <n v="2019"/>
    <n v="12"/>
    <n v="8"/>
    <n v="7"/>
    <s v="Line 8"/>
    <s v="Turlock Irrigation District"/>
    <x v="1"/>
    <s v="Tariff 9"/>
    <m/>
    <m/>
    <m/>
    <n v="663"/>
    <n v="0"/>
    <n v="0"/>
    <n v="0"/>
    <n v="29735"/>
    <n v="0"/>
    <x v="93"/>
  </r>
  <r>
    <s v="Avista Corporation"/>
    <n v="187"/>
    <n v="2019"/>
    <n v="12"/>
    <n v="9"/>
    <n v="7"/>
    <s v="Line 9"/>
    <s v="Vitol Inc."/>
    <x v="1"/>
    <s v="Tariff 9"/>
    <m/>
    <m/>
    <m/>
    <n v="16212"/>
    <n v="0"/>
    <n v="0"/>
    <n v="0"/>
    <n v="1578790"/>
    <n v="0"/>
    <x v="94"/>
  </r>
  <r>
    <s v="Avista Corporation"/>
    <n v="187"/>
    <n v="2019"/>
    <n v="12"/>
    <n v="10"/>
    <n v="7"/>
    <s v="Line 10"/>
    <s v=" (aq)  Wells Fargo Securities, LLC"/>
    <x v="2"/>
    <s v="NA"/>
    <m/>
    <m/>
    <m/>
    <n v="0"/>
    <n v="0"/>
    <n v="0"/>
    <n v="0"/>
    <n v="0"/>
    <n v="2781158"/>
    <x v="95"/>
  </r>
  <r>
    <s v="Avista Corporation"/>
    <n v="187"/>
    <n v="2019"/>
    <n v="12"/>
    <n v="11"/>
    <n v="7"/>
    <s v="Line 11"/>
    <s v=" (ar)_x000a_IntraCompany Generation Services"/>
    <x v="2"/>
    <s v="OATT"/>
    <m/>
    <m/>
    <m/>
    <n v="0"/>
    <n v="0"/>
    <n v="0"/>
    <n v="0"/>
    <n v="0"/>
    <n v="1173595"/>
    <x v="96"/>
  </r>
  <r>
    <s v="Avista Corporation"/>
    <n v="187"/>
    <n v="2019"/>
    <n v="12"/>
    <n v="12"/>
    <n v="7"/>
    <s v="Line 12"/>
    <s v="Other - Inadvertent Interchange"/>
    <x v="6"/>
    <m/>
    <m/>
    <m/>
    <m/>
    <n v="0"/>
    <n v="1852"/>
    <n v="0"/>
    <n v="0"/>
    <n v="0"/>
    <n v="0"/>
    <x v="2"/>
  </r>
  <r>
    <s v="Avista Corporation"/>
    <n v="187"/>
    <n v="2019"/>
    <n v="12"/>
    <n v="13"/>
    <n v="7"/>
    <s v="Line 13"/>
    <s v="(  as)  California Independent System Operator"/>
    <x v="2"/>
    <s v="Tariff 9"/>
    <m/>
    <m/>
    <m/>
    <n v="0"/>
    <n v="0"/>
    <n v="0"/>
    <n v="0"/>
    <n v="0"/>
    <n v="25255222"/>
    <x v="97"/>
  </r>
  <r>
    <s v="Avista Corporation"/>
    <n v="187"/>
    <n v="2019"/>
    <n v="12"/>
    <n v="14"/>
    <n v="7"/>
    <s v="Line 14"/>
    <s v="TOTAL"/>
    <x v="8"/>
    <s v=""/>
    <s v=""/>
    <s v=""/>
    <s v=""/>
    <n v="5601050"/>
    <n v="11825"/>
    <n v="421689"/>
    <n v="53160136"/>
    <n v="130295285"/>
    <n v="32972294"/>
    <x v="98"/>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9">
  <r>
    <n v="1"/>
    <s v="0-1"/>
    <s v="Avangrid Renewables, LLC "/>
    <x v="0"/>
    <s v="Tariff 9"/>
    <m/>
    <m/>
    <m/>
    <n v="213293"/>
    <m/>
    <n v="13027295.91"/>
    <m/>
    <n v="13027295.91"/>
  </r>
  <r>
    <n v="2"/>
    <s v="0-2"/>
    <s v="Avangrid Renewables, LLC "/>
    <x v="0"/>
    <s v="Tariff 9"/>
    <m/>
    <m/>
    <m/>
    <m/>
    <n v="3000"/>
    <m/>
    <m/>
    <n v="3000"/>
  </r>
  <r>
    <n v="3"/>
    <s v="0-3"/>
    <s v="Avangrid Renewables, LLC "/>
    <x v="1"/>
    <s v="Tariff 12"/>
    <m/>
    <m/>
    <m/>
    <n v="57"/>
    <m/>
    <n v="5947.91"/>
    <m/>
    <n v="5947.91"/>
  </r>
  <r>
    <n v="4"/>
    <s v="0-4"/>
    <s v="Avangrid Renewables, LLC "/>
    <x v="1"/>
    <s v="Tariff 9"/>
    <m/>
    <m/>
    <m/>
    <n v="19"/>
    <m/>
    <n v="631.65"/>
    <m/>
    <n v="631.65"/>
  </r>
  <r>
    <n v="5"/>
    <s v="0-5"/>
    <s v="BP Energy Company"/>
    <x v="0"/>
    <s v="Tariff 9"/>
    <m/>
    <m/>
    <m/>
    <n v="4048"/>
    <m/>
    <n v="353280"/>
    <m/>
    <n v="353280"/>
  </r>
  <r>
    <n v="6"/>
    <s v="0-6"/>
    <s v="Black Hills Power, Inc."/>
    <x v="0"/>
    <s v="Tariff 9"/>
    <m/>
    <m/>
    <m/>
    <n v="95"/>
    <m/>
    <n v="13425"/>
    <m/>
    <n v="13425"/>
  </r>
  <r>
    <n v="7"/>
    <s v="0-7"/>
    <s v="Bonneville Power Administration"/>
    <x v="1"/>
    <s v="Tariff 8"/>
    <m/>
    <m/>
    <m/>
    <n v="36711"/>
    <m/>
    <n v="1644060.09"/>
    <m/>
    <n v="1644060.09"/>
  </r>
  <r>
    <n v="8"/>
    <s v="0-8"/>
    <s v="Bonneville Power Administration"/>
    <x v="1"/>
    <s v="Tariff 8"/>
    <m/>
    <m/>
    <m/>
    <n v="550"/>
    <m/>
    <n v="21185.96"/>
    <m/>
    <n v="21185.96"/>
  </r>
  <r>
    <n v="9"/>
    <s v="0-9"/>
    <s v="Bonneville Power Administration"/>
    <x v="0"/>
    <s v="Tariff 9"/>
    <m/>
    <m/>
    <m/>
    <n v="122135"/>
    <m/>
    <n v="7389379.0099999998"/>
    <m/>
    <n v="7389379.0099999998"/>
  </r>
  <r>
    <n v="10"/>
    <s v="0-10"/>
    <s v="Bonneville Power Administration"/>
    <x v="1"/>
    <s v="Tariff 12"/>
    <m/>
    <m/>
    <m/>
    <n v="59"/>
    <m/>
    <n v="2996.24"/>
    <m/>
    <n v="2996.24"/>
  </r>
  <r>
    <n v="11"/>
    <s v="0-11"/>
    <s v="Bonneville Power Administration"/>
    <x v="2"/>
    <s v="Tariff 9"/>
    <m/>
    <m/>
    <m/>
    <n v="50750"/>
    <m/>
    <n v="3429842.67"/>
    <m/>
    <n v="3429842.67"/>
  </r>
  <r>
    <n v="12"/>
    <s v="0-12"/>
    <s v="Bonneville Power Administration"/>
    <x v="2"/>
    <s v="Tariff 9"/>
    <m/>
    <m/>
    <m/>
    <n v="61789"/>
    <m/>
    <m/>
    <m/>
    <n v="0"/>
  </r>
  <r>
    <n v="13"/>
    <s v="0-13"/>
    <s v="British Columbia Hydro and Power Authority"/>
    <x v="1"/>
    <s v="Tariff 12"/>
    <m/>
    <m/>
    <m/>
    <n v="62"/>
    <m/>
    <n v="3914.3"/>
    <m/>
    <n v="3914.3"/>
  </r>
  <r>
    <n v="14"/>
    <s v="0-14"/>
    <s v="Brookfield Energy Marketing LP"/>
    <x v="0"/>
    <s v="Tariff 9"/>
    <m/>
    <m/>
    <m/>
    <n v="981"/>
    <m/>
    <n v="55290"/>
    <m/>
    <n v="55290"/>
  </r>
  <r>
    <n v="15"/>
    <s v="0-15"/>
    <s v="Brookfield Energy Marketing LP"/>
    <x v="2"/>
    <s v="Tariff 9"/>
    <m/>
    <m/>
    <m/>
    <n v="54"/>
    <m/>
    <m/>
    <m/>
    <n v="0"/>
  </r>
  <r>
    <n v="16"/>
    <s v="0-16"/>
    <s v="California Independent System Operator Corporation"/>
    <x v="0"/>
    <s v="Tariff 9"/>
    <m/>
    <m/>
    <m/>
    <n v="313919"/>
    <m/>
    <n v="20841387.739999998"/>
    <m/>
    <n v="20841387.739999998"/>
  </r>
  <r>
    <n v="17"/>
    <s v="0-17"/>
    <s v="California Independent System Operator Corporation"/>
    <x v="2"/>
    <s v="Tariff 9"/>
    <m/>
    <m/>
    <m/>
    <n v="713"/>
    <m/>
    <m/>
    <m/>
    <n v="0"/>
  </r>
  <r>
    <n v="18"/>
    <s v="0-18"/>
    <s v="California Independent System Operator Corporation"/>
    <x v="2"/>
    <s v="Tariff 9"/>
    <m/>
    <m/>
    <m/>
    <n v="7"/>
    <m/>
    <m/>
    <m/>
    <n v="0"/>
  </r>
  <r>
    <n v="19"/>
    <s v="0-19"/>
    <s v="Calpine Energy Services, LP"/>
    <x v="0"/>
    <s v="Tariff 9"/>
    <m/>
    <m/>
    <m/>
    <n v="9549"/>
    <m/>
    <n v="500012.1"/>
    <m/>
    <n v="500012.1"/>
  </r>
  <r>
    <n v="20"/>
    <s v="0-20"/>
    <s v="Chelan County PUD No. 1"/>
    <x v="1"/>
    <s v="Tariff 12"/>
    <m/>
    <m/>
    <m/>
    <n v="7"/>
    <m/>
    <n v="267.86"/>
    <m/>
    <n v="267.86"/>
  </r>
  <r>
    <n v="21"/>
    <s v="0-21"/>
    <s v="Clatskanie Peoples PUD"/>
    <x v="0"/>
    <s v="Tariff 9"/>
    <m/>
    <m/>
    <m/>
    <n v="1987"/>
    <m/>
    <n v="137751"/>
    <m/>
    <n v="137751"/>
  </r>
  <r>
    <n v="22"/>
    <s v="0-22"/>
    <s v="ConocoPhillips Company"/>
    <x v="2"/>
    <s v="Tariff 9"/>
    <m/>
    <m/>
    <m/>
    <m/>
    <m/>
    <n v="47.54"/>
    <m/>
    <n v="47.54"/>
  </r>
  <r>
    <n v="23"/>
    <s v="0-23"/>
    <s v="ConocoPhillips Company"/>
    <x v="0"/>
    <s v="Tariff 9"/>
    <m/>
    <m/>
    <m/>
    <n v="43289"/>
    <m/>
    <n v="1724205"/>
    <m/>
    <n v="1724205"/>
  </r>
  <r>
    <n v="24"/>
    <s v="0-24"/>
    <s v="Constellation Energy Generation, LLC"/>
    <x v="0"/>
    <s v="Tariff 9"/>
    <m/>
    <m/>
    <m/>
    <n v="16397"/>
    <m/>
    <n v="1045555"/>
    <m/>
    <n v="1045555"/>
  </r>
  <r>
    <n v="25"/>
    <s v="0-25"/>
    <s v="Douglas County PUD No. 1 "/>
    <x v="0"/>
    <s v="Tariff 9"/>
    <m/>
    <m/>
    <m/>
    <n v="205328"/>
    <m/>
    <n v="19782478.27"/>
    <m/>
    <n v="19782478.27"/>
  </r>
  <r>
    <n v="26"/>
    <s v="0-26"/>
    <s v="Dynasty Power, Inc."/>
    <x v="0"/>
    <s v="Tariff 9"/>
    <m/>
    <m/>
    <m/>
    <n v="15752"/>
    <m/>
    <n v="1448853"/>
    <m/>
    <n v="1448853"/>
  </r>
  <r>
    <n v="27"/>
    <s v="0-27"/>
    <s v="Dynasty Power, Inc."/>
    <x v="2"/>
    <s v="Tariff 9"/>
    <m/>
    <m/>
    <m/>
    <n v="42"/>
    <m/>
    <n v="7609.43"/>
    <m/>
    <n v="7609.43"/>
  </r>
  <r>
    <n v="28"/>
    <s v="0-28"/>
    <s v="EDF Trading North America, LLC "/>
    <x v="0"/>
    <s v="Tariff 9"/>
    <m/>
    <m/>
    <m/>
    <n v="37831"/>
    <m/>
    <n v="1674691.08"/>
    <m/>
    <n v="1674691.08"/>
  </r>
  <r>
    <n v="29"/>
    <s v="0-29"/>
    <s v="EDF Trading North America, LLC "/>
    <x v="2"/>
    <s v="Tariff 9"/>
    <m/>
    <m/>
    <m/>
    <n v="72"/>
    <m/>
    <n v="3753.75"/>
    <m/>
    <n v="3753.75"/>
  </r>
  <r>
    <n v="30"/>
    <s v="0-30"/>
    <s v="Energy Keepers, Inc."/>
    <x v="0"/>
    <s v="Tariff 9"/>
    <m/>
    <m/>
    <m/>
    <n v="4562"/>
    <m/>
    <n v="240154"/>
    <m/>
    <n v="240154"/>
  </r>
  <r>
    <n v="31"/>
    <s v="0-31"/>
    <s v="Energy Keepers, Inc."/>
    <x v="1"/>
    <s v="Tariff 9"/>
    <m/>
    <m/>
    <m/>
    <n v="319"/>
    <m/>
    <n v="25596.53"/>
    <m/>
    <n v="25596.53"/>
  </r>
  <r>
    <n v="32"/>
    <s v="0-32"/>
    <s v="Eugene Water Electric Board"/>
    <x v="0"/>
    <s v="Tariff 9"/>
    <m/>
    <m/>
    <m/>
    <n v="17654"/>
    <m/>
    <n v="1168393"/>
    <m/>
    <n v="1168393"/>
  </r>
  <r>
    <n v="33"/>
    <s v="0-33"/>
    <s v="Grant County PUD No. 2"/>
    <x v="1"/>
    <s v="Tariff 12"/>
    <m/>
    <m/>
    <m/>
    <n v="2"/>
    <m/>
    <n v="153.59"/>
    <m/>
    <n v="153.59"/>
  </r>
  <r>
    <n v="34"/>
    <s v="0-34"/>
    <s v="Gridforce Energy Management, LLC"/>
    <x v="1"/>
    <s v="Tariff 12"/>
    <m/>
    <m/>
    <m/>
    <n v="397"/>
    <m/>
    <n v="25785.38"/>
    <m/>
    <n v="25785.38"/>
  </r>
  <r>
    <n v="35"/>
    <s v="0-35"/>
    <s v="Guzman Energy, LLC"/>
    <x v="0"/>
    <s v="Tariff 9"/>
    <m/>
    <m/>
    <m/>
    <n v="3789"/>
    <m/>
    <n v="335788"/>
    <m/>
    <n v="335788"/>
  </r>
  <r>
    <n v="36"/>
    <s v="0-36"/>
    <s v="Guzman Energy, LLC"/>
    <x v="2"/>
    <s v="Tariff 9"/>
    <m/>
    <m/>
    <m/>
    <n v="4509"/>
    <m/>
    <n v="387044.22"/>
    <m/>
    <n v="387044.22"/>
  </r>
  <r>
    <n v="37"/>
    <s v="0-37"/>
    <s v="Idaho Power Company"/>
    <x v="0"/>
    <s v="Tariff 9"/>
    <m/>
    <m/>
    <m/>
    <n v="465"/>
    <m/>
    <n v="15180"/>
    <m/>
    <n v="15180"/>
  </r>
  <r>
    <n v="38"/>
    <s v="0-38"/>
    <s v="Idaho Power Company"/>
    <x v="1"/>
    <s v="Tariff 12"/>
    <m/>
    <m/>
    <m/>
    <n v="45"/>
    <m/>
    <n v="5791.11"/>
    <m/>
    <n v="5791.11"/>
  </r>
  <r>
    <n v="39"/>
    <s v="0-39"/>
    <s v="Idaho Power Company Balancing "/>
    <x v="0"/>
    <s v="Tariff 9"/>
    <m/>
    <m/>
    <m/>
    <n v="8586"/>
    <m/>
    <n v="668998"/>
    <m/>
    <n v="668998"/>
  </r>
  <r>
    <n v="40"/>
    <s v="0-40"/>
    <s v="Idaho Power Company Balancing "/>
    <x v="1"/>
    <s v="Tariff 9"/>
    <m/>
    <m/>
    <m/>
    <n v="22475"/>
    <m/>
    <n v="1316268.1499999999"/>
    <m/>
    <n v="1316268.1499999999"/>
  </r>
  <r>
    <n v="41"/>
    <s v="0-41"/>
    <s v="Idaho Power Company Balancing "/>
    <x v="2"/>
    <s v="Tariff 9"/>
    <m/>
    <m/>
    <m/>
    <n v="64869"/>
    <m/>
    <m/>
    <m/>
    <n v="0"/>
  </r>
  <r>
    <n v="42"/>
    <s v="0-42"/>
    <s v="Idaho Power Company Balancing "/>
    <x v="2"/>
    <s v="Tariff 9"/>
    <m/>
    <m/>
    <m/>
    <n v="108031"/>
    <m/>
    <m/>
    <m/>
    <n v="0"/>
  </r>
  <r>
    <n v="43"/>
    <s v="0-43"/>
    <s v="Kootenai Electric Cooperative"/>
    <x v="1"/>
    <s v="Tariff 8"/>
    <m/>
    <m/>
    <m/>
    <n v="179"/>
    <m/>
    <n v="6551.5"/>
    <m/>
    <n v="6551.5"/>
  </r>
  <r>
    <n v="44"/>
    <s v="0-44"/>
    <s v="Kootenai Electric Cooperative"/>
    <x v="2"/>
    <s v="Tariff 9"/>
    <m/>
    <m/>
    <m/>
    <n v="396"/>
    <m/>
    <n v="20546.39"/>
    <m/>
    <n v="20546.39"/>
  </r>
  <r>
    <n v="45"/>
    <s v="0-45"/>
    <s v="Macquarie Energy LLC"/>
    <x v="0"/>
    <s v="Tariff 9"/>
    <m/>
    <m/>
    <m/>
    <n v="55221"/>
    <m/>
    <n v="3147927.38"/>
    <m/>
    <n v="3147927.38"/>
  </r>
  <r>
    <n v="46"/>
    <s v="0-46"/>
    <s v="Macquarie Energy LLC"/>
    <x v="1"/>
    <s v="Tariff 9"/>
    <m/>
    <m/>
    <m/>
    <n v="6350"/>
    <m/>
    <n v="374927.06"/>
    <m/>
    <n v="374927.06"/>
  </r>
  <r>
    <n v="47"/>
    <s v="0-47"/>
    <s v="Mercuria Energy America, LLC "/>
    <x v="2"/>
    <s v="Tariff 9"/>
    <m/>
    <m/>
    <m/>
    <n v="1754"/>
    <m/>
    <n v="45760.01"/>
    <m/>
    <n v="45760.01"/>
  </r>
  <r>
    <n v="48"/>
    <s v="0-48"/>
    <s v="Mercuria Energy America, LLC "/>
    <x v="0"/>
    <s v="Tariff 9"/>
    <m/>
    <m/>
    <m/>
    <n v="6645"/>
    <m/>
    <n v="1071428"/>
    <m/>
    <n v="1071428"/>
  </r>
  <r>
    <n v="49"/>
    <s v="0-49"/>
    <s v="Mizuho Securities USA Inc. "/>
    <x v="3"/>
    <s v="NA"/>
    <m/>
    <m/>
    <m/>
    <m/>
    <m/>
    <m/>
    <n v="-10512540"/>
    <n v="-10512540"/>
  </r>
  <r>
    <n v="50"/>
    <s v="0-50"/>
    <s v="Morgan Stanley Capital Group Inc."/>
    <x v="0"/>
    <s v="Tariff 9"/>
    <m/>
    <m/>
    <m/>
    <n v="234595"/>
    <m/>
    <n v="14895552.67"/>
    <m/>
    <n v="14895552.67"/>
  </r>
  <r>
    <n v="51"/>
    <s v="0-51"/>
    <s v="Morgan Stanley Capital Group Inc."/>
    <x v="1"/>
    <s v="Tariff 9"/>
    <m/>
    <m/>
    <m/>
    <n v="6868"/>
    <m/>
    <n v="374526.69"/>
    <m/>
    <n v="374526.69"/>
  </r>
  <r>
    <n v="52"/>
    <s v="0-52"/>
    <s v="Morgan Stanley Capital Group Inc."/>
    <x v="2"/>
    <s v="Tariff 9"/>
    <m/>
    <m/>
    <m/>
    <n v="375290"/>
    <m/>
    <n v="27159917.370000001"/>
    <m/>
    <n v="27159917.370000001"/>
  </r>
  <r>
    <n v="53"/>
    <s v="0-53"/>
    <s v="Morgan Stanley Capital Group Inc. "/>
    <x v="0"/>
    <s v="Tariff 9"/>
    <m/>
    <m/>
    <m/>
    <m/>
    <n v="275940"/>
    <m/>
    <m/>
    <n v="275940"/>
  </r>
  <r>
    <n v="54"/>
    <s v="0-54"/>
    <s v="Morgan Stanley Capital Group Inc. "/>
    <x v="0"/>
    <s v="Tariff 9"/>
    <m/>
    <m/>
    <m/>
    <m/>
    <n v="275940"/>
    <m/>
    <m/>
    <n v="275940"/>
  </r>
  <r>
    <n v="55"/>
    <s v="0-55"/>
    <s v="NaturEner Power Watch, LLC "/>
    <x v="1"/>
    <s v="Tariff 12"/>
    <m/>
    <m/>
    <m/>
    <n v="31"/>
    <m/>
    <n v="975.16"/>
    <m/>
    <n v="975.16"/>
  </r>
  <r>
    <n v="56"/>
    <s v="0-56"/>
    <s v="Nevada Power Company"/>
    <x v="0"/>
    <s v="Tariff 9"/>
    <m/>
    <m/>
    <m/>
    <n v="813"/>
    <m/>
    <n v="40650"/>
    <m/>
    <n v="40650"/>
  </r>
  <r>
    <n v="57"/>
    <s v="0-57"/>
    <s v="NorthWestern Energy "/>
    <x v="0"/>
    <s v="Tariff 9"/>
    <m/>
    <m/>
    <m/>
    <n v="25170"/>
    <m/>
    <n v="3337936.8"/>
    <m/>
    <n v="3337936.8"/>
  </r>
  <r>
    <n v="58"/>
    <s v="0-58"/>
    <s v="NorthWestern Energy"/>
    <x v="1"/>
    <s v="Tariff 9"/>
    <m/>
    <m/>
    <m/>
    <n v="148"/>
    <m/>
    <n v="13067.89"/>
    <m/>
    <n v="13067.89"/>
  </r>
  <r>
    <n v="59"/>
    <s v="0-59"/>
    <s v="NorthWestern Energy "/>
    <x v="1"/>
    <s v="Tariff 12"/>
    <m/>
    <m/>
    <m/>
    <n v="23"/>
    <m/>
    <n v="1624.68"/>
    <m/>
    <n v="1624.68"/>
  </r>
  <r>
    <n v="60"/>
    <s v="0-60"/>
    <s v="NorthWestern Energy"/>
    <x v="1"/>
    <s v="Tariff 9"/>
    <m/>
    <m/>
    <m/>
    <n v="8078"/>
    <m/>
    <n v="692431.52"/>
    <m/>
    <n v="692431.52"/>
  </r>
  <r>
    <n v="61"/>
    <s v="0-61"/>
    <s v="NorthWestern Energy"/>
    <x v="2"/>
    <s v="Tariff 9"/>
    <m/>
    <m/>
    <m/>
    <n v="60053"/>
    <m/>
    <m/>
    <m/>
    <n v="0"/>
  </r>
  <r>
    <n v="62"/>
    <s v="0-62"/>
    <s v="PacifiCorp"/>
    <x v="0"/>
    <s v="Tariff 9"/>
    <m/>
    <m/>
    <m/>
    <n v="141359"/>
    <m/>
    <n v="8392779"/>
    <m/>
    <n v="8392779"/>
  </r>
  <r>
    <n v="63"/>
    <s v="0-63"/>
    <s v="PacifiCorp"/>
    <x v="2"/>
    <s v="Tariff 9"/>
    <m/>
    <m/>
    <m/>
    <n v="36454"/>
    <m/>
    <m/>
    <m/>
    <n v="0"/>
  </r>
  <r>
    <n v="64"/>
    <s v="0-64"/>
    <s v="PacifiCorp"/>
    <x v="1"/>
    <s v="Tariff 12"/>
    <m/>
    <m/>
    <m/>
    <n v="60"/>
    <m/>
    <n v="4329.1099999999997"/>
    <m/>
    <n v="4329.1099999999997"/>
  </r>
  <r>
    <n v="65"/>
    <s v="0-65"/>
    <s v="PacifiCorp"/>
    <x v="2"/>
    <s v="Tariff 9"/>
    <m/>
    <m/>
    <m/>
    <n v="7112"/>
    <m/>
    <n v="625370.61"/>
    <m/>
    <n v="625370.61"/>
  </r>
  <r>
    <n v="66"/>
    <s v="0-66"/>
    <s v="PacifiCorp "/>
    <x v="1"/>
    <s v="Tariff 9"/>
    <m/>
    <m/>
    <m/>
    <n v="5386"/>
    <m/>
    <n v="461620.99"/>
    <m/>
    <n v="461620.99"/>
  </r>
  <r>
    <n v="67"/>
    <s v="0-67"/>
    <s v="Pend Oreille County Public Utility District #1"/>
    <x v="1"/>
    <s v="Tariff 9"/>
    <m/>
    <m/>
    <m/>
    <m/>
    <n v="426663.17"/>
    <m/>
    <m/>
    <n v="426663.17"/>
  </r>
  <r>
    <n v="68"/>
    <s v="0-68"/>
    <s v="Pend Oreille County Public Utility District #1"/>
    <x v="1"/>
    <s v="Tariff 9"/>
    <m/>
    <m/>
    <m/>
    <n v="15190"/>
    <m/>
    <n v="1303356.3799999999"/>
    <m/>
    <n v="1303356.3799999999"/>
  </r>
  <r>
    <n v="69"/>
    <s v="0-69"/>
    <s v="Pend Oreille County Public Utility District #1"/>
    <x v="1"/>
    <s v="Tariff 9"/>
    <m/>
    <m/>
    <m/>
    <n v="152"/>
    <m/>
    <n v="12849.36"/>
    <m/>
    <n v="12849.36"/>
  </r>
  <r>
    <n v="70"/>
    <s v="0-70"/>
    <s v="Pend Oreille County Public Utility District #1"/>
    <x v="0"/>
    <s v="Tariff 9"/>
    <m/>
    <m/>
    <m/>
    <n v="11794"/>
    <m/>
    <n v="1407958.48"/>
    <m/>
    <n v="1407958.48"/>
  </r>
  <r>
    <n v="71"/>
    <s v="0-71"/>
    <s v="Portland General Electric "/>
    <x v="0"/>
    <s v="Tariff 9"/>
    <m/>
    <m/>
    <m/>
    <n v="84135"/>
    <m/>
    <n v="4129015"/>
    <m/>
    <n v="4129015"/>
  </r>
  <r>
    <n v="72"/>
    <s v="0-72"/>
    <s v="Portland General Electric "/>
    <x v="1"/>
    <s v="Tariff 12"/>
    <m/>
    <m/>
    <m/>
    <n v="25"/>
    <m/>
    <n v="1280.92"/>
    <m/>
    <n v="1280.92"/>
  </r>
  <r>
    <n v="73"/>
    <s v="0-73"/>
    <s v="Portland General Electric "/>
    <x v="2"/>
    <s v="Tariff 9"/>
    <m/>
    <m/>
    <m/>
    <n v="68"/>
    <m/>
    <n v="5336.97"/>
    <m/>
    <n v="5336.97"/>
  </r>
  <r>
    <n v="74"/>
    <s v="0-74"/>
    <s v="Power Ex"/>
    <x v="0"/>
    <s v="Tariff 9"/>
    <m/>
    <m/>
    <m/>
    <n v="207638"/>
    <m/>
    <n v="8433731.75"/>
    <m/>
    <n v="8433731.75"/>
  </r>
  <r>
    <n v="75"/>
    <s v="0-75"/>
    <s v="Power Ex"/>
    <x v="1"/>
    <s v="Tariff 9"/>
    <m/>
    <m/>
    <m/>
    <n v="11972"/>
    <m/>
    <n v="519644.94"/>
    <m/>
    <n v="519644.94"/>
  </r>
  <r>
    <n v="76"/>
    <s v="0-76"/>
    <s v="Power Ex"/>
    <x v="3"/>
    <s v="Tariff 9"/>
    <m/>
    <m/>
    <m/>
    <m/>
    <m/>
    <m/>
    <n v="1750"/>
    <n v="1750"/>
  </r>
  <r>
    <n v="77"/>
    <s v="0-77"/>
    <s v="Puget Sound Energy "/>
    <x v="1"/>
    <s v="Tariff 9"/>
    <m/>
    <m/>
    <m/>
    <n v="13465"/>
    <m/>
    <n v="1154052.51"/>
    <m/>
    <n v="1154052.51"/>
  </r>
  <r>
    <n v="78"/>
    <s v="0-78"/>
    <s v="Puget Sound Energy"/>
    <x v="0"/>
    <s v="Tariff 9"/>
    <m/>
    <m/>
    <m/>
    <n v="50545"/>
    <m/>
    <n v="2839375"/>
    <m/>
    <n v="2839375"/>
  </r>
  <r>
    <n v="79"/>
    <s v="0-79"/>
    <s v="Puget Sound Energy"/>
    <x v="1"/>
    <s v="Tariff 12"/>
    <m/>
    <m/>
    <m/>
    <n v="9"/>
    <m/>
    <n v="1493.46"/>
    <m/>
    <n v="1493.46"/>
  </r>
  <r>
    <n v="80"/>
    <s v="0-80"/>
    <s v="Puget Sound Energy"/>
    <x v="2"/>
    <s v="Tariff 9"/>
    <m/>
    <m/>
    <m/>
    <n v="21"/>
    <m/>
    <n v="6114.51"/>
    <m/>
    <n v="6114.51"/>
  </r>
  <r>
    <n v="81"/>
    <s v="0-81"/>
    <s v="Rainbow Energy Marketing"/>
    <x v="0"/>
    <s v="Tariff 9"/>
    <m/>
    <m/>
    <m/>
    <n v="9330"/>
    <m/>
    <n v="555552.30000000005"/>
    <m/>
    <n v="555552.30000000005"/>
  </r>
  <r>
    <n v="82"/>
    <s v="0-82"/>
    <s v="Rainbow Energy Marketing"/>
    <x v="1"/>
    <s v="Tariff 9"/>
    <m/>
    <m/>
    <m/>
    <n v="728"/>
    <m/>
    <n v="25372.63"/>
    <m/>
    <n v="25372.63"/>
  </r>
  <r>
    <n v="83"/>
    <s v="0-83"/>
    <s v="Sacramento Municipal Utility District"/>
    <x v="1"/>
    <s v="Tariff 12"/>
    <m/>
    <m/>
    <m/>
    <n v="16"/>
    <m/>
    <n v="826.54"/>
    <m/>
    <n v="826.54"/>
  </r>
  <r>
    <n v="84"/>
    <s v="0-84"/>
    <s v="Seattle City Light"/>
    <x v="0"/>
    <s v="Tariff 9"/>
    <m/>
    <m/>
    <m/>
    <n v="7965"/>
    <m/>
    <n v="705475"/>
    <m/>
    <n v="705475"/>
  </r>
  <r>
    <n v="85"/>
    <s v="0-85"/>
    <s v="Seattle City Light"/>
    <x v="1"/>
    <s v="Tariff 9"/>
    <m/>
    <m/>
    <m/>
    <n v="645"/>
    <m/>
    <n v="45591.89"/>
    <m/>
    <n v="45591.89"/>
  </r>
  <r>
    <n v="86"/>
    <s v="0-86"/>
    <s v="Shell Energy N.A."/>
    <x v="0"/>
    <s v="Tariff 9"/>
    <m/>
    <m/>
    <m/>
    <n v="81760"/>
    <m/>
    <n v="5422861"/>
    <m/>
    <n v="5422861"/>
  </r>
  <r>
    <n v="87"/>
    <s v="0-87"/>
    <s v="Shell Energy N.A."/>
    <x v="2"/>
    <s v="Tariff 9"/>
    <m/>
    <m/>
    <m/>
    <n v="1001"/>
    <m/>
    <n v="64449.52"/>
    <m/>
    <n v="64449.52"/>
  </r>
  <r>
    <n v="88"/>
    <s v="0-88"/>
    <s v="Snohomish County PUD"/>
    <x v="0"/>
    <s v="Tariff 9"/>
    <m/>
    <m/>
    <m/>
    <n v="6835"/>
    <m/>
    <n v="769614"/>
    <m/>
    <n v="769614"/>
  </r>
  <r>
    <n v="89"/>
    <s v="0-89"/>
    <s v="Southern California Edison Company"/>
    <x v="0"/>
    <s v="Tariff 9"/>
    <m/>
    <m/>
    <m/>
    <n v="9989"/>
    <m/>
    <n v="1428427"/>
    <m/>
    <n v="1428427"/>
  </r>
  <r>
    <n v="90"/>
    <s v="0-90"/>
    <s v="Sovereign Power"/>
    <x v="1"/>
    <s v="Tariff 9"/>
    <m/>
    <m/>
    <m/>
    <m/>
    <n v="139846.22"/>
    <m/>
    <m/>
    <n v="139846.22"/>
  </r>
  <r>
    <n v="91"/>
    <s v="0-91"/>
    <s v="Sovereign Power"/>
    <x v="1"/>
    <s v="Tariff 9"/>
    <m/>
    <m/>
    <m/>
    <n v="17565"/>
    <m/>
    <n v="1416681.56"/>
    <m/>
    <n v="1416681.56"/>
  </r>
  <r>
    <n v="92"/>
    <s v="0-92"/>
    <s v="Tacoma Power"/>
    <x v="0"/>
    <s v="Tariff 9"/>
    <m/>
    <m/>
    <m/>
    <n v="4000"/>
    <m/>
    <n v="185300"/>
    <m/>
    <n v="185300"/>
  </r>
  <r>
    <n v="93"/>
    <s v="0-93"/>
    <s v="Tacoma Power"/>
    <x v="1"/>
    <s v="Tariff 9"/>
    <m/>
    <m/>
    <m/>
    <n v="1584"/>
    <m/>
    <n v="117817.77"/>
    <m/>
    <n v="117817.77"/>
  </r>
  <r>
    <n v="94"/>
    <s v="0-94"/>
    <s v="Tacoma Power"/>
    <x v="2"/>
    <s v="Tariff 9"/>
    <m/>
    <m/>
    <m/>
    <n v="5028"/>
    <m/>
    <m/>
    <m/>
    <n v="0"/>
  </r>
  <r>
    <n v="95"/>
    <s v="0-95"/>
    <s v="Talen Energy Montana, LLC  "/>
    <x v="1"/>
    <s v="Tariff 9"/>
    <m/>
    <m/>
    <m/>
    <n v="8079"/>
    <m/>
    <n v="692431.52"/>
    <m/>
    <n v="692431.52"/>
  </r>
  <r>
    <n v="96"/>
    <s v="0-96"/>
    <s v="Tenaska Power Services Co."/>
    <x v="0"/>
    <s v="Tariff 9"/>
    <m/>
    <m/>
    <m/>
    <n v="476"/>
    <m/>
    <n v="30080"/>
    <m/>
    <n v="30080"/>
  </r>
  <r>
    <n v="97"/>
    <s v="0-97"/>
    <s v="Tenaska Power Services Co."/>
    <x v="1"/>
    <s v="Tariff 9"/>
    <m/>
    <m/>
    <m/>
    <n v="1"/>
    <m/>
    <n v="145.77000000000001"/>
    <m/>
    <n v="145.77000000000001"/>
  </r>
  <r>
    <n v="98"/>
    <s v="0-98"/>
    <s v="The Energy Authority"/>
    <x v="0"/>
    <s v="Tariff 9"/>
    <m/>
    <m/>
    <m/>
    <n v="30739"/>
    <m/>
    <n v="2215062.6"/>
    <m/>
    <n v="2215062.6"/>
  </r>
  <r>
    <n v="99"/>
    <s v="0-99"/>
    <s v="The Energy Authority"/>
    <x v="1"/>
    <s v="Tariff 9"/>
    <m/>
    <m/>
    <m/>
    <n v="184"/>
    <m/>
    <n v="4110.68"/>
    <m/>
    <n v="4110.68"/>
  </r>
  <r>
    <n v="100"/>
    <s v="0-100"/>
    <s v="TransAlta Energy Marketing "/>
    <x v="0"/>
    <s v="Tariff 9"/>
    <m/>
    <m/>
    <m/>
    <n v="218319"/>
    <m/>
    <n v="17978874"/>
    <m/>
    <n v="17978874"/>
  </r>
  <r>
    <n v="101"/>
    <s v="0-101"/>
    <s v="TransAlta Energy Marketing "/>
    <x v="1"/>
    <s v="Tariff 9"/>
    <m/>
    <m/>
    <m/>
    <n v="88"/>
    <m/>
    <n v="7045.32"/>
    <m/>
    <n v="7045.32"/>
  </r>
  <r>
    <n v="102"/>
    <s v="0-102"/>
    <s v="Turlock Irrigation Dist."/>
    <x v="1"/>
    <s v="Tariff 12"/>
    <m/>
    <m/>
    <m/>
    <m/>
    <m/>
    <n v="203.76"/>
    <m/>
    <n v="203.76"/>
  </r>
  <r>
    <n v="103"/>
    <s v="0-103"/>
    <s v="Vitol, Inc."/>
    <x v="0"/>
    <s v="Tariff 9"/>
    <m/>
    <m/>
    <m/>
    <n v="1400"/>
    <m/>
    <n v="85700"/>
    <m/>
    <n v="85700"/>
  </r>
  <r>
    <n v="104"/>
    <s v="0-104"/>
    <s v="Vitol, Inc."/>
    <x v="2"/>
    <s v="Tariff 9"/>
    <m/>
    <m/>
    <m/>
    <n v="556"/>
    <m/>
    <n v="29446.61"/>
    <m/>
    <n v="29446.61"/>
  </r>
  <r>
    <n v="105"/>
    <s v="0-105"/>
    <s v="Wells Fargo Securities, LLC "/>
    <x v="3"/>
    <s v="NA"/>
    <m/>
    <m/>
    <m/>
    <n v="0"/>
    <m/>
    <m/>
    <n v="-8516632"/>
    <n v="-8516632"/>
  </r>
  <r>
    <n v="106"/>
    <s v="0-106"/>
    <s v="IntraCompany Wheeling"/>
    <x v="1"/>
    <m/>
    <m/>
    <m/>
    <m/>
    <m/>
    <m/>
    <n v="-30722508.34"/>
    <n v="30722508.34"/>
    <n v="0"/>
  </r>
  <r>
    <n v="107"/>
    <s v="0-107"/>
    <s v="IntraCompany Generation"/>
    <x v="1"/>
    <m/>
    <m/>
    <m/>
    <m/>
    <m/>
    <m/>
    <m/>
    <n v="1202879.74"/>
    <n v="1202879.74"/>
  </r>
  <r>
    <n v="108"/>
    <s v="0-108"/>
    <s v="California Independent System Operator Corporation"/>
    <x v="3"/>
    <s v="Tariff 9"/>
    <m/>
    <m/>
    <m/>
    <m/>
    <m/>
    <m/>
    <n v="11795704.689999999"/>
    <n v="11795704.689999999"/>
  </r>
  <r>
    <n v="109"/>
    <s v="0-109"/>
    <s v="Powerdex Pricing Accrual Reversal"/>
    <x v="0"/>
    <s v="Tariff 9"/>
    <m/>
    <m/>
    <m/>
    <m/>
    <m/>
    <n v="-71323"/>
    <m/>
    <n v="-71323"/>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8">
  <r>
    <n v="1"/>
    <s v="0-1"/>
    <s v="Avangrid Renewables, LLC "/>
    <x v="0"/>
    <s v="Tariff 9"/>
    <m/>
    <m/>
    <m/>
    <n v="142782"/>
    <m/>
    <n v="6022371"/>
    <m/>
    <n v="6022371"/>
  </r>
  <r>
    <n v="2"/>
    <s v="0-2"/>
    <s v="Avangrid Renewables, LLC "/>
    <x v="0"/>
    <s v="Tariff 9"/>
    <m/>
    <m/>
    <m/>
    <m/>
    <n v="423950"/>
    <m/>
    <m/>
    <n v="423950"/>
  </r>
  <r>
    <n v="3"/>
    <s v="0-3"/>
    <s v="Avangrid Renewables, LLC "/>
    <x v="1"/>
    <s v="Tariff 12"/>
    <m/>
    <m/>
    <m/>
    <n v="45"/>
    <m/>
    <n v="1002"/>
    <m/>
    <n v="1002"/>
  </r>
  <r>
    <n v="4"/>
    <s v="0-4"/>
    <s v="BP Energy Company"/>
    <x v="0"/>
    <s v="Tariff 9"/>
    <m/>
    <m/>
    <m/>
    <n v="2408"/>
    <m/>
    <n v="115053"/>
    <m/>
    <n v="115053"/>
  </r>
  <r>
    <n v="5"/>
    <s v="0-5"/>
    <s v="Black Hills Power, Inc."/>
    <x v="0"/>
    <s v="Tariff 9"/>
    <m/>
    <m/>
    <m/>
    <n v="2620"/>
    <m/>
    <n v="332970"/>
    <m/>
    <n v="332970"/>
  </r>
  <r>
    <n v="6"/>
    <s v="0-6"/>
    <s v="Bonneville Power Administration"/>
    <x v="1"/>
    <s v="Tariff 8"/>
    <m/>
    <m/>
    <m/>
    <n v="44950"/>
    <m/>
    <n v="2636407"/>
    <m/>
    <n v="2636407"/>
  </r>
  <r>
    <n v="7"/>
    <s v="0-7"/>
    <s v="Bonneville Power Administration"/>
    <x v="1"/>
    <s v="Tariff 8"/>
    <m/>
    <m/>
    <m/>
    <n v="2825"/>
    <m/>
    <n v="145101"/>
    <m/>
    <n v="145101"/>
  </r>
  <r>
    <n v="8"/>
    <s v="0-8"/>
    <s v="Bonneville Power Administration"/>
    <x v="0"/>
    <s v="Tariff 9"/>
    <m/>
    <m/>
    <m/>
    <n v="116089"/>
    <m/>
    <n v="4399082"/>
    <m/>
    <n v="4399082"/>
  </r>
  <r>
    <n v="9"/>
    <s v="0-9"/>
    <s v="Bonneville Power Administration"/>
    <x v="1"/>
    <s v="Tariff 12"/>
    <m/>
    <m/>
    <m/>
    <n v="71"/>
    <m/>
    <n v="1868"/>
    <m/>
    <n v="1868"/>
  </r>
  <r>
    <n v="10"/>
    <s v="0-10"/>
    <s v="British Columbia Hydro and Power Authority"/>
    <x v="1"/>
    <s v="Tariff 12"/>
    <m/>
    <m/>
    <m/>
    <n v="169"/>
    <m/>
    <n v="13295"/>
    <m/>
    <n v="13295"/>
  </r>
  <r>
    <n v="11"/>
    <s v="0-11"/>
    <s v="Brookfield Energy Marketing LP"/>
    <x v="0"/>
    <s v="Tariff 9"/>
    <m/>
    <m/>
    <m/>
    <n v="1238"/>
    <m/>
    <n v="48469"/>
    <m/>
    <n v="48469"/>
  </r>
  <r>
    <n v="12"/>
    <s v="0-12"/>
    <s v="Brookfield Energy Marketing LP"/>
    <x v="2"/>
    <s v="Tariff 9"/>
    <m/>
    <m/>
    <m/>
    <n v="48"/>
    <m/>
    <n v="2807"/>
    <m/>
    <n v="2807"/>
  </r>
  <r>
    <n v="13"/>
    <s v="0-13"/>
    <s v="California Independent System Operator Corporation"/>
    <x v="0"/>
    <s v="Tariff 9"/>
    <m/>
    <m/>
    <m/>
    <n v="219055"/>
    <m/>
    <n v="10762418"/>
    <m/>
    <n v="10762418"/>
  </r>
  <r>
    <n v="14"/>
    <s v="0-14"/>
    <s v="Calpine Energy Services, LP"/>
    <x v="0"/>
    <s v="Tariff 9"/>
    <m/>
    <m/>
    <m/>
    <n v="12804"/>
    <m/>
    <n v="585924"/>
    <m/>
    <n v="585924"/>
  </r>
  <r>
    <n v="15"/>
    <s v="0-15"/>
    <s v="Chelan County PUD No. 1"/>
    <x v="0"/>
    <s v="Tariff 9"/>
    <m/>
    <m/>
    <m/>
    <n v="16"/>
    <m/>
    <n v="530"/>
    <m/>
    <n v="530"/>
  </r>
  <r>
    <n v="16"/>
    <s v="0-16"/>
    <s v="Chelan County PUD No. 1"/>
    <x v="1"/>
    <s v="Tariff 12"/>
    <m/>
    <m/>
    <m/>
    <n v="7"/>
    <m/>
    <n v="180"/>
    <m/>
    <n v="180"/>
  </r>
  <r>
    <n v="17"/>
    <s v="0-17"/>
    <s v="Citigroup Energy, Inc."/>
    <x v="0"/>
    <s v="Tariff 9"/>
    <m/>
    <m/>
    <m/>
    <n v="4000"/>
    <m/>
    <n v="90500"/>
    <m/>
    <n v="90500"/>
  </r>
  <r>
    <n v="18"/>
    <s v="0-18"/>
    <s v="Clatskanie Peoples PUD"/>
    <x v="0"/>
    <s v="Tariff 9"/>
    <m/>
    <m/>
    <m/>
    <n v="1953"/>
    <m/>
    <n v="102323"/>
    <m/>
    <n v="102323"/>
  </r>
  <r>
    <n v="19"/>
    <s v="0-19"/>
    <s v="ConocoPhillips Company"/>
    <x v="0"/>
    <s v="Tariff 9"/>
    <m/>
    <m/>
    <m/>
    <n v="42327"/>
    <m/>
    <n v="1472620"/>
    <m/>
    <n v="1472620"/>
  </r>
  <r>
    <n v="20"/>
    <s v="0-20"/>
    <s v="Douglas County PUD No. 1 "/>
    <x v="0"/>
    <s v="Tariff 9"/>
    <m/>
    <m/>
    <m/>
    <m/>
    <m/>
    <n v="12097"/>
    <m/>
    <n v="12097"/>
  </r>
  <r>
    <n v="21"/>
    <s v="0-21"/>
    <s v="Dynasty Power, Inc."/>
    <x v="0"/>
    <s v="Tariff 9"/>
    <m/>
    <m/>
    <m/>
    <n v="4594"/>
    <m/>
    <n v="410329"/>
    <m/>
    <n v="410329"/>
  </r>
  <r>
    <n v="22"/>
    <s v="0-22"/>
    <s v="Dynasty Power, Inc."/>
    <x v="2"/>
    <s v="Tariff 9"/>
    <m/>
    <m/>
    <m/>
    <n v="291"/>
    <m/>
    <n v="92932"/>
    <m/>
    <n v="92932"/>
  </r>
  <r>
    <n v="23"/>
    <s v="0-23"/>
    <s v="EDF Trading North America, LLC "/>
    <x v="0"/>
    <s v="Tariff 9"/>
    <m/>
    <m/>
    <m/>
    <n v="58073"/>
    <m/>
    <n v="2478351"/>
    <m/>
    <n v="2478351"/>
  </r>
  <r>
    <n v="24"/>
    <s v="0-24"/>
    <s v="EDF Trading North America, LLC "/>
    <x v="0"/>
    <s v="Tariff 9"/>
    <m/>
    <m/>
    <m/>
    <m/>
    <n v="43800"/>
    <m/>
    <m/>
    <n v="43800"/>
  </r>
  <r>
    <n v="25"/>
    <s v="0-25"/>
    <s v="Energy Keepers, Inc."/>
    <x v="0"/>
    <s v="Tariff 9"/>
    <m/>
    <m/>
    <m/>
    <n v="17097"/>
    <m/>
    <n v="982826"/>
    <m/>
    <n v="982826"/>
  </r>
  <r>
    <n v="26"/>
    <s v="0-26"/>
    <s v="Eugene Water Electric Board"/>
    <x v="0"/>
    <s v="Tariff 9"/>
    <m/>
    <m/>
    <m/>
    <n v="12273"/>
    <m/>
    <n v="591403"/>
    <m/>
    <n v="591403"/>
  </r>
  <r>
    <n v="27"/>
    <s v="0-27"/>
    <s v="Exelon Generation Company, LLC"/>
    <x v="0"/>
    <s v="Tariff 9"/>
    <m/>
    <m/>
    <m/>
    <n v="31910"/>
    <m/>
    <n v="1470134"/>
    <m/>
    <n v="1470134"/>
  </r>
  <r>
    <n v="28"/>
    <s v="0-28"/>
    <s v="Grant County PUD No. 2"/>
    <x v="1"/>
    <s v="Tariff 12"/>
    <m/>
    <m/>
    <m/>
    <n v="2"/>
    <m/>
    <n v="46"/>
    <m/>
    <n v="46"/>
  </r>
  <r>
    <n v="29"/>
    <s v="0-29"/>
    <s v="Grant County PUD No. 2"/>
    <x v="0"/>
    <s v="Tariff 9"/>
    <m/>
    <m/>
    <m/>
    <n v="16200"/>
    <m/>
    <n v="951750"/>
    <m/>
    <n v="951750"/>
  </r>
  <r>
    <n v="30"/>
    <s v="0-30"/>
    <s v="Gridforce Energy Management, LLC"/>
    <x v="1"/>
    <s v="Tariff 12"/>
    <m/>
    <m/>
    <m/>
    <n v="219"/>
    <m/>
    <n v="7785"/>
    <m/>
    <n v="7785"/>
  </r>
  <r>
    <n v="31"/>
    <s v="0-31"/>
    <s v="Guzman Energy, LLC"/>
    <x v="0"/>
    <s v="Tariff 9"/>
    <m/>
    <m/>
    <m/>
    <n v="2011"/>
    <m/>
    <n v="152666"/>
    <m/>
    <n v="152666"/>
  </r>
  <r>
    <n v="32"/>
    <s v="0-32"/>
    <s v="Guzman Energy, LLC"/>
    <x v="2"/>
    <s v="Tariff 9"/>
    <m/>
    <m/>
    <m/>
    <n v="670"/>
    <m/>
    <n v="64141"/>
    <m/>
    <n v="64141"/>
  </r>
  <r>
    <n v="33"/>
    <s v="0-33"/>
    <s v="Idaho Power Company"/>
    <x v="1"/>
    <s v="Tariff 12"/>
    <m/>
    <m/>
    <m/>
    <n v="14"/>
    <m/>
    <n v="602"/>
    <m/>
    <n v="602"/>
  </r>
  <r>
    <n v="34"/>
    <s v="0-34"/>
    <s v="Idaho Power Company Balancing"/>
    <x v="0"/>
    <s v="Tariff 9"/>
    <m/>
    <m/>
    <m/>
    <n v="3961"/>
    <m/>
    <n v="137740"/>
    <m/>
    <n v="137740"/>
  </r>
  <r>
    <n v="35"/>
    <s v="0-35"/>
    <s v="Idaho Power Company Balancing"/>
    <x v="2"/>
    <s v="Tariff 9"/>
    <m/>
    <m/>
    <m/>
    <n v="7814"/>
    <m/>
    <n v="538320"/>
    <m/>
    <n v="538320"/>
  </r>
  <r>
    <n v="36"/>
    <s v="0-36"/>
    <s v="Kootenai Electric Cooperative"/>
    <x v="1"/>
    <s v="Tariff 8"/>
    <m/>
    <m/>
    <m/>
    <n v="1398"/>
    <m/>
    <n v="71994"/>
    <m/>
    <n v="71994"/>
  </r>
  <r>
    <n v="37"/>
    <s v="0-37"/>
    <s v="Macquarie Energy LLC"/>
    <x v="0"/>
    <s v="Tariff 9"/>
    <m/>
    <m/>
    <m/>
    <n v="61702"/>
    <m/>
    <n v="2557920"/>
    <m/>
    <n v="2557920"/>
  </r>
  <r>
    <n v="38"/>
    <s v="0-38"/>
    <s v="Macquarie Energy LLC"/>
    <x v="2"/>
    <s v="Tariff 9"/>
    <m/>
    <m/>
    <m/>
    <n v="1118"/>
    <m/>
    <n v="127001"/>
    <m/>
    <n v="127001"/>
  </r>
  <r>
    <n v="39"/>
    <s v="0-39"/>
    <s v="Mercuria Energy America, LLC "/>
    <x v="2"/>
    <s v="Tariff 9"/>
    <m/>
    <m/>
    <m/>
    <n v="62"/>
    <m/>
    <n v="3191"/>
    <m/>
    <n v="3191"/>
  </r>
  <r>
    <n v="40"/>
    <s v="0-40"/>
    <s v="Mizuho Securities USA Inc. "/>
    <x v="3"/>
    <s v="NA"/>
    <m/>
    <m/>
    <m/>
    <n v="0"/>
    <m/>
    <m/>
    <n v="-14352636"/>
    <n v="-14352636"/>
  </r>
  <r>
    <n v="41"/>
    <s v="0-41"/>
    <s v="Morgan Stanley Capital Group Inc."/>
    <x v="0"/>
    <s v="Tariff 9"/>
    <m/>
    <m/>
    <m/>
    <n v="450735"/>
    <m/>
    <n v="19348251"/>
    <m/>
    <n v="19348251"/>
  </r>
  <r>
    <n v="42"/>
    <s v="0-42"/>
    <s v="Morgan Stanley Capital Group Inc."/>
    <x v="2"/>
    <s v="Tariff 9"/>
    <m/>
    <m/>
    <m/>
    <n v="6177"/>
    <m/>
    <n v="572962"/>
    <m/>
    <n v="572962"/>
  </r>
  <r>
    <n v="43"/>
    <s v="0-43"/>
    <s v="Morgan Stanley Capital Group Inc."/>
    <x v="2"/>
    <s v="Tariff 9"/>
    <m/>
    <m/>
    <m/>
    <n v="391920"/>
    <m/>
    <n v="15812201"/>
    <m/>
    <n v="15812201"/>
  </r>
  <r>
    <n v="44"/>
    <s v="0-44"/>
    <s v="Morgan Stanley Capital Group Inc."/>
    <x v="0"/>
    <s v="Tariff 9"/>
    <m/>
    <m/>
    <m/>
    <m/>
    <n v="275940"/>
    <m/>
    <m/>
    <n v="275940"/>
  </r>
  <r>
    <n v="45"/>
    <s v="0-45"/>
    <s v="Morgan Stanley Capital Group Inc."/>
    <x v="0"/>
    <s v="Tariff 9"/>
    <m/>
    <m/>
    <m/>
    <m/>
    <n v="275940"/>
    <m/>
    <m/>
    <n v="275940"/>
  </r>
  <r>
    <n v="46"/>
    <s v="0-46"/>
    <s v="NaturEner Power Watch, LLC "/>
    <x v="1"/>
    <s v="Tariff 12"/>
    <m/>
    <m/>
    <m/>
    <n v="130"/>
    <m/>
    <n v="3276"/>
    <m/>
    <n v="3276"/>
  </r>
  <r>
    <n v="47"/>
    <s v="0-47"/>
    <s v="Nevada Power Company"/>
    <x v="0"/>
    <s v="Tariff 9"/>
    <m/>
    <m/>
    <m/>
    <n v="894"/>
    <m/>
    <n v="195365"/>
    <m/>
    <n v="195365"/>
  </r>
  <r>
    <n v="48"/>
    <s v="0-48"/>
    <s v="NorthWestern Energy"/>
    <x v="0"/>
    <s v="Tariff 9"/>
    <m/>
    <m/>
    <m/>
    <n v="42446"/>
    <m/>
    <n v="2084045"/>
    <m/>
    <n v="2084045"/>
  </r>
  <r>
    <n v="49"/>
    <s v="0-49"/>
    <s v="NorthWestern Energy"/>
    <x v="2"/>
    <s v="Tariff 9"/>
    <m/>
    <m/>
    <m/>
    <n v="249"/>
    <m/>
    <n v="13063"/>
    <m/>
    <n v="13063"/>
  </r>
  <r>
    <n v="50"/>
    <s v="0-50"/>
    <s v="NorthWestern Energy"/>
    <x v="1"/>
    <s v="Tariff 12"/>
    <m/>
    <m/>
    <m/>
    <n v="40"/>
    <m/>
    <n v="979"/>
    <m/>
    <n v="979"/>
  </r>
  <r>
    <n v="51"/>
    <s v="0-51"/>
    <s v="NorthWestern Energy"/>
    <x v="1"/>
    <s v="Tariff 9"/>
    <m/>
    <m/>
    <m/>
    <n v="6200"/>
    <m/>
    <n v="326069"/>
    <m/>
    <n v="326069"/>
  </r>
  <r>
    <n v="52"/>
    <s v="0-52"/>
    <s v="PacifiCorp"/>
    <x v="0"/>
    <s v="Tariff 9"/>
    <m/>
    <m/>
    <m/>
    <n v="113095"/>
    <m/>
    <n v="5590888"/>
    <m/>
    <n v="5590888"/>
  </r>
  <r>
    <n v="53"/>
    <s v="0-53"/>
    <s v="PacifiCorp"/>
    <x v="1"/>
    <s v="Tariff 12"/>
    <m/>
    <m/>
    <m/>
    <n v="56"/>
    <m/>
    <n v="2619"/>
    <m/>
    <n v="2619"/>
  </r>
  <r>
    <n v="54"/>
    <s v="0-54"/>
    <s v="PacifiCorp"/>
    <x v="1"/>
    <s v="Tariff 9"/>
    <m/>
    <m/>
    <m/>
    <n v="3945"/>
    <m/>
    <n v="207499"/>
    <m/>
    <n v="207499"/>
  </r>
  <r>
    <n v="55"/>
    <s v="0-55"/>
    <s v="Pend Oreille Public Utility District"/>
    <x v="1"/>
    <s v="Tariff 9"/>
    <m/>
    <m/>
    <m/>
    <m/>
    <n v="326049"/>
    <m/>
    <m/>
    <n v="326049"/>
  </r>
  <r>
    <n v="56"/>
    <s v="0-56"/>
    <s v="Pend Oreille Public Utility District"/>
    <x v="1"/>
    <s v="Tariff 9"/>
    <m/>
    <m/>
    <m/>
    <n v="17295"/>
    <m/>
    <n v="787211"/>
    <m/>
    <n v="787211"/>
  </r>
  <r>
    <n v="57"/>
    <s v="0-57"/>
    <s v="Pend Oreille Public Utility District"/>
    <x v="0"/>
    <s v="Tariff 9"/>
    <m/>
    <m/>
    <m/>
    <n v="49852"/>
    <m/>
    <n v="3127903"/>
    <m/>
    <n v="3127903"/>
  </r>
  <r>
    <n v="58"/>
    <s v="0-58"/>
    <s v="Portland General Electric "/>
    <x v="0"/>
    <s v="Tariff 9"/>
    <m/>
    <m/>
    <m/>
    <n v="55830"/>
    <m/>
    <n v="2899725"/>
    <m/>
    <n v="2899725"/>
  </r>
  <r>
    <n v="59"/>
    <s v="0-59"/>
    <s v="Portland General Electric "/>
    <x v="1"/>
    <s v="Tariff 12"/>
    <m/>
    <m/>
    <m/>
    <n v="55"/>
    <m/>
    <n v="2313"/>
    <m/>
    <n v="2313"/>
  </r>
  <r>
    <n v="60"/>
    <s v="0-60"/>
    <s v="Powerex Corporation"/>
    <x v="0"/>
    <s v="Tariff 9"/>
    <m/>
    <m/>
    <m/>
    <n v="95800"/>
    <m/>
    <n v="3060063"/>
    <m/>
    <n v="3060063"/>
  </r>
  <r>
    <n v="61"/>
    <s v="0-61"/>
    <s v="Powerex Corporation"/>
    <x v="2"/>
    <s v="Tariff 9"/>
    <m/>
    <m/>
    <m/>
    <n v="9218"/>
    <m/>
    <n v="708646"/>
    <m/>
    <n v="708646"/>
  </r>
  <r>
    <n v="62"/>
    <s v="0-62"/>
    <s v="Puget Sound Energy"/>
    <x v="1"/>
    <s v="Tariff 9"/>
    <m/>
    <m/>
    <m/>
    <n v="18033"/>
    <m/>
    <n v="948565"/>
    <m/>
    <n v="948565"/>
  </r>
  <r>
    <n v="63"/>
    <s v="0-63"/>
    <s v="Puget Sound Energy"/>
    <x v="0"/>
    <s v="Tariff 9"/>
    <m/>
    <m/>
    <m/>
    <n v="37095"/>
    <m/>
    <n v="1680865"/>
    <m/>
    <n v="1680865"/>
  </r>
  <r>
    <n v="64"/>
    <s v="0-64"/>
    <s v="Puget Sound Energy"/>
    <x v="1"/>
    <s v="Tariff 12"/>
    <m/>
    <m/>
    <m/>
    <n v="8"/>
    <m/>
    <n v="414"/>
    <m/>
    <n v="414"/>
  </r>
  <r>
    <n v="65"/>
    <s v="0-65"/>
    <s v="Rainbow Energy Marketing"/>
    <x v="0"/>
    <s v="Tariff 9"/>
    <m/>
    <m/>
    <m/>
    <n v="1925"/>
    <m/>
    <n v="120794"/>
    <m/>
    <n v="120794"/>
  </r>
  <r>
    <n v="66"/>
    <s v="0-66"/>
    <s v="Rainbow Energy Marketing"/>
    <x v="2"/>
    <s v="Tariff 9"/>
    <m/>
    <m/>
    <m/>
    <n v="175"/>
    <m/>
    <n v="22498"/>
    <m/>
    <n v="22498"/>
  </r>
  <r>
    <n v="67"/>
    <s v="0-67"/>
    <s v="Sacramento Municipal Utility District"/>
    <x v="1"/>
    <s v="Tariff 12"/>
    <m/>
    <m/>
    <m/>
    <n v="10"/>
    <m/>
    <n v="311"/>
    <m/>
    <n v="311"/>
  </r>
  <r>
    <n v="68"/>
    <s v="0-68"/>
    <s v="Seattle City Light"/>
    <x v="0"/>
    <s v="Tariff 9"/>
    <m/>
    <m/>
    <m/>
    <n v="18986"/>
    <m/>
    <n v="644575"/>
    <m/>
    <n v="644575"/>
  </r>
  <r>
    <n v="69"/>
    <s v="0-69"/>
    <s v="Seattle City Light"/>
    <x v="1"/>
    <s v="Tariff 9"/>
    <m/>
    <m/>
    <m/>
    <n v="546"/>
    <m/>
    <n v="29521"/>
    <m/>
    <n v="29521"/>
  </r>
  <r>
    <n v="70"/>
    <s v="0-70"/>
    <s v="Seattle City Light"/>
    <x v="1"/>
    <s v="Tariff 12"/>
    <m/>
    <m/>
    <m/>
    <n v="80"/>
    <m/>
    <n v="7921"/>
    <m/>
    <n v="7921"/>
  </r>
  <r>
    <n v="71"/>
    <s v="0-71"/>
    <s v="Shell Energy N.A."/>
    <x v="0"/>
    <s v="Tariff 9"/>
    <m/>
    <m/>
    <m/>
    <n v="84030"/>
    <m/>
    <n v="3884307"/>
    <m/>
    <n v="3884307"/>
  </r>
  <r>
    <n v="72"/>
    <s v="0-72"/>
    <s v="Snohomish County PUD"/>
    <x v="0"/>
    <s v="Tariff 9"/>
    <m/>
    <m/>
    <m/>
    <n v="21115"/>
    <m/>
    <n v="1098749"/>
    <m/>
    <n v="1098749"/>
  </r>
  <r>
    <n v="73"/>
    <s v="0-73"/>
    <s v="Sovereign Power"/>
    <x v="1"/>
    <s v="Tariff 9"/>
    <m/>
    <m/>
    <m/>
    <m/>
    <n v="135565"/>
    <m/>
    <m/>
    <n v="135565"/>
  </r>
  <r>
    <n v="74"/>
    <s v="0-74"/>
    <s v="Sovereign Power"/>
    <x v="1"/>
    <s v="Tariff 9"/>
    <m/>
    <m/>
    <m/>
    <n v="14763"/>
    <m/>
    <n v="622636"/>
    <m/>
    <n v="622636"/>
  </r>
  <r>
    <n v="75"/>
    <s v="0-75"/>
    <s v="Tacoma Power"/>
    <x v="0"/>
    <s v="Tariff 9"/>
    <m/>
    <m/>
    <m/>
    <n v="6070"/>
    <m/>
    <n v="219885"/>
    <m/>
    <n v="219885"/>
  </r>
  <r>
    <n v="76"/>
    <s v="0-76"/>
    <s v="Tacoma Power"/>
    <x v="1"/>
    <s v="Tariff 9"/>
    <m/>
    <m/>
    <m/>
    <n v="1610"/>
    <m/>
    <n v="92395"/>
    <m/>
    <n v="92395"/>
  </r>
  <r>
    <n v="77"/>
    <s v="0-77"/>
    <s v="Talen Energy Montana, LLC  "/>
    <x v="1"/>
    <s v="Tariff 9"/>
    <m/>
    <m/>
    <m/>
    <n v="14088"/>
    <m/>
    <n v="741066"/>
    <m/>
    <n v="741066"/>
  </r>
  <r>
    <n v="78"/>
    <s v="0-78"/>
    <s v="Tenaska Power Services Co."/>
    <x v="0"/>
    <s v="Tariff 9"/>
    <m/>
    <m/>
    <m/>
    <n v="494"/>
    <m/>
    <n v="14543"/>
    <m/>
    <n v="14543"/>
  </r>
  <r>
    <n v="79"/>
    <s v="0-79"/>
    <s v="The Energy Authority"/>
    <x v="0"/>
    <s v="Tariff 9"/>
    <m/>
    <m/>
    <m/>
    <n v="25664"/>
    <m/>
    <n v="1138780"/>
    <m/>
    <n v="1138780"/>
  </r>
  <r>
    <n v="80"/>
    <s v="0-80"/>
    <s v="The Energy Authority"/>
    <x v="2"/>
    <s v="Tariff 9"/>
    <m/>
    <m/>
    <m/>
    <n v="456"/>
    <m/>
    <n v="31137"/>
    <m/>
    <n v="31137"/>
  </r>
  <r>
    <n v="81"/>
    <s v="0-81"/>
    <s v="TransAlta Energy Marketing "/>
    <x v="0"/>
    <s v="Tariff 9"/>
    <m/>
    <m/>
    <m/>
    <n v="214159"/>
    <m/>
    <n v="11871447"/>
    <m/>
    <n v="11871447"/>
  </r>
  <r>
    <n v="82"/>
    <s v="0-82"/>
    <s v="TransAlta Energy Marketing "/>
    <x v="2"/>
    <s v="Tariff 9"/>
    <m/>
    <m/>
    <m/>
    <n v="25"/>
    <m/>
    <n v="1347"/>
    <m/>
    <n v="1347"/>
  </r>
  <r>
    <n v="83"/>
    <s v="0-83"/>
    <s v="Turlock Irrigation Dist."/>
    <x v="1"/>
    <s v="Tariff 12"/>
    <m/>
    <m/>
    <m/>
    <n v="3"/>
    <m/>
    <n v="0"/>
    <m/>
    <n v="0"/>
  </r>
  <r>
    <n v="84"/>
    <s v="0-84"/>
    <s v="Vitol, Inc."/>
    <x v="0"/>
    <s v="Tariff 9"/>
    <m/>
    <m/>
    <m/>
    <n v="3200"/>
    <m/>
    <n v="102700"/>
    <m/>
    <n v="102700"/>
  </r>
  <r>
    <n v="85"/>
    <s v="0-85"/>
    <s v="Wells Fargo Securities, LLC "/>
    <x v="3"/>
    <s v="NA"/>
    <m/>
    <m/>
    <m/>
    <n v="0"/>
    <m/>
    <m/>
    <n v="-10530004"/>
    <n v="-10530004"/>
  </r>
  <r>
    <n v="86"/>
    <s v="0-86"/>
    <s v="IntraCompany Wheeling"/>
    <x v="1"/>
    <m/>
    <m/>
    <m/>
    <m/>
    <m/>
    <m/>
    <n v="-17311196"/>
    <n v="17311196"/>
    <n v="0"/>
  </r>
  <r>
    <n v="87"/>
    <s v="0-87"/>
    <s v="IntraCompany Generation"/>
    <x v="1"/>
    <m/>
    <m/>
    <m/>
    <m/>
    <m/>
    <m/>
    <m/>
    <n v="1514192"/>
    <n v="1514192"/>
  </r>
  <r>
    <n v="88"/>
    <s v="0-88"/>
    <s v="Powerdex Pricing Accrual"/>
    <x v="0"/>
    <s v="Tariff 9"/>
    <m/>
    <m/>
    <m/>
    <m/>
    <m/>
    <n v="71323"/>
    <m/>
    <n v="71323"/>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n v="1"/>
    <s v="0-1"/>
    <s v="Adams Nielson Solar, LLC"/>
    <x v="0"/>
    <s v="PURPA"/>
    <m/>
    <m/>
    <m/>
    <n v="34809"/>
    <m/>
    <m/>
    <m/>
    <m/>
    <n v="1436915.52"/>
    <m/>
    <n v="1436915.52"/>
  </r>
  <r>
    <n v="2"/>
    <s v="0-2"/>
    <s v="Arizona Public Service Company"/>
    <x v="1"/>
    <s v="Tariff 9"/>
    <m/>
    <m/>
    <m/>
    <n v="8"/>
    <m/>
    <m/>
    <m/>
    <m/>
    <n v="903.16"/>
    <m/>
    <n v="903.16"/>
  </r>
  <r>
    <n v="3"/>
    <s v="0-3"/>
    <s v="Arizona Public Service Company"/>
    <x v="2"/>
    <s v="APS OATT"/>
    <m/>
    <m/>
    <m/>
    <m/>
    <m/>
    <m/>
    <m/>
    <m/>
    <m/>
    <n v="-3896.48"/>
    <n v="-3896.48"/>
  </r>
  <r>
    <n v="4"/>
    <s v="0-4"/>
    <s v="Avangrid Renewables, LLC "/>
    <x v="3"/>
    <s v="Tariff 9"/>
    <m/>
    <m/>
    <m/>
    <n v="37330"/>
    <m/>
    <m/>
    <m/>
    <m/>
    <n v="2694780.98"/>
    <m/>
    <n v="2694780.98"/>
  </r>
  <r>
    <n v="5"/>
    <s v="0-5"/>
    <s v="Avangrid Renewables, LLC "/>
    <x v="1"/>
    <s v="NWPP"/>
    <m/>
    <m/>
    <m/>
    <n v="10"/>
    <m/>
    <m/>
    <m/>
    <m/>
    <n v="1259.67"/>
    <m/>
    <n v="1259.67"/>
  </r>
  <r>
    <n v="6"/>
    <s v="0-6"/>
    <s v="Avangrid Renewables, LLC "/>
    <x v="2"/>
    <s v="Tariff 9"/>
    <m/>
    <m/>
    <m/>
    <m/>
    <m/>
    <m/>
    <m/>
    <m/>
    <m/>
    <n v="5500"/>
    <n v="5500"/>
  </r>
  <r>
    <n v="7"/>
    <s v="0-7"/>
    <s v="BP Energy"/>
    <x v="3"/>
    <s v="Tariff 9"/>
    <m/>
    <m/>
    <m/>
    <n v="400"/>
    <m/>
    <m/>
    <m/>
    <m/>
    <n v="34800"/>
    <m/>
    <n v="34800"/>
  </r>
  <r>
    <n v="8"/>
    <s v="0-8"/>
    <s v="Bonneville Power Administration"/>
    <x v="2"/>
    <s v="BPA OATT"/>
    <m/>
    <m/>
    <m/>
    <m/>
    <m/>
    <m/>
    <m/>
    <m/>
    <m/>
    <n v="150324.17000000001"/>
    <n v="150324.17000000001"/>
  </r>
  <r>
    <n v="9"/>
    <s v="0-9"/>
    <s v="Bonneville Power Administration"/>
    <x v="1"/>
    <s v="Tariff 8"/>
    <m/>
    <m/>
    <m/>
    <n v="354"/>
    <m/>
    <m/>
    <m/>
    <m/>
    <m/>
    <m/>
    <n v="0"/>
  </r>
  <r>
    <n v="10"/>
    <s v="0-10"/>
    <s v="Bonneville Power Administration"/>
    <x v="3"/>
    <s v="Tariff 9"/>
    <m/>
    <m/>
    <m/>
    <n v="58126"/>
    <m/>
    <m/>
    <m/>
    <m/>
    <n v="4486336"/>
    <m/>
    <n v="4486336"/>
  </r>
  <r>
    <n v="11"/>
    <s v="0-11"/>
    <s v="Bonneville Power Administration"/>
    <x v="1"/>
    <s v="NWPP"/>
    <m/>
    <m/>
    <m/>
    <n v="138"/>
    <m/>
    <m/>
    <m/>
    <m/>
    <n v="16816.939999999999"/>
    <m/>
    <n v="16816.939999999999"/>
  </r>
  <r>
    <n v="12"/>
    <s v="0-12"/>
    <s v="Bonneville Power Administration"/>
    <x v="1"/>
    <s v="Tariff 8"/>
    <m/>
    <m/>
    <m/>
    <n v="160"/>
    <m/>
    <m/>
    <m/>
    <m/>
    <n v="6083.44"/>
    <m/>
    <n v="6083.44"/>
  </r>
  <r>
    <n v="13"/>
    <s v="0-13"/>
    <s v="Bonneville Power Administration"/>
    <x v="1"/>
    <s v="Tariff 8"/>
    <m/>
    <m/>
    <m/>
    <n v="14"/>
    <m/>
    <m/>
    <m/>
    <m/>
    <n v="489.18"/>
    <m/>
    <n v="489.18"/>
  </r>
  <r>
    <n v="14"/>
    <s v="0-14"/>
    <s v="Bonneville Power Administration"/>
    <x v="2"/>
    <s v="BPA OATT"/>
    <m/>
    <m/>
    <m/>
    <m/>
    <m/>
    <m/>
    <m/>
    <m/>
    <m/>
    <n v="31933"/>
    <n v="31933"/>
  </r>
  <r>
    <n v="15"/>
    <s v="0-15"/>
    <s v="Bonneville Power Administration"/>
    <x v="4"/>
    <s v="Tariff 9"/>
    <m/>
    <m/>
    <m/>
    <n v="50397"/>
    <m/>
    <m/>
    <m/>
    <m/>
    <m/>
    <m/>
    <n v="0"/>
  </r>
  <r>
    <n v="16"/>
    <s v="0-16"/>
    <s v="Brookfield Energy Marketing LP"/>
    <x v="3"/>
    <s v="Tariff 9"/>
    <m/>
    <m/>
    <m/>
    <n v="7126"/>
    <m/>
    <m/>
    <m/>
    <m/>
    <n v="496680"/>
    <m/>
    <n v="496680"/>
  </r>
  <r>
    <n v="17"/>
    <s v="0-17"/>
    <s v="CP Energy Marketing (US) Inc."/>
    <x v="3"/>
    <s v="Tariff 9"/>
    <m/>
    <m/>
    <m/>
    <n v="2275"/>
    <m/>
    <m/>
    <m/>
    <m/>
    <n v="260975"/>
    <m/>
    <n v="260975"/>
  </r>
  <r>
    <n v="18"/>
    <s v="0-18"/>
    <s v="California Independent System Operator "/>
    <x v="3"/>
    <s v="Tariff 9"/>
    <m/>
    <m/>
    <m/>
    <n v="23054"/>
    <m/>
    <m/>
    <m/>
    <m/>
    <n v="5989071.5999999996"/>
    <m/>
    <n v="5989071.5999999996"/>
  </r>
  <r>
    <n v="19"/>
    <s v="0-19"/>
    <s v="California Independent System Operator "/>
    <x v="4"/>
    <s v="Tariff 9"/>
    <m/>
    <m/>
    <m/>
    <n v="71"/>
    <m/>
    <m/>
    <m/>
    <m/>
    <m/>
    <m/>
    <n v="0"/>
  </r>
  <r>
    <n v="20"/>
    <s v="0-20"/>
    <s v="Calpine Energy Services, LP"/>
    <x v="3"/>
    <s v="Tariff 9"/>
    <m/>
    <m/>
    <m/>
    <n v="6181"/>
    <m/>
    <m/>
    <m/>
    <m/>
    <n v="405350"/>
    <m/>
    <n v="405350"/>
  </r>
  <r>
    <n v="21"/>
    <s v="0-21"/>
    <s v="Chelan County PUD"/>
    <x v="5"/>
    <s v="Rocky Reach"/>
    <m/>
    <m/>
    <m/>
    <n v="24970"/>
    <m/>
    <m/>
    <m/>
    <m/>
    <m/>
    <m/>
    <n v="0"/>
  </r>
  <r>
    <n v="22"/>
    <s v="0-22"/>
    <s v="Chelan County PUD"/>
    <x v="5"/>
    <s v="Rocky Reach"/>
    <m/>
    <m/>
    <m/>
    <n v="-23762"/>
    <m/>
    <m/>
    <m/>
    <m/>
    <m/>
    <m/>
    <n v="0"/>
  </r>
  <r>
    <n v="23"/>
    <s v="0-23"/>
    <s v="Chelan County PUD"/>
    <x v="1"/>
    <s v="NWPP"/>
    <m/>
    <m/>
    <m/>
    <n v="4"/>
    <m/>
    <m/>
    <m/>
    <m/>
    <n v="527.71"/>
    <m/>
    <n v="527.71"/>
  </r>
  <r>
    <n v="24"/>
    <s v="0-24"/>
    <s v="Chelan County PUD"/>
    <x v="5"/>
    <s v="Chelan Sys"/>
    <m/>
    <m/>
    <m/>
    <n v="449781"/>
    <m/>
    <m/>
    <m/>
    <n v="14871999.960000001"/>
    <m/>
    <m/>
    <n v="14871999.960000001"/>
  </r>
  <r>
    <n v="25"/>
    <s v="0-25"/>
    <s v="City of Spokane"/>
    <x v="5"/>
    <s v="PURPA"/>
    <m/>
    <m/>
    <m/>
    <n v="49110"/>
    <m/>
    <m/>
    <m/>
    <m/>
    <n v="1846837.44"/>
    <m/>
    <n v="1846837.44"/>
  </r>
  <r>
    <n v="26"/>
    <s v="0-26"/>
    <s v="City of Spokane"/>
    <x v="5"/>
    <s v="PURPA"/>
    <m/>
    <m/>
    <m/>
    <n v="106268"/>
    <m/>
    <m/>
    <m/>
    <m/>
    <n v="5037169.24"/>
    <m/>
    <n v="5037169.24"/>
  </r>
  <r>
    <n v="27"/>
    <s v="0-27"/>
    <s v="Clark Fork Hydro"/>
    <x v="0"/>
    <s v="PURPA"/>
    <m/>
    <m/>
    <m/>
    <n v="1219"/>
    <m/>
    <m/>
    <m/>
    <m/>
    <n v="71760.679999999993"/>
    <m/>
    <n v="71760.679999999993"/>
  </r>
  <r>
    <n v="28"/>
    <s v="0-28"/>
    <s v="Clatskanie PUD"/>
    <x v="3"/>
    <s v="Tariff 9"/>
    <m/>
    <m/>
    <m/>
    <n v="585"/>
    <m/>
    <m/>
    <m/>
    <m/>
    <n v="24159"/>
    <m/>
    <n v="24159"/>
  </r>
  <r>
    <n v="29"/>
    <s v="0-29"/>
    <s v="Clearwater Paper Company"/>
    <x v="5"/>
    <s v="PURPA"/>
    <m/>
    <m/>
    <m/>
    <n v="433088"/>
    <m/>
    <m/>
    <m/>
    <m/>
    <n v="10610656"/>
    <m/>
    <n v="10610656"/>
  </r>
  <r>
    <n v="30"/>
    <s v="0-30"/>
    <s v="Clearwater Power Company"/>
    <x v="6"/>
    <s v="NA"/>
    <m/>
    <m/>
    <m/>
    <n v="49"/>
    <m/>
    <m/>
    <m/>
    <m/>
    <n v="3381.69"/>
    <m/>
    <n v="3381.69"/>
  </r>
  <r>
    <n v="31"/>
    <s v="0-31"/>
    <s v="Community Solar"/>
    <x v="0"/>
    <s v="PURPA"/>
    <m/>
    <m/>
    <m/>
    <n v="496"/>
    <m/>
    <m/>
    <m/>
    <m/>
    <m/>
    <m/>
    <n v="0"/>
  </r>
  <r>
    <n v="32"/>
    <s v="0-32"/>
    <s v="Columbia Basin Hydropower"/>
    <x v="3"/>
    <s v="PURPA"/>
    <m/>
    <m/>
    <m/>
    <n v="777"/>
    <m/>
    <m/>
    <m/>
    <m/>
    <n v="45066"/>
    <m/>
    <n v="45066"/>
  </r>
  <r>
    <n v="33"/>
    <s v="0-33"/>
    <s v="ConocoPhillips Company"/>
    <x v="3"/>
    <s v="Tariff 9"/>
    <m/>
    <m/>
    <m/>
    <n v="7928"/>
    <m/>
    <m/>
    <m/>
    <m/>
    <n v="509180"/>
    <m/>
    <n v="509180"/>
  </r>
  <r>
    <n v="34"/>
    <s v="0-34"/>
    <s v="Constellation Energy Generation, LLC"/>
    <x v="3"/>
    <s v="Tariff 9"/>
    <m/>
    <m/>
    <m/>
    <n v="6801"/>
    <m/>
    <m/>
    <m/>
    <m/>
    <n v="386085"/>
    <m/>
    <n v="386085"/>
  </r>
  <r>
    <n v="35"/>
    <s v="0-35"/>
    <s v="Deep Creek Energy, LLC"/>
    <x v="5"/>
    <s v="PURPA"/>
    <m/>
    <m/>
    <m/>
    <n v="219"/>
    <m/>
    <m/>
    <m/>
    <m/>
    <n v="10011.31"/>
    <m/>
    <n v="10011.31"/>
  </r>
  <r>
    <n v="36"/>
    <s v="0-36"/>
    <s v="Douglas County PUD No. 1"/>
    <x v="0"/>
    <s v="Wells"/>
    <m/>
    <m/>
    <m/>
    <n v="510299"/>
    <m/>
    <m/>
    <m/>
    <n v="3781195.63"/>
    <m/>
    <m/>
    <n v="3781195.63"/>
  </r>
  <r>
    <n v="37"/>
    <s v="0-37"/>
    <s v="Douglas County PUD No. 1"/>
    <x v="1"/>
    <s v="NWPP"/>
    <m/>
    <m/>
    <m/>
    <n v="1"/>
    <m/>
    <m/>
    <m/>
    <m/>
    <n v="59.68"/>
    <m/>
    <n v="59.68"/>
  </r>
  <r>
    <n v="38"/>
    <s v="0-38"/>
    <s v="Douglas County PUD No. 1"/>
    <x v="2"/>
    <s v="Wells"/>
    <m/>
    <m/>
    <m/>
    <m/>
    <m/>
    <m/>
    <m/>
    <m/>
    <m/>
    <n v="2413036.77"/>
    <n v="2413036.77"/>
  </r>
  <r>
    <n v="39"/>
    <s v="0-39"/>
    <s v="Douglas County PUD No. 1"/>
    <x v="7"/>
    <s v="Tariff 9"/>
    <m/>
    <m/>
    <m/>
    <m/>
    <m/>
    <m/>
    <n v="411720"/>
    <m/>
    <m/>
    <m/>
    <n v="0"/>
  </r>
  <r>
    <n v="40"/>
    <s v="0-40"/>
    <s v="Dynasty Power, Inc."/>
    <x v="3"/>
    <s v="Tariff 9"/>
    <m/>
    <m/>
    <m/>
    <n v="10963"/>
    <m/>
    <m/>
    <m/>
    <m/>
    <n v="1587818"/>
    <m/>
    <n v="1587818"/>
  </r>
  <r>
    <n v="41"/>
    <s v="0-41"/>
    <s v="EDF Trading No America"/>
    <x v="3"/>
    <s v="Tariff 9"/>
    <m/>
    <m/>
    <m/>
    <n v="2543"/>
    <m/>
    <m/>
    <m/>
    <m/>
    <n v="311677"/>
    <m/>
    <n v="311677"/>
  </r>
  <r>
    <n v="42"/>
    <s v="0-42"/>
    <s v="Enel X North America, Inc."/>
    <x v="0"/>
    <s v="PURPA"/>
    <m/>
    <m/>
    <m/>
    <n v="10"/>
    <m/>
    <m/>
    <m/>
    <m/>
    <m/>
    <m/>
    <n v="0"/>
  </r>
  <r>
    <n v="43"/>
    <s v="0-43"/>
    <s v="Energy Keepers, Inc."/>
    <x v="3"/>
    <s v="Tariff 9"/>
    <m/>
    <m/>
    <m/>
    <n v="6703"/>
    <m/>
    <m/>
    <m/>
    <m/>
    <n v="759797.6"/>
    <m/>
    <n v="759797.6"/>
  </r>
  <r>
    <n v="44"/>
    <s v="0-44"/>
    <s v="Eugene Water &amp; Electric Board"/>
    <x v="3"/>
    <s v="Tariff 9"/>
    <m/>
    <m/>
    <m/>
    <n v="1315"/>
    <m/>
    <m/>
    <m/>
    <m/>
    <n v="86488"/>
    <m/>
    <n v="86488"/>
  </r>
  <r>
    <n v="45"/>
    <s v="0-45"/>
    <s v="Ford Hydro Limited Partnership"/>
    <x v="0"/>
    <s v="PURPA"/>
    <m/>
    <m/>
    <m/>
    <n v="2103"/>
    <m/>
    <m/>
    <m/>
    <m/>
    <n v="128460.3"/>
    <m/>
    <n v="128460.3"/>
  </r>
  <r>
    <n v="46"/>
    <s v="0-46"/>
    <s v="Grant County PUD No. 2"/>
    <x v="0"/>
    <s v="Priest Rapids"/>
    <m/>
    <m/>
    <m/>
    <n v="354699"/>
    <m/>
    <m/>
    <m/>
    <n v="17203940.640000001"/>
    <m/>
    <m/>
    <n v="17203940.640000001"/>
  </r>
  <r>
    <n v="47"/>
    <s v="0-47"/>
    <s v="Grant County PUD No. 2"/>
    <x v="1"/>
    <s v="NWPP"/>
    <m/>
    <m/>
    <m/>
    <n v="10"/>
    <m/>
    <m/>
    <m/>
    <m/>
    <n v="1345.7"/>
    <m/>
    <n v="1345.7"/>
  </r>
  <r>
    <n v="48"/>
    <s v="0-48"/>
    <s v="Grant County PUD No. 2"/>
    <x v="7"/>
    <s v="FERC #104"/>
    <m/>
    <m/>
    <m/>
    <m/>
    <m/>
    <m/>
    <m/>
    <m/>
    <m/>
    <n v="-36518.049999999974"/>
    <n v="-36518.049999999974"/>
  </r>
  <r>
    <n v="49"/>
    <s v="0-49"/>
    <s v="Great Northern Spokane, LLC"/>
    <x v="0"/>
    <s v="PURPA"/>
    <m/>
    <m/>
    <m/>
    <n v="99"/>
    <m/>
    <m/>
    <m/>
    <m/>
    <m/>
    <m/>
    <n v="0"/>
  </r>
  <r>
    <n v="50"/>
    <s v="0-50"/>
    <s v="Gridforce Energy Management, LLC"/>
    <x v="1"/>
    <s v="NWPP"/>
    <m/>
    <m/>
    <m/>
    <n v="9"/>
    <m/>
    <m/>
    <m/>
    <m/>
    <n v="1298.49"/>
    <m/>
    <n v="1298.49"/>
  </r>
  <r>
    <n v="51"/>
    <s v="0-51"/>
    <s v="Guzman Energy, LLC"/>
    <x v="3"/>
    <s v="Tariff 9"/>
    <m/>
    <m/>
    <m/>
    <n v="1607"/>
    <m/>
    <m/>
    <m/>
    <m/>
    <n v="83849"/>
    <m/>
    <n v="83849"/>
  </r>
  <r>
    <n v="52"/>
    <s v="0-52"/>
    <s v="Heartland Generation Ltd."/>
    <x v="3"/>
    <s v="Tariff 9"/>
    <m/>
    <m/>
    <m/>
    <n v="175"/>
    <m/>
    <m/>
    <m/>
    <m/>
    <n v="29450"/>
    <m/>
    <n v="29450"/>
  </r>
  <r>
    <n v="53"/>
    <s v="0-53"/>
    <s v="Hydro Technology Systems"/>
    <x v="5"/>
    <s v="PURPA"/>
    <m/>
    <m/>
    <m/>
    <n v="8239"/>
    <m/>
    <m/>
    <m/>
    <m/>
    <n v="359882.43"/>
    <m/>
    <n v="359882.43"/>
  </r>
  <r>
    <n v="54"/>
    <s v="0-54"/>
    <s v="Idaho County Power &amp; Light"/>
    <x v="0"/>
    <s v="PURPA"/>
    <m/>
    <m/>
    <m/>
    <n v="1976"/>
    <m/>
    <m/>
    <m/>
    <m/>
    <n v="86064.01"/>
    <m/>
    <n v="86064.01"/>
  </r>
  <r>
    <n v="55"/>
    <s v="0-55"/>
    <s v="Idaho Power Company"/>
    <x v="2"/>
    <s v="Idaho Power Co OATT"/>
    <m/>
    <m/>
    <m/>
    <m/>
    <m/>
    <m/>
    <m/>
    <m/>
    <m/>
    <n v="1839.76"/>
    <n v="1839.76"/>
  </r>
  <r>
    <n v="56"/>
    <s v="0-56"/>
    <s v="Idaho Power Company"/>
    <x v="3"/>
    <s v="Tariff 9"/>
    <m/>
    <m/>
    <m/>
    <n v="3961"/>
    <m/>
    <m/>
    <m/>
    <m/>
    <n v="607595"/>
    <m/>
    <n v="607595"/>
  </r>
  <r>
    <n v="57"/>
    <s v="0-57"/>
    <s v="Idaho Power Company"/>
    <x v="1"/>
    <s v="Tariff 9"/>
    <m/>
    <m/>
    <m/>
    <n v="113"/>
    <m/>
    <m/>
    <m/>
    <m/>
    <n v="6431.49"/>
    <m/>
    <n v="6431.49"/>
  </r>
  <r>
    <n v="58"/>
    <s v="0-58"/>
    <s v="Idaho Power Company Balancing"/>
    <x v="4"/>
    <s v="Tariff 9"/>
    <m/>
    <m/>
    <m/>
    <n v="7893"/>
    <m/>
    <m/>
    <m/>
    <m/>
    <m/>
    <m/>
    <n v="0"/>
  </r>
  <r>
    <n v="59"/>
    <s v="0-59"/>
    <s v="Idaho Power Company Balancing"/>
    <x v="4"/>
    <s v="Tariff 9"/>
    <m/>
    <m/>
    <m/>
    <n v="194344"/>
    <m/>
    <m/>
    <m/>
    <m/>
    <m/>
    <m/>
    <n v="0"/>
  </r>
  <r>
    <n v="60"/>
    <s v="0-60"/>
    <s v="Inland Power &amp; Light Company"/>
    <x v="6"/>
    <n v="208"/>
    <m/>
    <m/>
    <m/>
    <n v="179"/>
    <m/>
    <m/>
    <m/>
    <m/>
    <n v="13054.2"/>
    <m/>
    <n v="13054.2"/>
  </r>
  <r>
    <n v="61"/>
    <s v="0-61"/>
    <s v="J. Aron &amp; Company, LLC"/>
    <x v="3"/>
    <s v="Tariff 9"/>
    <m/>
    <m/>
    <m/>
    <n v="122513"/>
    <m/>
    <m/>
    <m/>
    <m/>
    <n v="11670781.09"/>
    <m/>
    <n v="11670781.09"/>
  </r>
  <r>
    <n v="62"/>
    <s v="0-62"/>
    <s v="Kootenai Electric Cooperative"/>
    <x v="1"/>
    <s v="Tariff 8"/>
    <m/>
    <m/>
    <m/>
    <n v="228"/>
    <m/>
    <m/>
    <m/>
    <m/>
    <n v="8368.0400000000009"/>
    <m/>
    <n v="8368.0400000000009"/>
  </r>
  <r>
    <n v="63"/>
    <s v="0-63"/>
    <s v="Macquarie Energy, LLC"/>
    <x v="3"/>
    <s v="Tariff 9"/>
    <m/>
    <m/>
    <m/>
    <n v="15476"/>
    <m/>
    <m/>
    <m/>
    <m/>
    <n v="2180048"/>
    <m/>
    <n v="2180048"/>
  </r>
  <r>
    <n v="64"/>
    <s v="0-64"/>
    <s v="Mercuria Energy America, LLC"/>
    <x v="3"/>
    <s v="Tariff 9"/>
    <m/>
    <m/>
    <m/>
    <n v="1049"/>
    <m/>
    <m/>
    <m/>
    <m/>
    <n v="169905"/>
    <m/>
    <n v="169905"/>
  </r>
  <r>
    <n v="65"/>
    <s v="0-65"/>
    <s v="Mizuho Securities USA, Inc."/>
    <x v="2"/>
    <s v="NA"/>
    <m/>
    <m/>
    <m/>
    <m/>
    <m/>
    <m/>
    <m/>
    <m/>
    <m/>
    <n v="84"/>
    <n v="84"/>
  </r>
  <r>
    <n v="66"/>
    <s v="0-66"/>
    <s v="Morgan Stanley Capital Group"/>
    <x v="3"/>
    <s v="Tariff 9"/>
    <m/>
    <m/>
    <m/>
    <n v="35902"/>
    <m/>
    <m/>
    <m/>
    <m/>
    <n v="2013758.36"/>
    <m/>
    <n v="2013758.36"/>
  </r>
  <r>
    <n v="67"/>
    <s v="0-67"/>
    <s v="Nevada Power Company"/>
    <x v="3"/>
    <s v="Tariff 9"/>
    <m/>
    <m/>
    <m/>
    <n v="1605"/>
    <m/>
    <m/>
    <m/>
    <m/>
    <n v="46325"/>
    <m/>
    <n v="46325"/>
  </r>
  <r>
    <n v="68"/>
    <s v="0-68"/>
    <s v="Nevada Power Company"/>
    <x v="2"/>
    <s v="NV Energy OATT"/>
    <m/>
    <m/>
    <m/>
    <m/>
    <m/>
    <m/>
    <m/>
    <m/>
    <m/>
    <n v="-627.38"/>
    <n v="-627.38"/>
  </r>
  <r>
    <n v="69"/>
    <s v="0-69"/>
    <s v="Nevada Power Company"/>
    <x v="1"/>
    <s v="Tariff 9"/>
    <m/>
    <m/>
    <m/>
    <n v="48"/>
    <m/>
    <m/>
    <m/>
    <m/>
    <n v="3511.86"/>
    <m/>
    <n v="3511.86"/>
  </r>
  <r>
    <n v="70"/>
    <s v="0-70"/>
    <s v="NextEra Energy Power Marketing, LLC"/>
    <x v="3"/>
    <s v="Tariff 9"/>
    <m/>
    <m/>
    <m/>
    <n v="1000"/>
    <m/>
    <m/>
    <m/>
    <m/>
    <n v="39150"/>
    <m/>
    <n v="39150"/>
  </r>
  <r>
    <n v="71"/>
    <s v="0-71"/>
    <s v="NorthWestern Energy"/>
    <x v="3"/>
    <s v="Tariff 9"/>
    <m/>
    <m/>
    <m/>
    <n v="28813"/>
    <m/>
    <m/>
    <m/>
    <m/>
    <n v="1441815"/>
    <m/>
    <n v="1441815"/>
  </r>
  <r>
    <n v="72"/>
    <s v="0-72"/>
    <s v="NorthWestern Energy"/>
    <x v="1"/>
    <s v="NWPP"/>
    <m/>
    <m/>
    <m/>
    <n v="23"/>
    <m/>
    <m/>
    <m/>
    <m/>
    <n v="3056.84"/>
    <m/>
    <n v="3056.84"/>
  </r>
  <r>
    <n v="73"/>
    <s v="0-73"/>
    <s v="NorthWestern Energy"/>
    <x v="4"/>
    <s v="Tariff 9"/>
    <m/>
    <m/>
    <m/>
    <n v="3649"/>
    <m/>
    <m/>
    <m/>
    <m/>
    <n v="256537.12"/>
    <m/>
    <n v="256537.12"/>
  </r>
  <r>
    <n v="74"/>
    <s v="0-74"/>
    <s v="NorthWestern Energy"/>
    <x v="4"/>
    <s v="Tariff 9"/>
    <m/>
    <m/>
    <m/>
    <n v="270834"/>
    <m/>
    <m/>
    <m/>
    <m/>
    <m/>
    <m/>
    <n v="0"/>
  </r>
  <r>
    <n v="75"/>
    <s v="0-75"/>
    <s v="NorthWestern Energy"/>
    <x v="2"/>
    <s v="NorthWestern Energy OATT"/>
    <m/>
    <m/>
    <m/>
    <m/>
    <m/>
    <m/>
    <m/>
    <m/>
    <m/>
    <n v="120687.01"/>
    <n v="120687.01"/>
  </r>
  <r>
    <n v="76"/>
    <s v="0-76"/>
    <s v="PacifiCorp"/>
    <x v="3"/>
    <s v="Tariff 9"/>
    <m/>
    <m/>
    <m/>
    <n v="7225"/>
    <m/>
    <m/>
    <m/>
    <m/>
    <n v="593171"/>
    <m/>
    <n v="593171"/>
  </r>
  <r>
    <n v="77"/>
    <s v="0-77"/>
    <s v="PacifiCorp"/>
    <x v="4"/>
    <s v="Tariff 9"/>
    <m/>
    <m/>
    <m/>
    <n v="69886"/>
    <m/>
    <m/>
    <m/>
    <m/>
    <m/>
    <m/>
    <n v="0"/>
  </r>
  <r>
    <n v="78"/>
    <s v="0-78"/>
    <s v="PacifiCorp"/>
    <x v="1"/>
    <s v="NWPP"/>
    <m/>
    <m/>
    <m/>
    <n v="37"/>
    <m/>
    <m/>
    <m/>
    <m/>
    <n v="4697.0600000000004"/>
    <m/>
    <n v="4697.0600000000004"/>
  </r>
  <r>
    <n v="79"/>
    <s v="0-79"/>
    <s v="PacifiCorp"/>
    <x v="1"/>
    <s v="Tariff 9"/>
    <m/>
    <m/>
    <m/>
    <n v="61"/>
    <m/>
    <m/>
    <m/>
    <m/>
    <n v="3317.9"/>
    <m/>
    <n v="3317.9"/>
  </r>
  <r>
    <n v="80"/>
    <s v="0-80"/>
    <s v="PacifiCorp"/>
    <x v="2"/>
    <s v="PacifiCorp OATT"/>
    <m/>
    <m/>
    <m/>
    <m/>
    <m/>
    <m/>
    <m/>
    <m/>
    <m/>
    <n v="-667.33"/>
    <n v="-667.33"/>
  </r>
  <r>
    <n v="81"/>
    <s v="0-81"/>
    <s v="Palouse Wind, LLC"/>
    <x v="0"/>
    <s v="PPA"/>
    <m/>
    <m/>
    <m/>
    <n v="315410"/>
    <m/>
    <m/>
    <m/>
    <m/>
    <n v="20542653.300000001"/>
    <m/>
    <n v="20542653.300000001"/>
  </r>
  <r>
    <n v="82"/>
    <s v="0-82"/>
    <s v="Pend Oreille County PUD No. 1"/>
    <x v="3"/>
    <s v="Pend O'"/>
    <m/>
    <m/>
    <m/>
    <n v="28190"/>
    <m/>
    <m/>
    <m/>
    <m/>
    <n v="1859108.72"/>
    <m/>
    <n v="1859108.72"/>
  </r>
  <r>
    <n v="83"/>
    <s v="0-83"/>
    <s v="Pend Oreille County PUD No. 1"/>
    <x v="1"/>
    <s v="Pend O'"/>
    <m/>
    <m/>
    <m/>
    <n v="8910"/>
    <m/>
    <m/>
    <m/>
    <m/>
    <n v="674592.44"/>
    <m/>
    <n v="674592.44"/>
  </r>
  <r>
    <n v="84"/>
    <s v="0-84"/>
    <s v="Pend Oreille County PUD No. 1"/>
    <x v="1"/>
    <s v="Pend O'"/>
    <m/>
    <m/>
    <m/>
    <n v="657"/>
    <m/>
    <m/>
    <m/>
    <m/>
    <n v="22481.03"/>
    <m/>
    <n v="22481.03"/>
  </r>
  <r>
    <n v="85"/>
    <s v="0-85"/>
    <s v="Portland General Electric Company"/>
    <x v="7"/>
    <s v="Tariff 9"/>
    <m/>
    <m/>
    <m/>
    <m/>
    <m/>
    <n v="10770"/>
    <n v="10774"/>
    <m/>
    <m/>
    <m/>
    <n v="0"/>
  </r>
  <r>
    <n v="86"/>
    <s v="0-86"/>
    <s v="Portland General Electric Company"/>
    <x v="3"/>
    <s v="Tariff 9"/>
    <m/>
    <m/>
    <m/>
    <n v="14150"/>
    <m/>
    <m/>
    <m/>
    <m/>
    <n v="1254175"/>
    <m/>
    <n v="1254175"/>
  </r>
  <r>
    <n v="87"/>
    <s v="0-87"/>
    <s v="Portland General Electric Company"/>
    <x v="1"/>
    <s v="NWPP"/>
    <m/>
    <m/>
    <m/>
    <n v="41"/>
    <m/>
    <m/>
    <m/>
    <m/>
    <n v="5330.15"/>
    <m/>
    <n v="5330.15"/>
  </r>
  <r>
    <n v="88"/>
    <s v="0-88"/>
    <s v="Portland General Electric Company"/>
    <x v="1"/>
    <s v="Tariff 9"/>
    <m/>
    <m/>
    <m/>
    <n v="6504"/>
    <m/>
    <m/>
    <m/>
    <m/>
    <n v="312061.88"/>
    <m/>
    <n v="312061.88"/>
  </r>
  <r>
    <n v="89"/>
    <s v="0-89"/>
    <s v="Powerex Corp"/>
    <x v="3"/>
    <s v="Tariff 9"/>
    <m/>
    <m/>
    <m/>
    <n v="38090"/>
    <m/>
    <m/>
    <m/>
    <m/>
    <n v="4478987.04"/>
    <m/>
    <n v="4478987.04"/>
  </r>
  <r>
    <n v="90"/>
    <s v="0-90"/>
    <s v="Puget Sound Energy"/>
    <x v="3"/>
    <s v="Tariff 9"/>
    <m/>
    <m/>
    <m/>
    <n v="37005"/>
    <m/>
    <m/>
    <m/>
    <m/>
    <n v="3677100"/>
    <m/>
    <n v="3677100"/>
  </r>
  <r>
    <n v="91"/>
    <s v="0-91"/>
    <s v="Puget Sound Energy"/>
    <x v="1"/>
    <s v="NWPP"/>
    <m/>
    <m/>
    <m/>
    <n v="41"/>
    <m/>
    <m/>
    <m/>
    <m/>
    <n v="5317.07"/>
    <m/>
    <n v="5317.07"/>
  </r>
  <r>
    <n v="92"/>
    <s v="0-92"/>
    <s v="Puget Sound Energy"/>
    <x v="1"/>
    <s v="Tariff 9"/>
    <m/>
    <m/>
    <m/>
    <n v="19"/>
    <m/>
    <m/>
    <m/>
    <m/>
    <n v="882"/>
    <m/>
    <n v="882"/>
  </r>
  <r>
    <n v="93"/>
    <s v="0-93"/>
    <s v="Rainbow Energy Marketing Co."/>
    <x v="3"/>
    <s v="Tariff 9"/>
    <m/>
    <m/>
    <m/>
    <n v="1298"/>
    <m/>
    <m/>
    <m/>
    <m/>
    <n v="88890"/>
    <m/>
    <n v="88890"/>
  </r>
  <r>
    <n v="94"/>
    <s v="0-94"/>
    <s v="Rathdrum Power, LLC"/>
    <x v="0"/>
    <s v="Lancaster"/>
    <m/>
    <m/>
    <m/>
    <n v="1652620"/>
    <m/>
    <m/>
    <m/>
    <m/>
    <n v="29121131.82"/>
    <m/>
    <n v="29121131.82"/>
  </r>
  <r>
    <n v="95"/>
    <s v="0-95"/>
    <s v="Rattlesnake Flat, LLC"/>
    <x v="0"/>
    <s v="PPA"/>
    <m/>
    <m/>
    <m/>
    <n v="363533"/>
    <m/>
    <m/>
    <m/>
    <m/>
    <n v="11148053.119999999"/>
    <m/>
    <n v="11148053.119999999"/>
  </r>
  <r>
    <n v="96"/>
    <s v="0-96"/>
    <s v="Seattle City Light"/>
    <x v="3"/>
    <s v="Tariff 9"/>
    <m/>
    <m/>
    <m/>
    <n v="4805"/>
    <m/>
    <m/>
    <m/>
    <m/>
    <n v="424910"/>
    <m/>
    <n v="424910"/>
  </r>
  <r>
    <n v="97"/>
    <s v="0-97"/>
    <s v="Seattle City Light"/>
    <x v="1"/>
    <s v="NWPP"/>
    <m/>
    <m/>
    <m/>
    <n v="17"/>
    <m/>
    <m/>
    <m/>
    <m/>
    <n v="1777.15"/>
    <m/>
    <n v="1777.15"/>
  </r>
  <r>
    <n v="98"/>
    <s v="0-98"/>
    <s v="Sheep Creek Hydro"/>
    <x v="5"/>
    <s v="PURPA"/>
    <m/>
    <m/>
    <m/>
    <n v="8884"/>
    <m/>
    <m/>
    <m/>
    <m/>
    <n v="325971.96000000002"/>
    <m/>
    <n v="325971.96000000002"/>
  </r>
  <r>
    <n v="99"/>
    <s v="0-99"/>
    <s v="Shell Energy"/>
    <x v="3"/>
    <s v="Tariff 9"/>
    <m/>
    <m/>
    <m/>
    <n v="14931"/>
    <m/>
    <m/>
    <m/>
    <m/>
    <n v="914809"/>
    <m/>
    <n v="914809"/>
  </r>
  <r>
    <n v="100"/>
    <s v="0-100"/>
    <s v="Snohomish County PUD No. 1"/>
    <x v="3"/>
    <s v="Tariff 9"/>
    <m/>
    <m/>
    <m/>
    <n v="5370"/>
    <m/>
    <m/>
    <m/>
    <m/>
    <n v="204855"/>
    <m/>
    <n v="204855"/>
  </r>
  <r>
    <n v="101"/>
    <s v="0-101"/>
    <s v="Sovereign Power"/>
    <x v="1"/>
    <s v="Sovereign"/>
    <m/>
    <m/>
    <m/>
    <n v="8103"/>
    <m/>
    <m/>
    <m/>
    <m/>
    <n v="503898.75"/>
    <m/>
    <n v="503898.75"/>
  </r>
  <r>
    <n v="102"/>
    <s v="0-102"/>
    <s v="Stimson Lumber"/>
    <x v="5"/>
    <s v="PURPA"/>
    <m/>
    <m/>
    <m/>
    <n v="13858"/>
    <m/>
    <m/>
    <m/>
    <m/>
    <n v="611355.62"/>
    <m/>
    <n v="611355.62"/>
  </r>
  <r>
    <n v="103"/>
    <s v="0-103"/>
    <s v="Tacoma Power"/>
    <x v="3"/>
    <s v="Tariff 9"/>
    <m/>
    <m/>
    <m/>
    <n v="14173"/>
    <m/>
    <m/>
    <m/>
    <m/>
    <n v="5207350"/>
    <m/>
    <n v="5207350"/>
  </r>
  <r>
    <n v="104"/>
    <s v="0-104"/>
    <s v="Tacoma Power"/>
    <x v="1"/>
    <s v="NWPP"/>
    <m/>
    <m/>
    <m/>
    <n v="7"/>
    <m/>
    <m/>
    <m/>
    <m/>
    <n v="778.57"/>
    <m/>
    <n v="778.57"/>
  </r>
  <r>
    <n v="105"/>
    <s v="0-105"/>
    <s v="Tacoma Power"/>
    <x v="4"/>
    <s v="Tariff 9"/>
    <m/>
    <m/>
    <m/>
    <n v="2505"/>
    <m/>
    <m/>
    <m/>
    <m/>
    <m/>
    <m/>
    <n v="0"/>
  </r>
  <r>
    <n v="106"/>
    <s v="0-106"/>
    <s v="Tenaska Power Services Co"/>
    <x v="3"/>
    <s v="Tariff 9"/>
    <m/>
    <m/>
    <m/>
    <n v="110"/>
    <m/>
    <m/>
    <m/>
    <m/>
    <n v="3740"/>
    <m/>
    <n v="3740"/>
  </r>
  <r>
    <n v="107"/>
    <s v="0-107"/>
    <s v="The City of Cove"/>
    <x v="0"/>
    <s v="PURPA"/>
    <m/>
    <m/>
    <m/>
    <n v="2682"/>
    <m/>
    <m/>
    <m/>
    <m/>
    <n v="117711.5"/>
    <m/>
    <n v="117711.5"/>
  </r>
  <r>
    <n v="108"/>
    <s v="0-108"/>
    <s v="The Energy Authority"/>
    <x v="3"/>
    <s v="Tariff 9"/>
    <m/>
    <m/>
    <m/>
    <n v="13948"/>
    <m/>
    <m/>
    <m/>
    <m/>
    <n v="869653.25"/>
    <m/>
    <n v="869653.25"/>
  </r>
  <r>
    <n v="109"/>
    <s v="0-109"/>
    <s v="TransAlta Energy Marketing"/>
    <x v="3"/>
    <s v="Tariff 9"/>
    <m/>
    <m/>
    <m/>
    <n v="44446"/>
    <m/>
    <m/>
    <m/>
    <m/>
    <n v="3061418"/>
    <m/>
    <n v="3061418"/>
  </r>
  <r>
    <n v="110"/>
    <s v="0-110"/>
    <s v="Turlock Irrigation District"/>
    <x v="3"/>
    <s v="Tariff 9"/>
    <m/>
    <m/>
    <m/>
    <n v="1670"/>
    <m/>
    <m/>
    <m/>
    <m/>
    <n v="53694"/>
    <m/>
    <n v="53694"/>
  </r>
  <r>
    <n v="111"/>
    <s v="0-111"/>
    <s v="Vitol Inc."/>
    <x v="3"/>
    <s v="Tariff 9"/>
    <m/>
    <m/>
    <m/>
    <n v="3273"/>
    <m/>
    <m/>
    <m/>
    <m/>
    <n v="551750"/>
    <m/>
    <n v="551750"/>
  </r>
  <r>
    <n v="112"/>
    <s v="0-112"/>
    <s v="Wells Fargo Securities, LLC"/>
    <x v="2"/>
    <s v="NA"/>
    <m/>
    <m/>
    <m/>
    <m/>
    <m/>
    <m/>
    <m/>
    <m/>
    <m/>
    <n v="252656"/>
    <n v="252656"/>
  </r>
  <r>
    <n v="113"/>
    <s v="0-113"/>
    <s v="IntraCompany Generation Services"/>
    <x v="2"/>
    <s v="OATT"/>
    <m/>
    <m/>
    <m/>
    <m/>
    <m/>
    <m/>
    <m/>
    <m/>
    <m/>
    <n v="1202879.74"/>
    <n v="1202879.74"/>
  </r>
  <r>
    <n v="114"/>
    <s v="0-114"/>
    <s v="Other - Inadvertent Interchange"/>
    <x v="7"/>
    <m/>
    <m/>
    <m/>
    <m/>
    <m/>
    <m/>
    <m/>
    <n v="910"/>
    <m/>
    <m/>
    <m/>
    <n v="0"/>
  </r>
  <r>
    <n v="115"/>
    <s v="0-115"/>
    <s v="Powerdex Pricing Accrual"/>
    <x v="3"/>
    <s v="Tariff 9"/>
    <m/>
    <m/>
    <m/>
    <m/>
    <m/>
    <m/>
    <m/>
    <m/>
    <n v="-2835"/>
    <m/>
    <n v="-2835"/>
  </r>
  <r>
    <n v="116"/>
    <s v="0-116"/>
    <s v="California Independent System Operator "/>
    <x v="2"/>
    <s v="Tariff 9"/>
    <m/>
    <m/>
    <m/>
    <m/>
    <m/>
    <m/>
    <m/>
    <m/>
    <m/>
    <n v="8756205.9100000001"/>
    <n v="8756205.9100000001"/>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1">
  <r>
    <n v="1"/>
    <s v="0-1"/>
    <s v="Adams Nielson Solar, LLC"/>
    <x v="0"/>
    <s v="PURPA"/>
    <m/>
    <m/>
    <m/>
    <n v="43328"/>
    <m/>
    <m/>
    <m/>
    <m/>
    <n v="1753484"/>
    <m/>
    <n v="1753484"/>
  </r>
  <r>
    <n v="2"/>
    <s v="0-2"/>
    <s v="Avangrid Renewables, LLC "/>
    <x v="1"/>
    <s v="Tariff 9"/>
    <m/>
    <m/>
    <m/>
    <n v="105393"/>
    <m/>
    <m/>
    <m/>
    <m/>
    <n v="3103982"/>
    <m/>
    <n v="3103982"/>
  </r>
  <r>
    <n v="3"/>
    <s v="0-3"/>
    <s v="Avangrid Renewables, LLC "/>
    <x v="2"/>
    <s v="NWPP"/>
    <m/>
    <m/>
    <m/>
    <n v="14"/>
    <m/>
    <m/>
    <m/>
    <m/>
    <n v="411"/>
    <m/>
    <n v="411"/>
  </r>
  <r>
    <n v="4"/>
    <s v="0-4"/>
    <s v="BP Energy"/>
    <x v="1"/>
    <s v="Tariff 9"/>
    <m/>
    <m/>
    <m/>
    <n v="400"/>
    <m/>
    <m/>
    <m/>
    <m/>
    <n v="137688"/>
    <m/>
    <n v="137688"/>
  </r>
  <r>
    <n v="5"/>
    <s v="0-5"/>
    <s v="Black Hills Power, Inc."/>
    <x v="1"/>
    <s v="Tariff 9"/>
    <m/>
    <m/>
    <m/>
    <n v="40"/>
    <m/>
    <m/>
    <m/>
    <m/>
    <n v="3000"/>
    <m/>
    <n v="3000"/>
  </r>
  <r>
    <n v="6"/>
    <s v="0-6"/>
    <s v="Bonneville Power Administration"/>
    <x v="2"/>
    <s v="Tariff 8"/>
    <m/>
    <m/>
    <m/>
    <n v="274"/>
    <m/>
    <m/>
    <m/>
    <m/>
    <m/>
    <m/>
    <n v="0"/>
  </r>
  <r>
    <n v="7"/>
    <s v="0-7"/>
    <s v="Bonneville Power Administration"/>
    <x v="1"/>
    <s v="Tariff 9"/>
    <m/>
    <m/>
    <m/>
    <n v="52106"/>
    <m/>
    <m/>
    <m/>
    <m/>
    <n v="3021866"/>
    <m/>
    <n v="3021866"/>
  </r>
  <r>
    <n v="8"/>
    <s v="0-8"/>
    <s v="Bonneville Power Administration"/>
    <x v="2"/>
    <s v="NWPP"/>
    <m/>
    <m/>
    <m/>
    <n v="236"/>
    <m/>
    <m/>
    <m/>
    <m/>
    <n v="10050"/>
    <m/>
    <n v="10050"/>
  </r>
  <r>
    <n v="9"/>
    <s v="0-9"/>
    <s v="Bonneville Power Administration"/>
    <x v="2"/>
    <s v="Tariff 8"/>
    <m/>
    <m/>
    <m/>
    <n v="22514"/>
    <m/>
    <m/>
    <m/>
    <m/>
    <n v="959757"/>
    <m/>
    <n v="959757"/>
  </r>
  <r>
    <n v="10"/>
    <s v="0-10"/>
    <s v="Bonneville Power Administration"/>
    <x v="2"/>
    <s v="Tariff 8"/>
    <m/>
    <m/>
    <m/>
    <n v="1829"/>
    <m/>
    <m/>
    <m/>
    <m/>
    <n v="100286"/>
    <m/>
    <n v="100286"/>
  </r>
  <r>
    <n v="11"/>
    <s v="0-11"/>
    <s v="Bonneville Power Administration"/>
    <x v="3"/>
    <s v="BPA OATT"/>
    <m/>
    <m/>
    <m/>
    <m/>
    <m/>
    <m/>
    <m/>
    <m/>
    <m/>
    <n v="31004"/>
    <n v="31004"/>
  </r>
  <r>
    <n v="12"/>
    <s v="0-12"/>
    <s v="Brookfield Energy Marketing LP"/>
    <x v="1"/>
    <s v="Tariff 9"/>
    <m/>
    <m/>
    <m/>
    <n v="5434"/>
    <m/>
    <m/>
    <m/>
    <m/>
    <n v="257342"/>
    <m/>
    <n v="257342"/>
  </r>
  <r>
    <n v="13"/>
    <s v="0-13"/>
    <s v="CP Energy Marketing (US) Inc."/>
    <x v="1"/>
    <s v="Tariff 9"/>
    <m/>
    <m/>
    <m/>
    <n v="175"/>
    <m/>
    <m/>
    <m/>
    <m/>
    <n v="106550"/>
    <m/>
    <n v="106550"/>
  </r>
  <r>
    <n v="14"/>
    <s v="0-14"/>
    <s v="California Independent System Operator "/>
    <x v="1"/>
    <s v="Tariff 9"/>
    <m/>
    <m/>
    <m/>
    <n v="10496"/>
    <m/>
    <m/>
    <m/>
    <m/>
    <n v="541173"/>
    <m/>
    <n v="541173"/>
  </r>
  <r>
    <n v="15"/>
    <s v="0-15"/>
    <s v="Calpine Energy Services, LP"/>
    <x v="1"/>
    <s v="Tariff 9"/>
    <m/>
    <m/>
    <m/>
    <n v="6145"/>
    <m/>
    <m/>
    <m/>
    <m/>
    <n v="187688"/>
    <m/>
    <n v="187688"/>
  </r>
  <r>
    <n v="16"/>
    <s v="0-16"/>
    <s v="Chelan County PUD"/>
    <x v="4"/>
    <s v="Rocky Reach"/>
    <m/>
    <m/>
    <m/>
    <n v="22161"/>
    <m/>
    <m/>
    <m/>
    <m/>
    <m/>
    <m/>
    <n v="0"/>
  </r>
  <r>
    <n v="17"/>
    <s v="0-17"/>
    <s v="Chelan County PUD"/>
    <x v="4"/>
    <s v="Rocky Reach"/>
    <m/>
    <m/>
    <m/>
    <n v="-23762"/>
    <m/>
    <m/>
    <m/>
    <m/>
    <m/>
    <m/>
    <n v="0"/>
  </r>
  <r>
    <n v="18"/>
    <s v="0-18"/>
    <s v="Chelan County PUD"/>
    <x v="1"/>
    <s v="Tariff 9"/>
    <m/>
    <m/>
    <m/>
    <n v="124200"/>
    <m/>
    <m/>
    <m/>
    <m/>
    <n v="4019800"/>
    <m/>
    <n v="4019800"/>
  </r>
  <r>
    <n v="19"/>
    <s v="0-19"/>
    <s v="Chelan County PUD"/>
    <x v="2"/>
    <s v="NWPP"/>
    <m/>
    <m/>
    <m/>
    <n v="10"/>
    <m/>
    <m/>
    <m/>
    <m/>
    <n v="509"/>
    <m/>
    <n v="509"/>
  </r>
  <r>
    <n v="20"/>
    <s v="0-20"/>
    <s v="Chelan County PUD"/>
    <x v="4"/>
    <s v="Chelan Sys"/>
    <m/>
    <m/>
    <m/>
    <n v="404289"/>
    <m/>
    <m/>
    <m/>
    <n v="14300000"/>
    <m/>
    <m/>
    <n v="14300000"/>
  </r>
  <r>
    <n v="21"/>
    <s v="0-21"/>
    <s v="City of Spokane"/>
    <x v="4"/>
    <s v="PURPA"/>
    <m/>
    <m/>
    <m/>
    <n v="50784"/>
    <m/>
    <m/>
    <m/>
    <m/>
    <n v="1916962"/>
    <m/>
    <n v="1916962"/>
  </r>
  <r>
    <n v="22"/>
    <s v="0-22"/>
    <s v="City of Spokane"/>
    <x v="4"/>
    <s v="PURPA"/>
    <m/>
    <m/>
    <m/>
    <n v="119640"/>
    <m/>
    <m/>
    <m/>
    <m/>
    <n v="5636059"/>
    <m/>
    <n v="5636059"/>
  </r>
  <r>
    <n v="23"/>
    <s v="0-23"/>
    <s v="Clark Fork Hydro"/>
    <x v="0"/>
    <s v="PURPA"/>
    <m/>
    <m/>
    <m/>
    <n v="886"/>
    <m/>
    <m/>
    <m/>
    <m/>
    <n v="55589"/>
    <m/>
    <n v="55589"/>
  </r>
  <r>
    <n v="24"/>
    <s v="0-24"/>
    <s v="Clatskanie PUD"/>
    <x v="1"/>
    <s v="Tariff 9"/>
    <m/>
    <m/>
    <m/>
    <n v="854"/>
    <m/>
    <m/>
    <m/>
    <m/>
    <n v="29270"/>
    <m/>
    <n v="29270"/>
  </r>
  <r>
    <n v="25"/>
    <s v="0-25"/>
    <s v="Clearwater Paper Company"/>
    <x v="4"/>
    <s v="PURPA"/>
    <m/>
    <m/>
    <m/>
    <n v="424874"/>
    <m/>
    <m/>
    <m/>
    <m/>
    <n v="10409413"/>
    <m/>
    <n v="10409413"/>
  </r>
  <r>
    <n v="26"/>
    <s v="0-26"/>
    <s v="Clearwater Power Company"/>
    <x v="5"/>
    <s v="NA"/>
    <m/>
    <m/>
    <m/>
    <n v="185"/>
    <m/>
    <m/>
    <m/>
    <m/>
    <n v="16352"/>
    <m/>
    <n v="16352"/>
  </r>
  <r>
    <n v="27"/>
    <s v="0-27"/>
    <s v="Community Solar"/>
    <x v="0"/>
    <s v="PURPA"/>
    <m/>
    <m/>
    <m/>
    <n v="545"/>
    <m/>
    <m/>
    <m/>
    <m/>
    <m/>
    <m/>
    <n v="0"/>
  </r>
  <r>
    <n v="28"/>
    <s v="0-28"/>
    <s v="ConocoPhillips Company"/>
    <x v="1"/>
    <s v="Tariff 9"/>
    <m/>
    <m/>
    <m/>
    <n v="26658"/>
    <m/>
    <m/>
    <m/>
    <m/>
    <n v="1104650"/>
    <m/>
    <n v="1104650"/>
  </r>
  <r>
    <n v="29"/>
    <s v="0-29"/>
    <s v="Deep Creek Energy, LLC"/>
    <x v="4"/>
    <s v="PURPA"/>
    <m/>
    <m/>
    <m/>
    <n v="223"/>
    <m/>
    <m/>
    <m/>
    <m/>
    <n v="9121"/>
    <m/>
    <n v="9121"/>
  </r>
  <r>
    <n v="30"/>
    <s v="0-30"/>
    <s v="Douglas County PUD No. 1"/>
    <x v="0"/>
    <s v="Wells"/>
    <m/>
    <m/>
    <m/>
    <n v="452357"/>
    <m/>
    <m/>
    <m/>
    <n v="3400592"/>
    <m/>
    <m/>
    <n v="3400592"/>
  </r>
  <r>
    <n v="31"/>
    <s v="0-31"/>
    <s v="Douglas County PUD No. 1"/>
    <x v="2"/>
    <s v="NWPP"/>
    <m/>
    <m/>
    <m/>
    <n v="1"/>
    <m/>
    <m/>
    <m/>
    <m/>
    <n v="25"/>
    <m/>
    <n v="25"/>
  </r>
  <r>
    <n v="32"/>
    <s v="0-32"/>
    <s v="Douglas County PUD No. 1"/>
    <x v="3"/>
    <s v="Wells"/>
    <m/>
    <m/>
    <m/>
    <m/>
    <m/>
    <m/>
    <m/>
    <m/>
    <m/>
    <n v="1468579"/>
    <n v="1468579"/>
  </r>
  <r>
    <n v="33"/>
    <s v="0-33"/>
    <s v="Douglas County PUD No. 1"/>
    <x v="6"/>
    <s v="Tariff 9"/>
    <m/>
    <m/>
    <m/>
    <m/>
    <m/>
    <m/>
    <n v="411720"/>
    <m/>
    <m/>
    <m/>
    <n v="0"/>
  </r>
  <r>
    <n v="34"/>
    <s v="0-34"/>
    <s v="Dynasty Power, Inc."/>
    <x v="1"/>
    <s v="Tariff 9"/>
    <m/>
    <m/>
    <m/>
    <n v="6765"/>
    <m/>
    <m/>
    <m/>
    <m/>
    <n v="1853118"/>
    <m/>
    <n v="1853118"/>
  </r>
  <r>
    <n v="35"/>
    <s v="0-35"/>
    <s v="EDF Trading No America"/>
    <x v="1"/>
    <s v="Tariff 9"/>
    <m/>
    <m/>
    <m/>
    <n v="3299"/>
    <m/>
    <m/>
    <m/>
    <m/>
    <n v="223394"/>
    <m/>
    <n v="223394"/>
  </r>
  <r>
    <n v="36"/>
    <s v="0-36"/>
    <s v="Enel X North America, Inc."/>
    <x v="0"/>
    <s v="PURPA"/>
    <m/>
    <m/>
    <m/>
    <n v="48"/>
    <m/>
    <m/>
    <m/>
    <m/>
    <m/>
    <m/>
    <n v="0"/>
  </r>
  <r>
    <n v="37"/>
    <s v="0-37"/>
    <s v="Energy Keepers, Inc."/>
    <x v="1"/>
    <s v="Tariff 9"/>
    <m/>
    <m/>
    <m/>
    <n v="1780"/>
    <m/>
    <m/>
    <m/>
    <m/>
    <n v="213450"/>
    <m/>
    <n v="213450"/>
  </r>
  <r>
    <n v="38"/>
    <s v="0-38"/>
    <s v="Eugene Water &amp; Electric Board"/>
    <x v="1"/>
    <s v="Tariff 9"/>
    <m/>
    <m/>
    <m/>
    <n v="2711"/>
    <m/>
    <m/>
    <m/>
    <m/>
    <n v="118151"/>
    <m/>
    <n v="118151"/>
  </r>
  <r>
    <n v="39"/>
    <s v="0-39"/>
    <s v="Exelon Generation Company, LLC"/>
    <x v="1"/>
    <s v="Tariff 9"/>
    <m/>
    <m/>
    <m/>
    <n v="17749"/>
    <m/>
    <m/>
    <m/>
    <m/>
    <n v="474198"/>
    <m/>
    <n v="474198"/>
  </r>
  <r>
    <n v="40"/>
    <s v="0-40"/>
    <s v="Ford Hydro Limited Partnership"/>
    <x v="0"/>
    <s v="PURPA"/>
    <m/>
    <m/>
    <m/>
    <n v="2989"/>
    <m/>
    <m/>
    <m/>
    <m/>
    <n v="234443"/>
    <m/>
    <n v="234443"/>
  </r>
  <r>
    <n v="41"/>
    <s v="0-41"/>
    <s v="Grant County PUD No. 2"/>
    <x v="0"/>
    <s v="Priest Rapids"/>
    <m/>
    <m/>
    <m/>
    <n v="332485"/>
    <m/>
    <m/>
    <m/>
    <n v="11276183"/>
    <m/>
    <m/>
    <n v="11276183"/>
  </r>
  <r>
    <n v="42"/>
    <s v="0-42"/>
    <s v="Grant County PUD No. 2"/>
    <x v="2"/>
    <s v="NWPP"/>
    <m/>
    <m/>
    <m/>
    <n v="18"/>
    <m/>
    <m/>
    <m/>
    <m/>
    <n v="850"/>
    <m/>
    <n v="850"/>
  </r>
  <r>
    <n v="43"/>
    <s v="0-43"/>
    <s v="Grant County PUD No. 2"/>
    <x v="6"/>
    <s v="FERC #104"/>
    <m/>
    <m/>
    <m/>
    <m/>
    <m/>
    <m/>
    <m/>
    <m/>
    <m/>
    <n v="-58028"/>
    <n v="-58028"/>
  </r>
  <r>
    <n v="44"/>
    <s v="0-44"/>
    <s v="Grant County PUD No. 2"/>
    <x v="1"/>
    <s v="Tariff 9"/>
    <m/>
    <m/>
    <m/>
    <n v="41"/>
    <m/>
    <m/>
    <m/>
    <m/>
    <n v="2229"/>
    <m/>
    <n v="2229"/>
  </r>
  <r>
    <n v="45"/>
    <s v="0-45"/>
    <s v="Great Northern Spokane, LLC"/>
    <x v="0"/>
    <s v="PURPA"/>
    <m/>
    <m/>
    <m/>
    <n v="106"/>
    <m/>
    <m/>
    <m/>
    <m/>
    <m/>
    <m/>
    <n v="0"/>
  </r>
  <r>
    <n v="46"/>
    <s v="0-46"/>
    <s v="Gridforce Energy Management, LLC"/>
    <x v="2"/>
    <s v="NWPP"/>
    <m/>
    <m/>
    <m/>
    <n v="16"/>
    <m/>
    <m/>
    <m/>
    <m/>
    <n v="741"/>
    <m/>
    <n v="741"/>
  </r>
  <r>
    <n v="47"/>
    <s v="0-47"/>
    <s v="Guzman Energy, LLC"/>
    <x v="1"/>
    <s v="Tariff 9"/>
    <m/>
    <m/>
    <m/>
    <n v="3970"/>
    <m/>
    <m/>
    <m/>
    <m/>
    <n v="193831"/>
    <m/>
    <n v="193831"/>
  </r>
  <r>
    <n v="48"/>
    <s v="0-48"/>
    <s v="Hydro Technology Systems"/>
    <x v="4"/>
    <s v="PURPA"/>
    <m/>
    <m/>
    <m/>
    <n v="7709"/>
    <m/>
    <m/>
    <m/>
    <m/>
    <n v="275368"/>
    <m/>
    <n v="275368"/>
  </r>
  <r>
    <n v="49"/>
    <s v="0-49"/>
    <s v="Idaho County Power &amp; Light"/>
    <x v="0"/>
    <s v="PURPA"/>
    <m/>
    <m/>
    <m/>
    <n v="2640"/>
    <m/>
    <m/>
    <m/>
    <m/>
    <n v="133149"/>
    <m/>
    <n v="133149"/>
  </r>
  <r>
    <n v="50"/>
    <s v="0-50"/>
    <s v="Idaho Power Company"/>
    <x v="3"/>
    <s v="Idaho Power Co OATT"/>
    <m/>
    <m/>
    <m/>
    <m/>
    <m/>
    <m/>
    <m/>
    <m/>
    <m/>
    <n v="189"/>
    <n v="189"/>
  </r>
  <r>
    <n v="51"/>
    <s v="0-51"/>
    <s v="Idaho Power Company"/>
    <x v="1"/>
    <s v="Tariff 9"/>
    <m/>
    <m/>
    <m/>
    <n v="15025"/>
    <m/>
    <m/>
    <m/>
    <m/>
    <n v="647729"/>
    <m/>
    <n v="647729"/>
  </r>
  <r>
    <n v="52"/>
    <s v="0-52"/>
    <s v="Idaho Power Company"/>
    <x v="2"/>
    <s v="Tariff 9"/>
    <m/>
    <m/>
    <m/>
    <n v="56"/>
    <m/>
    <m/>
    <m/>
    <m/>
    <n v="7766"/>
    <m/>
    <n v="7766"/>
  </r>
  <r>
    <n v="53"/>
    <s v="0-53"/>
    <s v="Inland Power &amp; Light Company"/>
    <x v="5"/>
    <n v="208"/>
    <m/>
    <m/>
    <m/>
    <n v="168"/>
    <m/>
    <m/>
    <m/>
    <m/>
    <n v="11971"/>
    <m/>
    <n v="11971"/>
  </r>
  <r>
    <n v="54"/>
    <s v="0-54"/>
    <s v="Kootenai Electric Cooperative"/>
    <x v="2"/>
    <s v="Tariff 8"/>
    <m/>
    <m/>
    <m/>
    <n v="1320"/>
    <m/>
    <m/>
    <m/>
    <m/>
    <n v="70095"/>
    <m/>
    <n v="70095"/>
  </r>
  <r>
    <n v="55"/>
    <s v="0-55"/>
    <s v="Macquarie Energy, LLC"/>
    <x v="1"/>
    <s v="Tariff 9"/>
    <m/>
    <m/>
    <m/>
    <n v="18243"/>
    <m/>
    <m/>
    <m/>
    <m/>
    <n v="847327"/>
    <m/>
    <n v="847327"/>
  </r>
  <r>
    <n v="56"/>
    <s v="0-56"/>
    <s v="Mizuho Securities USA, Inc."/>
    <x v="3"/>
    <s v="NA"/>
    <m/>
    <m/>
    <m/>
    <m/>
    <m/>
    <m/>
    <m/>
    <m/>
    <m/>
    <n v="-3188064"/>
    <n v="-3188064"/>
  </r>
  <r>
    <n v="57"/>
    <s v="0-57"/>
    <s v="Morgan Stanley Capital Group"/>
    <x v="1"/>
    <s v="Tariff 9"/>
    <m/>
    <m/>
    <m/>
    <n v="40024"/>
    <m/>
    <m/>
    <m/>
    <m/>
    <n v="1494857"/>
    <m/>
    <n v="1494857"/>
  </r>
  <r>
    <n v="58"/>
    <s v="0-58"/>
    <s v="Nevada Power Company"/>
    <x v="3"/>
    <s v="NV Energy OATT"/>
    <m/>
    <m/>
    <m/>
    <m/>
    <m/>
    <m/>
    <m/>
    <m/>
    <m/>
    <n v="-1033"/>
    <n v="-1033"/>
  </r>
  <r>
    <n v="59"/>
    <s v="0-59"/>
    <s v="Nevada Power Company"/>
    <x v="2"/>
    <s v="Tariff 9"/>
    <m/>
    <m/>
    <m/>
    <n v="5"/>
    <m/>
    <m/>
    <m/>
    <m/>
    <n v="124"/>
    <m/>
    <n v="124"/>
  </r>
  <r>
    <n v="60"/>
    <s v="0-60"/>
    <s v="NextEra Energy Power Marketing, LLC"/>
    <x v="1"/>
    <s v="Tariff 9"/>
    <m/>
    <m/>
    <m/>
    <n v="800"/>
    <m/>
    <m/>
    <m/>
    <m/>
    <n v="35200"/>
    <m/>
    <n v="35200"/>
  </r>
  <r>
    <n v="61"/>
    <s v="0-61"/>
    <s v="NorthWestern Energy"/>
    <x v="1"/>
    <s v="Tariff 9"/>
    <m/>
    <m/>
    <m/>
    <n v="42570"/>
    <m/>
    <m/>
    <m/>
    <m/>
    <n v="1244444"/>
    <m/>
    <n v="1244444"/>
  </r>
  <r>
    <n v="62"/>
    <s v="0-62"/>
    <s v="NorthWestern Energy"/>
    <x v="2"/>
    <s v="NWPP"/>
    <m/>
    <m/>
    <m/>
    <n v="33"/>
    <m/>
    <m/>
    <m/>
    <m/>
    <n v="1390"/>
    <m/>
    <n v="1390"/>
  </r>
  <r>
    <n v="63"/>
    <s v="0-63"/>
    <s v="NorthWestern Energy"/>
    <x v="7"/>
    <s v="Tariff 9"/>
    <m/>
    <m/>
    <m/>
    <n v="4475"/>
    <m/>
    <m/>
    <m/>
    <m/>
    <n v="211030"/>
    <m/>
    <n v="211030"/>
  </r>
  <r>
    <n v="64"/>
    <s v="0-64"/>
    <s v="NorthWestern Energy"/>
    <x v="3"/>
    <s v="NorthWestern Energy OATT"/>
    <m/>
    <m/>
    <m/>
    <m/>
    <m/>
    <m/>
    <m/>
    <m/>
    <m/>
    <n v="19976"/>
    <n v="19976"/>
  </r>
  <r>
    <n v="65"/>
    <s v="0-65"/>
    <s v="PacifiCorp"/>
    <x v="1"/>
    <s v="Tariff 9"/>
    <m/>
    <m/>
    <m/>
    <n v="19310"/>
    <m/>
    <m/>
    <m/>
    <m/>
    <n v="898754"/>
    <m/>
    <n v="898754"/>
  </r>
  <r>
    <n v="66"/>
    <s v="0-66"/>
    <s v="PacifiCorp"/>
    <x v="2"/>
    <s v="NWPP"/>
    <m/>
    <m/>
    <m/>
    <n v="68"/>
    <m/>
    <m/>
    <m/>
    <m/>
    <n v="3072"/>
    <m/>
    <n v="3072"/>
  </r>
  <r>
    <n v="67"/>
    <s v="0-67"/>
    <s v="PacifiCorp"/>
    <x v="3"/>
    <s v="PacifiCorp OATT"/>
    <m/>
    <m/>
    <m/>
    <m/>
    <m/>
    <m/>
    <m/>
    <m/>
    <m/>
    <n v="-1392"/>
    <n v="-1392"/>
  </r>
  <r>
    <n v="68"/>
    <s v="0-68"/>
    <s v="Palouse Wind, LLC"/>
    <x v="0"/>
    <s v="PPA"/>
    <m/>
    <m/>
    <m/>
    <n v="360783"/>
    <m/>
    <m/>
    <m/>
    <m/>
    <n v="23057642"/>
    <m/>
    <n v="23057642"/>
  </r>
  <r>
    <n v="69"/>
    <s v="0-69"/>
    <s v="Pend Oreille County PUD No. 1"/>
    <x v="1"/>
    <s v="Pend O'"/>
    <m/>
    <m/>
    <m/>
    <n v="20971"/>
    <m/>
    <m/>
    <m/>
    <m/>
    <n v="722988"/>
    <m/>
    <n v="722988"/>
  </r>
  <r>
    <n v="70"/>
    <s v="0-70"/>
    <s v="Pend Oreille County PUD No. 1"/>
    <x v="2"/>
    <s v="Pend O'"/>
    <m/>
    <m/>
    <m/>
    <n v="6925"/>
    <m/>
    <m/>
    <m/>
    <m/>
    <n v="223805"/>
    <m/>
    <n v="223805"/>
  </r>
  <r>
    <n v="71"/>
    <s v="0-71"/>
    <s v="Pend Oreille County PUD No. 1"/>
    <x v="2"/>
    <s v="Pend O'"/>
    <m/>
    <m/>
    <m/>
    <n v="482"/>
    <m/>
    <m/>
    <m/>
    <m/>
    <n v="12494"/>
    <m/>
    <n v="12494"/>
  </r>
  <r>
    <n v="72"/>
    <s v="0-72"/>
    <s v="Portland General Electric Company"/>
    <x v="6"/>
    <s v="Tariff 9"/>
    <m/>
    <m/>
    <m/>
    <m/>
    <m/>
    <n v="7890"/>
    <n v="7889"/>
    <m/>
    <m/>
    <m/>
    <n v="0"/>
  </r>
  <r>
    <n v="73"/>
    <s v="0-73"/>
    <s v="Portland General Electric Company"/>
    <x v="1"/>
    <s v="Tariff 9"/>
    <m/>
    <m/>
    <m/>
    <n v="40097"/>
    <m/>
    <m/>
    <m/>
    <m/>
    <n v="1864140"/>
    <m/>
    <n v="1864140"/>
  </r>
  <r>
    <n v="74"/>
    <s v="0-74"/>
    <s v="Portland General Electric Company"/>
    <x v="2"/>
    <s v="NWPP"/>
    <m/>
    <m/>
    <m/>
    <n v="46"/>
    <m/>
    <m/>
    <m/>
    <m/>
    <n v="1590"/>
    <m/>
    <n v="1590"/>
  </r>
  <r>
    <n v="75"/>
    <s v="0-75"/>
    <s v="Portland General Electric Company"/>
    <x v="2"/>
    <s v="Tariff 9"/>
    <m/>
    <m/>
    <m/>
    <n v="4364"/>
    <m/>
    <m/>
    <m/>
    <m/>
    <n v="144824"/>
    <m/>
    <n v="144824"/>
  </r>
  <r>
    <n v="76"/>
    <s v="0-76"/>
    <s v="Powerex Corp"/>
    <x v="1"/>
    <s v="Tariff 9"/>
    <m/>
    <m/>
    <m/>
    <n v="61728"/>
    <m/>
    <m/>
    <m/>
    <m/>
    <n v="3538850"/>
    <m/>
    <n v="3538850"/>
  </r>
  <r>
    <n v="77"/>
    <s v="0-77"/>
    <s v="Puget Sound Energy"/>
    <x v="1"/>
    <s v="Tariff 9"/>
    <m/>
    <m/>
    <m/>
    <n v="55857"/>
    <m/>
    <m/>
    <m/>
    <m/>
    <n v="2877377"/>
    <m/>
    <n v="2877377"/>
  </r>
  <r>
    <n v="78"/>
    <s v="0-78"/>
    <s v="Puget Sound Energy"/>
    <x v="2"/>
    <s v="NWPP"/>
    <m/>
    <m/>
    <m/>
    <n v="67"/>
    <m/>
    <m/>
    <m/>
    <m/>
    <n v="3006"/>
    <m/>
    <n v="3006"/>
  </r>
  <r>
    <n v="79"/>
    <s v="0-79"/>
    <s v="Puget Sound Energy"/>
    <x v="2"/>
    <s v="Tariff 9"/>
    <m/>
    <m/>
    <m/>
    <n v="10"/>
    <m/>
    <m/>
    <m/>
    <m/>
    <n v="560"/>
    <m/>
    <n v="560"/>
  </r>
  <r>
    <n v="80"/>
    <s v="0-80"/>
    <s v="Rainbow Energy Marketing Co."/>
    <x v="1"/>
    <s v="Tariff 9"/>
    <m/>
    <m/>
    <m/>
    <n v="1299"/>
    <m/>
    <m/>
    <m/>
    <m/>
    <n v="93800"/>
    <m/>
    <n v="93800"/>
  </r>
  <r>
    <n v="81"/>
    <s v="0-81"/>
    <s v="Rathdrum Power, LLC"/>
    <x v="0"/>
    <s v="Lancaster"/>
    <m/>
    <m/>
    <m/>
    <n v="1820368"/>
    <m/>
    <m/>
    <m/>
    <m/>
    <n v="28827646"/>
    <m/>
    <n v="28827646"/>
  </r>
  <r>
    <n v="82"/>
    <s v="0-82"/>
    <s v="Rattlesnake Flat, LLC"/>
    <x v="0"/>
    <s v="PPA"/>
    <m/>
    <m/>
    <m/>
    <n v="423510"/>
    <m/>
    <m/>
    <m/>
    <m/>
    <n v="12747296"/>
    <m/>
    <n v="12747296"/>
  </r>
  <r>
    <n v="83"/>
    <s v="0-83"/>
    <s v="Seattle City Light"/>
    <x v="1"/>
    <s v="Tariff 9"/>
    <m/>
    <m/>
    <m/>
    <n v="8070"/>
    <m/>
    <m/>
    <m/>
    <m/>
    <n v="331920"/>
    <m/>
    <n v="331920"/>
  </r>
  <r>
    <n v="84"/>
    <s v="0-84"/>
    <s v="Seattle City Light"/>
    <x v="2"/>
    <s v="NWPP"/>
    <m/>
    <m/>
    <m/>
    <n v="26"/>
    <m/>
    <m/>
    <m/>
    <m/>
    <n v="1159"/>
    <m/>
    <n v="1159"/>
  </r>
  <r>
    <n v="85"/>
    <s v="0-85"/>
    <s v="Sheep Creek Hydro"/>
    <x v="4"/>
    <s v="PURPA"/>
    <m/>
    <m/>
    <m/>
    <n v="6641"/>
    <m/>
    <m/>
    <m/>
    <m/>
    <n v="316546"/>
    <m/>
    <n v="316546"/>
  </r>
  <r>
    <n v="86"/>
    <s v="0-86"/>
    <s v="Shell Energy"/>
    <x v="1"/>
    <s v="Tariff 9"/>
    <m/>
    <m/>
    <m/>
    <n v="77032"/>
    <m/>
    <m/>
    <m/>
    <m/>
    <n v="2658619"/>
    <m/>
    <n v="2658619"/>
  </r>
  <r>
    <n v="87"/>
    <s v="0-87"/>
    <s v="Snohomish County PUD No. 1"/>
    <x v="1"/>
    <s v="Tariff 9"/>
    <m/>
    <m/>
    <m/>
    <n v="22440"/>
    <m/>
    <m/>
    <m/>
    <m/>
    <n v="2269580"/>
    <m/>
    <n v="2269580"/>
  </r>
  <r>
    <n v="88"/>
    <s v="0-88"/>
    <s v="Sovereign Power"/>
    <x v="2"/>
    <s v="Sovereign"/>
    <m/>
    <m/>
    <m/>
    <n v="7917"/>
    <m/>
    <m/>
    <m/>
    <m/>
    <n v="285711"/>
    <m/>
    <n v="285711"/>
  </r>
  <r>
    <n v="89"/>
    <s v="0-89"/>
    <s v="Spokane County"/>
    <x v="0"/>
    <s v="PURPA"/>
    <m/>
    <m/>
    <m/>
    <n v="1123"/>
    <m/>
    <m/>
    <m/>
    <m/>
    <n v="31507"/>
    <m/>
    <n v="31507"/>
  </r>
  <r>
    <n v="90"/>
    <s v="0-90"/>
    <s v="Stimson Lumber"/>
    <x v="4"/>
    <s v="PURPA"/>
    <m/>
    <m/>
    <m/>
    <n v="35127"/>
    <m/>
    <m/>
    <m/>
    <m/>
    <n v="1521376"/>
    <m/>
    <n v="1521376"/>
  </r>
  <r>
    <n v="91"/>
    <s v="0-91"/>
    <s v="Tacoma Power"/>
    <x v="1"/>
    <s v="Tariff 9"/>
    <m/>
    <m/>
    <m/>
    <n v="13722"/>
    <m/>
    <m/>
    <m/>
    <m/>
    <n v="943975"/>
    <m/>
    <n v="943975"/>
  </r>
  <r>
    <n v="92"/>
    <s v="0-92"/>
    <s v="Tacoma Power"/>
    <x v="2"/>
    <s v="NWPP"/>
    <m/>
    <m/>
    <m/>
    <n v="12"/>
    <m/>
    <m/>
    <m/>
    <m/>
    <n v="489"/>
    <m/>
    <n v="489"/>
  </r>
  <r>
    <n v="93"/>
    <s v="0-93"/>
    <s v="The City of Cove"/>
    <x v="0"/>
    <s v="PURPA"/>
    <m/>
    <m/>
    <m/>
    <n v="2337"/>
    <m/>
    <m/>
    <m/>
    <m/>
    <n v="91479"/>
    <m/>
    <n v="91479"/>
  </r>
  <r>
    <n v="94"/>
    <s v="0-94"/>
    <s v="The Energy Authority"/>
    <x v="1"/>
    <s v="Tariff 9"/>
    <m/>
    <m/>
    <m/>
    <n v="20757"/>
    <m/>
    <m/>
    <m/>
    <m/>
    <n v="922835"/>
    <m/>
    <n v="922835"/>
  </r>
  <r>
    <n v="95"/>
    <s v="0-95"/>
    <s v="TransAlta Energy Marketing"/>
    <x v="1"/>
    <s v="Tariff 9"/>
    <m/>
    <m/>
    <m/>
    <n v="59274"/>
    <m/>
    <m/>
    <m/>
    <m/>
    <n v="2079496"/>
    <m/>
    <n v="2079496"/>
  </r>
  <r>
    <n v="96"/>
    <s v="0-96"/>
    <s v="Turlock Irrigation District"/>
    <x v="1"/>
    <s v="Tariff 9"/>
    <m/>
    <m/>
    <m/>
    <n v="7482"/>
    <m/>
    <m/>
    <m/>
    <m/>
    <n v="178040"/>
    <m/>
    <n v="178040"/>
  </r>
  <r>
    <n v="97"/>
    <s v="0-97"/>
    <s v="Vitol Inc."/>
    <x v="1"/>
    <s v="Tariff 9"/>
    <m/>
    <m/>
    <m/>
    <n v="2000"/>
    <m/>
    <m/>
    <m/>
    <m/>
    <n v="60320"/>
    <m/>
    <n v="60320"/>
  </r>
  <r>
    <n v="98"/>
    <s v="0-98"/>
    <s v="Wells Fargo Securities, LLC"/>
    <x v="3"/>
    <s v="NA"/>
    <m/>
    <m/>
    <m/>
    <m/>
    <m/>
    <m/>
    <m/>
    <m/>
    <m/>
    <n v="-750772"/>
    <n v="-750772"/>
  </r>
  <r>
    <n v="99"/>
    <s v="0-99"/>
    <s v="IntraCompany Generation Services"/>
    <x v="3"/>
    <s v="OATT"/>
    <m/>
    <m/>
    <m/>
    <m/>
    <m/>
    <m/>
    <m/>
    <m/>
    <m/>
    <n v="1514192"/>
    <n v="1514192"/>
  </r>
  <r>
    <n v="100"/>
    <s v="0-100"/>
    <s v="Other - Inadvertent Interchange"/>
    <x v="6"/>
    <m/>
    <m/>
    <m/>
    <m/>
    <m/>
    <m/>
    <m/>
    <n v="747"/>
    <m/>
    <m/>
    <m/>
    <n v="0"/>
  </r>
  <r>
    <n v="101"/>
    <s v="0-101"/>
    <s v="Powerdex Pricing Accrual"/>
    <x v="1"/>
    <s v="Tariff 9"/>
    <m/>
    <m/>
    <m/>
    <m/>
    <m/>
    <m/>
    <m/>
    <m/>
    <n v="2835"/>
    <m/>
    <n v="283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DBDB99E-926D-4463-84E2-0A62911FD08D}" name="PivotTable8"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8:C23" firstHeaderRow="0" firstDataRow="1" firstDataCol="1"/>
  <pivotFields count="13">
    <pivotField showAll="0"/>
    <pivotField showAll="0"/>
    <pivotField showAll="0"/>
    <pivotField axis="axisRow" showAll="0">
      <items count="5">
        <item x="2"/>
        <item x="1"/>
        <item x="3"/>
        <item x="0"/>
        <item t="default"/>
      </items>
    </pivotField>
    <pivotField showAll="0"/>
    <pivotField showAll="0"/>
    <pivotField showAll="0"/>
    <pivotField showAll="0"/>
    <pivotField dataField="1" showAll="0"/>
    <pivotField showAll="0"/>
    <pivotField showAll="0"/>
    <pivotField showAll="0"/>
    <pivotField dataField="1" showAll="0"/>
  </pivotFields>
  <rowFields count="1">
    <field x="3"/>
  </rowFields>
  <rowItems count="5">
    <i>
      <x/>
    </i>
    <i>
      <x v="1"/>
    </i>
    <i>
      <x v="2"/>
    </i>
    <i>
      <x v="3"/>
    </i>
    <i t="grand">
      <x/>
    </i>
  </rowItems>
  <colFields count="1">
    <field x="-2"/>
  </colFields>
  <colItems count="2">
    <i>
      <x/>
    </i>
    <i i="1">
      <x v="1"/>
    </i>
  </colItems>
  <dataFields count="2">
    <dataField name="Sum of Total ($) (h+i+j)" fld="12" baseField="0" baseItem="0"/>
    <dataField name="Sum of Megawatt Hours Sold" fld="8" baseField="0" baseItem="0" numFmtId="165"/>
  </dataFields>
  <formats count="1">
    <format dxfId="20">
      <pivotArea outline="0" collapsedLevelsAreSubtotals="1" fieldPosition="0">
        <references count="1">
          <reference field="4294967294" count="1" selected="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EB11E9E-CBBC-4C67-A554-7E8D9CF387B3}" name="PivotTable7"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1:C16" firstHeaderRow="0" firstDataRow="1" firstDataCol="1"/>
  <pivotFields count="13">
    <pivotField showAll="0"/>
    <pivotField showAll="0"/>
    <pivotField showAll="0"/>
    <pivotField axis="axisRow" showAll="0">
      <items count="5">
        <item x="2"/>
        <item x="1"/>
        <item x="3"/>
        <item x="0"/>
        <item t="default"/>
      </items>
    </pivotField>
    <pivotField showAll="0"/>
    <pivotField showAll="0"/>
    <pivotField showAll="0"/>
    <pivotField showAll="0"/>
    <pivotField dataField="1" showAll="0"/>
    <pivotField showAll="0"/>
    <pivotField showAll="0"/>
    <pivotField showAll="0"/>
    <pivotField dataField="1" showAll="0"/>
  </pivotFields>
  <rowFields count="1">
    <field x="3"/>
  </rowFields>
  <rowItems count="5">
    <i>
      <x/>
    </i>
    <i>
      <x v="1"/>
    </i>
    <i>
      <x v="2"/>
    </i>
    <i>
      <x v="3"/>
    </i>
    <i t="grand">
      <x/>
    </i>
  </rowItems>
  <colFields count="1">
    <field x="-2"/>
  </colFields>
  <colItems count="2">
    <i>
      <x/>
    </i>
    <i i="1">
      <x v="1"/>
    </i>
  </colItems>
  <dataFields count="2">
    <dataField name="Sum of Total ($) (h+i+j)" fld="12" baseField="0" baseItem="0" numFmtId="170"/>
    <dataField name="Sum of Megawatt Hours Sold" fld="8" baseField="0" baseItem="0"/>
  </dataFields>
  <formats count="2">
    <format dxfId="22">
      <pivotArea outline="0" collapsedLevelsAreSubtotals="1" fieldPosition="0">
        <references count="1">
          <reference field="4294967294" count="1" selected="0">
            <x v="0"/>
          </reference>
        </references>
      </pivotArea>
    </format>
    <format dxfId="21">
      <pivotArea dataOnly="0" labelOnly="1"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0F3DB07-AB95-4FCB-ABD5-60934B745D4C}"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C8" firstHeaderRow="0" firstDataRow="1" firstDataCol="1"/>
  <pivotFields count="17">
    <pivotField showAll="0"/>
    <pivotField showAll="0"/>
    <pivotField showAll="0"/>
    <pivotField showAll="0"/>
    <pivotField showAll="0"/>
    <pivotField showAll="0"/>
    <pivotField showAll="0"/>
    <pivotField axis="axisRow" showAll="0">
      <items count="5">
        <item x="2"/>
        <item x="1"/>
        <item x="3"/>
        <item x="0"/>
        <item t="default"/>
      </items>
    </pivotField>
    <pivotField showAll="0"/>
    <pivotField showAll="0"/>
    <pivotField showAll="0"/>
    <pivotField showAll="0"/>
    <pivotField dataField="1" showAll="0"/>
    <pivotField showAll="0"/>
    <pivotField showAll="0"/>
    <pivotField showAll="0"/>
    <pivotField dataField="1" showAll="0"/>
  </pivotFields>
  <rowFields count="1">
    <field x="7"/>
  </rowFields>
  <rowItems count="5">
    <i>
      <x/>
    </i>
    <i>
      <x v="1"/>
    </i>
    <i>
      <x v="2"/>
    </i>
    <i>
      <x v="3"/>
    </i>
    <i t="grand">
      <x/>
    </i>
  </rowItems>
  <colFields count="1">
    <field x="-2"/>
  </colFields>
  <colItems count="2">
    <i>
      <x/>
    </i>
    <i i="1">
      <x v="1"/>
    </i>
  </colItems>
  <dataFields count="2">
    <dataField name="Sum of tot_revenue_chgs" fld="16" baseField="0" baseItem="0"/>
    <dataField name="Sum of mwh_sold" fld="1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1CA8BC90-ACF5-4652-BC57-F47B3DFA6E9C}" name="PivotTable12" cacheId="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29:C38" firstHeaderRow="0" firstDataRow="1" firstDataCol="1"/>
  <pivotFields count="16">
    <pivotField showAll="0"/>
    <pivotField showAll="0"/>
    <pivotField showAll="0"/>
    <pivotField axis="axisRow" showAll="0">
      <items count="9">
        <item x="6"/>
        <item x="7"/>
        <item x="4"/>
        <item x="2"/>
        <item x="0"/>
        <item x="3"/>
        <item x="5"/>
        <item x="1"/>
        <item t="default"/>
      </items>
    </pivotField>
    <pivotField showAll="0"/>
    <pivotField showAll="0"/>
    <pivotField showAll="0"/>
    <pivotField showAll="0"/>
    <pivotField dataField="1" showAll="0"/>
    <pivotField showAll="0"/>
    <pivotField showAll="0"/>
    <pivotField showAll="0"/>
    <pivotField showAll="0"/>
    <pivotField showAll="0"/>
    <pivotField showAll="0"/>
    <pivotField dataField="1" showAll="0"/>
  </pivotFields>
  <rowFields count="1">
    <field x="3"/>
  </rowFields>
  <rowItems count="9">
    <i>
      <x/>
    </i>
    <i>
      <x v="1"/>
    </i>
    <i>
      <x v="2"/>
    </i>
    <i>
      <x v="3"/>
    </i>
    <i>
      <x v="4"/>
    </i>
    <i>
      <x v="5"/>
    </i>
    <i>
      <x v="6"/>
    </i>
    <i>
      <x v="7"/>
    </i>
    <i t="grand">
      <x/>
    </i>
  </rowItems>
  <colFields count="1">
    <field x="-2"/>
  </colFields>
  <colItems count="2">
    <i>
      <x/>
    </i>
    <i i="1">
      <x v="1"/>
    </i>
  </colItems>
  <dataFields count="2">
    <dataField name="Sum of Total (k+l+m) of Settlement ($)" fld="15" baseField="0" baseItem="0"/>
    <dataField name="Sum of MegaWatt Hours Purchased" fld="8" baseField="0" baseItem="0" numFmtId="165"/>
  </dataFields>
  <formats count="2">
    <format dxfId="17">
      <pivotArea outline="0" collapsedLevelsAreSubtotals="1" fieldPosition="0">
        <references count="1">
          <reference field="4294967294" count="1" selected="0">
            <x v="1"/>
          </reference>
        </references>
      </pivotArea>
    </format>
    <format dxfId="16">
      <pivotArea dataOnly="0" labelOnly="1" outline="0" fieldPosition="0">
        <references count="1">
          <reference field="4294967294"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E0509F6E-340F-4FD3-85BA-266A1EFAF52E}" name="PivotTable10" cacheId="4"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7:C26" firstHeaderRow="0" firstDataRow="1" firstDataCol="1"/>
  <pivotFields count="16">
    <pivotField showAll="0"/>
    <pivotField showAll="0"/>
    <pivotField showAll="0"/>
    <pivotField axis="axisRow" showAll="0">
      <items count="9">
        <item x="7"/>
        <item x="4"/>
        <item x="5"/>
        <item x="1"/>
        <item x="0"/>
        <item x="2"/>
        <item x="6"/>
        <item x="3"/>
        <item t="default"/>
      </items>
    </pivotField>
    <pivotField showAll="0"/>
    <pivotField showAll="0"/>
    <pivotField showAll="0"/>
    <pivotField showAll="0"/>
    <pivotField dataField="1" showAll="0"/>
    <pivotField showAll="0"/>
    <pivotField showAll="0"/>
    <pivotField showAll="0"/>
    <pivotField showAll="0"/>
    <pivotField showAll="0"/>
    <pivotField showAll="0"/>
    <pivotField dataField="1" showAll="0"/>
  </pivotFields>
  <rowFields count="1">
    <field x="3"/>
  </rowFields>
  <rowItems count="9">
    <i>
      <x/>
    </i>
    <i>
      <x v="1"/>
    </i>
    <i>
      <x v="2"/>
    </i>
    <i>
      <x v="3"/>
    </i>
    <i>
      <x v="4"/>
    </i>
    <i>
      <x v="5"/>
    </i>
    <i>
      <x v="6"/>
    </i>
    <i>
      <x v="7"/>
    </i>
    <i t="grand">
      <x/>
    </i>
  </rowItems>
  <colFields count="1">
    <field x="-2"/>
  </colFields>
  <colItems count="2">
    <i>
      <x/>
    </i>
    <i i="1">
      <x v="1"/>
    </i>
  </colItems>
  <dataFields count="2">
    <dataField name="Sum of Total (k+l+m) of Settlement ($)" fld="15" baseField="0" baseItem="0"/>
    <dataField name="Sum of MegaWatt Hours Purchased" fld="8" baseField="0" baseItem="0" numFmtId="165"/>
  </dataFields>
  <formats count="2">
    <format dxfId="19">
      <pivotArea outline="0" collapsedLevelsAreSubtotals="1" fieldPosition="0">
        <references count="1">
          <reference field="4294967294" count="1" selected="0">
            <x v="1"/>
          </reference>
        </references>
      </pivotArea>
    </format>
    <format dxfId="18">
      <pivotArea dataOnly="0" labelOnly="1" outline="0" fieldPosition="0">
        <references count="1">
          <reference field="4294967294"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966B86D-D1A1-4ADE-AA6E-4FDCFD29AAC1}" name="PivotTable1"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C13" firstHeaderRow="0" firstDataRow="1" firstDataCol="1"/>
  <pivotFields count="20">
    <pivotField showAll="0"/>
    <pivotField showAll="0"/>
    <pivotField showAll="0"/>
    <pivotField showAll="0"/>
    <pivotField showAll="0"/>
    <pivotField showAll="0"/>
    <pivotField showAll="0"/>
    <pivotField showAll="0"/>
    <pivotField axis="axisRow" showAll="0">
      <items count="10">
        <item x="6"/>
        <item x="4"/>
        <item x="5"/>
        <item x="3"/>
        <item x="0"/>
        <item x="2"/>
        <item x="7"/>
        <item x="1"/>
        <item x="8"/>
        <item t="default"/>
      </items>
    </pivotField>
    <pivotField showAll="0"/>
    <pivotField showAll="0"/>
    <pivotField showAll="0"/>
    <pivotField showAll="0"/>
    <pivotField dataField="1" showAll="0"/>
    <pivotField showAll="0"/>
    <pivotField showAll="0"/>
    <pivotField showAll="0"/>
    <pivotField showAll="0"/>
    <pivotField showAll="0"/>
    <pivotField dataField="1" showAll="0">
      <items count="100">
        <item x="6"/>
        <item x="58"/>
        <item x="44"/>
        <item x="61"/>
        <item x="62"/>
        <item x="2"/>
        <item x="29"/>
        <item x="54"/>
        <item x="11"/>
        <item x="18"/>
        <item x="89"/>
        <item x="4"/>
        <item x="39"/>
        <item x="53"/>
        <item x="37"/>
        <item x="82"/>
        <item x="56"/>
        <item x="12"/>
        <item x="60"/>
        <item x="23"/>
        <item x="73"/>
        <item x="68"/>
        <item x="46"/>
        <item x="70"/>
        <item x="66"/>
        <item x="75"/>
        <item x="27"/>
        <item x="76"/>
        <item x="8"/>
        <item x="47"/>
        <item x="80"/>
        <item x="16"/>
        <item x="93"/>
        <item x="74"/>
        <item x="34"/>
        <item x="22"/>
        <item x="59"/>
        <item x="9"/>
        <item x="48"/>
        <item x="43"/>
        <item x="5"/>
        <item x="1"/>
        <item x="69"/>
        <item x="90"/>
        <item x="14"/>
        <item x="38"/>
        <item x="13"/>
        <item x="50"/>
        <item x="35"/>
        <item x="85"/>
        <item x="17"/>
        <item x="83"/>
        <item x="67"/>
        <item x="57"/>
        <item x="40"/>
        <item x="26"/>
        <item x="87"/>
        <item x="81"/>
        <item x="88"/>
        <item x="42"/>
        <item x="41"/>
        <item x="65"/>
        <item x="84"/>
        <item x="32"/>
        <item x="86"/>
        <item x="71"/>
        <item x="25"/>
        <item x="31"/>
        <item x="96"/>
        <item x="91"/>
        <item x="52"/>
        <item x="55"/>
        <item x="10"/>
        <item x="0"/>
        <item x="92"/>
        <item x="94"/>
        <item x="33"/>
        <item x="72"/>
        <item x="20"/>
        <item x="3"/>
        <item x="49"/>
        <item x="64"/>
        <item x="95"/>
        <item x="45"/>
        <item x="15"/>
        <item x="28"/>
        <item x="51"/>
        <item x="7"/>
        <item x="30"/>
        <item x="77"/>
        <item x="21"/>
        <item x="79"/>
        <item x="24"/>
        <item x="19"/>
        <item x="63"/>
        <item x="97"/>
        <item x="78"/>
        <item x="36"/>
        <item x="98"/>
        <item t="default"/>
      </items>
    </pivotField>
  </pivotFields>
  <rowFields count="1">
    <field x="8"/>
  </rowFields>
  <rowItems count="10">
    <i>
      <x/>
    </i>
    <i>
      <x v="1"/>
    </i>
    <i>
      <x v="2"/>
    </i>
    <i>
      <x v="3"/>
    </i>
    <i>
      <x v="4"/>
    </i>
    <i>
      <x v="5"/>
    </i>
    <i>
      <x v="6"/>
    </i>
    <i>
      <x v="7"/>
    </i>
    <i>
      <x v="8"/>
    </i>
    <i t="grand">
      <x/>
    </i>
  </rowItems>
  <colFields count="1">
    <field x="-2"/>
  </colFields>
  <colItems count="2">
    <i>
      <x/>
    </i>
    <i i="1">
      <x v="1"/>
    </i>
  </colItems>
  <dataFields count="2">
    <dataField name="Sum of settlement_tot" fld="19" baseField="0" baseItem="0"/>
    <dataField name="Sum of mwh_purchased" fld="13"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customProperty" Target="../customProperty3.bin"/><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customProperty" Target="../customProperty8.bin"/><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image" Target="../media/image2.emf"/><Relationship Id="rId13" Type="http://schemas.openxmlformats.org/officeDocument/2006/relationships/oleObject" Target="../embeddings/oleObject5.bin"/><Relationship Id="rId18" Type="http://schemas.openxmlformats.org/officeDocument/2006/relationships/image" Target="../media/image7.emf"/><Relationship Id="rId3" Type="http://schemas.openxmlformats.org/officeDocument/2006/relationships/drawing" Target="../drawings/drawing1.xml"/><Relationship Id="rId7" Type="http://schemas.openxmlformats.org/officeDocument/2006/relationships/oleObject" Target="../embeddings/oleObject2.bin"/><Relationship Id="rId12" Type="http://schemas.openxmlformats.org/officeDocument/2006/relationships/image" Target="../media/image4.emf"/><Relationship Id="rId17" Type="http://schemas.openxmlformats.org/officeDocument/2006/relationships/oleObject" Target="../embeddings/oleObject7.bin"/><Relationship Id="rId2" Type="http://schemas.openxmlformats.org/officeDocument/2006/relationships/customProperty" Target="../customProperty12.bin"/><Relationship Id="rId16" Type="http://schemas.openxmlformats.org/officeDocument/2006/relationships/image" Target="../media/image6.emf"/><Relationship Id="rId20" Type="http://schemas.openxmlformats.org/officeDocument/2006/relationships/image" Target="../media/image8.emf"/><Relationship Id="rId1" Type="http://schemas.openxmlformats.org/officeDocument/2006/relationships/printerSettings" Target="../printerSettings/printerSettings12.bin"/><Relationship Id="rId6" Type="http://schemas.openxmlformats.org/officeDocument/2006/relationships/image" Target="../media/image1.emf"/><Relationship Id="rId11" Type="http://schemas.openxmlformats.org/officeDocument/2006/relationships/oleObject" Target="../embeddings/oleObject4.bin"/><Relationship Id="rId5" Type="http://schemas.openxmlformats.org/officeDocument/2006/relationships/oleObject" Target="../embeddings/oleObject1.bin"/><Relationship Id="rId15" Type="http://schemas.openxmlformats.org/officeDocument/2006/relationships/oleObject" Target="../embeddings/oleObject6.bin"/><Relationship Id="rId10" Type="http://schemas.openxmlformats.org/officeDocument/2006/relationships/image" Target="../media/image3.emf"/><Relationship Id="rId19" Type="http://schemas.openxmlformats.org/officeDocument/2006/relationships/oleObject" Target="../embeddings/oleObject8.bin"/><Relationship Id="rId4" Type="http://schemas.openxmlformats.org/officeDocument/2006/relationships/vmlDrawing" Target="../drawings/vmlDrawing3.vml"/><Relationship Id="rId9" Type="http://schemas.openxmlformats.org/officeDocument/2006/relationships/oleObject" Target="../embeddings/oleObject3.bin"/><Relationship Id="rId14" Type="http://schemas.openxmlformats.org/officeDocument/2006/relationships/image" Target="../media/image5.emf"/></Relationships>
</file>

<file path=xl/worksheets/_rels/sheet13.xml.rels><?xml version="1.0" encoding="UTF-8" standalone="yes"?>
<Relationships xmlns="http://schemas.openxmlformats.org/package/2006/relationships"><Relationship Id="rId8" Type="http://schemas.openxmlformats.org/officeDocument/2006/relationships/image" Target="../media/image10.emf"/><Relationship Id="rId3" Type="http://schemas.openxmlformats.org/officeDocument/2006/relationships/drawing" Target="../drawings/drawing2.xml"/><Relationship Id="rId7" Type="http://schemas.openxmlformats.org/officeDocument/2006/relationships/oleObject" Target="../embeddings/oleObject10.bin"/><Relationship Id="rId2" Type="http://schemas.openxmlformats.org/officeDocument/2006/relationships/customProperty" Target="../customProperty13.bin"/><Relationship Id="rId1" Type="http://schemas.openxmlformats.org/officeDocument/2006/relationships/printerSettings" Target="../printerSettings/printerSettings13.bin"/><Relationship Id="rId6" Type="http://schemas.openxmlformats.org/officeDocument/2006/relationships/image" Target="../media/image9.emf"/><Relationship Id="rId5" Type="http://schemas.openxmlformats.org/officeDocument/2006/relationships/oleObject" Target="../embeddings/oleObject9.bin"/><Relationship Id="rId4" Type="http://schemas.openxmlformats.org/officeDocument/2006/relationships/vmlDrawing" Target="../drawings/vmlDrawing4.vml"/></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omments" Target="../comments3.xml"/><Relationship Id="rId2" Type="http://schemas.openxmlformats.org/officeDocument/2006/relationships/customProperty" Target="../customProperty15.bin"/><Relationship Id="rId1" Type="http://schemas.openxmlformats.org/officeDocument/2006/relationships/printerSettings" Target="../printerSettings/printerSettings15.bin"/><Relationship Id="rId6" Type="http://schemas.openxmlformats.org/officeDocument/2006/relationships/image" Target="../media/image11.emf"/><Relationship Id="rId5" Type="http://schemas.openxmlformats.org/officeDocument/2006/relationships/oleObject" Target="../embeddings/oleObject11.bin"/><Relationship Id="rId4"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customProperty" Target="../customProperty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customProperty" Target="../customProperty19.bin"/><Relationship Id="rId1" Type="http://schemas.openxmlformats.org/officeDocument/2006/relationships/printerSettings" Target="../printerSettings/printerSettings18.bin"/><Relationship Id="rId4" Type="http://schemas.openxmlformats.org/officeDocument/2006/relationships/comments" Target="../comments4.xml"/></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customProperty" Target="../customProperty23.bin"/><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customProperty" Target="../customProperty24.bin"/><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25.bin"/><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customProperty" Target="../customProperty26.bin"/><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customProperty" Target="../customProperty27.bin"/><Relationship Id="rId1" Type="http://schemas.openxmlformats.org/officeDocument/2006/relationships/printerSettings" Target="../printerSettings/printerSettings26.bin"/><Relationship Id="rId4" Type="http://schemas.openxmlformats.org/officeDocument/2006/relationships/comments" Target="../comments5.xml"/></Relationships>
</file>

<file path=xl/worksheets/_rels/sheet28.xml.rels><?xml version="1.0" encoding="UTF-8" standalone="yes"?>
<Relationships xmlns="http://schemas.openxmlformats.org/package/2006/relationships"><Relationship Id="rId2" Type="http://schemas.openxmlformats.org/officeDocument/2006/relationships/customProperty" Target="../customProperty28.bin"/><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2" Type="http://schemas.openxmlformats.org/officeDocument/2006/relationships/customProperty" Target="../customProperty29.bin"/><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2" Type="http://schemas.openxmlformats.org/officeDocument/2006/relationships/customProperty" Target="../customProperty30.bin"/><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2" Type="http://schemas.openxmlformats.org/officeDocument/2006/relationships/customProperty" Target="../customProperty31.bin"/><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2" Type="http://schemas.openxmlformats.org/officeDocument/2006/relationships/customProperty" Target="../customProperty32.bin"/><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2" Type="http://schemas.openxmlformats.org/officeDocument/2006/relationships/customProperty" Target="../customProperty33.bin"/><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2" Type="http://schemas.openxmlformats.org/officeDocument/2006/relationships/customProperty" Target="../customProperty34.bin"/><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customProperty" Target="../customProperty35.bin"/><Relationship Id="rId1" Type="http://schemas.openxmlformats.org/officeDocument/2006/relationships/printerSettings" Target="../printerSettings/printerSettings34.bin"/><Relationship Id="rId4" Type="http://schemas.openxmlformats.org/officeDocument/2006/relationships/comments" Target="../comments6.xml"/></Relationships>
</file>

<file path=xl/worksheets/_rels/sheet36.xml.rels><?xml version="1.0" encoding="UTF-8" standalone="yes"?>
<Relationships xmlns="http://schemas.openxmlformats.org/package/2006/relationships"><Relationship Id="rId2" Type="http://schemas.openxmlformats.org/officeDocument/2006/relationships/customProperty" Target="../customProperty36.bin"/><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2" Type="http://schemas.openxmlformats.org/officeDocument/2006/relationships/customProperty" Target="../customProperty37.bin"/><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2" Type="http://schemas.openxmlformats.org/officeDocument/2006/relationships/customProperty" Target="../customProperty38.bin"/><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2" Type="http://schemas.openxmlformats.org/officeDocument/2006/relationships/customProperty" Target="../customProperty39.bin"/><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2" Type="http://schemas.openxmlformats.org/officeDocument/2006/relationships/customProperty" Target="../customProperty40.bin"/><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customProperty" Target="../customProperty41.bin"/><Relationship Id="rId1" Type="http://schemas.openxmlformats.org/officeDocument/2006/relationships/printerSettings" Target="../printerSettings/printerSettings40.bin"/><Relationship Id="rId4" Type="http://schemas.openxmlformats.org/officeDocument/2006/relationships/comments" Target="../comments7.xml"/></Relationships>
</file>

<file path=xl/worksheets/_rels/sheet4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customProperty" Target="../customProperty42.bin"/><Relationship Id="rId1" Type="http://schemas.openxmlformats.org/officeDocument/2006/relationships/printerSettings" Target="../printerSettings/printerSettings41.bin"/><Relationship Id="rId4" Type="http://schemas.openxmlformats.org/officeDocument/2006/relationships/comments" Target="../comments8.xml"/></Relationships>
</file>

<file path=xl/worksheets/_rels/sheet4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customProperty" Target="../customProperty43.bin"/><Relationship Id="rId1" Type="http://schemas.openxmlformats.org/officeDocument/2006/relationships/printerSettings" Target="../printerSettings/printerSettings42.bin"/><Relationship Id="rId4" Type="http://schemas.openxmlformats.org/officeDocument/2006/relationships/comments" Target="../comments9.xml"/></Relationships>
</file>

<file path=xl/worksheets/_rels/sheet44.xml.rels><?xml version="1.0" encoding="UTF-8" standalone="yes"?>
<Relationships xmlns="http://schemas.openxmlformats.org/package/2006/relationships"><Relationship Id="rId2" Type="http://schemas.openxmlformats.org/officeDocument/2006/relationships/customProperty" Target="../customProperty44.bin"/><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2" Type="http://schemas.openxmlformats.org/officeDocument/2006/relationships/customProperty" Target="../customProperty45.bin"/><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2" Type="http://schemas.openxmlformats.org/officeDocument/2006/relationships/customProperty" Target="../customProperty46.bin"/><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2" Type="http://schemas.openxmlformats.org/officeDocument/2006/relationships/customProperty" Target="../customProperty47.bin"/><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2" Type="http://schemas.openxmlformats.org/officeDocument/2006/relationships/customProperty" Target="../customProperty48.bin"/><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2" Type="http://schemas.openxmlformats.org/officeDocument/2006/relationships/customProperty" Target="../customProperty49.bin"/><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2" Type="http://schemas.openxmlformats.org/officeDocument/2006/relationships/customProperty" Target="../customProperty50.bin"/><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2" Type="http://schemas.openxmlformats.org/officeDocument/2006/relationships/customProperty" Target="../customProperty51.bin"/><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2" Type="http://schemas.openxmlformats.org/officeDocument/2006/relationships/customProperty" Target="../customProperty52.bin"/><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customProperty" Target="../customProperty53.bin"/><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customProperty" Target="../customProperty54.bin"/><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2" Type="http://schemas.openxmlformats.org/officeDocument/2006/relationships/customProperty" Target="../customProperty55.bin"/><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2" Type="http://schemas.openxmlformats.org/officeDocument/2006/relationships/customProperty" Target="../customProperty56.bin"/><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customProperty" Target="../customProperty57.bin"/><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2" Type="http://schemas.openxmlformats.org/officeDocument/2006/relationships/customProperty" Target="../customProperty58.bin"/><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2" Type="http://schemas.openxmlformats.org/officeDocument/2006/relationships/customProperty" Target="../customProperty59.bin"/><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2" Type="http://schemas.openxmlformats.org/officeDocument/2006/relationships/customProperty" Target="../customProperty60.bin"/><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2" Type="http://schemas.openxmlformats.org/officeDocument/2006/relationships/customProperty" Target="../customProperty61.bin"/><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customProperty" Target="../customProperty62.bin"/></Relationships>
</file>

<file path=xl/worksheets/_rels/sheet63.xml.rels><?xml version="1.0" encoding="UTF-8" standalone="yes"?>
<Relationships xmlns="http://schemas.openxmlformats.org/package/2006/relationships"><Relationship Id="rId2" Type="http://schemas.openxmlformats.org/officeDocument/2006/relationships/customProperty" Target="../customProperty63.bin"/><Relationship Id="rId1" Type="http://schemas.openxmlformats.org/officeDocument/2006/relationships/printerSettings" Target="../printerSettings/printerSettings61.bin"/></Relationships>
</file>

<file path=xl/worksheets/_rels/sheet64.xml.rels><?xml version="1.0" encoding="UTF-8" standalone="yes"?>
<Relationships xmlns="http://schemas.openxmlformats.org/package/2006/relationships"><Relationship Id="rId2" Type="http://schemas.openxmlformats.org/officeDocument/2006/relationships/customProperty" Target="../customProperty64.bin"/><Relationship Id="rId1" Type="http://schemas.openxmlformats.org/officeDocument/2006/relationships/printerSettings" Target="../printerSettings/printerSettings62.bin"/></Relationships>
</file>

<file path=xl/worksheets/_rels/sheet65.xml.rels><?xml version="1.0" encoding="UTF-8" standalone="yes"?>
<Relationships xmlns="http://schemas.openxmlformats.org/package/2006/relationships"><Relationship Id="rId3" Type="http://schemas.openxmlformats.org/officeDocument/2006/relationships/pivotTable" Target="../pivotTables/pivotTable6.xml"/><Relationship Id="rId2" Type="http://schemas.openxmlformats.org/officeDocument/2006/relationships/pivotTable" Target="../pivotTables/pivotTable5.xml"/><Relationship Id="rId1" Type="http://schemas.openxmlformats.org/officeDocument/2006/relationships/pivotTable" Target="../pivotTables/pivotTable4.xml"/><Relationship Id="rId4" Type="http://schemas.openxmlformats.org/officeDocument/2006/relationships/customProperty" Target="../customProperty65.bin"/></Relationships>
</file>

<file path=xl/worksheets/_rels/sheet66.xml.rels><?xml version="1.0" encoding="UTF-8" standalone="yes"?>
<Relationships xmlns="http://schemas.openxmlformats.org/package/2006/relationships"><Relationship Id="rId2" Type="http://schemas.openxmlformats.org/officeDocument/2006/relationships/customProperty" Target="../customProperty66.bin"/><Relationship Id="rId1" Type="http://schemas.openxmlformats.org/officeDocument/2006/relationships/printerSettings" Target="../printerSettings/printerSettings63.bin"/></Relationships>
</file>

<file path=xl/worksheets/_rels/sheet67.xml.rels><?xml version="1.0" encoding="UTF-8" standalone="yes"?>
<Relationships xmlns="http://schemas.openxmlformats.org/package/2006/relationships"><Relationship Id="rId1" Type="http://schemas.openxmlformats.org/officeDocument/2006/relationships/customProperty" Target="../customProperty67.bin"/></Relationships>
</file>

<file path=xl/worksheets/_rels/sheet68.xml.rels><?xml version="1.0" encoding="UTF-8" standalone="yes"?>
<Relationships xmlns="http://schemas.openxmlformats.org/package/2006/relationships"><Relationship Id="rId2" Type="http://schemas.openxmlformats.org/officeDocument/2006/relationships/customProperty" Target="../customProperty68.bin"/><Relationship Id="rId1" Type="http://schemas.openxmlformats.org/officeDocument/2006/relationships/printerSettings" Target="../printerSettings/printerSettings64.bin"/></Relationships>
</file>

<file path=xl/worksheets/_rels/sheet69.xml.rels><?xml version="1.0" encoding="UTF-8" standalone="yes"?>
<Relationships xmlns="http://schemas.openxmlformats.org/package/2006/relationships"><Relationship Id="rId2" Type="http://schemas.openxmlformats.org/officeDocument/2006/relationships/customProperty" Target="../customProperty69.bin"/><Relationship Id="rId1" Type="http://schemas.openxmlformats.org/officeDocument/2006/relationships/printerSettings" Target="../printerSettings/printerSettings65.bin"/></Relationships>
</file>

<file path=xl/worksheets/_rels/sheet70.xml.rels><?xml version="1.0" encoding="UTF-8" standalone="yes"?>
<Relationships xmlns="http://schemas.openxmlformats.org/package/2006/relationships"><Relationship Id="rId2" Type="http://schemas.openxmlformats.org/officeDocument/2006/relationships/customProperty" Target="../customProperty70.bin"/><Relationship Id="rId1" Type="http://schemas.openxmlformats.org/officeDocument/2006/relationships/printerSettings" Target="../printerSettings/printerSettings66.bin"/></Relationships>
</file>

<file path=xl/worksheets/_rels/sheet71.xml.rels><?xml version="1.0" encoding="UTF-8" standalone="yes"?>
<Relationships xmlns="http://schemas.openxmlformats.org/package/2006/relationships"><Relationship Id="rId1" Type="http://schemas.openxmlformats.org/officeDocument/2006/relationships/customProperty" Target="../customProperty71.bin"/></Relationships>
</file>

<file path=xl/worksheets/_rels/sheet72.xml.rels><?xml version="1.0" encoding="UTF-8" standalone="yes"?>
<Relationships xmlns="http://schemas.openxmlformats.org/package/2006/relationships"><Relationship Id="rId2" Type="http://schemas.openxmlformats.org/officeDocument/2006/relationships/customProperty" Target="../customProperty72.bin"/><Relationship Id="rId1" Type="http://schemas.openxmlformats.org/officeDocument/2006/relationships/printerSettings" Target="../printerSettings/printerSettings67.bin"/></Relationships>
</file>

<file path=xl/worksheets/_rels/sheet73.xml.rels><?xml version="1.0" encoding="UTF-8" standalone="yes"?>
<Relationships xmlns="http://schemas.openxmlformats.org/package/2006/relationships"><Relationship Id="rId2" Type="http://schemas.openxmlformats.org/officeDocument/2006/relationships/customProperty" Target="../customProperty73.bin"/><Relationship Id="rId1" Type="http://schemas.openxmlformats.org/officeDocument/2006/relationships/printerSettings" Target="../printerSettings/printerSettings68.bin"/></Relationships>
</file>

<file path=xl/worksheets/_rels/sheet74.xml.rels><?xml version="1.0" encoding="UTF-8" standalone="yes"?>
<Relationships xmlns="http://schemas.openxmlformats.org/package/2006/relationships"><Relationship Id="rId1" Type="http://schemas.openxmlformats.org/officeDocument/2006/relationships/customProperty" Target="../customProperty7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4">
    <tabColor rgb="FFC00000"/>
    <pageSetUpPr fitToPage="1"/>
  </sheetPr>
  <dimension ref="A1:P103"/>
  <sheetViews>
    <sheetView view="pageLayout" topLeftCell="A7" zoomScaleNormal="100" workbookViewId="0">
      <selection activeCell="C23" sqref="C23"/>
    </sheetView>
  </sheetViews>
  <sheetFormatPr defaultColWidth="9" defaultRowHeight="15.75"/>
  <cols>
    <col min="3" max="3" width="12.875" customWidth="1"/>
    <col min="4" max="4" width="11.75" customWidth="1"/>
    <col min="5" max="5" width="10.125" customWidth="1"/>
    <col min="6" max="6" width="50.875" style="623" customWidth="1"/>
    <col min="8" max="8" width="32.75" style="623" customWidth="1"/>
  </cols>
  <sheetData>
    <row r="1" spans="1:12">
      <c r="A1" s="1909"/>
      <c r="B1" s="1909"/>
      <c r="C1" s="1909"/>
      <c r="D1" s="1909"/>
      <c r="E1" s="1909"/>
      <c r="F1" s="1910"/>
      <c r="G1" s="1909"/>
      <c r="H1" s="1910"/>
      <c r="I1" s="1909"/>
      <c r="J1" s="1909"/>
      <c r="K1" s="1909"/>
      <c r="L1" s="1909"/>
    </row>
    <row r="2" spans="1:12">
      <c r="A2" s="1909"/>
      <c r="B2" s="1909"/>
      <c r="C2" s="1909"/>
      <c r="D2" s="1909"/>
      <c r="E2" s="1909"/>
      <c r="F2" s="1910"/>
      <c r="G2" s="1909"/>
      <c r="H2" s="1910"/>
      <c r="I2" s="1909"/>
      <c r="J2" s="1909"/>
      <c r="K2" s="1909"/>
      <c r="L2" s="1909"/>
    </row>
    <row r="3" spans="1:12">
      <c r="A3" s="1909"/>
      <c r="B3" s="1909"/>
      <c r="C3" s="1909"/>
      <c r="D3" s="1909"/>
      <c r="E3" s="1909"/>
      <c r="F3" s="1910"/>
      <c r="G3" s="1909"/>
      <c r="H3" s="1910"/>
      <c r="I3" s="1909"/>
      <c r="J3" s="1909"/>
      <c r="K3" s="1909"/>
      <c r="L3" s="1909"/>
    </row>
    <row r="4" spans="1:12">
      <c r="A4" s="1911">
        <v>1</v>
      </c>
      <c r="B4" s="1912" t="s">
        <v>817</v>
      </c>
      <c r="C4" s="1909"/>
      <c r="D4" s="1909"/>
      <c r="E4" s="1909"/>
      <c r="F4" s="1910"/>
      <c r="G4" s="1909"/>
      <c r="H4" s="1910"/>
      <c r="I4" s="1909"/>
      <c r="J4" s="1909"/>
      <c r="K4" s="1909"/>
      <c r="L4" s="1909"/>
    </row>
    <row r="5" spans="1:12">
      <c r="A5" s="1909"/>
      <c r="B5" s="1909"/>
      <c r="C5" s="1909"/>
      <c r="D5" s="1909"/>
      <c r="E5" s="1909"/>
      <c r="F5" s="1910"/>
      <c r="G5" s="1909"/>
      <c r="H5" s="1910"/>
      <c r="I5" s="1909"/>
      <c r="J5" s="1909"/>
      <c r="K5" s="1909"/>
      <c r="L5" s="1909"/>
    </row>
    <row r="6" spans="1:12">
      <c r="A6" s="1909"/>
      <c r="B6" s="1909"/>
      <c r="C6" s="1913" t="s">
        <v>813</v>
      </c>
      <c r="D6" s="1912" t="s">
        <v>814</v>
      </c>
      <c r="E6" s="1909"/>
      <c r="F6" s="1914">
        <v>2021</v>
      </c>
      <c r="G6" s="1915" t="s">
        <v>809</v>
      </c>
      <c r="H6" s="1916">
        <v>2023</v>
      </c>
      <c r="I6" s="1909"/>
      <c r="J6" s="1909"/>
      <c r="K6" s="1909"/>
      <c r="L6" s="1909"/>
    </row>
    <row r="8" spans="1:12">
      <c r="C8" s="1956" t="s">
        <v>815</v>
      </c>
      <c r="D8" s="1211" t="s">
        <v>814</v>
      </c>
      <c r="F8" s="1957">
        <v>44743</v>
      </c>
      <c r="G8" s="1656" t="s">
        <v>809</v>
      </c>
      <c r="H8" s="1957">
        <v>45476</v>
      </c>
    </row>
    <row r="10" spans="1:12">
      <c r="B10" s="1211"/>
    </row>
    <row r="11" spans="1:12">
      <c r="A11" s="15">
        <v>2</v>
      </c>
      <c r="B11" s="1211" t="s">
        <v>824</v>
      </c>
    </row>
    <row r="12" spans="1:12">
      <c r="C12" s="1070"/>
      <c r="D12" s="1211"/>
      <c r="F12" s="1650"/>
      <c r="G12" s="1656"/>
      <c r="H12" s="1659"/>
    </row>
    <row r="13" spans="1:12">
      <c r="C13" s="1956" t="s">
        <v>818</v>
      </c>
      <c r="D13" s="1211" t="s">
        <v>819</v>
      </c>
      <c r="F13" s="1650" t="s">
        <v>833</v>
      </c>
      <c r="G13" s="1656" t="s">
        <v>809</v>
      </c>
      <c r="H13" s="1650" t="s">
        <v>871</v>
      </c>
    </row>
    <row r="15" spans="1:12">
      <c r="C15" s="1070"/>
      <c r="D15" s="1211"/>
      <c r="F15" s="1650"/>
      <c r="G15" s="1656"/>
      <c r="H15" s="1650"/>
    </row>
    <row r="16" spans="1:12">
      <c r="A16" s="15">
        <v>3</v>
      </c>
      <c r="B16" s="1211" t="s">
        <v>825</v>
      </c>
    </row>
    <row r="17" spans="1:9">
      <c r="C17" s="1070"/>
      <c r="D17" s="1211"/>
      <c r="F17" s="1650"/>
      <c r="G17" s="1656"/>
      <c r="H17" s="1659"/>
    </row>
    <row r="18" spans="1:9">
      <c r="C18" s="1956" t="s">
        <v>818</v>
      </c>
      <c r="D18" s="1211" t="s">
        <v>819</v>
      </c>
      <c r="F18" s="1650" t="s">
        <v>834</v>
      </c>
      <c r="G18" s="1656" t="s">
        <v>809</v>
      </c>
      <c r="H18" s="1650" t="s">
        <v>872</v>
      </c>
    </row>
    <row r="21" spans="1:9">
      <c r="A21" s="15">
        <v>4</v>
      </c>
      <c r="B21" s="1211" t="s">
        <v>820</v>
      </c>
      <c r="C21" s="1211"/>
      <c r="F21" s="1659" t="s">
        <v>835</v>
      </c>
      <c r="G21" s="1656" t="s">
        <v>809</v>
      </c>
      <c r="H21" s="1659" t="s">
        <v>835</v>
      </c>
    </row>
    <row r="22" spans="1:9">
      <c r="C22" s="1070"/>
    </row>
    <row r="23" spans="1:9">
      <c r="A23" s="15"/>
      <c r="C23" s="1070"/>
      <c r="D23" s="1211"/>
      <c r="F23" s="1650"/>
      <c r="H23" s="1659"/>
    </row>
    <row r="24" spans="1:9">
      <c r="A24" s="15">
        <v>5</v>
      </c>
      <c r="B24" s="1211" t="s">
        <v>822</v>
      </c>
      <c r="C24" s="1070"/>
      <c r="D24" s="1211"/>
      <c r="F24" s="1650"/>
      <c r="H24" s="1659"/>
    </row>
    <row r="25" spans="1:9">
      <c r="A25" s="15"/>
      <c r="C25" s="1070"/>
      <c r="D25" s="1211"/>
      <c r="F25" s="1650"/>
      <c r="H25" s="1659"/>
    </row>
    <row r="26" spans="1:9">
      <c r="A26" s="15"/>
      <c r="C26" s="1956" t="s">
        <v>823</v>
      </c>
      <c r="D26" s="1211" t="s">
        <v>819</v>
      </c>
      <c r="F26" s="1957">
        <v>45566</v>
      </c>
      <c r="G26" s="1656" t="s">
        <v>809</v>
      </c>
      <c r="H26" s="1957">
        <v>46478</v>
      </c>
      <c r="I26" t="s">
        <v>873</v>
      </c>
    </row>
    <row r="27" spans="1:9">
      <c r="A27" s="15"/>
      <c r="C27" s="1070"/>
      <c r="D27" s="1211"/>
      <c r="F27" s="1650"/>
      <c r="H27" s="1659"/>
    </row>
    <row r="28" spans="1:9">
      <c r="A28" s="15">
        <v>6</v>
      </c>
      <c r="B28" s="1211" t="s">
        <v>869</v>
      </c>
      <c r="C28" s="1956"/>
      <c r="D28" s="1211"/>
      <c r="F28" s="1650"/>
      <c r="G28" s="1211"/>
      <c r="H28" s="1650"/>
    </row>
    <row r="29" spans="1:9">
      <c r="A29" s="15"/>
      <c r="C29" s="1956"/>
      <c r="D29" s="1211"/>
      <c r="E29" s="1070"/>
      <c r="F29" s="1659"/>
      <c r="G29" s="1656"/>
      <c r="H29" s="1650"/>
    </row>
    <row r="30" spans="1:9">
      <c r="A30" s="15"/>
      <c r="C30" t="s">
        <v>875</v>
      </c>
      <c r="D30" s="1070"/>
      <c r="E30" s="2281"/>
      <c r="F30" s="2281"/>
      <c r="G30" s="1070"/>
    </row>
    <row r="31" spans="1:9">
      <c r="A31" s="15"/>
      <c r="C31" s="1956"/>
      <c r="D31" s="1211"/>
      <c r="E31" s="1070"/>
      <c r="F31" s="1650"/>
      <c r="G31" s="1656"/>
      <c r="H31" s="1650"/>
    </row>
    <row r="32" spans="1:9">
      <c r="A32" s="15"/>
      <c r="D32" s="1070"/>
      <c r="E32" s="2281"/>
      <c r="F32" s="2281"/>
      <c r="G32" s="1070"/>
    </row>
    <row r="33" spans="1:16">
      <c r="A33" s="15"/>
      <c r="C33" s="1651"/>
      <c r="D33" s="1211"/>
      <c r="E33" s="1070"/>
      <c r="F33" s="1659"/>
      <c r="G33" s="1656"/>
      <c r="H33" s="1650"/>
    </row>
    <row r="34" spans="1:16">
      <c r="A34" s="15"/>
      <c r="E34" s="1070"/>
      <c r="F34" s="1659"/>
    </row>
    <row r="35" spans="1:16">
      <c r="A35" s="15"/>
      <c r="C35" s="1651"/>
      <c r="D35" s="1211"/>
      <c r="E35" s="1070"/>
      <c r="F35" s="1659"/>
      <c r="G35" s="1656"/>
      <c r="H35" s="1650"/>
    </row>
    <row r="36" spans="1:16">
      <c r="A36" s="15"/>
      <c r="C36" s="1070"/>
      <c r="D36" s="1070"/>
      <c r="E36" s="1070"/>
      <c r="F36" s="1659"/>
    </row>
    <row r="37" spans="1:16">
      <c r="A37" s="15"/>
      <c r="C37" s="1651"/>
      <c r="D37" s="1211"/>
      <c r="E37" s="1070"/>
      <c r="F37" s="1659"/>
      <c r="G37" s="1656"/>
      <c r="H37" s="1650"/>
    </row>
    <row r="38" spans="1:16">
      <c r="A38" s="15"/>
      <c r="D38" s="1070"/>
      <c r="E38" s="2281"/>
      <c r="F38" s="2281"/>
      <c r="G38" s="1070"/>
    </row>
    <row r="39" spans="1:16">
      <c r="A39" s="15"/>
      <c r="C39" s="1651"/>
      <c r="D39" s="1211"/>
      <c r="E39" s="1070"/>
      <c r="F39" s="1659"/>
      <c r="G39" s="1656"/>
      <c r="H39" s="1650"/>
    </row>
    <row r="40" spans="1:16">
      <c r="A40" s="15"/>
      <c r="D40" s="1070"/>
      <c r="E40" s="2281"/>
      <c r="F40" s="2281"/>
      <c r="G40" s="1070"/>
    </row>
    <row r="41" spans="1:16">
      <c r="A41" s="15"/>
      <c r="C41" s="1651"/>
      <c r="D41" s="1211"/>
      <c r="E41" s="1070"/>
      <c r="F41" s="1659"/>
      <c r="G41" s="1656"/>
      <c r="H41" s="1650"/>
    </row>
    <row r="42" spans="1:16">
      <c r="A42" s="15"/>
      <c r="D42" s="1070"/>
    </row>
    <row r="43" spans="1:16">
      <c r="A43" s="15"/>
      <c r="C43" s="1651"/>
      <c r="D43" s="1211"/>
      <c r="F43" s="1650"/>
      <c r="G43" s="1656"/>
      <c r="H43" s="1650"/>
    </row>
    <row r="44" spans="1:16">
      <c r="A44" s="15"/>
      <c r="C44" s="1070"/>
      <c r="D44" s="1070"/>
    </row>
    <row r="45" spans="1:16">
      <c r="A45" s="15"/>
      <c r="C45" s="1651"/>
      <c r="D45" s="1211"/>
      <c r="F45" s="1650"/>
      <c r="G45" s="1656"/>
      <c r="H45" s="1650"/>
    </row>
    <row r="46" spans="1:16">
      <c r="A46" s="15"/>
      <c r="D46" s="1070"/>
      <c r="E46" s="2279"/>
      <c r="F46" s="2279"/>
      <c r="G46" s="1070"/>
      <c r="O46" s="1643"/>
      <c r="P46" s="1643"/>
    </row>
    <row r="47" spans="1:16">
      <c r="A47" s="15"/>
      <c r="C47" s="1651"/>
      <c r="D47" s="1211"/>
      <c r="F47" s="1650"/>
      <c r="G47" s="1656"/>
      <c r="H47" s="1650"/>
    </row>
    <row r="48" spans="1:16">
      <c r="A48" s="15"/>
      <c r="D48" s="1070"/>
    </row>
    <row r="49" spans="1:8">
      <c r="A49" s="15"/>
      <c r="C49" s="1651"/>
      <c r="D49" s="1211"/>
      <c r="F49" s="1650"/>
      <c r="G49" s="1656"/>
      <c r="H49" s="1650"/>
    </row>
    <row r="50" spans="1:8">
      <c r="A50" s="15"/>
      <c r="D50" s="1070"/>
      <c r="E50" s="2279"/>
      <c r="F50" s="2279"/>
      <c r="G50" s="1070"/>
    </row>
    <row r="51" spans="1:8">
      <c r="A51" s="15"/>
      <c r="C51" s="1651"/>
      <c r="D51" s="1211"/>
      <c r="E51" s="1659"/>
      <c r="F51" s="1659"/>
      <c r="G51" s="1656"/>
      <c r="H51" s="1650"/>
    </row>
    <row r="52" spans="1:8">
      <c r="A52" s="15"/>
      <c r="C52" s="1070"/>
      <c r="D52" s="1070"/>
      <c r="E52" s="2280"/>
      <c r="F52" s="2280"/>
      <c r="G52" s="1070"/>
      <c r="H52" s="1659"/>
    </row>
    <row r="53" spans="1:8">
      <c r="A53" s="15"/>
      <c r="C53" s="1651"/>
      <c r="D53" s="1211"/>
      <c r="E53" s="1659"/>
      <c r="F53" s="1659"/>
      <c r="G53" s="1656"/>
      <c r="H53" s="1650"/>
    </row>
    <row r="54" spans="1:8">
      <c r="A54" s="15"/>
      <c r="C54" s="1070"/>
      <c r="E54" s="1659"/>
      <c r="F54" s="1659"/>
      <c r="H54" s="1659"/>
    </row>
    <row r="55" spans="1:8">
      <c r="A55" s="15"/>
      <c r="C55" s="1651"/>
      <c r="D55" s="1211"/>
      <c r="E55" s="1659"/>
      <c r="F55" s="1659"/>
      <c r="G55" s="1656"/>
      <c r="H55" s="1650"/>
    </row>
    <row r="56" spans="1:8">
      <c r="A56" s="15"/>
      <c r="B56" s="1211"/>
      <c r="C56" s="1070"/>
      <c r="E56" s="1659"/>
      <c r="F56" s="1659"/>
      <c r="H56" s="1659"/>
    </row>
    <row r="57" spans="1:8">
      <c r="A57" s="15"/>
      <c r="C57" s="1651"/>
      <c r="D57" s="1211"/>
      <c r="E57" s="1659"/>
      <c r="F57" s="1659"/>
      <c r="G57" s="1656"/>
      <c r="H57" s="1650"/>
    </row>
    <row r="58" spans="1:8">
      <c r="C58" s="1070"/>
      <c r="D58" s="1211"/>
      <c r="E58" s="1659"/>
      <c r="F58" s="1650"/>
      <c r="G58" s="1656"/>
      <c r="H58" s="1659"/>
    </row>
    <row r="59" spans="1:8">
      <c r="C59" s="1651"/>
      <c r="D59" s="1211"/>
      <c r="E59" s="1659"/>
      <c r="F59" s="1659"/>
      <c r="G59" s="1656"/>
      <c r="H59" s="1650"/>
    </row>
    <row r="60" spans="1:8">
      <c r="C60" s="1070"/>
      <c r="E60" s="1659"/>
      <c r="F60" s="1659"/>
      <c r="H60" s="1659"/>
    </row>
    <row r="61" spans="1:8">
      <c r="B61" s="1211"/>
      <c r="C61" s="1651"/>
      <c r="D61" s="1211"/>
      <c r="E61" s="1659"/>
      <c r="F61" s="1659"/>
      <c r="G61" s="1656"/>
      <c r="H61" s="1650"/>
    </row>
    <row r="62" spans="1:8">
      <c r="C62" s="1070"/>
      <c r="E62" s="1659"/>
      <c r="F62" s="1659"/>
      <c r="H62" s="1659"/>
    </row>
    <row r="63" spans="1:8">
      <c r="C63" s="1651"/>
      <c r="D63" s="1211"/>
      <c r="E63" s="1659"/>
      <c r="F63" s="1659"/>
      <c r="G63" s="1656"/>
      <c r="H63" s="1650"/>
    </row>
    <row r="64" spans="1:8">
      <c r="C64" s="1070"/>
      <c r="D64" s="1211"/>
      <c r="E64" s="1659"/>
      <c r="F64" s="1659"/>
      <c r="H64" s="1659"/>
    </row>
    <row r="65" spans="2:8">
      <c r="C65" s="1651"/>
      <c r="D65" s="1211"/>
      <c r="E65" s="1659"/>
      <c r="F65" s="1659"/>
      <c r="G65" s="1656"/>
      <c r="H65" s="1650"/>
    </row>
    <row r="66" spans="2:8">
      <c r="B66" s="1211"/>
      <c r="C66" s="1070"/>
      <c r="D66" s="1211"/>
      <c r="E66" s="1659"/>
      <c r="F66" s="1659"/>
      <c r="H66" s="1659"/>
    </row>
    <row r="67" spans="2:8">
      <c r="B67" s="1211"/>
      <c r="C67" s="1651"/>
      <c r="D67" s="1211"/>
      <c r="E67" s="1659"/>
      <c r="F67" s="1659"/>
      <c r="G67" s="1656"/>
      <c r="H67" s="1650"/>
    </row>
    <row r="68" spans="2:8">
      <c r="C68" s="1070"/>
      <c r="D68" s="1211"/>
      <c r="E68" s="1659"/>
      <c r="F68" s="1659"/>
      <c r="G68" s="1656"/>
      <c r="H68" s="1650"/>
    </row>
    <row r="69" spans="2:8">
      <c r="C69" s="1651"/>
      <c r="D69" s="1211"/>
      <c r="E69" s="1659"/>
      <c r="F69" s="1659"/>
      <c r="G69" s="1656"/>
      <c r="H69" s="1650"/>
    </row>
    <row r="70" spans="2:8">
      <c r="C70" s="1070"/>
      <c r="D70" s="1211"/>
      <c r="F70" s="1650"/>
      <c r="G70" s="1656"/>
      <c r="H70" s="1650"/>
    </row>
    <row r="71" spans="2:8">
      <c r="C71" s="1651"/>
      <c r="D71" s="1211"/>
      <c r="E71" s="1659"/>
      <c r="F71" s="1659"/>
      <c r="G71" s="1656"/>
      <c r="H71" s="1650"/>
    </row>
    <row r="72" spans="2:8">
      <c r="C72" s="1070"/>
      <c r="D72" s="1211"/>
      <c r="F72" s="1650"/>
      <c r="G72" s="1656"/>
      <c r="H72" s="1650"/>
    </row>
    <row r="73" spans="2:8">
      <c r="C73" s="1651"/>
      <c r="D73" s="1211"/>
      <c r="E73" s="1659"/>
      <c r="F73" s="1659"/>
      <c r="G73" s="1656"/>
      <c r="H73" s="1650"/>
    </row>
    <row r="75" spans="2:8">
      <c r="C75" s="1651"/>
      <c r="D75" s="1211"/>
      <c r="E75" s="1659"/>
      <c r="F75" s="1659"/>
      <c r="G75" s="1656"/>
      <c r="H75" s="1650"/>
    </row>
    <row r="77" spans="2:8">
      <c r="C77" s="1651"/>
      <c r="D77" s="1211"/>
      <c r="E77" s="1659"/>
      <c r="F77" s="1659"/>
      <c r="G77" s="1656"/>
      <c r="H77" s="1650"/>
    </row>
    <row r="79" spans="2:8">
      <c r="C79" s="1651"/>
      <c r="D79" s="1211"/>
      <c r="E79" s="1659"/>
      <c r="F79" s="1659"/>
      <c r="G79" s="1656"/>
      <c r="H79" s="1650"/>
    </row>
    <row r="81" spans="3:8">
      <c r="C81" s="1651"/>
      <c r="D81" s="1211"/>
      <c r="E81" s="1659"/>
      <c r="F81" s="1659"/>
      <c r="G81" s="1656"/>
      <c r="H81" s="1650"/>
    </row>
    <row r="83" spans="3:8">
      <c r="C83" s="1651"/>
      <c r="D83" s="1211"/>
      <c r="E83" s="1659"/>
      <c r="F83" s="1659"/>
      <c r="G83" s="1656"/>
      <c r="H83" s="1650"/>
    </row>
    <row r="85" spans="3:8">
      <c r="C85" s="1651"/>
      <c r="D85" s="1211"/>
      <c r="E85" s="1659"/>
      <c r="F85" s="1659"/>
      <c r="G85" s="1656"/>
      <c r="H85" s="1650"/>
    </row>
    <row r="87" spans="3:8">
      <c r="C87" s="1651"/>
      <c r="D87" s="1211"/>
      <c r="E87" s="1659"/>
      <c r="F87" s="1659"/>
      <c r="G87" s="1656"/>
      <c r="H87" s="1650"/>
    </row>
    <row r="89" spans="3:8">
      <c r="C89" s="1651"/>
      <c r="D89" s="1211"/>
      <c r="E89" s="1659"/>
      <c r="F89" s="1659"/>
      <c r="G89" s="1656"/>
      <c r="H89" s="1650"/>
    </row>
    <row r="91" spans="3:8">
      <c r="C91" s="1651"/>
      <c r="D91" s="1211"/>
      <c r="E91" s="1659"/>
      <c r="F91" s="1659"/>
      <c r="G91" s="1656"/>
      <c r="H91" s="1650"/>
    </row>
    <row r="93" spans="3:8">
      <c r="C93" s="1651"/>
      <c r="D93" s="1211"/>
      <c r="E93" s="1659"/>
      <c r="F93" s="1659"/>
      <c r="G93" s="1656"/>
      <c r="H93" s="1650"/>
    </row>
    <row r="95" spans="3:8">
      <c r="C95" s="1651"/>
      <c r="D95" s="1211"/>
      <c r="E95" s="1659"/>
      <c r="F95" s="1659"/>
      <c r="G95" s="1656"/>
      <c r="H95" s="1650"/>
    </row>
    <row r="97" spans="3:8">
      <c r="C97" s="1651"/>
      <c r="D97" s="1211"/>
      <c r="E97" s="1659"/>
      <c r="F97" s="1659"/>
      <c r="G97" s="1656"/>
      <c r="H97" s="1650"/>
    </row>
    <row r="99" spans="3:8">
      <c r="C99" s="1651"/>
      <c r="D99" s="1211"/>
      <c r="E99" s="1659"/>
      <c r="F99" s="1659"/>
      <c r="G99" s="1656"/>
      <c r="H99" s="1650"/>
    </row>
    <row r="101" spans="3:8">
      <c r="C101" s="1651"/>
      <c r="D101" s="1211"/>
      <c r="E101" s="1659"/>
      <c r="F101" s="1659"/>
      <c r="G101" s="1656"/>
      <c r="H101" s="1650"/>
    </row>
    <row r="103" spans="3:8">
      <c r="C103" s="1651"/>
      <c r="D103" s="1211"/>
      <c r="E103" s="1659"/>
      <c r="F103" s="1659"/>
      <c r="G103" s="1656"/>
      <c r="H103" s="1650"/>
    </row>
  </sheetData>
  <mergeCells count="7">
    <mergeCell ref="E50:F50"/>
    <mergeCell ref="E52:F52"/>
    <mergeCell ref="E32:F32"/>
    <mergeCell ref="E30:F30"/>
    <mergeCell ref="E38:F38"/>
    <mergeCell ref="E40:F40"/>
    <mergeCell ref="E46:F46"/>
  </mergeCells>
  <hyperlinks>
    <hyperlink ref="C6" location="'Sch 1- Rate Base '!E6" display="Cell E6" xr:uid="{00000000-0004-0000-0000-000000000000}"/>
    <hyperlink ref="C13" location="'NLSL_Base_New-Calc'!A47" display="Cell A47" xr:uid="{00000000-0004-0000-0000-000001000000}"/>
    <hyperlink ref="C8" location="'Sch 1- Rate Base '!E7" display="Cell E7" xr:uid="{00000000-0004-0000-0000-000002000000}"/>
    <hyperlink ref="C18" location="'Above-RHWM_Base_Calc'!A47" display="Cell A47" xr:uid="{00000000-0004-0000-0000-000003000000}"/>
    <hyperlink ref="C26" location="'New Resources - Individual'!B3" display="Cell B3" xr:uid="{00000000-0004-0000-0000-000004000000}"/>
  </hyperlinks>
  <pageMargins left="0.25" right="0.25" top="0.75" bottom="0.75" header="0.3" footer="0.3"/>
  <pageSetup scale="62" orientation="landscape" r:id="rId1"/>
  <customProperties>
    <customPr name="xxe4aP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indexed="20"/>
  </sheetPr>
  <dimension ref="A1:D43"/>
  <sheetViews>
    <sheetView zoomScaleNormal="100" workbookViewId="0">
      <selection activeCell="B15" sqref="B15"/>
    </sheetView>
  </sheetViews>
  <sheetFormatPr defaultRowHeight="15.75"/>
  <cols>
    <col min="1" max="1" width="5.5" customWidth="1"/>
    <col min="2" max="2" width="32.5" style="1213" customWidth="1"/>
    <col min="3" max="4" width="9" style="1213"/>
  </cols>
  <sheetData>
    <row r="1" spans="1:4">
      <c r="A1" s="2281" t="s">
        <v>870</v>
      </c>
      <c r="B1" s="2281"/>
    </row>
    <row r="2" spans="1:4">
      <c r="A2" s="2281" t="s">
        <v>722</v>
      </c>
      <c r="B2" s="2281"/>
      <c r="C2" s="1211"/>
      <c r="D2" s="1211"/>
    </row>
    <row r="4" spans="1:4">
      <c r="A4" s="1200">
        <v>1</v>
      </c>
      <c r="B4" s="1212" t="s">
        <v>698</v>
      </c>
    </row>
    <row r="5" spans="1:4">
      <c r="A5" s="1314">
        <v>2</v>
      </c>
      <c r="B5" s="1212" t="s">
        <v>702</v>
      </c>
    </row>
    <row r="6" spans="1:4">
      <c r="A6" s="1204">
        <v>3</v>
      </c>
      <c r="B6" s="1212" t="s">
        <v>703</v>
      </c>
    </row>
    <row r="7" spans="1:4">
      <c r="A7" s="1205">
        <v>5</v>
      </c>
      <c r="B7" s="1212" t="s">
        <v>704</v>
      </c>
    </row>
    <row r="8" spans="1:4">
      <c r="A8" s="1206">
        <v>6</v>
      </c>
      <c r="B8" s="1212" t="s">
        <v>705</v>
      </c>
    </row>
    <row r="9" spans="1:4">
      <c r="A9" s="1207">
        <v>7</v>
      </c>
      <c r="B9" s="1212" t="s">
        <v>706</v>
      </c>
    </row>
    <row r="10" spans="1:4">
      <c r="A10" s="1208">
        <v>8</v>
      </c>
      <c r="B10" s="1212" t="s">
        <v>707</v>
      </c>
    </row>
    <row r="11" spans="1:4">
      <c r="A11" s="1201">
        <v>9</v>
      </c>
      <c r="B11" s="1212" t="s">
        <v>701</v>
      </c>
    </row>
    <row r="12" spans="1:4">
      <c r="A12" s="1146">
        <v>10</v>
      </c>
      <c r="B12" s="1212" t="s">
        <v>708</v>
      </c>
    </row>
    <row r="13" spans="1:4">
      <c r="A13" s="903">
        <v>11</v>
      </c>
      <c r="B13" s="1212" t="s">
        <v>709</v>
      </c>
    </row>
    <row r="14" spans="1:4">
      <c r="A14" s="1320">
        <v>12</v>
      </c>
      <c r="B14" s="1212" t="s">
        <v>710</v>
      </c>
    </row>
    <row r="15" spans="1:4">
      <c r="A15" s="1319">
        <v>13</v>
      </c>
      <c r="B15" s="1212" t="s">
        <v>711</v>
      </c>
    </row>
    <row r="16" spans="1:4">
      <c r="A16" s="1319">
        <v>14</v>
      </c>
      <c r="B16" s="1212" t="s">
        <v>766</v>
      </c>
    </row>
    <row r="17" spans="1:2">
      <c r="A17" s="1317">
        <v>15</v>
      </c>
      <c r="B17" s="1212" t="s">
        <v>712</v>
      </c>
    </row>
    <row r="18" spans="1:2">
      <c r="A18" s="1318">
        <v>16</v>
      </c>
      <c r="B18" s="1212" t="s">
        <v>713</v>
      </c>
    </row>
    <row r="19" spans="1:2">
      <c r="A19" s="1315">
        <v>17</v>
      </c>
      <c r="B19" s="1212" t="s">
        <v>714</v>
      </c>
    </row>
    <row r="20" spans="1:2">
      <c r="A20" s="1209">
        <v>18</v>
      </c>
      <c r="B20" s="1212" t="s">
        <v>715</v>
      </c>
    </row>
    <row r="21" spans="1:2">
      <c r="A21" s="1209">
        <v>19</v>
      </c>
      <c r="B21" s="1212" t="s">
        <v>796</v>
      </c>
    </row>
    <row r="22" spans="1:2">
      <c r="A22" s="1316">
        <v>20</v>
      </c>
      <c r="B22" s="1212" t="s">
        <v>717</v>
      </c>
    </row>
    <row r="23" spans="1:2">
      <c r="A23" s="1316">
        <v>21</v>
      </c>
      <c r="B23" s="1212" t="s">
        <v>767</v>
      </c>
    </row>
    <row r="24" spans="1:2">
      <c r="A24" s="1210">
        <v>22</v>
      </c>
      <c r="B24" s="1212" t="s">
        <v>716</v>
      </c>
    </row>
    <row r="35" spans="1:1">
      <c r="A35" s="1211"/>
    </row>
    <row r="37" spans="1:1">
      <c r="A37" s="1641"/>
    </row>
    <row r="43" spans="1:1">
      <c r="A43" s="1641"/>
    </row>
  </sheetData>
  <mergeCells count="2">
    <mergeCell ref="A2:B2"/>
    <mergeCell ref="A1:B1"/>
  </mergeCells>
  <phoneticPr fontId="148" type="noConversion"/>
  <hyperlinks>
    <hyperlink ref="B4" location="'Sch 1- Rate Base '!A1" display="Schedule 1 - Rate Base" xr:uid="{00000000-0004-0000-0100-000000000000}"/>
    <hyperlink ref="B5" location="'Sch 1A - Cash Working Capital'!A1" display="Schedule 1A - Cash Working Capital" xr:uid="{00000000-0004-0000-0100-000001000000}"/>
    <hyperlink ref="B6" location="'Sch 2 -Rate of Return'!A1" display="Schedule 2 -Rate of Return" xr:uid="{00000000-0004-0000-0100-000002000000}"/>
    <hyperlink ref="B7" location="'Sch 3 - Expenses'!A1" display="Schedule 3 - Expenses" xr:uid="{00000000-0004-0000-0100-000003000000}"/>
    <hyperlink ref="B8" location="'Sch 3A - Taxes'!A1" display="Schedule 3A - Taxes" xr:uid="{00000000-0004-0000-0100-000004000000}"/>
    <hyperlink ref="B9" location="'Sch 3B - Other Items'!A1" display="Schedule 3B - Other Items" xr:uid="{00000000-0004-0000-0100-000005000000}"/>
    <hyperlink ref="B10" location="'Sch 4 - Average System Cost'!A1" display="Schedule 4 - Average System Cost" xr:uid="{00000000-0004-0000-0100-000006000000}"/>
    <hyperlink ref="B11" location="'3-YEAR PP &amp; OSS Worksheet'!A1" display="3-YEAR PP &amp; OSS Worksheet" xr:uid="{00000000-0004-0000-0100-000007000000}"/>
    <hyperlink ref="B12" location="'Load Forecast'!A1" display="Load Forecast" xr:uid="{00000000-0004-0000-0100-000008000000}"/>
    <hyperlink ref="B13" location="'Distribution Loss Calc'!A1" display="Distribution Loss Calc" xr:uid="{00000000-0004-0000-0100-000009000000}"/>
    <hyperlink ref="B14" location="Salaries!A1" display="Salaries" xr:uid="{00000000-0004-0000-0100-00000A000000}"/>
    <hyperlink ref="B15" location="Ratios!A1" display="Ratios" xr:uid="{00000000-0004-0000-0100-00000B000000}"/>
    <hyperlink ref="B17" location="'New Resources - Individual'!A1" display="New Resources- Individual" xr:uid="{00000000-0004-0000-0100-00000C000000}"/>
    <hyperlink ref="B18" location="'New Resources - Group'!A1" display="New Resources-Group" xr:uid="{00000000-0004-0000-0100-00000D000000}"/>
    <hyperlink ref="B19" location="'Materiality - Individual'!A1" display="Materiality - Individual" xr:uid="{00000000-0004-0000-0100-00000E000000}"/>
    <hyperlink ref="B20" location="'Materiality -  Group'!A1" display="Materiality - Group" xr:uid="{00000000-0004-0000-0100-00000F000000}"/>
    <hyperlink ref="B22" location="'NLSL_Base_New-Calc'!A1" display="NLSL Base New Calculation" xr:uid="{00000000-0004-0000-0100-000010000000}"/>
    <hyperlink ref="B24" location="'Tiered Rates'!A1" display="Tiered Rates" xr:uid="{00000000-0004-0000-0100-000011000000}"/>
    <hyperlink ref="B16" location="'A-RHWM_Ratios'!A1" display="A-RHWM Ratios" xr:uid="{00000000-0004-0000-0100-000012000000}"/>
    <hyperlink ref="B23" location="'Above-RHWM_Base_Calc'!A1" display="Above-RHWM Base Calc" xr:uid="{00000000-0004-0000-0100-000013000000}"/>
    <hyperlink ref="B21" location="Wind_Resources_Costs!A1" display="Wind_Resources_Costs" xr:uid="{00000000-0004-0000-0100-000014000000}"/>
  </hyperlinks>
  <pageMargins left="0.75" right="0.75" top="1" bottom="1" header="0.5" footer="0.5"/>
  <pageSetup orientation="portrait" r:id="rId1"/>
  <headerFooter alignWithMargins="0">
    <oddFooter>&amp;LFY 2026-2028 ASC Filing
&amp;CPages &amp;P of &amp;N&amp;R&amp;A
&amp;D</oddFooter>
  </headerFooter>
  <customProperties>
    <customPr name="xxe4aPID" r:id="rId2"/>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B0F0"/>
  </sheetPr>
  <dimension ref="A1:T565"/>
  <sheetViews>
    <sheetView showWhiteSpace="0" topLeftCell="D1" zoomScaleNormal="100" zoomScaleSheetLayoutView="75" zoomScalePageLayoutView="110" workbookViewId="0">
      <selection activeCell="G29" sqref="G29"/>
    </sheetView>
  </sheetViews>
  <sheetFormatPr defaultColWidth="9" defaultRowHeight="15" customHeight="1"/>
  <cols>
    <col min="1" max="1" width="6.125" style="38" customWidth="1"/>
    <col min="2" max="2" width="44.5" style="38" customWidth="1"/>
    <col min="3" max="3" width="9.25" style="36" customWidth="1"/>
    <col min="4" max="4" width="8.625" style="36" customWidth="1"/>
    <col min="5" max="5" width="10" style="1" customWidth="1"/>
    <col min="6" max="6" width="8.5" style="1" customWidth="1"/>
    <col min="7" max="7" width="16" style="28" customWidth="1"/>
    <col min="8" max="10" width="16" style="39" customWidth="1"/>
    <col min="11" max="11" width="2.25" style="37" customWidth="1"/>
    <col min="12" max="18" width="17.625" style="1" customWidth="1"/>
    <col min="19" max="16384" width="9" style="1"/>
  </cols>
  <sheetData>
    <row r="1" spans="1:20" ht="19.5" customHeight="1" thickTop="1">
      <c r="A1" s="2282" t="s">
        <v>54</v>
      </c>
      <c r="B1" s="2283"/>
      <c r="C1" s="2283"/>
      <c r="D1" s="2283"/>
      <c r="E1" s="2283"/>
      <c r="F1" s="2283"/>
      <c r="G1" s="2283"/>
      <c r="H1" s="2283"/>
      <c r="I1" s="2283"/>
      <c r="J1" s="2284"/>
      <c r="K1" s="13"/>
      <c r="L1" s="14"/>
    </row>
    <row r="2" spans="1:20" ht="19.5" customHeight="1">
      <c r="A2" s="2294" t="s">
        <v>228</v>
      </c>
      <c r="B2" s="2295"/>
      <c r="C2" s="2295"/>
      <c r="D2" s="2295"/>
      <c r="E2" s="2295"/>
      <c r="F2" s="2295"/>
      <c r="G2" s="2295"/>
      <c r="H2" s="2295"/>
      <c r="I2" s="2295"/>
      <c r="J2" s="2296"/>
      <c r="K2" s="503"/>
      <c r="L2" s="504"/>
    </row>
    <row r="3" spans="1:20" ht="17.25" customHeight="1">
      <c r="A3" s="2291" t="s">
        <v>723</v>
      </c>
      <c r="B3" s="2292"/>
      <c r="C3" s="2292"/>
      <c r="D3" s="2292"/>
      <c r="E3" s="2292"/>
      <c r="F3" s="2292"/>
      <c r="G3" s="2292"/>
      <c r="H3" s="2292"/>
      <c r="I3" s="2292"/>
      <c r="J3" s="2293"/>
      <c r="K3" s="503"/>
      <c r="L3" s="504"/>
    </row>
    <row r="4" spans="1:20" ht="15" customHeight="1" thickBot="1">
      <c r="A4" s="1336"/>
      <c r="B4" s="180"/>
      <c r="C4" s="180"/>
      <c r="D4" s="180"/>
      <c r="E4" s="180"/>
      <c r="F4" s="180"/>
      <c r="G4" s="180"/>
      <c r="H4" s="180"/>
      <c r="J4" s="1269"/>
      <c r="K4" s="13"/>
      <c r="L4" s="14"/>
    </row>
    <row r="5" spans="1:20" ht="15.75" customHeight="1">
      <c r="A5" s="1840" t="s">
        <v>699</v>
      </c>
      <c r="B5" s="1841"/>
      <c r="C5" s="990"/>
      <c r="D5" s="1842" t="s">
        <v>576</v>
      </c>
      <c r="E5" s="2297" t="s">
        <v>720</v>
      </c>
      <c r="F5" s="2298"/>
      <c r="G5" s="2299"/>
      <c r="H5" s="990"/>
      <c r="I5" s="1843" t="s">
        <v>721</v>
      </c>
      <c r="J5" s="1844"/>
      <c r="K5" s="13"/>
      <c r="L5" s="14"/>
    </row>
    <row r="6" spans="1:20" ht="15.75" customHeight="1">
      <c r="A6" s="1845" t="s">
        <v>700</v>
      </c>
      <c r="B6" s="1846"/>
      <c r="C6" s="990"/>
      <c r="D6" s="1842" t="s">
        <v>578</v>
      </c>
      <c r="E6" s="2300">
        <v>2023</v>
      </c>
      <c r="F6" s="2301"/>
      <c r="G6" s="2302"/>
      <c r="H6" s="1847"/>
      <c r="I6" s="1848" t="s">
        <v>728</v>
      </c>
      <c r="J6" s="1844"/>
      <c r="K6" s="13"/>
      <c r="L6" s="14"/>
    </row>
    <row r="7" spans="1:20" ht="15.75" customHeight="1" thickBot="1">
      <c r="A7" s="1849"/>
      <c r="B7" s="990"/>
      <c r="C7" s="990"/>
      <c r="D7" s="1842" t="s">
        <v>579</v>
      </c>
      <c r="E7" s="2303">
        <v>45446</v>
      </c>
      <c r="F7" s="2304"/>
      <c r="G7" s="2305"/>
      <c r="H7" s="1847"/>
      <c r="I7" s="1850" t="s">
        <v>728</v>
      </c>
      <c r="J7" s="1844"/>
      <c r="K7" s="13"/>
      <c r="L7" s="14"/>
    </row>
    <row r="8" spans="1:20" ht="9.75" customHeight="1">
      <c r="A8" s="1849"/>
      <c r="B8" s="1851"/>
      <c r="C8" s="1852"/>
      <c r="D8" s="1852"/>
      <c r="E8" s="1851"/>
      <c r="F8" s="1851"/>
      <c r="G8" s="1853"/>
      <c r="H8" s="1854"/>
      <c r="I8" s="1854"/>
      <c r="J8" s="1855"/>
      <c r="K8" s="13"/>
      <c r="L8" s="14"/>
    </row>
    <row r="9" spans="1:20" ht="2.1" customHeight="1">
      <c r="A9" s="1849"/>
      <c r="B9" s="1851"/>
      <c r="C9" s="1852"/>
      <c r="D9" s="1852"/>
      <c r="E9" s="1851"/>
      <c r="F9" s="1851"/>
      <c r="G9" s="1853"/>
      <c r="H9" s="1854"/>
      <c r="I9" s="1854"/>
      <c r="J9" s="1855"/>
      <c r="K9" s="13"/>
      <c r="L9" s="14"/>
    </row>
    <row r="10" spans="1:20" ht="15.75" customHeight="1">
      <c r="A10" s="2309" t="s">
        <v>325</v>
      </c>
      <c r="B10" s="2310"/>
      <c r="C10" s="2310"/>
      <c r="D10" s="2310"/>
      <c r="E10" s="2310"/>
      <c r="F10" s="2310"/>
      <c r="G10" s="2310"/>
      <c r="H10" s="2310"/>
      <c r="I10" s="2310"/>
      <c r="J10" s="2311"/>
      <c r="K10" s="13"/>
      <c r="L10" s="14"/>
    </row>
    <row r="11" spans="1:20" ht="11.25" customHeight="1" thickBot="1">
      <c r="A11" s="1338"/>
      <c r="B11" s="376"/>
      <c r="C11" s="366"/>
      <c r="D11" s="366"/>
      <c r="E11" s="376"/>
      <c r="F11" s="376"/>
      <c r="G11" s="376"/>
      <c r="H11" s="376"/>
      <c r="I11" s="376"/>
      <c r="J11" s="1339"/>
      <c r="K11" s="13"/>
      <c r="L11" s="14"/>
    </row>
    <row r="12" spans="1:20" ht="15" customHeight="1" thickBot="1">
      <c r="A12" s="2285" t="s">
        <v>100</v>
      </c>
      <c r="B12" s="2286"/>
      <c r="C12" s="327" t="s">
        <v>276</v>
      </c>
      <c r="D12" s="328"/>
      <c r="E12" s="317" t="s">
        <v>354</v>
      </c>
      <c r="F12" s="318"/>
      <c r="G12" s="2289" t="s">
        <v>104</v>
      </c>
      <c r="H12" s="2289" t="s">
        <v>105</v>
      </c>
      <c r="I12" s="2289" t="s">
        <v>106</v>
      </c>
      <c r="J12" s="2313" t="s">
        <v>731</v>
      </c>
      <c r="K12" s="20"/>
      <c r="L12" s="2289" t="s">
        <v>105</v>
      </c>
      <c r="M12" s="2289" t="s">
        <v>106</v>
      </c>
      <c r="N12" s="307"/>
    </row>
    <row r="13" spans="1:20" ht="15" customHeight="1" thickBot="1">
      <c r="A13" s="2287"/>
      <c r="B13" s="2288"/>
      <c r="C13" s="308" t="s">
        <v>272</v>
      </c>
      <c r="D13" s="308" t="s">
        <v>96</v>
      </c>
      <c r="E13" s="319" t="s">
        <v>454</v>
      </c>
      <c r="F13" s="320"/>
      <c r="G13" s="2290"/>
      <c r="H13" s="2290"/>
      <c r="I13" s="2290"/>
      <c r="J13" s="2314"/>
      <c r="K13" s="21"/>
      <c r="L13" s="2290"/>
      <c r="M13" s="2290"/>
      <c r="N13" s="310" t="s">
        <v>98</v>
      </c>
    </row>
    <row r="14" spans="1:20" ht="15" customHeight="1" thickBot="1">
      <c r="A14" s="2287"/>
      <c r="B14" s="2288"/>
      <c r="C14" s="308" t="s">
        <v>273</v>
      </c>
      <c r="D14" s="308" t="s">
        <v>252</v>
      </c>
      <c r="E14" s="308" t="s">
        <v>352</v>
      </c>
      <c r="F14" s="308" t="s">
        <v>353</v>
      </c>
      <c r="G14" s="2290"/>
      <c r="H14" s="2290"/>
      <c r="I14" s="2290"/>
      <c r="J14" s="2315"/>
      <c r="K14" s="22"/>
      <c r="L14" s="2312"/>
      <c r="M14" s="2312"/>
      <c r="N14" s="324" t="s">
        <v>107</v>
      </c>
    </row>
    <row r="15" spans="1:20" ht="15" customHeight="1" thickTop="1">
      <c r="A15" s="1517" t="s">
        <v>477</v>
      </c>
      <c r="B15" s="1518"/>
      <c r="C15" s="1519"/>
      <c r="D15" s="1519"/>
      <c r="E15" s="1519"/>
      <c r="F15" s="1519"/>
      <c r="G15" s="1520"/>
      <c r="H15" s="1520"/>
      <c r="I15" s="1520"/>
      <c r="J15" s="1521"/>
      <c r="K15" s="20"/>
      <c r="L15" s="1768"/>
      <c r="M15" s="1769"/>
      <c r="N15" s="1769"/>
    </row>
    <row r="16" spans="1:20" ht="15" customHeight="1">
      <c r="A16" s="1343"/>
      <c r="B16" s="47" t="s">
        <v>145</v>
      </c>
      <c r="C16" s="1951" t="s">
        <v>70</v>
      </c>
      <c r="D16" s="184">
        <v>301</v>
      </c>
      <c r="E16" s="184" t="s">
        <v>395</v>
      </c>
      <c r="F16" s="184" t="s">
        <v>97</v>
      </c>
      <c r="G16" s="1770">
        <f>'204-207'!M3</f>
        <v>0</v>
      </c>
      <c r="H16" s="1752">
        <f>VLOOKUP($E16,Ratio,2,FALSE)*$G16</f>
        <v>0</v>
      </c>
      <c r="I16" s="1752">
        <f>VLOOKUP($E16,Ratio,3,FALSE)*$G16</f>
        <v>0</v>
      </c>
      <c r="J16" s="1753">
        <f>VLOOKUP($E16,Ratio,4,FALSE)*$G16</f>
        <v>0</v>
      </c>
      <c r="K16" s="24"/>
      <c r="L16" s="1769"/>
      <c r="M16" s="1769"/>
      <c r="N16" s="1769"/>
      <c r="O16" s="11"/>
      <c r="P16" s="11"/>
      <c r="Q16" s="11"/>
      <c r="R16" s="11"/>
      <c r="S16" s="11"/>
      <c r="T16" s="11"/>
    </row>
    <row r="17" spans="1:20" ht="15" customHeight="1">
      <c r="A17" s="1343"/>
      <c r="B17" s="47" t="s">
        <v>146</v>
      </c>
      <c r="C17" s="1951" t="s">
        <v>70</v>
      </c>
      <c r="D17" s="184">
        <v>302</v>
      </c>
      <c r="E17" s="184" t="s">
        <v>90</v>
      </c>
      <c r="F17" s="184" t="s">
        <v>99</v>
      </c>
      <c r="G17" s="2209">
        <f>'204-207'!M4</f>
        <v>46804271</v>
      </c>
      <c r="H17" s="1752">
        <f>IF($E17="DIRECT",$L17,VLOOKUP($E17,Ratio,2,FALSE)*$G17)</f>
        <v>42107007.580000006</v>
      </c>
      <c r="I17" s="1752">
        <f>IF($E17="DIRECT",$M17,VLOOKUP($E17,Ratio,3,FALSE)*$G17)</f>
        <v>0</v>
      </c>
      <c r="J17" s="1753">
        <f>IF($E17="DIRECT",$N17,VLOOKUP($E17,Ratio,4,FALSE)*$G17)</f>
        <v>4697263.32</v>
      </c>
      <c r="K17" s="24"/>
      <c r="L17" s="2235">
        <f>'1.1 Intangible Assets Summary'!F8</f>
        <v>42107007.580000006</v>
      </c>
      <c r="M17" s="2235"/>
      <c r="N17" s="2235">
        <v>4697263.32</v>
      </c>
      <c r="O17" s="11"/>
      <c r="P17" s="11"/>
      <c r="Q17" s="11"/>
      <c r="R17" s="11"/>
      <c r="S17" s="11"/>
      <c r="T17" s="11"/>
    </row>
    <row r="18" spans="1:20" ht="15" customHeight="1">
      <c r="A18" s="1343"/>
      <c r="B18" s="47" t="s">
        <v>147</v>
      </c>
      <c r="C18" s="1951" t="s">
        <v>70</v>
      </c>
      <c r="D18" s="184">
        <v>303</v>
      </c>
      <c r="E18" s="184" t="s">
        <v>90</v>
      </c>
      <c r="F18" s="184" t="s">
        <v>395</v>
      </c>
      <c r="G18" s="1770">
        <f>'204-207'!M5</f>
        <v>57840902</v>
      </c>
      <c r="H18" s="1752">
        <f>IF($E18="DIRECT",$L18,VLOOKUP($E18,Ratio,2,FALSE)*$G18)</f>
        <v>21321712.686072055</v>
      </c>
      <c r="I18" s="1752">
        <f>IF($E18="DIRECT",$M18,VLOOKUP($E18,Ratio,3,FALSE)*$G18)</f>
        <v>0</v>
      </c>
      <c r="J18" s="1753">
        <f>IF($E18="DIRECT",$N18,VLOOKUP($E18,Ratio,4,FALSE)*$G18)</f>
        <v>36519188.863927945</v>
      </c>
      <c r="K18" s="24"/>
      <c r="L18" s="2235">
        <f>'1.1 Intangible Assets Summary'!F14</f>
        <v>21321712.686072055</v>
      </c>
      <c r="M18" s="2235">
        <f>0</f>
        <v>0</v>
      </c>
      <c r="N18" s="2235">
        <f>'1.1 Intangible Assets Summary'!H14+'1.1 Intangible Assets Summary'!G14</f>
        <v>36519188.863927945</v>
      </c>
      <c r="O18" s="575"/>
      <c r="P18" s="11"/>
      <c r="Q18" s="11"/>
      <c r="R18" s="11"/>
      <c r="S18" s="11"/>
      <c r="T18" s="11"/>
    </row>
    <row r="19" spans="1:20" ht="15" customHeight="1">
      <c r="A19" s="1345" t="s">
        <v>443</v>
      </c>
      <c r="B19" s="33"/>
      <c r="C19" s="1856"/>
      <c r="D19" s="1857"/>
      <c r="E19" s="1857"/>
      <c r="F19" s="1858"/>
      <c r="G19" s="1794">
        <f>SUM(G16:G18)</f>
        <v>104645173</v>
      </c>
      <c r="H19" s="1754">
        <f>SUM(H16:H18)</f>
        <v>63428720.266072065</v>
      </c>
      <c r="I19" s="1754">
        <f>SUM(I16:I18)</f>
        <v>0</v>
      </c>
      <c r="J19" s="1755">
        <f>SUM(J16:J18)</f>
        <v>41216452.183927946</v>
      </c>
      <c r="K19" s="24"/>
      <c r="L19" s="2218"/>
      <c r="M19" s="1772"/>
      <c r="N19" s="1772"/>
      <c r="O19" s="11"/>
      <c r="P19" s="11"/>
      <c r="Q19" s="11"/>
      <c r="R19" s="11"/>
      <c r="S19" s="11"/>
      <c r="T19" s="11"/>
    </row>
    <row r="20" spans="1:20" ht="8.1" customHeight="1">
      <c r="A20" s="1347"/>
      <c r="B20" s="33"/>
      <c r="C20" s="48"/>
      <c r="D20" s="48"/>
      <c r="E20" s="48"/>
      <c r="F20" s="48"/>
      <c r="G20" s="377"/>
      <c r="H20" s="67"/>
      <c r="I20" s="142"/>
      <c r="J20" s="1348"/>
      <c r="K20" s="24"/>
      <c r="L20" s="1771"/>
      <c r="M20" s="1772"/>
      <c r="N20" s="1772"/>
      <c r="O20" s="11"/>
      <c r="P20" s="11"/>
      <c r="Q20" s="11"/>
      <c r="R20" s="11"/>
      <c r="S20" s="11"/>
      <c r="T20" s="11"/>
    </row>
    <row r="21" spans="1:20" ht="15" customHeight="1">
      <c r="A21" s="1342" t="s">
        <v>110</v>
      </c>
      <c r="B21" s="78"/>
      <c r="C21" s="48"/>
      <c r="D21" s="48"/>
      <c r="E21" s="48"/>
      <c r="F21" s="48"/>
      <c r="G21" s="377"/>
      <c r="H21" s="142"/>
      <c r="I21" s="142"/>
      <c r="J21" s="1348"/>
      <c r="K21" s="20"/>
      <c r="L21" s="1768"/>
      <c r="M21" s="1769"/>
      <c r="N21" s="1769"/>
    </row>
    <row r="22" spans="1:20" ht="15" customHeight="1">
      <c r="A22" s="1349"/>
      <c r="B22" s="49" t="s">
        <v>111</v>
      </c>
      <c r="C22" s="1951" t="s">
        <v>70</v>
      </c>
      <c r="D22" s="184" t="s">
        <v>828</v>
      </c>
      <c r="E22" s="184" t="s">
        <v>397</v>
      </c>
      <c r="F22" s="184"/>
      <c r="G22" s="2235">
        <f>SUM('204-207'!M9:M16)</f>
        <v>494693042</v>
      </c>
      <c r="H22" s="1752">
        <f>VLOOKUP($E22,Ratio,2,FALSE)*$G22</f>
        <v>494693042</v>
      </c>
      <c r="I22" s="1752">
        <f>VLOOKUP($E22,Ratio,3,FALSE)*$G22</f>
        <v>0</v>
      </c>
      <c r="J22" s="1753">
        <f>VLOOKUP($E22,Ratio,4,FALSE)*$G22</f>
        <v>0</v>
      </c>
      <c r="K22" s="24"/>
      <c r="L22" s="1771"/>
      <c r="M22" s="1773"/>
      <c r="N22" s="1773"/>
      <c r="O22" s="26"/>
    </row>
    <row r="23" spans="1:20" ht="15" customHeight="1">
      <c r="A23" s="1349"/>
      <c r="B23" s="49" t="s">
        <v>113</v>
      </c>
      <c r="C23" s="1951" t="s">
        <v>70</v>
      </c>
      <c r="D23" s="184" t="s">
        <v>829</v>
      </c>
      <c r="E23" s="184" t="s">
        <v>397</v>
      </c>
      <c r="F23" s="184"/>
      <c r="G23" s="2235">
        <f>SUM('204-207'!M19:M25)</f>
        <v>0</v>
      </c>
      <c r="H23" s="1752">
        <f>VLOOKUP($E23,Ratio,2,FALSE)*$G23</f>
        <v>0</v>
      </c>
      <c r="I23" s="1752">
        <f>VLOOKUP($E23,Ratio,3,FALSE)*$G23</f>
        <v>0</v>
      </c>
      <c r="J23" s="1753">
        <f>VLOOKUP($E23,Ratio,4,FALSE)*$G23</f>
        <v>0</v>
      </c>
      <c r="K23" s="24"/>
      <c r="L23" s="1771"/>
      <c r="M23" s="1774"/>
      <c r="N23" s="1775"/>
      <c r="O23" s="26"/>
      <c r="P23" s="11"/>
      <c r="Q23" s="11"/>
      <c r="R23" s="11"/>
      <c r="S23" s="11"/>
      <c r="T23" s="11"/>
    </row>
    <row r="24" spans="1:20" ht="15" customHeight="1">
      <c r="A24" s="1349"/>
      <c r="B24" s="49" t="s">
        <v>115</v>
      </c>
      <c r="C24" s="1951" t="s">
        <v>70</v>
      </c>
      <c r="D24" s="184" t="s">
        <v>830</v>
      </c>
      <c r="E24" s="184" t="s">
        <v>397</v>
      </c>
      <c r="F24" s="184"/>
      <c r="G24" s="2235">
        <f>SUM('204-207'!M28:M34)</f>
        <v>791656686</v>
      </c>
      <c r="H24" s="1752">
        <f>VLOOKUP($E24,Ratio,2,FALSE)*$G24</f>
        <v>791656686</v>
      </c>
      <c r="I24" s="1752">
        <f>VLOOKUP($E24,Ratio,3,FALSE)*$G24</f>
        <v>0</v>
      </c>
      <c r="J24" s="1753">
        <f>VLOOKUP($E24,Ratio,4,FALSE)*$G24</f>
        <v>0</v>
      </c>
      <c r="K24" s="24"/>
      <c r="L24" s="1771"/>
      <c r="M24" s="1772"/>
      <c r="N24" s="1772"/>
      <c r="O24" s="11"/>
      <c r="P24" s="11"/>
      <c r="Q24" s="11"/>
      <c r="R24" s="11"/>
      <c r="S24" s="11"/>
      <c r="T24" s="11"/>
    </row>
    <row r="25" spans="1:20" ht="15" customHeight="1">
      <c r="A25" s="1349"/>
      <c r="B25" s="49" t="s">
        <v>117</v>
      </c>
      <c r="C25" s="1951" t="s">
        <v>70</v>
      </c>
      <c r="D25" s="184" t="s">
        <v>874</v>
      </c>
      <c r="E25" s="184" t="s">
        <v>397</v>
      </c>
      <c r="F25" s="184"/>
      <c r="G25" s="2235">
        <f>SUM('204-207'!M38:M45)</f>
        <v>327526210</v>
      </c>
      <c r="H25" s="1752">
        <f>VLOOKUP($E25,Ratio,2,FALSE)*$G25</f>
        <v>327526210</v>
      </c>
      <c r="I25" s="1752">
        <f>VLOOKUP($E25,Ratio,3,FALSE)*$G25</f>
        <v>0</v>
      </c>
      <c r="J25" s="1753">
        <f>VLOOKUP($E25,Ratio,4,FALSE)*$G25</f>
        <v>0</v>
      </c>
      <c r="K25" s="24"/>
      <c r="L25" s="1771"/>
      <c r="M25" s="1772"/>
      <c r="N25" s="1772"/>
      <c r="O25" s="11"/>
      <c r="P25" s="11"/>
      <c r="Q25" s="11"/>
      <c r="R25" s="11"/>
      <c r="S25" s="11"/>
      <c r="T25" s="11"/>
    </row>
    <row r="26" spans="1:20" ht="15" customHeight="1">
      <c r="A26" s="1345" t="s">
        <v>119</v>
      </c>
      <c r="B26" s="33"/>
      <c r="C26" s="1856"/>
      <c r="D26" s="1857"/>
      <c r="E26" s="1857"/>
      <c r="F26" s="1858"/>
      <c r="G26" s="1794">
        <f>SUM(G22:G25)</f>
        <v>1613875938</v>
      </c>
      <c r="H26" s="493">
        <f>SUM(H22:H25)</f>
        <v>1613875938</v>
      </c>
      <c r="I26" s="1756">
        <f>SUM(I22:I25)</f>
        <v>0</v>
      </c>
      <c r="J26" s="1757">
        <f>SUM(J22:J25)</f>
        <v>0</v>
      </c>
      <c r="K26" s="24"/>
      <c r="L26" s="1771"/>
      <c r="M26" s="1772"/>
      <c r="N26" s="1772"/>
      <c r="O26" s="11"/>
      <c r="P26" s="11"/>
      <c r="Q26" s="11"/>
      <c r="R26" s="11"/>
      <c r="S26" s="11"/>
      <c r="T26" s="11"/>
    </row>
    <row r="27" spans="1:20" ht="8.1" customHeight="1">
      <c r="A27" s="1347"/>
      <c r="B27" s="33"/>
      <c r="C27" s="48"/>
      <c r="D27" s="48"/>
      <c r="E27" s="48"/>
      <c r="F27" s="48"/>
      <c r="G27" s="1795"/>
      <c r="H27" s="142"/>
      <c r="I27" s="142"/>
      <c r="J27" s="1348"/>
      <c r="K27" s="24"/>
      <c r="L27" s="1771"/>
      <c r="M27" s="1772"/>
      <c r="N27" s="1772"/>
      <c r="O27" s="11"/>
    </row>
    <row r="28" spans="1:20" ht="15" customHeight="1">
      <c r="A28" s="1342" t="s">
        <v>97</v>
      </c>
      <c r="B28" s="47"/>
      <c r="C28" s="48"/>
      <c r="D28" s="48"/>
      <c r="E28" s="1859"/>
      <c r="F28" s="1859"/>
      <c r="G28" s="377"/>
      <c r="H28" s="142"/>
      <c r="I28" s="142"/>
      <c r="J28" s="1348"/>
      <c r="K28" s="24"/>
      <c r="L28" s="1771"/>
      <c r="M28" s="1772"/>
      <c r="N28" s="1772"/>
      <c r="O28" s="11"/>
    </row>
    <row r="29" spans="1:20" ht="15" customHeight="1">
      <c r="A29" s="1349"/>
      <c r="B29" s="49" t="s">
        <v>501</v>
      </c>
      <c r="C29" s="1954" t="s">
        <v>70</v>
      </c>
      <c r="D29" s="1955" t="s">
        <v>831</v>
      </c>
      <c r="E29" s="184" t="s">
        <v>396</v>
      </c>
      <c r="F29" s="184"/>
      <c r="G29" s="2236">
        <f>SUM('204-207'!M49:M58)</f>
        <v>1057719030</v>
      </c>
      <c r="H29" s="1752">
        <f>VLOOKUP($E29,Ratio,2,FALSE)*$G29</f>
        <v>0</v>
      </c>
      <c r="I29" s="1752">
        <f>VLOOKUP($E29,Ratio,3,FALSE)*$G29</f>
        <v>0</v>
      </c>
      <c r="J29" s="1753">
        <f>VLOOKUP($E29,Ratio,4,FALSE)*$G29</f>
        <v>1057719030</v>
      </c>
      <c r="K29" s="24"/>
      <c r="L29" s="1771"/>
      <c r="M29" s="1772"/>
      <c r="N29" s="1772"/>
      <c r="O29" s="11"/>
      <c r="P29" s="11"/>
      <c r="Q29" s="11"/>
      <c r="R29" s="11"/>
      <c r="S29" s="11"/>
      <c r="T29" s="11"/>
    </row>
    <row r="30" spans="1:20" ht="15" customHeight="1">
      <c r="A30" s="1345" t="s">
        <v>121</v>
      </c>
      <c r="B30" s="33"/>
      <c r="C30" s="1952"/>
      <c r="D30" s="1953"/>
      <c r="E30" s="1857"/>
      <c r="F30" s="1858"/>
      <c r="G30" s="1794">
        <f>SUM(G29)</f>
        <v>1057719030</v>
      </c>
      <c r="H30" s="1756">
        <f>SUM(H29)</f>
        <v>0</v>
      </c>
      <c r="I30" s="1754">
        <f>SUM(I29)</f>
        <v>0</v>
      </c>
      <c r="J30" s="1757">
        <f>SUM(J29)</f>
        <v>1057719030</v>
      </c>
      <c r="K30" s="24"/>
      <c r="L30" s="1771"/>
      <c r="M30" s="1772"/>
      <c r="N30" s="1772"/>
      <c r="O30" s="11"/>
      <c r="P30" s="11"/>
      <c r="Q30" s="11"/>
      <c r="R30" s="11"/>
      <c r="S30" s="11"/>
      <c r="T30" s="11"/>
    </row>
    <row r="31" spans="1:20" ht="8.1" customHeight="1">
      <c r="A31" s="1347"/>
      <c r="B31" s="33"/>
      <c r="C31" s="48"/>
      <c r="D31" s="48"/>
      <c r="E31" s="48"/>
      <c r="F31" s="48"/>
      <c r="G31" s="377"/>
      <c r="H31" s="142"/>
      <c r="I31" s="142"/>
      <c r="J31" s="1348"/>
      <c r="K31" s="24"/>
      <c r="L31" s="1771"/>
      <c r="M31" s="1772"/>
      <c r="N31" s="1772"/>
      <c r="O31" s="11"/>
      <c r="P31" s="11"/>
      <c r="Q31" s="11"/>
      <c r="R31" s="11"/>
      <c r="S31" s="11"/>
      <c r="T31" s="11"/>
    </row>
    <row r="32" spans="1:20" ht="15" customHeight="1">
      <c r="A32" s="1342" t="s">
        <v>476</v>
      </c>
      <c r="B32" s="47"/>
      <c r="C32" s="48"/>
      <c r="D32" s="48"/>
      <c r="E32" s="46"/>
      <c r="F32" s="46"/>
      <c r="G32" s="377"/>
      <c r="H32" s="142"/>
      <c r="I32" s="142"/>
      <c r="J32" s="1348"/>
      <c r="K32" s="24"/>
      <c r="L32" s="1771"/>
      <c r="M32" s="1772"/>
      <c r="N32" s="1772"/>
      <c r="O32" s="11"/>
    </row>
    <row r="33" spans="1:20" ht="15" customHeight="1">
      <c r="A33" s="1349"/>
      <c r="B33" s="49" t="s">
        <v>140</v>
      </c>
      <c r="C33" s="1951" t="s">
        <v>70</v>
      </c>
      <c r="D33" s="184" t="s">
        <v>832</v>
      </c>
      <c r="E33" s="184" t="s">
        <v>395</v>
      </c>
      <c r="F33" s="184"/>
      <c r="G33" s="2236">
        <f>SUM('204-207'!M61:M75)</f>
        <v>2407306658</v>
      </c>
      <c r="H33" s="1752">
        <f>VLOOKUP($E33,Ratio,2,FALSE)*$G33</f>
        <v>0</v>
      </c>
      <c r="I33" s="1752">
        <f>VLOOKUP($E33,Ratio,3,FALSE)*$G33</f>
        <v>0</v>
      </c>
      <c r="J33" s="1753">
        <f>VLOOKUP($E33,Ratio,4,FALSE)*$G33</f>
        <v>2407306658</v>
      </c>
      <c r="K33" s="24"/>
      <c r="L33" s="1771"/>
      <c r="M33" s="1772"/>
      <c r="N33" s="1772"/>
      <c r="O33" s="11"/>
      <c r="P33" s="11"/>
      <c r="Q33" s="11"/>
      <c r="R33" s="11"/>
      <c r="S33" s="11"/>
      <c r="T33" s="11"/>
    </row>
    <row r="34" spans="1:20" ht="15" customHeight="1">
      <c r="A34" s="1351" t="s">
        <v>122</v>
      </c>
      <c r="B34" s="47"/>
      <c r="C34" s="1856"/>
      <c r="D34" s="1857"/>
      <c r="E34" s="1857"/>
      <c r="F34" s="1858"/>
      <c r="G34" s="1794">
        <f>SUM(G33)</f>
        <v>2407306658</v>
      </c>
      <c r="H34" s="1754">
        <f>SUM(H33)</f>
        <v>0</v>
      </c>
      <c r="I34" s="1754">
        <f>SUM(I33)</f>
        <v>0</v>
      </c>
      <c r="J34" s="1755">
        <f>SUM(J33)</f>
        <v>2407306658</v>
      </c>
      <c r="K34" s="24"/>
      <c r="L34" s="1771"/>
      <c r="M34" s="1772"/>
      <c r="N34" s="1772"/>
      <c r="O34" s="11"/>
      <c r="P34" s="11"/>
      <c r="Q34" s="11"/>
      <c r="R34" s="11"/>
      <c r="S34" s="11"/>
      <c r="T34" s="11"/>
    </row>
    <row r="35" spans="1:20" ht="8.1" customHeight="1">
      <c r="A35" s="1352"/>
      <c r="B35" s="47"/>
      <c r="C35" s="48"/>
      <c r="D35" s="48"/>
      <c r="E35" s="48"/>
      <c r="F35" s="48"/>
      <c r="G35" s="378"/>
      <c r="H35" s="381"/>
      <c r="I35" s="381"/>
      <c r="J35" s="1758"/>
      <c r="K35" s="24"/>
      <c r="L35" s="1771"/>
      <c r="M35" s="1772"/>
      <c r="N35" s="1772"/>
      <c r="O35" s="11"/>
      <c r="P35" s="11"/>
      <c r="Q35" s="11"/>
      <c r="R35" s="11"/>
      <c r="S35" s="11"/>
      <c r="T35" s="11"/>
    </row>
    <row r="36" spans="1:20" ht="15" customHeight="1">
      <c r="A36" s="1342" t="s">
        <v>124</v>
      </c>
      <c r="B36" s="33"/>
      <c r="C36" s="48"/>
      <c r="D36" s="48"/>
      <c r="E36" s="48"/>
      <c r="F36" s="48"/>
      <c r="G36" s="1797"/>
      <c r="H36" s="67"/>
      <c r="I36" s="67"/>
      <c r="J36" s="1353"/>
      <c r="K36" s="24"/>
      <c r="L36" s="1771"/>
      <c r="M36" s="1772"/>
      <c r="N36" s="1772"/>
      <c r="O36" s="11"/>
    </row>
    <row r="37" spans="1:20" ht="15" customHeight="1">
      <c r="A37" s="1349"/>
      <c r="B37" s="46" t="s">
        <v>125</v>
      </c>
      <c r="C37" s="1951" t="s">
        <v>70</v>
      </c>
      <c r="D37" s="184">
        <v>389</v>
      </c>
      <c r="E37" s="184" t="s">
        <v>99</v>
      </c>
      <c r="F37" s="184"/>
      <c r="G37" s="2236">
        <f>SUM('204-207'!M87)</f>
        <v>1083006</v>
      </c>
      <c r="H37" s="1752">
        <f t="shared" ref="H37:H46" si="0">VLOOKUP($E37,Ratio,2,FALSE)*$G37</f>
        <v>344136.87305185618</v>
      </c>
      <c r="I37" s="1752">
        <f t="shared" ref="I37:I46" si="1">VLOOKUP($E37,Ratio,3,FALSE)*$G37</f>
        <v>0</v>
      </c>
      <c r="J37" s="1753">
        <f t="shared" ref="J37:J46" si="2">VLOOKUP($E37,Ratio,4,FALSE)*$G37</f>
        <v>738869.1269481437</v>
      </c>
      <c r="K37" s="24"/>
      <c r="L37" s="1771"/>
      <c r="M37" s="1772"/>
      <c r="N37" s="1772"/>
      <c r="O37" s="11"/>
    </row>
    <row r="38" spans="1:20" ht="15" customHeight="1">
      <c r="A38" s="1349"/>
      <c r="B38" s="46" t="s">
        <v>126</v>
      </c>
      <c r="C38" s="1951" t="s">
        <v>70</v>
      </c>
      <c r="D38" s="184">
        <v>390</v>
      </c>
      <c r="E38" s="184" t="s">
        <v>99</v>
      </c>
      <c r="F38" s="184"/>
      <c r="G38" s="2236">
        <f>SUM('204-207'!M88)</f>
        <v>21045508</v>
      </c>
      <c r="H38" s="1752">
        <f t="shared" si="0"/>
        <v>6687437.8488280065</v>
      </c>
      <c r="I38" s="1752">
        <f t="shared" si="1"/>
        <v>0</v>
      </c>
      <c r="J38" s="1753">
        <f t="shared" si="2"/>
        <v>14358070.151171993</v>
      </c>
      <c r="K38" s="24"/>
      <c r="L38" s="1771"/>
      <c r="M38" s="1772"/>
      <c r="N38" s="1772"/>
      <c r="O38" s="11"/>
    </row>
    <row r="39" spans="1:20" ht="15" customHeight="1">
      <c r="A39" s="1349"/>
      <c r="B39" s="46" t="s">
        <v>127</v>
      </c>
      <c r="C39" s="1951" t="s">
        <v>70</v>
      </c>
      <c r="D39" s="184">
        <v>391</v>
      </c>
      <c r="E39" s="184" t="s">
        <v>95</v>
      </c>
      <c r="F39" s="184"/>
      <c r="G39" s="2236">
        <f>SUM('204-207'!M89)</f>
        <v>3976622</v>
      </c>
      <c r="H39" s="1752">
        <f t="shared" si="0"/>
        <v>1455724.5705582532</v>
      </c>
      <c r="I39" s="1752">
        <f t="shared" si="1"/>
        <v>0</v>
      </c>
      <c r="J39" s="1753">
        <f t="shared" si="2"/>
        <v>2520897.4294417468</v>
      </c>
      <c r="K39" s="24"/>
      <c r="L39" s="1771"/>
      <c r="M39" s="1772"/>
      <c r="N39" s="1772"/>
      <c r="O39" s="11"/>
    </row>
    <row r="40" spans="1:20" ht="15" customHeight="1">
      <c r="A40" s="1349"/>
      <c r="B40" s="46" t="s">
        <v>128</v>
      </c>
      <c r="C40" s="1951" t="s">
        <v>70</v>
      </c>
      <c r="D40" s="184">
        <v>392</v>
      </c>
      <c r="E40" s="184" t="s">
        <v>109</v>
      </c>
      <c r="F40" s="184"/>
      <c r="G40" s="2236">
        <f>SUM('204-207'!M90)</f>
        <v>62357831</v>
      </c>
      <c r="H40" s="1752">
        <f t="shared" si="0"/>
        <v>0</v>
      </c>
      <c r="I40" s="1752">
        <f t="shared" si="1"/>
        <v>0</v>
      </c>
      <c r="J40" s="1753">
        <f t="shared" si="2"/>
        <v>62357831</v>
      </c>
      <c r="K40" s="24"/>
      <c r="L40" s="1771"/>
      <c r="M40" s="1772"/>
      <c r="N40" s="1772"/>
      <c r="O40" s="11"/>
    </row>
    <row r="41" spans="1:20" ht="15" customHeight="1">
      <c r="A41" s="1349"/>
      <c r="B41" s="46" t="s">
        <v>129</v>
      </c>
      <c r="C41" s="1951" t="s">
        <v>70</v>
      </c>
      <c r="D41" s="184">
        <v>393</v>
      </c>
      <c r="E41" s="184" t="s">
        <v>99</v>
      </c>
      <c r="F41" s="184"/>
      <c r="G41" s="2236">
        <f>SUM('204-207'!M91)</f>
        <v>472784</v>
      </c>
      <c r="H41" s="1752">
        <f t="shared" si="0"/>
        <v>150232.23083616229</v>
      </c>
      <c r="I41" s="1752">
        <f t="shared" si="1"/>
        <v>0</v>
      </c>
      <c r="J41" s="1753">
        <f t="shared" si="2"/>
        <v>322551.76916383771</v>
      </c>
      <c r="K41" s="24"/>
      <c r="L41" s="1771"/>
      <c r="M41" s="1772"/>
      <c r="N41" s="1772"/>
      <c r="O41" s="11"/>
    </row>
    <row r="42" spans="1:20" ht="15" customHeight="1">
      <c r="A42" s="1349"/>
      <c r="B42" s="46" t="s">
        <v>130</v>
      </c>
      <c r="C42" s="1951" t="s">
        <v>70</v>
      </c>
      <c r="D42" s="184">
        <v>394</v>
      </c>
      <c r="E42" s="184" t="s">
        <v>99</v>
      </c>
      <c r="F42" s="184"/>
      <c r="G42" s="2236">
        <f>SUM('204-207'!M92)</f>
        <v>9005539</v>
      </c>
      <c r="H42" s="1752">
        <f t="shared" si="0"/>
        <v>2861607.4441014547</v>
      </c>
      <c r="I42" s="1752">
        <f t="shared" si="1"/>
        <v>0</v>
      </c>
      <c r="J42" s="1753">
        <f t="shared" si="2"/>
        <v>6143931.5558985453</v>
      </c>
      <c r="K42" s="24"/>
      <c r="L42" s="1771"/>
      <c r="M42" s="1772"/>
      <c r="N42" s="1772"/>
      <c r="O42" s="11"/>
    </row>
    <row r="43" spans="1:20" ht="15" customHeight="1">
      <c r="A43" s="1349"/>
      <c r="B43" s="46" t="s">
        <v>131</v>
      </c>
      <c r="C43" s="1951" t="s">
        <v>70</v>
      </c>
      <c r="D43" s="184">
        <v>395</v>
      </c>
      <c r="E43" s="184" t="s">
        <v>99</v>
      </c>
      <c r="F43" s="184"/>
      <c r="G43" s="2236">
        <f>SUM('204-207'!M93)</f>
        <v>3305287</v>
      </c>
      <c r="H43" s="1752">
        <f t="shared" si="0"/>
        <v>1050290.7026544178</v>
      </c>
      <c r="I43" s="1752">
        <f t="shared" si="1"/>
        <v>0</v>
      </c>
      <c r="J43" s="1753">
        <f t="shared" si="2"/>
        <v>2254996.2973455819</v>
      </c>
      <c r="K43" s="24"/>
      <c r="L43" s="1771"/>
      <c r="M43" s="1772"/>
      <c r="N43" s="1772"/>
      <c r="O43" s="11"/>
    </row>
    <row r="44" spans="1:20" ht="15" customHeight="1">
      <c r="A44" s="1349"/>
      <c r="B44" s="46" t="s">
        <v>132</v>
      </c>
      <c r="C44" s="1951" t="s">
        <v>70</v>
      </c>
      <c r="D44" s="184">
        <v>396</v>
      </c>
      <c r="E44" s="184" t="s">
        <v>109</v>
      </c>
      <c r="F44" s="184"/>
      <c r="G44" s="2236">
        <f>SUM('204-207'!M94)</f>
        <v>25432532</v>
      </c>
      <c r="H44" s="1752">
        <f t="shared" si="0"/>
        <v>0</v>
      </c>
      <c r="I44" s="1752">
        <f t="shared" si="1"/>
        <v>0</v>
      </c>
      <c r="J44" s="1753">
        <f t="shared" si="2"/>
        <v>25432532</v>
      </c>
      <c r="K44" s="24"/>
      <c r="L44" s="1771"/>
      <c r="M44" s="1772"/>
      <c r="N44" s="1772"/>
      <c r="O44" s="11"/>
    </row>
    <row r="45" spans="1:20" ht="15" customHeight="1">
      <c r="A45" s="1349"/>
      <c r="B45" s="46" t="s">
        <v>133</v>
      </c>
      <c r="C45" s="1951" t="s">
        <v>70</v>
      </c>
      <c r="D45" s="184">
        <v>397</v>
      </c>
      <c r="E45" s="184" t="s">
        <v>99</v>
      </c>
      <c r="F45" s="184"/>
      <c r="G45" s="2236">
        <f>SUM('204-207'!M95)</f>
        <v>42279271</v>
      </c>
      <c r="H45" s="1752">
        <f t="shared" si="0"/>
        <v>13434695.760551672</v>
      </c>
      <c r="I45" s="1752">
        <f t="shared" si="1"/>
        <v>0</v>
      </c>
      <c r="J45" s="1753">
        <f t="shared" si="2"/>
        <v>28844575.239448324</v>
      </c>
      <c r="K45" s="24"/>
      <c r="L45" s="1771"/>
      <c r="M45" s="1772"/>
      <c r="N45" s="1772"/>
      <c r="O45" s="11"/>
    </row>
    <row r="46" spans="1:20" ht="15" customHeight="1">
      <c r="A46" s="1349"/>
      <c r="B46" s="46" t="s">
        <v>134</v>
      </c>
      <c r="C46" s="1951" t="s">
        <v>70</v>
      </c>
      <c r="D46" s="184">
        <v>398</v>
      </c>
      <c r="E46" s="184" t="s">
        <v>99</v>
      </c>
      <c r="F46" s="184"/>
      <c r="G46" s="2236">
        <f>SUM('204-207'!M96)</f>
        <v>258773</v>
      </c>
      <c r="H46" s="1752">
        <f t="shared" si="0"/>
        <v>82227.920297992794</v>
      </c>
      <c r="I46" s="1752">
        <f t="shared" si="1"/>
        <v>0</v>
      </c>
      <c r="J46" s="1753">
        <f t="shared" si="2"/>
        <v>176545.07970200721</v>
      </c>
      <c r="K46" s="24"/>
      <c r="L46" s="1771"/>
      <c r="M46" s="1772"/>
      <c r="N46" s="1772"/>
      <c r="O46" s="11"/>
    </row>
    <row r="47" spans="1:20" ht="15" customHeight="1">
      <c r="A47" s="1349"/>
      <c r="B47" s="46" t="s">
        <v>256</v>
      </c>
      <c r="C47" s="1951" t="s">
        <v>70</v>
      </c>
      <c r="D47" s="184">
        <v>399</v>
      </c>
      <c r="E47" s="184" t="s">
        <v>90</v>
      </c>
      <c r="F47" s="184" t="s">
        <v>99</v>
      </c>
      <c r="G47" s="2236">
        <f>'204-207'!M98</f>
        <v>0</v>
      </c>
      <c r="H47" s="1752">
        <f>IF($E47="DIRECT",$L47,VLOOKUP($E47,Ratio,2,FALSE)*$G47)</f>
        <v>0</v>
      </c>
      <c r="I47" s="1752">
        <f>IF($E47="DIRECT",$M47,VLOOKUP($E47,Ratio,3,FALSE)*$G47)</f>
        <v>0</v>
      </c>
      <c r="J47" s="1753">
        <f>IF($E47="DIRECT",$N47,VLOOKUP($E47,Ratio,4,FALSE)*$G47)</f>
        <v>0</v>
      </c>
      <c r="K47" s="24"/>
      <c r="L47" s="1770"/>
      <c r="M47" s="1770"/>
      <c r="N47" s="1770"/>
      <c r="O47" s="11"/>
    </row>
    <row r="48" spans="1:20" ht="15" customHeight="1">
      <c r="A48" s="1349"/>
      <c r="B48" s="46" t="s">
        <v>446</v>
      </c>
      <c r="C48" s="1951" t="s">
        <v>70</v>
      </c>
      <c r="D48" s="184">
        <v>399.1</v>
      </c>
      <c r="E48" s="184" t="s">
        <v>99</v>
      </c>
      <c r="F48" s="184"/>
      <c r="G48" s="1796">
        <f>'204-207'!M99</f>
        <v>0</v>
      </c>
      <c r="H48" s="1752">
        <f>VLOOKUP($E48,Ratio,2,FALSE)*$G48</f>
        <v>0</v>
      </c>
      <c r="I48" s="1752">
        <f>VLOOKUP($E48,Ratio,3,FALSE)*$G48</f>
        <v>0</v>
      </c>
      <c r="J48" s="1753">
        <f>VLOOKUP($E48,Ratio,4,FALSE)*$G48</f>
        <v>0</v>
      </c>
      <c r="K48" s="24"/>
      <c r="L48" s="1776"/>
      <c r="M48" s="1776"/>
      <c r="N48" s="1776"/>
      <c r="O48" s="11"/>
    </row>
    <row r="49" spans="1:15" ht="8.1" customHeight="1">
      <c r="A49" s="1354"/>
      <c r="B49" s="31"/>
      <c r="C49" s="34"/>
      <c r="D49" s="34"/>
      <c r="E49" s="34"/>
      <c r="F49" s="34"/>
      <c r="G49" s="379"/>
      <c r="H49" s="337"/>
      <c r="I49" s="337"/>
      <c r="J49" s="1355"/>
      <c r="K49" s="24"/>
      <c r="L49" s="1771"/>
      <c r="M49" s="1772"/>
      <c r="N49" s="1772"/>
      <c r="O49" s="11"/>
    </row>
    <row r="50" spans="1:15" ht="15" customHeight="1" thickBot="1">
      <c r="A50" s="1356" t="s">
        <v>135</v>
      </c>
      <c r="B50" s="173"/>
      <c r="C50" s="1860"/>
      <c r="D50" s="1861"/>
      <c r="E50" s="1861"/>
      <c r="F50" s="1862"/>
      <c r="G50" s="1794">
        <f>SUM(G37:G49)</f>
        <v>169217153</v>
      </c>
      <c r="H50" s="1759">
        <f>SUM(H37:H49)</f>
        <v>26066353.350879814</v>
      </c>
      <c r="I50" s="1759">
        <f>SUM(I37:I49)</f>
        <v>0</v>
      </c>
      <c r="J50" s="1760">
        <f>SUM(J37:J49)</f>
        <v>143150799.64912018</v>
      </c>
      <c r="K50" s="24"/>
      <c r="L50" s="1771"/>
      <c r="M50" s="1772"/>
      <c r="N50" s="1772"/>
      <c r="O50" s="11"/>
    </row>
    <row r="51" spans="1:15" ht="8.1" customHeight="1" thickTop="1">
      <c r="A51" s="1347"/>
      <c r="B51" s="32"/>
      <c r="C51" s="34"/>
      <c r="D51" s="34"/>
      <c r="E51" s="34"/>
      <c r="F51" s="34"/>
      <c r="G51" s="1797"/>
      <c r="H51" s="67"/>
      <c r="I51" s="67"/>
      <c r="J51" s="1353"/>
      <c r="K51" s="24"/>
      <c r="L51" s="1771"/>
      <c r="M51" s="1772"/>
      <c r="N51" s="1772"/>
      <c r="O51" s="11"/>
    </row>
    <row r="52" spans="1:15" ht="15" customHeight="1">
      <c r="A52" s="1351" t="s">
        <v>136</v>
      </c>
      <c r="B52" s="32"/>
      <c r="C52" s="1863"/>
      <c r="D52" s="1857"/>
      <c r="E52" s="1857"/>
      <c r="F52" s="1858"/>
      <c r="G52" s="1794">
        <f>G19+G26+G30+G34+G50</f>
        <v>5352763952</v>
      </c>
      <c r="H52" s="493">
        <f>H19+H26+H30+H34+H50</f>
        <v>1703371011.6169519</v>
      </c>
      <c r="I52" s="493">
        <f>I19+I26+I30+I34+I50</f>
        <v>0</v>
      </c>
      <c r="J52" s="1366">
        <f>J19+J26+J30+J34+J50</f>
        <v>3649392939.8330483</v>
      </c>
      <c r="K52" s="24"/>
      <c r="L52" s="1777"/>
      <c r="M52" s="1772"/>
      <c r="N52" s="1772"/>
      <c r="O52" s="11"/>
    </row>
    <row r="53" spans="1:15" ht="15" customHeight="1">
      <c r="A53" s="1357" t="s">
        <v>444</v>
      </c>
      <c r="B53" s="32"/>
      <c r="C53" s="34"/>
      <c r="D53" s="34"/>
      <c r="E53" s="46"/>
      <c r="F53" s="46"/>
      <c r="G53" s="1797"/>
      <c r="H53" s="67"/>
      <c r="I53" s="67"/>
      <c r="J53" s="1353"/>
      <c r="K53" s="24"/>
      <c r="L53" s="1771"/>
      <c r="M53" s="1772"/>
      <c r="N53" s="1772"/>
      <c r="O53" s="11"/>
    </row>
    <row r="54" spans="1:15" ht="15" customHeight="1">
      <c r="A54" s="1358"/>
      <c r="B54" s="59"/>
      <c r="C54" s="34"/>
      <c r="D54" s="34"/>
      <c r="E54" s="34"/>
      <c r="F54" s="34"/>
      <c r="G54" s="1797"/>
      <c r="H54" s="67"/>
      <c r="I54" s="67"/>
      <c r="J54" s="1353"/>
      <c r="K54" s="24"/>
      <c r="L54" s="1771"/>
      <c r="M54" s="1772"/>
      <c r="N54" s="1772"/>
      <c r="O54" s="11"/>
    </row>
    <row r="55" spans="1:15" ht="15" customHeight="1">
      <c r="A55" s="1342" t="s">
        <v>478</v>
      </c>
      <c r="B55" s="59"/>
      <c r="C55" s="34"/>
      <c r="D55" s="34"/>
      <c r="E55" s="34"/>
      <c r="F55" s="34"/>
      <c r="G55" s="377"/>
      <c r="H55" s="142"/>
      <c r="I55" s="142"/>
      <c r="J55" s="1348"/>
      <c r="K55" s="24"/>
      <c r="L55" s="1771"/>
      <c r="M55" s="1772"/>
      <c r="N55" s="1772"/>
      <c r="O55" s="11"/>
    </row>
    <row r="56" spans="1:15" ht="15" customHeight="1">
      <c r="A56" s="1342" t="s">
        <v>210</v>
      </c>
      <c r="B56" s="59"/>
      <c r="C56" s="34"/>
      <c r="D56" s="34"/>
      <c r="E56" s="34"/>
      <c r="F56" s="34"/>
      <c r="G56" s="377"/>
      <c r="H56" s="142"/>
      <c r="I56" s="142"/>
      <c r="J56" s="1348"/>
      <c r="K56" s="24"/>
      <c r="L56" s="1771"/>
      <c r="M56" s="1772"/>
      <c r="N56" s="1772"/>
      <c r="O56" s="11"/>
    </row>
    <row r="57" spans="1:15" ht="15" customHeight="1">
      <c r="A57" s="1349"/>
      <c r="B57" s="49" t="s">
        <v>88</v>
      </c>
      <c r="C57" s="184">
        <v>219</v>
      </c>
      <c r="D57" s="184">
        <v>108</v>
      </c>
      <c r="E57" s="184" t="s">
        <v>397</v>
      </c>
      <c r="F57" s="184"/>
      <c r="G57" s="2236">
        <f>'219'!I21</f>
        <v>394650809</v>
      </c>
      <c r="H57" s="1752">
        <f t="shared" ref="H57:H64" si="3">VLOOKUP($E57,Ratio,2,FALSE)*$G57</f>
        <v>394650809</v>
      </c>
      <c r="I57" s="1752">
        <f t="shared" ref="I57:I64" si="4">VLOOKUP($E57,Ratio,3,FALSE)*$G57</f>
        <v>0</v>
      </c>
      <c r="J57" s="1753">
        <f t="shared" ref="J57:J64" si="5">VLOOKUP($E57,Ratio,4,FALSE)*$G57</f>
        <v>0</v>
      </c>
      <c r="K57" s="24"/>
      <c r="L57" s="1771"/>
      <c r="M57" s="1772"/>
      <c r="N57" s="1772"/>
      <c r="O57" s="11"/>
    </row>
    <row r="58" spans="1:15" ht="15" customHeight="1">
      <c r="A58" s="1349"/>
      <c r="B58" s="49" t="s">
        <v>89</v>
      </c>
      <c r="C58" s="184">
        <v>219</v>
      </c>
      <c r="D58" s="184">
        <v>108</v>
      </c>
      <c r="E58" s="184" t="s">
        <v>397</v>
      </c>
      <c r="F58" s="184"/>
      <c r="G58" s="2236">
        <f>'219'!I22</f>
        <v>0</v>
      </c>
      <c r="H58" s="1752">
        <f t="shared" si="3"/>
        <v>0</v>
      </c>
      <c r="I58" s="1752">
        <f t="shared" si="4"/>
        <v>0</v>
      </c>
      <c r="J58" s="1753">
        <f t="shared" si="5"/>
        <v>0</v>
      </c>
      <c r="K58" s="24"/>
      <c r="L58" s="1771"/>
      <c r="M58" s="1772"/>
      <c r="N58" s="1772"/>
      <c r="O58" s="11"/>
    </row>
    <row r="59" spans="1:15" ht="15" customHeight="1">
      <c r="A59" s="1349"/>
      <c r="B59" s="49" t="s">
        <v>326</v>
      </c>
      <c r="C59" s="184">
        <v>219</v>
      </c>
      <c r="D59" s="184">
        <v>108</v>
      </c>
      <c r="E59" s="184" t="s">
        <v>397</v>
      </c>
      <c r="F59" s="184"/>
      <c r="G59" s="2236">
        <f>'219'!I23</f>
        <v>202979974</v>
      </c>
      <c r="H59" s="1752">
        <f t="shared" si="3"/>
        <v>202979974</v>
      </c>
      <c r="I59" s="1752">
        <f t="shared" si="4"/>
        <v>0</v>
      </c>
      <c r="J59" s="1753">
        <f t="shared" si="5"/>
        <v>0</v>
      </c>
      <c r="K59" s="24"/>
      <c r="L59" s="1771"/>
      <c r="M59" s="1772"/>
      <c r="N59" s="1772"/>
      <c r="O59" s="11"/>
    </row>
    <row r="60" spans="1:15" ht="15" customHeight="1">
      <c r="A60" s="1349"/>
      <c r="B60" s="49" t="s">
        <v>137</v>
      </c>
      <c r="C60" s="184">
        <v>219</v>
      </c>
      <c r="D60" s="184">
        <v>108</v>
      </c>
      <c r="E60" s="184" t="s">
        <v>397</v>
      </c>
      <c r="F60" s="184"/>
      <c r="G60" s="2236">
        <f>'219'!I25</f>
        <v>177969738</v>
      </c>
      <c r="H60" s="1752">
        <f t="shared" si="3"/>
        <v>177969738</v>
      </c>
      <c r="I60" s="1752">
        <f t="shared" si="4"/>
        <v>0</v>
      </c>
      <c r="J60" s="1753">
        <f t="shared" si="5"/>
        <v>0</v>
      </c>
      <c r="K60" s="24"/>
      <c r="L60" s="1771"/>
      <c r="M60" s="1772"/>
      <c r="N60" s="1772"/>
      <c r="O60" s="11"/>
    </row>
    <row r="61" spans="1:15" ht="15" customHeight="1">
      <c r="A61" s="1349"/>
      <c r="B61" s="49" t="s">
        <v>143</v>
      </c>
      <c r="C61" s="184">
        <v>219</v>
      </c>
      <c r="D61" s="184">
        <v>108</v>
      </c>
      <c r="E61" s="184" t="s">
        <v>396</v>
      </c>
      <c r="F61" s="184"/>
      <c r="G61" s="2236">
        <f>'219'!I26</f>
        <v>285851148</v>
      </c>
      <c r="H61" s="1752">
        <f t="shared" si="3"/>
        <v>0</v>
      </c>
      <c r="I61" s="1752">
        <f t="shared" si="4"/>
        <v>0</v>
      </c>
      <c r="J61" s="1753">
        <f t="shared" si="5"/>
        <v>285851148</v>
      </c>
      <c r="K61" s="24"/>
      <c r="L61" s="1771"/>
      <c r="M61" s="1772"/>
      <c r="N61" s="1772"/>
      <c r="O61" s="11"/>
    </row>
    <row r="62" spans="1:15" ht="15" customHeight="1">
      <c r="A62" s="1349"/>
      <c r="B62" s="49" t="s">
        <v>474</v>
      </c>
      <c r="C62" s="184">
        <v>219</v>
      </c>
      <c r="D62" s="184">
        <v>108</v>
      </c>
      <c r="E62" s="184" t="s">
        <v>395</v>
      </c>
      <c r="F62" s="184"/>
      <c r="G62" s="2236">
        <f>'219'!I27</f>
        <v>788670773</v>
      </c>
      <c r="H62" s="1752">
        <f t="shared" si="3"/>
        <v>0</v>
      </c>
      <c r="I62" s="1752">
        <f t="shared" si="4"/>
        <v>0</v>
      </c>
      <c r="J62" s="1753">
        <f t="shared" si="5"/>
        <v>788670773</v>
      </c>
      <c r="K62" s="24"/>
      <c r="L62" s="1771"/>
      <c r="M62" s="1772"/>
      <c r="N62" s="1772"/>
      <c r="O62" s="11"/>
    </row>
    <row r="63" spans="1:15" ht="15" customHeight="1">
      <c r="A63" s="1349"/>
      <c r="B63" s="49" t="s">
        <v>92</v>
      </c>
      <c r="C63" s="184">
        <v>219</v>
      </c>
      <c r="D63" s="184">
        <v>108</v>
      </c>
      <c r="E63" s="184" t="s">
        <v>91</v>
      </c>
      <c r="F63" s="184"/>
      <c r="G63" s="2236">
        <f>'219'!I29</f>
        <v>78045959</v>
      </c>
      <c r="H63" s="1752">
        <f t="shared" si="3"/>
        <v>12022265.525896648</v>
      </c>
      <c r="I63" s="1752">
        <f t="shared" si="4"/>
        <v>0</v>
      </c>
      <c r="J63" s="1753">
        <f t="shared" si="5"/>
        <v>66023693.474103346</v>
      </c>
      <c r="K63" s="24"/>
      <c r="L63" s="1771"/>
      <c r="M63" s="1772"/>
      <c r="N63" s="1772"/>
      <c r="O63" s="11"/>
    </row>
    <row r="64" spans="1:15" ht="15" customHeight="1">
      <c r="A64" s="1349"/>
      <c r="B64" s="49" t="s">
        <v>373</v>
      </c>
      <c r="C64" s="184">
        <v>219</v>
      </c>
      <c r="D64" s="184">
        <v>111</v>
      </c>
      <c r="E64" s="184" t="s">
        <v>395</v>
      </c>
      <c r="F64" s="286" t="s">
        <v>97</v>
      </c>
      <c r="G64" s="2236">
        <v>0</v>
      </c>
      <c r="H64" s="1752">
        <f t="shared" si="3"/>
        <v>0</v>
      </c>
      <c r="I64" s="1752">
        <f t="shared" si="4"/>
        <v>0</v>
      </c>
      <c r="J64" s="1753">
        <f t="shared" si="5"/>
        <v>0</v>
      </c>
      <c r="K64" s="24"/>
      <c r="L64" s="1771"/>
      <c r="M64" s="1772"/>
      <c r="N64" s="1772"/>
      <c r="O64" s="11"/>
    </row>
    <row r="65" spans="1:15" ht="15" customHeight="1">
      <c r="A65" s="1349"/>
      <c r="B65" s="49" t="s">
        <v>374</v>
      </c>
      <c r="C65" s="184">
        <v>219</v>
      </c>
      <c r="D65" s="184">
        <v>111</v>
      </c>
      <c r="E65" s="184" t="s">
        <v>90</v>
      </c>
      <c r="F65" s="286" t="s">
        <v>99</v>
      </c>
      <c r="G65" s="2236">
        <f>-'1.1 Intangible Assets Summary'!D20</f>
        <v>9306035.6400000025</v>
      </c>
      <c r="H65" s="1752">
        <f>IF($E65="DIRECT",$L65,VLOOKUP($E65,Ratio,2,FALSE)*$G65)</f>
        <v>8402719.4400000013</v>
      </c>
      <c r="I65" s="1752">
        <f>IF($E65="DIRECT",$M65,VLOOKUP($E65,Ratio,3,FALSE)*$G65)</f>
        <v>0</v>
      </c>
      <c r="J65" s="1753">
        <f>IF($E65="DIRECT",$N65,VLOOKUP($E65,Ratio,4,FALSE)*$G65)</f>
        <v>903316.2</v>
      </c>
      <c r="K65" s="24"/>
      <c r="L65" s="1770">
        <f>-'1.1 Intangible Assets Summary'!F20</f>
        <v>8402719.4400000013</v>
      </c>
      <c r="M65" s="1770"/>
      <c r="N65" s="1770">
        <v>903316.2</v>
      </c>
      <c r="O65" s="11"/>
    </row>
    <row r="66" spans="1:15" ht="15" customHeight="1">
      <c r="A66" s="1349"/>
      <c r="B66" s="49" t="s">
        <v>403</v>
      </c>
      <c r="C66" s="184">
        <v>219</v>
      </c>
      <c r="D66" s="184">
        <v>111</v>
      </c>
      <c r="E66" s="184" t="s">
        <v>90</v>
      </c>
      <c r="F66" s="286" t="s">
        <v>395</v>
      </c>
      <c r="G66" s="2236">
        <f>-'1.1 Intangible Assets Summary'!D25</f>
        <v>8218633.7199999997</v>
      </c>
      <c r="H66" s="1752">
        <f>IF($E66="DIRECT",$L66,VLOOKUP($E66,Ratio,2,FALSE)*$G66)</f>
        <v>4395779.3655016273</v>
      </c>
      <c r="I66" s="1752">
        <f>IF($E66="DIRECT",$M66,VLOOKUP($E66,Ratio,3,FALSE)*$G66)</f>
        <v>0</v>
      </c>
      <c r="J66" s="1753">
        <f>IF($E66="DIRECT",$N66,VLOOKUP($E66,Ratio,4,FALSE)*$G66)</f>
        <v>3822854.3512011645</v>
      </c>
      <c r="K66" s="24"/>
      <c r="L66" s="1770">
        <f>-'1.1 Intangible Assets Summary'!F25</f>
        <v>4395779.3655016273</v>
      </c>
      <c r="M66" s="1770">
        <f>0</f>
        <v>0</v>
      </c>
      <c r="N66" s="1770">
        <f>-'1.1 Intangible Assets Summary'!H27+-'1.1 Intangible Assets Summary'!G25</f>
        <v>3822854.3512011645</v>
      </c>
      <c r="O66" s="11"/>
    </row>
    <row r="67" spans="1:15" ht="15" customHeight="1">
      <c r="A67" s="1349"/>
      <c r="B67" s="49" t="s">
        <v>253</v>
      </c>
      <c r="C67" s="184">
        <v>219</v>
      </c>
      <c r="D67" s="184">
        <v>108</v>
      </c>
      <c r="E67" s="184" t="s">
        <v>397</v>
      </c>
      <c r="F67" s="184"/>
      <c r="G67" s="2236">
        <f>'219'!I31</f>
        <v>0</v>
      </c>
      <c r="H67" s="1752">
        <f>VLOOKUP($E67,Ratio,2,FALSE)*$G67</f>
        <v>0</v>
      </c>
      <c r="I67" s="1752">
        <f>VLOOKUP($E67,Ratio,3,FALSE)*$G67</f>
        <v>0</v>
      </c>
      <c r="J67" s="1753">
        <f>VLOOKUP($E67,Ratio,4,FALSE)*$G67</f>
        <v>0</v>
      </c>
      <c r="K67" s="24"/>
      <c r="L67" s="1771"/>
      <c r="M67" s="1772"/>
      <c r="N67" s="1772"/>
      <c r="O67" s="11"/>
    </row>
    <row r="68" spans="1:15" ht="15" customHeight="1">
      <c r="A68" s="1349"/>
      <c r="B68" s="49" t="s">
        <v>28</v>
      </c>
      <c r="C68" s="184">
        <v>219</v>
      </c>
      <c r="D68" s="184">
        <v>111</v>
      </c>
      <c r="E68" s="184" t="s">
        <v>395</v>
      </c>
      <c r="F68" s="184"/>
      <c r="G68" s="2236">
        <f>'219'!I32</f>
        <v>0</v>
      </c>
      <c r="H68" s="1752">
        <f>VLOOKUP($E68,Ratio,2,FALSE)*$G68</f>
        <v>0</v>
      </c>
      <c r="I68" s="1752">
        <f>VLOOKUP($E68,Ratio,3,FALSE)*$G68</f>
        <v>0</v>
      </c>
      <c r="J68" s="1753">
        <f>VLOOKUP($E68,Ratio,4,FALSE)*$G68</f>
        <v>0</v>
      </c>
      <c r="K68" s="24"/>
      <c r="L68" s="1771"/>
      <c r="M68" s="1772"/>
      <c r="N68" s="1772"/>
      <c r="O68" s="11"/>
    </row>
    <row r="69" spans="1:15" ht="15" customHeight="1">
      <c r="A69" s="1349"/>
      <c r="B69" s="49" t="s">
        <v>29</v>
      </c>
      <c r="C69" s="184">
        <v>219</v>
      </c>
      <c r="D69" s="184">
        <v>108</v>
      </c>
      <c r="E69" s="184" t="s">
        <v>90</v>
      </c>
      <c r="F69" s="286" t="s">
        <v>99</v>
      </c>
      <c r="G69" s="2236">
        <f>'219'!I33</f>
        <v>0</v>
      </c>
      <c r="H69" s="1752">
        <f>IF($E69="DIRECT",$L69,VLOOKUP($E69,Ratio,2,FALSE)*$G69)</f>
        <v>0</v>
      </c>
      <c r="I69" s="1752">
        <f>IF($E69="DIRECT",$M69,VLOOKUP($E69,Ratio,3,FALSE)*$G69)</f>
        <v>0</v>
      </c>
      <c r="J69" s="1753">
        <f>IF($E69="DIRECT",$N69,VLOOKUP($E69,Ratio,4,FALSE)*$G69)</f>
        <v>0</v>
      </c>
      <c r="K69" s="24"/>
      <c r="L69" s="1770"/>
      <c r="M69" s="1770"/>
      <c r="N69" s="1770"/>
      <c r="O69" s="11"/>
    </row>
    <row r="70" spans="1:15" ht="15" customHeight="1">
      <c r="A70" s="1349"/>
      <c r="B70" s="49" t="s">
        <v>162</v>
      </c>
      <c r="C70" s="184" t="s">
        <v>69</v>
      </c>
      <c r="D70" s="184">
        <v>108</v>
      </c>
      <c r="E70" s="184" t="s">
        <v>90</v>
      </c>
      <c r="F70" s="184" t="s">
        <v>395</v>
      </c>
      <c r="G70" s="2236">
        <f>'219'!I34</f>
        <v>0</v>
      </c>
      <c r="H70" s="1752">
        <f>IF($E70="DIRECT",$L70,VLOOKUP($E70,Ratio,2,FALSE)*$G70)</f>
        <v>0</v>
      </c>
      <c r="I70" s="1752">
        <f>IF($E70="DIRECT",$M70,VLOOKUP($E70,Ratio,3,FALSE)*$G70)</f>
        <v>0</v>
      </c>
      <c r="J70" s="1753">
        <f>IF($E70="DIRECT",$N70,VLOOKUP($E70,Ratio,4,FALSE)*$G70)</f>
        <v>0</v>
      </c>
      <c r="K70" s="24"/>
      <c r="L70" s="1770"/>
      <c r="M70" s="1770"/>
      <c r="N70" s="1770"/>
      <c r="O70" s="11"/>
    </row>
    <row r="71" spans="1:15" ht="15" customHeight="1">
      <c r="A71" s="1349"/>
      <c r="B71" s="49" t="s">
        <v>404</v>
      </c>
      <c r="C71" s="184" t="s">
        <v>69</v>
      </c>
      <c r="D71" s="184">
        <v>108</v>
      </c>
      <c r="E71" s="184" t="s">
        <v>90</v>
      </c>
      <c r="F71" s="286" t="s">
        <v>99</v>
      </c>
      <c r="G71" s="2236">
        <f>-'1.3 Common Plt Summary'!D24</f>
        <v>219309854</v>
      </c>
      <c r="H71" s="1752">
        <f>IF($E71="DIRECT",$L71,VLOOKUP($E71,Ratio,2,FALSE)*$G71)</f>
        <v>61406759.120000005</v>
      </c>
      <c r="I71" s="1752">
        <f>IF($E71="DIRECT",$M71,VLOOKUP($E71,Ratio,3,FALSE)*$G71)</f>
        <v>0</v>
      </c>
      <c r="J71" s="1753">
        <f>IF($E71="DIRECT",$N71,VLOOKUP($E71,Ratio,4,FALSE)*$G71)</f>
        <v>157903094.88</v>
      </c>
      <c r="K71" s="24"/>
      <c r="L71" s="1770">
        <f>-'1.3 Common Plt Summary'!G24</f>
        <v>61406759.120000005</v>
      </c>
      <c r="M71" s="1770">
        <f>0</f>
        <v>0</v>
      </c>
      <c r="N71" s="1770">
        <f>-'1.3 Common Plt Summary'!I24+-'1.3 Common Plt Summary'!H24</f>
        <v>157903094.88</v>
      </c>
      <c r="O71" s="11"/>
    </row>
    <row r="72" spans="1:15" ht="15" customHeight="1">
      <c r="A72" s="1349"/>
      <c r="B72" s="49" t="s">
        <v>405</v>
      </c>
      <c r="C72" s="184" t="s">
        <v>69</v>
      </c>
      <c r="D72" s="184">
        <v>108</v>
      </c>
      <c r="E72" s="184" t="s">
        <v>90</v>
      </c>
      <c r="F72" s="184" t="s">
        <v>395</v>
      </c>
      <c r="G72" s="2236">
        <f>'219'!I36</f>
        <v>0</v>
      </c>
      <c r="H72" s="1752">
        <f>IF($E72="DIRECT",$L72,VLOOKUP($E72,Ratio,2,FALSE)*$G72)</f>
        <v>0</v>
      </c>
      <c r="I72" s="1752">
        <f>IF($E72="DIRECT",$M72,VLOOKUP($E72,Ratio,3,FALSE)*$G72)</f>
        <v>0</v>
      </c>
      <c r="J72" s="1753">
        <f>IF($E72="DIRECT",$N72,VLOOKUP($E72,Ratio,4,FALSE)*$G72)</f>
        <v>0</v>
      </c>
      <c r="K72" s="24"/>
      <c r="L72" s="1770"/>
      <c r="M72" s="1770"/>
      <c r="N72" s="1770"/>
      <c r="O72" s="11"/>
    </row>
    <row r="73" spans="1:15" ht="15" customHeight="1">
      <c r="A73" s="1349"/>
      <c r="B73" s="49" t="s">
        <v>551</v>
      </c>
      <c r="C73" s="184" t="s">
        <v>69</v>
      </c>
      <c r="D73" s="184">
        <v>115</v>
      </c>
      <c r="E73" s="184" t="s">
        <v>90</v>
      </c>
      <c r="F73" s="184" t="s">
        <v>395</v>
      </c>
      <c r="G73" s="1796">
        <f>'219'!I37</f>
        <v>0</v>
      </c>
      <c r="H73" s="1752">
        <f>IF($E73="DIRECT",$L73,VLOOKUP($E73,Ratio,2,FALSE)*$G73)</f>
        <v>0</v>
      </c>
      <c r="I73" s="1752">
        <f>IF($E73="DIRECT",$M73,VLOOKUP($E73,Ratio,3,FALSE)*$G73)</f>
        <v>0</v>
      </c>
      <c r="J73" s="1753">
        <f>IF($E73="DIRECT",$N73,VLOOKUP($E73,Ratio,4,FALSE)*$G73)</f>
        <v>0</v>
      </c>
      <c r="K73" s="24"/>
      <c r="L73" s="1770"/>
      <c r="M73" s="1770"/>
      <c r="N73" s="1770"/>
      <c r="O73" s="11"/>
    </row>
    <row r="74" spans="1:15" ht="15" customHeight="1">
      <c r="A74" s="1349"/>
      <c r="B74" s="49"/>
      <c r="C74" s="48"/>
      <c r="D74" s="48"/>
      <c r="E74" s="48"/>
      <c r="F74" s="48"/>
      <c r="G74" s="379"/>
      <c r="H74" s="337"/>
      <c r="I74" s="337"/>
      <c r="J74" s="1355"/>
      <c r="K74" s="24"/>
      <c r="L74" s="1771"/>
      <c r="M74" s="1772"/>
      <c r="N74" s="1772"/>
      <c r="O74" s="11"/>
    </row>
    <row r="75" spans="1:15" ht="15" customHeight="1">
      <c r="A75" s="1342" t="s">
        <v>211</v>
      </c>
      <c r="B75" s="49"/>
      <c r="C75" s="184"/>
      <c r="D75" s="184"/>
      <c r="E75" s="184" t="s">
        <v>90</v>
      </c>
      <c r="F75" s="184"/>
      <c r="G75" s="1770"/>
      <c r="H75" s="1752">
        <f>IF($E75="DIRECT",$L75,VLOOKUP($E75,Ratio,2,FALSE)*$G75)</f>
        <v>0</v>
      </c>
      <c r="I75" s="1752">
        <f>IF($E75="DIRECT",$M75,VLOOKUP($E75,Ratio,3,FALSE)*$G75)</f>
        <v>0</v>
      </c>
      <c r="J75" s="1753">
        <f>IF($E75="DIRECT",$N75,VLOOKUP($E75,Ratio,4,FALSE)*$G75)</f>
        <v>0</v>
      </c>
      <c r="K75" s="24"/>
      <c r="L75" s="1770"/>
      <c r="M75" s="1770"/>
      <c r="N75" s="1770"/>
      <c r="O75" s="11"/>
    </row>
    <row r="76" spans="1:15" ht="15" customHeight="1">
      <c r="A76" s="1359"/>
      <c r="B76" s="49"/>
      <c r="C76" s="48"/>
      <c r="D76" s="48"/>
      <c r="E76" s="48"/>
      <c r="F76" s="48"/>
      <c r="G76" s="377"/>
      <c r="H76" s="337"/>
      <c r="I76" s="337"/>
      <c r="J76" s="1355"/>
      <c r="K76" s="24"/>
      <c r="L76" s="1771"/>
      <c r="M76" s="1772"/>
      <c r="N76" s="1772"/>
      <c r="O76" s="11"/>
    </row>
    <row r="77" spans="1:15" ht="15" customHeight="1">
      <c r="A77" s="1351" t="s">
        <v>223</v>
      </c>
      <c r="B77" s="33"/>
      <c r="C77" s="1863"/>
      <c r="D77" s="1857"/>
      <c r="E77" s="1857"/>
      <c r="F77" s="1858"/>
      <c r="G77" s="1794">
        <f>SUM(G57:G75)</f>
        <v>2165002924.3600001</v>
      </c>
      <c r="H77" s="493">
        <f>SUM(H57:H75)</f>
        <v>861828044.45139837</v>
      </c>
      <c r="I77" s="493">
        <f>SUM(I57:I75)</f>
        <v>0</v>
      </c>
      <c r="J77" s="1366">
        <f>SUM(J57:J75)</f>
        <v>1303174879.9053044</v>
      </c>
      <c r="K77" s="24"/>
      <c r="L77" s="1771"/>
      <c r="M77" s="1772"/>
      <c r="N77" s="1772"/>
      <c r="O77" s="11"/>
    </row>
    <row r="78" spans="1:15" ht="15" customHeight="1">
      <c r="A78" s="1359"/>
      <c r="B78" s="60"/>
      <c r="C78" s="48"/>
      <c r="D78" s="48"/>
      <c r="E78" s="48"/>
      <c r="F78" s="48"/>
      <c r="G78" s="377"/>
      <c r="H78" s="142"/>
      <c r="I78" s="142"/>
      <c r="J78" s="1348"/>
      <c r="K78" s="24"/>
      <c r="L78" s="1771"/>
      <c r="M78" s="1772"/>
      <c r="N78" s="1772"/>
      <c r="O78" s="11"/>
    </row>
    <row r="79" spans="1:15" ht="15" customHeight="1">
      <c r="A79" s="1351" t="s">
        <v>479</v>
      </c>
      <c r="B79" s="32"/>
      <c r="C79" s="1863"/>
      <c r="D79" s="1857"/>
      <c r="E79" s="1857"/>
      <c r="F79" s="1858"/>
      <c r="G79" s="1794">
        <f>G52-G77</f>
        <v>3187761027.6399999</v>
      </c>
      <c r="H79" s="493">
        <f>H52-H77</f>
        <v>841542967.16555357</v>
      </c>
      <c r="I79" s="493">
        <f>I52-I77</f>
        <v>0</v>
      </c>
      <c r="J79" s="1366">
        <f>J52-J77</f>
        <v>2346218059.9277439</v>
      </c>
      <c r="K79" s="24"/>
      <c r="L79" s="1771"/>
      <c r="M79" s="1772"/>
      <c r="N79" s="1772"/>
      <c r="O79" s="11"/>
    </row>
    <row r="80" spans="1:15" ht="15" customHeight="1">
      <c r="A80" s="1357" t="s">
        <v>84</v>
      </c>
      <c r="B80" s="32"/>
      <c r="C80" s="34"/>
      <c r="D80" s="34"/>
      <c r="E80" s="1864"/>
      <c r="F80" s="1864"/>
      <c r="G80" s="377"/>
      <c r="H80" s="142"/>
      <c r="I80" s="142"/>
      <c r="J80" s="1353"/>
      <c r="K80" s="24"/>
      <c r="L80" s="1771"/>
      <c r="M80" s="1772"/>
      <c r="N80" s="1772"/>
      <c r="O80" s="11"/>
    </row>
    <row r="81" spans="1:15" ht="15" customHeight="1" thickBot="1">
      <c r="A81" s="1360"/>
      <c r="B81" s="173"/>
      <c r="C81" s="193"/>
      <c r="D81" s="193"/>
      <c r="E81" s="1865"/>
      <c r="F81" s="1865"/>
      <c r="G81" s="1798"/>
      <c r="H81" s="380"/>
      <c r="I81" s="380"/>
      <c r="J81" s="1361"/>
      <c r="K81" s="24"/>
      <c r="L81" s="1771"/>
      <c r="M81" s="1772"/>
      <c r="N81" s="1772"/>
      <c r="O81" s="11"/>
    </row>
    <row r="82" spans="1:15" ht="15" customHeight="1" thickTop="1">
      <c r="A82" s="1362" t="s">
        <v>76</v>
      </c>
      <c r="B82" s="32"/>
      <c r="C82" s="34"/>
      <c r="D82" s="34"/>
      <c r="E82" s="1864"/>
      <c r="F82" s="1864"/>
      <c r="G82" s="377"/>
      <c r="H82" s="142"/>
      <c r="I82" s="142"/>
      <c r="J82" s="1353"/>
      <c r="K82" s="24"/>
      <c r="L82" s="1771"/>
      <c r="M82" s="1772"/>
      <c r="N82" s="1772"/>
      <c r="O82" s="11"/>
    </row>
    <row r="83" spans="1:15" ht="9.9499999999999993" customHeight="1">
      <c r="A83" s="1363"/>
      <c r="B83" s="32"/>
      <c r="C83" s="34"/>
      <c r="D83" s="34"/>
      <c r="E83" s="1864"/>
      <c r="F83" s="1864"/>
      <c r="G83" s="377"/>
      <c r="H83" s="142"/>
      <c r="I83" s="142"/>
      <c r="J83" s="1353"/>
      <c r="K83" s="24"/>
      <c r="L83" s="1771"/>
      <c r="M83" s="1772"/>
      <c r="N83" s="1772"/>
      <c r="O83" s="11"/>
    </row>
    <row r="84" spans="1:15" ht="15" customHeight="1">
      <c r="A84" s="1364" t="s">
        <v>144</v>
      </c>
      <c r="B84" s="77"/>
      <c r="C84" s="2306" t="s">
        <v>229</v>
      </c>
      <c r="D84" s="2307"/>
      <c r="E84" s="2307"/>
      <c r="F84" s="2308"/>
      <c r="G84" s="1799">
        <f>'Sch 1A - Cash Working Capital'!C24</f>
        <v>41593656.978750005</v>
      </c>
      <c r="H84" s="1761">
        <f>'Sch 1A - Cash Working Capital'!D24</f>
        <v>16843399.343093246</v>
      </c>
      <c r="I84" s="1762">
        <f>'Sch 1A - Cash Working Capital'!E24</f>
        <v>0</v>
      </c>
      <c r="J84" s="1763">
        <f>'Sch 1A - Cash Working Capital'!F24</f>
        <v>24750257.635620713</v>
      </c>
      <c r="K84" s="24"/>
      <c r="L84" s="1771"/>
      <c r="M84" s="1772"/>
      <c r="N84" s="1772"/>
      <c r="O84" s="11"/>
    </row>
    <row r="85" spans="1:15" ht="9.9499999999999993" customHeight="1">
      <c r="A85" s="1349"/>
      <c r="B85" s="46"/>
      <c r="C85" s="48"/>
      <c r="D85" s="48"/>
      <c r="E85" s="48"/>
      <c r="F85" s="48"/>
      <c r="G85" s="378"/>
      <c r="H85" s="1764"/>
      <c r="I85" s="1764"/>
      <c r="J85" s="1765"/>
      <c r="K85" s="24"/>
      <c r="L85" s="1771"/>
      <c r="M85" s="1772"/>
      <c r="N85" s="1772"/>
      <c r="O85" s="11"/>
    </row>
    <row r="86" spans="1:15" ht="15" customHeight="1">
      <c r="A86" s="1365" t="s">
        <v>274</v>
      </c>
      <c r="B86" s="79"/>
      <c r="C86" s="80"/>
      <c r="D86" s="48"/>
      <c r="E86" s="48"/>
      <c r="F86" s="48"/>
      <c r="G86" s="379"/>
      <c r="H86" s="337"/>
      <c r="I86" s="337"/>
      <c r="J86" s="1355"/>
      <c r="K86" s="25"/>
      <c r="L86" s="1771"/>
      <c r="M86" s="1772"/>
      <c r="N86" s="1772"/>
      <c r="O86" s="11"/>
    </row>
    <row r="87" spans="1:15" ht="15" customHeight="1">
      <c r="A87" s="1349"/>
      <c r="B87" s="46" t="s">
        <v>437</v>
      </c>
      <c r="C87" s="184" t="s">
        <v>69</v>
      </c>
      <c r="D87" s="184">
        <v>105</v>
      </c>
      <c r="E87" s="184" t="s">
        <v>395</v>
      </c>
      <c r="F87" s="184"/>
      <c r="G87" s="2236">
        <f>'200-201'!J11</f>
        <v>2928319</v>
      </c>
      <c r="H87" s="1752">
        <f>VLOOKUP($E87,Ratio,2,FALSE)*$G87</f>
        <v>0</v>
      </c>
      <c r="I87" s="1752">
        <f>VLOOKUP($E87,Ratio,3,FALSE)*$G87</f>
        <v>0</v>
      </c>
      <c r="J87" s="1753">
        <f>VLOOKUP($E87,Ratio,4,FALSE)*$G87</f>
        <v>2928319</v>
      </c>
      <c r="K87" s="25"/>
      <c r="L87" s="1771"/>
      <c r="M87" s="1772"/>
      <c r="N87" s="1772"/>
      <c r="O87" s="11"/>
    </row>
    <row r="88" spans="1:15" ht="15" customHeight="1">
      <c r="A88" s="1349"/>
      <c r="B88" s="46" t="s">
        <v>77</v>
      </c>
      <c r="C88" s="184" t="s">
        <v>69</v>
      </c>
      <c r="D88" s="184">
        <v>106</v>
      </c>
      <c r="E88" s="300" t="s">
        <v>99</v>
      </c>
      <c r="F88" s="184"/>
      <c r="G88" s="2236">
        <f>'200-201'!J7</f>
        <v>0</v>
      </c>
      <c r="H88" s="1752">
        <f>VLOOKUP($E88,Ratio,2,FALSE)*$G88</f>
        <v>0</v>
      </c>
      <c r="I88" s="1752">
        <f>VLOOKUP($E88,Ratio,3,FALSE)*$G88</f>
        <v>0</v>
      </c>
      <c r="J88" s="1753">
        <f>VLOOKUP($E88,Ratio,4,FALSE)*$G88</f>
        <v>0</v>
      </c>
      <c r="K88" s="25"/>
      <c r="L88" s="1771"/>
      <c r="M88" s="1772"/>
      <c r="N88" s="1772"/>
      <c r="O88" s="11"/>
    </row>
    <row r="89" spans="1:15" ht="15" customHeight="1">
      <c r="A89" s="1349"/>
      <c r="B89" s="33" t="s">
        <v>480</v>
      </c>
      <c r="C89" s="184" t="s">
        <v>72</v>
      </c>
      <c r="D89" s="184" t="s">
        <v>257</v>
      </c>
      <c r="E89" s="184" t="s">
        <v>397</v>
      </c>
      <c r="F89" s="184"/>
      <c r="G89" s="2236">
        <f>'200-201'!J8</f>
        <v>0</v>
      </c>
      <c r="H89" s="1752">
        <f>VLOOKUP($E89,Ratio,2,FALSE)*$G89</f>
        <v>0</v>
      </c>
      <c r="I89" s="1752">
        <f>VLOOKUP($E89,Ratio,3,FALSE)*$G89</f>
        <v>0</v>
      </c>
      <c r="J89" s="1753">
        <f>VLOOKUP($E89,Ratio,4,FALSE)*$G89</f>
        <v>0</v>
      </c>
      <c r="K89" s="24"/>
      <c r="L89" s="1771"/>
      <c r="M89" s="1772"/>
      <c r="N89" s="1772"/>
      <c r="O89" s="11"/>
    </row>
    <row r="90" spans="1:15" ht="15" customHeight="1">
      <c r="A90" s="1349"/>
      <c r="B90" s="46" t="s">
        <v>80</v>
      </c>
      <c r="C90" s="184" t="s">
        <v>69</v>
      </c>
      <c r="D90" s="184" t="s">
        <v>258</v>
      </c>
      <c r="E90" s="184" t="s">
        <v>395</v>
      </c>
      <c r="F90" s="184"/>
      <c r="G90" s="2236">
        <f>'200-201'!J12</f>
        <v>132548007</v>
      </c>
      <c r="H90" s="1752">
        <f>VLOOKUP($E90,Ratio,2,FALSE)*$G90</f>
        <v>0</v>
      </c>
      <c r="I90" s="1752">
        <f>VLOOKUP($E90,Ratio,3,FALSE)*$G90</f>
        <v>0</v>
      </c>
      <c r="J90" s="1753">
        <f>VLOOKUP($E90,Ratio,4,FALSE)*$G90</f>
        <v>132548007</v>
      </c>
      <c r="K90" s="25"/>
      <c r="L90" s="1771"/>
      <c r="M90" s="1772"/>
      <c r="N90" s="1772"/>
      <c r="O90" s="11"/>
    </row>
    <row r="91" spans="1:15" ht="15" customHeight="1">
      <c r="A91" s="1349"/>
      <c r="B91" s="46" t="s">
        <v>224</v>
      </c>
      <c r="C91" s="184">
        <v>356</v>
      </c>
      <c r="D91" s="184"/>
      <c r="E91" s="184" t="s">
        <v>90</v>
      </c>
      <c r="F91" s="184"/>
      <c r="G91" s="2236">
        <f>'1.3 Common Plt Summary'!D22</f>
        <v>527520424</v>
      </c>
      <c r="H91" s="1752">
        <f>IF($E91="DIRECT",$L91,VLOOKUP($E91,Ratio,2,FALSE)*$G91)</f>
        <v>95603687.228371158</v>
      </c>
      <c r="I91" s="1752">
        <f>IF($E91="DIRECT",$M91,VLOOKUP($E91,Ratio,3,FALSE)*$G91)</f>
        <v>0</v>
      </c>
      <c r="J91" s="1753">
        <f>IF($E91="DIRECT",$N91,VLOOKUP($E91,Ratio,4,FALSE)*$G91)</f>
        <v>431916736.77162886</v>
      </c>
      <c r="K91" s="25"/>
      <c r="L91" s="1770">
        <f>'1.3 Common Plt Summary'!G22</f>
        <v>95603687.228371158</v>
      </c>
      <c r="M91" s="1770">
        <f>0</f>
        <v>0</v>
      </c>
      <c r="N91" s="1770">
        <f>'1.3 Common Plt Summary'!I22+'1.3 Common Plt Summary'!H22</f>
        <v>431916736.77162886</v>
      </c>
      <c r="O91" s="11"/>
    </row>
    <row r="92" spans="1:15" ht="15" customHeight="1">
      <c r="A92" s="1349"/>
      <c r="B92" s="46" t="s">
        <v>71</v>
      </c>
      <c r="C92" s="184" t="s">
        <v>69</v>
      </c>
      <c r="D92" s="184">
        <v>114</v>
      </c>
      <c r="E92" s="184" t="s">
        <v>90</v>
      </c>
      <c r="F92" s="184" t="s">
        <v>395</v>
      </c>
      <c r="G92" s="2236">
        <f>'200-201'!I13</f>
        <v>256800</v>
      </c>
      <c r="H92" s="1752">
        <f>IF($E92="DIRECT",$L92,VLOOKUP($E92,Ratio,2,FALSE)*$G92)</f>
        <v>0</v>
      </c>
      <c r="I92" s="1752">
        <f>IF($E92="DIRECT",$M92,VLOOKUP($E92,Ratio,3,FALSE)*$G92)</f>
        <v>0</v>
      </c>
      <c r="J92" s="1753">
        <f>IF($E92="DIRECT",$N92,VLOOKUP($E92,Ratio,4,FALSE)*$G92)</f>
        <v>256800</v>
      </c>
      <c r="K92" s="25"/>
      <c r="L92" s="1770"/>
      <c r="M92" s="1770"/>
      <c r="N92" s="1770">
        <f>'200-201'!I13</f>
        <v>256800</v>
      </c>
      <c r="O92" s="11"/>
    </row>
    <row r="93" spans="1:15" ht="15" customHeight="1">
      <c r="A93" s="1349"/>
      <c r="B93" s="76" t="s">
        <v>104</v>
      </c>
      <c r="C93" s="1863"/>
      <c r="D93" s="1857"/>
      <c r="E93" s="1857"/>
      <c r="F93" s="1858"/>
      <c r="G93" s="1794">
        <f>SUM(G87:G92)</f>
        <v>663253550</v>
      </c>
      <c r="H93" s="493">
        <f>SUM(H87:H92)</f>
        <v>95603687.228371158</v>
      </c>
      <c r="I93" s="493">
        <f>SUM(I87:I92)</f>
        <v>0</v>
      </c>
      <c r="J93" s="1366">
        <f>SUM(J87:J92)</f>
        <v>567649862.77162886</v>
      </c>
      <c r="K93" s="25"/>
      <c r="L93" s="1771"/>
      <c r="M93" s="1772"/>
      <c r="N93" s="1772"/>
      <c r="O93" s="11"/>
    </row>
    <row r="94" spans="1:15" ht="9.9499999999999993" customHeight="1">
      <c r="A94" s="1349"/>
      <c r="B94" s="76"/>
      <c r="C94" s="74"/>
      <c r="D94" s="74"/>
      <c r="E94" s="74"/>
      <c r="F94" s="74"/>
      <c r="G94" s="927"/>
      <c r="H94" s="334"/>
      <c r="I94" s="334"/>
      <c r="J94" s="1367"/>
      <c r="K94" s="25"/>
      <c r="L94" s="1771"/>
      <c r="M94" s="1772"/>
      <c r="N94" s="1772"/>
      <c r="O94" s="11"/>
    </row>
    <row r="95" spans="1:15" ht="15" customHeight="1">
      <c r="A95" s="1368" t="s">
        <v>275</v>
      </c>
      <c r="B95" s="79"/>
      <c r="C95" s="80"/>
      <c r="D95" s="48"/>
      <c r="E95" s="48"/>
      <c r="F95" s="48"/>
      <c r="G95" s="335"/>
      <c r="H95" s="1766"/>
      <c r="I95" s="1766"/>
      <c r="J95" s="1767"/>
      <c r="K95" s="25"/>
      <c r="L95" s="1771"/>
      <c r="M95" s="1772"/>
      <c r="N95" s="1772"/>
      <c r="O95" s="11"/>
    </row>
    <row r="96" spans="1:15" ht="15" customHeight="1">
      <c r="A96" s="1349"/>
      <c r="B96" s="49" t="s">
        <v>448</v>
      </c>
      <c r="C96" s="184" t="s">
        <v>78</v>
      </c>
      <c r="D96" s="184">
        <v>123</v>
      </c>
      <c r="E96" s="184" t="s">
        <v>90</v>
      </c>
      <c r="F96" s="184" t="s">
        <v>395</v>
      </c>
      <c r="G96" s="2235">
        <f>'110-111'!K21</f>
        <v>11547000</v>
      </c>
      <c r="H96" s="1752">
        <f>IF($E96="DIRECT",$L96,VLOOKUP($E96,Ratio,2,FALSE)*$G96)</f>
        <v>0</v>
      </c>
      <c r="I96" s="1752">
        <f>IF($E96="DIRECT",$M96,VLOOKUP($E96,Ratio,3,FALSE)*$G96)</f>
        <v>0</v>
      </c>
      <c r="J96" s="1753">
        <f>IF($E96="DIRECT",$N96,VLOOKUP($E96,Ratio,4,FALSE)*$G96)</f>
        <v>11547000</v>
      </c>
      <c r="K96" s="25"/>
      <c r="L96" s="1770"/>
      <c r="M96" s="1770"/>
      <c r="N96" s="1770">
        <f>G96</f>
        <v>11547000</v>
      </c>
      <c r="O96" s="11"/>
    </row>
    <row r="97" spans="1:15" ht="15" customHeight="1">
      <c r="A97" s="1349"/>
      <c r="B97" s="46" t="s">
        <v>481</v>
      </c>
      <c r="C97" s="184" t="s">
        <v>78</v>
      </c>
      <c r="D97" s="184">
        <v>124</v>
      </c>
      <c r="E97" s="184" t="s">
        <v>395</v>
      </c>
      <c r="F97" s="184"/>
      <c r="G97" s="2236">
        <f>'110-111'!K25</f>
        <v>14093.53</v>
      </c>
      <c r="H97" s="1752">
        <f>VLOOKUP($E97,Ratio,2,FALSE)*$G97</f>
        <v>0</v>
      </c>
      <c r="I97" s="1752">
        <f>VLOOKUP($E97,Ratio,3,FALSE)*$G97</f>
        <v>0</v>
      </c>
      <c r="J97" s="1753">
        <f>VLOOKUP($E97,Ratio,4,FALSE)*$G97</f>
        <v>14093.53</v>
      </c>
      <c r="K97" s="25"/>
      <c r="L97" s="1771"/>
      <c r="M97" s="1772"/>
      <c r="N97" s="1772"/>
      <c r="O97" s="11"/>
    </row>
    <row r="98" spans="1:15" ht="15" customHeight="1">
      <c r="A98" s="1349"/>
      <c r="B98" s="54" t="s">
        <v>6</v>
      </c>
      <c r="C98" s="184" t="s">
        <v>78</v>
      </c>
      <c r="D98" s="184">
        <v>175</v>
      </c>
      <c r="E98" s="184" t="s">
        <v>395</v>
      </c>
      <c r="F98" s="184"/>
      <c r="G98" s="2236">
        <v>0</v>
      </c>
      <c r="H98" s="1752">
        <f>VLOOKUP($E98,Ratio,2,FALSE)*$G98</f>
        <v>0</v>
      </c>
      <c r="I98" s="1752">
        <f>VLOOKUP($E98,Ratio,3,FALSE)*$G98</f>
        <v>0</v>
      </c>
      <c r="J98" s="1753">
        <f>VLOOKUP($E98,Ratio,4,FALSE)*$G98</f>
        <v>0</v>
      </c>
      <c r="K98" s="25"/>
      <c r="L98" s="1771"/>
      <c r="M98" s="1772"/>
      <c r="N98" s="1772"/>
      <c r="O98" s="11"/>
    </row>
    <row r="99" spans="1:15" ht="15" customHeight="1">
      <c r="A99" s="1349"/>
      <c r="B99" s="54" t="s">
        <v>375</v>
      </c>
      <c r="C99" s="184" t="s">
        <v>78</v>
      </c>
      <c r="D99" s="184">
        <v>176</v>
      </c>
      <c r="E99" s="184" t="s">
        <v>395</v>
      </c>
      <c r="F99" s="184"/>
      <c r="G99" s="1796">
        <v>0</v>
      </c>
      <c r="H99" s="1752">
        <f>VLOOKUP($E99,Ratio,2,FALSE)*$G99</f>
        <v>0</v>
      </c>
      <c r="I99" s="1752">
        <f>VLOOKUP($E99,Ratio,3,FALSE)*$G99</f>
        <v>0</v>
      </c>
      <c r="J99" s="1753">
        <f>VLOOKUP($E99,Ratio,4,FALSE)*$G99</f>
        <v>0</v>
      </c>
      <c r="K99" s="25"/>
      <c r="L99" s="1771"/>
      <c r="M99" s="1772"/>
      <c r="N99" s="1772"/>
      <c r="O99" s="11"/>
    </row>
    <row r="100" spans="1:15" ht="15" customHeight="1">
      <c r="A100" s="1349"/>
      <c r="B100" s="76" t="s">
        <v>104</v>
      </c>
      <c r="C100" s="1863"/>
      <c r="D100" s="1857"/>
      <c r="E100" s="1857"/>
      <c r="F100" s="1858"/>
      <c r="G100" s="1794">
        <f>SUM(G96:G99)</f>
        <v>11561093.529999999</v>
      </c>
      <c r="H100" s="493">
        <f>SUM(H96:H99)</f>
        <v>0</v>
      </c>
      <c r="I100" s="493">
        <f>SUM(I96:I99)</f>
        <v>0</v>
      </c>
      <c r="J100" s="1366">
        <f>SUM(J96:J99)</f>
        <v>11561093.529999999</v>
      </c>
      <c r="K100" s="25"/>
      <c r="L100" s="1771"/>
      <c r="M100" s="1772"/>
      <c r="N100" s="1772"/>
      <c r="O100" s="11"/>
    </row>
    <row r="101" spans="1:15" ht="9.9499999999999993" customHeight="1">
      <c r="A101" s="1349"/>
      <c r="B101" s="76"/>
      <c r="C101" s="74"/>
      <c r="D101" s="74"/>
      <c r="E101" s="74"/>
      <c r="F101" s="74"/>
      <c r="G101" s="927"/>
      <c r="H101" s="334"/>
      <c r="I101" s="334"/>
      <c r="J101" s="1367"/>
      <c r="K101" s="25"/>
      <c r="L101" s="1771"/>
      <c r="M101" s="1772"/>
      <c r="N101" s="1772"/>
      <c r="O101" s="11"/>
    </row>
    <row r="102" spans="1:15" ht="15" customHeight="1">
      <c r="A102" s="1365" t="s">
        <v>177</v>
      </c>
      <c r="B102" s="79"/>
      <c r="C102" s="80"/>
      <c r="D102" s="48"/>
      <c r="E102" s="48"/>
      <c r="F102" s="48"/>
      <c r="G102" s="378"/>
      <c r="H102" s="381"/>
      <c r="I102" s="381"/>
      <c r="J102" s="1758"/>
      <c r="K102" s="25"/>
      <c r="L102" s="1771"/>
      <c r="M102" s="1772"/>
      <c r="N102" s="1772"/>
      <c r="O102" s="11"/>
    </row>
    <row r="103" spans="1:15" ht="15" customHeight="1">
      <c r="A103" s="1349"/>
      <c r="B103" s="46" t="s">
        <v>440</v>
      </c>
      <c r="C103" s="184" t="s">
        <v>78</v>
      </c>
      <c r="D103" s="184">
        <v>151</v>
      </c>
      <c r="E103" s="184" t="s">
        <v>397</v>
      </c>
      <c r="F103" s="184"/>
      <c r="G103" s="2236">
        <f>'110-111'!K46</f>
        <v>4683150.17</v>
      </c>
      <c r="H103" s="1752">
        <f t="shared" ref="H103:H115" si="6">VLOOKUP($E103,Ratio,2,FALSE)*$G103</f>
        <v>4683150.17</v>
      </c>
      <c r="I103" s="1752">
        <f t="shared" ref="I103:I115" si="7">VLOOKUP($E103,Ratio,3,FALSE)*$G103</f>
        <v>0</v>
      </c>
      <c r="J103" s="1753">
        <f t="shared" ref="J103:J115" si="8">VLOOKUP($E103,Ratio,4,FALSE)*$G103</f>
        <v>0</v>
      </c>
      <c r="K103" s="25"/>
      <c r="L103" s="1771"/>
      <c r="M103" s="1772"/>
      <c r="N103" s="1772"/>
      <c r="O103" s="11"/>
    </row>
    <row r="104" spans="1:15" ht="15" customHeight="1">
      <c r="A104" s="1349"/>
      <c r="B104" s="54" t="s">
        <v>7</v>
      </c>
      <c r="C104" s="184" t="s">
        <v>78</v>
      </c>
      <c r="D104" s="184">
        <v>152</v>
      </c>
      <c r="E104" s="184" t="s">
        <v>397</v>
      </c>
      <c r="F104" s="184"/>
      <c r="G104" s="2236">
        <f>'110-111'!K47</f>
        <v>0</v>
      </c>
      <c r="H104" s="1752">
        <f t="shared" si="6"/>
        <v>0</v>
      </c>
      <c r="I104" s="1752">
        <f t="shared" si="7"/>
        <v>0</v>
      </c>
      <c r="J104" s="1753">
        <f t="shared" si="8"/>
        <v>0</v>
      </c>
      <c r="K104" s="25"/>
      <c r="L104" s="1771"/>
      <c r="M104" s="1772"/>
      <c r="N104" s="1772"/>
      <c r="O104" s="11"/>
    </row>
    <row r="105" spans="1:15" ht="15" customHeight="1">
      <c r="A105" s="1349"/>
      <c r="B105" s="46" t="s">
        <v>79</v>
      </c>
      <c r="C105" s="184" t="s">
        <v>78</v>
      </c>
      <c r="D105" s="184">
        <v>154</v>
      </c>
      <c r="E105" s="184" t="s">
        <v>99</v>
      </c>
      <c r="F105" s="184"/>
      <c r="G105" s="2236">
        <f>'110-111'!K49</f>
        <v>79492527.939999998</v>
      </c>
      <c r="H105" s="1752">
        <f t="shared" si="6"/>
        <v>25259610.746624589</v>
      </c>
      <c r="I105" s="1752">
        <f t="shared" si="7"/>
        <v>0</v>
      </c>
      <c r="J105" s="1753">
        <f t="shared" si="8"/>
        <v>54232917.193375401</v>
      </c>
      <c r="K105" s="25"/>
      <c r="L105" s="1771"/>
      <c r="M105" s="1772"/>
      <c r="N105" s="1772"/>
      <c r="O105" s="11"/>
    </row>
    <row r="106" spans="1:15" ht="15" customHeight="1">
      <c r="A106" s="1349"/>
      <c r="B106" s="46" t="s">
        <v>355</v>
      </c>
      <c r="C106" s="184" t="s">
        <v>78</v>
      </c>
      <c r="D106" s="184">
        <v>155</v>
      </c>
      <c r="E106" s="184" t="s">
        <v>395</v>
      </c>
      <c r="F106" s="184"/>
      <c r="G106" s="2236">
        <f>'110-111'!K50</f>
        <v>0</v>
      </c>
      <c r="H106" s="1752">
        <f t="shared" si="6"/>
        <v>0</v>
      </c>
      <c r="I106" s="1752">
        <f t="shared" si="7"/>
        <v>0</v>
      </c>
      <c r="J106" s="1753">
        <f t="shared" si="8"/>
        <v>0</v>
      </c>
      <c r="K106" s="25"/>
      <c r="L106" s="1771"/>
      <c r="M106" s="1772"/>
      <c r="N106" s="1772"/>
      <c r="O106" s="11"/>
    </row>
    <row r="107" spans="1:15" ht="15" customHeight="1">
      <c r="A107" s="1349"/>
      <c r="B107" s="46" t="s">
        <v>356</v>
      </c>
      <c r="C107" s="184" t="s">
        <v>78</v>
      </c>
      <c r="D107" s="184">
        <v>156</v>
      </c>
      <c r="E107" s="184" t="s">
        <v>395</v>
      </c>
      <c r="F107" s="184"/>
      <c r="G107" s="2236">
        <f>'110-111'!K50</f>
        <v>0</v>
      </c>
      <c r="H107" s="1752">
        <f t="shared" si="6"/>
        <v>0</v>
      </c>
      <c r="I107" s="1752">
        <f t="shared" si="7"/>
        <v>0</v>
      </c>
      <c r="J107" s="1753">
        <f t="shared" si="8"/>
        <v>0</v>
      </c>
      <c r="K107" s="25"/>
      <c r="L107" s="1771"/>
      <c r="M107" s="1772"/>
      <c r="N107" s="1772"/>
      <c r="O107" s="11"/>
    </row>
    <row r="108" spans="1:15" ht="15" customHeight="1">
      <c r="A108" s="1349"/>
      <c r="B108" s="46" t="s">
        <v>357</v>
      </c>
      <c r="C108" s="184" t="s">
        <v>78</v>
      </c>
      <c r="D108" s="184">
        <v>158.1</v>
      </c>
      <c r="E108" s="184" t="s">
        <v>397</v>
      </c>
      <c r="F108" s="184"/>
      <c r="G108" s="2236">
        <f>'110-111'!K53</f>
        <v>30071678.350000001</v>
      </c>
      <c r="H108" s="1752">
        <f t="shared" si="6"/>
        <v>30071678.350000001</v>
      </c>
      <c r="I108" s="1752">
        <f t="shared" si="7"/>
        <v>0</v>
      </c>
      <c r="J108" s="1753">
        <f t="shared" si="8"/>
        <v>0</v>
      </c>
      <c r="K108" s="25"/>
      <c r="L108" s="1771"/>
      <c r="M108" s="1772"/>
      <c r="N108" s="1772"/>
      <c r="O108" s="11"/>
    </row>
    <row r="109" spans="1:15" ht="15" customHeight="1">
      <c r="A109" s="1349"/>
      <c r="B109" s="46" t="s">
        <v>178</v>
      </c>
      <c r="C109" s="184" t="s">
        <v>78</v>
      </c>
      <c r="D109" s="184">
        <v>158.19999999999999</v>
      </c>
      <c r="E109" s="184" t="s">
        <v>397</v>
      </c>
      <c r="F109" s="184"/>
      <c r="G109" s="2236">
        <f>'110-111'!K54</f>
        <v>0</v>
      </c>
      <c r="H109" s="1752">
        <f t="shared" si="6"/>
        <v>0</v>
      </c>
      <c r="I109" s="1752">
        <f t="shared" si="7"/>
        <v>0</v>
      </c>
      <c r="J109" s="1753">
        <f t="shared" si="8"/>
        <v>0</v>
      </c>
      <c r="K109" s="25"/>
      <c r="L109" s="1771"/>
      <c r="M109" s="1772"/>
      <c r="N109" s="1772"/>
      <c r="O109" s="11"/>
    </row>
    <row r="110" spans="1:15" ht="14.25" customHeight="1">
      <c r="A110" s="1349"/>
      <c r="B110" s="46" t="s">
        <v>55</v>
      </c>
      <c r="C110" s="184" t="s">
        <v>78</v>
      </c>
      <c r="D110" s="184">
        <v>163</v>
      </c>
      <c r="E110" s="184" t="s">
        <v>99</v>
      </c>
      <c r="F110" s="184"/>
      <c r="G110" s="2236">
        <f>'110-111'!K55</f>
        <v>0</v>
      </c>
      <c r="H110" s="1752">
        <f t="shared" si="6"/>
        <v>0</v>
      </c>
      <c r="I110" s="1752">
        <f t="shared" si="7"/>
        <v>0</v>
      </c>
      <c r="J110" s="1753">
        <f t="shared" si="8"/>
        <v>0</v>
      </c>
      <c r="K110" s="25"/>
      <c r="L110" s="1771"/>
      <c r="M110" s="1772"/>
      <c r="N110" s="1772"/>
      <c r="O110" s="11"/>
    </row>
    <row r="111" spans="1:15" ht="15" customHeight="1">
      <c r="A111" s="1349"/>
      <c r="B111" s="46" t="s">
        <v>8</v>
      </c>
      <c r="C111" s="184" t="s">
        <v>78</v>
      </c>
      <c r="D111" s="184">
        <v>165</v>
      </c>
      <c r="E111" s="184" t="s">
        <v>99</v>
      </c>
      <c r="F111" s="184"/>
      <c r="G111" s="2236">
        <f>'110-111'!K58</f>
        <v>50221551.920000002</v>
      </c>
      <c r="H111" s="1752">
        <f t="shared" si="6"/>
        <v>15958441.446825081</v>
      </c>
      <c r="I111" s="1752">
        <f t="shared" si="7"/>
        <v>0</v>
      </c>
      <c r="J111" s="1753">
        <f t="shared" si="8"/>
        <v>34263110.473174915</v>
      </c>
      <c r="K111" s="25"/>
      <c r="L111" s="1771"/>
      <c r="M111" s="1772"/>
      <c r="N111" s="1772"/>
      <c r="O111" s="11"/>
    </row>
    <row r="112" spans="1:15" ht="15" customHeight="1">
      <c r="A112" s="1349"/>
      <c r="B112" s="54" t="s">
        <v>9</v>
      </c>
      <c r="C112" s="184" t="s">
        <v>78</v>
      </c>
      <c r="D112" s="184">
        <v>175</v>
      </c>
      <c r="E112" s="184" t="s">
        <v>395</v>
      </c>
      <c r="F112" s="184"/>
      <c r="G112" s="2236">
        <f>'110-111'!K64</f>
        <v>11821032.84</v>
      </c>
      <c r="H112" s="1752">
        <f t="shared" si="6"/>
        <v>0</v>
      </c>
      <c r="I112" s="1752">
        <f t="shared" si="7"/>
        <v>0</v>
      </c>
      <c r="J112" s="1753">
        <f t="shared" si="8"/>
        <v>11821032.84</v>
      </c>
      <c r="K112" s="25"/>
      <c r="L112" s="1771"/>
      <c r="M112" s="1772"/>
      <c r="N112" s="1772"/>
      <c r="O112" s="11"/>
    </row>
    <row r="113" spans="1:15" ht="15" customHeight="1">
      <c r="A113" s="1349"/>
      <c r="B113" s="143" t="s">
        <v>184</v>
      </c>
      <c r="C113" s="184" t="s">
        <v>78</v>
      </c>
      <c r="D113" s="184">
        <v>175</v>
      </c>
      <c r="E113" s="184" t="s">
        <v>395</v>
      </c>
      <c r="F113" s="184"/>
      <c r="G113" s="2236">
        <v>0</v>
      </c>
      <c r="H113" s="1752">
        <f t="shared" si="6"/>
        <v>0</v>
      </c>
      <c r="I113" s="1752">
        <f t="shared" si="7"/>
        <v>0</v>
      </c>
      <c r="J113" s="1753">
        <f t="shared" si="8"/>
        <v>0</v>
      </c>
      <c r="K113" s="25"/>
      <c r="L113" s="1771"/>
      <c r="M113" s="1772"/>
      <c r="N113" s="1772"/>
      <c r="O113" s="11"/>
    </row>
    <row r="114" spans="1:15" ht="15" customHeight="1">
      <c r="A114" s="1349"/>
      <c r="B114" s="54" t="s">
        <v>334</v>
      </c>
      <c r="C114" s="250" t="s">
        <v>78</v>
      </c>
      <c r="D114" s="250">
        <v>176</v>
      </c>
      <c r="E114" s="250" t="s">
        <v>395</v>
      </c>
      <c r="F114" s="184"/>
      <c r="G114" s="2236">
        <v>0</v>
      </c>
      <c r="H114" s="1752">
        <f t="shared" si="6"/>
        <v>0</v>
      </c>
      <c r="I114" s="1752">
        <f t="shared" si="7"/>
        <v>0</v>
      </c>
      <c r="J114" s="1753">
        <f t="shared" si="8"/>
        <v>0</v>
      </c>
      <c r="K114" s="25"/>
      <c r="L114" s="1771"/>
      <c r="M114" s="1772"/>
      <c r="N114" s="1772"/>
      <c r="O114" s="11"/>
    </row>
    <row r="115" spans="1:15" ht="15" customHeight="1">
      <c r="A115" s="1349"/>
      <c r="B115" s="143" t="s">
        <v>577</v>
      </c>
      <c r="C115" s="250" t="s">
        <v>78</v>
      </c>
      <c r="D115" s="250">
        <v>176</v>
      </c>
      <c r="E115" s="250" t="s">
        <v>395</v>
      </c>
      <c r="F115" s="184"/>
      <c r="G115" s="1796">
        <v>0</v>
      </c>
      <c r="H115" s="1752">
        <f t="shared" si="6"/>
        <v>0</v>
      </c>
      <c r="I115" s="1752">
        <f t="shared" si="7"/>
        <v>0</v>
      </c>
      <c r="J115" s="1753">
        <f t="shared" si="8"/>
        <v>0</v>
      </c>
      <c r="K115" s="25"/>
      <c r="L115" s="1771"/>
      <c r="M115" s="1772"/>
      <c r="N115" s="1772"/>
      <c r="O115" s="11"/>
    </row>
    <row r="116" spans="1:15" ht="15" customHeight="1" thickBot="1">
      <c r="A116" s="1349"/>
      <c r="B116" s="76" t="s">
        <v>104</v>
      </c>
      <c r="C116" s="1866"/>
      <c r="D116" s="1867"/>
      <c r="E116" s="1867"/>
      <c r="F116" s="1868"/>
      <c r="G116" s="1800">
        <f>SUM(G103:G112,G114)-G113-G115</f>
        <v>176289941.22</v>
      </c>
      <c r="H116" s="1510">
        <f>SUM(H103:H112,H114)-H113-H115</f>
        <v>75972880.713449672</v>
      </c>
      <c r="I116" s="1510">
        <f>SUM(I103:I112,I114)-I113-I115</f>
        <v>0</v>
      </c>
      <c r="J116" s="1511">
        <f>SUM(J103:J112,J114)-J113-J115</f>
        <v>100317060.50655031</v>
      </c>
      <c r="K116" s="25"/>
      <c r="L116" s="1771"/>
      <c r="M116" s="1772"/>
      <c r="N116" s="1772"/>
      <c r="O116" s="11"/>
    </row>
    <row r="117" spans="1:15" ht="4.5" customHeight="1" thickTop="1">
      <c r="A117" s="1512"/>
      <c r="B117" s="1513"/>
      <c r="C117" s="1869"/>
      <c r="D117" s="1869"/>
      <c r="E117" s="1869"/>
      <c r="F117" s="1869"/>
      <c r="G117" s="1801"/>
      <c r="H117" s="1515"/>
      <c r="I117" s="1515"/>
      <c r="J117" s="1516"/>
      <c r="K117" s="25"/>
      <c r="L117" s="1771"/>
      <c r="M117" s="1772"/>
      <c r="N117" s="1772"/>
      <c r="O117" s="11"/>
    </row>
    <row r="118" spans="1:15" ht="15" customHeight="1">
      <c r="A118" s="1365" t="s">
        <v>179</v>
      </c>
      <c r="B118" s="62"/>
      <c r="C118" s="80"/>
      <c r="D118" s="48"/>
      <c r="E118" s="48"/>
      <c r="F118" s="48"/>
      <c r="G118" s="379"/>
      <c r="H118" s="337"/>
      <c r="I118" s="337"/>
      <c r="J118" s="1355"/>
      <c r="K118" s="25"/>
      <c r="L118" s="1771"/>
      <c r="M118" s="1772"/>
      <c r="N118" s="1772"/>
      <c r="O118" s="11"/>
    </row>
    <row r="119" spans="1:15" ht="15" customHeight="1">
      <c r="A119" s="1349"/>
      <c r="B119" s="54" t="s">
        <v>10</v>
      </c>
      <c r="C119" s="184" t="s">
        <v>78</v>
      </c>
      <c r="D119" s="184">
        <v>181</v>
      </c>
      <c r="E119" s="184" t="s">
        <v>108</v>
      </c>
      <c r="F119" s="184"/>
      <c r="G119" s="2236">
        <f>'110-111'!K70</f>
        <v>21586300.960000001</v>
      </c>
      <c r="H119" s="1752">
        <f>VLOOKUP($E119,Ratio,2,FALSE)*$G119</f>
        <v>6869251.0323689282</v>
      </c>
      <c r="I119" s="1752">
        <f>VLOOKUP($E119,Ratio,3,FALSE)*$G119</f>
        <v>0</v>
      </c>
      <c r="J119" s="1753">
        <f>VLOOKUP($E119,Ratio,4,FALSE)*$G119</f>
        <v>14717049.925413068</v>
      </c>
      <c r="K119" s="25"/>
      <c r="L119" s="1771"/>
      <c r="M119" s="1772"/>
      <c r="N119" s="1772"/>
      <c r="O119" s="11"/>
    </row>
    <row r="120" spans="1:15" ht="15" customHeight="1">
      <c r="A120" s="1349"/>
      <c r="B120" s="54" t="s">
        <v>11</v>
      </c>
      <c r="C120" s="184" t="s">
        <v>78</v>
      </c>
      <c r="D120" s="184">
        <v>182.1</v>
      </c>
      <c r="E120" s="184" t="s">
        <v>90</v>
      </c>
      <c r="F120" s="184" t="s">
        <v>395</v>
      </c>
      <c r="G120" s="2236">
        <f>'110-111'!K71</f>
        <v>0</v>
      </c>
      <c r="H120" s="1752">
        <f>IF($E120="DIRECT",$L120,VLOOKUP($E120,Ratio,2,FALSE)*$G120)</f>
        <v>0</v>
      </c>
      <c r="I120" s="1752">
        <f>IF($E120="DIRECT",$M120,VLOOKUP($E120,Ratio,3,FALSE)*$G120)</f>
        <v>0</v>
      </c>
      <c r="J120" s="1753">
        <f>IF($E120="DIRECT",$N120,VLOOKUP($E120,Ratio,4,FALSE)*$G120)</f>
        <v>0</v>
      </c>
      <c r="K120" s="25"/>
      <c r="L120" s="1770"/>
      <c r="M120" s="1770"/>
      <c r="N120" s="1770"/>
      <c r="O120" s="11"/>
    </row>
    <row r="121" spans="1:15" ht="15" customHeight="1">
      <c r="A121" s="1349"/>
      <c r="B121" s="54" t="s">
        <v>12</v>
      </c>
      <c r="C121" s="184" t="s">
        <v>78</v>
      </c>
      <c r="D121" s="184">
        <v>182.2</v>
      </c>
      <c r="E121" s="184" t="s">
        <v>90</v>
      </c>
      <c r="F121" s="184" t="s">
        <v>395</v>
      </c>
      <c r="G121" s="2236">
        <f>'110-111'!K72</f>
        <v>0</v>
      </c>
      <c r="H121" s="1752">
        <f>IF($E121="DIRECT",$L121,VLOOKUP($E121,Ratio,2,FALSE)*$G121)</f>
        <v>0</v>
      </c>
      <c r="I121" s="1752">
        <f>IF($E121="DIRECT",$M121,VLOOKUP($E121,Ratio,3,FALSE)*$G121)</f>
        <v>0</v>
      </c>
      <c r="J121" s="1753">
        <f>IF($E121="DIRECT",$N121,VLOOKUP($E121,Ratio,4,FALSE)*$G121)</f>
        <v>0</v>
      </c>
      <c r="K121" s="25"/>
      <c r="L121" s="1770"/>
      <c r="M121" s="1770"/>
      <c r="N121" s="1770"/>
      <c r="O121" s="11"/>
    </row>
    <row r="122" spans="1:15" ht="15" customHeight="1">
      <c r="A122" s="1349"/>
      <c r="B122" s="54" t="s">
        <v>13</v>
      </c>
      <c r="C122" s="184" t="s">
        <v>78</v>
      </c>
      <c r="D122" s="184">
        <v>182.3</v>
      </c>
      <c r="E122" s="184" t="s">
        <v>90</v>
      </c>
      <c r="F122" s="184" t="s">
        <v>395</v>
      </c>
      <c r="G122" s="2236">
        <f>'110-111'!K73</f>
        <v>898192106.79999995</v>
      </c>
      <c r="H122" s="1752">
        <f>IF($E122="DIRECT",$L122,VLOOKUP($E122,Ratio,2,FALSE)*$G122)</f>
        <v>60503537</v>
      </c>
      <c r="I122" s="1752">
        <f>IF($E122="DIRECT",$M122,VLOOKUP($E122,Ratio,3,FALSE)*$G122)</f>
        <v>0</v>
      </c>
      <c r="J122" s="1753">
        <f>IF($E122="DIRECT",$N122,VLOOKUP($E122,Ratio,4,FALSE)*$G122)</f>
        <v>837688570</v>
      </c>
      <c r="K122" s="25"/>
      <c r="L122" s="1770">
        <f>'1.4 Reg Assets'!F48</f>
        <v>60503537</v>
      </c>
      <c r="M122" s="1770">
        <f>'1.4 Reg Assets'!G48</f>
        <v>0</v>
      </c>
      <c r="N122" s="1770">
        <f>'1.4 Reg Assets'!H48</f>
        <v>837688570</v>
      </c>
      <c r="O122" s="11"/>
    </row>
    <row r="123" spans="1:15" ht="15" customHeight="1">
      <c r="A123" s="1349"/>
      <c r="B123" s="54" t="s">
        <v>183</v>
      </c>
      <c r="C123" s="184" t="s">
        <v>78</v>
      </c>
      <c r="D123" s="184">
        <v>183</v>
      </c>
      <c r="E123" s="184" t="s">
        <v>395</v>
      </c>
      <c r="F123" s="184"/>
      <c r="G123" s="2236">
        <f>'110-111'!K74</f>
        <v>0</v>
      </c>
      <c r="H123" s="1752">
        <f t="shared" ref="H123:H132" si="9">VLOOKUP($E123,Ratio,2,FALSE)*$G123</f>
        <v>0</v>
      </c>
      <c r="I123" s="1752">
        <f t="shared" ref="I123:I132" si="10">VLOOKUP($E123,Ratio,3,FALSE)*$G123</f>
        <v>0</v>
      </c>
      <c r="J123" s="1753">
        <f t="shared" ref="J123:J132" si="11">VLOOKUP($E123,Ratio,4,FALSE)*$G123</f>
        <v>0</v>
      </c>
      <c r="K123" s="25"/>
      <c r="L123" s="1778"/>
      <c r="M123" s="1769"/>
      <c r="N123" s="1769"/>
      <c r="O123" s="11"/>
    </row>
    <row r="124" spans="1:15" ht="15" customHeight="1">
      <c r="A124" s="1349"/>
      <c r="B124" s="54" t="s">
        <v>14</v>
      </c>
      <c r="C124" s="184" t="s">
        <v>78</v>
      </c>
      <c r="D124" s="184">
        <v>183.1</v>
      </c>
      <c r="E124" s="184" t="s">
        <v>395</v>
      </c>
      <c r="F124" s="184"/>
      <c r="G124" s="2236">
        <f>'110-111'!K75</f>
        <v>0</v>
      </c>
      <c r="H124" s="1752">
        <f t="shared" si="9"/>
        <v>0</v>
      </c>
      <c r="I124" s="1752">
        <f t="shared" si="10"/>
        <v>0</v>
      </c>
      <c r="J124" s="1753">
        <f t="shared" si="11"/>
        <v>0</v>
      </c>
      <c r="K124" s="25"/>
      <c r="L124" s="1771"/>
      <c r="M124" s="1772"/>
      <c r="N124" s="1772"/>
      <c r="O124" s="11"/>
    </row>
    <row r="125" spans="1:15" ht="15" customHeight="1">
      <c r="A125" s="1349"/>
      <c r="B125" s="54" t="s">
        <v>449</v>
      </c>
      <c r="C125" s="184" t="s">
        <v>78</v>
      </c>
      <c r="D125" s="184">
        <v>183.2</v>
      </c>
      <c r="E125" s="184" t="s">
        <v>395</v>
      </c>
      <c r="F125" s="184"/>
      <c r="G125" s="2236">
        <f>'110-111'!K76</f>
        <v>0</v>
      </c>
      <c r="H125" s="1752">
        <f t="shared" si="9"/>
        <v>0</v>
      </c>
      <c r="I125" s="1752">
        <f t="shared" si="10"/>
        <v>0</v>
      </c>
      <c r="J125" s="1753">
        <f t="shared" si="11"/>
        <v>0</v>
      </c>
      <c r="K125" s="25"/>
      <c r="L125" s="1771"/>
      <c r="M125" s="1772"/>
      <c r="N125" s="1772"/>
      <c r="O125" s="11"/>
    </row>
    <row r="126" spans="1:15" ht="15" customHeight="1">
      <c r="A126" s="1349"/>
      <c r="B126" s="54" t="s">
        <v>15</v>
      </c>
      <c r="C126" s="184" t="s">
        <v>78</v>
      </c>
      <c r="D126" s="184">
        <v>184</v>
      </c>
      <c r="E126" s="184" t="s">
        <v>395</v>
      </c>
      <c r="F126" s="184"/>
      <c r="G126" s="2236">
        <f>'110-111'!K77</f>
        <v>858506.23</v>
      </c>
      <c r="H126" s="1752">
        <f t="shared" si="9"/>
        <v>0</v>
      </c>
      <c r="I126" s="1752">
        <f t="shared" si="10"/>
        <v>0</v>
      </c>
      <c r="J126" s="1753">
        <f t="shared" si="11"/>
        <v>858506.23</v>
      </c>
      <c r="K126" s="25"/>
      <c r="L126" s="1771"/>
      <c r="M126" s="1772"/>
      <c r="N126" s="1772"/>
      <c r="O126" s="11"/>
    </row>
    <row r="127" spans="1:15" ht="15" customHeight="1">
      <c r="A127" s="1349"/>
      <c r="B127" s="54" t="s">
        <v>16</v>
      </c>
      <c r="C127" s="184" t="s">
        <v>78</v>
      </c>
      <c r="D127" s="184">
        <v>185</v>
      </c>
      <c r="E127" s="184" t="s">
        <v>108</v>
      </c>
      <c r="F127" s="184"/>
      <c r="G127" s="2236">
        <f>'110-111'!K78</f>
        <v>0</v>
      </c>
      <c r="H127" s="1752">
        <f t="shared" si="9"/>
        <v>0</v>
      </c>
      <c r="I127" s="1752">
        <f t="shared" si="10"/>
        <v>0</v>
      </c>
      <c r="J127" s="1753">
        <f t="shared" si="11"/>
        <v>0</v>
      </c>
      <c r="K127" s="25"/>
      <c r="L127" s="1771"/>
      <c r="M127" s="1772"/>
      <c r="N127" s="1772"/>
      <c r="O127" s="11"/>
    </row>
    <row r="128" spans="1:15" ht="15" customHeight="1">
      <c r="A128" s="1349"/>
      <c r="B128" s="54" t="s">
        <v>17</v>
      </c>
      <c r="C128" s="184" t="s">
        <v>78</v>
      </c>
      <c r="D128" s="184">
        <v>186</v>
      </c>
      <c r="E128" s="184" t="s">
        <v>90</v>
      </c>
      <c r="F128" s="184" t="s">
        <v>395</v>
      </c>
      <c r="G128" s="2236">
        <f>'110-111'!K79</f>
        <v>87517903.719999999</v>
      </c>
      <c r="H128" s="1752">
        <f>IF($E128="DIRECT",$L128,VLOOKUP($E128,Ratio,2,FALSE)*$G128)</f>
        <v>744171.25</v>
      </c>
      <c r="I128" s="1752">
        <f>IF($E128="DIRECT",$M128,VLOOKUP($E128,Ratio,3,FALSE)*$G128)</f>
        <v>0</v>
      </c>
      <c r="J128" s="1753">
        <f>IF($E128="DIRECT",$N128,VLOOKUP($E128,Ratio,4,FALSE)*$G128)</f>
        <v>86773731.969999999</v>
      </c>
      <c r="K128" s="25"/>
      <c r="L128" s="1770">
        <f>'1.5 Misc. Def. Debits'!G21</f>
        <v>744171.25</v>
      </c>
      <c r="M128" s="1770">
        <f>'1.5 Misc. Def. Debits'!H21</f>
        <v>0</v>
      </c>
      <c r="N128" s="1770">
        <f>'1.5 Misc. Def. Debits'!I21</f>
        <v>86773731.969999999</v>
      </c>
      <c r="O128" s="11"/>
    </row>
    <row r="129" spans="1:15" ht="15" customHeight="1">
      <c r="A129" s="1349"/>
      <c r="B129" s="54" t="s">
        <v>18</v>
      </c>
      <c r="C129" s="184" t="s">
        <v>78</v>
      </c>
      <c r="D129" s="184">
        <v>187</v>
      </c>
      <c r="E129" s="184" t="s">
        <v>90</v>
      </c>
      <c r="F129" s="184"/>
      <c r="G129" s="2236">
        <f>'110-111'!K80</f>
        <v>0</v>
      </c>
      <c r="H129" s="1752">
        <f>IF($E129="DIRECT",$L129,VLOOKUP($E129,Ratio,2,FALSE)*$G129)</f>
        <v>0</v>
      </c>
      <c r="I129" s="1752">
        <f>IF($E129="DIRECT",$M129,VLOOKUP($E129,Ratio,3,FALSE)*$G129)</f>
        <v>0</v>
      </c>
      <c r="J129" s="1753">
        <f>IF($E129="DIRECT",$N129,VLOOKUP($E129,Ratio,4,FALSE)*$G129)</f>
        <v>0</v>
      </c>
      <c r="K129" s="25"/>
      <c r="L129" s="1770"/>
      <c r="M129" s="1770"/>
      <c r="N129" s="1770"/>
      <c r="O129" s="11"/>
    </row>
    <row r="130" spans="1:15" ht="15" customHeight="1">
      <c r="A130" s="1349"/>
      <c r="B130" s="54" t="s">
        <v>19</v>
      </c>
      <c r="C130" s="184" t="s">
        <v>78</v>
      </c>
      <c r="D130" s="184">
        <v>188</v>
      </c>
      <c r="E130" s="184" t="s">
        <v>395</v>
      </c>
      <c r="F130" s="184"/>
      <c r="G130" s="2236">
        <f>'110-111'!K81</f>
        <v>0</v>
      </c>
      <c r="H130" s="1752">
        <f t="shared" si="9"/>
        <v>0</v>
      </c>
      <c r="I130" s="1752">
        <f t="shared" si="10"/>
        <v>0</v>
      </c>
      <c r="J130" s="1753">
        <f t="shared" si="11"/>
        <v>0</v>
      </c>
      <c r="K130" s="25"/>
      <c r="L130" s="1771"/>
      <c r="M130" s="1772"/>
      <c r="N130" s="1772"/>
      <c r="O130" s="11"/>
    </row>
    <row r="131" spans="1:15" ht="15" customHeight="1">
      <c r="A131" s="1349"/>
      <c r="B131" s="54" t="s">
        <v>20</v>
      </c>
      <c r="C131" s="184" t="s">
        <v>78</v>
      </c>
      <c r="D131" s="184">
        <v>189</v>
      </c>
      <c r="E131" s="184" t="s">
        <v>108</v>
      </c>
      <c r="F131" s="184"/>
      <c r="G131" s="2236">
        <f>'110-111'!K82</f>
        <v>5701050.9199999999</v>
      </c>
      <c r="H131" s="1752">
        <f t="shared" si="9"/>
        <v>1814203.8318823581</v>
      </c>
      <c r="I131" s="1752">
        <f t="shared" si="10"/>
        <v>0</v>
      </c>
      <c r="J131" s="1753">
        <f t="shared" si="11"/>
        <v>3886847.0875318553</v>
      </c>
      <c r="K131" s="25"/>
      <c r="L131" s="1771"/>
      <c r="M131" s="1772"/>
      <c r="N131" s="1772"/>
      <c r="O131" s="11"/>
    </row>
    <row r="132" spans="1:15" ht="15" customHeight="1">
      <c r="A132" s="1349"/>
      <c r="B132" s="54" t="s">
        <v>21</v>
      </c>
      <c r="C132" s="184" t="s">
        <v>78</v>
      </c>
      <c r="D132" s="184">
        <v>190</v>
      </c>
      <c r="E132" s="184" t="s">
        <v>395</v>
      </c>
      <c r="F132" s="184"/>
      <c r="G132" s="2236">
        <f>'110-111'!K83</f>
        <v>214152187.74000001</v>
      </c>
      <c r="H132" s="1752">
        <f t="shared" si="9"/>
        <v>0</v>
      </c>
      <c r="I132" s="1752">
        <f t="shared" si="10"/>
        <v>0</v>
      </c>
      <c r="J132" s="1753">
        <f t="shared" si="11"/>
        <v>214152187.74000001</v>
      </c>
      <c r="K132" s="25"/>
      <c r="L132" s="1771"/>
      <c r="M132" s="1772"/>
      <c r="N132" s="1772"/>
      <c r="O132" s="11"/>
    </row>
    <row r="133" spans="1:15" ht="15" customHeight="1">
      <c r="A133" s="1354"/>
      <c r="B133" s="76" t="s">
        <v>104</v>
      </c>
      <c r="C133" s="1863"/>
      <c r="D133" s="1857"/>
      <c r="E133" s="1857"/>
      <c r="F133" s="1858"/>
      <c r="G133" s="1794">
        <f>SUM(G119:G132)</f>
        <v>1228008056.3699999</v>
      </c>
      <c r="H133" s="493">
        <f>SUM(H119:H132)</f>
        <v>69931163.114251286</v>
      </c>
      <c r="I133" s="493">
        <f>SUM(I119:I132)</f>
        <v>0</v>
      </c>
      <c r="J133" s="1366">
        <f>SUM(J119:J132)</f>
        <v>1158076892.9529448</v>
      </c>
      <c r="K133" s="25"/>
      <c r="L133" s="1771"/>
      <c r="M133" s="1772"/>
      <c r="N133" s="1772"/>
      <c r="O133" s="11"/>
    </row>
    <row r="134" spans="1:15" ht="15" customHeight="1">
      <c r="A134" s="1354"/>
      <c r="B134" s="61"/>
      <c r="C134" s="81"/>
      <c r="D134" s="34"/>
      <c r="E134" s="34"/>
      <c r="F134" s="34"/>
      <c r="G134" s="377"/>
      <c r="H134" s="337"/>
      <c r="I134" s="337"/>
      <c r="J134" s="1355"/>
      <c r="K134" s="25"/>
      <c r="L134" s="1771"/>
      <c r="M134" s="1772"/>
      <c r="N134" s="1772"/>
      <c r="O134" s="11"/>
    </row>
    <row r="135" spans="1:15" ht="15" customHeight="1">
      <c r="A135" s="1351" t="s">
        <v>74</v>
      </c>
      <c r="B135" s="32"/>
      <c r="C135" s="1863"/>
      <c r="D135" s="1857"/>
      <c r="E135" s="1857"/>
      <c r="F135" s="1858"/>
      <c r="G135" s="1794">
        <f>G84+G93+G100+G116+G133</f>
        <v>2120706298.0987499</v>
      </c>
      <c r="H135" s="493">
        <f>H84+H93+H100+H116+H133</f>
        <v>258351130.39916536</v>
      </c>
      <c r="I135" s="493">
        <f>I84+I93+I100+I116+I133</f>
        <v>0</v>
      </c>
      <c r="J135" s="1366">
        <f>J84+J93+J100+J116+J133</f>
        <v>1862355167.3967447</v>
      </c>
      <c r="K135" s="24"/>
      <c r="L135" s="1771"/>
      <c r="M135" s="1772"/>
      <c r="N135" s="1772"/>
      <c r="O135" s="11"/>
    </row>
    <row r="136" spans="1:15" ht="15" customHeight="1" thickBot="1">
      <c r="A136" s="1360"/>
      <c r="B136" s="173"/>
      <c r="C136" s="193"/>
      <c r="D136" s="193"/>
      <c r="E136" s="188"/>
      <c r="F136" s="188"/>
      <c r="G136" s="1802"/>
      <c r="H136" s="383"/>
      <c r="I136" s="383"/>
      <c r="J136" s="1371"/>
      <c r="K136" s="24"/>
      <c r="L136" s="1771"/>
      <c r="M136" s="1772"/>
      <c r="N136" s="1772"/>
      <c r="O136" s="11"/>
    </row>
    <row r="137" spans="1:15" ht="15" customHeight="1" thickTop="1">
      <c r="A137" s="1362" t="s">
        <v>75</v>
      </c>
      <c r="B137" s="32"/>
      <c r="C137" s="34"/>
      <c r="D137" s="34"/>
      <c r="E137" s="34"/>
      <c r="F137" s="34"/>
      <c r="G137" s="377"/>
      <c r="H137" s="142"/>
      <c r="I137" s="142"/>
      <c r="J137" s="1348"/>
      <c r="K137" s="24"/>
      <c r="L137" s="1771"/>
      <c r="M137" s="1772"/>
      <c r="N137" s="1772"/>
      <c r="O137" s="11"/>
    </row>
    <row r="138" spans="1:15" ht="15" customHeight="1">
      <c r="A138" s="1349"/>
      <c r="B138" s="53" t="s">
        <v>438</v>
      </c>
      <c r="C138" s="48"/>
      <c r="D138" s="1870"/>
      <c r="E138" s="48"/>
      <c r="F138" s="48"/>
      <c r="G138" s="1803"/>
      <c r="H138" s="337"/>
      <c r="I138" s="337"/>
      <c r="J138" s="1355"/>
      <c r="K138" s="24"/>
      <c r="L138" s="1771"/>
      <c r="M138" s="1772"/>
      <c r="N138" s="1772"/>
      <c r="O138" s="11"/>
    </row>
    <row r="139" spans="1:15" ht="15" customHeight="1">
      <c r="A139" s="1349"/>
      <c r="B139" s="54" t="s">
        <v>332</v>
      </c>
      <c r="C139" s="184" t="s">
        <v>81</v>
      </c>
      <c r="D139" s="184">
        <v>175</v>
      </c>
      <c r="E139" s="184" t="s">
        <v>395</v>
      </c>
      <c r="F139" s="184"/>
      <c r="G139" s="2236">
        <f>'112-113'!J51</f>
        <v>35118959.25</v>
      </c>
      <c r="H139" s="1752">
        <f>VLOOKUP($E139,Ratio,2,FALSE)*$G139</f>
        <v>0</v>
      </c>
      <c r="I139" s="1752">
        <f>VLOOKUP($E139,Ratio,3,FALSE)*$G139</f>
        <v>0</v>
      </c>
      <c r="J139" s="1753">
        <f>VLOOKUP($E139,Ratio,4,FALSE)*$G139</f>
        <v>35118959.25</v>
      </c>
      <c r="K139" s="24"/>
      <c r="L139" s="1771"/>
      <c r="M139" s="1772"/>
      <c r="N139" s="1772"/>
      <c r="O139" s="11"/>
    </row>
    <row r="140" spans="1:15" ht="15" customHeight="1">
      <c r="A140" s="1349"/>
      <c r="B140" s="143" t="s">
        <v>350</v>
      </c>
      <c r="C140" s="184" t="s">
        <v>81</v>
      </c>
      <c r="D140" s="184">
        <v>175</v>
      </c>
      <c r="E140" s="184" t="s">
        <v>395</v>
      </c>
      <c r="F140" s="184"/>
      <c r="G140" s="2236">
        <f>'112-113'!J52</f>
        <v>17902180</v>
      </c>
      <c r="H140" s="1752">
        <f>VLOOKUP($E140,Ratio,2,FALSE)*$G140</f>
        <v>0</v>
      </c>
      <c r="I140" s="1752">
        <f>VLOOKUP($E140,Ratio,3,FALSE)*$G140</f>
        <v>0</v>
      </c>
      <c r="J140" s="1753">
        <f>VLOOKUP($E140,Ratio,4,FALSE)*$G140</f>
        <v>17902180</v>
      </c>
      <c r="K140" s="24"/>
      <c r="L140" s="1771"/>
      <c r="M140" s="1772"/>
      <c r="N140" s="1772"/>
      <c r="O140" s="11"/>
    </row>
    <row r="141" spans="1:15" ht="15" customHeight="1">
      <c r="A141" s="1349"/>
      <c r="B141" s="54" t="s">
        <v>333</v>
      </c>
      <c r="C141" s="184" t="s">
        <v>81</v>
      </c>
      <c r="D141" s="184">
        <v>176</v>
      </c>
      <c r="E141" s="184" t="s">
        <v>395</v>
      </c>
      <c r="F141" s="184"/>
      <c r="G141" s="2236">
        <f>'112-113'!J53</f>
        <v>0</v>
      </c>
      <c r="H141" s="1752">
        <f>VLOOKUP($E141,Ratio,2,FALSE)*$G141</f>
        <v>0</v>
      </c>
      <c r="I141" s="1752">
        <f>VLOOKUP($E141,Ratio,3,FALSE)*$G141</f>
        <v>0</v>
      </c>
      <c r="J141" s="1753">
        <f>VLOOKUP($E141,Ratio,4,FALSE)*$G141</f>
        <v>0</v>
      </c>
      <c r="K141" s="24"/>
      <c r="L141" s="1771"/>
      <c r="M141" s="1772"/>
      <c r="N141" s="1772"/>
      <c r="O141" s="11"/>
    </row>
    <row r="142" spans="1:15" ht="15" customHeight="1">
      <c r="A142" s="1349"/>
      <c r="B142" s="143" t="s">
        <v>349</v>
      </c>
      <c r="C142" s="184" t="s">
        <v>81</v>
      </c>
      <c r="D142" s="184">
        <v>176</v>
      </c>
      <c r="E142" s="184" t="s">
        <v>395</v>
      </c>
      <c r="F142" s="184"/>
      <c r="G142" s="1796">
        <f>'112-113'!J54</f>
        <v>0</v>
      </c>
      <c r="H142" s="1752">
        <f>VLOOKUP($E142,Ratio,2,FALSE)*$G142</f>
        <v>0</v>
      </c>
      <c r="I142" s="1752">
        <f>VLOOKUP($E142,Ratio,3,FALSE)*$G142</f>
        <v>0</v>
      </c>
      <c r="J142" s="1753">
        <f>VLOOKUP($E142,Ratio,4,FALSE)*$G142</f>
        <v>0</v>
      </c>
      <c r="K142" s="24"/>
      <c r="L142" s="1771"/>
      <c r="M142" s="1772"/>
      <c r="N142" s="1772"/>
      <c r="O142" s="11"/>
    </row>
    <row r="143" spans="1:15" ht="15" customHeight="1">
      <c r="A143" s="1349"/>
      <c r="B143" s="76" t="s">
        <v>104</v>
      </c>
      <c r="C143" s="1863"/>
      <c r="D143" s="1857"/>
      <c r="E143" s="1857"/>
      <c r="F143" s="1858"/>
      <c r="G143" s="1794">
        <f>G139-G140+G141-G142</f>
        <v>17216779.25</v>
      </c>
      <c r="H143" s="493">
        <f>H139-H140+H141-H142</f>
        <v>0</v>
      </c>
      <c r="I143" s="493">
        <f>I139-I140+I141-I142</f>
        <v>0</v>
      </c>
      <c r="J143" s="1366">
        <f>J139-J140+J141-J142</f>
        <v>17216779.25</v>
      </c>
      <c r="K143" s="24"/>
      <c r="L143" s="1771"/>
      <c r="M143" s="1772"/>
      <c r="N143" s="1772"/>
      <c r="O143" s="11"/>
    </row>
    <row r="144" spans="1:15" ht="15" customHeight="1">
      <c r="A144" s="1349"/>
      <c r="B144" s="53" t="s">
        <v>439</v>
      </c>
      <c r="C144" s="48"/>
      <c r="D144" s="1870"/>
      <c r="E144" s="48"/>
      <c r="F144" s="48"/>
      <c r="G144" s="377"/>
      <c r="H144" s="337"/>
      <c r="I144" s="337"/>
      <c r="J144" s="1355"/>
      <c r="K144" s="24"/>
      <c r="L144" s="1771"/>
      <c r="M144" s="1772"/>
      <c r="N144" s="1772"/>
      <c r="O144" s="11"/>
    </row>
    <row r="145" spans="1:15" ht="15" hidden="1" customHeight="1">
      <c r="A145" s="1349"/>
      <c r="B145" s="54" t="s">
        <v>377</v>
      </c>
      <c r="C145" s="184" t="s">
        <v>81</v>
      </c>
      <c r="D145" s="184">
        <v>244</v>
      </c>
      <c r="E145" s="184" t="s">
        <v>395</v>
      </c>
      <c r="F145" s="184"/>
      <c r="G145" s="1796"/>
      <c r="H145" s="1752">
        <f>VLOOKUP($E145,Ratio,2,FALSE)*$G145</f>
        <v>0</v>
      </c>
      <c r="I145" s="1752">
        <f>VLOOKUP($E145,Ratio,3,FALSE)*$G145</f>
        <v>0</v>
      </c>
      <c r="J145" s="1753">
        <f>VLOOKUP($E145,Ratio,4,FALSE)*$G145</f>
        <v>0</v>
      </c>
      <c r="K145" s="24"/>
      <c r="L145" s="1771"/>
      <c r="M145" s="1772"/>
      <c r="N145" s="1772"/>
      <c r="O145" s="11"/>
    </row>
    <row r="146" spans="1:15" ht="18" customHeight="1">
      <c r="A146" s="1349"/>
      <c r="B146" s="54" t="s">
        <v>378</v>
      </c>
      <c r="C146" s="184" t="s">
        <v>81</v>
      </c>
      <c r="D146" s="184">
        <v>245</v>
      </c>
      <c r="E146" s="184" t="s">
        <v>395</v>
      </c>
      <c r="F146" s="184"/>
      <c r="G146" s="2236"/>
      <c r="H146" s="2237">
        <f>VLOOKUP($E146,Ratio,2,FALSE)*$G146</f>
        <v>0</v>
      </c>
      <c r="I146" s="2237">
        <f>VLOOKUP($E146,Ratio,3,FALSE)*$G146</f>
        <v>0</v>
      </c>
      <c r="J146" s="2238">
        <f>VLOOKUP($E146,Ratio,4,FALSE)*$G146</f>
        <v>0</v>
      </c>
      <c r="K146" s="24"/>
      <c r="L146" s="1771"/>
      <c r="M146" s="1772"/>
      <c r="N146" s="1772"/>
      <c r="O146" s="11"/>
    </row>
    <row r="147" spans="1:15" ht="15" customHeight="1">
      <c r="A147" s="1349"/>
      <c r="B147" s="54" t="s">
        <v>22</v>
      </c>
      <c r="C147" s="184" t="s">
        <v>81</v>
      </c>
      <c r="D147" s="184">
        <v>252</v>
      </c>
      <c r="E147" s="184" t="s">
        <v>395</v>
      </c>
      <c r="F147" s="184"/>
      <c r="G147" s="2235">
        <f>'112-113'!J57</f>
        <v>4436512.88</v>
      </c>
      <c r="H147" s="2237">
        <f t="shared" ref="H147:H155" si="12">VLOOKUP($E147,Ratio,2,FALSE)*$G147</f>
        <v>0</v>
      </c>
      <c r="I147" s="2237">
        <f t="shared" ref="I147:I155" si="13">VLOOKUP($E147,Ratio,3,FALSE)*$G147</f>
        <v>0</v>
      </c>
      <c r="J147" s="2238">
        <f t="shared" ref="J147:J155" si="14">VLOOKUP($E147,Ratio,4,FALSE)*$G147</f>
        <v>4436512.88</v>
      </c>
      <c r="K147" s="24"/>
      <c r="L147" s="1771"/>
      <c r="M147" s="1772"/>
      <c r="N147" s="1772"/>
      <c r="O147" s="11"/>
    </row>
    <row r="148" spans="1:15" ht="15" customHeight="1">
      <c r="A148" s="1349"/>
      <c r="B148" s="54" t="s">
        <v>25</v>
      </c>
      <c r="C148" s="184" t="s">
        <v>81</v>
      </c>
      <c r="D148" s="184">
        <v>253</v>
      </c>
      <c r="E148" s="184" t="s">
        <v>90</v>
      </c>
      <c r="F148" s="184" t="s">
        <v>395</v>
      </c>
      <c r="G148" s="2235">
        <f>'112-113'!J60</f>
        <v>32918242.530000001</v>
      </c>
      <c r="H148" s="2237">
        <f>IF($E148="DIRECT",$L148,VLOOKUP($E148,Ratio,2,FALSE)*$G148)</f>
        <v>0</v>
      </c>
      <c r="I148" s="2237">
        <f>IF($E148="DIRECT",$M148,VLOOKUP($E148,Ratio,3,FALSE)*$G148)</f>
        <v>0</v>
      </c>
      <c r="J148" s="2238">
        <f>IF($E148="DIRECT",$N148,VLOOKUP($E148,Ratio,4,FALSE)*$G148)</f>
        <v>32918243</v>
      </c>
      <c r="K148" s="24"/>
      <c r="L148" s="1770">
        <f>'1.6 Misc. Def. Credits'!E19</f>
        <v>0</v>
      </c>
      <c r="M148" s="1770">
        <f>'1.6 Misc. Def. Credits'!F19</f>
        <v>0</v>
      </c>
      <c r="N148" s="1770">
        <f>'1.6 Misc. Def. Credits'!G19</f>
        <v>32918243</v>
      </c>
      <c r="O148" s="11"/>
    </row>
    <row r="149" spans="1:15" ht="15" customHeight="1">
      <c r="A149" s="1349"/>
      <c r="B149" s="54" t="s">
        <v>26</v>
      </c>
      <c r="C149" s="184" t="s">
        <v>81</v>
      </c>
      <c r="D149" s="184">
        <v>254</v>
      </c>
      <c r="E149" s="184" t="s">
        <v>90</v>
      </c>
      <c r="F149" s="184" t="s">
        <v>395</v>
      </c>
      <c r="G149" s="2235">
        <f>'112-113'!J61</f>
        <v>479233915.16999996</v>
      </c>
      <c r="H149" s="2237">
        <f>IF($E149="DIRECT",$L149,VLOOKUP($E149,Ratio,2,FALSE)*$G149)</f>
        <v>440276</v>
      </c>
      <c r="I149" s="2237">
        <f>IF($E149="DIRECT",$M149,VLOOKUP($E149,Ratio,3,FALSE)*$G149)</f>
        <v>0</v>
      </c>
      <c r="J149" s="2238">
        <f>IF($E149="DIRECT",$N149,VLOOKUP($E149,Ratio,4,FALSE)*$G149)</f>
        <v>478793639</v>
      </c>
      <c r="K149" s="24"/>
      <c r="L149" s="1770">
        <f>'1.7 Reg Liabilities'!E28</f>
        <v>440276</v>
      </c>
      <c r="M149" s="1770">
        <f>'1.7 Reg Liabilities'!F28</f>
        <v>0</v>
      </c>
      <c r="N149" s="1770">
        <f>'1.7 Reg Liabilities'!G28</f>
        <v>478793639</v>
      </c>
      <c r="O149" s="11"/>
    </row>
    <row r="150" spans="1:15" ht="15" customHeight="1">
      <c r="A150" s="1349"/>
      <c r="B150" s="54" t="s">
        <v>23</v>
      </c>
      <c r="C150" s="184" t="s">
        <v>81</v>
      </c>
      <c r="D150" s="184">
        <v>255</v>
      </c>
      <c r="E150" s="184" t="s">
        <v>395</v>
      </c>
      <c r="F150" s="184"/>
      <c r="G150" s="2235">
        <f>'112-113'!J58</f>
        <v>28233162.039999999</v>
      </c>
      <c r="H150" s="2237">
        <f t="shared" si="12"/>
        <v>0</v>
      </c>
      <c r="I150" s="2237">
        <f t="shared" si="13"/>
        <v>0</v>
      </c>
      <c r="J150" s="2238">
        <f t="shared" si="14"/>
        <v>28233162.039999999</v>
      </c>
      <c r="K150" s="24"/>
      <c r="L150" s="1778"/>
      <c r="M150" s="1769"/>
      <c r="N150" s="1769"/>
      <c r="O150" s="11"/>
    </row>
    <row r="151" spans="1:15" ht="15" customHeight="1">
      <c r="A151" s="1349"/>
      <c r="B151" s="54" t="s">
        <v>24</v>
      </c>
      <c r="C151" s="184" t="s">
        <v>81</v>
      </c>
      <c r="D151" s="184">
        <v>256</v>
      </c>
      <c r="E151" s="184" t="s">
        <v>90</v>
      </c>
      <c r="F151" s="184"/>
      <c r="G151" s="2235">
        <f>'112-113'!J59</f>
        <v>0</v>
      </c>
      <c r="H151" s="2237">
        <f>IF($E151="DIRECT",$L151,VLOOKUP($E151,Ratio,2,FALSE)*$G151)</f>
        <v>0</v>
      </c>
      <c r="I151" s="2237">
        <f>IF($E151="DIRECT",$M151,VLOOKUP($E151,Ratio,3,FALSE)*$G151)</f>
        <v>0</v>
      </c>
      <c r="J151" s="2238">
        <f>IF($E151="DIRECT",$N151,VLOOKUP($E151,Ratio,4,FALSE)*$G151)</f>
        <v>0</v>
      </c>
      <c r="K151" s="24"/>
      <c r="L151" s="1770"/>
      <c r="M151" s="1770"/>
      <c r="N151" s="1770"/>
      <c r="O151" s="11"/>
    </row>
    <row r="152" spans="1:15" ht="15.75" customHeight="1">
      <c r="A152" s="1349"/>
      <c r="B152" s="54" t="s">
        <v>27</v>
      </c>
      <c r="C152" s="184" t="s">
        <v>81</v>
      </c>
      <c r="D152" s="184">
        <v>257</v>
      </c>
      <c r="E152" s="184" t="s">
        <v>108</v>
      </c>
      <c r="F152" s="184"/>
      <c r="G152" s="2235">
        <f>'112-113'!J62</f>
        <v>942383.92</v>
      </c>
      <c r="H152" s="2237">
        <f t="shared" si="12"/>
        <v>299887.95798517752</v>
      </c>
      <c r="I152" s="2237">
        <f t="shared" si="13"/>
        <v>0</v>
      </c>
      <c r="J152" s="2238">
        <f t="shared" si="14"/>
        <v>642495.96191799198</v>
      </c>
      <c r="K152" s="24"/>
      <c r="L152" s="1771"/>
      <c r="M152" s="1772"/>
      <c r="N152" s="1772"/>
      <c r="O152" s="11"/>
    </row>
    <row r="153" spans="1:15" ht="15" customHeight="1">
      <c r="A153" s="1349"/>
      <c r="B153" s="54" t="s">
        <v>31</v>
      </c>
      <c r="C153" s="184" t="s">
        <v>81</v>
      </c>
      <c r="D153" s="184">
        <v>281</v>
      </c>
      <c r="E153" s="184" t="s">
        <v>395</v>
      </c>
      <c r="F153" s="184"/>
      <c r="G153" s="2235">
        <f>'112-113'!J63</f>
        <v>0</v>
      </c>
      <c r="H153" s="2237">
        <f t="shared" si="12"/>
        <v>0</v>
      </c>
      <c r="I153" s="2237">
        <f t="shared" si="13"/>
        <v>0</v>
      </c>
      <c r="J153" s="2238">
        <f t="shared" si="14"/>
        <v>0</v>
      </c>
      <c r="K153" s="24"/>
      <c r="L153" s="1771"/>
      <c r="M153" s="1772"/>
      <c r="N153" s="1772"/>
      <c r="O153" s="11"/>
    </row>
    <row r="154" spans="1:15" ht="15" customHeight="1">
      <c r="A154" s="1349"/>
      <c r="B154" s="54" t="s">
        <v>32</v>
      </c>
      <c r="C154" s="184" t="s">
        <v>81</v>
      </c>
      <c r="D154" s="184">
        <v>282</v>
      </c>
      <c r="E154" s="184" t="s">
        <v>395</v>
      </c>
      <c r="F154" s="184"/>
      <c r="G154" s="2235">
        <f>'112-113'!J64</f>
        <v>653219869.71000004</v>
      </c>
      <c r="H154" s="2237">
        <f t="shared" si="12"/>
        <v>0</v>
      </c>
      <c r="I154" s="2237">
        <f t="shared" si="13"/>
        <v>0</v>
      </c>
      <c r="J154" s="2238">
        <f t="shared" si="14"/>
        <v>653219869.71000004</v>
      </c>
      <c r="K154" s="24"/>
      <c r="L154" s="1771"/>
      <c r="M154" s="1772"/>
      <c r="N154" s="1772"/>
      <c r="O154" s="11"/>
    </row>
    <row r="155" spans="1:15" ht="15" customHeight="1">
      <c r="A155" s="1349"/>
      <c r="B155" s="54" t="s">
        <v>33</v>
      </c>
      <c r="C155" s="184" t="s">
        <v>81</v>
      </c>
      <c r="D155" s="184">
        <v>283</v>
      </c>
      <c r="E155" s="184" t="s">
        <v>395</v>
      </c>
      <c r="F155" s="184"/>
      <c r="G155" s="2235">
        <f>'112-113'!J65</f>
        <v>256710715.16</v>
      </c>
      <c r="H155" s="2237">
        <f t="shared" si="12"/>
        <v>0</v>
      </c>
      <c r="I155" s="2237">
        <f t="shared" si="13"/>
        <v>0</v>
      </c>
      <c r="J155" s="2238">
        <f t="shared" si="14"/>
        <v>256710715.16</v>
      </c>
      <c r="K155" s="24"/>
      <c r="L155" s="1771"/>
      <c r="M155" s="1772"/>
      <c r="N155" s="1772"/>
      <c r="O155" s="11"/>
    </row>
    <row r="156" spans="1:15" ht="15" customHeight="1">
      <c r="A156" s="1349"/>
      <c r="B156" s="76" t="s">
        <v>104</v>
      </c>
      <c r="C156" s="1863"/>
      <c r="D156" s="1857"/>
      <c r="E156" s="1857"/>
      <c r="F156" s="1858"/>
      <c r="G156" s="1794">
        <f>SUM(G145:G155)</f>
        <v>1455694801.4100001</v>
      </c>
      <c r="H156" s="493">
        <f>SUM(H145:H155)</f>
        <v>740163.95798517752</v>
      </c>
      <c r="I156" s="493">
        <f>SUM(I145:I155)</f>
        <v>0</v>
      </c>
      <c r="J156" s="1366">
        <f>SUM(J145:J155)</f>
        <v>1454954637.7519181</v>
      </c>
      <c r="K156" s="24"/>
      <c r="L156" s="1771"/>
      <c r="M156" s="1772"/>
      <c r="N156" s="1772"/>
      <c r="O156" s="11"/>
    </row>
    <row r="157" spans="1:15" ht="15" customHeight="1">
      <c r="A157" s="1349"/>
      <c r="B157" s="62"/>
      <c r="C157" s="34"/>
      <c r="D157" s="1871"/>
      <c r="E157" s="34"/>
      <c r="F157" s="34"/>
      <c r="G157" s="384"/>
      <c r="H157" s="385"/>
      <c r="I157" s="385"/>
      <c r="J157" s="1372"/>
      <c r="K157" s="24"/>
      <c r="L157" s="1771"/>
      <c r="M157" s="1772"/>
      <c r="N157" s="1772"/>
      <c r="O157" s="11"/>
    </row>
    <row r="158" spans="1:15" ht="15" customHeight="1">
      <c r="A158" s="1351" t="s">
        <v>73</v>
      </c>
      <c r="B158" s="32"/>
      <c r="C158" s="1863"/>
      <c r="D158" s="1857"/>
      <c r="E158" s="1857"/>
      <c r="F158" s="1858"/>
      <c r="G158" s="1794">
        <f>+G156+G143</f>
        <v>1472911580.6600001</v>
      </c>
      <c r="H158" s="493">
        <f>+H156+H143</f>
        <v>740163.95798517752</v>
      </c>
      <c r="I158" s="493">
        <f>+I156+I143</f>
        <v>0</v>
      </c>
      <c r="J158" s="1366">
        <f>+J156+J143</f>
        <v>1472171417.0019181</v>
      </c>
      <c r="L158" s="1779"/>
      <c r="M158" s="1772"/>
      <c r="N158" s="1772"/>
      <c r="O158" s="11"/>
    </row>
    <row r="159" spans="1:15" ht="15" customHeight="1">
      <c r="A159" s="1373"/>
      <c r="B159" s="32"/>
      <c r="C159" s="34"/>
      <c r="D159" s="34"/>
      <c r="E159" s="34"/>
      <c r="F159" s="34"/>
      <c r="G159" s="377"/>
      <c r="H159" s="142"/>
      <c r="I159" s="142"/>
      <c r="J159" s="1348"/>
      <c r="L159" s="1779"/>
      <c r="M159" s="1772"/>
      <c r="N159" s="1772"/>
      <c r="O159" s="11"/>
    </row>
    <row r="160" spans="1:15" ht="15" customHeight="1">
      <c r="A160" s="1374"/>
      <c r="B160" s="62"/>
      <c r="C160" s="1871"/>
      <c r="D160" s="1871"/>
      <c r="E160" s="1826"/>
      <c r="F160" s="1826"/>
      <c r="G160" s="1795"/>
      <c r="H160" s="338"/>
      <c r="I160" s="338"/>
      <c r="J160" s="1375"/>
      <c r="L160" s="1769"/>
      <c r="M160" s="1769"/>
      <c r="N160" s="1769"/>
    </row>
    <row r="161" spans="1:15" ht="15" customHeight="1">
      <c r="A161" s="1345" t="s">
        <v>482</v>
      </c>
      <c r="B161" s="32"/>
      <c r="C161" s="1872"/>
      <c r="D161" s="1873"/>
      <c r="E161" s="1873"/>
      <c r="F161" s="1874"/>
      <c r="G161" s="1804">
        <f>G79+G135-G158</f>
        <v>3835555745.0787497</v>
      </c>
      <c r="H161" s="497">
        <f>H79+H135-H158</f>
        <v>1099153933.6067338</v>
      </c>
      <c r="I161" s="497">
        <f>I79+I135-I158</f>
        <v>0</v>
      </c>
      <c r="J161" s="1376">
        <f>J79+J135-J158</f>
        <v>2736401810.3225708</v>
      </c>
      <c r="L161" s="1780"/>
      <c r="M161" s="1772"/>
      <c r="N161" s="1772"/>
      <c r="O161" s="11"/>
    </row>
    <row r="162" spans="1:15" ht="15" customHeight="1">
      <c r="A162" s="1357" t="s">
        <v>83</v>
      </c>
      <c r="B162" s="32"/>
      <c r="C162" s="8"/>
      <c r="D162" s="8"/>
      <c r="E162" s="8"/>
      <c r="F162" s="8"/>
      <c r="G162" s="1805"/>
      <c r="H162" s="23"/>
      <c r="I162" s="30"/>
      <c r="J162" s="1377"/>
      <c r="K162" s="11"/>
      <c r="L162" s="1772"/>
      <c r="M162" s="1772"/>
      <c r="N162" s="1769"/>
    </row>
    <row r="163" spans="1:15" ht="15" customHeight="1" thickBot="1">
      <c r="A163" s="1360"/>
      <c r="B163" s="173"/>
      <c r="C163" s="174"/>
      <c r="D163" s="174"/>
      <c r="E163" s="174"/>
      <c r="F163" s="174"/>
      <c r="G163" s="1806"/>
      <c r="H163" s="271"/>
      <c r="I163" s="272"/>
      <c r="J163" s="1378"/>
      <c r="K163" s="11"/>
      <c r="L163" s="1772"/>
      <c r="M163" s="1772"/>
      <c r="N163" s="1769"/>
    </row>
    <row r="164" spans="1:15" ht="15" customHeight="1" thickTop="1">
      <c r="A164" s="1"/>
      <c r="B164" s="1"/>
      <c r="C164" s="1"/>
      <c r="D164" s="1"/>
      <c r="G164" s="1769"/>
      <c r="H164" s="1"/>
      <c r="I164" s="1"/>
      <c r="J164" s="1"/>
      <c r="K164" s="11"/>
      <c r="L164" s="1772"/>
      <c r="M164" s="1772"/>
      <c r="N164" s="1769"/>
    </row>
    <row r="165" spans="1:15" ht="15" customHeight="1">
      <c r="A165" s="1"/>
      <c r="B165" s="1"/>
      <c r="C165" s="1"/>
      <c r="D165" s="1"/>
      <c r="G165" s="1769"/>
      <c r="H165" s="1"/>
      <c r="I165" s="1"/>
      <c r="J165" s="1"/>
      <c r="L165" s="1779"/>
      <c r="M165" s="1772"/>
      <c r="N165" s="1772"/>
      <c r="O165" s="11"/>
    </row>
    <row r="166" spans="1:15" ht="15" customHeight="1">
      <c r="A166" s="1"/>
      <c r="B166" s="1"/>
      <c r="C166" s="1"/>
      <c r="D166" s="1"/>
      <c r="G166" s="1769"/>
      <c r="H166" s="1"/>
      <c r="I166" s="1"/>
      <c r="J166" s="1"/>
      <c r="L166" s="1779"/>
      <c r="M166" s="1772"/>
      <c r="N166" s="1772"/>
      <c r="O166" s="11"/>
    </row>
    <row r="167" spans="1:15" ht="15" customHeight="1">
      <c r="A167" s="1"/>
      <c r="B167" s="1"/>
      <c r="C167" s="1"/>
      <c r="D167" s="1"/>
      <c r="G167" s="1769"/>
      <c r="H167" s="1"/>
      <c r="I167" s="1"/>
      <c r="J167" s="1"/>
      <c r="L167" s="1779"/>
      <c r="M167" s="1772"/>
      <c r="N167" s="1772"/>
      <c r="O167" s="11"/>
    </row>
    <row r="168" spans="1:15" ht="15" customHeight="1">
      <c r="A168" s="1"/>
      <c r="B168" s="1"/>
      <c r="C168" s="1"/>
      <c r="D168" s="1"/>
      <c r="G168" s="1769"/>
      <c r="H168" s="1"/>
      <c r="I168" s="1"/>
      <c r="J168" s="1"/>
      <c r="L168" s="1779"/>
      <c r="M168" s="1772"/>
      <c r="N168" s="1772"/>
      <c r="O168" s="11"/>
    </row>
    <row r="169" spans="1:15" ht="15" customHeight="1">
      <c r="A169" s="1"/>
      <c r="B169" s="1"/>
      <c r="C169" s="1"/>
      <c r="D169" s="1"/>
      <c r="G169" s="1769"/>
      <c r="H169" s="1"/>
      <c r="I169" s="1"/>
      <c r="J169" s="1"/>
      <c r="L169" s="1779"/>
      <c r="M169" s="1772"/>
      <c r="N169" s="1772"/>
      <c r="O169" s="11"/>
    </row>
    <row r="170" spans="1:15" ht="15" customHeight="1">
      <c r="A170" s="1"/>
      <c r="B170" s="1"/>
      <c r="C170" s="1"/>
      <c r="D170" s="1"/>
      <c r="G170" s="1769"/>
      <c r="H170" s="1"/>
      <c r="I170" s="1"/>
      <c r="J170" s="1"/>
      <c r="L170" s="1779"/>
      <c r="M170" s="1772"/>
      <c r="N170" s="1772"/>
      <c r="O170" s="11"/>
    </row>
    <row r="171" spans="1:15" ht="15" customHeight="1">
      <c r="A171" s="1"/>
      <c r="B171" s="1"/>
      <c r="C171" s="1"/>
      <c r="D171" s="1"/>
      <c r="G171" s="1769"/>
      <c r="H171" s="1"/>
      <c r="I171" s="1"/>
      <c r="J171" s="1"/>
      <c r="L171" s="1779"/>
      <c r="M171" s="1772"/>
      <c r="N171" s="1772"/>
      <c r="O171" s="11"/>
    </row>
    <row r="172" spans="1:15" ht="15" customHeight="1">
      <c r="A172" s="1"/>
      <c r="B172" s="1"/>
      <c r="C172" s="1"/>
      <c r="D172" s="1"/>
      <c r="G172" s="1769"/>
      <c r="H172" s="1"/>
      <c r="I172" s="1"/>
      <c r="J172" s="1"/>
      <c r="L172" s="1779"/>
      <c r="M172" s="1772"/>
      <c r="N172" s="1772"/>
      <c r="O172" s="11"/>
    </row>
    <row r="173" spans="1:15" ht="15" customHeight="1">
      <c r="A173" s="1"/>
      <c r="B173" s="1"/>
      <c r="C173" s="1"/>
      <c r="D173" s="1"/>
      <c r="G173" s="1769"/>
      <c r="H173" s="1"/>
      <c r="I173" s="1"/>
      <c r="J173" s="1"/>
      <c r="L173" s="1779"/>
      <c r="M173" s="1772"/>
      <c r="N173" s="1772"/>
      <c r="O173" s="11"/>
    </row>
    <row r="174" spans="1:15" ht="15" customHeight="1">
      <c r="A174" s="1"/>
      <c r="B174" s="1"/>
      <c r="C174" s="1"/>
      <c r="D174" s="1"/>
      <c r="G174" s="1769"/>
      <c r="H174" s="1"/>
      <c r="I174" s="1"/>
      <c r="J174" s="1"/>
      <c r="L174" s="1779"/>
      <c r="M174" s="1772"/>
      <c r="N174" s="1772"/>
      <c r="O174" s="11"/>
    </row>
    <row r="175" spans="1:15" ht="15" customHeight="1">
      <c r="A175" s="1"/>
      <c r="B175" s="1"/>
      <c r="C175" s="1"/>
      <c r="D175" s="1"/>
      <c r="G175" s="1769"/>
      <c r="H175" s="1"/>
      <c r="I175" s="1"/>
      <c r="J175" s="1"/>
      <c r="L175" s="1779"/>
      <c r="M175" s="1772"/>
      <c r="N175" s="1772"/>
      <c r="O175" s="11"/>
    </row>
    <row r="176" spans="1:15" ht="15" customHeight="1">
      <c r="A176" s="1"/>
      <c r="B176" s="1"/>
      <c r="C176" s="1"/>
      <c r="D176" s="1"/>
      <c r="G176" s="1769"/>
      <c r="H176" s="1"/>
      <c r="I176" s="1"/>
      <c r="J176" s="1"/>
      <c r="L176" s="1779"/>
      <c r="M176" s="1772"/>
      <c r="N176" s="1772"/>
      <c r="O176" s="11"/>
    </row>
    <row r="177" spans="1:15" ht="15" customHeight="1">
      <c r="A177" s="1"/>
      <c r="B177" s="1"/>
      <c r="C177" s="1"/>
      <c r="D177" s="1"/>
      <c r="G177" s="1769"/>
      <c r="H177" s="1"/>
      <c r="I177" s="1"/>
      <c r="J177" s="1"/>
      <c r="L177" s="1779"/>
      <c r="M177" s="1772"/>
      <c r="N177" s="1772"/>
      <c r="O177" s="11"/>
    </row>
    <row r="178" spans="1:15" ht="15" customHeight="1">
      <c r="A178" s="1"/>
      <c r="B178" s="1"/>
      <c r="C178" s="1"/>
      <c r="D178" s="1"/>
      <c r="G178" s="1769"/>
      <c r="H178" s="1"/>
      <c r="I178" s="1"/>
      <c r="J178" s="1"/>
      <c r="L178" s="1779"/>
      <c r="M178" s="1772"/>
      <c r="N178" s="1772"/>
      <c r="O178" s="11"/>
    </row>
    <row r="179" spans="1:15" ht="15" customHeight="1">
      <c r="A179" s="1"/>
      <c r="B179" s="1"/>
      <c r="C179" s="1"/>
      <c r="D179" s="1"/>
      <c r="G179" s="1769"/>
      <c r="H179" s="1"/>
      <c r="I179" s="1"/>
      <c r="J179" s="1"/>
      <c r="L179" s="1779"/>
      <c r="M179" s="1772"/>
      <c r="N179" s="1772"/>
      <c r="O179" s="11"/>
    </row>
    <row r="180" spans="1:15" ht="15" customHeight="1">
      <c r="A180" s="1"/>
      <c r="B180" s="1"/>
      <c r="C180" s="1"/>
      <c r="D180" s="1"/>
      <c r="G180" s="1769"/>
      <c r="H180" s="1"/>
      <c r="I180" s="1"/>
      <c r="J180" s="1"/>
      <c r="L180" s="1779"/>
      <c r="M180" s="1772"/>
      <c r="N180" s="1772"/>
      <c r="O180" s="11"/>
    </row>
    <row r="181" spans="1:15" ht="15" customHeight="1">
      <c r="A181" s="1"/>
      <c r="B181" s="1"/>
      <c r="C181" s="1"/>
      <c r="D181" s="1"/>
      <c r="G181" s="1769"/>
      <c r="H181" s="1"/>
      <c r="I181" s="1"/>
      <c r="J181" s="1"/>
      <c r="L181" s="1779"/>
      <c r="M181" s="1772"/>
      <c r="N181" s="1772"/>
      <c r="O181" s="11"/>
    </row>
    <row r="182" spans="1:15" ht="15" customHeight="1">
      <c r="A182" s="1"/>
      <c r="B182" s="1"/>
      <c r="C182" s="1"/>
      <c r="D182" s="1"/>
      <c r="G182" s="1769"/>
      <c r="H182" s="1"/>
      <c r="I182" s="1"/>
      <c r="J182" s="1"/>
      <c r="L182" s="1779"/>
      <c r="M182" s="1772"/>
      <c r="N182" s="1772"/>
      <c r="O182" s="11"/>
    </row>
    <row r="183" spans="1:15" ht="15" customHeight="1">
      <c r="A183" s="1"/>
      <c r="B183" s="1"/>
      <c r="C183" s="1"/>
      <c r="D183" s="1"/>
      <c r="G183" s="1769"/>
      <c r="H183" s="1"/>
      <c r="I183" s="1"/>
      <c r="J183" s="1"/>
      <c r="L183" s="1779"/>
      <c r="M183" s="1772"/>
      <c r="N183" s="1772"/>
      <c r="O183" s="11"/>
    </row>
    <row r="184" spans="1:15" ht="15" customHeight="1">
      <c r="A184" s="1"/>
      <c r="B184" s="1"/>
      <c r="C184" s="1"/>
      <c r="D184" s="1"/>
      <c r="G184" s="1769"/>
      <c r="H184" s="1"/>
      <c r="I184" s="1"/>
      <c r="J184" s="1"/>
      <c r="L184" s="1779"/>
      <c r="M184" s="1772"/>
      <c r="N184" s="1772"/>
      <c r="O184" s="11"/>
    </row>
    <row r="185" spans="1:15" ht="15" customHeight="1">
      <c r="A185" s="1"/>
      <c r="B185" s="1"/>
      <c r="C185" s="1"/>
      <c r="D185" s="1"/>
      <c r="G185" s="1769"/>
      <c r="H185" s="1"/>
      <c r="I185" s="1"/>
      <c r="J185" s="1"/>
      <c r="L185" s="1779"/>
      <c r="M185" s="1772"/>
      <c r="N185" s="1772"/>
      <c r="O185" s="11"/>
    </row>
    <row r="186" spans="1:15" ht="15" customHeight="1">
      <c r="A186" s="1"/>
      <c r="B186" s="1"/>
      <c r="C186" s="1"/>
      <c r="D186" s="1"/>
      <c r="G186" s="1769"/>
      <c r="H186" s="1"/>
      <c r="I186" s="1"/>
      <c r="J186" s="1"/>
      <c r="L186" s="1781"/>
      <c r="M186" s="1772"/>
      <c r="N186" s="1772"/>
      <c r="O186" s="11"/>
    </row>
    <row r="187" spans="1:15" ht="15" customHeight="1">
      <c r="A187" s="1"/>
      <c r="B187" s="1"/>
      <c r="C187" s="1"/>
      <c r="D187" s="1"/>
      <c r="G187" s="1769"/>
      <c r="H187" s="1"/>
      <c r="I187" s="1"/>
      <c r="J187" s="1"/>
      <c r="L187" s="1779"/>
      <c r="M187" s="1772"/>
      <c r="N187" s="1772"/>
      <c r="O187" s="11"/>
    </row>
    <row r="188" spans="1:15" ht="15" customHeight="1">
      <c r="A188" s="1"/>
      <c r="B188" s="1"/>
      <c r="C188" s="1"/>
      <c r="D188" s="1"/>
      <c r="G188" s="1769"/>
      <c r="H188" s="1"/>
      <c r="I188" s="1"/>
      <c r="J188" s="1"/>
      <c r="L188" s="1779"/>
      <c r="M188" s="1772"/>
      <c r="N188" s="1772"/>
      <c r="O188" s="11"/>
    </row>
    <row r="189" spans="1:15" ht="15" customHeight="1">
      <c r="A189" s="1"/>
      <c r="B189" s="1"/>
      <c r="C189" s="1"/>
      <c r="D189" s="1"/>
      <c r="G189" s="1769"/>
      <c r="H189" s="1"/>
      <c r="I189" s="1"/>
      <c r="J189" s="1"/>
      <c r="L189" s="1779"/>
      <c r="M189" s="1772"/>
      <c r="N189" s="1772"/>
      <c r="O189" s="11"/>
    </row>
    <row r="190" spans="1:15" ht="15" customHeight="1">
      <c r="A190" s="1"/>
      <c r="B190" s="1"/>
      <c r="C190" s="1"/>
      <c r="D190" s="1"/>
      <c r="G190" s="1769"/>
      <c r="H190" s="1"/>
      <c r="I190" s="1"/>
      <c r="J190" s="1"/>
      <c r="L190" s="1779"/>
      <c r="M190" s="1772"/>
      <c r="N190" s="1772"/>
      <c r="O190" s="11"/>
    </row>
    <row r="191" spans="1:15" ht="15" customHeight="1">
      <c r="A191" s="1"/>
      <c r="B191" s="1"/>
      <c r="C191" s="1"/>
      <c r="D191" s="1"/>
      <c r="G191" s="1769"/>
      <c r="H191" s="1"/>
      <c r="I191" s="1"/>
      <c r="J191" s="1"/>
      <c r="L191" s="1779"/>
      <c r="M191" s="1772"/>
      <c r="N191" s="1772"/>
      <c r="O191" s="11"/>
    </row>
    <row r="192" spans="1:15" ht="15" customHeight="1">
      <c r="A192" s="1"/>
      <c r="B192" s="1"/>
      <c r="C192" s="1"/>
      <c r="D192" s="1"/>
      <c r="G192" s="1769"/>
      <c r="H192" s="1"/>
      <c r="I192" s="1"/>
      <c r="J192" s="1"/>
      <c r="L192" s="1779"/>
      <c r="M192" s="1772"/>
      <c r="N192" s="1772"/>
      <c r="O192" s="11"/>
    </row>
    <row r="193" spans="1:15" ht="15" customHeight="1">
      <c r="A193" s="1"/>
      <c r="B193" s="1"/>
      <c r="C193" s="1"/>
      <c r="D193" s="1"/>
      <c r="G193" s="1769"/>
      <c r="H193" s="1"/>
      <c r="I193" s="1"/>
      <c r="J193" s="1"/>
      <c r="L193" s="1779"/>
      <c r="M193" s="1772"/>
      <c r="N193" s="1772"/>
      <c r="O193" s="11"/>
    </row>
    <row r="194" spans="1:15" ht="15" customHeight="1">
      <c r="A194" s="1"/>
      <c r="B194" s="1"/>
      <c r="C194" s="1"/>
      <c r="D194" s="1"/>
      <c r="G194" s="1769"/>
      <c r="H194" s="1"/>
      <c r="I194" s="1"/>
      <c r="J194" s="1"/>
      <c r="L194" s="1779"/>
      <c r="M194" s="1772"/>
      <c r="N194" s="1772"/>
      <c r="O194" s="11"/>
    </row>
    <row r="195" spans="1:15" ht="15" customHeight="1">
      <c r="A195" s="1"/>
      <c r="B195" s="1"/>
      <c r="C195" s="1"/>
      <c r="D195" s="1"/>
      <c r="G195" s="1769"/>
      <c r="H195" s="1"/>
      <c r="I195" s="1"/>
      <c r="J195" s="1"/>
      <c r="L195" s="1779"/>
      <c r="M195" s="1772"/>
      <c r="N195" s="1772"/>
      <c r="O195" s="11"/>
    </row>
    <row r="196" spans="1:15" ht="15" customHeight="1">
      <c r="A196" s="1"/>
      <c r="B196" s="1"/>
      <c r="C196" s="1"/>
      <c r="D196" s="1"/>
      <c r="G196" s="1769"/>
      <c r="H196" s="1"/>
      <c r="I196" s="1"/>
      <c r="J196" s="1"/>
      <c r="L196" s="1779"/>
      <c r="M196" s="1772"/>
      <c r="N196" s="1772"/>
      <c r="O196" s="11"/>
    </row>
    <row r="197" spans="1:15" ht="15" customHeight="1">
      <c r="A197" s="1"/>
      <c r="B197" s="1"/>
      <c r="C197" s="1"/>
      <c r="D197" s="1"/>
      <c r="G197" s="1769"/>
      <c r="H197" s="1"/>
      <c r="I197" s="1"/>
      <c r="J197" s="1"/>
      <c r="L197" s="1781"/>
      <c r="M197" s="1772"/>
      <c r="N197" s="1772"/>
      <c r="O197" s="11"/>
    </row>
    <row r="198" spans="1:15" ht="15" customHeight="1">
      <c r="A198" s="1"/>
      <c r="B198" s="1"/>
      <c r="C198" s="1"/>
      <c r="D198" s="1"/>
      <c r="G198" s="1769"/>
      <c r="H198" s="1"/>
      <c r="I198" s="1"/>
      <c r="J198" s="1"/>
      <c r="L198" s="1779"/>
      <c r="M198" s="1772"/>
      <c r="N198" s="1772"/>
      <c r="O198" s="11"/>
    </row>
    <row r="199" spans="1:15" ht="15" customHeight="1">
      <c r="A199" s="1"/>
      <c r="B199" s="1"/>
      <c r="C199" s="1"/>
      <c r="D199" s="1"/>
      <c r="G199" s="1769"/>
      <c r="H199" s="1"/>
      <c r="I199" s="1"/>
      <c r="J199" s="1"/>
      <c r="L199" s="1779"/>
      <c r="M199" s="1772"/>
      <c r="N199" s="1772"/>
      <c r="O199" s="11"/>
    </row>
    <row r="200" spans="1:15" ht="15" customHeight="1">
      <c r="A200" s="1"/>
      <c r="B200" s="1"/>
      <c r="C200" s="1"/>
      <c r="D200" s="1"/>
      <c r="G200" s="1769"/>
      <c r="H200" s="1"/>
      <c r="I200" s="1"/>
      <c r="J200" s="1"/>
      <c r="L200" s="1779"/>
      <c r="M200" s="1772"/>
      <c r="N200" s="1772"/>
      <c r="O200" s="11"/>
    </row>
    <row r="201" spans="1:15" ht="15" customHeight="1">
      <c r="A201" s="1"/>
      <c r="B201" s="1"/>
      <c r="C201" s="1"/>
      <c r="D201" s="1"/>
      <c r="G201" s="1769"/>
      <c r="H201" s="1"/>
      <c r="I201" s="1"/>
      <c r="J201" s="1"/>
      <c r="L201" s="1779"/>
      <c r="M201" s="1772"/>
      <c r="N201" s="1772"/>
      <c r="O201" s="11"/>
    </row>
    <row r="202" spans="1:15" ht="15" customHeight="1">
      <c r="A202" s="1"/>
      <c r="B202" s="1"/>
      <c r="C202" s="1"/>
      <c r="D202" s="1"/>
      <c r="G202" s="1769"/>
      <c r="H202" s="1"/>
      <c r="I202" s="1"/>
      <c r="J202" s="1"/>
      <c r="L202" s="1779"/>
      <c r="M202" s="1772"/>
      <c r="N202" s="1772"/>
      <c r="O202" s="11"/>
    </row>
    <row r="203" spans="1:15" ht="15" customHeight="1">
      <c r="A203" s="1"/>
      <c r="B203" s="1"/>
      <c r="C203" s="1"/>
      <c r="D203" s="1"/>
      <c r="G203" s="1769"/>
      <c r="H203" s="1"/>
      <c r="I203" s="1"/>
      <c r="J203" s="1"/>
      <c r="L203" s="1779"/>
      <c r="M203" s="1772"/>
      <c r="N203" s="1772"/>
      <c r="O203" s="11"/>
    </row>
    <row r="204" spans="1:15" ht="15" customHeight="1">
      <c r="A204" s="1"/>
      <c r="B204" s="1"/>
      <c r="C204" s="1"/>
      <c r="D204" s="1"/>
      <c r="G204" s="1769"/>
      <c r="H204" s="1"/>
      <c r="I204" s="1"/>
      <c r="J204" s="1"/>
      <c r="L204" s="1781"/>
      <c r="M204" s="1772"/>
      <c r="N204" s="1772"/>
      <c r="O204" s="11"/>
    </row>
    <row r="205" spans="1:15" ht="15" customHeight="1">
      <c r="A205" s="1"/>
      <c r="B205" s="1"/>
      <c r="C205" s="1"/>
      <c r="D205" s="1"/>
      <c r="G205" s="1769"/>
      <c r="H205" s="1"/>
      <c r="I205" s="1"/>
      <c r="J205" s="1"/>
      <c r="L205" s="1779"/>
      <c r="M205" s="1772"/>
      <c r="N205" s="1772"/>
      <c r="O205" s="11"/>
    </row>
    <row r="206" spans="1:15" ht="15" customHeight="1">
      <c r="A206" s="1"/>
      <c r="B206" s="1"/>
      <c r="C206" s="1"/>
      <c r="D206" s="1"/>
      <c r="G206" s="1769"/>
      <c r="H206" s="1"/>
      <c r="I206" s="1"/>
      <c r="J206" s="1"/>
      <c r="L206" s="1779"/>
      <c r="M206" s="1772"/>
      <c r="N206" s="1772"/>
      <c r="O206" s="11"/>
    </row>
    <row r="207" spans="1:15" ht="15" customHeight="1">
      <c r="A207" s="1"/>
      <c r="B207" s="1"/>
      <c r="C207" s="1"/>
      <c r="D207" s="1"/>
      <c r="G207" s="1769"/>
      <c r="H207" s="1"/>
      <c r="I207" s="1"/>
      <c r="J207" s="1"/>
      <c r="L207" s="1779"/>
      <c r="M207" s="1772"/>
      <c r="N207" s="1772"/>
      <c r="O207" s="11"/>
    </row>
    <row r="208" spans="1:15" ht="15" customHeight="1">
      <c r="A208" s="1"/>
      <c r="B208" s="1"/>
      <c r="C208" s="1"/>
      <c r="D208" s="1"/>
      <c r="G208" s="1769"/>
      <c r="H208" s="1"/>
      <c r="I208" s="1"/>
      <c r="J208" s="1"/>
      <c r="L208" s="1779"/>
      <c r="M208" s="1772"/>
      <c r="N208" s="1772"/>
      <c r="O208" s="11"/>
    </row>
    <row r="209" spans="1:15" ht="15" customHeight="1">
      <c r="A209" s="1"/>
      <c r="B209" s="1"/>
      <c r="C209" s="1"/>
      <c r="D209" s="1"/>
      <c r="G209" s="1769"/>
      <c r="H209" s="1"/>
      <c r="I209" s="1"/>
      <c r="J209" s="1"/>
      <c r="L209" s="1779"/>
      <c r="M209" s="1772"/>
      <c r="N209" s="1772"/>
      <c r="O209" s="11"/>
    </row>
    <row r="210" spans="1:15" ht="15" customHeight="1">
      <c r="A210" s="1"/>
      <c r="B210" s="1"/>
      <c r="C210" s="1"/>
      <c r="D210" s="1"/>
      <c r="G210" s="1769"/>
      <c r="H210" s="1"/>
      <c r="I210" s="1"/>
      <c r="J210" s="1"/>
      <c r="L210" s="1779"/>
      <c r="M210" s="1772"/>
      <c r="N210" s="1772"/>
      <c r="O210" s="11"/>
    </row>
    <row r="211" spans="1:15" ht="15" customHeight="1">
      <c r="A211" s="1"/>
      <c r="B211" s="1"/>
      <c r="C211" s="1"/>
      <c r="D211" s="1"/>
      <c r="G211" s="1769"/>
      <c r="H211" s="1"/>
      <c r="I211" s="1"/>
      <c r="J211" s="1"/>
      <c r="L211" s="1779"/>
      <c r="M211" s="1772"/>
      <c r="N211" s="1772"/>
      <c r="O211" s="11"/>
    </row>
    <row r="212" spans="1:15" ht="15" customHeight="1">
      <c r="A212" s="1"/>
      <c r="B212" s="1"/>
      <c r="C212" s="1"/>
      <c r="D212" s="1"/>
      <c r="G212" s="1769"/>
      <c r="H212" s="1"/>
      <c r="I212" s="1"/>
      <c r="J212" s="1"/>
      <c r="L212" s="1779"/>
      <c r="M212" s="1772"/>
      <c r="N212" s="1772"/>
      <c r="O212" s="11"/>
    </row>
    <row r="213" spans="1:15" ht="15" customHeight="1">
      <c r="A213" s="1"/>
      <c r="B213" s="1"/>
      <c r="C213" s="1"/>
      <c r="D213" s="1"/>
      <c r="G213" s="1769"/>
      <c r="H213" s="1"/>
      <c r="I213" s="1"/>
      <c r="J213" s="1"/>
      <c r="L213" s="1779"/>
      <c r="M213" s="1772"/>
      <c r="N213" s="1772"/>
      <c r="O213" s="11"/>
    </row>
    <row r="214" spans="1:15" ht="15" customHeight="1">
      <c r="A214" s="1"/>
      <c r="B214" s="1"/>
      <c r="C214" s="1"/>
      <c r="D214" s="1"/>
      <c r="G214" s="1769"/>
      <c r="H214" s="1"/>
      <c r="I214" s="1"/>
      <c r="J214" s="1"/>
      <c r="L214" s="1779"/>
      <c r="M214" s="1772"/>
      <c r="N214" s="1772"/>
      <c r="O214" s="11"/>
    </row>
    <row r="215" spans="1:15" ht="15" customHeight="1">
      <c r="A215" s="1"/>
      <c r="B215" s="1"/>
      <c r="C215" s="1"/>
      <c r="D215" s="1"/>
      <c r="G215" s="1769"/>
      <c r="H215" s="1"/>
      <c r="I215" s="1"/>
      <c r="J215" s="1"/>
      <c r="L215" s="1779"/>
      <c r="M215" s="1772"/>
      <c r="N215" s="1772"/>
      <c r="O215" s="11"/>
    </row>
    <row r="216" spans="1:15" ht="15" customHeight="1">
      <c r="A216" s="1"/>
      <c r="B216" s="1"/>
      <c r="C216" s="1"/>
      <c r="D216" s="1"/>
      <c r="G216" s="1769"/>
      <c r="H216" s="1"/>
      <c r="I216" s="1"/>
      <c r="J216" s="1"/>
      <c r="L216" s="1779"/>
      <c r="M216" s="1772"/>
      <c r="N216" s="1772"/>
      <c r="O216" s="11"/>
    </row>
    <row r="217" spans="1:15" ht="15" customHeight="1">
      <c r="A217" s="1"/>
      <c r="B217" s="1"/>
      <c r="C217" s="1"/>
      <c r="D217" s="1"/>
      <c r="G217" s="1769"/>
      <c r="H217" s="1"/>
      <c r="I217" s="1"/>
      <c r="J217" s="1"/>
      <c r="L217" s="1779"/>
      <c r="M217" s="1772"/>
      <c r="N217" s="1772"/>
      <c r="O217" s="11"/>
    </row>
    <row r="218" spans="1:15" ht="15" customHeight="1">
      <c r="A218" s="1"/>
      <c r="B218" s="1"/>
      <c r="C218" s="1"/>
      <c r="D218" s="1"/>
      <c r="G218" s="1769"/>
      <c r="H218" s="1"/>
      <c r="I218" s="1"/>
      <c r="J218" s="1"/>
      <c r="L218" s="1779"/>
      <c r="M218" s="1772"/>
      <c r="N218" s="1772"/>
      <c r="O218" s="11"/>
    </row>
    <row r="219" spans="1:15" ht="15" customHeight="1">
      <c r="A219" s="1"/>
      <c r="B219" s="1"/>
      <c r="C219" s="1"/>
      <c r="D219" s="1"/>
      <c r="G219" s="1769"/>
      <c r="H219" s="1"/>
      <c r="I219" s="1"/>
      <c r="J219" s="1"/>
      <c r="L219" s="1779"/>
      <c r="M219" s="1772"/>
      <c r="N219" s="1772"/>
      <c r="O219" s="11"/>
    </row>
    <row r="220" spans="1:15" ht="15" customHeight="1">
      <c r="A220" s="1"/>
      <c r="B220" s="1"/>
      <c r="C220" s="1"/>
      <c r="D220" s="1"/>
      <c r="G220" s="1769"/>
      <c r="H220" s="1"/>
      <c r="I220" s="1"/>
      <c r="J220" s="1"/>
      <c r="L220" s="1779"/>
      <c r="M220" s="1772"/>
      <c r="N220" s="1772"/>
      <c r="O220" s="11"/>
    </row>
    <row r="221" spans="1:15" ht="15" customHeight="1">
      <c r="A221" s="1"/>
      <c r="B221" s="1"/>
      <c r="C221" s="1"/>
      <c r="D221" s="1"/>
      <c r="G221" s="1769"/>
      <c r="H221" s="1"/>
      <c r="I221" s="1"/>
      <c r="J221" s="1"/>
      <c r="L221" s="1779"/>
      <c r="M221" s="1772"/>
      <c r="N221" s="1772"/>
      <c r="O221" s="11"/>
    </row>
    <row r="222" spans="1:15" ht="15" customHeight="1">
      <c r="A222" s="1"/>
      <c r="B222" s="1"/>
      <c r="C222" s="1"/>
      <c r="D222" s="1"/>
      <c r="G222" s="1769"/>
      <c r="H222" s="1"/>
      <c r="I222" s="1"/>
      <c r="J222" s="1"/>
      <c r="L222" s="1779"/>
      <c r="M222" s="1772"/>
      <c r="N222" s="1772"/>
      <c r="O222" s="11"/>
    </row>
    <row r="223" spans="1:15" ht="15" customHeight="1">
      <c r="A223" s="1"/>
      <c r="B223" s="1"/>
      <c r="C223" s="1"/>
      <c r="D223" s="1"/>
      <c r="G223" s="1769"/>
      <c r="H223" s="1"/>
      <c r="I223" s="1"/>
      <c r="J223" s="1"/>
      <c r="L223" s="1779"/>
      <c r="M223" s="1772"/>
      <c r="N223" s="1772"/>
      <c r="O223" s="11"/>
    </row>
    <row r="224" spans="1:15" ht="15" customHeight="1">
      <c r="A224" s="1"/>
      <c r="B224" s="1"/>
      <c r="C224" s="1"/>
      <c r="D224" s="1"/>
      <c r="G224" s="1769"/>
      <c r="H224" s="1"/>
      <c r="I224" s="1"/>
      <c r="J224" s="1"/>
      <c r="L224" s="1779"/>
      <c r="M224" s="1772"/>
      <c r="N224" s="1772"/>
      <c r="O224" s="11"/>
    </row>
    <row r="225" spans="1:15" ht="15" customHeight="1">
      <c r="A225" s="1"/>
      <c r="B225" s="1"/>
      <c r="C225" s="1"/>
      <c r="D225" s="1"/>
      <c r="G225" s="1769"/>
      <c r="H225" s="1"/>
      <c r="I225" s="1"/>
      <c r="J225" s="1"/>
      <c r="L225" s="1779"/>
      <c r="M225" s="1772"/>
      <c r="N225" s="1772"/>
      <c r="O225" s="11"/>
    </row>
    <row r="226" spans="1:15" ht="15" customHeight="1">
      <c r="A226" s="1"/>
      <c r="B226" s="1"/>
      <c r="C226" s="1"/>
      <c r="D226" s="1"/>
      <c r="G226" s="1769"/>
      <c r="H226" s="1"/>
      <c r="I226" s="1"/>
      <c r="J226" s="1"/>
      <c r="L226" s="1779"/>
      <c r="M226" s="1772"/>
      <c r="N226" s="1772"/>
      <c r="O226" s="11"/>
    </row>
    <row r="227" spans="1:15" ht="15" customHeight="1">
      <c r="A227" s="1"/>
      <c r="B227" s="1"/>
      <c r="C227" s="1"/>
      <c r="D227" s="1"/>
      <c r="G227" s="1769"/>
      <c r="H227" s="1"/>
      <c r="I227" s="1"/>
      <c r="J227" s="1"/>
      <c r="L227" s="1779"/>
      <c r="M227" s="1772"/>
      <c r="N227" s="1772"/>
      <c r="O227" s="11"/>
    </row>
    <row r="228" spans="1:15" ht="15" customHeight="1">
      <c r="A228" s="1"/>
      <c r="B228" s="1"/>
      <c r="C228" s="1"/>
      <c r="D228" s="1"/>
      <c r="G228" s="1769"/>
      <c r="H228" s="1"/>
      <c r="I228" s="1"/>
      <c r="J228" s="1"/>
      <c r="L228" s="1779"/>
      <c r="M228" s="1772"/>
      <c r="N228" s="1772"/>
      <c r="O228" s="11"/>
    </row>
    <row r="229" spans="1:15" ht="15" customHeight="1">
      <c r="A229" s="1"/>
      <c r="B229" s="1"/>
      <c r="C229" s="1"/>
      <c r="D229" s="1"/>
      <c r="G229" s="1769"/>
      <c r="H229" s="1"/>
      <c r="I229" s="1"/>
      <c r="J229" s="1"/>
      <c r="L229" s="1779"/>
      <c r="M229" s="1772"/>
      <c r="N229" s="1772"/>
      <c r="O229" s="11"/>
    </row>
    <row r="230" spans="1:15" ht="15" customHeight="1">
      <c r="A230" s="1"/>
      <c r="B230" s="1"/>
      <c r="C230" s="1"/>
      <c r="D230" s="1"/>
      <c r="G230" s="1769"/>
      <c r="H230" s="1"/>
      <c r="I230" s="1"/>
      <c r="J230" s="1"/>
      <c r="L230" s="1779"/>
      <c r="M230" s="1772"/>
      <c r="N230" s="1772"/>
      <c r="O230" s="11"/>
    </row>
    <row r="231" spans="1:15" ht="15" customHeight="1">
      <c r="A231" s="1"/>
      <c r="B231" s="1"/>
      <c r="C231" s="1"/>
      <c r="D231" s="1"/>
      <c r="G231" s="1769"/>
      <c r="H231" s="1"/>
      <c r="I231" s="1"/>
      <c r="J231" s="1"/>
      <c r="L231" s="1779"/>
      <c r="M231" s="1772"/>
      <c r="N231" s="1772"/>
      <c r="O231" s="11"/>
    </row>
    <row r="232" spans="1:15" ht="15" customHeight="1">
      <c r="A232" s="1"/>
      <c r="B232" s="1"/>
      <c r="C232" s="1"/>
      <c r="D232" s="1"/>
      <c r="G232" s="1769"/>
      <c r="H232" s="1"/>
      <c r="I232" s="1"/>
      <c r="J232" s="1"/>
      <c r="L232" s="1779"/>
      <c r="M232" s="1772"/>
      <c r="N232" s="1772"/>
      <c r="O232" s="11"/>
    </row>
    <row r="233" spans="1:15" ht="15" customHeight="1">
      <c r="A233" s="1"/>
      <c r="B233" s="1"/>
      <c r="C233" s="1"/>
      <c r="D233" s="1"/>
      <c r="G233" s="1769"/>
      <c r="H233" s="1"/>
      <c r="I233" s="1"/>
      <c r="J233" s="1"/>
      <c r="L233" s="1779"/>
      <c r="M233" s="1772"/>
      <c r="N233" s="1772"/>
      <c r="O233" s="11"/>
    </row>
    <row r="234" spans="1:15" ht="15" customHeight="1">
      <c r="A234" s="1"/>
      <c r="B234" s="1"/>
      <c r="C234" s="1"/>
      <c r="D234" s="1"/>
      <c r="G234" s="1769"/>
      <c r="H234" s="1"/>
      <c r="I234" s="1"/>
      <c r="J234" s="1"/>
      <c r="L234" s="1779"/>
      <c r="M234" s="1772"/>
      <c r="N234" s="1772"/>
      <c r="O234" s="11"/>
    </row>
    <row r="235" spans="1:15" ht="15" customHeight="1">
      <c r="A235" s="1"/>
      <c r="B235" s="1"/>
      <c r="C235" s="1"/>
      <c r="D235" s="1"/>
      <c r="G235" s="1769"/>
      <c r="H235" s="1"/>
      <c r="I235" s="1"/>
      <c r="J235" s="1"/>
      <c r="L235" s="1779"/>
      <c r="M235" s="1772"/>
      <c r="N235" s="1772"/>
      <c r="O235" s="11"/>
    </row>
    <row r="236" spans="1:15" ht="15" customHeight="1">
      <c r="A236" s="1"/>
      <c r="B236" s="1"/>
      <c r="C236" s="1"/>
      <c r="D236" s="1"/>
      <c r="G236" s="1769"/>
      <c r="H236" s="1"/>
      <c r="I236" s="1"/>
      <c r="J236" s="1"/>
      <c r="L236" s="1779"/>
      <c r="M236" s="1772"/>
      <c r="N236" s="1772"/>
      <c r="O236" s="11"/>
    </row>
    <row r="237" spans="1:15" ht="15" customHeight="1">
      <c r="A237" s="1"/>
      <c r="B237" s="1"/>
      <c r="C237" s="1"/>
      <c r="D237" s="1"/>
      <c r="G237" s="1769"/>
      <c r="H237" s="1"/>
      <c r="I237" s="1"/>
      <c r="J237" s="1"/>
      <c r="L237" s="1779"/>
      <c r="M237" s="1772"/>
      <c r="N237" s="1772"/>
      <c r="O237" s="11"/>
    </row>
    <row r="238" spans="1:15" ht="15" customHeight="1">
      <c r="A238" s="1"/>
      <c r="B238" s="1"/>
      <c r="C238" s="1"/>
      <c r="D238" s="1"/>
      <c r="G238" s="1769"/>
      <c r="H238" s="1"/>
      <c r="I238" s="1"/>
      <c r="J238" s="1"/>
      <c r="L238" s="1779"/>
      <c r="M238" s="1772"/>
      <c r="N238" s="1772"/>
      <c r="O238" s="11"/>
    </row>
    <row r="239" spans="1:15" ht="15" customHeight="1">
      <c r="A239" s="1"/>
      <c r="B239" s="1"/>
      <c r="C239" s="1"/>
      <c r="D239" s="1"/>
      <c r="G239" s="1769"/>
      <c r="H239" s="1"/>
      <c r="I239" s="1"/>
      <c r="J239" s="1"/>
      <c r="L239" s="1779"/>
      <c r="M239" s="1772"/>
      <c r="N239" s="1772"/>
      <c r="O239" s="11"/>
    </row>
    <row r="240" spans="1:15" ht="15" customHeight="1">
      <c r="A240" s="1"/>
      <c r="B240" s="1"/>
      <c r="C240" s="1"/>
      <c r="D240" s="1"/>
      <c r="G240" s="1769"/>
      <c r="H240" s="1"/>
      <c r="I240" s="1"/>
      <c r="J240" s="1"/>
      <c r="L240" s="1779"/>
      <c r="M240" s="1772"/>
      <c r="N240" s="1772"/>
      <c r="O240" s="11"/>
    </row>
    <row r="241" spans="1:15" ht="15" customHeight="1">
      <c r="A241" s="1"/>
      <c r="B241" s="1"/>
      <c r="C241" s="1"/>
      <c r="D241" s="1"/>
      <c r="G241" s="1769"/>
      <c r="H241" s="1"/>
      <c r="I241" s="1"/>
      <c r="J241" s="1"/>
      <c r="L241" s="1779"/>
      <c r="M241" s="1772"/>
      <c r="N241" s="1772"/>
      <c r="O241" s="11"/>
    </row>
    <row r="242" spans="1:15" ht="15" customHeight="1">
      <c r="A242" s="1"/>
      <c r="B242" s="1"/>
      <c r="C242" s="1"/>
      <c r="D242" s="1"/>
      <c r="G242" s="1769"/>
      <c r="H242" s="1"/>
      <c r="I242" s="1"/>
      <c r="J242" s="1"/>
      <c r="L242" s="1779"/>
      <c r="M242" s="1772"/>
      <c r="N242" s="1772"/>
      <c r="O242" s="11"/>
    </row>
    <row r="243" spans="1:15" ht="15" customHeight="1">
      <c r="A243" s="1"/>
      <c r="B243" s="1"/>
      <c r="C243" s="1"/>
      <c r="D243" s="1"/>
      <c r="G243" s="1769"/>
      <c r="H243" s="1"/>
      <c r="I243" s="1"/>
      <c r="J243" s="1"/>
      <c r="L243" s="1779"/>
      <c r="M243" s="1772"/>
      <c r="N243" s="1772"/>
      <c r="O243" s="11"/>
    </row>
    <row r="244" spans="1:15" ht="15" customHeight="1">
      <c r="A244" s="1"/>
      <c r="B244" s="1"/>
      <c r="C244" s="1"/>
      <c r="D244" s="1"/>
      <c r="G244" s="1769"/>
      <c r="H244" s="1"/>
      <c r="I244" s="1"/>
      <c r="J244" s="1"/>
      <c r="L244" s="1779"/>
      <c r="M244" s="1772"/>
      <c r="N244" s="1772"/>
      <c r="O244" s="11"/>
    </row>
    <row r="245" spans="1:15" ht="15" customHeight="1">
      <c r="A245" s="1"/>
      <c r="B245" s="1"/>
      <c r="C245" s="1"/>
      <c r="D245" s="1"/>
      <c r="G245" s="1769"/>
      <c r="H245" s="1"/>
      <c r="I245" s="1"/>
      <c r="J245" s="1"/>
      <c r="L245" s="1779"/>
      <c r="M245" s="1772"/>
      <c r="N245" s="1772"/>
      <c r="O245" s="11"/>
    </row>
    <row r="246" spans="1:15" ht="15" customHeight="1">
      <c r="A246" s="1"/>
      <c r="B246" s="1"/>
      <c r="C246" s="1"/>
      <c r="D246" s="1"/>
      <c r="G246" s="1769"/>
      <c r="H246" s="1"/>
      <c r="I246" s="1"/>
      <c r="J246" s="1"/>
      <c r="L246" s="1779"/>
      <c r="M246" s="1772"/>
      <c r="N246" s="1772"/>
      <c r="O246" s="11"/>
    </row>
    <row r="247" spans="1:15" ht="15" customHeight="1">
      <c r="A247" s="1"/>
      <c r="B247" s="1"/>
      <c r="C247" s="1"/>
      <c r="D247" s="1"/>
      <c r="G247" s="1769"/>
      <c r="H247" s="1"/>
      <c r="I247" s="1"/>
      <c r="J247" s="1"/>
      <c r="L247" s="1779"/>
      <c r="M247" s="1772"/>
      <c r="N247" s="1772"/>
      <c r="O247" s="11"/>
    </row>
    <row r="248" spans="1:15" ht="15" customHeight="1">
      <c r="A248" s="1"/>
      <c r="B248" s="1"/>
      <c r="C248" s="1"/>
      <c r="D248" s="1"/>
      <c r="G248" s="1769"/>
      <c r="H248" s="1"/>
      <c r="I248" s="1"/>
      <c r="J248" s="1"/>
      <c r="L248" s="1779"/>
      <c r="M248" s="1772"/>
      <c r="N248" s="1772"/>
      <c r="O248" s="11"/>
    </row>
    <row r="249" spans="1:15" ht="15" customHeight="1">
      <c r="A249" s="1"/>
      <c r="B249" s="1"/>
      <c r="C249" s="1"/>
      <c r="D249" s="1"/>
      <c r="G249" s="1769"/>
      <c r="H249" s="1"/>
      <c r="I249" s="1"/>
      <c r="J249" s="1"/>
      <c r="L249" s="1782"/>
      <c r="M249" s="1772"/>
      <c r="N249" s="1772"/>
      <c r="O249" s="11"/>
    </row>
    <row r="250" spans="1:15" ht="15" customHeight="1">
      <c r="A250" s="1"/>
      <c r="B250" s="1"/>
      <c r="C250" s="1"/>
      <c r="D250" s="1"/>
      <c r="G250" s="1769"/>
      <c r="H250" s="1"/>
      <c r="I250" s="1"/>
      <c r="J250" s="1"/>
      <c r="L250" s="1782"/>
      <c r="M250" s="1772"/>
      <c r="N250" s="1772"/>
      <c r="O250" s="11"/>
    </row>
    <row r="251" spans="1:15" ht="15" customHeight="1">
      <c r="A251" s="1"/>
      <c r="B251" s="1"/>
      <c r="C251" s="1"/>
      <c r="D251" s="1"/>
      <c r="G251" s="1769"/>
      <c r="H251" s="1"/>
      <c r="I251" s="1"/>
      <c r="J251" s="1"/>
      <c r="L251" s="1783"/>
      <c r="M251" s="1772"/>
      <c r="N251" s="1772"/>
      <c r="O251" s="11"/>
    </row>
    <row r="252" spans="1:15" ht="15" customHeight="1">
      <c r="A252" s="1"/>
      <c r="B252" s="1"/>
      <c r="C252" s="1"/>
      <c r="D252" s="1"/>
      <c r="G252" s="1769"/>
      <c r="H252" s="1"/>
      <c r="I252" s="1"/>
      <c r="J252" s="1"/>
      <c r="L252" s="1782"/>
      <c r="M252" s="1772"/>
      <c r="N252" s="1772"/>
      <c r="O252" s="11"/>
    </row>
    <row r="253" spans="1:15" ht="15" customHeight="1">
      <c r="A253" s="1"/>
      <c r="B253" s="1"/>
      <c r="C253" s="1"/>
      <c r="D253" s="1"/>
      <c r="G253" s="1769"/>
      <c r="H253" s="1"/>
      <c r="I253" s="1"/>
      <c r="J253" s="1"/>
      <c r="L253" s="1782"/>
      <c r="M253" s="1772"/>
      <c r="N253" s="1772"/>
      <c r="O253" s="11"/>
    </row>
    <row r="254" spans="1:15" ht="15" customHeight="1">
      <c r="A254" s="1"/>
      <c r="B254" s="1"/>
      <c r="C254" s="1"/>
      <c r="D254" s="1"/>
      <c r="G254" s="1769"/>
      <c r="H254" s="1"/>
      <c r="I254" s="1"/>
      <c r="J254" s="1"/>
      <c r="L254" s="1782"/>
      <c r="M254" s="1772"/>
      <c r="N254" s="1772"/>
      <c r="O254" s="11"/>
    </row>
    <row r="255" spans="1:15" ht="15" customHeight="1">
      <c r="A255" s="1"/>
      <c r="B255" s="1"/>
      <c r="C255" s="1"/>
      <c r="D255" s="1"/>
      <c r="G255" s="1769"/>
      <c r="H255" s="1"/>
      <c r="I255" s="1"/>
      <c r="J255" s="1"/>
      <c r="L255" s="1782"/>
      <c r="M255" s="1772"/>
      <c r="N255" s="1772"/>
      <c r="O255" s="11"/>
    </row>
    <row r="256" spans="1:15" ht="15" customHeight="1">
      <c r="A256" s="1"/>
      <c r="B256" s="1"/>
      <c r="C256" s="1"/>
      <c r="D256" s="1"/>
      <c r="G256" s="1769"/>
      <c r="H256" s="1"/>
      <c r="I256" s="1"/>
      <c r="J256" s="1"/>
      <c r="L256" s="1782"/>
      <c r="M256" s="1772"/>
      <c r="N256" s="1772"/>
      <c r="O256" s="11"/>
    </row>
    <row r="257" spans="1:19" ht="15" customHeight="1">
      <c r="A257" s="1"/>
      <c r="B257" s="1"/>
      <c r="C257" s="1"/>
      <c r="D257" s="1"/>
      <c r="G257" s="1769"/>
      <c r="H257" s="1"/>
      <c r="I257" s="1"/>
      <c r="J257" s="1"/>
      <c r="L257" s="1782"/>
      <c r="M257" s="1772"/>
      <c r="N257" s="1772"/>
      <c r="O257" s="11"/>
    </row>
    <row r="258" spans="1:19" ht="15" customHeight="1">
      <c r="A258" s="1"/>
      <c r="B258" s="1"/>
      <c r="C258" s="1"/>
      <c r="D258" s="1"/>
      <c r="G258" s="1769"/>
      <c r="H258" s="1"/>
      <c r="I258" s="1"/>
      <c r="J258" s="1"/>
      <c r="L258" s="1782"/>
      <c r="M258" s="1772"/>
      <c r="N258" s="1772"/>
      <c r="O258" s="11"/>
    </row>
    <row r="259" spans="1:19" ht="15" customHeight="1">
      <c r="A259" s="1"/>
      <c r="B259" s="1"/>
      <c r="C259" s="1"/>
      <c r="D259" s="1"/>
      <c r="G259" s="1769"/>
      <c r="H259" s="1"/>
      <c r="I259" s="1"/>
      <c r="J259" s="1"/>
      <c r="K259" s="24"/>
      <c r="L259" s="1771"/>
      <c r="M259" s="1772"/>
      <c r="N259" s="1772"/>
      <c r="O259" s="11"/>
    </row>
    <row r="260" spans="1:19" ht="15" customHeight="1">
      <c r="A260" s="1"/>
      <c r="B260" s="1"/>
      <c r="C260" s="1"/>
      <c r="D260" s="1"/>
      <c r="G260" s="1769"/>
      <c r="H260" s="1"/>
      <c r="I260" s="1"/>
      <c r="J260" s="1"/>
      <c r="K260" s="24"/>
      <c r="L260" s="1771"/>
      <c r="M260" s="1772"/>
      <c r="N260" s="1772"/>
      <c r="O260" s="11"/>
    </row>
    <row r="261" spans="1:19" ht="15" customHeight="1">
      <c r="A261" s="1"/>
      <c r="B261" s="1"/>
      <c r="C261" s="1"/>
      <c r="D261" s="1"/>
      <c r="G261" s="1769"/>
      <c r="H261" s="1"/>
      <c r="I261" s="1"/>
      <c r="J261" s="1"/>
      <c r="K261" s="24"/>
      <c r="L261" s="1771"/>
      <c r="M261" s="1772"/>
      <c r="N261" s="1772"/>
      <c r="O261" s="11"/>
    </row>
    <row r="262" spans="1:19" ht="15" customHeight="1">
      <c r="A262" s="1"/>
      <c r="B262" s="1"/>
      <c r="C262" s="1"/>
      <c r="D262" s="1"/>
      <c r="G262" s="1769"/>
      <c r="H262" s="1"/>
      <c r="I262" s="1"/>
      <c r="J262" s="1"/>
      <c r="L262" s="1779"/>
      <c r="M262" s="1772"/>
      <c r="N262" s="1772"/>
      <c r="O262" s="11"/>
    </row>
    <row r="263" spans="1:19" ht="15" customHeight="1">
      <c r="A263" s="1"/>
      <c r="B263" s="1"/>
      <c r="C263" s="1"/>
      <c r="D263" s="1"/>
      <c r="G263" s="1769"/>
      <c r="H263" s="1"/>
      <c r="I263" s="1"/>
      <c r="J263" s="1"/>
      <c r="L263" s="1779"/>
      <c r="M263" s="1772"/>
      <c r="N263" s="1772"/>
      <c r="O263" s="11"/>
    </row>
    <row r="264" spans="1:19" ht="15" customHeight="1">
      <c r="A264" s="1"/>
      <c r="B264" s="1"/>
      <c r="C264" s="1"/>
      <c r="D264" s="1"/>
      <c r="G264" s="1769"/>
      <c r="H264" s="1"/>
      <c r="I264" s="1"/>
      <c r="J264" s="1"/>
      <c r="L264" s="1784"/>
      <c r="M264" s="1772"/>
      <c r="N264" s="1772"/>
      <c r="O264" s="11"/>
    </row>
    <row r="265" spans="1:19" ht="15" customHeight="1">
      <c r="A265" s="1"/>
      <c r="B265" s="1"/>
      <c r="C265" s="1"/>
      <c r="D265" s="1"/>
      <c r="G265" s="1769"/>
      <c r="H265" s="1"/>
      <c r="I265" s="1"/>
      <c r="J265" s="1"/>
      <c r="L265" s="1784"/>
      <c r="M265" s="1772"/>
      <c r="N265" s="1772"/>
      <c r="O265" s="11"/>
    </row>
    <row r="266" spans="1:19" ht="15" customHeight="1">
      <c r="A266" s="1"/>
      <c r="B266" s="1"/>
      <c r="C266" s="1"/>
      <c r="D266" s="1"/>
      <c r="G266" s="1769"/>
      <c r="H266" s="1"/>
      <c r="I266" s="1"/>
      <c r="J266" s="1"/>
      <c r="K266" s="24"/>
      <c r="L266" s="1771"/>
      <c r="M266" s="1772"/>
      <c r="N266" s="1772"/>
      <c r="O266" s="11"/>
    </row>
    <row r="267" spans="1:19" ht="15" customHeight="1">
      <c r="A267" s="1"/>
      <c r="B267" s="1"/>
      <c r="C267" s="1"/>
      <c r="D267" s="1"/>
      <c r="G267" s="1769"/>
      <c r="H267" s="1"/>
      <c r="I267" s="1"/>
      <c r="J267" s="1"/>
      <c r="L267" s="1785"/>
      <c r="M267" s="1772"/>
      <c r="N267" s="1772"/>
      <c r="O267" s="11"/>
    </row>
    <row r="268" spans="1:19" ht="15" customHeight="1">
      <c r="A268" s="1"/>
      <c r="B268" s="1"/>
      <c r="C268" s="1"/>
      <c r="D268" s="1"/>
      <c r="G268" s="1769"/>
      <c r="H268" s="1"/>
      <c r="I268" s="1"/>
      <c r="J268" s="1"/>
      <c r="K268" s="24"/>
      <c r="L268" s="1776"/>
      <c r="M268" s="1776"/>
      <c r="N268" s="1776"/>
      <c r="O268"/>
      <c r="P268"/>
      <c r="Q268"/>
      <c r="R268"/>
      <c r="S268"/>
    </row>
    <row r="269" spans="1:19" ht="15" customHeight="1">
      <c r="A269" s="1"/>
      <c r="B269" s="1"/>
      <c r="C269" s="1"/>
      <c r="D269" s="1"/>
      <c r="G269" s="1769"/>
      <c r="H269" s="1"/>
      <c r="I269" s="1"/>
      <c r="J269" s="1"/>
      <c r="K269" s="24"/>
      <c r="L269" s="1776"/>
      <c r="M269" s="1776"/>
      <c r="N269" s="1776"/>
      <c r="O269"/>
      <c r="P269"/>
      <c r="Q269"/>
      <c r="R269"/>
      <c r="S269"/>
    </row>
    <row r="270" spans="1:19" ht="15" customHeight="1">
      <c r="A270" s="1"/>
      <c r="B270" s="1"/>
      <c r="C270" s="1"/>
      <c r="D270" s="1"/>
      <c r="G270" s="1769"/>
      <c r="H270" s="1"/>
      <c r="I270" s="1"/>
      <c r="J270" s="1"/>
      <c r="K270" s="24"/>
      <c r="L270" s="1776"/>
      <c r="M270" s="1776"/>
      <c r="N270" s="1776"/>
      <c r="O270"/>
      <c r="P270"/>
      <c r="Q270"/>
      <c r="R270"/>
      <c r="S270"/>
    </row>
    <row r="271" spans="1:19" ht="15" customHeight="1">
      <c r="A271" s="1"/>
      <c r="B271" s="1"/>
      <c r="C271" s="1"/>
      <c r="D271" s="1"/>
      <c r="G271" s="1769"/>
      <c r="H271" s="1"/>
      <c r="I271" s="1"/>
      <c r="J271" s="1"/>
      <c r="K271" s="24"/>
      <c r="L271" s="1776"/>
      <c r="M271" s="1776"/>
      <c r="N271" s="1776"/>
      <c r="O271"/>
      <c r="P271"/>
      <c r="Q271"/>
      <c r="R271"/>
      <c r="S271"/>
    </row>
    <row r="272" spans="1:19" ht="15" customHeight="1">
      <c r="A272" s="1"/>
      <c r="B272" s="1"/>
      <c r="C272" s="1"/>
      <c r="D272" s="1"/>
      <c r="G272" s="1769"/>
      <c r="H272" s="1"/>
      <c r="I272" s="1"/>
      <c r="J272" s="1"/>
      <c r="K272" s="24"/>
      <c r="L272" s="1776"/>
      <c r="M272" s="1776"/>
      <c r="N272" s="1776"/>
      <c r="O272"/>
      <c r="P272"/>
      <c r="Q272"/>
      <c r="R272"/>
      <c r="S272"/>
    </row>
    <row r="273" spans="1:19" ht="15" customHeight="1">
      <c r="A273" s="1"/>
      <c r="B273" s="1"/>
      <c r="C273" s="1"/>
      <c r="D273" s="1"/>
      <c r="G273" s="1769"/>
      <c r="H273" s="1"/>
      <c r="I273" s="1"/>
      <c r="J273" s="1"/>
      <c r="K273" s="40"/>
      <c r="L273" s="1776"/>
      <c r="M273" s="1776"/>
      <c r="N273" s="1776"/>
      <c r="O273"/>
      <c r="P273"/>
      <c r="Q273"/>
      <c r="R273"/>
      <c r="S273"/>
    </row>
    <row r="274" spans="1:19" ht="15" customHeight="1">
      <c r="A274" s="1"/>
      <c r="B274" s="1"/>
      <c r="C274" s="1"/>
      <c r="D274" s="1"/>
      <c r="G274" s="1769"/>
      <c r="H274" s="1"/>
      <c r="I274" s="1"/>
      <c r="J274" s="1"/>
      <c r="K274" s="40"/>
      <c r="L274" s="1776"/>
      <c r="M274" s="1776"/>
      <c r="N274" s="1776"/>
      <c r="O274"/>
      <c r="P274"/>
      <c r="Q274"/>
      <c r="R274"/>
      <c r="S274"/>
    </row>
    <row r="275" spans="1:19" ht="15" customHeight="1">
      <c r="A275" s="1"/>
      <c r="B275" s="1"/>
      <c r="C275" s="1"/>
      <c r="D275" s="1"/>
      <c r="G275" s="1769"/>
      <c r="H275" s="1"/>
      <c r="I275" s="1"/>
      <c r="J275" s="1"/>
      <c r="K275" s="40"/>
      <c r="L275" s="1779"/>
      <c r="M275" s="1772"/>
      <c r="N275" s="1772"/>
      <c r="O275" s="11"/>
    </row>
    <row r="276" spans="1:19" ht="15" customHeight="1">
      <c r="A276" s="1"/>
      <c r="B276" s="1"/>
      <c r="C276" s="1"/>
      <c r="D276" s="1"/>
      <c r="G276" s="1769"/>
      <c r="H276" s="1"/>
      <c r="I276" s="1"/>
      <c r="J276" s="1"/>
      <c r="K276" s="40"/>
      <c r="L276" s="1779"/>
      <c r="M276" s="1772"/>
      <c r="N276" s="1772"/>
      <c r="O276" s="11"/>
    </row>
    <row r="277" spans="1:19" ht="15" customHeight="1">
      <c r="A277" s="1"/>
      <c r="B277" s="1"/>
      <c r="C277" s="1"/>
      <c r="D277" s="1"/>
      <c r="G277" s="1769"/>
      <c r="H277" s="1"/>
      <c r="I277" s="1"/>
      <c r="J277" s="1"/>
      <c r="K277" s="24"/>
      <c r="L277" s="1771"/>
      <c r="M277" s="1772"/>
      <c r="N277" s="1772"/>
      <c r="O277" s="11"/>
    </row>
    <row r="278" spans="1:19" s="38" customFormat="1" ht="15" customHeight="1">
      <c r="A278" s="1"/>
      <c r="B278" s="1"/>
      <c r="C278" s="1"/>
      <c r="D278" s="1"/>
      <c r="E278" s="1"/>
      <c r="F278" s="1"/>
      <c r="G278" s="1769"/>
      <c r="H278" s="1"/>
      <c r="I278" s="1"/>
      <c r="J278" s="1"/>
      <c r="K278" s="24"/>
      <c r="L278" s="1771"/>
      <c r="M278" s="1786"/>
      <c r="N278" s="1786"/>
      <c r="O278" s="29"/>
    </row>
    <row r="279" spans="1:19" ht="15" customHeight="1">
      <c r="A279" s="1"/>
      <c r="B279" s="1"/>
      <c r="C279" s="1"/>
      <c r="D279" s="1"/>
      <c r="G279" s="1769"/>
      <c r="H279" s="1"/>
      <c r="I279" s="1"/>
      <c r="J279" s="1"/>
      <c r="K279" s="24"/>
      <c r="L279" s="1771"/>
      <c r="M279" s="1772"/>
      <c r="N279" s="1772"/>
      <c r="O279" s="11"/>
    </row>
    <row r="280" spans="1:19" ht="15" customHeight="1">
      <c r="A280" s="1"/>
      <c r="B280" s="1"/>
      <c r="C280" s="1"/>
      <c r="D280" s="1"/>
      <c r="G280" s="1769"/>
      <c r="H280" s="1"/>
      <c r="I280" s="1"/>
      <c r="J280" s="1"/>
      <c r="K280" s="24"/>
      <c r="L280" s="1771"/>
      <c r="M280" s="1772"/>
      <c r="N280" s="1772"/>
      <c r="O280" s="11"/>
    </row>
    <row r="281" spans="1:19" ht="15" customHeight="1">
      <c r="A281" s="1"/>
      <c r="B281" s="1"/>
      <c r="C281" s="1"/>
      <c r="D281" s="1"/>
      <c r="G281" s="1769"/>
      <c r="H281" s="1"/>
      <c r="I281" s="1"/>
      <c r="J281" s="1"/>
      <c r="K281" s="24"/>
      <c r="L281" s="1771"/>
      <c r="M281" s="1772"/>
      <c r="N281" s="1772"/>
      <c r="O281" s="11"/>
    </row>
    <row r="282" spans="1:19" ht="15" customHeight="1">
      <c r="A282" s="1"/>
      <c r="B282" s="1"/>
      <c r="C282" s="1"/>
      <c r="D282" s="1"/>
      <c r="G282" s="1769"/>
      <c r="H282" s="1"/>
      <c r="I282" s="1"/>
      <c r="J282" s="1"/>
      <c r="K282" s="24"/>
      <c r="L282" s="1771"/>
      <c r="M282" s="1772"/>
      <c r="N282" s="1772"/>
      <c r="O282" s="11"/>
    </row>
    <row r="283" spans="1:19" ht="15" customHeight="1">
      <c r="A283" s="1"/>
      <c r="B283" s="1"/>
      <c r="C283" s="1"/>
      <c r="D283" s="1"/>
      <c r="G283" s="1769"/>
      <c r="H283" s="1"/>
      <c r="I283" s="1"/>
      <c r="J283" s="1"/>
      <c r="K283" s="42"/>
      <c r="L283" s="1787"/>
      <c r="M283" s="1772"/>
      <c r="N283" s="1772"/>
      <c r="O283" s="11"/>
    </row>
    <row r="284" spans="1:19" ht="15" customHeight="1">
      <c r="A284" s="1"/>
      <c r="B284" s="1"/>
      <c r="C284" s="1"/>
      <c r="D284" s="1"/>
      <c r="G284" s="1769"/>
      <c r="H284" s="1"/>
      <c r="I284" s="1"/>
      <c r="J284" s="1"/>
      <c r="K284" s="42"/>
      <c r="L284" s="1787"/>
      <c r="M284" s="1772"/>
      <c r="N284" s="1772"/>
      <c r="O284" s="11"/>
    </row>
    <row r="285" spans="1:19" ht="15" customHeight="1">
      <c r="A285" s="1"/>
      <c r="B285" s="1"/>
      <c r="C285" s="1"/>
      <c r="D285" s="1"/>
      <c r="G285" s="1769"/>
      <c r="H285" s="1"/>
      <c r="I285" s="1"/>
      <c r="J285" s="1"/>
      <c r="K285" s="42"/>
      <c r="L285" s="1787"/>
      <c r="M285" s="1772"/>
      <c r="N285" s="1772"/>
      <c r="O285" s="11"/>
    </row>
    <row r="286" spans="1:19" ht="15" customHeight="1">
      <c r="A286" s="1"/>
      <c r="B286" s="1"/>
      <c r="C286" s="1"/>
      <c r="D286" s="1"/>
      <c r="G286" s="1769"/>
      <c r="H286" s="1"/>
      <c r="I286" s="1"/>
      <c r="J286" s="1"/>
      <c r="K286" s="42"/>
      <c r="L286" s="1787"/>
      <c r="M286" s="1772"/>
      <c r="N286" s="1772"/>
      <c r="O286" s="11"/>
    </row>
    <row r="287" spans="1:19" ht="15" customHeight="1">
      <c r="A287" s="1"/>
      <c r="B287" s="1"/>
      <c r="C287" s="1"/>
      <c r="D287" s="1"/>
      <c r="G287" s="1769"/>
      <c r="H287" s="1"/>
      <c r="I287" s="1"/>
      <c r="J287" s="1"/>
      <c r="K287" s="42"/>
      <c r="L287" s="1787"/>
      <c r="M287" s="1772"/>
      <c r="N287" s="1772"/>
      <c r="O287" s="11"/>
    </row>
    <row r="288" spans="1:19" ht="15" customHeight="1">
      <c r="A288" s="1"/>
      <c r="B288" s="1"/>
      <c r="C288" s="1"/>
      <c r="D288" s="1"/>
      <c r="G288" s="1769"/>
      <c r="H288" s="1"/>
      <c r="I288" s="1"/>
      <c r="J288" s="1"/>
      <c r="K288" s="42"/>
      <c r="L288" s="1787"/>
      <c r="M288" s="1772"/>
      <c r="N288" s="1772"/>
      <c r="O288" s="11"/>
    </row>
    <row r="289" spans="1:15" ht="15" customHeight="1">
      <c r="A289" s="1"/>
      <c r="B289" s="1"/>
      <c r="C289" s="1"/>
      <c r="D289" s="1"/>
      <c r="G289" s="1769"/>
      <c r="H289" s="1"/>
      <c r="I289" s="1"/>
      <c r="J289" s="1"/>
      <c r="K289" s="20"/>
      <c r="L289" s="1768"/>
      <c r="M289" s="1772"/>
      <c r="N289" s="1772"/>
      <c r="O289" s="11"/>
    </row>
    <row r="290" spans="1:15" ht="15" customHeight="1">
      <c r="A290" s="1"/>
      <c r="B290" s="1"/>
      <c r="C290" s="1"/>
      <c r="D290" s="1"/>
      <c r="G290" s="1769"/>
      <c r="H290" s="1"/>
      <c r="I290" s="1"/>
      <c r="J290" s="1"/>
      <c r="K290" s="20"/>
      <c r="L290" s="1768"/>
      <c r="M290" s="1772"/>
      <c r="N290" s="1772"/>
      <c r="O290" s="11"/>
    </row>
    <row r="291" spans="1:15" ht="15" customHeight="1">
      <c r="A291" s="1"/>
      <c r="B291" s="1"/>
      <c r="C291" s="1"/>
      <c r="D291" s="1"/>
      <c r="G291" s="1769"/>
      <c r="H291" s="1"/>
      <c r="I291" s="1"/>
      <c r="J291" s="1"/>
      <c r="K291" s="20"/>
      <c r="L291" s="1768"/>
      <c r="M291" s="1772"/>
      <c r="N291" s="1772"/>
      <c r="O291" s="11"/>
    </row>
    <row r="292" spans="1:15" ht="15" customHeight="1">
      <c r="A292" s="1"/>
      <c r="B292" s="1"/>
      <c r="C292" s="1"/>
      <c r="D292" s="1"/>
      <c r="G292" s="1769"/>
      <c r="H292" s="1"/>
      <c r="I292" s="1"/>
      <c r="J292" s="1"/>
      <c r="K292" s="20"/>
      <c r="L292" s="1768"/>
      <c r="M292" s="1772"/>
      <c r="N292" s="1772"/>
      <c r="O292" s="11"/>
    </row>
    <row r="293" spans="1:15" ht="15" customHeight="1">
      <c r="A293" s="1"/>
      <c r="B293" s="1"/>
      <c r="C293" s="1"/>
      <c r="D293" s="1"/>
      <c r="G293" s="1769"/>
      <c r="H293" s="1"/>
      <c r="I293" s="1"/>
      <c r="J293" s="1"/>
      <c r="K293" s="20"/>
      <c r="L293" s="1768"/>
      <c r="M293" s="1772"/>
      <c r="N293" s="1772"/>
      <c r="O293" s="11"/>
    </row>
    <row r="294" spans="1:15" ht="15" customHeight="1">
      <c r="A294" s="1"/>
      <c r="B294" s="1"/>
      <c r="C294" s="1"/>
      <c r="D294" s="1"/>
      <c r="G294" s="1769"/>
      <c r="H294" s="1"/>
      <c r="I294" s="1"/>
      <c r="J294" s="1"/>
      <c r="K294" s="20"/>
      <c r="L294" s="1768"/>
      <c r="M294" s="1772"/>
      <c r="N294" s="1772"/>
      <c r="O294" s="11"/>
    </row>
    <row r="295" spans="1:15" ht="15" customHeight="1">
      <c r="A295" s="1"/>
      <c r="B295" s="1"/>
      <c r="C295" s="1"/>
      <c r="D295" s="1"/>
      <c r="G295" s="1769"/>
      <c r="H295" s="1"/>
      <c r="I295" s="1"/>
      <c r="J295" s="1"/>
      <c r="K295" s="20"/>
      <c r="L295" s="1768"/>
      <c r="M295" s="1772"/>
      <c r="N295" s="1772"/>
      <c r="O295" s="11"/>
    </row>
    <row r="296" spans="1:15" ht="15" customHeight="1">
      <c r="A296" s="1"/>
      <c r="B296" s="1"/>
      <c r="C296" s="1"/>
      <c r="D296" s="1"/>
      <c r="G296" s="1769"/>
      <c r="H296" s="1"/>
      <c r="I296" s="1"/>
      <c r="J296" s="1"/>
      <c r="K296" s="20"/>
      <c r="L296" s="1768"/>
      <c r="M296" s="1772"/>
      <c r="N296" s="1772"/>
      <c r="O296" s="11"/>
    </row>
    <row r="297" spans="1:15" ht="15" customHeight="1">
      <c r="A297" s="1"/>
      <c r="B297" s="1"/>
      <c r="C297" s="1"/>
      <c r="D297" s="1"/>
      <c r="G297" s="1769"/>
      <c r="H297" s="1"/>
      <c r="I297" s="1"/>
      <c r="J297" s="1"/>
      <c r="K297" s="20"/>
      <c r="L297" s="1768"/>
      <c r="M297" s="1772"/>
      <c r="N297" s="1772"/>
      <c r="O297" s="11"/>
    </row>
    <row r="298" spans="1:15" ht="15" customHeight="1">
      <c r="A298" s="1"/>
      <c r="B298" s="1"/>
      <c r="C298" s="1"/>
      <c r="D298" s="1"/>
      <c r="G298" s="1769"/>
      <c r="H298" s="1"/>
      <c r="I298" s="1"/>
      <c r="J298" s="1"/>
      <c r="K298" s="20"/>
      <c r="L298" s="1768"/>
      <c r="M298" s="1772"/>
      <c r="N298" s="1772"/>
      <c r="O298" s="11"/>
    </row>
    <row r="299" spans="1:15" ht="15" customHeight="1">
      <c r="A299" s="1"/>
      <c r="B299" s="1"/>
      <c r="C299" s="1"/>
      <c r="D299" s="1"/>
      <c r="G299" s="1769"/>
      <c r="H299" s="1"/>
      <c r="I299" s="1"/>
      <c r="J299" s="1"/>
      <c r="K299" s="20"/>
      <c r="L299" s="1768"/>
      <c r="M299" s="1772"/>
      <c r="N299" s="1772"/>
      <c r="O299" s="11"/>
    </row>
    <row r="300" spans="1:15" ht="15" customHeight="1">
      <c r="A300" s="1"/>
      <c r="B300" s="1"/>
      <c r="C300" s="1"/>
      <c r="D300" s="1"/>
      <c r="G300" s="1769"/>
      <c r="H300" s="1"/>
      <c r="I300" s="1"/>
      <c r="J300" s="1"/>
      <c r="K300" s="20"/>
      <c r="L300" s="1768"/>
      <c r="M300" s="1772"/>
      <c r="N300" s="1772"/>
      <c r="O300" s="11"/>
    </row>
    <row r="301" spans="1:15" ht="15" customHeight="1">
      <c r="A301" s="1"/>
      <c r="B301" s="1"/>
      <c r="C301" s="1"/>
      <c r="D301" s="1"/>
      <c r="G301" s="1769"/>
      <c r="H301" s="1"/>
      <c r="I301" s="1"/>
      <c r="J301" s="1"/>
      <c r="K301" s="20"/>
      <c r="L301" s="1768"/>
      <c r="M301" s="1772"/>
      <c r="N301" s="1772"/>
      <c r="O301" s="11"/>
    </row>
    <row r="302" spans="1:15" ht="15" customHeight="1">
      <c r="A302" s="1"/>
      <c r="B302" s="1"/>
      <c r="C302" s="1"/>
      <c r="D302" s="1"/>
      <c r="G302" s="1769"/>
      <c r="H302" s="1"/>
      <c r="I302" s="1"/>
      <c r="J302" s="1"/>
      <c r="K302" s="20"/>
      <c r="L302" s="1768"/>
      <c r="M302" s="1772"/>
      <c r="N302" s="1772"/>
      <c r="O302" s="11"/>
    </row>
    <row r="303" spans="1:15" ht="15" customHeight="1">
      <c r="A303" s="1"/>
      <c r="B303" s="1"/>
      <c r="C303" s="1"/>
      <c r="D303" s="1"/>
      <c r="G303" s="1769"/>
      <c r="H303" s="1"/>
      <c r="I303" s="1"/>
      <c r="J303" s="1"/>
      <c r="K303" s="20"/>
      <c r="L303" s="1768"/>
      <c r="M303" s="1772"/>
      <c r="N303" s="1772"/>
      <c r="O303" s="11"/>
    </row>
    <row r="304" spans="1:15" ht="15" customHeight="1">
      <c r="A304" s="1"/>
      <c r="B304" s="1"/>
      <c r="C304" s="1"/>
      <c r="D304" s="1"/>
      <c r="G304" s="1769"/>
      <c r="H304" s="1"/>
      <c r="I304" s="1"/>
      <c r="J304" s="1"/>
      <c r="K304" s="20"/>
      <c r="L304" s="1768"/>
      <c r="M304" s="1772"/>
      <c r="N304" s="1772"/>
      <c r="O304" s="11"/>
    </row>
    <row r="305" spans="1:15" ht="15" customHeight="1">
      <c r="A305" s="1"/>
      <c r="B305" s="1"/>
      <c r="C305" s="1"/>
      <c r="D305" s="1"/>
      <c r="G305" s="1769"/>
      <c r="H305" s="1"/>
      <c r="I305" s="1"/>
      <c r="J305" s="1"/>
      <c r="K305" s="20"/>
      <c r="L305" s="1768"/>
      <c r="M305" s="1772"/>
      <c r="N305" s="1772"/>
      <c r="O305" s="11"/>
    </row>
    <row r="306" spans="1:15" ht="15" customHeight="1">
      <c r="A306" s="1"/>
      <c r="B306" s="1"/>
      <c r="C306" s="1"/>
      <c r="D306" s="1"/>
      <c r="G306" s="1769"/>
      <c r="H306" s="1"/>
      <c r="I306" s="1"/>
      <c r="J306" s="1"/>
      <c r="K306" s="20"/>
      <c r="L306" s="1768"/>
      <c r="M306" s="1772"/>
      <c r="N306" s="1772"/>
      <c r="O306" s="11"/>
    </row>
    <row r="307" spans="1:15" ht="15" customHeight="1">
      <c r="A307" s="1"/>
      <c r="B307" s="1"/>
      <c r="C307" s="1"/>
      <c r="D307" s="1"/>
      <c r="G307" s="1769"/>
      <c r="H307" s="1"/>
      <c r="I307" s="1"/>
      <c r="J307" s="1"/>
      <c r="K307" s="20"/>
      <c r="L307" s="1768"/>
      <c r="M307" s="1772"/>
      <c r="N307" s="1772"/>
      <c r="O307" s="11"/>
    </row>
    <row r="308" spans="1:15" ht="15" customHeight="1">
      <c r="A308" s="1"/>
      <c r="B308" s="1"/>
      <c r="C308" s="1"/>
      <c r="D308" s="1"/>
      <c r="G308" s="1769"/>
      <c r="H308" s="1"/>
      <c r="I308" s="1"/>
      <c r="J308" s="1"/>
      <c r="L308" s="1769"/>
      <c r="M308" s="1772"/>
      <c r="N308" s="1772"/>
      <c r="O308" s="11"/>
    </row>
    <row r="309" spans="1:15" ht="15" customHeight="1">
      <c r="A309" s="1"/>
      <c r="B309" s="1"/>
      <c r="C309" s="1"/>
      <c r="D309" s="1"/>
      <c r="G309" s="1769"/>
      <c r="H309" s="1"/>
      <c r="I309" s="1"/>
      <c r="J309" s="1"/>
      <c r="L309" s="1769"/>
      <c r="M309" s="1772"/>
      <c r="N309" s="1772"/>
      <c r="O309" s="11"/>
    </row>
    <row r="310" spans="1:15" ht="15" customHeight="1">
      <c r="A310" s="1"/>
      <c r="B310" s="1"/>
      <c r="C310" s="1"/>
      <c r="D310" s="1"/>
      <c r="G310" s="1769"/>
      <c r="H310" s="1"/>
      <c r="I310" s="1"/>
      <c r="J310" s="1"/>
      <c r="L310" s="1769"/>
      <c r="M310" s="1772"/>
      <c r="N310" s="1772"/>
      <c r="O310" s="11"/>
    </row>
    <row r="311" spans="1:15" ht="15" customHeight="1">
      <c r="A311" s="1"/>
      <c r="B311" s="1"/>
      <c r="C311" s="1"/>
      <c r="D311" s="1"/>
      <c r="G311" s="1769"/>
      <c r="H311" s="1"/>
      <c r="I311" s="1"/>
      <c r="J311" s="1"/>
      <c r="K311" s="20"/>
      <c r="L311" s="1788"/>
      <c r="M311" s="1772"/>
      <c r="N311" s="1772"/>
      <c r="O311" s="11"/>
    </row>
    <row r="312" spans="1:15" ht="15" customHeight="1">
      <c r="A312" s="1"/>
      <c r="B312" s="1"/>
      <c r="C312" s="1"/>
      <c r="D312" s="1"/>
      <c r="G312" s="1769"/>
      <c r="H312" s="1"/>
      <c r="I312" s="1"/>
      <c r="J312" s="1"/>
      <c r="K312" s="20"/>
      <c r="L312" s="1788"/>
      <c r="M312" s="1772"/>
      <c r="N312" s="1772"/>
      <c r="O312" s="11"/>
    </row>
    <row r="313" spans="1:15" ht="15" customHeight="1">
      <c r="A313" s="1"/>
      <c r="B313" s="1"/>
      <c r="C313" s="1"/>
      <c r="D313" s="1"/>
      <c r="G313" s="1769"/>
      <c r="H313" s="1"/>
      <c r="I313" s="1"/>
      <c r="J313" s="1"/>
      <c r="K313" s="20"/>
      <c r="L313" s="1788"/>
      <c r="M313" s="1772"/>
      <c r="N313" s="1772"/>
      <c r="O313" s="11"/>
    </row>
    <row r="314" spans="1:15" ht="15" customHeight="1">
      <c r="A314" s="1"/>
      <c r="B314" s="1"/>
      <c r="C314" s="1"/>
      <c r="D314" s="1"/>
      <c r="G314" s="1769"/>
      <c r="H314" s="1"/>
      <c r="I314" s="1"/>
      <c r="J314" s="1"/>
      <c r="K314" s="20"/>
      <c r="L314" s="1788"/>
      <c r="M314" s="1772"/>
      <c r="N314" s="1772"/>
      <c r="O314" s="11"/>
    </row>
    <row r="315" spans="1:15" ht="15" customHeight="1">
      <c r="A315" s="1"/>
      <c r="B315" s="1"/>
      <c r="C315" s="1"/>
      <c r="D315" s="1"/>
      <c r="G315" s="1769"/>
      <c r="H315" s="1"/>
      <c r="I315" s="1"/>
      <c r="J315" s="1"/>
      <c r="K315" s="24"/>
      <c r="L315" s="1771"/>
      <c r="M315" s="1772"/>
      <c r="N315" s="1772"/>
      <c r="O315" s="11"/>
    </row>
    <row r="316" spans="1:15" ht="15" customHeight="1">
      <c r="A316" s="1"/>
      <c r="B316" s="1"/>
      <c r="C316" s="1"/>
      <c r="D316" s="1"/>
      <c r="G316" s="1769"/>
      <c r="H316" s="1"/>
      <c r="I316" s="1"/>
      <c r="J316" s="1"/>
      <c r="K316" s="24"/>
      <c r="L316" s="1771"/>
      <c r="M316" s="1772"/>
      <c r="N316" s="1772"/>
      <c r="O316" s="11"/>
    </row>
    <row r="317" spans="1:15" ht="15" customHeight="1">
      <c r="A317" s="1"/>
      <c r="B317" s="1"/>
      <c r="C317" s="1"/>
      <c r="D317" s="1"/>
      <c r="G317" s="1769"/>
      <c r="H317" s="1"/>
      <c r="I317" s="1"/>
      <c r="J317" s="1"/>
      <c r="K317" s="25"/>
      <c r="L317" s="1771"/>
      <c r="M317" s="1772"/>
      <c r="N317" s="1772"/>
      <c r="O317" s="11"/>
    </row>
    <row r="318" spans="1:15" ht="15" customHeight="1">
      <c r="A318" s="1"/>
      <c r="B318" s="1"/>
      <c r="C318" s="1"/>
      <c r="D318" s="1"/>
      <c r="G318" s="1769"/>
      <c r="H318" s="1"/>
      <c r="I318" s="1"/>
      <c r="J318" s="1"/>
      <c r="K318" s="24"/>
      <c r="L318" s="1771"/>
      <c r="M318" s="1772"/>
      <c r="N318" s="1772"/>
      <c r="O318" s="11"/>
    </row>
    <row r="319" spans="1:15" ht="15" customHeight="1">
      <c r="A319" s="1"/>
      <c r="B319" s="1"/>
      <c r="C319" s="1"/>
      <c r="D319" s="1"/>
      <c r="G319" s="1769"/>
      <c r="H319" s="1"/>
      <c r="I319" s="1"/>
      <c r="J319" s="1"/>
      <c r="K319" s="24"/>
      <c r="L319" s="1771"/>
      <c r="M319" s="1772"/>
      <c r="N319" s="1772"/>
      <c r="O319" s="11"/>
    </row>
    <row r="320" spans="1:15" ht="15" customHeight="1">
      <c r="A320" s="1"/>
      <c r="B320" s="1"/>
      <c r="C320" s="1"/>
      <c r="D320" s="1"/>
      <c r="G320" s="1769"/>
      <c r="H320" s="1"/>
      <c r="I320" s="1"/>
      <c r="J320" s="1"/>
      <c r="K320" s="24"/>
      <c r="L320" s="1771"/>
      <c r="M320" s="1772"/>
      <c r="N320" s="1772"/>
      <c r="O320" s="11"/>
    </row>
    <row r="321" spans="1:15" ht="15" customHeight="1">
      <c r="A321" s="1"/>
      <c r="B321" s="1"/>
      <c r="C321" s="1"/>
      <c r="D321" s="1"/>
      <c r="G321" s="1769"/>
      <c r="H321" s="1"/>
      <c r="I321" s="1"/>
      <c r="J321" s="1"/>
      <c r="K321" s="42"/>
      <c r="L321" s="1787"/>
      <c r="M321" s="1772"/>
      <c r="N321" s="1772"/>
      <c r="O321" s="11"/>
    </row>
    <row r="322" spans="1:15" ht="15" customHeight="1">
      <c r="A322" s="1"/>
      <c r="B322" s="1"/>
      <c r="C322" s="1"/>
      <c r="D322" s="1"/>
      <c r="G322" s="1769"/>
      <c r="H322" s="1"/>
      <c r="I322" s="1"/>
      <c r="J322" s="1"/>
      <c r="K322" s="20"/>
      <c r="L322" s="1768"/>
      <c r="M322" s="1772"/>
      <c r="N322" s="1772"/>
      <c r="O322" s="11"/>
    </row>
    <row r="323" spans="1:15" ht="15" customHeight="1">
      <c r="A323" s="1"/>
      <c r="B323" s="1"/>
      <c r="C323" s="1"/>
      <c r="D323" s="1"/>
      <c r="G323" s="1769"/>
      <c r="H323" s="1"/>
      <c r="I323" s="1"/>
      <c r="J323" s="1"/>
      <c r="K323" s="20"/>
      <c r="L323" s="1768"/>
      <c r="M323" s="1772"/>
      <c r="N323" s="1772"/>
      <c r="O323" s="11"/>
    </row>
    <row r="324" spans="1:15" ht="15" customHeight="1">
      <c r="A324" s="1"/>
      <c r="B324" s="1"/>
      <c r="C324" s="1"/>
      <c r="D324" s="1"/>
      <c r="G324" s="1769"/>
      <c r="H324" s="1"/>
      <c r="I324" s="1"/>
      <c r="J324" s="1"/>
      <c r="K324" s="20"/>
      <c r="L324" s="1768"/>
      <c r="M324" s="1772"/>
      <c r="N324" s="1772"/>
      <c r="O324" s="11"/>
    </row>
    <row r="325" spans="1:15" ht="15" customHeight="1">
      <c r="A325" s="1"/>
      <c r="B325" s="1"/>
      <c r="C325" s="1"/>
      <c r="D325" s="1"/>
      <c r="G325" s="1769"/>
      <c r="H325" s="1"/>
      <c r="I325" s="1"/>
      <c r="J325" s="1"/>
      <c r="K325" s="20"/>
      <c r="L325" s="1768"/>
      <c r="M325" s="1772"/>
      <c r="N325" s="1772"/>
      <c r="O325" s="11"/>
    </row>
    <row r="326" spans="1:15" ht="15" customHeight="1">
      <c r="A326" s="1"/>
      <c r="B326" s="1"/>
      <c r="C326" s="1"/>
      <c r="D326" s="1"/>
      <c r="G326" s="1769"/>
      <c r="H326" s="1"/>
      <c r="I326" s="1"/>
      <c r="J326" s="1"/>
      <c r="K326" s="20"/>
      <c r="L326" s="1768"/>
      <c r="M326" s="1772"/>
      <c r="N326" s="1772"/>
      <c r="O326" s="11"/>
    </row>
    <row r="327" spans="1:15" ht="15" customHeight="1">
      <c r="A327" s="1"/>
      <c r="B327" s="1"/>
      <c r="C327" s="1"/>
      <c r="D327" s="1"/>
      <c r="G327" s="1769"/>
      <c r="H327" s="1"/>
      <c r="I327" s="1"/>
      <c r="J327" s="1"/>
      <c r="K327" s="20"/>
      <c r="L327" s="1768"/>
      <c r="M327" s="1772"/>
      <c r="N327" s="1772"/>
      <c r="O327" s="11"/>
    </row>
    <row r="328" spans="1:15" ht="15" customHeight="1">
      <c r="A328" s="1"/>
      <c r="B328" s="1"/>
      <c r="C328" s="1"/>
      <c r="D328" s="1"/>
      <c r="G328" s="1769"/>
      <c r="H328" s="1"/>
      <c r="I328" s="1"/>
      <c r="J328" s="1"/>
      <c r="K328" s="20"/>
      <c r="L328" s="1768"/>
      <c r="M328" s="1772"/>
      <c r="N328" s="1772"/>
      <c r="O328" s="11"/>
    </row>
    <row r="329" spans="1:15" ht="15" customHeight="1">
      <c r="A329" s="1"/>
      <c r="B329" s="1"/>
      <c r="C329" s="1"/>
      <c r="D329" s="1"/>
      <c r="G329" s="1769"/>
      <c r="H329" s="1"/>
      <c r="I329" s="1"/>
      <c r="J329" s="1"/>
      <c r="K329" s="20"/>
      <c r="L329" s="1768"/>
      <c r="M329" s="1772"/>
      <c r="N329" s="1772"/>
      <c r="O329" s="11"/>
    </row>
    <row r="330" spans="1:15" ht="15" customHeight="1">
      <c r="A330" s="1"/>
      <c r="B330" s="1"/>
      <c r="C330" s="1"/>
      <c r="D330" s="1"/>
      <c r="G330" s="1769"/>
      <c r="H330" s="1"/>
      <c r="I330" s="1"/>
      <c r="J330" s="1"/>
      <c r="K330" s="20"/>
      <c r="L330" s="1768"/>
      <c r="M330" s="1772"/>
      <c r="N330" s="1772"/>
      <c r="O330" s="11"/>
    </row>
    <row r="331" spans="1:15" ht="15" customHeight="1">
      <c r="A331" s="1"/>
      <c r="B331" s="1"/>
      <c r="C331" s="1"/>
      <c r="D331" s="1"/>
      <c r="G331" s="1769"/>
      <c r="H331" s="1"/>
      <c r="I331" s="1"/>
      <c r="J331" s="1"/>
      <c r="K331" s="20"/>
      <c r="L331" s="1768"/>
      <c r="M331" s="1772"/>
      <c r="N331" s="1772"/>
      <c r="O331" s="11"/>
    </row>
    <row r="332" spans="1:15" ht="15" customHeight="1">
      <c r="A332" s="1"/>
      <c r="B332" s="1"/>
      <c r="C332" s="1"/>
      <c r="D332" s="1"/>
      <c r="G332" s="1769"/>
      <c r="H332" s="1"/>
      <c r="I332" s="1"/>
      <c r="J332" s="1"/>
      <c r="K332" s="20"/>
      <c r="L332" s="1768"/>
      <c r="M332" s="1772"/>
      <c r="N332" s="1772"/>
      <c r="O332" s="11"/>
    </row>
    <row r="333" spans="1:15" ht="15" customHeight="1">
      <c r="A333" s="1"/>
      <c r="B333" s="1"/>
      <c r="C333" s="1"/>
      <c r="D333" s="1"/>
      <c r="G333" s="1769"/>
      <c r="H333" s="1"/>
      <c r="I333" s="1"/>
      <c r="J333" s="1"/>
      <c r="K333" s="42"/>
      <c r="L333" s="1787"/>
      <c r="M333" s="1772"/>
      <c r="N333" s="1772"/>
      <c r="O333" s="11"/>
    </row>
    <row r="334" spans="1:15" ht="15" customHeight="1">
      <c r="A334" s="1"/>
      <c r="B334" s="1"/>
      <c r="C334" s="1"/>
      <c r="D334" s="1"/>
      <c r="G334" s="1769"/>
      <c r="H334" s="1"/>
      <c r="I334" s="1"/>
      <c r="J334" s="1"/>
      <c r="K334" s="43"/>
      <c r="L334" s="1789"/>
      <c r="M334" s="1772"/>
      <c r="N334" s="1772"/>
      <c r="O334" s="11"/>
    </row>
    <row r="335" spans="1:15" ht="15" customHeight="1">
      <c r="A335" s="1"/>
      <c r="B335" s="1"/>
      <c r="C335" s="1"/>
      <c r="D335" s="1"/>
      <c r="G335" s="1769"/>
      <c r="H335" s="1"/>
      <c r="I335" s="1"/>
      <c r="J335" s="1"/>
      <c r="K335" s="43"/>
      <c r="L335" s="1789"/>
      <c r="M335" s="1772"/>
      <c r="N335" s="1772"/>
      <c r="O335" s="11"/>
    </row>
    <row r="336" spans="1:15" ht="15" customHeight="1">
      <c r="A336" s="1"/>
      <c r="B336" s="1"/>
      <c r="C336" s="1"/>
      <c r="D336" s="1"/>
      <c r="G336" s="1769"/>
      <c r="H336" s="1"/>
      <c r="I336" s="1"/>
      <c r="J336" s="1"/>
      <c r="K336" s="43"/>
      <c r="L336" s="1789"/>
      <c r="M336" s="1772"/>
      <c r="N336" s="1772"/>
      <c r="O336" s="11"/>
    </row>
    <row r="337" spans="1:15" ht="15" customHeight="1">
      <c r="A337" s="1"/>
      <c r="B337" s="1"/>
      <c r="C337" s="1"/>
      <c r="D337" s="1"/>
      <c r="G337" s="1769"/>
      <c r="H337" s="1"/>
      <c r="I337" s="1"/>
      <c r="J337" s="1"/>
      <c r="K337" s="44"/>
      <c r="L337" s="1772"/>
      <c r="M337" s="1772"/>
      <c r="N337" s="1772"/>
      <c r="O337" s="11"/>
    </row>
    <row r="338" spans="1:15" ht="15" customHeight="1">
      <c r="A338" s="1"/>
      <c r="B338" s="1"/>
      <c r="C338" s="1"/>
      <c r="D338" s="1"/>
      <c r="G338" s="1769"/>
      <c r="H338" s="1"/>
      <c r="I338" s="1"/>
      <c r="J338" s="1"/>
      <c r="K338" s="42"/>
      <c r="L338" s="1790"/>
      <c r="M338" s="1772"/>
      <c r="N338" s="1772"/>
      <c r="O338" s="11"/>
    </row>
    <row r="339" spans="1:15" ht="15" customHeight="1">
      <c r="A339" s="1"/>
      <c r="B339" s="1"/>
      <c r="C339" s="1"/>
      <c r="D339" s="1"/>
      <c r="G339" s="1769"/>
      <c r="H339" s="1"/>
      <c r="I339" s="1"/>
      <c r="J339" s="1"/>
      <c r="K339" s="42"/>
      <c r="L339" s="1787"/>
      <c r="M339" s="1772"/>
      <c r="N339" s="1772"/>
      <c r="O339" s="11"/>
    </row>
    <row r="340" spans="1:15" ht="15" customHeight="1">
      <c r="A340" s="1"/>
      <c r="B340" s="1"/>
      <c r="C340" s="1"/>
      <c r="D340" s="1"/>
      <c r="G340" s="1769"/>
      <c r="H340" s="1"/>
      <c r="I340" s="1"/>
      <c r="J340" s="1"/>
      <c r="K340" s="43"/>
      <c r="L340" s="1789"/>
      <c r="M340" s="1772"/>
      <c r="N340" s="1772"/>
      <c r="O340" s="11"/>
    </row>
    <row r="341" spans="1:15" ht="15" customHeight="1">
      <c r="A341" s="1"/>
      <c r="B341" s="1"/>
      <c r="C341" s="1"/>
      <c r="D341" s="1"/>
      <c r="G341" s="1769"/>
      <c r="H341" s="1"/>
      <c r="I341" s="1"/>
      <c r="J341" s="1"/>
      <c r="K341" s="43"/>
      <c r="L341" s="1789"/>
      <c r="M341" s="1772"/>
      <c r="N341" s="1772"/>
      <c r="O341" s="11"/>
    </row>
    <row r="342" spans="1:15" ht="15" customHeight="1">
      <c r="A342" s="1"/>
      <c r="B342" s="1"/>
      <c r="C342" s="1"/>
      <c r="D342" s="1"/>
      <c r="G342" s="1769"/>
      <c r="H342" s="1"/>
      <c r="I342" s="1"/>
      <c r="J342" s="1"/>
      <c r="K342" s="44"/>
      <c r="L342" s="1772"/>
      <c r="M342" s="1772"/>
      <c r="N342" s="1772"/>
      <c r="O342" s="11"/>
    </row>
    <row r="343" spans="1:15" ht="15" customHeight="1">
      <c r="A343" s="1"/>
      <c r="B343" s="1"/>
      <c r="C343" s="1"/>
      <c r="D343" s="1"/>
      <c r="G343" s="1769"/>
      <c r="H343" s="1"/>
      <c r="I343" s="1"/>
      <c r="J343" s="1"/>
      <c r="K343" s="44"/>
      <c r="L343" s="1772"/>
      <c r="M343" s="1772"/>
      <c r="N343" s="1772"/>
      <c r="O343" s="11"/>
    </row>
    <row r="344" spans="1:15" ht="15" customHeight="1">
      <c r="A344" s="1"/>
      <c r="B344" s="1"/>
      <c r="C344" s="1"/>
      <c r="D344" s="1"/>
      <c r="G344" s="1769"/>
      <c r="H344" s="1"/>
      <c r="I344" s="1"/>
      <c r="J344" s="1"/>
      <c r="K344" s="44"/>
      <c r="L344" s="1772"/>
      <c r="M344" s="1772"/>
      <c r="N344" s="1772"/>
      <c r="O344" s="11"/>
    </row>
    <row r="345" spans="1:15" ht="15" customHeight="1">
      <c r="A345" s="1"/>
      <c r="B345" s="1"/>
      <c r="C345" s="1"/>
      <c r="D345" s="1"/>
      <c r="G345" s="1769"/>
      <c r="H345" s="1"/>
      <c r="I345" s="1"/>
      <c r="J345" s="1"/>
      <c r="K345" s="44"/>
      <c r="L345" s="1772"/>
      <c r="M345" s="1772"/>
      <c r="N345" s="1772"/>
      <c r="O345" s="11"/>
    </row>
    <row r="346" spans="1:15" ht="15" customHeight="1">
      <c r="A346" s="1"/>
      <c r="B346" s="1"/>
      <c r="C346" s="1"/>
      <c r="D346" s="1"/>
      <c r="G346" s="1769"/>
      <c r="H346" s="1"/>
      <c r="I346" s="1"/>
      <c r="J346" s="1"/>
      <c r="K346" s="44"/>
      <c r="L346" s="1772"/>
      <c r="M346" s="1772"/>
      <c r="N346" s="1772"/>
      <c r="O346" s="11"/>
    </row>
    <row r="347" spans="1:15" ht="15" customHeight="1">
      <c r="A347" s="1"/>
      <c r="B347" s="1"/>
      <c r="C347" s="1"/>
      <c r="D347" s="1"/>
      <c r="G347" s="1769"/>
      <c r="H347" s="1"/>
      <c r="I347" s="1"/>
      <c r="J347" s="1"/>
      <c r="K347" s="20"/>
      <c r="L347" s="1768"/>
      <c r="M347" s="1772"/>
      <c r="N347" s="1772"/>
      <c r="O347" s="11"/>
    </row>
    <row r="348" spans="1:15" ht="15" customHeight="1">
      <c r="A348" s="1"/>
      <c r="B348" s="1"/>
      <c r="C348" s="1"/>
      <c r="D348" s="1"/>
      <c r="G348" s="1769"/>
      <c r="H348" s="1"/>
      <c r="I348" s="1"/>
      <c r="J348" s="1"/>
      <c r="K348" s="24"/>
      <c r="L348" s="1771"/>
      <c r="M348" s="1772"/>
      <c r="N348" s="1772"/>
      <c r="O348" s="11"/>
    </row>
    <row r="349" spans="1:15" ht="15" customHeight="1">
      <c r="A349" s="1"/>
      <c r="B349" s="1"/>
      <c r="C349" s="1"/>
      <c r="D349" s="1"/>
      <c r="G349" s="1769"/>
      <c r="H349" s="1"/>
      <c r="I349" s="1"/>
      <c r="J349" s="1"/>
      <c r="K349" s="24"/>
      <c r="L349" s="1771"/>
      <c r="M349" s="1772"/>
      <c r="N349" s="1772"/>
      <c r="O349" s="11"/>
    </row>
    <row r="350" spans="1:15" ht="15" customHeight="1">
      <c r="A350" s="1"/>
      <c r="B350" s="1"/>
      <c r="C350" s="1"/>
      <c r="D350" s="1"/>
      <c r="G350" s="1769"/>
      <c r="H350" s="1"/>
      <c r="I350" s="1"/>
      <c r="J350" s="1"/>
      <c r="K350" s="44"/>
      <c r="L350" s="1791"/>
      <c r="M350" s="1769"/>
      <c r="N350" s="1769"/>
    </row>
    <row r="351" spans="1:15" ht="15" customHeight="1">
      <c r="A351" s="1"/>
      <c r="B351" s="1"/>
      <c r="C351" s="1"/>
      <c r="D351" s="1"/>
      <c r="G351" s="1769"/>
      <c r="H351" s="1"/>
      <c r="I351" s="1"/>
      <c r="J351" s="1"/>
      <c r="L351" s="1769"/>
      <c r="M351" s="1769"/>
      <c r="N351" s="1769"/>
    </row>
    <row r="352" spans="1:15" ht="15" customHeight="1">
      <c r="A352" s="1"/>
      <c r="B352" s="1"/>
      <c r="C352" s="1"/>
      <c r="D352" s="1"/>
      <c r="G352" s="1769"/>
      <c r="H352" s="1"/>
      <c r="I352" s="1"/>
      <c r="J352" s="1"/>
      <c r="L352" s="1769"/>
      <c r="M352" s="1769"/>
      <c r="N352" s="1769"/>
    </row>
    <row r="353" spans="1:15" ht="15" customHeight="1">
      <c r="A353" s="1"/>
      <c r="B353" s="1"/>
      <c r="C353" s="1"/>
      <c r="D353" s="1"/>
      <c r="G353" s="1769"/>
      <c r="H353" s="1"/>
      <c r="I353" s="1"/>
      <c r="J353" s="1"/>
      <c r="L353" s="1769"/>
      <c r="M353" s="1769"/>
      <c r="N353" s="1769"/>
    </row>
    <row r="354" spans="1:15" ht="15" customHeight="1">
      <c r="A354" s="1"/>
      <c r="B354" s="1"/>
      <c r="C354" s="1"/>
      <c r="D354" s="1"/>
      <c r="G354" s="1769"/>
      <c r="H354" s="1"/>
      <c r="I354" s="1"/>
      <c r="J354" s="1"/>
      <c r="L354" s="1769"/>
      <c r="M354" s="1769"/>
      <c r="N354" s="1769"/>
    </row>
    <row r="355" spans="1:15" ht="15" customHeight="1">
      <c r="A355" s="1"/>
      <c r="B355" s="1"/>
      <c r="C355" s="1"/>
      <c r="D355" s="1"/>
      <c r="G355" s="1769"/>
      <c r="H355" s="1"/>
      <c r="I355" s="1"/>
      <c r="J355" s="1"/>
      <c r="L355" s="1769"/>
      <c r="M355" s="1769"/>
      <c r="N355" s="1769"/>
    </row>
    <row r="356" spans="1:15" ht="15" customHeight="1">
      <c r="A356" s="1"/>
      <c r="B356" s="1"/>
      <c r="C356" s="1"/>
      <c r="D356" s="1"/>
      <c r="G356" s="1769"/>
      <c r="H356" s="1"/>
      <c r="I356" s="1"/>
      <c r="J356" s="1"/>
      <c r="L356" s="1769"/>
      <c r="M356" s="1772"/>
      <c r="N356" s="1772"/>
      <c r="O356" s="11"/>
    </row>
    <row r="357" spans="1:15" ht="15" customHeight="1">
      <c r="A357" s="1"/>
      <c r="B357" s="1"/>
      <c r="C357" s="1"/>
      <c r="D357" s="1"/>
      <c r="G357" s="1769"/>
      <c r="H357" s="1"/>
      <c r="I357" s="1"/>
      <c r="J357" s="1"/>
      <c r="L357" s="1769"/>
      <c r="M357" s="1772"/>
      <c r="N357" s="1772"/>
      <c r="O357" s="11"/>
    </row>
    <row r="358" spans="1:15" ht="15" customHeight="1">
      <c r="A358" s="1"/>
      <c r="B358" s="1"/>
      <c r="C358" s="1"/>
      <c r="D358" s="1"/>
      <c r="G358" s="1769"/>
      <c r="H358" s="1"/>
      <c r="I358" s="1"/>
      <c r="J358" s="1"/>
      <c r="L358" s="1769"/>
      <c r="M358" s="1772"/>
      <c r="N358" s="1772"/>
      <c r="O358" s="11"/>
    </row>
    <row r="359" spans="1:15" ht="15" customHeight="1">
      <c r="A359" s="1"/>
      <c r="B359" s="1"/>
      <c r="C359" s="1"/>
      <c r="D359" s="1"/>
      <c r="G359" s="1769"/>
      <c r="H359" s="1"/>
      <c r="I359" s="1"/>
      <c r="J359" s="1"/>
      <c r="L359" s="1769"/>
      <c r="M359" s="1772"/>
      <c r="N359" s="1772"/>
      <c r="O359" s="11"/>
    </row>
    <row r="360" spans="1:15" ht="15" customHeight="1">
      <c r="A360" s="1"/>
      <c r="B360" s="1"/>
      <c r="C360" s="1"/>
      <c r="D360" s="1"/>
      <c r="G360" s="1769"/>
      <c r="H360" s="1"/>
      <c r="I360" s="1"/>
      <c r="J360" s="1"/>
      <c r="L360" s="1769"/>
      <c r="M360" s="1772"/>
      <c r="N360" s="1772"/>
      <c r="O360" s="11"/>
    </row>
    <row r="361" spans="1:15" ht="15" customHeight="1">
      <c r="A361" s="1"/>
      <c r="B361" s="1"/>
      <c r="C361" s="1"/>
      <c r="D361" s="1"/>
      <c r="G361" s="1769"/>
      <c r="H361" s="1"/>
      <c r="I361" s="1"/>
      <c r="J361" s="1"/>
      <c r="L361" s="1769"/>
      <c r="M361" s="1772"/>
      <c r="N361" s="1772"/>
      <c r="O361" s="11"/>
    </row>
    <row r="362" spans="1:15" ht="15" customHeight="1">
      <c r="A362" s="1"/>
      <c r="B362" s="1"/>
      <c r="C362" s="1"/>
      <c r="D362" s="1"/>
      <c r="G362" s="1769"/>
      <c r="H362" s="1"/>
      <c r="I362" s="1"/>
      <c r="J362" s="1"/>
      <c r="L362" s="1769"/>
      <c r="M362" s="1772"/>
      <c r="N362" s="1772"/>
      <c r="O362" s="11"/>
    </row>
    <row r="363" spans="1:15" ht="15" customHeight="1">
      <c r="A363" s="1"/>
      <c r="B363" s="1"/>
      <c r="C363" s="1"/>
      <c r="D363" s="1"/>
      <c r="G363" s="1769"/>
      <c r="H363" s="1"/>
      <c r="I363" s="1"/>
      <c r="J363" s="1"/>
      <c r="L363" s="1769"/>
      <c r="M363" s="1772"/>
      <c r="N363" s="1772"/>
      <c r="O363" s="11"/>
    </row>
    <row r="364" spans="1:15" ht="15" customHeight="1">
      <c r="A364" s="1"/>
      <c r="B364" s="1"/>
      <c r="C364" s="1"/>
      <c r="D364" s="1"/>
      <c r="G364" s="1769"/>
      <c r="H364" s="1"/>
      <c r="I364" s="1"/>
      <c r="J364" s="1"/>
      <c r="L364" s="1769"/>
      <c r="M364" s="1772"/>
      <c r="N364" s="1772"/>
      <c r="O364" s="11"/>
    </row>
    <row r="365" spans="1:15" ht="15" customHeight="1">
      <c r="A365" s="1"/>
      <c r="B365" s="1"/>
      <c r="C365" s="1"/>
      <c r="D365" s="1"/>
      <c r="G365" s="1769"/>
      <c r="H365" s="1"/>
      <c r="I365" s="1"/>
      <c r="J365" s="1"/>
      <c r="L365" s="1769"/>
      <c r="M365" s="1772"/>
      <c r="N365" s="1772"/>
      <c r="O365" s="11"/>
    </row>
    <row r="366" spans="1:15" ht="15" customHeight="1">
      <c r="A366" s="1"/>
      <c r="B366" s="1"/>
      <c r="C366" s="1"/>
      <c r="D366" s="1"/>
      <c r="G366" s="1769"/>
      <c r="H366" s="1"/>
      <c r="I366" s="1"/>
      <c r="J366" s="1"/>
      <c r="L366" s="1769"/>
      <c r="M366" s="1772"/>
      <c r="N366" s="1772"/>
      <c r="O366" s="11"/>
    </row>
    <row r="367" spans="1:15" ht="15" customHeight="1">
      <c r="A367" s="1"/>
      <c r="B367" s="1"/>
      <c r="C367" s="1"/>
      <c r="D367" s="1"/>
      <c r="G367" s="1769"/>
      <c r="H367" s="1"/>
      <c r="I367" s="1"/>
      <c r="J367" s="1"/>
      <c r="L367" s="1769"/>
      <c r="M367" s="1772"/>
      <c r="N367" s="1772"/>
      <c r="O367" s="11"/>
    </row>
    <row r="368" spans="1:15" ht="15" customHeight="1">
      <c r="A368" s="1"/>
      <c r="B368" s="1"/>
      <c r="C368" s="1"/>
      <c r="D368" s="1"/>
      <c r="G368" s="1769"/>
      <c r="H368" s="1"/>
      <c r="I368" s="1"/>
      <c r="J368" s="1"/>
      <c r="L368" s="1769"/>
      <c r="M368" s="1772"/>
      <c r="N368" s="1772"/>
      <c r="O368" s="11"/>
    </row>
    <row r="369" spans="1:15" ht="15" customHeight="1">
      <c r="A369" s="1"/>
      <c r="B369" s="1"/>
      <c r="C369" s="1"/>
      <c r="D369" s="1"/>
      <c r="G369" s="1769"/>
      <c r="H369" s="1"/>
      <c r="I369" s="1"/>
      <c r="J369" s="1"/>
      <c r="L369" s="1769"/>
      <c r="M369" s="1772"/>
      <c r="N369" s="1772"/>
      <c r="O369" s="11"/>
    </row>
    <row r="370" spans="1:15" ht="15" customHeight="1">
      <c r="A370" s="1"/>
      <c r="B370" s="1"/>
      <c r="C370" s="1"/>
      <c r="D370" s="1"/>
      <c r="G370" s="1769"/>
      <c r="H370" s="1"/>
      <c r="I370" s="1"/>
      <c r="J370" s="1"/>
      <c r="L370" s="1769"/>
      <c r="M370" s="1772"/>
      <c r="N370" s="1772"/>
      <c r="O370" s="11"/>
    </row>
    <row r="371" spans="1:15" ht="15" customHeight="1">
      <c r="A371" s="1"/>
      <c r="B371" s="1"/>
      <c r="C371" s="1"/>
      <c r="D371" s="1"/>
      <c r="G371" s="1769"/>
      <c r="H371" s="1"/>
      <c r="I371" s="1"/>
      <c r="J371" s="1"/>
      <c r="L371" s="1769"/>
      <c r="M371" s="1772"/>
      <c r="N371" s="1772"/>
      <c r="O371" s="11"/>
    </row>
    <row r="372" spans="1:15" ht="15" customHeight="1">
      <c r="A372" s="1"/>
      <c r="B372" s="1"/>
      <c r="C372" s="1"/>
      <c r="D372" s="1"/>
      <c r="G372" s="1769"/>
      <c r="H372" s="1"/>
      <c r="I372" s="1"/>
      <c r="J372" s="1"/>
      <c r="L372" s="1769"/>
      <c r="M372" s="1772"/>
      <c r="N372" s="1772"/>
      <c r="O372" s="11"/>
    </row>
    <row r="373" spans="1:15" ht="15" customHeight="1">
      <c r="A373" s="1"/>
      <c r="B373" s="1"/>
      <c r="C373" s="1"/>
      <c r="D373" s="1"/>
      <c r="G373" s="1769"/>
      <c r="H373" s="1"/>
      <c r="I373" s="1"/>
      <c r="J373" s="1"/>
      <c r="L373" s="1769"/>
      <c r="M373" s="1772"/>
      <c r="N373" s="1772"/>
      <c r="O373" s="11"/>
    </row>
    <row r="374" spans="1:15" ht="15" customHeight="1">
      <c r="A374" s="1"/>
      <c r="B374" s="1"/>
      <c r="C374" s="1"/>
      <c r="D374" s="1"/>
      <c r="G374" s="1769"/>
      <c r="H374" s="1"/>
      <c r="I374" s="1"/>
      <c r="J374" s="1"/>
      <c r="L374" s="1769"/>
      <c r="M374" s="1772"/>
      <c r="N374" s="1772"/>
      <c r="O374" s="11"/>
    </row>
    <row r="375" spans="1:15" ht="15" customHeight="1">
      <c r="A375" s="1"/>
      <c r="B375" s="1"/>
      <c r="C375" s="1"/>
      <c r="D375" s="1"/>
      <c r="G375" s="1769"/>
      <c r="H375" s="1"/>
      <c r="I375" s="1"/>
      <c r="J375" s="1"/>
      <c r="L375" s="1769"/>
      <c r="M375" s="1772"/>
      <c r="N375" s="1772"/>
      <c r="O375" s="11"/>
    </row>
    <row r="376" spans="1:15" ht="15" customHeight="1">
      <c r="A376" s="1"/>
      <c r="B376" s="1"/>
      <c r="C376" s="1"/>
      <c r="D376" s="1"/>
      <c r="G376" s="1769"/>
      <c r="H376" s="1"/>
      <c r="I376" s="1"/>
      <c r="J376" s="1"/>
      <c r="L376" s="1769"/>
      <c r="M376" s="1772"/>
      <c r="N376" s="1772"/>
      <c r="O376" s="11"/>
    </row>
    <row r="377" spans="1:15" ht="15" customHeight="1">
      <c r="A377" s="1"/>
      <c r="B377" s="1"/>
      <c r="C377" s="1"/>
      <c r="D377" s="1"/>
      <c r="G377" s="1769"/>
      <c r="H377" s="1"/>
      <c r="I377" s="1"/>
      <c r="J377" s="1"/>
      <c r="L377" s="1769"/>
      <c r="M377" s="1772"/>
      <c r="N377" s="1772"/>
      <c r="O377" s="11"/>
    </row>
    <row r="378" spans="1:15" ht="15" customHeight="1">
      <c r="A378" s="1"/>
      <c r="B378" s="1"/>
      <c r="C378" s="1"/>
      <c r="D378" s="1"/>
      <c r="G378" s="1769"/>
      <c r="H378" s="1"/>
      <c r="I378" s="1"/>
      <c r="J378" s="1"/>
      <c r="L378" s="1769"/>
      <c r="M378" s="1772"/>
      <c r="N378" s="1772"/>
      <c r="O378" s="11"/>
    </row>
    <row r="379" spans="1:15" ht="15" customHeight="1">
      <c r="A379" s="1"/>
      <c r="B379" s="1"/>
      <c r="C379" s="1"/>
      <c r="D379" s="1"/>
      <c r="G379" s="1769"/>
      <c r="H379" s="1"/>
      <c r="I379" s="1"/>
      <c r="J379" s="1"/>
      <c r="L379" s="1769"/>
      <c r="M379" s="1772"/>
      <c r="N379" s="1772"/>
      <c r="O379" s="11"/>
    </row>
    <row r="380" spans="1:15" ht="15" customHeight="1">
      <c r="A380" s="1"/>
      <c r="B380" s="1"/>
      <c r="C380" s="1"/>
      <c r="D380" s="1"/>
      <c r="G380" s="1769"/>
      <c r="H380" s="1"/>
      <c r="I380" s="1"/>
      <c r="J380" s="1"/>
      <c r="L380" s="1769"/>
      <c r="M380" s="1772"/>
      <c r="N380" s="1772"/>
      <c r="O380" s="11"/>
    </row>
    <row r="381" spans="1:15" ht="15" customHeight="1">
      <c r="A381" s="1"/>
      <c r="B381" s="1"/>
      <c r="C381" s="1"/>
      <c r="D381" s="1"/>
      <c r="G381" s="1769"/>
      <c r="H381" s="1"/>
      <c r="I381" s="1"/>
      <c r="J381" s="1"/>
      <c r="L381" s="1769"/>
      <c r="M381" s="1772"/>
      <c r="N381" s="1772"/>
      <c r="O381" s="11"/>
    </row>
    <row r="382" spans="1:15" ht="15" customHeight="1">
      <c r="A382" s="1"/>
      <c r="B382" s="1"/>
      <c r="C382" s="1"/>
      <c r="D382" s="1"/>
      <c r="G382" s="1769"/>
      <c r="H382" s="1"/>
      <c r="I382" s="1"/>
      <c r="J382" s="1"/>
      <c r="L382" s="1769"/>
      <c r="M382" s="1772"/>
      <c r="N382" s="1772"/>
      <c r="O382" s="11"/>
    </row>
    <row r="383" spans="1:15" ht="15" customHeight="1">
      <c r="A383" s="1"/>
      <c r="B383" s="1"/>
      <c r="C383" s="1"/>
      <c r="D383" s="1"/>
      <c r="G383" s="1769"/>
      <c r="H383" s="1"/>
      <c r="I383" s="1"/>
      <c r="J383" s="1"/>
      <c r="L383" s="1769"/>
      <c r="M383" s="1772"/>
      <c r="N383" s="1772"/>
      <c r="O383" s="11"/>
    </row>
    <row r="384" spans="1:15" ht="15" customHeight="1">
      <c r="A384" s="1"/>
      <c r="B384" s="1"/>
      <c r="C384" s="1"/>
      <c r="D384" s="1"/>
      <c r="G384" s="1769"/>
      <c r="H384" s="1"/>
      <c r="I384" s="1"/>
      <c r="J384" s="1"/>
      <c r="L384" s="1769"/>
      <c r="M384" s="1772"/>
      <c r="N384" s="1772"/>
      <c r="O384" s="11"/>
    </row>
    <row r="385" spans="1:15" ht="15" customHeight="1">
      <c r="A385" s="1"/>
      <c r="B385" s="1"/>
      <c r="C385" s="1"/>
      <c r="D385" s="1"/>
      <c r="G385" s="1769"/>
      <c r="H385" s="1"/>
      <c r="I385" s="1"/>
      <c r="J385" s="1"/>
      <c r="L385" s="1769"/>
      <c r="M385" s="1772"/>
      <c r="N385" s="1772"/>
      <c r="O385" s="11"/>
    </row>
    <row r="386" spans="1:15" ht="15" customHeight="1">
      <c r="A386" s="1"/>
      <c r="B386" s="1"/>
      <c r="C386" s="1"/>
      <c r="D386" s="1"/>
      <c r="G386" s="1769"/>
      <c r="H386" s="1"/>
      <c r="I386" s="1"/>
      <c r="J386" s="1"/>
      <c r="L386" s="1769"/>
      <c r="M386" s="1772"/>
      <c r="N386" s="1772"/>
      <c r="O386" s="11"/>
    </row>
    <row r="387" spans="1:15" ht="15" customHeight="1">
      <c r="A387" s="1"/>
      <c r="B387" s="1"/>
      <c r="C387" s="1"/>
      <c r="D387" s="1"/>
      <c r="G387" s="1769"/>
      <c r="H387" s="1"/>
      <c r="I387" s="1"/>
      <c r="J387" s="1"/>
      <c r="L387" s="1769"/>
      <c r="M387" s="1772"/>
      <c r="N387" s="1772"/>
      <c r="O387" s="11"/>
    </row>
    <row r="388" spans="1:15" ht="15" customHeight="1">
      <c r="A388" s="1"/>
      <c r="B388" s="1"/>
      <c r="C388" s="1"/>
      <c r="D388" s="1"/>
      <c r="G388" s="1769"/>
      <c r="H388" s="1"/>
      <c r="I388" s="1"/>
      <c r="J388" s="1"/>
      <c r="L388" s="1769"/>
      <c r="M388" s="1772"/>
      <c r="N388" s="1772"/>
      <c r="O388" s="11"/>
    </row>
    <row r="389" spans="1:15" ht="15" customHeight="1">
      <c r="A389" s="1"/>
      <c r="B389" s="1"/>
      <c r="C389" s="1"/>
      <c r="D389" s="1"/>
      <c r="G389" s="1769"/>
      <c r="H389" s="1"/>
      <c r="I389" s="1"/>
      <c r="J389" s="1"/>
      <c r="L389" s="1769"/>
      <c r="M389" s="1772"/>
      <c r="N389" s="1772"/>
      <c r="O389" s="11"/>
    </row>
    <row r="390" spans="1:15" ht="15" customHeight="1">
      <c r="A390" s="1"/>
      <c r="B390" s="1"/>
      <c r="C390" s="1"/>
      <c r="D390" s="1"/>
      <c r="G390" s="1769"/>
      <c r="H390" s="1"/>
      <c r="I390" s="1"/>
      <c r="J390" s="1"/>
      <c r="L390" s="1769"/>
      <c r="M390" s="1772"/>
      <c r="N390" s="1772"/>
      <c r="O390" s="11"/>
    </row>
    <row r="391" spans="1:15" ht="15" customHeight="1">
      <c r="A391" s="1"/>
      <c r="B391" s="1"/>
      <c r="C391" s="1"/>
      <c r="D391" s="1"/>
      <c r="G391" s="1769"/>
      <c r="H391" s="1"/>
      <c r="I391" s="1"/>
      <c r="J391" s="1"/>
      <c r="L391" s="1769"/>
      <c r="M391" s="1772"/>
      <c r="N391" s="1772"/>
      <c r="O391" s="11"/>
    </row>
    <row r="392" spans="1:15" ht="15" customHeight="1">
      <c r="A392" s="1"/>
      <c r="B392" s="1"/>
      <c r="C392" s="1"/>
      <c r="D392" s="1"/>
      <c r="G392" s="1769"/>
      <c r="H392" s="1"/>
      <c r="I392" s="1"/>
      <c r="J392" s="1"/>
      <c r="L392" s="1769"/>
      <c r="M392" s="1772"/>
      <c r="N392" s="1772"/>
      <c r="O392" s="11"/>
    </row>
    <row r="393" spans="1:15" ht="15" customHeight="1">
      <c r="A393" s="1"/>
      <c r="B393" s="1"/>
      <c r="C393" s="1"/>
      <c r="D393" s="1"/>
      <c r="G393" s="1769"/>
      <c r="H393" s="1"/>
      <c r="I393" s="1"/>
      <c r="J393" s="1"/>
      <c r="L393" s="1769"/>
      <c r="M393" s="1772"/>
      <c r="N393" s="1772"/>
      <c r="O393" s="11"/>
    </row>
    <row r="394" spans="1:15" ht="15" customHeight="1">
      <c r="A394" s="1"/>
      <c r="B394" s="1"/>
      <c r="C394" s="1"/>
      <c r="D394" s="1"/>
      <c r="G394" s="1769"/>
      <c r="H394" s="1"/>
      <c r="I394" s="1"/>
      <c r="J394" s="1"/>
      <c r="L394" s="1769"/>
      <c r="M394" s="1772"/>
      <c r="N394" s="1772"/>
      <c r="O394" s="11"/>
    </row>
    <row r="395" spans="1:15" ht="15" customHeight="1">
      <c r="A395" s="1"/>
      <c r="B395" s="1"/>
      <c r="C395" s="1"/>
      <c r="D395" s="1"/>
      <c r="G395" s="1769"/>
      <c r="H395" s="1"/>
      <c r="I395" s="1"/>
      <c r="J395" s="1"/>
      <c r="L395" s="1769"/>
      <c r="M395" s="1772"/>
      <c r="N395" s="1772"/>
      <c r="O395" s="11"/>
    </row>
    <row r="396" spans="1:15" ht="15" customHeight="1">
      <c r="A396" s="1"/>
      <c r="B396" s="1"/>
      <c r="C396" s="1"/>
      <c r="D396" s="1"/>
      <c r="G396" s="1769"/>
      <c r="H396" s="1"/>
      <c r="I396" s="1"/>
      <c r="J396" s="1"/>
      <c r="L396" s="1769"/>
      <c r="M396" s="1772"/>
      <c r="N396" s="1772"/>
      <c r="O396" s="11"/>
    </row>
    <row r="397" spans="1:15" ht="15" customHeight="1">
      <c r="A397" s="1"/>
      <c r="B397" s="1"/>
      <c r="C397" s="1"/>
      <c r="D397" s="1"/>
      <c r="G397" s="1769"/>
      <c r="H397" s="1"/>
      <c r="I397" s="1"/>
      <c r="J397" s="1"/>
      <c r="L397" s="1769"/>
      <c r="M397" s="1772"/>
      <c r="N397" s="1772"/>
      <c r="O397" s="11"/>
    </row>
    <row r="398" spans="1:15" ht="15" customHeight="1">
      <c r="A398" s="1"/>
      <c r="B398" s="1"/>
      <c r="C398" s="1"/>
      <c r="D398" s="1"/>
      <c r="G398" s="1769"/>
      <c r="H398" s="1"/>
      <c r="I398" s="1"/>
      <c r="J398" s="1"/>
      <c r="L398" s="1769"/>
      <c r="M398" s="1772"/>
      <c r="N398" s="1772"/>
      <c r="O398" s="11"/>
    </row>
    <row r="399" spans="1:15" ht="15" customHeight="1">
      <c r="A399" s="1"/>
      <c r="B399" s="1"/>
      <c r="C399" s="1"/>
      <c r="D399" s="1"/>
      <c r="G399" s="1769"/>
      <c r="H399" s="1"/>
      <c r="I399" s="1"/>
      <c r="J399" s="1"/>
      <c r="L399" s="1769"/>
      <c r="M399" s="1772"/>
      <c r="N399" s="1772"/>
      <c r="O399" s="11"/>
    </row>
    <row r="400" spans="1:15" ht="15" customHeight="1">
      <c r="A400" s="1"/>
      <c r="B400" s="1"/>
      <c r="C400" s="1"/>
      <c r="D400" s="1"/>
      <c r="G400" s="1769"/>
      <c r="H400" s="1"/>
      <c r="I400" s="1"/>
      <c r="J400" s="1"/>
      <c r="L400" s="1769"/>
      <c r="M400" s="1772"/>
      <c r="N400" s="1772"/>
      <c r="O400" s="11"/>
    </row>
    <row r="401" spans="1:15" ht="15" customHeight="1">
      <c r="A401" s="1"/>
      <c r="B401" s="1"/>
      <c r="C401" s="1"/>
      <c r="D401" s="1"/>
      <c r="G401" s="1769"/>
      <c r="H401" s="1"/>
      <c r="I401" s="1"/>
      <c r="J401" s="1"/>
      <c r="L401" s="1769"/>
      <c r="M401" s="1772"/>
      <c r="N401" s="1772"/>
      <c r="O401" s="11"/>
    </row>
    <row r="402" spans="1:15" ht="15" customHeight="1">
      <c r="A402" s="1"/>
      <c r="B402" s="1"/>
      <c r="C402" s="1"/>
      <c r="D402" s="1"/>
      <c r="G402" s="1769"/>
      <c r="H402" s="1"/>
      <c r="I402" s="1"/>
      <c r="J402" s="1"/>
      <c r="L402" s="1769"/>
      <c r="M402" s="1772"/>
      <c r="N402" s="1772"/>
      <c r="O402" s="11"/>
    </row>
    <row r="403" spans="1:15" ht="15" customHeight="1">
      <c r="A403" s="1"/>
      <c r="B403" s="1"/>
      <c r="C403" s="1"/>
      <c r="D403" s="1"/>
      <c r="G403" s="1769"/>
      <c r="H403" s="1"/>
      <c r="I403" s="1"/>
      <c r="J403" s="1"/>
      <c r="L403" s="1769"/>
      <c r="M403" s="1772"/>
      <c r="N403" s="1772"/>
      <c r="O403" s="11"/>
    </row>
    <row r="404" spans="1:15" ht="15" customHeight="1">
      <c r="A404" s="1"/>
      <c r="B404" s="1"/>
      <c r="C404" s="1"/>
      <c r="D404" s="1"/>
      <c r="G404" s="1769"/>
      <c r="H404" s="1"/>
      <c r="I404" s="1"/>
      <c r="J404" s="1"/>
      <c r="L404" s="1769"/>
      <c r="M404" s="1772"/>
      <c r="N404" s="1772"/>
      <c r="O404" s="11"/>
    </row>
    <row r="405" spans="1:15" ht="15" customHeight="1">
      <c r="A405" s="1"/>
      <c r="B405" s="1"/>
      <c r="C405" s="1"/>
      <c r="D405" s="1"/>
      <c r="G405" s="1"/>
      <c r="H405" s="1"/>
      <c r="I405" s="1"/>
      <c r="J405" s="1"/>
      <c r="L405" s="1769"/>
      <c r="M405" s="1772"/>
      <c r="N405" s="1772"/>
      <c r="O405" s="11"/>
    </row>
    <row r="406" spans="1:15" ht="15" customHeight="1">
      <c r="A406" s="1"/>
      <c r="B406" s="1"/>
      <c r="C406" s="1"/>
      <c r="D406" s="1"/>
      <c r="G406" s="1"/>
      <c r="H406" s="1"/>
      <c r="I406" s="1"/>
      <c r="J406" s="1"/>
      <c r="L406" s="1769"/>
      <c r="M406" s="1772"/>
      <c r="N406" s="1772"/>
      <c r="O406" s="11"/>
    </row>
    <row r="407" spans="1:15" ht="15" customHeight="1">
      <c r="A407" s="1"/>
      <c r="B407" s="1"/>
      <c r="C407" s="1"/>
      <c r="D407" s="1"/>
      <c r="G407" s="1"/>
      <c r="H407" s="1"/>
      <c r="I407" s="1"/>
      <c r="J407" s="1"/>
      <c r="L407" s="1769"/>
      <c r="M407" s="1772"/>
      <c r="N407" s="1772"/>
      <c r="O407" s="11"/>
    </row>
    <row r="408" spans="1:15" ht="15" customHeight="1">
      <c r="A408" s="1"/>
      <c r="B408" s="1"/>
      <c r="C408" s="1"/>
      <c r="D408" s="1"/>
      <c r="G408" s="1"/>
      <c r="H408" s="1"/>
      <c r="I408" s="1"/>
      <c r="J408" s="1"/>
      <c r="L408" s="1769"/>
      <c r="M408" s="1772"/>
      <c r="N408" s="1772"/>
      <c r="O408" s="11"/>
    </row>
    <row r="409" spans="1:15" ht="15" customHeight="1">
      <c r="A409" s="1"/>
      <c r="B409" s="1"/>
      <c r="C409" s="1"/>
      <c r="D409" s="1"/>
      <c r="G409" s="1"/>
      <c r="H409" s="1"/>
      <c r="I409" s="1"/>
      <c r="J409" s="1"/>
      <c r="L409" s="1769"/>
      <c r="M409" s="1772"/>
      <c r="N409" s="1772"/>
      <c r="O409" s="11"/>
    </row>
    <row r="410" spans="1:15" ht="15" customHeight="1">
      <c r="A410" s="1"/>
      <c r="B410" s="1"/>
      <c r="C410" s="1"/>
      <c r="D410" s="1"/>
      <c r="G410" s="1"/>
      <c r="H410" s="1"/>
      <c r="I410" s="1"/>
      <c r="J410" s="1"/>
      <c r="L410" s="1769"/>
      <c r="M410" s="1772"/>
      <c r="N410" s="1772"/>
      <c r="O410" s="11"/>
    </row>
    <row r="411" spans="1:15" ht="15" customHeight="1">
      <c r="A411" s="1"/>
      <c r="B411" s="1"/>
      <c r="C411" s="1"/>
      <c r="D411" s="1"/>
      <c r="G411" s="1"/>
      <c r="H411" s="1"/>
      <c r="I411" s="1"/>
      <c r="J411" s="1"/>
      <c r="K411" s="13"/>
      <c r="L411" s="1792"/>
      <c r="M411" s="1772"/>
      <c r="N411" s="1772"/>
      <c r="O411" s="11"/>
    </row>
    <row r="412" spans="1:15" ht="15" customHeight="1">
      <c r="A412" s="1"/>
      <c r="B412" s="1"/>
      <c r="C412" s="1"/>
      <c r="D412" s="1"/>
      <c r="G412" s="1"/>
      <c r="H412" s="1"/>
      <c r="I412" s="1"/>
      <c r="J412" s="1"/>
      <c r="L412" s="1769"/>
      <c r="M412" s="1772"/>
      <c r="N412" s="1772"/>
      <c r="O412" s="11"/>
    </row>
    <row r="413" spans="1:15" ht="15" customHeight="1">
      <c r="A413" s="1"/>
      <c r="B413" s="1"/>
      <c r="C413" s="1"/>
      <c r="D413" s="1"/>
      <c r="G413" s="1"/>
      <c r="H413" s="1"/>
      <c r="I413" s="1"/>
      <c r="J413" s="1"/>
      <c r="L413" s="1769"/>
      <c r="M413" s="1769"/>
      <c r="N413" s="1769"/>
    </row>
    <row r="414" spans="1:15" ht="15" customHeight="1">
      <c r="A414" s="1"/>
      <c r="B414" s="1"/>
      <c r="C414" s="1"/>
      <c r="D414" s="1"/>
      <c r="G414" s="1"/>
      <c r="H414" s="1"/>
      <c r="I414" s="1"/>
      <c r="J414" s="1"/>
      <c r="L414" s="1769"/>
      <c r="M414" s="1769"/>
      <c r="N414" s="1769"/>
    </row>
    <row r="415" spans="1:15" ht="15" customHeight="1">
      <c r="A415" s="1"/>
      <c r="B415" s="1"/>
      <c r="C415" s="1"/>
      <c r="D415" s="1"/>
      <c r="G415" s="1"/>
      <c r="H415" s="1"/>
      <c r="I415" s="1"/>
      <c r="J415" s="1"/>
      <c r="L415" s="1769"/>
      <c r="M415" s="1769"/>
      <c r="N415" s="1769"/>
    </row>
    <row r="416" spans="1:15" ht="15" customHeight="1">
      <c r="A416" s="1"/>
      <c r="B416" s="1"/>
      <c r="C416" s="1"/>
      <c r="D416" s="1"/>
      <c r="G416" s="1"/>
      <c r="H416" s="1"/>
      <c r="I416" s="1"/>
      <c r="J416" s="1"/>
      <c r="L416" s="1769"/>
      <c r="M416" s="1769"/>
      <c r="N416" s="1769"/>
    </row>
    <row r="417" spans="1:15" ht="15" customHeight="1">
      <c r="A417" s="1"/>
      <c r="B417" s="1"/>
      <c r="C417" s="1"/>
      <c r="D417" s="1"/>
      <c r="G417" s="1"/>
      <c r="H417" s="1"/>
      <c r="I417" s="1"/>
      <c r="J417" s="1"/>
      <c r="L417" s="1769"/>
      <c r="M417" s="1769"/>
      <c r="N417" s="1769"/>
    </row>
    <row r="418" spans="1:15" ht="15" customHeight="1">
      <c r="A418" s="1"/>
      <c r="B418" s="1"/>
      <c r="C418" s="1"/>
      <c r="D418" s="1"/>
      <c r="G418" s="1"/>
      <c r="H418" s="1"/>
      <c r="I418" s="1"/>
      <c r="J418" s="1"/>
      <c r="L418" s="1769"/>
      <c r="M418" s="1769"/>
      <c r="N418" s="1769"/>
    </row>
    <row r="419" spans="1:15" ht="15" customHeight="1">
      <c r="A419" s="1"/>
      <c r="B419" s="1"/>
      <c r="C419" s="1"/>
      <c r="D419" s="1"/>
      <c r="G419" s="1"/>
      <c r="H419" s="1"/>
      <c r="I419" s="1"/>
      <c r="J419" s="1"/>
      <c r="L419" s="1769"/>
      <c r="M419" s="1769"/>
      <c r="N419" s="1769"/>
    </row>
    <row r="420" spans="1:15" ht="15" customHeight="1">
      <c r="A420" s="1"/>
      <c r="B420" s="1"/>
      <c r="C420" s="1"/>
      <c r="D420" s="1"/>
      <c r="G420" s="1"/>
      <c r="H420" s="1"/>
      <c r="I420" s="1"/>
      <c r="J420" s="1"/>
      <c r="L420" s="1769"/>
      <c r="M420" s="1769"/>
      <c r="N420" s="1769"/>
    </row>
    <row r="421" spans="1:15" ht="15" customHeight="1">
      <c r="A421" s="1"/>
      <c r="B421" s="1"/>
      <c r="C421" s="1"/>
      <c r="D421" s="1"/>
      <c r="G421" s="1"/>
      <c r="H421" s="1"/>
      <c r="I421" s="1"/>
      <c r="J421" s="1"/>
      <c r="L421" s="1769"/>
      <c r="M421" s="1769"/>
      <c r="N421" s="1769"/>
    </row>
    <row r="422" spans="1:15" ht="15" customHeight="1">
      <c r="A422" s="1"/>
      <c r="B422" s="1"/>
      <c r="C422" s="1"/>
      <c r="D422" s="1"/>
      <c r="G422" s="1"/>
      <c r="H422" s="1"/>
      <c r="I422" s="1"/>
      <c r="J422" s="1"/>
      <c r="L422" s="1769"/>
      <c r="M422" s="1769"/>
      <c r="N422" s="1769"/>
    </row>
    <row r="423" spans="1:15" ht="15" customHeight="1">
      <c r="A423" s="1"/>
      <c r="B423" s="1"/>
      <c r="C423" s="1"/>
      <c r="D423" s="1"/>
      <c r="G423" s="1"/>
      <c r="H423" s="1"/>
      <c r="I423" s="1"/>
      <c r="J423" s="1"/>
      <c r="L423" s="1769"/>
      <c r="M423" s="1769"/>
      <c r="N423" s="1769"/>
    </row>
    <row r="424" spans="1:15" ht="15" customHeight="1">
      <c r="A424" s="1"/>
      <c r="B424" s="1"/>
      <c r="C424" s="1"/>
      <c r="D424" s="1"/>
      <c r="G424" s="1"/>
      <c r="H424" s="1"/>
      <c r="I424" s="1"/>
      <c r="J424" s="1"/>
      <c r="L424" s="1769"/>
      <c r="M424" s="1769"/>
      <c r="N424" s="1769"/>
    </row>
    <row r="425" spans="1:15" ht="15" customHeight="1">
      <c r="A425" s="1"/>
      <c r="B425" s="1"/>
      <c r="C425" s="1"/>
      <c r="D425" s="1"/>
      <c r="G425" s="1"/>
      <c r="H425" s="1"/>
      <c r="I425" s="1"/>
      <c r="J425" s="1"/>
      <c r="L425" s="1769"/>
      <c r="M425" s="1769"/>
      <c r="N425" s="1769"/>
    </row>
    <row r="426" spans="1:15" s="38" customFormat="1" ht="15" customHeight="1">
      <c r="A426" s="1"/>
      <c r="B426" s="1"/>
      <c r="C426" s="1"/>
      <c r="D426" s="1"/>
      <c r="E426" s="1"/>
      <c r="F426" s="1"/>
      <c r="G426" s="1"/>
      <c r="H426" s="1"/>
      <c r="I426" s="1"/>
      <c r="J426" s="1"/>
      <c r="K426" s="37"/>
      <c r="L426" s="1769"/>
      <c r="M426" s="1769"/>
      <c r="N426" s="1769"/>
      <c r="O426" s="1"/>
    </row>
    <row r="427" spans="1:15" s="38" customFormat="1" ht="15" customHeight="1">
      <c r="A427" s="1"/>
      <c r="B427" s="1"/>
      <c r="C427" s="1"/>
      <c r="D427" s="1"/>
      <c r="E427" s="1"/>
      <c r="F427" s="1"/>
      <c r="G427" s="1"/>
      <c r="H427" s="1"/>
      <c r="I427" s="1"/>
      <c r="J427" s="1"/>
      <c r="K427" s="37"/>
      <c r="L427" s="1769"/>
      <c r="M427" s="1769"/>
      <c r="N427" s="1769"/>
      <c r="O427" s="1"/>
    </row>
    <row r="428" spans="1:15" s="38" customFormat="1" ht="15" customHeight="1">
      <c r="A428" s="1"/>
      <c r="B428" s="1"/>
      <c r="C428" s="1"/>
      <c r="D428" s="1"/>
      <c r="E428" s="1"/>
      <c r="F428" s="1"/>
      <c r="G428" s="1"/>
      <c r="H428" s="1"/>
      <c r="I428" s="1"/>
      <c r="J428" s="1"/>
      <c r="K428" s="37"/>
      <c r="L428" s="1769"/>
      <c r="M428" s="1769"/>
      <c r="N428" s="1769"/>
      <c r="O428" s="1"/>
    </row>
    <row r="429" spans="1:15" s="38" customFormat="1" ht="15" customHeight="1">
      <c r="A429" s="1"/>
      <c r="B429" s="1"/>
      <c r="C429" s="1"/>
      <c r="D429" s="1"/>
      <c r="E429" s="1"/>
      <c r="F429" s="1"/>
      <c r="G429" s="1"/>
      <c r="H429" s="1"/>
      <c r="I429" s="1"/>
      <c r="J429" s="1"/>
      <c r="L429" s="1793"/>
      <c r="M429" s="1793"/>
      <c r="N429" s="1793"/>
    </row>
    <row r="430" spans="1:15" s="38" customFormat="1" ht="15" customHeight="1">
      <c r="A430" s="1"/>
      <c r="B430" s="1"/>
      <c r="C430" s="1"/>
      <c r="D430" s="1"/>
      <c r="E430" s="1"/>
      <c r="F430" s="1"/>
      <c r="G430" s="1"/>
      <c r="H430" s="1"/>
      <c r="I430" s="1"/>
      <c r="J430" s="1"/>
      <c r="K430" s="45"/>
      <c r="L430" s="1793"/>
      <c r="M430" s="1793"/>
      <c r="N430" s="1793"/>
    </row>
    <row r="431" spans="1:15" s="38" customFormat="1" ht="15" customHeight="1">
      <c r="A431" s="1"/>
      <c r="B431" s="1"/>
      <c r="C431" s="1"/>
      <c r="D431" s="1"/>
      <c r="E431" s="1"/>
      <c r="F431" s="1"/>
      <c r="G431" s="1"/>
      <c r="H431" s="1"/>
      <c r="I431" s="1"/>
      <c r="J431" s="1"/>
      <c r="K431" s="45"/>
      <c r="L431" s="1793"/>
      <c r="M431" s="1793"/>
      <c r="N431" s="1793"/>
    </row>
    <row r="432" spans="1:15" s="38" customFormat="1" ht="15" customHeight="1">
      <c r="A432" s="1"/>
      <c r="B432" s="1"/>
      <c r="C432" s="1"/>
      <c r="D432" s="1"/>
      <c r="E432" s="1"/>
      <c r="F432" s="1"/>
      <c r="G432" s="1"/>
      <c r="H432" s="1"/>
      <c r="I432" s="1"/>
      <c r="J432" s="1"/>
      <c r="K432" s="45"/>
      <c r="L432" s="1793"/>
      <c r="M432" s="1793"/>
      <c r="N432" s="1793"/>
    </row>
    <row r="433" spans="1:14" s="38" customFormat="1" ht="15" customHeight="1">
      <c r="A433" s="1"/>
      <c r="B433" s="1"/>
      <c r="C433" s="1"/>
      <c r="D433" s="1"/>
      <c r="E433" s="1"/>
      <c r="F433" s="1"/>
      <c r="G433" s="1"/>
      <c r="H433" s="1"/>
      <c r="I433" s="1"/>
      <c r="J433" s="1"/>
      <c r="K433" s="45"/>
      <c r="L433" s="1793"/>
      <c r="M433" s="1793"/>
      <c r="N433" s="1793"/>
    </row>
    <row r="434" spans="1:14" s="38" customFormat="1" ht="15" customHeight="1">
      <c r="A434" s="1"/>
      <c r="B434" s="1"/>
      <c r="C434" s="1"/>
      <c r="D434" s="1"/>
      <c r="E434" s="1"/>
      <c r="F434" s="1"/>
      <c r="G434" s="1"/>
      <c r="H434" s="1"/>
      <c r="I434" s="1"/>
      <c r="J434" s="1"/>
      <c r="K434" s="45"/>
      <c r="L434" s="1793"/>
      <c r="M434" s="1793"/>
      <c r="N434" s="1793"/>
    </row>
    <row r="435" spans="1:14" s="38" customFormat="1" ht="15" customHeight="1">
      <c r="A435" s="1"/>
      <c r="B435" s="1"/>
      <c r="C435" s="1"/>
      <c r="D435" s="1"/>
      <c r="E435" s="1"/>
      <c r="F435" s="1"/>
      <c r="G435" s="1"/>
      <c r="H435" s="1"/>
      <c r="I435" s="1"/>
      <c r="J435" s="1"/>
      <c r="K435" s="45"/>
      <c r="L435" s="1793"/>
      <c r="M435" s="1793"/>
      <c r="N435" s="1793"/>
    </row>
    <row r="436" spans="1:14" s="38" customFormat="1" ht="15" customHeight="1">
      <c r="A436" s="1"/>
      <c r="B436" s="1"/>
      <c r="C436" s="1"/>
      <c r="D436" s="1"/>
      <c r="E436" s="1"/>
      <c r="F436" s="1"/>
      <c r="G436" s="1"/>
      <c r="H436" s="1"/>
      <c r="I436" s="1"/>
      <c r="J436" s="1"/>
      <c r="K436" s="45"/>
      <c r="L436" s="1793"/>
      <c r="M436" s="1793"/>
      <c r="N436" s="1793"/>
    </row>
    <row r="437" spans="1:14" s="38" customFormat="1" ht="15" customHeight="1">
      <c r="A437" s="1"/>
      <c r="B437" s="1"/>
      <c r="C437" s="1"/>
      <c r="D437" s="1"/>
      <c r="E437" s="1"/>
      <c r="F437" s="1"/>
      <c r="G437" s="1"/>
      <c r="H437" s="1"/>
      <c r="I437" s="1"/>
      <c r="J437" s="1"/>
      <c r="K437" s="45"/>
      <c r="L437" s="1793"/>
      <c r="M437" s="1793"/>
      <c r="N437" s="1793"/>
    </row>
    <row r="438" spans="1:14" s="38" customFormat="1" ht="15" customHeight="1">
      <c r="A438" s="1"/>
      <c r="B438" s="1"/>
      <c r="C438" s="1"/>
      <c r="D438" s="1"/>
      <c r="E438" s="1"/>
      <c r="F438" s="1"/>
      <c r="G438" s="1"/>
      <c r="H438" s="1"/>
      <c r="I438" s="1"/>
      <c r="J438" s="1"/>
      <c r="K438" s="45"/>
      <c r="L438" s="1793"/>
      <c r="M438" s="1793"/>
      <c r="N438" s="1793"/>
    </row>
    <row r="439" spans="1:14" s="38" customFormat="1" ht="15" customHeight="1">
      <c r="A439" s="1"/>
      <c r="B439" s="1"/>
      <c r="C439" s="1"/>
      <c r="D439" s="1"/>
      <c r="E439" s="1"/>
      <c r="F439" s="1"/>
      <c r="G439" s="1"/>
      <c r="H439" s="1"/>
      <c r="I439" s="1"/>
      <c r="J439" s="1"/>
      <c r="K439" s="45"/>
      <c r="L439" s="1793"/>
      <c r="M439" s="1793"/>
      <c r="N439" s="1793"/>
    </row>
    <row r="440" spans="1:14" s="38" customFormat="1" ht="15" customHeight="1">
      <c r="A440" s="1"/>
      <c r="B440" s="1"/>
      <c r="C440" s="1"/>
      <c r="D440" s="1"/>
      <c r="E440" s="1"/>
      <c r="F440" s="1"/>
      <c r="G440" s="1"/>
      <c r="H440" s="1"/>
      <c r="I440" s="1"/>
      <c r="J440" s="1"/>
      <c r="K440" s="45"/>
      <c r="L440" s="1793"/>
      <c r="M440" s="1793"/>
      <c r="N440" s="1793"/>
    </row>
    <row r="441" spans="1:14" s="38" customFormat="1" ht="15" customHeight="1">
      <c r="A441" s="1"/>
      <c r="B441" s="1"/>
      <c r="C441" s="1"/>
      <c r="D441" s="1"/>
      <c r="E441" s="1"/>
      <c r="F441" s="1"/>
      <c r="G441" s="1"/>
      <c r="H441" s="1"/>
      <c r="I441" s="1"/>
      <c r="J441" s="1"/>
      <c r="K441" s="45"/>
      <c r="L441" s="1793"/>
      <c r="M441" s="1793"/>
      <c r="N441" s="1793"/>
    </row>
    <row r="442" spans="1:14" s="38" customFormat="1" ht="15" customHeight="1">
      <c r="A442" s="1"/>
      <c r="B442" s="1"/>
      <c r="C442" s="1"/>
      <c r="D442" s="1"/>
      <c r="E442" s="1"/>
      <c r="F442" s="1"/>
      <c r="G442" s="1"/>
      <c r="H442" s="1"/>
      <c r="I442" s="1"/>
      <c r="J442" s="1"/>
      <c r="K442" s="45"/>
      <c r="L442" s="1793"/>
      <c r="M442" s="1793"/>
      <c r="N442" s="1793"/>
    </row>
    <row r="443" spans="1:14" s="38" customFormat="1" ht="15" customHeight="1">
      <c r="A443" s="1"/>
      <c r="B443" s="1"/>
      <c r="C443" s="1"/>
      <c r="D443" s="1"/>
      <c r="E443" s="1"/>
      <c r="F443" s="1"/>
      <c r="G443" s="1"/>
      <c r="H443" s="1"/>
      <c r="I443" s="1"/>
      <c r="J443" s="1"/>
      <c r="K443" s="45"/>
      <c r="L443" s="1793"/>
      <c r="M443" s="1793"/>
      <c r="N443" s="1793"/>
    </row>
    <row r="444" spans="1:14" s="38" customFormat="1" ht="15" customHeight="1">
      <c r="A444" s="1"/>
      <c r="B444" s="1"/>
      <c r="C444" s="1"/>
      <c r="D444" s="1"/>
      <c r="E444" s="1"/>
      <c r="F444" s="1"/>
      <c r="G444" s="1"/>
      <c r="H444" s="1"/>
      <c r="I444" s="1"/>
      <c r="J444" s="1"/>
      <c r="K444" s="45"/>
      <c r="L444" s="1793"/>
      <c r="M444" s="1793"/>
      <c r="N444" s="1793"/>
    </row>
    <row r="445" spans="1:14" s="38" customFormat="1" ht="15" customHeight="1">
      <c r="A445" s="1"/>
      <c r="B445" s="1"/>
      <c r="C445" s="1"/>
      <c r="D445" s="1"/>
      <c r="E445" s="1"/>
      <c r="F445" s="1"/>
      <c r="G445" s="1"/>
      <c r="H445" s="1"/>
      <c r="I445" s="1"/>
      <c r="J445" s="1"/>
      <c r="K445" s="45"/>
      <c r="L445" s="1793"/>
      <c r="M445" s="1793"/>
      <c r="N445" s="1793"/>
    </row>
    <row r="446" spans="1:14" s="38" customFormat="1" ht="15" customHeight="1">
      <c r="A446" s="1"/>
      <c r="B446" s="1"/>
      <c r="C446" s="1"/>
      <c r="D446" s="1"/>
      <c r="E446" s="1"/>
      <c r="F446" s="1"/>
      <c r="G446" s="1"/>
      <c r="H446" s="1"/>
      <c r="I446" s="1"/>
      <c r="J446" s="1"/>
      <c r="K446" s="45"/>
      <c r="L446" s="1793"/>
      <c r="M446" s="1793"/>
      <c r="N446" s="1793"/>
    </row>
    <row r="447" spans="1:14" s="38" customFormat="1" ht="15" customHeight="1">
      <c r="A447" s="1"/>
      <c r="B447" s="1"/>
      <c r="C447" s="1"/>
      <c r="D447" s="1"/>
      <c r="E447" s="1"/>
      <c r="F447" s="1"/>
      <c r="G447" s="1"/>
      <c r="H447" s="1"/>
      <c r="I447" s="1"/>
      <c r="J447" s="1"/>
      <c r="K447" s="45"/>
      <c r="L447" s="1793"/>
      <c r="M447" s="1793"/>
      <c r="N447" s="1793"/>
    </row>
    <row r="448" spans="1:14" s="38" customFormat="1" ht="15" customHeight="1">
      <c r="A448" s="1"/>
      <c r="B448" s="1"/>
      <c r="C448" s="1"/>
      <c r="D448" s="1"/>
      <c r="E448" s="1"/>
      <c r="F448" s="1"/>
      <c r="G448" s="1"/>
      <c r="H448" s="1"/>
      <c r="I448" s="1"/>
      <c r="J448" s="1"/>
      <c r="K448" s="45"/>
      <c r="L448" s="1793"/>
      <c r="M448" s="1793"/>
      <c r="N448" s="1793"/>
    </row>
    <row r="449" spans="1:15" s="38" customFormat="1" ht="21.75" customHeight="1">
      <c r="A449" s="1"/>
      <c r="B449" s="1"/>
      <c r="C449" s="1"/>
      <c r="D449" s="1"/>
      <c r="E449" s="1"/>
      <c r="F449" s="1"/>
      <c r="G449" s="1"/>
      <c r="H449" s="1"/>
      <c r="I449" s="1"/>
      <c r="J449" s="1"/>
      <c r="K449" s="45"/>
      <c r="L449" s="1793"/>
      <c r="M449" s="1793"/>
      <c r="N449" s="1793"/>
    </row>
    <row r="450" spans="1:15" s="38" customFormat="1" ht="15" customHeight="1">
      <c r="A450" s="1"/>
      <c r="B450" s="1"/>
      <c r="C450" s="1"/>
      <c r="D450" s="1"/>
      <c r="E450" s="1"/>
      <c r="F450" s="1"/>
      <c r="G450" s="1"/>
      <c r="H450" s="1"/>
      <c r="I450" s="1"/>
      <c r="J450" s="1"/>
      <c r="K450" s="45"/>
      <c r="L450" s="1793"/>
      <c r="M450" s="1793"/>
      <c r="N450" s="1793"/>
    </row>
    <row r="451" spans="1:15" s="38" customFormat="1" ht="15" customHeight="1">
      <c r="A451" s="1"/>
      <c r="B451" s="1"/>
      <c r="C451" s="1"/>
      <c r="D451" s="1"/>
      <c r="E451" s="1"/>
      <c r="F451" s="1"/>
      <c r="G451" s="1"/>
      <c r="H451" s="1"/>
      <c r="I451" s="1"/>
      <c r="J451" s="1"/>
      <c r="K451" s="45"/>
      <c r="L451" s="1793"/>
      <c r="M451" s="1793"/>
      <c r="N451" s="1793"/>
    </row>
    <row r="452" spans="1:15" s="38" customFormat="1" ht="15" customHeight="1">
      <c r="A452" s="1"/>
      <c r="B452" s="1"/>
      <c r="C452" s="1"/>
      <c r="D452" s="1"/>
      <c r="E452" s="1"/>
      <c r="F452" s="1"/>
      <c r="G452" s="1"/>
      <c r="H452" s="1"/>
      <c r="I452" s="1"/>
      <c r="J452" s="1"/>
      <c r="K452" s="45"/>
      <c r="L452" s="1793"/>
      <c r="M452" s="1793"/>
      <c r="N452" s="1793"/>
    </row>
    <row r="453" spans="1:15" s="38" customFormat="1" ht="15" customHeight="1">
      <c r="A453" s="1"/>
      <c r="B453" s="1"/>
      <c r="C453" s="1"/>
      <c r="D453" s="1"/>
      <c r="E453" s="1"/>
      <c r="F453" s="1"/>
      <c r="G453" s="1"/>
      <c r="H453" s="1"/>
      <c r="I453" s="1"/>
      <c r="J453" s="1"/>
      <c r="K453" s="45"/>
      <c r="L453" s="1793"/>
      <c r="M453" s="1793"/>
      <c r="N453" s="1793"/>
    </row>
    <row r="454" spans="1:15" s="38" customFormat="1" ht="15" customHeight="1">
      <c r="A454" s="1"/>
      <c r="B454" s="1"/>
      <c r="C454" s="1"/>
      <c r="D454" s="1"/>
      <c r="E454" s="1"/>
      <c r="F454" s="1"/>
      <c r="G454" s="1"/>
      <c r="H454" s="1"/>
      <c r="I454" s="1"/>
      <c r="J454" s="1"/>
      <c r="K454" s="45"/>
      <c r="L454" s="1793"/>
      <c r="M454" s="1793"/>
      <c r="N454" s="1793"/>
    </row>
    <row r="455" spans="1:15" s="38" customFormat="1" ht="15" customHeight="1">
      <c r="A455" s="1"/>
      <c r="B455" s="1"/>
      <c r="C455" s="1"/>
      <c r="D455" s="1"/>
      <c r="E455" s="1"/>
      <c r="F455" s="1"/>
      <c r="G455" s="1"/>
      <c r="H455" s="1"/>
      <c r="I455" s="1"/>
      <c r="J455" s="1"/>
      <c r="K455" s="45"/>
      <c r="L455" s="1793"/>
      <c r="M455" s="1793"/>
      <c r="N455" s="1793"/>
    </row>
    <row r="456" spans="1:15" s="38" customFormat="1" ht="15" customHeight="1">
      <c r="A456" s="1"/>
      <c r="B456" s="1"/>
      <c r="C456" s="1"/>
      <c r="D456" s="1"/>
      <c r="E456" s="1"/>
      <c r="F456" s="1"/>
      <c r="G456" s="1"/>
      <c r="H456" s="1"/>
      <c r="I456" s="1"/>
      <c r="J456" s="1"/>
      <c r="K456" s="45"/>
      <c r="L456" s="1793"/>
      <c r="M456" s="1793"/>
      <c r="N456" s="1793"/>
    </row>
    <row r="457" spans="1:15" ht="15" customHeight="1">
      <c r="A457" s="1"/>
      <c r="B457" s="1"/>
      <c r="C457" s="1"/>
      <c r="D457" s="1"/>
      <c r="G457" s="1"/>
      <c r="H457" s="1"/>
      <c r="I457" s="1"/>
      <c r="J457" s="1"/>
      <c r="K457" s="45"/>
      <c r="L457" s="1793"/>
      <c r="M457" s="1793"/>
      <c r="N457" s="1793"/>
      <c r="O457" s="38"/>
    </row>
    <row r="458" spans="1:15" ht="15" customHeight="1">
      <c r="A458" s="1"/>
      <c r="B458" s="1"/>
      <c r="C458" s="1"/>
      <c r="D458" s="1"/>
      <c r="G458" s="1"/>
      <c r="H458" s="1"/>
      <c r="I458" s="1"/>
      <c r="J458" s="1"/>
      <c r="K458" s="45"/>
      <c r="L458" s="1793"/>
      <c r="M458" s="1793"/>
      <c r="N458" s="1793"/>
      <c r="O458" s="38"/>
    </row>
    <row r="459" spans="1:15" ht="15" customHeight="1">
      <c r="A459" s="1"/>
      <c r="B459" s="1"/>
      <c r="C459" s="1"/>
      <c r="D459" s="1"/>
      <c r="G459" s="1"/>
      <c r="H459" s="1"/>
      <c r="I459" s="1"/>
      <c r="J459" s="1"/>
      <c r="K459" s="45"/>
      <c r="L459" s="1793"/>
      <c r="M459" s="1793"/>
      <c r="N459" s="1793"/>
      <c r="O459" s="38"/>
    </row>
    <row r="460" spans="1:15" ht="15" customHeight="1">
      <c r="A460" s="1"/>
      <c r="B460" s="1"/>
      <c r="C460" s="1"/>
      <c r="D460" s="1"/>
      <c r="G460" s="1"/>
      <c r="H460" s="1"/>
      <c r="I460" s="1"/>
      <c r="J460" s="1"/>
      <c r="L460" s="1769"/>
      <c r="M460" s="1769"/>
      <c r="N460" s="1769"/>
    </row>
    <row r="461" spans="1:15" ht="15" customHeight="1">
      <c r="A461" s="1"/>
      <c r="B461" s="1"/>
      <c r="C461" s="1"/>
      <c r="D461" s="1"/>
      <c r="G461" s="1"/>
      <c r="H461" s="1"/>
      <c r="I461" s="1"/>
      <c r="J461" s="1"/>
      <c r="L461" s="1769"/>
      <c r="M461" s="1769"/>
      <c r="N461" s="1769"/>
    </row>
    <row r="462" spans="1:15" ht="15" customHeight="1">
      <c r="A462" s="1"/>
      <c r="B462" s="1"/>
      <c r="C462" s="1"/>
      <c r="D462" s="1"/>
      <c r="G462" s="1"/>
      <c r="H462" s="1"/>
      <c r="I462" s="1"/>
      <c r="J462" s="1"/>
      <c r="L462" s="1769"/>
      <c r="M462" s="1769"/>
      <c r="N462" s="1769"/>
    </row>
    <row r="463" spans="1:15" ht="15" customHeight="1">
      <c r="A463" s="1"/>
      <c r="B463" s="1"/>
      <c r="C463" s="1"/>
      <c r="D463" s="1"/>
      <c r="G463" s="1"/>
      <c r="H463" s="1"/>
      <c r="I463" s="1"/>
      <c r="J463" s="1"/>
      <c r="L463" s="1769"/>
      <c r="M463" s="1769"/>
      <c r="N463" s="1769"/>
    </row>
    <row r="464" spans="1:15" ht="15" customHeight="1">
      <c r="A464" s="1"/>
      <c r="B464" s="1"/>
      <c r="C464" s="1"/>
      <c r="D464" s="1"/>
      <c r="G464" s="1"/>
      <c r="H464" s="1"/>
      <c r="I464" s="1"/>
      <c r="J464" s="1"/>
      <c r="L464" s="1769"/>
      <c r="M464" s="1769"/>
      <c r="N464" s="1769"/>
    </row>
    <row r="465" spans="1:14" ht="15" customHeight="1">
      <c r="A465" s="1"/>
      <c r="B465" s="1"/>
      <c r="C465" s="1"/>
      <c r="D465" s="1"/>
      <c r="G465" s="1"/>
      <c r="H465" s="1"/>
      <c r="I465" s="1"/>
      <c r="J465" s="1"/>
      <c r="L465" s="1769"/>
      <c r="M465" s="1769"/>
      <c r="N465" s="1769"/>
    </row>
    <row r="466" spans="1:14" ht="15" customHeight="1">
      <c r="A466" s="1"/>
      <c r="B466" s="1"/>
      <c r="C466" s="1"/>
      <c r="D466" s="1"/>
      <c r="G466" s="1"/>
      <c r="H466" s="1"/>
      <c r="I466" s="1"/>
      <c r="J466" s="1"/>
      <c r="L466" s="1769"/>
      <c r="M466" s="1769"/>
      <c r="N466" s="1769"/>
    </row>
    <row r="467" spans="1:14" ht="15" customHeight="1">
      <c r="A467" s="1"/>
      <c r="B467" s="1"/>
      <c r="C467" s="1"/>
      <c r="D467" s="1"/>
      <c r="G467" s="1"/>
      <c r="H467" s="1"/>
      <c r="I467" s="1"/>
      <c r="J467" s="1"/>
      <c r="L467" s="1769"/>
      <c r="M467" s="1769"/>
      <c r="N467" s="1769"/>
    </row>
    <row r="468" spans="1:14" ht="15" customHeight="1">
      <c r="A468" s="1"/>
      <c r="B468" s="1"/>
      <c r="C468" s="1"/>
      <c r="D468" s="1"/>
      <c r="G468" s="1"/>
      <c r="H468" s="1"/>
      <c r="I468" s="1"/>
      <c r="J468" s="1"/>
      <c r="L468" s="1769"/>
      <c r="M468" s="1769"/>
      <c r="N468" s="1769"/>
    </row>
    <row r="469" spans="1:14" ht="15" customHeight="1">
      <c r="A469" s="1"/>
      <c r="B469" s="1"/>
      <c r="C469" s="1"/>
      <c r="D469" s="1"/>
      <c r="G469" s="1"/>
      <c r="H469" s="1"/>
      <c r="I469" s="1"/>
      <c r="J469" s="1"/>
      <c r="L469" s="1769"/>
      <c r="M469" s="1769"/>
      <c r="N469" s="1769"/>
    </row>
    <row r="470" spans="1:14" ht="15" customHeight="1">
      <c r="A470" s="1"/>
      <c r="B470" s="1"/>
      <c r="C470" s="1"/>
      <c r="D470" s="1"/>
      <c r="G470" s="1"/>
      <c r="H470" s="1"/>
      <c r="I470" s="1"/>
      <c r="J470" s="1"/>
      <c r="L470" s="1769"/>
      <c r="M470" s="1769"/>
      <c r="N470" s="1769"/>
    </row>
    <row r="471" spans="1:14" ht="15" customHeight="1">
      <c r="A471" s="1"/>
      <c r="B471" s="1"/>
      <c r="C471" s="1"/>
      <c r="D471" s="1"/>
      <c r="G471" s="1"/>
      <c r="H471" s="1"/>
      <c r="I471" s="1"/>
      <c r="J471" s="1"/>
      <c r="L471" s="1769"/>
      <c r="M471" s="1769"/>
      <c r="N471" s="1769"/>
    </row>
    <row r="472" spans="1:14" ht="15" customHeight="1">
      <c r="A472" s="1"/>
      <c r="B472" s="1"/>
      <c r="C472" s="1"/>
      <c r="D472" s="1"/>
      <c r="G472" s="1"/>
      <c r="H472" s="1"/>
      <c r="I472" s="1"/>
      <c r="J472" s="1"/>
      <c r="L472" s="1769"/>
      <c r="M472" s="1769"/>
      <c r="N472" s="1769"/>
    </row>
    <row r="473" spans="1:14" ht="15" customHeight="1">
      <c r="A473" s="1"/>
      <c r="B473" s="1"/>
      <c r="C473" s="1"/>
      <c r="D473" s="1"/>
      <c r="G473" s="1"/>
      <c r="H473" s="1"/>
      <c r="I473" s="1"/>
      <c r="J473" s="1"/>
      <c r="L473" s="1769"/>
      <c r="M473" s="1769"/>
      <c r="N473" s="1769"/>
    </row>
    <row r="474" spans="1:14" ht="15" customHeight="1">
      <c r="A474" s="1"/>
      <c r="B474" s="1"/>
      <c r="C474" s="1"/>
      <c r="D474" s="1"/>
      <c r="G474" s="1"/>
      <c r="H474" s="1"/>
      <c r="I474" s="1"/>
      <c r="J474" s="1"/>
      <c r="L474" s="1769"/>
      <c r="M474" s="1769"/>
      <c r="N474" s="1769"/>
    </row>
    <row r="475" spans="1:14" ht="15" customHeight="1">
      <c r="A475" s="1"/>
      <c r="B475" s="1"/>
      <c r="C475" s="1"/>
      <c r="D475" s="1"/>
      <c r="G475" s="1"/>
      <c r="H475" s="1"/>
      <c r="I475" s="1"/>
      <c r="J475" s="1"/>
      <c r="L475" s="1769"/>
      <c r="M475" s="1769"/>
      <c r="N475" s="1769"/>
    </row>
    <row r="476" spans="1:14" ht="15" customHeight="1">
      <c r="A476" s="1"/>
      <c r="B476" s="1"/>
      <c r="C476" s="1"/>
      <c r="D476" s="1"/>
      <c r="G476" s="1"/>
      <c r="H476" s="1"/>
      <c r="I476" s="1"/>
      <c r="J476" s="1"/>
      <c r="L476" s="1769"/>
      <c r="M476" s="1769"/>
      <c r="N476" s="1769"/>
    </row>
    <row r="477" spans="1:14" ht="15" customHeight="1">
      <c r="A477" s="1"/>
      <c r="B477" s="1"/>
      <c r="C477" s="1"/>
      <c r="D477" s="1"/>
      <c r="G477" s="1"/>
      <c r="H477" s="1"/>
      <c r="I477" s="1"/>
      <c r="J477" s="1"/>
      <c r="L477" s="1769"/>
      <c r="M477" s="1769"/>
      <c r="N477" s="1769"/>
    </row>
    <row r="478" spans="1:14" ht="15" customHeight="1">
      <c r="A478" s="1"/>
      <c r="B478" s="1"/>
      <c r="C478" s="1"/>
      <c r="D478" s="1"/>
      <c r="G478" s="1"/>
      <c r="H478" s="1"/>
      <c r="I478" s="1"/>
      <c r="J478" s="1"/>
      <c r="L478" s="1769"/>
      <c r="M478" s="1769"/>
      <c r="N478" s="1769"/>
    </row>
    <row r="479" spans="1:14" ht="15" customHeight="1">
      <c r="A479" s="1"/>
      <c r="B479" s="1"/>
      <c r="C479" s="1"/>
      <c r="D479" s="1"/>
      <c r="G479" s="1"/>
      <c r="H479" s="1"/>
      <c r="I479" s="1"/>
      <c r="J479" s="1"/>
      <c r="L479" s="1769"/>
      <c r="M479" s="1769"/>
      <c r="N479" s="1769"/>
    </row>
    <row r="480" spans="1:14" ht="15" customHeight="1">
      <c r="A480" s="1"/>
      <c r="B480" s="1"/>
      <c r="C480" s="1"/>
      <c r="D480" s="1"/>
      <c r="G480" s="1"/>
      <c r="H480" s="1"/>
      <c r="I480" s="1"/>
      <c r="J480" s="1"/>
      <c r="L480" s="1769"/>
      <c r="M480" s="1769"/>
      <c r="N480" s="1769"/>
    </row>
    <row r="481" spans="1:14" ht="15" customHeight="1">
      <c r="A481" s="1"/>
      <c r="B481" s="1"/>
      <c r="C481" s="1"/>
      <c r="D481" s="1"/>
      <c r="G481" s="1"/>
      <c r="H481" s="1"/>
      <c r="I481" s="1"/>
      <c r="J481" s="1"/>
      <c r="L481" s="1769"/>
      <c r="M481" s="1769"/>
      <c r="N481" s="1769"/>
    </row>
    <row r="482" spans="1:14" ht="15" customHeight="1">
      <c r="A482" s="1"/>
      <c r="B482" s="1"/>
      <c r="C482" s="1"/>
      <c r="D482" s="1"/>
      <c r="G482" s="1"/>
      <c r="H482" s="1"/>
      <c r="I482" s="1"/>
      <c r="J482" s="1"/>
      <c r="L482" s="1769"/>
      <c r="M482" s="1769"/>
      <c r="N482" s="1769"/>
    </row>
    <row r="483" spans="1:14" ht="15" customHeight="1">
      <c r="A483" s="1"/>
      <c r="B483" s="1"/>
      <c r="C483" s="1"/>
      <c r="D483" s="1"/>
      <c r="G483" s="1"/>
      <c r="H483" s="1"/>
      <c r="I483" s="1"/>
      <c r="J483" s="1"/>
      <c r="L483" s="1769"/>
      <c r="M483" s="1769"/>
      <c r="N483" s="1769"/>
    </row>
    <row r="484" spans="1:14" ht="15" customHeight="1">
      <c r="A484" s="1"/>
      <c r="B484" s="1"/>
      <c r="C484" s="1"/>
      <c r="D484" s="1"/>
      <c r="G484" s="1"/>
      <c r="H484" s="1"/>
      <c r="I484" s="1"/>
      <c r="J484" s="1"/>
      <c r="L484" s="1769"/>
      <c r="M484" s="1769"/>
      <c r="N484" s="1769"/>
    </row>
    <row r="485" spans="1:14" ht="15" customHeight="1">
      <c r="A485" s="1"/>
      <c r="B485" s="1"/>
      <c r="C485" s="1"/>
      <c r="D485" s="1"/>
      <c r="G485" s="1"/>
      <c r="H485" s="1"/>
      <c r="I485" s="1"/>
      <c r="J485" s="1"/>
      <c r="L485" s="1769"/>
      <c r="M485" s="1769"/>
      <c r="N485" s="1769"/>
    </row>
    <row r="486" spans="1:14" ht="15" customHeight="1">
      <c r="A486" s="1"/>
      <c r="B486" s="1"/>
      <c r="C486" s="1"/>
      <c r="D486" s="1"/>
      <c r="G486" s="1"/>
      <c r="H486" s="1"/>
      <c r="I486" s="1"/>
      <c r="J486" s="1"/>
      <c r="L486" s="1769"/>
      <c r="M486" s="1769"/>
      <c r="N486" s="1769"/>
    </row>
    <row r="487" spans="1:14" ht="15" customHeight="1">
      <c r="A487" s="1"/>
      <c r="B487" s="1"/>
      <c r="C487" s="1"/>
      <c r="D487" s="1"/>
      <c r="G487" s="1"/>
      <c r="H487" s="1"/>
      <c r="I487" s="1"/>
      <c r="J487" s="1"/>
      <c r="L487" s="1769"/>
      <c r="M487" s="1769"/>
      <c r="N487" s="1769"/>
    </row>
    <row r="488" spans="1:14" ht="15" customHeight="1">
      <c r="A488" s="1"/>
      <c r="B488" s="1"/>
      <c r="C488" s="1"/>
      <c r="D488" s="1"/>
      <c r="G488" s="1"/>
      <c r="H488" s="1"/>
      <c r="I488" s="1"/>
      <c r="J488" s="1"/>
      <c r="L488" s="1769"/>
      <c r="M488" s="1769"/>
      <c r="N488" s="1769"/>
    </row>
    <row r="489" spans="1:14" ht="15" customHeight="1">
      <c r="A489" s="1"/>
      <c r="B489" s="1"/>
      <c r="C489" s="1"/>
      <c r="D489" s="1"/>
      <c r="G489" s="1"/>
      <c r="H489" s="1"/>
      <c r="I489" s="1"/>
      <c r="J489" s="1"/>
      <c r="L489" s="1769"/>
      <c r="M489" s="1769"/>
      <c r="N489" s="1769"/>
    </row>
    <row r="490" spans="1:14" ht="15" customHeight="1">
      <c r="A490" s="1"/>
      <c r="B490" s="1"/>
      <c r="C490" s="1"/>
      <c r="D490" s="1"/>
      <c r="G490" s="1"/>
      <c r="H490" s="1"/>
      <c r="I490" s="1"/>
      <c r="J490" s="1"/>
      <c r="L490" s="1769"/>
      <c r="M490" s="1769"/>
      <c r="N490" s="1769"/>
    </row>
    <row r="491" spans="1:14" ht="15" customHeight="1">
      <c r="A491" s="1"/>
      <c r="B491" s="1"/>
      <c r="C491" s="1"/>
      <c r="D491" s="1"/>
      <c r="G491" s="1"/>
      <c r="H491" s="1"/>
      <c r="I491" s="1"/>
      <c r="J491" s="1"/>
      <c r="L491" s="1769"/>
      <c r="M491" s="1769"/>
      <c r="N491" s="1769"/>
    </row>
    <row r="492" spans="1:14" ht="15" customHeight="1">
      <c r="A492" s="1"/>
      <c r="B492" s="1"/>
      <c r="C492" s="1"/>
      <c r="D492" s="1"/>
      <c r="G492" s="1"/>
      <c r="H492" s="1"/>
      <c r="I492" s="1"/>
      <c r="J492" s="1"/>
      <c r="L492" s="1769"/>
      <c r="M492" s="1769"/>
      <c r="N492" s="1769"/>
    </row>
    <row r="493" spans="1:14" ht="15" customHeight="1">
      <c r="A493" s="1"/>
      <c r="B493" s="1"/>
      <c r="C493" s="1"/>
      <c r="D493" s="1"/>
      <c r="G493" s="1"/>
      <c r="H493" s="1"/>
      <c r="I493" s="1"/>
      <c r="J493" s="1"/>
      <c r="L493" s="1769"/>
      <c r="M493" s="1769"/>
      <c r="N493" s="1769"/>
    </row>
    <row r="494" spans="1:14" ht="15" customHeight="1">
      <c r="A494" s="1"/>
      <c r="B494" s="1"/>
      <c r="C494" s="1"/>
      <c r="D494" s="1"/>
      <c r="G494" s="1"/>
      <c r="H494" s="1"/>
      <c r="I494" s="1"/>
      <c r="J494" s="1"/>
      <c r="L494" s="1769"/>
      <c r="M494" s="1769"/>
      <c r="N494" s="1769"/>
    </row>
    <row r="495" spans="1:14" ht="15" customHeight="1">
      <c r="A495" s="1"/>
      <c r="B495" s="1"/>
      <c r="C495" s="1"/>
      <c r="D495" s="1"/>
      <c r="G495" s="1"/>
      <c r="H495" s="1"/>
      <c r="I495" s="1"/>
      <c r="J495" s="1"/>
      <c r="L495" s="1769"/>
      <c r="M495" s="1769"/>
      <c r="N495" s="1769"/>
    </row>
    <row r="496" spans="1:14" ht="15" customHeight="1">
      <c r="A496" s="1"/>
      <c r="B496" s="1"/>
      <c r="C496" s="1"/>
      <c r="D496" s="1"/>
      <c r="G496" s="1"/>
      <c r="H496" s="1"/>
      <c r="I496" s="1"/>
      <c r="J496" s="1"/>
      <c r="L496" s="1769"/>
      <c r="M496" s="1769"/>
      <c r="N496" s="1769"/>
    </row>
    <row r="497" spans="1:14" ht="15" customHeight="1">
      <c r="A497" s="1"/>
      <c r="B497" s="1"/>
      <c r="C497" s="1"/>
      <c r="D497" s="1"/>
      <c r="G497" s="1"/>
      <c r="H497" s="1"/>
      <c r="I497" s="1"/>
      <c r="J497" s="1"/>
      <c r="L497" s="1769"/>
      <c r="M497" s="1769"/>
      <c r="N497" s="1769"/>
    </row>
    <row r="498" spans="1:14" ht="15" customHeight="1">
      <c r="A498" s="1"/>
      <c r="B498" s="1"/>
      <c r="C498" s="1"/>
      <c r="D498" s="1"/>
      <c r="G498" s="1"/>
      <c r="H498" s="1"/>
      <c r="I498" s="1"/>
      <c r="J498" s="1"/>
      <c r="L498" s="1769"/>
      <c r="M498" s="1769"/>
      <c r="N498" s="1769"/>
    </row>
    <row r="499" spans="1:14" ht="15" customHeight="1">
      <c r="A499" s="1"/>
      <c r="B499" s="1"/>
      <c r="C499" s="1"/>
      <c r="D499" s="1"/>
      <c r="G499" s="1"/>
      <c r="H499" s="1"/>
      <c r="I499" s="1"/>
      <c r="J499" s="1"/>
      <c r="L499" s="1769"/>
      <c r="M499" s="1769"/>
      <c r="N499" s="1769"/>
    </row>
    <row r="500" spans="1:14" ht="15" customHeight="1">
      <c r="A500" s="1"/>
      <c r="B500" s="1"/>
      <c r="C500" s="1"/>
      <c r="D500" s="1"/>
      <c r="G500" s="1"/>
      <c r="H500" s="1"/>
      <c r="I500" s="1"/>
      <c r="J500" s="1"/>
      <c r="L500" s="1769"/>
      <c r="M500" s="1769"/>
      <c r="N500" s="1769"/>
    </row>
    <row r="501" spans="1:14" ht="15" customHeight="1">
      <c r="A501" s="1"/>
      <c r="B501" s="1"/>
      <c r="C501" s="1"/>
      <c r="D501" s="1"/>
      <c r="G501" s="1"/>
      <c r="H501" s="1"/>
      <c r="I501" s="1"/>
      <c r="J501" s="1"/>
      <c r="L501" s="1769"/>
      <c r="M501" s="1769"/>
      <c r="N501" s="1769"/>
    </row>
    <row r="502" spans="1:14" ht="15" customHeight="1">
      <c r="A502" s="1"/>
      <c r="B502" s="1"/>
      <c r="C502" s="1"/>
      <c r="D502" s="1"/>
      <c r="G502" s="1"/>
      <c r="H502" s="1"/>
      <c r="I502" s="1"/>
      <c r="J502" s="1"/>
    </row>
    <row r="503" spans="1:14" ht="15" customHeight="1">
      <c r="A503" s="1"/>
      <c r="B503" s="1"/>
      <c r="C503" s="1"/>
      <c r="D503" s="1"/>
      <c r="G503" s="1"/>
      <c r="H503" s="1"/>
      <c r="I503" s="1"/>
      <c r="J503" s="1"/>
    </row>
    <row r="504" spans="1:14" ht="15" customHeight="1">
      <c r="A504" s="1"/>
      <c r="B504" s="1"/>
      <c r="C504" s="1"/>
      <c r="D504" s="1"/>
      <c r="G504" s="1"/>
      <c r="H504" s="1"/>
      <c r="I504" s="1"/>
      <c r="J504" s="1"/>
    </row>
    <row r="505" spans="1:14" ht="15" customHeight="1">
      <c r="A505" s="1"/>
      <c r="B505" s="1"/>
      <c r="C505" s="1"/>
      <c r="D505" s="1"/>
      <c r="G505" s="1"/>
      <c r="H505" s="1"/>
      <c r="I505" s="1"/>
      <c r="J505" s="1"/>
    </row>
    <row r="506" spans="1:14" ht="15" customHeight="1">
      <c r="A506" s="1"/>
      <c r="B506" s="1"/>
      <c r="C506" s="1"/>
      <c r="D506" s="1"/>
      <c r="G506" s="1"/>
      <c r="H506" s="1"/>
      <c r="I506" s="1"/>
      <c r="J506" s="1"/>
    </row>
    <row r="507" spans="1:14" ht="15" customHeight="1">
      <c r="A507" s="1"/>
      <c r="B507" s="1"/>
      <c r="C507" s="1"/>
      <c r="D507" s="1"/>
      <c r="G507" s="1"/>
      <c r="H507" s="1"/>
      <c r="I507" s="1"/>
      <c r="J507" s="1"/>
    </row>
    <row r="508" spans="1:14" ht="15" customHeight="1">
      <c r="A508" s="1"/>
      <c r="B508" s="1"/>
      <c r="C508" s="1"/>
      <c r="D508" s="1"/>
      <c r="G508" s="1"/>
      <c r="H508" s="1"/>
      <c r="I508" s="1"/>
      <c r="J508" s="1"/>
    </row>
    <row r="509" spans="1:14" ht="15" customHeight="1">
      <c r="A509" s="1"/>
      <c r="B509" s="1"/>
      <c r="C509" s="1"/>
      <c r="D509" s="1"/>
      <c r="G509" s="1"/>
      <c r="H509" s="1"/>
      <c r="I509" s="1"/>
      <c r="J509" s="1"/>
    </row>
    <row r="510" spans="1:14" ht="15" customHeight="1">
      <c r="A510" s="1"/>
      <c r="B510" s="1"/>
      <c r="C510" s="1"/>
      <c r="D510" s="1"/>
      <c r="G510" s="1"/>
      <c r="H510" s="1"/>
      <c r="I510" s="1"/>
      <c r="J510" s="1"/>
    </row>
    <row r="511" spans="1:14" ht="15" customHeight="1">
      <c r="A511" s="1"/>
      <c r="B511" s="1"/>
      <c r="C511" s="1"/>
      <c r="D511" s="1"/>
      <c r="G511" s="1"/>
      <c r="H511" s="1"/>
      <c r="I511" s="1"/>
      <c r="J511" s="1"/>
    </row>
    <row r="512" spans="1:14" ht="15" customHeight="1">
      <c r="A512" s="1"/>
      <c r="B512" s="1"/>
      <c r="C512" s="1"/>
      <c r="D512" s="1"/>
      <c r="G512" s="1"/>
      <c r="H512" s="1"/>
      <c r="I512" s="1"/>
      <c r="J512" s="1"/>
    </row>
    <row r="513" spans="1:10" ht="15" customHeight="1">
      <c r="A513" s="1"/>
      <c r="B513" s="1"/>
      <c r="C513" s="1"/>
      <c r="D513" s="1"/>
      <c r="G513" s="1"/>
      <c r="H513" s="1"/>
      <c r="I513" s="1"/>
      <c r="J513" s="1"/>
    </row>
    <row r="514" spans="1:10" ht="15" customHeight="1">
      <c r="A514" s="1"/>
      <c r="B514" s="1"/>
      <c r="C514" s="1"/>
      <c r="D514" s="1"/>
      <c r="G514" s="1"/>
      <c r="H514" s="1"/>
      <c r="I514" s="1"/>
      <c r="J514" s="1"/>
    </row>
    <row r="515" spans="1:10" ht="15" customHeight="1">
      <c r="A515" s="1"/>
      <c r="B515" s="1"/>
      <c r="C515" s="1"/>
      <c r="D515" s="1"/>
      <c r="G515" s="1"/>
      <c r="H515" s="1"/>
      <c r="I515" s="1"/>
      <c r="J515" s="1"/>
    </row>
    <row r="516" spans="1:10" ht="15" customHeight="1">
      <c r="A516" s="1"/>
      <c r="B516" s="1"/>
      <c r="C516" s="1"/>
      <c r="D516" s="1"/>
      <c r="G516" s="1"/>
      <c r="H516" s="1"/>
      <c r="I516" s="1"/>
      <c r="J516" s="1"/>
    </row>
    <row r="517" spans="1:10" ht="15" customHeight="1">
      <c r="A517" s="1"/>
      <c r="B517" s="1"/>
      <c r="C517" s="1"/>
      <c r="D517" s="1"/>
      <c r="G517" s="1"/>
      <c r="H517" s="1"/>
      <c r="I517" s="1"/>
      <c r="J517" s="1"/>
    </row>
    <row r="518" spans="1:10" ht="15" customHeight="1">
      <c r="A518" s="1"/>
      <c r="B518" s="1"/>
      <c r="C518" s="1"/>
      <c r="D518" s="1"/>
      <c r="G518" s="1"/>
      <c r="H518" s="1"/>
      <c r="I518" s="1"/>
      <c r="J518" s="1"/>
    </row>
    <row r="519" spans="1:10" ht="15" customHeight="1">
      <c r="A519" s="1"/>
      <c r="B519" s="1"/>
      <c r="C519" s="1"/>
      <c r="D519" s="1"/>
      <c r="G519" s="1"/>
      <c r="H519" s="1"/>
      <c r="I519" s="1"/>
      <c r="J519" s="1"/>
    </row>
    <row r="520" spans="1:10" ht="15" customHeight="1">
      <c r="A520" s="1"/>
      <c r="B520" s="1"/>
      <c r="C520" s="1"/>
      <c r="D520" s="1"/>
      <c r="G520" s="1"/>
      <c r="H520" s="1"/>
      <c r="I520" s="1"/>
      <c r="J520" s="1"/>
    </row>
    <row r="521" spans="1:10" ht="15" customHeight="1">
      <c r="A521" s="1"/>
      <c r="B521" s="1"/>
      <c r="C521" s="1"/>
      <c r="D521" s="1"/>
      <c r="G521" s="1"/>
      <c r="H521" s="1"/>
      <c r="I521" s="1"/>
      <c r="J521" s="1"/>
    </row>
    <row r="522" spans="1:10" ht="15" customHeight="1">
      <c r="A522" s="1"/>
      <c r="B522" s="1"/>
      <c r="C522" s="1"/>
      <c r="D522" s="1"/>
      <c r="G522" s="1"/>
      <c r="H522" s="1"/>
      <c r="I522" s="1"/>
      <c r="J522" s="1"/>
    </row>
    <row r="523" spans="1:10" ht="15" customHeight="1">
      <c r="A523" s="1"/>
      <c r="B523" s="1"/>
      <c r="C523" s="1"/>
      <c r="D523" s="1"/>
      <c r="G523" s="1"/>
      <c r="H523" s="1"/>
      <c r="I523" s="1"/>
      <c r="J523" s="1"/>
    </row>
    <row r="524" spans="1:10" ht="15" customHeight="1">
      <c r="A524" s="1"/>
      <c r="B524" s="1"/>
      <c r="C524" s="1"/>
      <c r="D524" s="1"/>
      <c r="G524" s="1"/>
      <c r="H524" s="1"/>
      <c r="I524" s="1"/>
      <c r="J524" s="1"/>
    </row>
    <row r="525" spans="1:10" ht="15" customHeight="1">
      <c r="A525" s="1"/>
      <c r="B525" s="1"/>
      <c r="C525" s="1"/>
      <c r="D525" s="1"/>
      <c r="G525" s="1"/>
      <c r="H525" s="1"/>
      <c r="I525" s="1"/>
      <c r="J525" s="1"/>
    </row>
    <row r="526" spans="1:10" ht="15" customHeight="1">
      <c r="A526" s="1"/>
      <c r="B526" s="1"/>
      <c r="C526" s="1"/>
      <c r="D526" s="1"/>
      <c r="G526" s="1"/>
      <c r="H526" s="1"/>
      <c r="I526" s="1"/>
      <c r="J526" s="1"/>
    </row>
    <row r="527" spans="1:10" ht="15" customHeight="1">
      <c r="A527" s="1"/>
      <c r="B527" s="1"/>
      <c r="C527" s="1"/>
      <c r="D527" s="1"/>
      <c r="G527" s="1"/>
      <c r="H527" s="1"/>
      <c r="I527" s="1"/>
      <c r="J527" s="1"/>
    </row>
    <row r="528" spans="1:10" ht="15" customHeight="1">
      <c r="A528" s="1"/>
      <c r="B528" s="1"/>
      <c r="C528" s="1"/>
      <c r="D528" s="1"/>
      <c r="G528" s="1"/>
      <c r="H528" s="1"/>
      <c r="I528" s="1"/>
      <c r="J528" s="1"/>
    </row>
    <row r="529" spans="1:10" ht="15" customHeight="1">
      <c r="A529" s="1"/>
      <c r="B529" s="1"/>
      <c r="C529" s="1"/>
      <c r="D529" s="1"/>
      <c r="G529" s="1"/>
      <c r="H529" s="1"/>
      <c r="I529" s="1"/>
      <c r="J529" s="1"/>
    </row>
    <row r="530" spans="1:10" ht="15" customHeight="1">
      <c r="A530" s="1"/>
      <c r="B530" s="1"/>
      <c r="C530" s="1"/>
      <c r="D530" s="1"/>
      <c r="G530" s="1"/>
      <c r="H530" s="1"/>
      <c r="I530" s="1"/>
      <c r="J530" s="1"/>
    </row>
    <row r="531" spans="1:10" ht="15" customHeight="1">
      <c r="A531" s="1"/>
      <c r="B531" s="1"/>
      <c r="C531" s="1"/>
      <c r="D531" s="1"/>
      <c r="G531" s="1"/>
      <c r="H531" s="1"/>
      <c r="I531" s="1"/>
      <c r="J531" s="1"/>
    </row>
    <row r="532" spans="1:10" ht="15" customHeight="1">
      <c r="A532" s="1"/>
      <c r="B532" s="1"/>
      <c r="C532" s="1"/>
      <c r="D532" s="1"/>
      <c r="G532" s="1"/>
      <c r="H532" s="1"/>
      <c r="I532" s="1"/>
      <c r="J532" s="1"/>
    </row>
    <row r="533" spans="1:10" ht="15" customHeight="1">
      <c r="A533" s="1"/>
      <c r="B533" s="1"/>
      <c r="C533" s="1"/>
      <c r="D533" s="1"/>
      <c r="G533" s="1"/>
      <c r="H533" s="1"/>
      <c r="I533" s="1"/>
      <c r="J533" s="1"/>
    </row>
    <row r="534" spans="1:10" ht="15" customHeight="1">
      <c r="A534" s="1"/>
      <c r="B534" s="1"/>
      <c r="C534" s="1"/>
      <c r="D534" s="1"/>
      <c r="G534" s="1"/>
      <c r="H534" s="1"/>
      <c r="I534" s="1"/>
      <c r="J534" s="1"/>
    </row>
    <row r="535" spans="1:10" ht="15" customHeight="1">
      <c r="A535" s="1"/>
      <c r="B535" s="1"/>
      <c r="C535" s="1"/>
      <c r="D535" s="1"/>
      <c r="G535" s="1"/>
      <c r="H535" s="1"/>
      <c r="I535" s="1"/>
      <c r="J535" s="1"/>
    </row>
    <row r="536" spans="1:10" ht="15" customHeight="1">
      <c r="A536" s="1"/>
      <c r="B536" s="1"/>
      <c r="C536" s="1"/>
      <c r="D536" s="1"/>
      <c r="G536" s="1"/>
      <c r="H536" s="1"/>
      <c r="I536" s="1"/>
      <c r="J536" s="1"/>
    </row>
    <row r="537" spans="1:10" ht="15" customHeight="1">
      <c r="A537" s="1"/>
      <c r="B537" s="1"/>
      <c r="C537" s="1"/>
      <c r="D537" s="1"/>
      <c r="G537" s="1"/>
      <c r="H537" s="1"/>
      <c r="I537" s="1"/>
      <c r="J537" s="1"/>
    </row>
    <row r="538" spans="1:10" ht="15" customHeight="1">
      <c r="A538" s="1"/>
      <c r="B538" s="1"/>
      <c r="C538" s="1"/>
      <c r="D538" s="1"/>
      <c r="G538" s="1"/>
      <c r="H538" s="1"/>
      <c r="I538" s="1"/>
      <c r="J538" s="1"/>
    </row>
    <row r="539" spans="1:10" ht="15" customHeight="1">
      <c r="A539" s="1"/>
      <c r="B539" s="1"/>
      <c r="C539" s="1"/>
      <c r="D539" s="1"/>
      <c r="G539" s="1"/>
      <c r="H539" s="1"/>
      <c r="I539" s="1"/>
      <c r="J539" s="1"/>
    </row>
    <row r="540" spans="1:10" ht="15" customHeight="1">
      <c r="A540" s="1"/>
      <c r="B540" s="1"/>
      <c r="C540" s="1"/>
      <c r="D540" s="1"/>
      <c r="G540" s="1"/>
      <c r="H540" s="1"/>
      <c r="I540" s="1"/>
      <c r="J540" s="1"/>
    </row>
    <row r="541" spans="1:10" ht="15" customHeight="1">
      <c r="A541" s="1"/>
      <c r="B541" s="1"/>
      <c r="C541" s="1"/>
      <c r="D541" s="1"/>
      <c r="G541" s="1"/>
      <c r="H541" s="1"/>
      <c r="I541" s="1"/>
      <c r="J541" s="1"/>
    </row>
    <row r="542" spans="1:10" ht="15" customHeight="1">
      <c r="A542" s="1"/>
      <c r="B542" s="1"/>
      <c r="C542" s="1"/>
      <c r="D542" s="1"/>
      <c r="G542" s="1"/>
      <c r="H542" s="1"/>
      <c r="I542" s="1"/>
      <c r="J542" s="1"/>
    </row>
    <row r="543" spans="1:10" ht="15" customHeight="1">
      <c r="A543" s="1"/>
      <c r="B543" s="1"/>
      <c r="C543" s="1"/>
      <c r="D543" s="1"/>
      <c r="G543" s="1"/>
      <c r="H543" s="1"/>
      <c r="I543" s="1"/>
      <c r="J543" s="1"/>
    </row>
    <row r="544" spans="1:10" ht="15" customHeight="1">
      <c r="A544" s="1"/>
      <c r="B544" s="1"/>
      <c r="C544" s="1"/>
      <c r="D544" s="1"/>
      <c r="G544" s="1"/>
      <c r="H544" s="1"/>
      <c r="I544" s="1"/>
      <c r="J544" s="1"/>
    </row>
    <row r="545" spans="1:10" ht="15" customHeight="1">
      <c r="A545" s="1"/>
      <c r="B545" s="1"/>
      <c r="C545" s="1"/>
      <c r="D545" s="1"/>
      <c r="G545" s="1"/>
      <c r="H545" s="1"/>
      <c r="I545" s="1"/>
      <c r="J545" s="1"/>
    </row>
    <row r="546" spans="1:10" ht="15" customHeight="1">
      <c r="A546" s="1"/>
      <c r="B546" s="1"/>
      <c r="C546" s="1"/>
      <c r="D546" s="1"/>
      <c r="G546" s="1"/>
      <c r="H546" s="1"/>
      <c r="I546" s="1"/>
      <c r="J546" s="1"/>
    </row>
    <row r="547" spans="1:10" ht="15" customHeight="1">
      <c r="A547" s="1"/>
      <c r="B547" s="1"/>
      <c r="C547" s="1"/>
      <c r="D547" s="1"/>
      <c r="G547" s="1"/>
      <c r="H547" s="1"/>
      <c r="I547" s="1"/>
      <c r="J547" s="1"/>
    </row>
    <row r="548" spans="1:10" ht="15" customHeight="1">
      <c r="A548" s="1"/>
      <c r="B548" s="1"/>
      <c r="C548" s="1"/>
      <c r="D548" s="1"/>
      <c r="G548" s="1"/>
      <c r="H548" s="1"/>
      <c r="I548" s="1"/>
      <c r="J548" s="1"/>
    </row>
    <row r="549" spans="1:10" ht="15" customHeight="1">
      <c r="A549" s="1"/>
      <c r="B549" s="1"/>
      <c r="C549" s="1"/>
      <c r="D549" s="1"/>
      <c r="G549" s="1"/>
      <c r="H549" s="1"/>
      <c r="I549" s="1"/>
      <c r="J549" s="1"/>
    </row>
    <row r="550" spans="1:10" ht="15" customHeight="1">
      <c r="A550" s="1"/>
      <c r="B550" s="1"/>
      <c r="C550" s="1"/>
      <c r="D550" s="1"/>
      <c r="G550" s="1"/>
      <c r="H550" s="1"/>
      <c r="I550" s="1"/>
      <c r="J550" s="1"/>
    </row>
    <row r="551" spans="1:10" ht="15" customHeight="1">
      <c r="A551" s="1"/>
      <c r="B551" s="1"/>
      <c r="C551" s="1"/>
      <c r="D551" s="1"/>
      <c r="G551" s="1"/>
      <c r="H551" s="1"/>
      <c r="I551" s="1"/>
      <c r="J551" s="1"/>
    </row>
    <row r="552" spans="1:10" ht="15" customHeight="1">
      <c r="A552" s="1"/>
      <c r="B552" s="1"/>
      <c r="C552" s="1"/>
      <c r="D552" s="1"/>
      <c r="G552" s="1"/>
      <c r="H552" s="1"/>
      <c r="I552" s="1"/>
      <c r="J552" s="1"/>
    </row>
    <row r="553" spans="1:10" ht="15" customHeight="1">
      <c r="A553" s="1"/>
      <c r="B553" s="1"/>
      <c r="C553" s="1"/>
      <c r="D553" s="1"/>
      <c r="G553" s="1"/>
      <c r="H553" s="1"/>
      <c r="I553" s="1"/>
      <c r="J553" s="1"/>
    </row>
    <row r="554" spans="1:10" ht="15" customHeight="1">
      <c r="A554" s="1"/>
      <c r="B554" s="1"/>
      <c r="C554" s="1"/>
      <c r="D554" s="1"/>
      <c r="G554" s="1"/>
      <c r="H554" s="1"/>
      <c r="I554" s="1"/>
      <c r="J554" s="1"/>
    </row>
    <row r="555" spans="1:10" ht="15" customHeight="1">
      <c r="A555" s="1"/>
      <c r="B555" s="1"/>
      <c r="C555" s="1"/>
      <c r="D555" s="1"/>
      <c r="G555" s="1"/>
      <c r="H555" s="1"/>
      <c r="I555" s="1"/>
      <c r="J555" s="1"/>
    </row>
    <row r="556" spans="1:10" ht="15" customHeight="1">
      <c r="A556" s="1"/>
      <c r="B556" s="1"/>
      <c r="C556" s="1"/>
      <c r="D556" s="1"/>
      <c r="G556" s="1"/>
      <c r="H556" s="1"/>
      <c r="I556" s="1"/>
      <c r="J556" s="1"/>
    </row>
    <row r="557" spans="1:10" ht="15" customHeight="1">
      <c r="A557" s="1"/>
      <c r="B557" s="1"/>
      <c r="C557" s="1"/>
      <c r="D557" s="1"/>
      <c r="G557" s="1"/>
      <c r="H557" s="1"/>
      <c r="I557" s="1"/>
      <c r="J557" s="1"/>
    </row>
    <row r="558" spans="1:10" ht="15" customHeight="1">
      <c r="A558" s="1"/>
      <c r="B558" s="1"/>
      <c r="C558" s="1"/>
      <c r="D558" s="1"/>
      <c r="G558" s="1"/>
      <c r="H558" s="1"/>
      <c r="I558" s="1"/>
      <c r="J558" s="1"/>
    </row>
    <row r="559" spans="1:10" ht="15" customHeight="1">
      <c r="A559" s="1"/>
      <c r="B559" s="1"/>
      <c r="C559" s="1"/>
      <c r="D559" s="1"/>
      <c r="G559" s="1"/>
      <c r="H559" s="1"/>
      <c r="I559" s="1"/>
      <c r="J559" s="1"/>
    </row>
    <row r="560" spans="1:10" ht="15" customHeight="1">
      <c r="A560" s="1"/>
      <c r="B560" s="1"/>
      <c r="C560" s="1"/>
      <c r="D560" s="1"/>
      <c r="G560" s="1"/>
      <c r="H560" s="1"/>
      <c r="I560" s="1"/>
      <c r="J560" s="1"/>
    </row>
    <row r="561" spans="1:10" ht="15" customHeight="1">
      <c r="A561" s="1"/>
      <c r="B561" s="1"/>
      <c r="C561" s="1"/>
      <c r="D561" s="1"/>
      <c r="G561" s="1"/>
      <c r="H561" s="1"/>
      <c r="I561" s="1"/>
      <c r="J561" s="1"/>
    </row>
    <row r="562" spans="1:10" ht="15" customHeight="1">
      <c r="A562" s="1"/>
      <c r="B562" s="1"/>
      <c r="C562" s="1"/>
      <c r="D562" s="1"/>
      <c r="G562" s="1"/>
      <c r="H562" s="1"/>
      <c r="I562" s="1"/>
      <c r="J562" s="1"/>
    </row>
    <row r="563" spans="1:10" ht="15" customHeight="1">
      <c r="A563" s="1"/>
      <c r="B563" s="1"/>
      <c r="C563" s="1"/>
      <c r="D563" s="1"/>
      <c r="G563" s="1"/>
      <c r="H563" s="1"/>
      <c r="I563" s="1"/>
      <c r="J563" s="1"/>
    </row>
    <row r="564" spans="1:10" ht="15" customHeight="1">
      <c r="A564" s="1"/>
      <c r="B564" s="1"/>
      <c r="C564" s="1"/>
      <c r="D564" s="1"/>
      <c r="G564" s="1"/>
      <c r="H564" s="1"/>
      <c r="I564" s="1"/>
      <c r="J564" s="1"/>
    </row>
    <row r="565" spans="1:10" ht="15" customHeight="1">
      <c r="A565" s="1"/>
      <c r="B565" s="1"/>
      <c r="C565" s="1"/>
      <c r="D565" s="1"/>
      <c r="G565" s="1"/>
      <c r="H565" s="1"/>
      <c r="I565" s="1"/>
      <c r="J565" s="1"/>
    </row>
  </sheetData>
  <mergeCells count="15">
    <mergeCell ref="C84:F84"/>
    <mergeCell ref="A10:J10"/>
    <mergeCell ref="L12:L14"/>
    <mergeCell ref="M12:M14"/>
    <mergeCell ref="J12:J14"/>
    <mergeCell ref="A1:J1"/>
    <mergeCell ref="A12:B14"/>
    <mergeCell ref="H12:H14"/>
    <mergeCell ref="I12:I14"/>
    <mergeCell ref="G12:G14"/>
    <mergeCell ref="A3:J3"/>
    <mergeCell ref="A2:J2"/>
    <mergeCell ref="E5:G5"/>
    <mergeCell ref="E6:G6"/>
    <mergeCell ref="E7:G7"/>
  </mergeCells>
  <phoneticPr fontId="0" type="noConversion"/>
  <conditionalFormatting sqref="G17:G18">
    <cfRule type="expression" dxfId="15" priority="12">
      <formula>G17&lt;&gt;SUM(H17:J17)</formula>
    </cfRule>
  </conditionalFormatting>
  <conditionalFormatting sqref="G75">
    <cfRule type="expression" dxfId="14" priority="7">
      <formula>G75&lt;&gt;SUM(H75:J75)</formula>
    </cfRule>
  </conditionalFormatting>
  <conditionalFormatting sqref="G96">
    <cfRule type="expression" dxfId="13" priority="5">
      <formula>G96&lt;&gt;SUM(H96:J96)</formula>
    </cfRule>
  </conditionalFormatting>
  <conditionalFormatting sqref="G147:G155">
    <cfRule type="expression" dxfId="12" priority="2">
      <formula>G147&lt;&gt;SUM(H147:J147)</formula>
    </cfRule>
  </conditionalFormatting>
  <dataValidations count="2">
    <dataValidation type="list" allowBlank="1" showInputMessage="1" showErrorMessage="1" sqref="E17 E65 E47 E69 E71" xr:uid="{00000000-0002-0000-0200-000000000000}">
      <formula1>PTD</formula1>
    </dataValidation>
    <dataValidation type="list" allowBlank="1" showInputMessage="1" showErrorMessage="1" sqref="E18 E148:E149 E128 E120:E122 E96 E92 E66 E70 E72:E73" xr:uid="{00000000-0002-0000-0200-000001000000}">
      <formula1>DIST</formula1>
    </dataValidation>
  </dataValidations>
  <hyperlinks>
    <hyperlink ref="A5" location="TOC!A1" display="TOC" xr:uid="{00000000-0004-0000-0200-000000000000}"/>
    <hyperlink ref="A6" location="'Sch 1- Rate Base '!A15" display="é" xr:uid="{00000000-0004-0000-0200-000001000000}"/>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customProperties>
    <customPr name="xxe4aPID" r:id="rId2"/>
  </customProperties>
  <ignoredErrors>
    <ignoredError sqref="G87:G93 G16:J22 L18 G24:J46 H23:J23 G48:J48 G47 G50:G52 G57:G73 L66 L71 G77 G79 G84 L91 N92 N96 G96:G100 G103:G112 G116 G119:G133 G135 L122:N122 L128:N128 G139:G143 G147:G156 L148:N149 G158 G161 L17 L65" unlockedFormula="1"/>
    <ignoredError sqref="G23" formulaRange="1" unlockedFormula="1"/>
    <ignoredError sqref="H47:J47" formula="1" unlockedFormula="1"/>
    <ignoredError sqref="H150:J150" formula="1"/>
  </ignoredErrors>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0F463-18AD-4B94-AF19-C184688D4521}">
  <sheetPr codeName="Sheet57"/>
  <dimension ref="A1:N43"/>
  <sheetViews>
    <sheetView topLeftCell="A24" zoomScale="110" zoomScaleNormal="110" workbookViewId="0">
      <selection activeCell="K41" sqref="K41"/>
    </sheetView>
  </sheetViews>
  <sheetFormatPr defaultColWidth="9" defaultRowHeight="15.75"/>
  <cols>
    <col min="1" max="1" width="15.75" style="2152" customWidth="1"/>
    <col min="2" max="2" width="33" style="2152" bestFit="1" customWidth="1"/>
    <col min="3" max="3" width="16.375" style="2152" bestFit="1" customWidth="1"/>
    <col min="4" max="4" width="20.875" style="2152" bestFit="1" customWidth="1"/>
    <col min="5" max="5" width="9" style="2152"/>
    <col min="6" max="6" width="15.375" style="2152" bestFit="1" customWidth="1"/>
    <col min="7" max="8" width="14.375" style="2152" bestFit="1" customWidth="1"/>
    <col min="9" max="9" width="9" style="2152"/>
    <col min="10" max="10" width="12.125" style="2152" bestFit="1" customWidth="1"/>
    <col min="11" max="11" width="9" style="2152"/>
    <col min="12" max="12" width="11.125" style="2152" bestFit="1" customWidth="1"/>
    <col min="13" max="13" width="9" style="2152"/>
    <col min="14" max="14" width="10.125" style="2152" bestFit="1" customWidth="1"/>
    <col min="15" max="16384" width="9" style="2152"/>
  </cols>
  <sheetData>
    <row r="1" spans="1:12">
      <c r="A1" s="2321" t="s">
        <v>2217</v>
      </c>
      <c r="B1" s="2321"/>
      <c r="C1" s="2321"/>
      <c r="D1" s="2321"/>
      <c r="E1" s="2321"/>
      <c r="F1" s="2321"/>
      <c r="G1" s="2321"/>
      <c r="H1" s="2321"/>
    </row>
    <row r="2" spans="1:12">
      <c r="A2" s="2321" t="s">
        <v>2216</v>
      </c>
      <c r="B2" s="2321"/>
      <c r="C2" s="2321"/>
      <c r="D2" s="2321"/>
      <c r="E2" s="2321"/>
      <c r="F2" s="2321"/>
      <c r="G2" s="2321"/>
      <c r="H2" s="2321"/>
    </row>
    <row r="3" spans="1:12">
      <c r="A3" s="2321" t="s">
        <v>2215</v>
      </c>
      <c r="B3" s="2321"/>
      <c r="C3" s="2321"/>
      <c r="D3" s="2321"/>
      <c r="E3" s="2321"/>
      <c r="F3" s="2321"/>
      <c r="G3" s="2321"/>
      <c r="H3" s="2321"/>
    </row>
    <row r="5" spans="1:12">
      <c r="A5" s="2320" t="s">
        <v>2214</v>
      </c>
      <c r="B5" s="2320"/>
      <c r="C5" s="2168" t="s">
        <v>2213</v>
      </c>
      <c r="D5" s="2168">
        <v>2023</v>
      </c>
      <c r="F5" s="2167" t="s">
        <v>319</v>
      </c>
      <c r="G5" s="2167" t="s">
        <v>2212</v>
      </c>
      <c r="H5" s="2166" t="s">
        <v>2211</v>
      </c>
      <c r="I5" s="2165"/>
    </row>
    <row r="6" spans="1:12">
      <c r="A6" s="2152" t="s">
        <v>96</v>
      </c>
      <c r="B6" s="2152" t="s">
        <v>231</v>
      </c>
    </row>
    <row r="8" spans="1:12">
      <c r="A8" s="2152">
        <v>302000</v>
      </c>
      <c r="B8" s="2152" t="s">
        <v>2204</v>
      </c>
      <c r="C8" s="2152" t="s">
        <v>2209</v>
      </c>
      <c r="D8" s="2157">
        <f>'1.1a Intangible Detail'!G84</f>
        <v>46804270.900000006</v>
      </c>
      <c r="E8" s="2157"/>
      <c r="F8" s="2157">
        <f>'1.1a Intangible Detail'!G81</f>
        <v>42107007.580000006</v>
      </c>
      <c r="G8" s="2157">
        <f>'1.1a Intangible Detail'!G82</f>
        <v>4697263.32</v>
      </c>
      <c r="H8" s="2157">
        <f>'[1]1.1a Intangible Detail'!G83</f>
        <v>0</v>
      </c>
      <c r="I8" s="2154" t="b">
        <f t="shared" ref="I8:I16" si="0">SUM(F8:H8)=D8</f>
        <v>1</v>
      </c>
      <c r="J8" s="2163">
        <f t="shared" ref="J8:J24" si="1">SUM(F8:H8)-D8</f>
        <v>0</v>
      </c>
    </row>
    <row r="9" spans="1:12">
      <c r="D9" s="2157"/>
      <c r="E9" s="2157"/>
      <c r="F9" s="2157"/>
      <c r="G9" s="2157"/>
      <c r="H9" s="2157"/>
      <c r="I9" s="2154" t="b">
        <f t="shared" si="0"/>
        <v>1</v>
      </c>
      <c r="J9" s="2163">
        <f t="shared" si="1"/>
        <v>0</v>
      </c>
    </row>
    <row r="10" spans="1:12">
      <c r="A10" s="2152">
        <v>303000</v>
      </c>
      <c r="B10" s="2152" t="s">
        <v>2203</v>
      </c>
      <c r="C10" s="2152" t="s">
        <v>2209</v>
      </c>
      <c r="D10" s="2157">
        <f>'[1]1.1a Intangible Detail'!D32</f>
        <v>7494383.9199999999</v>
      </c>
      <c r="E10" s="2157"/>
      <c r="F10" s="2157">
        <f>'[1]1.1a Intangible Detail'!G92</f>
        <v>447092.23</v>
      </c>
      <c r="G10" s="2157">
        <f>'[1]1.1a Intangible Detail'!G87</f>
        <v>6864993.6900000013</v>
      </c>
      <c r="H10" s="2157">
        <f>'[1]1.1a Intangible Detail'!G98</f>
        <v>182298</v>
      </c>
      <c r="I10" s="2154" t="b">
        <f t="shared" si="0"/>
        <v>1</v>
      </c>
      <c r="J10" s="2163">
        <f t="shared" si="1"/>
        <v>0</v>
      </c>
      <c r="L10" s="2157"/>
    </row>
    <row r="11" spans="1:12">
      <c r="A11" s="2152">
        <v>303100</v>
      </c>
      <c r="B11" s="2152" t="s">
        <v>2202</v>
      </c>
      <c r="C11" s="2152" t="s">
        <v>2209</v>
      </c>
      <c r="D11" s="2157">
        <f>'[1]1.1a Intangible Detail'!D45</f>
        <v>29766370.949999999</v>
      </c>
      <c r="E11" s="2157"/>
      <c r="F11" s="2157">
        <f>'1.1a Intangible Detail'!G93</f>
        <v>16218176.756072054</v>
      </c>
      <c r="G11" s="2157">
        <f>'1.1a Intangible Detail'!G88</f>
        <v>1759125.5472682705</v>
      </c>
      <c r="H11" s="2157">
        <f>'1.1a Intangible Detail'!G99</f>
        <v>11789068.646659676</v>
      </c>
      <c r="I11" s="2154" t="b">
        <f t="shared" si="0"/>
        <v>1</v>
      </c>
      <c r="J11" s="2163">
        <f t="shared" si="1"/>
        <v>0</v>
      </c>
    </row>
    <row r="12" spans="1:12">
      <c r="A12" s="2171" t="s">
        <v>3194</v>
      </c>
      <c r="B12" s="2152" t="s">
        <v>2208</v>
      </c>
      <c r="C12" s="2152" t="s">
        <v>2209</v>
      </c>
      <c r="D12" s="2157">
        <f>SUM('1.1a Intangible Detail'!G89,'1.1a Intangible Detail'!G94,'1.1a Intangible Detail'!G100)</f>
        <v>15923702.98</v>
      </c>
      <c r="E12" s="2157"/>
      <c r="F12" s="2157" t="str">
        <f>'1.1a Intangible Detail'!G94</f>
        <v xml:space="preserve"> -   </v>
      </c>
      <c r="G12" s="2157">
        <f>'1.1a Intangible Detail'!G89</f>
        <v>0</v>
      </c>
      <c r="H12" s="2157">
        <f>'1.1a Intangible Detail'!G100</f>
        <v>15923702.98</v>
      </c>
      <c r="I12" s="2154" t="b">
        <f t="shared" si="0"/>
        <v>1</v>
      </c>
      <c r="J12" s="2163">
        <f t="shared" si="1"/>
        <v>0</v>
      </c>
      <c r="L12" s="2157"/>
    </row>
    <row r="13" spans="1:12">
      <c r="A13" s="2152">
        <v>303345</v>
      </c>
      <c r="B13" s="2170" t="s">
        <v>2208</v>
      </c>
      <c r="D13" s="2157">
        <f>'1.1a Intangible Detail'!G95</f>
        <v>4656443.7</v>
      </c>
      <c r="E13" s="2157"/>
      <c r="F13" s="2157">
        <f>'1.1a Intangible Detail'!G95</f>
        <v>4656443.7</v>
      </c>
      <c r="G13" s="2157">
        <v>0</v>
      </c>
      <c r="H13" s="2157">
        <v>0</v>
      </c>
      <c r="I13" s="2154" t="b">
        <f t="shared" si="0"/>
        <v>1</v>
      </c>
      <c r="J13" s="2163">
        <f t="shared" si="1"/>
        <v>0</v>
      </c>
      <c r="K13" s="2164" t="s">
        <v>600</v>
      </c>
    </row>
    <row r="14" spans="1:12">
      <c r="B14" s="2152" t="s">
        <v>2199</v>
      </c>
      <c r="D14" s="2158">
        <f>SUM(D10:D13)</f>
        <v>57840901.549999997</v>
      </c>
      <c r="E14" s="2157"/>
      <c r="F14" s="2158">
        <f>SUM(F10:F13)</f>
        <v>21321712.686072055</v>
      </c>
      <c r="G14" s="2158">
        <f>SUM(G10:G13)</f>
        <v>8624119.2372682728</v>
      </c>
      <c r="H14" s="2158">
        <f>SUM(H10:H13)</f>
        <v>27895069.626659676</v>
      </c>
      <c r="I14" s="2154" t="b">
        <f t="shared" si="0"/>
        <v>1</v>
      </c>
      <c r="J14" s="2163">
        <f t="shared" si="1"/>
        <v>0</v>
      </c>
    </row>
    <row r="15" spans="1:12">
      <c r="D15" s="2157"/>
      <c r="E15" s="2157"/>
      <c r="F15" s="2157"/>
      <c r="G15" s="2157"/>
      <c r="H15" s="2157"/>
      <c r="I15" s="2154" t="b">
        <f t="shared" si="0"/>
        <v>1</v>
      </c>
      <c r="J15" s="2163">
        <f t="shared" si="1"/>
        <v>0</v>
      </c>
    </row>
    <row r="16" spans="1:12" ht="16.5" thickBot="1">
      <c r="B16" s="2152" t="s">
        <v>2207</v>
      </c>
      <c r="D16" s="2162">
        <f>SUM(D8:D13)</f>
        <v>104645172.45000002</v>
      </c>
      <c r="E16" s="2157"/>
      <c r="F16" s="2162">
        <f>SUM(F8:F13)</f>
        <v>63428720.266072057</v>
      </c>
      <c r="G16" s="2162">
        <f>SUM(G8:G12)</f>
        <v>13321382.557268273</v>
      </c>
      <c r="H16" s="2162">
        <f>SUM(H8:H12)</f>
        <v>27895069.626659676</v>
      </c>
      <c r="I16" s="2154" t="b">
        <f t="shared" si="0"/>
        <v>1</v>
      </c>
      <c r="J16" s="2163">
        <f t="shared" si="1"/>
        <v>0</v>
      </c>
    </row>
    <row r="17" spans="1:14" ht="16.5" thickTop="1">
      <c r="B17" s="2152" t="s">
        <v>2206</v>
      </c>
      <c r="D17" s="2157"/>
      <c r="E17" s="2157"/>
      <c r="F17" s="2161">
        <f>F16/D16</f>
        <v>0.6061313559053918</v>
      </c>
      <c r="G17" s="2161">
        <f>G16/D16</f>
        <v>0.1273004979148302</v>
      </c>
      <c r="H17" s="2161">
        <f>H16/D16</f>
        <v>0.26656814617977792</v>
      </c>
      <c r="I17" s="2154"/>
      <c r="J17" s="2163">
        <f t="shared" si="1"/>
        <v>1</v>
      </c>
    </row>
    <row r="18" spans="1:14">
      <c r="D18" s="2157"/>
      <c r="E18" s="2157"/>
      <c r="F18" s="2157"/>
      <c r="G18" s="2157"/>
      <c r="H18" s="2157"/>
      <c r="I18" s="2154" t="b">
        <f>SUM(F18:H18)=D18</f>
        <v>1</v>
      </c>
      <c r="J18" s="2163">
        <f t="shared" si="1"/>
        <v>0</v>
      </c>
    </row>
    <row r="19" spans="1:14">
      <c r="A19" s="2320" t="s">
        <v>2205</v>
      </c>
      <c r="B19" s="2320"/>
      <c r="D19" s="2157"/>
      <c r="E19" s="2157"/>
      <c r="F19" s="2157"/>
      <c r="G19" s="2157"/>
      <c r="H19" s="2157"/>
      <c r="I19" s="2154" t="b">
        <f>SUM(F19:H19)=D19</f>
        <v>1</v>
      </c>
      <c r="J19" s="2163">
        <f t="shared" si="1"/>
        <v>0</v>
      </c>
    </row>
    <row r="20" spans="1:14">
      <c r="A20" s="2152">
        <v>302000</v>
      </c>
      <c r="B20" s="2152" t="s">
        <v>2204</v>
      </c>
      <c r="C20" s="2152" t="s">
        <v>2201</v>
      </c>
      <c r="D20" s="2157">
        <f>'[1]Intangible Reserve 1.1c'!F11</f>
        <v>-9306035.6400000025</v>
      </c>
      <c r="E20" s="2157"/>
      <c r="F20" s="2157">
        <f>'[1]Intangible Reserve 1.1c'!F40</f>
        <v>-8402719.4400000013</v>
      </c>
      <c r="G20" s="2157">
        <f>'[1]Intangible Reserve 1.1c'!F41</f>
        <v>-903316.2</v>
      </c>
      <c r="H20" s="2157">
        <v>0</v>
      </c>
      <c r="I20" s="2154" t="b">
        <f>SUM(F20:H20)=D20</f>
        <v>1</v>
      </c>
      <c r="J20" s="2163">
        <f t="shared" si="1"/>
        <v>0</v>
      </c>
    </row>
    <row r="21" spans="1:14">
      <c r="D21" s="2157"/>
      <c r="E21" s="2157"/>
      <c r="F21" s="2157"/>
      <c r="G21" s="2157"/>
      <c r="H21" s="2157"/>
      <c r="I21" s="2154" t="b">
        <f>SUM(F21:H21)=D21</f>
        <v>1</v>
      </c>
      <c r="J21" s="2163">
        <f t="shared" si="1"/>
        <v>0</v>
      </c>
    </row>
    <row r="22" spans="1:14">
      <c r="A22" s="2152">
        <v>303000</v>
      </c>
      <c r="B22" s="2152" t="s">
        <v>2203</v>
      </c>
      <c r="C22" s="2152" t="s">
        <v>2201</v>
      </c>
      <c r="D22" s="2157">
        <f>'[1]Intangible Reserve 1.1c'!F27</f>
        <v>-2268021.5</v>
      </c>
      <c r="E22" s="2157"/>
      <c r="F22" s="2157">
        <f>'[1]Intangible Reserve 1.1c'!F51</f>
        <v>-253088.64999999997</v>
      </c>
      <c r="G22" s="2157">
        <f>'[1]Intangible Reserve 1.1c'!F46</f>
        <v>-1991040.69</v>
      </c>
      <c r="H22" s="2157">
        <f>'[1]Intangible Reserve 1.1c'!F55</f>
        <v>-23892.16</v>
      </c>
      <c r="I22" s="2154"/>
      <c r="J22" s="2163">
        <f t="shared" si="1"/>
        <v>0</v>
      </c>
    </row>
    <row r="23" spans="1:14">
      <c r="A23" s="2152">
        <v>303100</v>
      </c>
      <c r="B23" s="2152" t="s">
        <v>2202</v>
      </c>
      <c r="C23" s="2152" t="s">
        <v>2201</v>
      </c>
      <c r="D23" s="2318">
        <f>'Intangible Reserve 1.1c'!F35</f>
        <v>-5950612.2199999997</v>
      </c>
      <c r="E23" s="2157"/>
      <c r="F23" s="2318">
        <f>'[1]Intangible Reserve 1.1c'!F52</f>
        <v>-4142690.715501627</v>
      </c>
      <c r="G23" s="2318">
        <f>'[1]Intangible Reserve 1.1c'!F47</f>
        <v>-294472.33239826042</v>
      </c>
      <c r="H23" s="2318">
        <f>'[1]Intangible Reserve 1.1c'!F56-0.44</f>
        <v>-1513449.168802904</v>
      </c>
      <c r="I23" s="2154"/>
      <c r="J23" s="2163">
        <f t="shared" si="1"/>
        <v>3.297208808362484E-3</v>
      </c>
    </row>
    <row r="24" spans="1:14">
      <c r="A24" s="2152">
        <v>303110</v>
      </c>
      <c r="B24" s="2152" t="s">
        <v>2200</v>
      </c>
      <c r="D24" s="2319"/>
      <c r="E24" s="2157"/>
      <c r="F24" s="2319"/>
      <c r="G24" s="2319"/>
      <c r="H24" s="2319"/>
      <c r="I24" s="2154" t="b">
        <f>SUM(F24:H24)=D24</f>
        <v>1</v>
      </c>
      <c r="J24" s="2163">
        <f t="shared" si="1"/>
        <v>0</v>
      </c>
    </row>
    <row r="25" spans="1:14">
      <c r="B25" s="2152" t="s">
        <v>2199</v>
      </c>
      <c r="D25" s="2158">
        <f>SUM(D22:D24)</f>
        <v>-8218633.7199999997</v>
      </c>
      <c r="E25" s="2157"/>
      <c r="F25" s="2158">
        <f>SUM(F22:F24)</f>
        <v>-4395779.3655016273</v>
      </c>
      <c r="G25" s="2158">
        <f>SUM(G22:G24)</f>
        <v>-2285513.0223982604</v>
      </c>
      <c r="H25" s="2158">
        <f>SUM(H22:H24)</f>
        <v>-1537341.3288029039</v>
      </c>
      <c r="I25" s="2154"/>
    </row>
    <row r="26" spans="1:14">
      <c r="D26" s="2157"/>
      <c r="E26" s="2157"/>
      <c r="F26" s="2239"/>
      <c r="G26" s="2239"/>
      <c r="H26" s="2239"/>
      <c r="I26" s="2231"/>
    </row>
    <row r="27" spans="1:14" ht="16.5" thickBot="1">
      <c r="A27" s="2320" t="s">
        <v>2198</v>
      </c>
      <c r="B27" s="2320"/>
      <c r="C27" s="2152" t="s">
        <v>2197</v>
      </c>
      <c r="D27" s="2162">
        <f>SUM(D20:D24)</f>
        <v>-17524669.360000003</v>
      </c>
      <c r="E27" s="2157"/>
      <c r="F27" s="2162">
        <f>SUM(F20:F24)</f>
        <v>-12798498.805501629</v>
      </c>
      <c r="G27" s="2162">
        <f>SUM(G20:G24)</f>
        <v>-3188829.2223982601</v>
      </c>
      <c r="H27" s="2162">
        <f>SUM(H20:H24)</f>
        <v>-1537341.3288029039</v>
      </c>
      <c r="I27" s="2154"/>
    </row>
    <row r="28" spans="1:14" ht="16.5" thickTop="1">
      <c r="D28" s="2157"/>
      <c r="E28" s="2157"/>
      <c r="F28" s="2161">
        <f>F27/$D$27</f>
        <v>0.73031328252698213</v>
      </c>
      <c r="G28" s="2161">
        <f>G27/$D$27</f>
        <v>0.18196230450297407</v>
      </c>
      <c r="H28" s="2161">
        <f>H27/$D$27</f>
        <v>8.7724412781897049E-2</v>
      </c>
      <c r="I28" s="2232"/>
      <c r="K28" s="2280"/>
      <c r="L28" s="2280"/>
      <c r="M28"/>
      <c r="N28" s="1989"/>
    </row>
    <row r="29" spans="1:14">
      <c r="A29" s="2316" t="s">
        <v>2196</v>
      </c>
      <c r="B29" s="2316"/>
      <c r="D29" s="2157"/>
      <c r="E29" s="2157"/>
      <c r="F29" s="2157"/>
      <c r="G29" s="2157"/>
      <c r="H29" s="2157"/>
      <c r="I29" s="2154"/>
      <c r="K29"/>
      <c r="L29"/>
      <c r="M29"/>
      <c r="N29" s="2198"/>
    </row>
    <row r="30" spans="1:14">
      <c r="A30" s="2152">
        <v>302000</v>
      </c>
      <c r="B30" s="2152" t="s">
        <v>2195</v>
      </c>
      <c r="C30" s="2152" t="s">
        <v>2194</v>
      </c>
      <c r="D30" s="2160">
        <f>D32*0.226</f>
        <v>2226233.1140000001</v>
      </c>
      <c r="E30" s="2157"/>
      <c r="F30" s="2158">
        <f>$D$30*(F20/D20)</f>
        <v>2010137.6126880527</v>
      </c>
      <c r="G30" s="2158">
        <f>$D$30*(G20/D20)</f>
        <v>216095.50131194707</v>
      </c>
      <c r="H30" s="2158">
        <f>$D$30*(H20/D20)</f>
        <v>0</v>
      </c>
      <c r="I30" s="2159"/>
      <c r="K30"/>
      <c r="L30"/>
      <c r="M30"/>
      <c r="N30" s="2198"/>
    </row>
    <row r="31" spans="1:14">
      <c r="A31" s="2152">
        <v>303000</v>
      </c>
      <c r="B31" s="2152" t="s">
        <v>2195</v>
      </c>
      <c r="C31" s="2152" t="s">
        <v>2194</v>
      </c>
      <c r="D31" s="2160">
        <f>D32*0.774</f>
        <v>7624355.8859999999</v>
      </c>
      <c r="E31" s="2157"/>
      <c r="F31" s="2156">
        <f>D31*F28</f>
        <v>5568168.3742585769</v>
      </c>
      <c r="G31" s="2156">
        <f>D31*G28</f>
        <v>1387345.3673673747</v>
      </c>
      <c r="H31" s="2156">
        <f>D31*H28</f>
        <v>668842.14293955034</v>
      </c>
      <c r="I31" s="2159"/>
      <c r="K31"/>
      <c r="L31"/>
      <c r="M31"/>
      <c r="N31" s="2199"/>
    </row>
    <row r="32" spans="1:14">
      <c r="B32" s="2152" t="s">
        <v>2193</v>
      </c>
      <c r="D32" s="2158">
        <f>+'336'!E2</f>
        <v>9850589</v>
      </c>
      <c r="E32" s="2157"/>
      <c r="F32" s="2156">
        <f>F30+F31</f>
        <v>7578305.9869466294</v>
      </c>
      <c r="G32" s="2156">
        <f>G30+G31</f>
        <v>1603440.8686793218</v>
      </c>
      <c r="H32" s="2156">
        <f>H30+H31</f>
        <v>668842.14293955034</v>
      </c>
      <c r="I32" s="2154"/>
    </row>
    <row r="33" spans="1:9">
      <c r="D33" s="2155">
        <f>D30+D31-D32</f>
        <v>0</v>
      </c>
      <c r="E33" s="2154"/>
      <c r="F33" s="2154"/>
      <c r="G33" s="2154"/>
      <c r="H33" s="2154"/>
      <c r="I33" s="2154"/>
    </row>
    <row r="39" spans="1:9" ht="15.75" customHeight="1">
      <c r="A39" s="2152" t="s">
        <v>2192</v>
      </c>
      <c r="B39" s="2317" t="s">
        <v>2191</v>
      </c>
      <c r="C39" s="2317"/>
      <c r="D39" s="2317"/>
      <c r="E39" s="2317"/>
      <c r="F39" s="2317"/>
      <c r="G39" s="2317"/>
      <c r="H39" s="2317"/>
    </row>
    <row r="40" spans="1:9">
      <c r="B40" s="2317"/>
      <c r="C40" s="2317"/>
      <c r="D40" s="2317"/>
      <c r="E40" s="2317"/>
      <c r="F40" s="2317"/>
      <c r="G40" s="2317"/>
      <c r="H40" s="2317"/>
    </row>
    <row r="41" spans="1:9">
      <c r="B41" s="2153"/>
      <c r="C41" s="2153"/>
      <c r="D41" s="2153"/>
      <c r="E41" s="2153"/>
      <c r="F41" s="2153"/>
      <c r="G41" s="2153"/>
      <c r="H41" s="2153"/>
    </row>
    <row r="42" spans="1:9">
      <c r="B42" s="2153"/>
      <c r="C42" s="2153"/>
      <c r="D42" s="2153"/>
      <c r="E42" s="2153"/>
      <c r="F42" s="2153"/>
      <c r="G42" s="2153"/>
      <c r="H42" s="2153"/>
    </row>
    <row r="43" spans="1:9">
      <c r="B43" s="2153"/>
      <c r="C43" s="2153"/>
      <c r="D43" s="2153"/>
      <c r="E43" s="2153"/>
      <c r="F43" s="2153"/>
      <c r="G43" s="2153"/>
      <c r="H43" s="2153"/>
    </row>
  </sheetData>
  <mergeCells count="13">
    <mergeCell ref="A1:H1"/>
    <mergeCell ref="A2:H2"/>
    <mergeCell ref="A3:H3"/>
    <mergeCell ref="A5:B5"/>
    <mergeCell ref="A19:B19"/>
    <mergeCell ref="A29:B29"/>
    <mergeCell ref="B39:H40"/>
    <mergeCell ref="D23:D24"/>
    <mergeCell ref="F23:F24"/>
    <mergeCell ref="K28:L28"/>
    <mergeCell ref="G23:G24"/>
    <mergeCell ref="H23:H24"/>
    <mergeCell ref="A27:B27"/>
  </mergeCells>
  <pageMargins left="0.7" right="0.7" top="0.75" bottom="0.75" header="0.3" footer="0.3"/>
  <pageSetup orientation="portrait" r:id="rId1"/>
  <customProperties>
    <customPr name="xxe4aP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CC540-7601-49CC-B473-D1D227821B93}">
  <sheetPr codeName="Sheet26"/>
  <dimension ref="A1:I108"/>
  <sheetViews>
    <sheetView zoomScale="120" zoomScaleNormal="120" workbookViewId="0">
      <selection activeCell="D14" sqref="D14"/>
    </sheetView>
  </sheetViews>
  <sheetFormatPr defaultRowHeight="15.75"/>
  <cols>
    <col min="1" max="1" width="8.125" customWidth="1"/>
    <col min="2" max="2" width="59.25" bestFit="1" customWidth="1"/>
    <col min="3" max="3" width="5.375" bestFit="1" customWidth="1"/>
    <col min="4" max="4" width="14.875" bestFit="1" customWidth="1"/>
    <col min="5" max="5" width="10.875" customWidth="1"/>
    <col min="6" max="6" width="14.625" customWidth="1"/>
    <col min="7" max="7" width="12.625" customWidth="1"/>
    <col min="8" max="8" width="20" bestFit="1" customWidth="1"/>
    <col min="9" max="9" width="12.625" bestFit="1" customWidth="1"/>
  </cols>
  <sheetData>
    <row r="1" spans="1:7">
      <c r="E1" t="s">
        <v>2285</v>
      </c>
    </row>
    <row r="2" spans="1:7">
      <c r="E2" t="s">
        <v>2284</v>
      </c>
    </row>
    <row r="3" spans="1:7" hidden="1">
      <c r="D3" t="s">
        <v>2283</v>
      </c>
    </row>
    <row r="4" spans="1:7">
      <c r="A4" t="s">
        <v>2282</v>
      </c>
      <c r="B4" t="s">
        <v>2281</v>
      </c>
      <c r="C4" t="s">
        <v>2280</v>
      </c>
      <c r="D4" s="1994"/>
    </row>
    <row r="5" spans="1:7">
      <c r="A5">
        <v>302000</v>
      </c>
      <c r="B5" t="s">
        <v>2242</v>
      </c>
      <c r="C5" t="s">
        <v>2232</v>
      </c>
      <c r="D5" s="1994">
        <v>8667214.1400000006</v>
      </c>
      <c r="E5" t="s">
        <v>319</v>
      </c>
      <c r="F5" s="2017"/>
    </row>
    <row r="6" spans="1:7">
      <c r="B6" t="s">
        <v>2279</v>
      </c>
      <c r="C6" t="s">
        <v>2232</v>
      </c>
      <c r="D6" s="1994">
        <v>369469.5</v>
      </c>
      <c r="E6" t="s">
        <v>106</v>
      </c>
      <c r="F6" s="2017"/>
    </row>
    <row r="7" spans="1:7">
      <c r="B7" t="s">
        <v>2278</v>
      </c>
      <c r="C7" t="s">
        <v>2271</v>
      </c>
      <c r="D7" s="1994">
        <v>0</v>
      </c>
      <c r="E7" t="s">
        <v>319</v>
      </c>
      <c r="F7" s="2017"/>
    </row>
    <row r="8" spans="1:7">
      <c r="B8" t="s">
        <v>2083</v>
      </c>
      <c r="C8" t="s">
        <v>2235</v>
      </c>
      <c r="D8" s="1994">
        <v>27217345.559999999</v>
      </c>
      <c r="E8" t="s">
        <v>319</v>
      </c>
      <c r="F8" s="2017"/>
    </row>
    <row r="9" spans="1:7">
      <c r="B9" t="s">
        <v>2239</v>
      </c>
      <c r="C9" t="s">
        <v>2238</v>
      </c>
      <c r="D9" s="1994">
        <v>6222447.8799999999</v>
      </c>
      <c r="E9" t="s">
        <v>319</v>
      </c>
      <c r="F9" s="2017"/>
    </row>
    <row r="10" spans="1:7">
      <c r="B10" t="s">
        <v>2234</v>
      </c>
      <c r="C10" t="s">
        <v>2232</v>
      </c>
      <c r="D10" s="1994">
        <v>1572740.97</v>
      </c>
      <c r="E10" t="s">
        <v>106</v>
      </c>
      <c r="F10" s="2017"/>
      <c r="G10" s="1641"/>
    </row>
    <row r="11" spans="1:7">
      <c r="B11" t="s">
        <v>2277</v>
      </c>
      <c r="C11" t="s">
        <v>2235</v>
      </c>
      <c r="D11" s="1994">
        <v>2755052.85</v>
      </c>
      <c r="E11" t="s">
        <v>106</v>
      </c>
      <c r="F11" s="2017"/>
    </row>
    <row r="12" spans="1:7">
      <c r="B12" s="2240" t="s">
        <v>2210</v>
      </c>
      <c r="D12" s="1994"/>
    </row>
    <row r="13" spans="1:7">
      <c r="B13" s="2004" t="s">
        <v>104</v>
      </c>
      <c r="C13" s="2004"/>
      <c r="D13" s="2002">
        <f>SUM(D5:D12)</f>
        <v>46804270.900000006</v>
      </c>
      <c r="E13" s="1995"/>
    </row>
    <row r="14" spans="1:7">
      <c r="A14">
        <v>303000</v>
      </c>
      <c r="B14" t="s">
        <v>2262</v>
      </c>
      <c r="C14" t="s">
        <v>2235</v>
      </c>
      <c r="D14" s="1994">
        <v>182298</v>
      </c>
      <c r="E14" t="s">
        <v>2276</v>
      </c>
      <c r="F14" s="2017"/>
    </row>
    <row r="15" spans="1:7">
      <c r="B15" t="s">
        <v>2275</v>
      </c>
      <c r="C15" t="s">
        <v>2232</v>
      </c>
      <c r="D15" s="1994">
        <v>5064969.79</v>
      </c>
      <c r="E15" t="s">
        <v>106</v>
      </c>
      <c r="F15" s="2017"/>
    </row>
    <row r="16" spans="1:7">
      <c r="B16" t="s">
        <v>2274</v>
      </c>
      <c r="C16" t="s">
        <v>2235</v>
      </c>
      <c r="D16" s="1994">
        <v>303789.43</v>
      </c>
      <c r="E16" t="s">
        <v>106</v>
      </c>
      <c r="F16" s="2017"/>
    </row>
    <row r="17" spans="2:6">
      <c r="B17" t="s">
        <v>2273</v>
      </c>
      <c r="C17" t="s">
        <v>2235</v>
      </c>
      <c r="D17" s="1994">
        <v>420295.36</v>
      </c>
      <c r="E17" t="s">
        <v>106</v>
      </c>
      <c r="F17" s="2017"/>
    </row>
    <row r="18" spans="2:6">
      <c r="B18" t="s">
        <v>2241</v>
      </c>
      <c r="C18" t="s">
        <v>2232</v>
      </c>
      <c r="D18" s="1994">
        <v>10924.77</v>
      </c>
      <c r="E18" s="1211" t="s">
        <v>319</v>
      </c>
      <c r="F18" s="2017"/>
    </row>
    <row r="19" spans="2:6">
      <c r="B19" t="s">
        <v>2272</v>
      </c>
      <c r="C19" t="s">
        <v>2271</v>
      </c>
      <c r="D19" s="1994">
        <v>162603.68</v>
      </c>
      <c r="E19" s="1211" t="s">
        <v>319</v>
      </c>
      <c r="F19" s="2017"/>
    </row>
    <row r="20" spans="2:6">
      <c r="B20" t="s">
        <v>2270</v>
      </c>
      <c r="C20" t="s">
        <v>2235</v>
      </c>
      <c r="D20" s="1994">
        <v>141717.4</v>
      </c>
      <c r="E20" s="1211" t="s">
        <v>106</v>
      </c>
      <c r="F20" s="2017"/>
    </row>
    <row r="21" spans="2:6">
      <c r="B21" t="s">
        <v>2269</v>
      </c>
      <c r="C21" t="s">
        <v>2235</v>
      </c>
      <c r="D21" s="1994">
        <v>0</v>
      </c>
      <c r="E21" s="1211"/>
    </row>
    <row r="22" spans="2:6">
      <c r="B22" t="s">
        <v>2268</v>
      </c>
      <c r="C22" t="s">
        <v>2235</v>
      </c>
      <c r="D22" s="1994">
        <v>0</v>
      </c>
      <c r="E22" s="1211"/>
    </row>
    <row r="23" spans="2:6">
      <c r="B23" t="s">
        <v>2267</v>
      </c>
      <c r="C23" t="s">
        <v>2235</v>
      </c>
      <c r="D23" s="1994">
        <v>11937.03</v>
      </c>
      <c r="E23" s="1211" t="s">
        <v>106</v>
      </c>
      <c r="F23" s="2017"/>
    </row>
    <row r="24" spans="2:6">
      <c r="B24" t="s">
        <v>2266</v>
      </c>
      <c r="C24" t="s">
        <v>2232</v>
      </c>
      <c r="D24" s="1994">
        <v>160380.82999999999</v>
      </c>
      <c r="E24" s="1211" t="s">
        <v>106</v>
      </c>
      <c r="F24" s="2017"/>
    </row>
    <row r="25" spans="2:6">
      <c r="B25" t="s">
        <v>2265</v>
      </c>
      <c r="C25" t="s">
        <v>2232</v>
      </c>
      <c r="D25" s="1994">
        <v>40477.75</v>
      </c>
      <c r="E25" s="1211" t="s">
        <v>319</v>
      </c>
      <c r="F25" s="2017"/>
    </row>
    <row r="26" spans="2:6">
      <c r="B26" t="s">
        <v>2236</v>
      </c>
      <c r="C26" t="s">
        <v>2235</v>
      </c>
      <c r="D26" s="1994">
        <v>0</v>
      </c>
      <c r="E26" s="1211" t="s">
        <v>319</v>
      </c>
      <c r="F26" s="2169"/>
    </row>
    <row r="27" spans="2:6">
      <c r="B27" t="s">
        <v>2264</v>
      </c>
      <c r="C27" t="s">
        <v>2235</v>
      </c>
      <c r="D27" s="1994">
        <v>137418.35</v>
      </c>
      <c r="E27" s="1211" t="s">
        <v>106</v>
      </c>
      <c r="F27" s="2017"/>
    </row>
    <row r="28" spans="2:6">
      <c r="B28" t="s">
        <v>2240</v>
      </c>
      <c r="C28" t="s">
        <v>2238</v>
      </c>
      <c r="D28" s="1994">
        <v>224178</v>
      </c>
      <c r="E28" s="1211" t="s">
        <v>319</v>
      </c>
      <c r="F28" s="2017"/>
    </row>
    <row r="29" spans="2:6">
      <c r="B29" t="s">
        <v>2239</v>
      </c>
      <c r="C29" t="s">
        <v>2238</v>
      </c>
      <c r="D29" s="1994">
        <v>8908.0300000000007</v>
      </c>
      <c r="E29" s="1211" t="s">
        <v>319</v>
      </c>
      <c r="F29" s="2017"/>
    </row>
    <row r="30" spans="2:6">
      <c r="B30" t="s">
        <v>2263</v>
      </c>
      <c r="C30" t="s">
        <v>2232</v>
      </c>
      <c r="D30" s="1994">
        <v>607098.02</v>
      </c>
      <c r="E30" s="1211" t="s">
        <v>106</v>
      </c>
      <c r="F30" s="2017"/>
    </row>
    <row r="31" spans="2:6">
      <c r="B31" t="s">
        <v>2258</v>
      </c>
      <c r="C31" t="s">
        <v>2235</v>
      </c>
      <c r="D31" s="1994">
        <v>17387.48</v>
      </c>
      <c r="E31" s="1211" t="s">
        <v>106</v>
      </c>
      <c r="F31" s="2017"/>
    </row>
    <row r="32" spans="2:6">
      <c r="B32" s="2004" t="s">
        <v>104</v>
      </c>
      <c r="C32" s="2004"/>
      <c r="D32" s="2002">
        <f>SUM(D14:D31)</f>
        <v>7494383.9199999999</v>
      </c>
    </row>
    <row r="33" spans="1:5">
      <c r="A33">
        <v>303100</v>
      </c>
      <c r="B33" t="s">
        <v>2262</v>
      </c>
      <c r="C33" t="s">
        <v>2235</v>
      </c>
      <c r="D33" s="1994">
        <v>317204</v>
      </c>
      <c r="E33" t="s">
        <v>2329</v>
      </c>
    </row>
    <row r="34" spans="1:5">
      <c r="B34" t="s">
        <v>2261</v>
      </c>
      <c r="C34" t="s">
        <v>2238</v>
      </c>
      <c r="D34" s="1994">
        <v>1191.76</v>
      </c>
      <c r="E34" t="s">
        <v>2329</v>
      </c>
    </row>
    <row r="35" spans="1:5">
      <c r="B35" t="s">
        <v>2260</v>
      </c>
      <c r="C35" t="s">
        <v>2235</v>
      </c>
      <c r="D35" s="1994">
        <v>71758.33</v>
      </c>
      <c r="E35" t="s">
        <v>2329</v>
      </c>
    </row>
    <row r="36" spans="1:5">
      <c r="B36" t="s">
        <v>2259</v>
      </c>
      <c r="C36" t="s">
        <v>2235</v>
      </c>
      <c r="D36" s="1994">
        <v>0</v>
      </c>
      <c r="E36" t="s">
        <v>2329</v>
      </c>
    </row>
    <row r="37" spans="1:5">
      <c r="B37" t="s">
        <v>2239</v>
      </c>
      <c r="C37" t="s">
        <v>2238</v>
      </c>
      <c r="D37" s="1994">
        <v>0</v>
      </c>
      <c r="E37" t="s">
        <v>2329</v>
      </c>
    </row>
    <row r="38" spans="1:5">
      <c r="B38" t="s">
        <v>2258</v>
      </c>
      <c r="C38" t="s">
        <v>2235</v>
      </c>
      <c r="D38" s="1994">
        <v>0</v>
      </c>
      <c r="E38" t="s">
        <v>2329</v>
      </c>
    </row>
    <row r="39" spans="1:5">
      <c r="B39" t="s">
        <v>2250</v>
      </c>
      <c r="C39" t="s">
        <v>2249</v>
      </c>
      <c r="D39" s="1994">
        <v>0</v>
      </c>
      <c r="E39" t="s">
        <v>2329</v>
      </c>
    </row>
    <row r="40" spans="1:5">
      <c r="B40" t="s">
        <v>2251</v>
      </c>
      <c r="C40" t="s">
        <v>2232</v>
      </c>
      <c r="D40" s="1994">
        <v>101044.82</v>
      </c>
      <c r="E40" t="s">
        <v>2329</v>
      </c>
    </row>
    <row r="41" spans="1:5">
      <c r="B41" t="s">
        <v>2257</v>
      </c>
      <c r="C41" t="s">
        <v>2238</v>
      </c>
      <c r="D41" s="1994">
        <v>26007.52</v>
      </c>
      <c r="E41" t="s">
        <v>2329</v>
      </c>
    </row>
    <row r="42" spans="1:5">
      <c r="B42" t="s">
        <v>2243</v>
      </c>
      <c r="C42" t="s">
        <v>2235</v>
      </c>
      <c r="D42" s="1994">
        <v>24352884.25</v>
      </c>
      <c r="E42" t="s">
        <v>2329</v>
      </c>
    </row>
    <row r="43" spans="1:5">
      <c r="B43" t="s">
        <v>2256</v>
      </c>
      <c r="C43" t="s">
        <v>2232</v>
      </c>
      <c r="D43" s="1994">
        <v>0</v>
      </c>
      <c r="E43" t="s">
        <v>2329</v>
      </c>
    </row>
    <row r="44" spans="1:5">
      <c r="B44" t="s">
        <v>2247</v>
      </c>
      <c r="C44" t="s">
        <v>2235</v>
      </c>
      <c r="D44" s="1994">
        <v>4896280.2699999996</v>
      </c>
      <c r="E44" t="s">
        <v>2329</v>
      </c>
    </row>
    <row r="45" spans="1:5">
      <c r="B45" s="2004" t="s">
        <v>104</v>
      </c>
      <c r="C45" s="2004"/>
      <c r="D45" s="2002">
        <f>SUM(D33:D44)</f>
        <v>29766370.949999999</v>
      </c>
    </row>
    <row r="46" spans="1:5">
      <c r="A46" s="1750" t="s">
        <v>2255</v>
      </c>
      <c r="B46" t="s">
        <v>2243</v>
      </c>
      <c r="C46" t="s">
        <v>2235</v>
      </c>
      <c r="D46" s="1994">
        <v>378148.62</v>
      </c>
      <c r="E46" t="s">
        <v>516</v>
      </c>
    </row>
    <row r="47" spans="1:5">
      <c r="B47" s="2004" t="s">
        <v>104</v>
      </c>
      <c r="D47" s="2002">
        <v>378148.62</v>
      </c>
    </row>
    <row r="48" spans="1:5">
      <c r="A48" s="1750" t="s">
        <v>2254</v>
      </c>
      <c r="B48" t="s">
        <v>2243</v>
      </c>
      <c r="C48" t="s">
        <v>2235</v>
      </c>
      <c r="D48" s="1994">
        <v>1013677.45</v>
      </c>
      <c r="E48" t="s">
        <v>516</v>
      </c>
    </row>
    <row r="49" spans="1:5">
      <c r="A49" s="1750"/>
      <c r="B49" s="2004" t="s">
        <v>104</v>
      </c>
      <c r="C49" s="2004"/>
      <c r="D49" s="2002">
        <v>1013677.45</v>
      </c>
    </row>
    <row r="50" spans="1:5">
      <c r="A50" s="1750" t="s">
        <v>2253</v>
      </c>
      <c r="B50" t="s">
        <v>2243</v>
      </c>
      <c r="C50" t="s">
        <v>2235</v>
      </c>
      <c r="D50" s="1994">
        <v>1609449.2</v>
      </c>
      <c r="E50" t="s">
        <v>516</v>
      </c>
    </row>
    <row r="51" spans="1:5">
      <c r="A51" s="1750"/>
      <c r="B51" s="2004" t="s">
        <v>104</v>
      </c>
      <c r="C51" s="2004"/>
      <c r="D51" s="2002">
        <v>1609449.2</v>
      </c>
    </row>
    <row r="52" spans="1:5">
      <c r="A52" s="1750" t="s">
        <v>2252</v>
      </c>
      <c r="B52" t="s">
        <v>2251</v>
      </c>
      <c r="C52" t="s">
        <v>2232</v>
      </c>
      <c r="D52" s="1994">
        <v>191287.43</v>
      </c>
      <c r="E52" t="s">
        <v>516</v>
      </c>
    </row>
    <row r="53" spans="1:5">
      <c r="A53" s="1750"/>
      <c r="B53" t="s">
        <v>2243</v>
      </c>
      <c r="C53" t="s">
        <v>2235</v>
      </c>
      <c r="D53" s="1994">
        <v>2749094.87</v>
      </c>
      <c r="E53" t="s">
        <v>516</v>
      </c>
    </row>
    <row r="54" spans="1:5">
      <c r="A54" s="1750"/>
      <c r="B54" s="2004" t="s">
        <v>104</v>
      </c>
      <c r="C54" s="2004"/>
      <c r="D54" s="2002">
        <v>2940382.3</v>
      </c>
    </row>
    <row r="55" spans="1:5">
      <c r="A55">
        <v>303110</v>
      </c>
      <c r="B55" t="s">
        <v>2250</v>
      </c>
      <c r="C55" t="s">
        <v>2249</v>
      </c>
      <c r="D55" s="1994">
        <v>0</v>
      </c>
    </row>
    <row r="56" spans="1:5">
      <c r="B56" s="2004" t="s">
        <v>104</v>
      </c>
      <c r="C56" s="2004"/>
      <c r="D56" s="2002">
        <v>0</v>
      </c>
    </row>
    <row r="57" spans="1:5">
      <c r="A57" s="1750" t="s">
        <v>2248</v>
      </c>
      <c r="B57" t="s">
        <v>2247</v>
      </c>
      <c r="C57" t="s">
        <v>2235</v>
      </c>
      <c r="D57" s="1994">
        <v>1779527.32</v>
      </c>
      <c r="E57" t="s">
        <v>516</v>
      </c>
    </row>
    <row r="58" spans="1:5">
      <c r="A58" s="1750"/>
      <c r="B58" s="2004" t="s">
        <v>104</v>
      </c>
      <c r="C58" s="2004"/>
      <c r="D58" s="2002">
        <v>1779527.32</v>
      </c>
    </row>
    <row r="59" spans="1:5">
      <c r="A59" s="1750" t="s">
        <v>2246</v>
      </c>
      <c r="B59" t="s">
        <v>2243</v>
      </c>
      <c r="C59" t="s">
        <v>2235</v>
      </c>
      <c r="D59" s="1994">
        <v>7813329.0599999996</v>
      </c>
      <c r="E59" t="s">
        <v>516</v>
      </c>
    </row>
    <row r="60" spans="1:5">
      <c r="A60" s="1750"/>
      <c r="B60" s="2004" t="s">
        <v>104</v>
      </c>
      <c r="C60" s="2004"/>
      <c r="D60" s="2002">
        <v>7813329.0599999996</v>
      </c>
    </row>
    <row r="61" spans="1:5">
      <c r="A61" s="1750" t="s">
        <v>2245</v>
      </c>
      <c r="B61" t="s">
        <v>2243</v>
      </c>
      <c r="C61" t="s">
        <v>2235</v>
      </c>
      <c r="D61" s="1994">
        <v>142619.22</v>
      </c>
      <c r="E61" t="s">
        <v>516</v>
      </c>
    </row>
    <row r="62" spans="1:5">
      <c r="A62" s="1750"/>
      <c r="B62" s="2004" t="s">
        <v>104</v>
      </c>
      <c r="C62" s="2004"/>
      <c r="D62" s="2002">
        <v>142619.22</v>
      </c>
    </row>
    <row r="63" spans="1:5">
      <c r="A63" s="1750" t="s">
        <v>2244</v>
      </c>
      <c r="B63" t="s">
        <v>2243</v>
      </c>
      <c r="C63" t="s">
        <v>2235</v>
      </c>
      <c r="D63" s="1994">
        <v>59529.81</v>
      </c>
      <c r="E63" t="s">
        <v>516</v>
      </c>
    </row>
    <row r="64" spans="1:5">
      <c r="A64" s="1750"/>
      <c r="B64" s="2004" t="s">
        <v>104</v>
      </c>
      <c r="C64" s="2004"/>
      <c r="D64" s="2002">
        <v>59529.81</v>
      </c>
    </row>
    <row r="65" spans="1:8">
      <c r="A65">
        <v>303345</v>
      </c>
      <c r="B65" t="s">
        <v>2242</v>
      </c>
      <c r="C65" t="s">
        <v>2232</v>
      </c>
      <c r="D65" s="1994">
        <v>48529.47</v>
      </c>
      <c r="E65" t="s">
        <v>319</v>
      </c>
    </row>
    <row r="66" spans="1:8">
      <c r="B66" s="2241" t="s">
        <v>2241</v>
      </c>
      <c r="C66" s="2241" t="s">
        <v>2232</v>
      </c>
      <c r="D66" s="1994">
        <v>3102255.81</v>
      </c>
      <c r="E66" s="1211" t="s">
        <v>319</v>
      </c>
    </row>
    <row r="67" spans="1:8">
      <c r="B67" t="s">
        <v>2240</v>
      </c>
      <c r="C67" t="s">
        <v>2238</v>
      </c>
      <c r="D67" s="1994">
        <v>410244.93</v>
      </c>
      <c r="E67" s="1211" t="s">
        <v>319</v>
      </c>
    </row>
    <row r="68" spans="1:8">
      <c r="B68" t="s">
        <v>2239</v>
      </c>
      <c r="C68" t="s">
        <v>2238</v>
      </c>
      <c r="D68" s="1994">
        <v>70171.28</v>
      </c>
      <c r="E68" s="1211" t="s">
        <v>319</v>
      </c>
    </row>
    <row r="69" spans="1:8">
      <c r="B69" s="2004" t="s">
        <v>104</v>
      </c>
      <c r="C69" s="2004"/>
      <c r="D69" s="2002">
        <f>SUM(D65:D68)</f>
        <v>3631201.49</v>
      </c>
      <c r="E69" s="1211"/>
    </row>
    <row r="70" spans="1:8">
      <c r="A70" s="1750" t="s">
        <v>2237</v>
      </c>
      <c r="B70" t="s">
        <v>2083</v>
      </c>
      <c r="C70" t="s">
        <v>2235</v>
      </c>
      <c r="D70" s="1994">
        <v>243924.33</v>
      </c>
      <c r="E70" s="1211" t="s">
        <v>319</v>
      </c>
    </row>
    <row r="71" spans="1:8">
      <c r="A71" s="1750"/>
      <c r="B71" t="s">
        <v>2236</v>
      </c>
      <c r="C71" t="s">
        <v>2235</v>
      </c>
      <c r="D71" s="1994">
        <v>167100.14000000001</v>
      </c>
      <c r="E71" s="1211" t="s">
        <v>319</v>
      </c>
    </row>
    <row r="72" spans="1:8">
      <c r="A72" s="1750"/>
      <c r="B72" t="s">
        <v>2234</v>
      </c>
      <c r="C72" t="s">
        <v>2232</v>
      </c>
      <c r="D72" s="1994">
        <v>202916.04</v>
      </c>
      <c r="E72" t="s">
        <v>319</v>
      </c>
    </row>
    <row r="73" spans="1:8">
      <c r="A73" s="1750"/>
      <c r="B73" t="s">
        <v>2233</v>
      </c>
      <c r="C73" t="s">
        <v>2232</v>
      </c>
      <c r="D73" s="1994">
        <v>411301.7</v>
      </c>
      <c r="E73" t="s">
        <v>319</v>
      </c>
    </row>
    <row r="74" spans="1:8">
      <c r="A74" s="1750"/>
      <c r="B74" t="s">
        <v>104</v>
      </c>
      <c r="D74" s="2002">
        <v>1025242.21</v>
      </c>
    </row>
    <row r="75" spans="1:8" ht="16.5" thickBot="1">
      <c r="A75" t="s">
        <v>104</v>
      </c>
      <c r="D75" s="2001">
        <f>SUM(D13,D32,D45,D47,D49,D51,D54,D56,D58,D60,D62,D64,D69,D74)</f>
        <v>104458132.45</v>
      </c>
      <c r="E75" s="1995"/>
    </row>
    <row r="76" spans="1:8" ht="16.5" thickTop="1">
      <c r="A76" t="s">
        <v>2231</v>
      </c>
      <c r="D76" s="1994"/>
    </row>
    <row r="79" spans="1:8">
      <c r="A79" t="s">
        <v>2230</v>
      </c>
    </row>
    <row r="80" spans="1:8">
      <c r="D80" s="2322" t="s">
        <v>2229</v>
      </c>
      <c r="E80" s="2323"/>
      <c r="F80" s="2323"/>
      <c r="G80" s="2323"/>
      <c r="H80" s="2324"/>
    </row>
    <row r="81" spans="4:9">
      <c r="D81" s="1992"/>
      <c r="G81" s="1994">
        <f>SUM(D5,D8:D9)</f>
        <v>42107007.580000006</v>
      </c>
      <c r="H81" s="2000" t="s">
        <v>105</v>
      </c>
      <c r="I81" s="1641"/>
    </row>
    <row r="82" spans="4:9">
      <c r="D82" s="1992"/>
      <c r="G82" s="1994">
        <f>SUM(D6,D10:D11)</f>
        <v>4697263.32</v>
      </c>
      <c r="H82" s="2000" t="s">
        <v>2212</v>
      </c>
    </row>
    <row r="83" spans="4:9">
      <c r="D83" s="1992"/>
      <c r="G83" s="1994">
        <v>0</v>
      </c>
      <c r="H83" s="2000" t="s">
        <v>2211</v>
      </c>
      <c r="I83" s="1995"/>
    </row>
    <row r="84" spans="4:9">
      <c r="D84" s="1992"/>
      <c r="G84" s="2002">
        <f>SUM(G81:G83)</f>
        <v>46804270.900000006</v>
      </c>
      <c r="H84" s="2242" t="s">
        <v>2228</v>
      </c>
      <c r="I84" s="1995"/>
    </row>
    <row r="85" spans="4:9">
      <c r="D85" s="1992"/>
      <c r="G85" t="s">
        <v>2227</v>
      </c>
      <c r="H85" s="2000"/>
    </row>
    <row r="86" spans="4:9">
      <c r="D86" s="2325" t="s">
        <v>2226</v>
      </c>
      <c r="E86" s="2326"/>
      <c r="F86" s="2326"/>
      <c r="G86" s="2326"/>
      <c r="H86" s="2327"/>
    </row>
    <row r="87" spans="4:9">
      <c r="D87" s="1992"/>
      <c r="F87">
        <v>303000</v>
      </c>
      <c r="G87" s="1994">
        <f>SUM(D15:D17,D20,D23:D24,D27,D30:D31)</f>
        <v>6864993.6900000013</v>
      </c>
      <c r="H87" s="2000"/>
    </row>
    <row r="88" spans="4:9">
      <c r="D88" s="1992"/>
      <c r="F88">
        <v>303100</v>
      </c>
      <c r="G88" s="1994">
        <f>'1.1b Intangible Soft. 303100'!J152</f>
        <v>1759125.5472682705</v>
      </c>
      <c r="H88" s="2000" t="s">
        <v>2223</v>
      </c>
    </row>
    <row r="89" spans="4:9">
      <c r="D89" s="1992"/>
      <c r="F89" s="1750" t="s">
        <v>3194</v>
      </c>
      <c r="G89" s="1994">
        <v>0</v>
      </c>
      <c r="H89" s="2000"/>
    </row>
    <row r="90" spans="4:9">
      <c r="D90" s="1992"/>
      <c r="G90" s="2002">
        <f>SUM(G87:G89)</f>
        <v>8624119.2372682728</v>
      </c>
      <c r="H90" s="2000" t="s">
        <v>2225</v>
      </c>
    </row>
    <row r="91" spans="4:9">
      <c r="D91" s="1992"/>
      <c r="G91" s="1994"/>
      <c r="H91" s="2000"/>
    </row>
    <row r="92" spans="4:9">
      <c r="D92" s="1992"/>
      <c r="F92">
        <v>303000</v>
      </c>
      <c r="G92" s="1994">
        <f>SUM(D18:D19,D26,D25,D28:D29)</f>
        <v>447092.23</v>
      </c>
      <c r="H92" s="2000"/>
    </row>
    <row r="93" spans="4:9">
      <c r="D93" s="1992"/>
      <c r="F93">
        <v>303100</v>
      </c>
      <c r="G93" s="1994">
        <f>+'1.1b Intangible Soft. 303100'!I152</f>
        <v>16218176.756072054</v>
      </c>
      <c r="H93" s="2000" t="s">
        <v>2223</v>
      </c>
    </row>
    <row r="94" spans="4:9">
      <c r="D94" s="1992"/>
      <c r="F94" s="1750" t="s">
        <v>3194</v>
      </c>
      <c r="G94" s="1994" t="s">
        <v>2224</v>
      </c>
      <c r="H94" s="2000"/>
    </row>
    <row r="95" spans="4:9">
      <c r="D95" s="1992"/>
      <c r="F95">
        <v>303345</v>
      </c>
      <c r="G95" s="1994">
        <f>SUM(D65:D68,D70:D73)</f>
        <v>4656443.7</v>
      </c>
      <c r="H95" s="2000"/>
    </row>
    <row r="96" spans="4:9">
      <c r="D96" s="1992"/>
      <c r="G96" s="2002">
        <f>SUM(G92:G95)</f>
        <v>21321712.686072055</v>
      </c>
      <c r="H96" s="2000" t="s">
        <v>105</v>
      </c>
    </row>
    <row r="97" spans="4:9">
      <c r="D97" s="1992"/>
      <c r="G97" s="1994"/>
      <c r="H97" s="2000"/>
    </row>
    <row r="98" spans="4:9">
      <c r="D98" s="1992"/>
      <c r="F98">
        <v>303000</v>
      </c>
      <c r="G98" s="1994">
        <f>SUM(D14)</f>
        <v>182298</v>
      </c>
      <c r="H98" s="2000"/>
    </row>
    <row r="99" spans="4:9">
      <c r="D99" s="1992"/>
      <c r="F99">
        <v>303100</v>
      </c>
      <c r="G99" s="1994">
        <f>+'1.1b Intangible Soft. 303100'!K152</f>
        <v>11789068.646659676</v>
      </c>
      <c r="H99" s="2000" t="s">
        <v>2223</v>
      </c>
    </row>
    <row r="100" spans="4:9">
      <c r="D100" s="1992"/>
      <c r="F100" s="1750" t="s">
        <v>3192</v>
      </c>
      <c r="G100" s="1994">
        <f>SUM(D47,D49,D51,D54,D58,D60,D62,D64)+187040</f>
        <v>15923702.98</v>
      </c>
      <c r="H100" s="2240" t="s">
        <v>3193</v>
      </c>
    </row>
    <row r="101" spans="4:9">
      <c r="D101" s="1992"/>
      <c r="G101" s="2002">
        <f>SUM(G98:G100)</f>
        <v>27895069.626659676</v>
      </c>
      <c r="H101" s="2000" t="s">
        <v>2222</v>
      </c>
    </row>
    <row r="102" spans="4:9">
      <c r="D102" s="1992"/>
      <c r="G102" s="1994"/>
      <c r="H102" s="2000"/>
    </row>
    <row r="103" spans="4:9" ht="16.5" thickBot="1">
      <c r="D103" s="1992"/>
      <c r="G103" s="2001">
        <f>SUM(G101,G96,G90)</f>
        <v>57840901.549999997</v>
      </c>
      <c r="H103" s="2000" t="s">
        <v>2221</v>
      </c>
      <c r="I103" s="1995"/>
    </row>
    <row r="104" spans="4:9" ht="16.5" thickTop="1">
      <c r="D104" s="1992"/>
      <c r="G104" s="1994"/>
      <c r="H104" s="2000"/>
    </row>
    <row r="105" spans="4:9">
      <c r="D105" s="1999"/>
      <c r="E105" s="1998"/>
      <c r="F105" s="1998"/>
      <c r="G105" s="1997">
        <f>G84+G103</f>
        <v>104645172.45</v>
      </c>
      <c r="H105" s="1996" t="s">
        <v>2220</v>
      </c>
      <c r="I105" s="1995"/>
    </row>
    <row r="106" spans="4:9">
      <c r="D106" t="s">
        <v>2219</v>
      </c>
      <c r="G106" s="1994">
        <f>G105-D75</f>
        <v>187040</v>
      </c>
      <c r="I106" s="1995"/>
    </row>
    <row r="107" spans="4:9">
      <c r="G107" s="1994">
        <f>'[1]204-207'!M5</f>
        <v>57840902</v>
      </c>
      <c r="H107" t="s">
        <v>2218</v>
      </c>
    </row>
    <row r="108" spans="4:9">
      <c r="G108" s="1994">
        <f>G107-G103</f>
        <v>0.45000000298023224</v>
      </c>
    </row>
  </sheetData>
  <mergeCells count="2">
    <mergeCell ref="D80:H80"/>
    <mergeCell ref="D86:H86"/>
  </mergeCells>
  <pageMargins left="0.7" right="0.7" top="0.75" bottom="0.75" header="0.3" footer="0.3"/>
  <pageSetup orientation="portrait" horizontalDpi="90" verticalDpi="90" r:id="rId1"/>
  <customProperties>
    <customPr name="xxe4aP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17F00-2CA4-4C1B-8A3C-3439C2203696}">
  <sheetPr codeName="Sheet27"/>
  <dimension ref="A1:Q174"/>
  <sheetViews>
    <sheetView topLeftCell="A2" zoomScale="110" zoomScaleNormal="110" workbookViewId="0">
      <pane ySplit="2" topLeftCell="A85" activePane="bottomLeft" state="frozen"/>
      <selection activeCell="D14" sqref="D14"/>
      <selection pane="bottomLeft" activeCell="D14" sqref="D14"/>
    </sheetView>
  </sheetViews>
  <sheetFormatPr defaultRowHeight="15.75"/>
  <cols>
    <col min="5" max="5" width="13.5" customWidth="1"/>
    <col min="7" max="7" width="32.75" customWidth="1"/>
    <col min="8" max="8" width="12.625" customWidth="1"/>
    <col min="9" max="9" width="14.25" customWidth="1"/>
    <col min="10" max="10" width="11.75" customWidth="1"/>
    <col min="11" max="11" width="12.5" customWidth="1"/>
    <col min="12" max="12" width="10.75" bestFit="1" customWidth="1"/>
  </cols>
  <sheetData>
    <row r="1" spans="1:13">
      <c r="A1" t="s">
        <v>2323</v>
      </c>
    </row>
    <row r="2" spans="1:13">
      <c r="I2" s="2328" t="s">
        <v>2322</v>
      </c>
      <c r="J2" s="2328"/>
      <c r="K2" s="2328"/>
    </row>
    <row r="3" spans="1:13" ht="24" customHeight="1">
      <c r="A3" s="1070" t="s">
        <v>2321</v>
      </c>
      <c r="B3" s="1070" t="s">
        <v>2320</v>
      </c>
      <c r="C3" s="1070" t="s">
        <v>369</v>
      </c>
      <c r="D3" s="1070" t="s">
        <v>2319</v>
      </c>
      <c r="E3" s="1070" t="s">
        <v>2318</v>
      </c>
      <c r="F3" s="1070" t="s">
        <v>2317</v>
      </c>
      <c r="G3" s="1070" t="s">
        <v>2316</v>
      </c>
      <c r="H3" s="2008" t="s">
        <v>454</v>
      </c>
      <c r="I3" s="15" t="s">
        <v>2305</v>
      </c>
      <c r="J3" s="15" t="s">
        <v>2291</v>
      </c>
      <c r="K3" s="15" t="s">
        <v>2315</v>
      </c>
    </row>
    <row r="4" spans="1:13">
      <c r="A4">
        <v>303100</v>
      </c>
      <c r="B4" t="s">
        <v>2293</v>
      </c>
      <c r="C4" t="s">
        <v>2249</v>
      </c>
      <c r="D4">
        <v>2019</v>
      </c>
      <c r="E4" s="584">
        <v>13916</v>
      </c>
      <c r="F4">
        <v>9806017</v>
      </c>
      <c r="G4" t="s">
        <v>2304</v>
      </c>
      <c r="H4" s="2007" t="s">
        <v>2301</v>
      </c>
      <c r="I4" s="2148"/>
      <c r="J4" s="2148"/>
      <c r="K4" s="2148">
        <v>13916</v>
      </c>
      <c r="L4" s="2087">
        <f>SUM(I4:K4)</f>
        <v>13916</v>
      </c>
      <c r="M4" s="2087">
        <f>E4-L4</f>
        <v>0</v>
      </c>
    </row>
    <row r="5" spans="1:13">
      <c r="A5">
        <v>303100</v>
      </c>
      <c r="B5" t="s">
        <v>2293</v>
      </c>
      <c r="C5" t="s">
        <v>2249</v>
      </c>
      <c r="D5">
        <v>2019</v>
      </c>
      <c r="E5" s="584">
        <v>24305</v>
      </c>
      <c r="F5">
        <v>30405081</v>
      </c>
      <c r="G5" t="s">
        <v>2303</v>
      </c>
      <c r="H5" s="2007" t="s">
        <v>2295</v>
      </c>
      <c r="I5" s="2148">
        <v>24305</v>
      </c>
      <c r="J5" s="2148"/>
      <c r="K5" s="2148"/>
      <c r="L5" s="2087">
        <f t="shared" ref="L5:L68" si="0">SUM(I5:K5)</f>
        <v>24305</v>
      </c>
      <c r="M5" s="2087">
        <f t="shared" ref="M5:M68" si="1">E5-L5</f>
        <v>0</v>
      </c>
    </row>
    <row r="6" spans="1:13">
      <c r="A6">
        <v>303100</v>
      </c>
      <c r="B6" t="s">
        <v>2293</v>
      </c>
      <c r="C6" t="s">
        <v>2235</v>
      </c>
      <c r="D6">
        <v>2019</v>
      </c>
      <c r="E6" s="584">
        <v>321996</v>
      </c>
      <c r="F6">
        <v>2806669</v>
      </c>
      <c r="G6" t="s">
        <v>2302</v>
      </c>
      <c r="H6" s="2007" t="s">
        <v>2301</v>
      </c>
      <c r="I6" s="2148"/>
      <c r="J6" s="2148"/>
      <c r="K6" s="2148">
        <v>321996</v>
      </c>
      <c r="L6" s="2087">
        <f t="shared" si="0"/>
        <v>321996</v>
      </c>
      <c r="M6" s="2087">
        <f t="shared" si="1"/>
        <v>0</v>
      </c>
    </row>
    <row r="7" spans="1:13">
      <c r="A7">
        <v>303100</v>
      </c>
      <c r="B7" t="s">
        <v>2293</v>
      </c>
      <c r="C7" t="s">
        <v>2249</v>
      </c>
      <c r="D7">
        <v>2019</v>
      </c>
      <c r="E7" s="584">
        <v>1717</v>
      </c>
      <c r="F7">
        <v>40205146</v>
      </c>
      <c r="G7" t="s">
        <v>2300</v>
      </c>
      <c r="H7" s="2007" t="s">
        <v>2295</v>
      </c>
      <c r="I7" s="2148">
        <v>1717</v>
      </c>
      <c r="J7" s="2148"/>
      <c r="K7" s="2148"/>
      <c r="L7" s="2087">
        <f t="shared" si="0"/>
        <v>1717</v>
      </c>
      <c r="M7" s="2087">
        <f t="shared" si="1"/>
        <v>0</v>
      </c>
    </row>
    <row r="8" spans="1:13">
      <c r="A8">
        <v>303100</v>
      </c>
      <c r="B8" t="s">
        <v>2293</v>
      </c>
      <c r="C8" t="s">
        <v>2249</v>
      </c>
      <c r="D8">
        <v>2019</v>
      </c>
      <c r="E8" s="584">
        <v>0</v>
      </c>
      <c r="F8">
        <v>21105005</v>
      </c>
      <c r="G8" t="s">
        <v>2299</v>
      </c>
      <c r="H8" s="2007" t="s">
        <v>2295</v>
      </c>
      <c r="I8" s="2148">
        <v>0</v>
      </c>
      <c r="J8" s="2148"/>
      <c r="K8" s="2148"/>
      <c r="L8" s="2087">
        <f t="shared" si="0"/>
        <v>0</v>
      </c>
      <c r="M8" s="2087">
        <f t="shared" si="1"/>
        <v>0</v>
      </c>
    </row>
    <row r="9" spans="1:13">
      <c r="A9">
        <v>303100</v>
      </c>
      <c r="B9" t="s">
        <v>2293</v>
      </c>
      <c r="C9" t="s">
        <v>2249</v>
      </c>
      <c r="D9">
        <v>2019</v>
      </c>
      <c r="E9" s="584">
        <v>71758</v>
      </c>
      <c r="F9">
        <v>21205062</v>
      </c>
      <c r="G9" t="s">
        <v>2298</v>
      </c>
      <c r="H9" s="2007" t="s">
        <v>2295</v>
      </c>
      <c r="I9" s="2148">
        <v>71758</v>
      </c>
      <c r="J9" s="2148"/>
      <c r="K9" s="2148"/>
      <c r="L9" s="2087">
        <f t="shared" si="0"/>
        <v>71758</v>
      </c>
      <c r="M9" s="2087">
        <f t="shared" si="1"/>
        <v>0</v>
      </c>
    </row>
    <row r="10" spans="1:13">
      <c r="A10">
        <v>303100</v>
      </c>
      <c r="B10" t="s">
        <v>2293</v>
      </c>
      <c r="C10" t="s">
        <v>2249</v>
      </c>
      <c r="D10">
        <v>2019</v>
      </c>
      <c r="E10" s="584">
        <v>10925</v>
      </c>
      <c r="F10">
        <v>9806014</v>
      </c>
      <c r="G10" t="s">
        <v>2297</v>
      </c>
      <c r="H10" s="2007" t="s">
        <v>99</v>
      </c>
      <c r="I10" s="2148">
        <v>3580.6621147893725</v>
      </c>
      <c r="J10" s="2148">
        <v>2304.7578652002853</v>
      </c>
      <c r="K10" s="2148">
        <v>5039.5800200103422</v>
      </c>
      <c r="L10" s="2087">
        <f t="shared" si="0"/>
        <v>10925</v>
      </c>
      <c r="M10" s="2087">
        <f t="shared" si="1"/>
        <v>0</v>
      </c>
    </row>
    <row r="11" spans="1:13">
      <c r="A11">
        <v>303100</v>
      </c>
      <c r="B11" t="s">
        <v>2293</v>
      </c>
      <c r="C11" t="s">
        <v>2249</v>
      </c>
      <c r="D11">
        <v>2019</v>
      </c>
      <c r="E11" s="584">
        <v>109</v>
      </c>
      <c r="F11">
        <v>9805988</v>
      </c>
      <c r="G11" t="s">
        <v>2296</v>
      </c>
      <c r="H11" s="2007" t="s">
        <v>2295</v>
      </c>
      <c r="I11" s="2148">
        <v>109</v>
      </c>
      <c r="J11" s="2148"/>
      <c r="K11" s="2148"/>
      <c r="L11" s="2087">
        <f t="shared" si="0"/>
        <v>109</v>
      </c>
      <c r="M11" s="2087">
        <f t="shared" si="1"/>
        <v>0</v>
      </c>
    </row>
    <row r="12" spans="1:13">
      <c r="A12">
        <v>303100</v>
      </c>
      <c r="B12" t="s">
        <v>2293</v>
      </c>
      <c r="C12" t="s">
        <v>2249</v>
      </c>
      <c r="D12">
        <v>2019</v>
      </c>
      <c r="E12" s="584">
        <v>47686</v>
      </c>
      <c r="F12">
        <v>9805860</v>
      </c>
      <c r="G12" t="s">
        <v>2294</v>
      </c>
      <c r="H12" s="2007" t="s">
        <v>99</v>
      </c>
      <c r="I12" s="2148">
        <v>15629.057538292542</v>
      </c>
      <c r="J12" s="2148">
        <v>10059.925268644467</v>
      </c>
      <c r="K12" s="2148">
        <v>21997.017193062991</v>
      </c>
      <c r="L12" s="2087">
        <f t="shared" si="0"/>
        <v>47686</v>
      </c>
      <c r="M12" s="2087">
        <f t="shared" si="1"/>
        <v>0</v>
      </c>
    </row>
    <row r="13" spans="1:13">
      <c r="A13">
        <v>303100</v>
      </c>
      <c r="B13" t="s">
        <v>2293</v>
      </c>
      <c r="C13" t="s">
        <v>2249</v>
      </c>
      <c r="D13">
        <v>2019</v>
      </c>
      <c r="E13" s="584">
        <v>14746</v>
      </c>
      <c r="F13">
        <v>9805984</v>
      </c>
      <c r="G13" t="s">
        <v>2292</v>
      </c>
      <c r="H13" s="2007" t="s">
        <v>2291</v>
      </c>
      <c r="I13" s="2148"/>
      <c r="J13" s="2148">
        <v>14746</v>
      </c>
      <c r="K13" s="2148"/>
      <c r="L13" s="2087">
        <f t="shared" si="0"/>
        <v>14746</v>
      </c>
      <c r="M13" s="2087">
        <f t="shared" si="1"/>
        <v>0</v>
      </c>
    </row>
    <row r="14" spans="1:13">
      <c r="A14">
        <v>303100</v>
      </c>
      <c r="B14" t="s">
        <v>2293</v>
      </c>
      <c r="C14" t="s">
        <v>2249</v>
      </c>
      <c r="D14">
        <v>2019</v>
      </c>
      <c r="E14" s="584">
        <v>673594.74</v>
      </c>
      <c r="F14">
        <v>9805968</v>
      </c>
      <c r="G14" t="s">
        <v>3108</v>
      </c>
      <c r="H14" s="2007" t="s">
        <v>2305</v>
      </c>
      <c r="I14" s="2148">
        <v>673594.74</v>
      </c>
      <c r="J14" s="2148"/>
      <c r="K14" s="2148"/>
      <c r="L14" s="2087">
        <f t="shared" si="0"/>
        <v>673594.74</v>
      </c>
      <c r="M14" s="2087">
        <f t="shared" si="1"/>
        <v>0</v>
      </c>
    </row>
    <row r="15" spans="1:13">
      <c r="A15">
        <v>303100</v>
      </c>
      <c r="B15" t="s">
        <v>2293</v>
      </c>
      <c r="C15" t="s">
        <v>2249</v>
      </c>
      <c r="D15">
        <v>2019</v>
      </c>
      <c r="E15" s="584">
        <v>804225.48</v>
      </c>
      <c r="F15">
        <v>9805970</v>
      </c>
      <c r="G15" t="s">
        <v>3109</v>
      </c>
      <c r="H15" s="2007" t="s">
        <v>2305</v>
      </c>
      <c r="I15" s="2148">
        <v>804225.48</v>
      </c>
      <c r="J15" s="2148"/>
      <c r="K15" s="2148"/>
      <c r="L15" s="2087">
        <f t="shared" si="0"/>
        <v>804225.48</v>
      </c>
      <c r="M15" s="2087">
        <f t="shared" si="1"/>
        <v>0</v>
      </c>
    </row>
    <row r="16" spans="1:13">
      <c r="A16">
        <v>303100</v>
      </c>
      <c r="B16" t="s">
        <v>2293</v>
      </c>
      <c r="C16" t="s">
        <v>2249</v>
      </c>
      <c r="D16">
        <v>2019</v>
      </c>
      <c r="E16" s="584">
        <v>628076.01000000013</v>
      </c>
      <c r="F16">
        <v>9805971</v>
      </c>
      <c r="G16" t="s">
        <v>3110</v>
      </c>
      <c r="H16" s="2007" t="s">
        <v>2305</v>
      </c>
      <c r="I16" s="2148">
        <v>628076.01000000013</v>
      </c>
      <c r="J16" s="2148"/>
      <c r="K16" s="2148"/>
      <c r="L16" s="2087">
        <f t="shared" si="0"/>
        <v>628076.01000000013</v>
      </c>
      <c r="M16" s="2087">
        <f t="shared" si="1"/>
        <v>0</v>
      </c>
    </row>
    <row r="17" spans="1:13">
      <c r="A17">
        <v>303100</v>
      </c>
      <c r="B17" t="s">
        <v>2293</v>
      </c>
      <c r="C17" t="s">
        <v>2249</v>
      </c>
      <c r="D17">
        <v>2019</v>
      </c>
      <c r="E17">
        <v>641977.66</v>
      </c>
      <c r="F17">
        <v>9806009</v>
      </c>
      <c r="G17" t="s">
        <v>3111</v>
      </c>
      <c r="H17" s="2007" t="s">
        <v>2305</v>
      </c>
      <c r="I17" s="2148">
        <v>641977.66</v>
      </c>
      <c r="J17" s="2148"/>
      <c r="K17" s="2148"/>
      <c r="L17" s="2087">
        <f t="shared" si="0"/>
        <v>641977.66</v>
      </c>
      <c r="M17" s="2087">
        <f t="shared" si="1"/>
        <v>0</v>
      </c>
    </row>
    <row r="18" spans="1:13">
      <c r="A18">
        <v>303100</v>
      </c>
      <c r="B18" t="s">
        <v>2293</v>
      </c>
      <c r="C18" t="s">
        <v>2249</v>
      </c>
      <c r="D18">
        <v>2019</v>
      </c>
      <c r="E18" s="584">
        <v>552731.62</v>
      </c>
      <c r="F18">
        <v>9806030</v>
      </c>
      <c r="G18" t="s">
        <v>3112</v>
      </c>
      <c r="H18" s="2007" t="s">
        <v>2305</v>
      </c>
      <c r="I18" s="2148">
        <v>552731.62</v>
      </c>
      <c r="J18" s="2148"/>
      <c r="K18" s="2148"/>
      <c r="L18" s="2087">
        <f t="shared" si="0"/>
        <v>552731.62</v>
      </c>
      <c r="M18" s="2087">
        <f t="shared" si="1"/>
        <v>0</v>
      </c>
    </row>
    <row r="19" spans="1:13">
      <c r="A19">
        <v>303100</v>
      </c>
      <c r="B19" t="s">
        <v>2293</v>
      </c>
      <c r="C19" t="s">
        <v>2235</v>
      </c>
      <c r="D19">
        <v>2020</v>
      </c>
      <c r="E19" s="584">
        <v>790334.3600000001</v>
      </c>
      <c r="F19">
        <v>2806731</v>
      </c>
      <c r="G19" t="s">
        <v>3113</v>
      </c>
      <c r="H19" s="2007" t="s">
        <v>2301</v>
      </c>
      <c r="I19" s="2148"/>
      <c r="J19" s="2148"/>
      <c r="K19" s="2148">
        <v>790334.3600000001</v>
      </c>
      <c r="L19" s="2087">
        <f t="shared" si="0"/>
        <v>790334.3600000001</v>
      </c>
      <c r="M19" s="2087">
        <f t="shared" si="1"/>
        <v>0</v>
      </c>
    </row>
    <row r="20" spans="1:13">
      <c r="A20">
        <v>303100</v>
      </c>
      <c r="B20" t="s">
        <v>2293</v>
      </c>
      <c r="C20" t="s">
        <v>2235</v>
      </c>
      <c r="D20">
        <v>2020</v>
      </c>
      <c r="E20" s="584">
        <v>563475.06999999995</v>
      </c>
      <c r="F20">
        <v>2806796</v>
      </c>
      <c r="G20" t="s">
        <v>3114</v>
      </c>
      <c r="H20" s="2007" t="s">
        <v>2301</v>
      </c>
      <c r="I20" s="2148"/>
      <c r="J20" s="2148"/>
      <c r="K20" s="2148">
        <v>563475.06999999995</v>
      </c>
      <c r="L20" s="2087">
        <f t="shared" si="0"/>
        <v>563475.06999999995</v>
      </c>
      <c r="M20" s="2087">
        <f t="shared" si="1"/>
        <v>0</v>
      </c>
    </row>
    <row r="21" spans="1:13">
      <c r="A21">
        <v>303100</v>
      </c>
      <c r="B21" t="s">
        <v>2293</v>
      </c>
      <c r="C21" t="s">
        <v>2249</v>
      </c>
      <c r="D21">
        <v>2020</v>
      </c>
      <c r="E21" s="584">
        <v>103326.11</v>
      </c>
      <c r="F21">
        <v>9805781</v>
      </c>
      <c r="G21" t="s">
        <v>3115</v>
      </c>
      <c r="H21" s="2007" t="s">
        <v>109</v>
      </c>
      <c r="I21" s="2148"/>
      <c r="J21" s="2148">
        <v>32425.205433780258</v>
      </c>
      <c r="K21" s="2148">
        <v>70900.904566219731</v>
      </c>
      <c r="L21" s="2087">
        <f t="shared" si="0"/>
        <v>103326.10999999999</v>
      </c>
      <c r="M21" s="2087">
        <f t="shared" si="1"/>
        <v>0</v>
      </c>
    </row>
    <row r="22" spans="1:13">
      <c r="A22">
        <v>303100</v>
      </c>
      <c r="B22" t="s">
        <v>2293</v>
      </c>
      <c r="C22" t="s">
        <v>2249</v>
      </c>
      <c r="D22">
        <v>2020</v>
      </c>
      <c r="E22" s="584">
        <v>-221.84</v>
      </c>
      <c r="F22">
        <v>9805860</v>
      </c>
      <c r="G22" t="s">
        <v>2294</v>
      </c>
      <c r="H22" s="2007" t="s">
        <v>99</v>
      </c>
      <c r="I22" s="2148">
        <v>-72.707925267265395</v>
      </c>
      <c r="J22" s="2148">
        <v>-46.799769777211104</v>
      </c>
      <c r="K22" s="2148">
        <v>-102.33230495552351</v>
      </c>
      <c r="L22" s="2087">
        <f t="shared" si="0"/>
        <v>-221.84</v>
      </c>
      <c r="M22" s="2087">
        <f t="shared" si="1"/>
        <v>0</v>
      </c>
    </row>
    <row r="23" spans="1:13">
      <c r="A23">
        <v>303100</v>
      </c>
      <c r="B23" t="s">
        <v>2293</v>
      </c>
      <c r="C23" t="s">
        <v>2249</v>
      </c>
      <c r="D23">
        <v>2020</v>
      </c>
      <c r="E23" s="584">
        <v>0</v>
      </c>
      <c r="F23">
        <v>9806014</v>
      </c>
      <c r="G23" t="s">
        <v>2297</v>
      </c>
      <c r="H23" s="2007" t="s">
        <v>99</v>
      </c>
      <c r="I23" s="2148">
        <v>0</v>
      </c>
      <c r="J23" s="2148">
        <v>0</v>
      </c>
      <c r="K23" s="2148">
        <v>0</v>
      </c>
      <c r="L23" s="2087">
        <f t="shared" si="0"/>
        <v>0</v>
      </c>
      <c r="M23" s="2087">
        <f t="shared" si="1"/>
        <v>0</v>
      </c>
    </row>
    <row r="24" spans="1:13">
      <c r="A24">
        <v>303100</v>
      </c>
      <c r="B24" t="s">
        <v>2293</v>
      </c>
      <c r="C24" t="s">
        <v>2249</v>
      </c>
      <c r="D24">
        <v>2020</v>
      </c>
      <c r="E24" s="584">
        <v>1746.01</v>
      </c>
      <c r="F24">
        <v>9806017</v>
      </c>
      <c r="G24" t="s">
        <v>2304</v>
      </c>
      <c r="H24" s="2007" t="s">
        <v>2301</v>
      </c>
      <c r="I24" s="2148"/>
      <c r="J24" s="2148"/>
      <c r="K24" s="2148">
        <v>1746.01</v>
      </c>
      <c r="L24" s="2087">
        <f t="shared" si="0"/>
        <v>1746.01</v>
      </c>
      <c r="M24" s="2087">
        <f t="shared" si="1"/>
        <v>0</v>
      </c>
    </row>
    <row r="25" spans="1:13">
      <c r="A25">
        <v>303100</v>
      </c>
      <c r="B25" t="s">
        <v>2293</v>
      </c>
      <c r="C25" t="s">
        <v>2249</v>
      </c>
      <c r="D25">
        <v>2020</v>
      </c>
      <c r="E25" s="584">
        <v>5459.54</v>
      </c>
      <c r="F25">
        <v>9806018</v>
      </c>
      <c r="G25" t="s">
        <v>3116</v>
      </c>
      <c r="H25" s="2007" t="s">
        <v>2291</v>
      </c>
      <c r="I25" s="2148"/>
      <c r="J25" s="2148">
        <v>5459.54</v>
      </c>
      <c r="K25" s="2148"/>
      <c r="L25" s="2087">
        <f t="shared" si="0"/>
        <v>5459.54</v>
      </c>
      <c r="M25" s="2087">
        <f t="shared" si="1"/>
        <v>0</v>
      </c>
    </row>
    <row r="26" spans="1:13">
      <c r="A26">
        <v>303100</v>
      </c>
      <c r="B26" t="s">
        <v>2293</v>
      </c>
      <c r="C26" t="s">
        <v>2249</v>
      </c>
      <c r="D26">
        <v>2020</v>
      </c>
      <c r="E26" s="584">
        <v>687617.18</v>
      </c>
      <c r="F26">
        <v>9806019</v>
      </c>
      <c r="G26" t="s">
        <v>3117</v>
      </c>
      <c r="H26" s="2007" t="s">
        <v>99</v>
      </c>
      <c r="I26" s="2148">
        <v>225366.11312625217</v>
      </c>
      <c r="J26" s="2148">
        <v>145060.97060428746</v>
      </c>
      <c r="K26" s="2148">
        <v>317190.09626946045</v>
      </c>
      <c r="L26" s="2087">
        <f t="shared" si="0"/>
        <v>687617.18000000017</v>
      </c>
      <c r="M26" s="2087">
        <f t="shared" si="1"/>
        <v>0</v>
      </c>
    </row>
    <row r="27" spans="1:13">
      <c r="A27">
        <v>303100</v>
      </c>
      <c r="B27" t="s">
        <v>2293</v>
      </c>
      <c r="C27" t="s">
        <v>2249</v>
      </c>
      <c r="D27">
        <v>2020</v>
      </c>
      <c r="E27" s="584">
        <v>26037.190000000002</v>
      </c>
      <c r="F27">
        <v>9806028</v>
      </c>
      <c r="G27" t="s">
        <v>3118</v>
      </c>
      <c r="H27" s="2007" t="s">
        <v>2305</v>
      </c>
      <c r="I27" s="2148">
        <v>26037.190000000002</v>
      </c>
      <c r="J27" s="2148"/>
      <c r="K27" s="2148"/>
      <c r="L27" s="2087">
        <f t="shared" si="0"/>
        <v>26037.190000000002</v>
      </c>
      <c r="M27" s="2087">
        <f t="shared" si="1"/>
        <v>0</v>
      </c>
    </row>
    <row r="28" spans="1:13">
      <c r="A28">
        <v>303100</v>
      </c>
      <c r="B28" t="s">
        <v>2293</v>
      </c>
      <c r="C28" t="s">
        <v>2249</v>
      </c>
      <c r="D28">
        <v>2020</v>
      </c>
      <c r="E28" s="584">
        <v>200120.51</v>
      </c>
      <c r="F28">
        <v>9806041</v>
      </c>
      <c r="G28" t="s">
        <v>3119</v>
      </c>
      <c r="H28" s="2007" t="s">
        <v>2301</v>
      </c>
      <c r="I28" s="2148"/>
      <c r="J28" s="2148"/>
      <c r="K28" s="2148">
        <v>200120.51</v>
      </c>
      <c r="L28" s="2087">
        <f t="shared" si="0"/>
        <v>200120.51</v>
      </c>
      <c r="M28" s="2087">
        <f t="shared" si="1"/>
        <v>0</v>
      </c>
    </row>
    <row r="29" spans="1:13">
      <c r="A29">
        <v>303100</v>
      </c>
      <c r="B29" t="s">
        <v>2293</v>
      </c>
      <c r="C29" t="s">
        <v>2249</v>
      </c>
      <c r="D29">
        <v>2020</v>
      </c>
      <c r="E29" s="584">
        <v>1195412.17</v>
      </c>
      <c r="F29">
        <v>9806051</v>
      </c>
      <c r="G29" t="s">
        <v>3120</v>
      </c>
      <c r="H29" s="2007" t="s">
        <v>2291</v>
      </c>
      <c r="I29" s="2148"/>
      <c r="J29" s="2148">
        <v>1195412.17</v>
      </c>
      <c r="K29" s="2148"/>
      <c r="L29" s="2087">
        <f t="shared" si="0"/>
        <v>1195412.17</v>
      </c>
      <c r="M29" s="2087">
        <f t="shared" si="1"/>
        <v>0</v>
      </c>
    </row>
    <row r="30" spans="1:13">
      <c r="A30">
        <v>303100</v>
      </c>
      <c r="B30" t="s">
        <v>2293</v>
      </c>
      <c r="C30" t="s">
        <v>2249</v>
      </c>
      <c r="D30">
        <v>2020</v>
      </c>
      <c r="E30" s="584">
        <v>13308.18</v>
      </c>
      <c r="F30">
        <v>9806082</v>
      </c>
      <c r="G30" t="s">
        <v>3121</v>
      </c>
      <c r="H30" s="2007" t="s">
        <v>2301</v>
      </c>
      <c r="I30" s="2148"/>
      <c r="J30" s="2148"/>
      <c r="K30" s="2148">
        <v>13308.18</v>
      </c>
      <c r="L30" s="2087">
        <f t="shared" si="0"/>
        <v>13308.18</v>
      </c>
      <c r="M30" s="2087">
        <f t="shared" si="1"/>
        <v>0</v>
      </c>
    </row>
    <row r="31" spans="1:13">
      <c r="A31">
        <v>303100</v>
      </c>
      <c r="B31" t="s">
        <v>2293</v>
      </c>
      <c r="C31" t="s">
        <v>2249</v>
      </c>
      <c r="D31">
        <v>2020</v>
      </c>
      <c r="E31" s="584">
        <v>23342.84</v>
      </c>
      <c r="F31">
        <v>9806086</v>
      </c>
      <c r="G31" t="s">
        <v>3122</v>
      </c>
      <c r="H31" s="2007" t="s">
        <v>99</v>
      </c>
      <c r="I31" s="2148">
        <v>7650.6016329144122</v>
      </c>
      <c r="J31" s="2148">
        <v>4924.4479712688171</v>
      </c>
      <c r="K31" s="2148">
        <v>10767.79039581677</v>
      </c>
      <c r="L31" s="2087">
        <f t="shared" si="0"/>
        <v>23342.84</v>
      </c>
      <c r="M31" s="2087">
        <f t="shared" si="1"/>
        <v>0</v>
      </c>
    </row>
    <row r="32" spans="1:13">
      <c r="A32">
        <v>303100</v>
      </c>
      <c r="B32" t="s">
        <v>2293</v>
      </c>
      <c r="C32" t="s">
        <v>2249</v>
      </c>
      <c r="D32">
        <v>2020</v>
      </c>
      <c r="E32" s="584">
        <v>14798.42</v>
      </c>
      <c r="F32">
        <v>9806089</v>
      </c>
      <c r="G32" t="s">
        <v>3123</v>
      </c>
      <c r="H32" s="2007" t="s">
        <v>99</v>
      </c>
      <c r="I32" s="2148">
        <v>4850.173167298979</v>
      </c>
      <c r="J32" s="2148">
        <v>3121.9015915365862</v>
      </c>
      <c r="K32" s="2148">
        <v>6826.3452411644348</v>
      </c>
      <c r="L32" s="2087">
        <f t="shared" si="0"/>
        <v>14798.42</v>
      </c>
      <c r="M32" s="2087">
        <f t="shared" si="1"/>
        <v>0</v>
      </c>
    </row>
    <row r="33" spans="1:13">
      <c r="A33">
        <v>303100</v>
      </c>
      <c r="B33" t="s">
        <v>2293</v>
      </c>
      <c r="C33" t="s">
        <v>2249</v>
      </c>
      <c r="D33">
        <v>2020</v>
      </c>
      <c r="E33" s="584">
        <v>11029.529999999999</v>
      </c>
      <c r="F33">
        <v>9806091</v>
      </c>
      <c r="G33" t="s">
        <v>3124</v>
      </c>
      <c r="H33" s="2007" t="s">
        <v>109</v>
      </c>
      <c r="I33" s="2148"/>
      <c r="J33" s="2148">
        <v>3461.2236547765356</v>
      </c>
      <c r="K33" s="2148">
        <v>7568.3063452234628</v>
      </c>
      <c r="L33" s="2087">
        <f t="shared" si="0"/>
        <v>11029.529999999999</v>
      </c>
      <c r="M33" s="2087">
        <f t="shared" si="1"/>
        <v>0</v>
      </c>
    </row>
    <row r="34" spans="1:13">
      <c r="A34">
        <v>303100</v>
      </c>
      <c r="B34" t="s">
        <v>2293</v>
      </c>
      <c r="C34" t="s">
        <v>2249</v>
      </c>
      <c r="D34">
        <v>2020</v>
      </c>
      <c r="E34" s="584">
        <v>56147.100000000006</v>
      </c>
      <c r="F34">
        <v>9806092</v>
      </c>
      <c r="G34" t="s">
        <v>3125</v>
      </c>
      <c r="H34" s="2007" t="s">
        <v>2305</v>
      </c>
      <c r="I34" s="2148">
        <v>56147.100000000006</v>
      </c>
      <c r="J34" s="2148"/>
      <c r="K34" s="2148"/>
      <c r="L34" s="2087">
        <f t="shared" si="0"/>
        <v>56147.100000000006</v>
      </c>
      <c r="M34" s="2087">
        <f t="shared" si="1"/>
        <v>0</v>
      </c>
    </row>
    <row r="35" spans="1:13">
      <c r="A35">
        <v>303100</v>
      </c>
      <c r="B35" t="s">
        <v>2293</v>
      </c>
      <c r="C35" t="s">
        <v>2249</v>
      </c>
      <c r="D35">
        <v>2020</v>
      </c>
      <c r="E35" s="584">
        <v>82732.700000000012</v>
      </c>
      <c r="F35">
        <v>9806093</v>
      </c>
      <c r="G35" t="s">
        <v>3126</v>
      </c>
      <c r="H35" s="2007" t="s">
        <v>2305</v>
      </c>
      <c r="I35" s="2148">
        <v>82732.700000000012</v>
      </c>
      <c r="J35" s="2148"/>
      <c r="K35" s="2148"/>
      <c r="L35" s="2087">
        <f t="shared" si="0"/>
        <v>82732.700000000012</v>
      </c>
      <c r="M35" s="2087">
        <f t="shared" si="1"/>
        <v>0</v>
      </c>
    </row>
    <row r="36" spans="1:13">
      <c r="A36">
        <v>303100</v>
      </c>
      <c r="B36" t="s">
        <v>2293</v>
      </c>
      <c r="C36" t="s">
        <v>2249</v>
      </c>
      <c r="D36">
        <v>2020</v>
      </c>
      <c r="E36" s="584">
        <v>50184.17</v>
      </c>
      <c r="F36">
        <v>9806098</v>
      </c>
      <c r="G36" t="s">
        <v>3127</v>
      </c>
      <c r="H36" s="2007" t="s">
        <v>2305</v>
      </c>
      <c r="I36" s="2148">
        <v>50184.17</v>
      </c>
      <c r="J36" s="2148"/>
      <c r="K36" s="2148"/>
      <c r="L36" s="2087">
        <f t="shared" si="0"/>
        <v>50184.17</v>
      </c>
      <c r="M36" s="2087">
        <f t="shared" si="1"/>
        <v>0</v>
      </c>
    </row>
    <row r="37" spans="1:13">
      <c r="A37">
        <v>303100</v>
      </c>
      <c r="B37" t="s">
        <v>2293</v>
      </c>
      <c r="C37" t="s">
        <v>2249</v>
      </c>
      <c r="D37">
        <v>2020</v>
      </c>
      <c r="E37" s="584">
        <v>440910.57999999996</v>
      </c>
      <c r="F37">
        <v>9806104</v>
      </c>
      <c r="G37" t="s">
        <v>3128</v>
      </c>
      <c r="H37" s="2007" t="s">
        <v>2301</v>
      </c>
      <c r="I37" s="2148"/>
      <c r="J37" s="2148"/>
      <c r="K37" s="2148">
        <v>440910.57999999996</v>
      </c>
      <c r="L37" s="2087">
        <f t="shared" si="0"/>
        <v>440910.57999999996</v>
      </c>
      <c r="M37" s="2087">
        <f t="shared" si="1"/>
        <v>0</v>
      </c>
    </row>
    <row r="38" spans="1:13">
      <c r="A38">
        <v>303100</v>
      </c>
      <c r="B38" t="s">
        <v>2293</v>
      </c>
      <c r="C38" t="s">
        <v>2249</v>
      </c>
      <c r="D38">
        <v>2020</v>
      </c>
      <c r="E38" s="584">
        <v>9419.9</v>
      </c>
      <c r="F38">
        <v>9806118</v>
      </c>
      <c r="G38" t="s">
        <v>3129</v>
      </c>
      <c r="H38" s="2007" t="s">
        <v>2305</v>
      </c>
      <c r="I38" s="2148">
        <v>9419.9</v>
      </c>
      <c r="J38" s="2148"/>
      <c r="K38" s="2148"/>
      <c r="L38" s="2087">
        <f t="shared" si="0"/>
        <v>9419.9</v>
      </c>
      <c r="M38" s="2087">
        <f t="shared" si="1"/>
        <v>0</v>
      </c>
    </row>
    <row r="39" spans="1:13">
      <c r="A39">
        <v>303100</v>
      </c>
      <c r="B39" t="s">
        <v>2293</v>
      </c>
      <c r="C39" t="s">
        <v>2249</v>
      </c>
      <c r="D39">
        <v>2020</v>
      </c>
      <c r="E39" s="584">
        <v>6876.66</v>
      </c>
      <c r="F39">
        <v>9806137</v>
      </c>
      <c r="G39" t="s">
        <v>3130</v>
      </c>
      <c r="H39" s="2007" t="s">
        <v>2291</v>
      </c>
      <c r="I39" s="2148"/>
      <c r="J39" s="2148">
        <v>6876.66</v>
      </c>
      <c r="K39" s="2148"/>
      <c r="L39" s="2087">
        <f t="shared" si="0"/>
        <v>6876.66</v>
      </c>
      <c r="M39" s="2087">
        <f t="shared" si="1"/>
        <v>0</v>
      </c>
    </row>
    <row r="40" spans="1:13">
      <c r="A40">
        <v>303100</v>
      </c>
      <c r="B40" t="s">
        <v>2293</v>
      </c>
      <c r="C40" t="s">
        <v>3131</v>
      </c>
      <c r="D40">
        <v>2020</v>
      </c>
      <c r="E40" s="584">
        <v>54216.480000000003</v>
      </c>
      <c r="F40">
        <v>9906591</v>
      </c>
      <c r="G40" t="s">
        <v>3132</v>
      </c>
      <c r="H40" s="2007" t="s">
        <v>2291</v>
      </c>
      <c r="I40" s="2148"/>
      <c r="J40" s="2148">
        <v>54216.480000000003</v>
      </c>
      <c r="K40" s="2148"/>
      <c r="L40" s="2087">
        <f t="shared" si="0"/>
        <v>54216.480000000003</v>
      </c>
      <c r="M40" s="2087">
        <f t="shared" si="1"/>
        <v>0</v>
      </c>
    </row>
    <row r="41" spans="1:13">
      <c r="A41">
        <v>303100</v>
      </c>
      <c r="B41" t="s">
        <v>2293</v>
      </c>
      <c r="C41" t="s">
        <v>2249</v>
      </c>
      <c r="D41">
        <v>2020</v>
      </c>
      <c r="E41" s="584">
        <v>899.69</v>
      </c>
      <c r="F41">
        <v>42405000</v>
      </c>
      <c r="G41" t="s">
        <v>3133</v>
      </c>
      <c r="H41" s="2007" t="s">
        <v>2291</v>
      </c>
      <c r="I41" s="2148"/>
      <c r="J41" s="2148">
        <v>899.69</v>
      </c>
      <c r="K41" s="2148"/>
      <c r="L41" s="2087">
        <f t="shared" si="0"/>
        <v>899.69</v>
      </c>
      <c r="M41" s="2087">
        <f t="shared" si="1"/>
        <v>0</v>
      </c>
    </row>
    <row r="42" spans="1:13">
      <c r="A42">
        <v>303100</v>
      </c>
      <c r="B42" t="s">
        <v>2293</v>
      </c>
      <c r="C42" t="s">
        <v>2249</v>
      </c>
      <c r="D42">
        <v>2020</v>
      </c>
      <c r="E42" s="584">
        <v>2.0000000018626451E-2</v>
      </c>
      <c r="F42">
        <v>9806009</v>
      </c>
      <c r="G42" t="s">
        <v>3111</v>
      </c>
      <c r="H42" s="2007" t="s">
        <v>2305</v>
      </c>
      <c r="I42" s="2148">
        <v>2.0000000018626451E-2</v>
      </c>
      <c r="J42" s="2148"/>
      <c r="K42" s="2148"/>
      <c r="L42" s="2087">
        <f t="shared" si="0"/>
        <v>2.0000000018626451E-2</v>
      </c>
      <c r="M42" s="2087">
        <f t="shared" si="1"/>
        <v>0</v>
      </c>
    </row>
    <row r="43" spans="1:13">
      <c r="A43">
        <v>303100</v>
      </c>
      <c r="B43" t="s">
        <v>2293</v>
      </c>
      <c r="C43" t="s">
        <v>2249</v>
      </c>
      <c r="D43">
        <v>2020</v>
      </c>
      <c r="E43" s="584">
        <v>11057.889999999963</v>
      </c>
      <c r="F43">
        <v>9806030</v>
      </c>
      <c r="G43" t="s">
        <v>3112</v>
      </c>
      <c r="H43" s="2149" t="s">
        <v>2305</v>
      </c>
      <c r="I43" s="2148">
        <v>11057.889999999963</v>
      </c>
      <c r="J43" s="2148"/>
      <c r="K43" s="2148"/>
      <c r="L43" s="2087">
        <f t="shared" si="0"/>
        <v>11057.889999999963</v>
      </c>
      <c r="M43" s="2087">
        <f t="shared" si="1"/>
        <v>0</v>
      </c>
    </row>
    <row r="44" spans="1:13">
      <c r="A44">
        <v>303100</v>
      </c>
      <c r="B44" t="s">
        <v>2293</v>
      </c>
      <c r="C44" t="s">
        <v>2249</v>
      </c>
      <c r="D44">
        <v>2020</v>
      </c>
      <c r="E44" s="584">
        <v>666567.19999999995</v>
      </c>
      <c r="F44">
        <v>9806032</v>
      </c>
      <c r="G44" t="s">
        <v>3134</v>
      </c>
      <c r="H44" s="2149" t="s">
        <v>2305</v>
      </c>
      <c r="I44" s="2148">
        <v>666567.19999999995</v>
      </c>
      <c r="J44" s="2148"/>
      <c r="K44" s="2148"/>
      <c r="L44" s="2087">
        <f t="shared" si="0"/>
        <v>666567.19999999995</v>
      </c>
      <c r="M44" s="2087">
        <f t="shared" si="1"/>
        <v>0</v>
      </c>
    </row>
    <row r="45" spans="1:13">
      <c r="A45">
        <v>303100</v>
      </c>
      <c r="B45" t="s">
        <v>2293</v>
      </c>
      <c r="C45" t="s">
        <v>2249</v>
      </c>
      <c r="D45">
        <v>2020</v>
      </c>
      <c r="E45" s="584">
        <v>633796.16</v>
      </c>
      <c r="F45">
        <v>9806031</v>
      </c>
      <c r="G45" t="s">
        <v>3135</v>
      </c>
      <c r="H45" s="2149" t="s">
        <v>2305</v>
      </c>
      <c r="I45" s="2148">
        <v>633796.16</v>
      </c>
      <c r="J45" s="2148"/>
      <c r="K45" s="2148"/>
      <c r="L45" s="2087">
        <f t="shared" si="0"/>
        <v>633796.16</v>
      </c>
      <c r="M45" s="2087">
        <f t="shared" si="1"/>
        <v>0</v>
      </c>
    </row>
    <row r="46" spans="1:13">
      <c r="A46">
        <v>303100</v>
      </c>
      <c r="B46" t="s">
        <v>2293</v>
      </c>
      <c r="C46" t="s">
        <v>2249</v>
      </c>
      <c r="D46">
        <v>2020</v>
      </c>
      <c r="E46" s="584">
        <v>415727.48</v>
      </c>
      <c r="F46">
        <v>9806033</v>
      </c>
      <c r="G46" t="s">
        <v>3136</v>
      </c>
      <c r="H46" s="2149" t="s">
        <v>2305</v>
      </c>
      <c r="I46" s="2148">
        <v>415727.48</v>
      </c>
      <c r="J46" s="2148"/>
      <c r="K46" s="2148"/>
      <c r="L46" s="2087">
        <f t="shared" si="0"/>
        <v>415727.48</v>
      </c>
      <c r="M46" s="2087">
        <f t="shared" si="1"/>
        <v>0</v>
      </c>
    </row>
    <row r="47" spans="1:13">
      <c r="A47">
        <v>303100</v>
      </c>
      <c r="B47" t="s">
        <v>2293</v>
      </c>
      <c r="C47" t="s">
        <v>2249</v>
      </c>
      <c r="D47">
        <v>2020</v>
      </c>
      <c r="E47" s="584">
        <v>356872.04</v>
      </c>
      <c r="F47">
        <v>9806034</v>
      </c>
      <c r="G47" t="s">
        <v>3137</v>
      </c>
      <c r="H47" s="2149" t="s">
        <v>2305</v>
      </c>
      <c r="I47" s="2148">
        <v>356872.04</v>
      </c>
      <c r="J47" s="2148"/>
      <c r="K47" s="2148"/>
      <c r="L47" s="2087">
        <f t="shared" si="0"/>
        <v>356872.04</v>
      </c>
      <c r="M47" s="2087">
        <f t="shared" si="1"/>
        <v>0</v>
      </c>
    </row>
    <row r="48" spans="1:13">
      <c r="A48">
        <v>303100</v>
      </c>
      <c r="B48" t="s">
        <v>2293</v>
      </c>
      <c r="C48" t="s">
        <v>2249</v>
      </c>
      <c r="D48">
        <v>2020</v>
      </c>
      <c r="E48" s="584">
        <v>197501.6</v>
      </c>
      <c r="F48">
        <v>9806035</v>
      </c>
      <c r="G48" t="s">
        <v>3138</v>
      </c>
      <c r="H48" s="2007" t="s">
        <v>2305</v>
      </c>
      <c r="I48" s="2148">
        <v>197501.6</v>
      </c>
      <c r="J48" s="2148"/>
      <c r="K48" s="2148"/>
      <c r="L48" s="2087">
        <f t="shared" si="0"/>
        <v>197501.6</v>
      </c>
      <c r="M48" s="2087">
        <f t="shared" si="1"/>
        <v>0</v>
      </c>
    </row>
    <row r="49" spans="1:13">
      <c r="A49">
        <v>303100</v>
      </c>
      <c r="B49" t="s">
        <v>2293</v>
      </c>
      <c r="C49" t="s">
        <v>2235</v>
      </c>
      <c r="D49">
        <v>2021</v>
      </c>
      <c r="E49" s="584">
        <v>1007988.21</v>
      </c>
      <c r="F49">
        <v>2806698</v>
      </c>
      <c r="G49" t="s">
        <v>3139</v>
      </c>
      <c r="H49" s="2007" t="s">
        <v>2301</v>
      </c>
      <c r="I49" s="2148"/>
      <c r="J49" s="2148"/>
      <c r="K49" s="2148">
        <v>1007988.21</v>
      </c>
      <c r="L49" s="2087">
        <f t="shared" si="0"/>
        <v>1007988.21</v>
      </c>
      <c r="M49" s="2087">
        <f t="shared" si="1"/>
        <v>0</v>
      </c>
    </row>
    <row r="50" spans="1:13">
      <c r="A50">
        <v>303100</v>
      </c>
      <c r="B50" t="s">
        <v>2293</v>
      </c>
      <c r="C50" t="s">
        <v>2235</v>
      </c>
      <c r="D50">
        <v>2021</v>
      </c>
      <c r="E50" s="584">
        <v>8812.3700000000008</v>
      </c>
      <c r="F50">
        <v>2806731</v>
      </c>
      <c r="G50" t="s">
        <v>3113</v>
      </c>
      <c r="H50" s="2007" t="s">
        <v>2301</v>
      </c>
      <c r="I50" s="2148"/>
      <c r="J50" s="2148"/>
      <c r="K50" s="2148">
        <v>8812.3700000000008</v>
      </c>
      <c r="L50" s="2087">
        <f t="shared" si="0"/>
        <v>8812.3700000000008</v>
      </c>
      <c r="M50" s="2087">
        <f t="shared" si="1"/>
        <v>0</v>
      </c>
    </row>
    <row r="51" spans="1:13">
      <c r="A51">
        <v>303100</v>
      </c>
      <c r="B51" t="s">
        <v>2293</v>
      </c>
      <c r="C51" t="s">
        <v>2235</v>
      </c>
      <c r="D51">
        <v>2021</v>
      </c>
      <c r="E51" s="584">
        <v>-563475.07000000007</v>
      </c>
      <c r="F51">
        <v>2806796</v>
      </c>
      <c r="G51" t="s">
        <v>3114</v>
      </c>
      <c r="H51" s="2007" t="s">
        <v>2301</v>
      </c>
      <c r="I51" s="2148"/>
      <c r="J51" s="2148"/>
      <c r="K51" s="2148">
        <v>-563475.07000000007</v>
      </c>
      <c r="L51" s="2087">
        <f t="shared" si="0"/>
        <v>-563475.07000000007</v>
      </c>
      <c r="M51" s="2087">
        <f t="shared" si="1"/>
        <v>0</v>
      </c>
    </row>
    <row r="52" spans="1:13">
      <c r="A52">
        <v>303100</v>
      </c>
      <c r="B52" t="s">
        <v>2293</v>
      </c>
      <c r="C52" t="s">
        <v>2235</v>
      </c>
      <c r="D52">
        <v>2021</v>
      </c>
      <c r="E52" s="584">
        <v>16561.7</v>
      </c>
      <c r="F52">
        <v>2806845</v>
      </c>
      <c r="G52" t="s">
        <v>3140</v>
      </c>
      <c r="H52" s="2007" t="s">
        <v>2301</v>
      </c>
      <c r="I52" s="2148"/>
      <c r="J52" s="2148"/>
      <c r="K52" s="2148">
        <v>16561.7</v>
      </c>
      <c r="L52" s="2087">
        <f t="shared" si="0"/>
        <v>16561.7</v>
      </c>
      <c r="M52" s="2087">
        <f t="shared" si="1"/>
        <v>0</v>
      </c>
    </row>
    <row r="53" spans="1:13">
      <c r="A53">
        <v>303100</v>
      </c>
      <c r="B53" t="s">
        <v>2293</v>
      </c>
      <c r="C53" t="s">
        <v>2235</v>
      </c>
      <c r="D53">
        <v>2021</v>
      </c>
      <c r="E53" s="584">
        <v>357611.92</v>
      </c>
      <c r="F53">
        <v>2806893</v>
      </c>
      <c r="G53" t="s">
        <v>3141</v>
      </c>
      <c r="H53" s="2007" t="s">
        <v>2301</v>
      </c>
      <c r="I53" s="2148"/>
      <c r="J53" s="2148"/>
      <c r="K53" s="2148">
        <v>357611.92</v>
      </c>
      <c r="L53" s="2087">
        <f t="shared" si="0"/>
        <v>357611.92</v>
      </c>
      <c r="M53" s="2087">
        <f t="shared" si="1"/>
        <v>0</v>
      </c>
    </row>
    <row r="54" spans="1:13">
      <c r="A54">
        <v>303100</v>
      </c>
      <c r="B54" t="s">
        <v>2293</v>
      </c>
      <c r="C54" t="s">
        <v>2249</v>
      </c>
      <c r="D54">
        <v>2021</v>
      </c>
      <c r="E54" s="584">
        <v>0</v>
      </c>
      <c r="F54">
        <v>9805678</v>
      </c>
      <c r="G54" t="s">
        <v>2311</v>
      </c>
      <c r="H54" s="2007" t="s">
        <v>2291</v>
      </c>
      <c r="I54" s="2148"/>
      <c r="J54" s="2148">
        <v>0</v>
      </c>
      <c r="K54" s="2148"/>
      <c r="L54" s="2087">
        <f t="shared" si="0"/>
        <v>0</v>
      </c>
      <c r="M54" s="2087">
        <f t="shared" si="1"/>
        <v>0</v>
      </c>
    </row>
    <row r="55" spans="1:13">
      <c r="A55">
        <v>303100</v>
      </c>
      <c r="B55" t="s">
        <v>2293</v>
      </c>
      <c r="C55" t="s">
        <v>2249</v>
      </c>
      <c r="D55">
        <v>2021</v>
      </c>
      <c r="E55" s="584">
        <v>0</v>
      </c>
      <c r="F55">
        <v>9805722</v>
      </c>
      <c r="G55" t="s">
        <v>2312</v>
      </c>
      <c r="H55" s="2007" t="s">
        <v>109</v>
      </c>
      <c r="I55" s="2148"/>
      <c r="J55" s="2148">
        <v>0</v>
      </c>
      <c r="K55" s="2148">
        <v>0</v>
      </c>
      <c r="L55" s="2087">
        <f t="shared" si="0"/>
        <v>0</v>
      </c>
      <c r="M55" s="2087">
        <f t="shared" si="1"/>
        <v>0</v>
      </c>
    </row>
    <row r="56" spans="1:13">
      <c r="A56">
        <v>303100</v>
      </c>
      <c r="B56" t="s">
        <v>2293</v>
      </c>
      <c r="C56" t="s">
        <v>2249</v>
      </c>
      <c r="D56">
        <v>2021</v>
      </c>
      <c r="E56" s="584">
        <v>359760.14</v>
      </c>
      <c r="F56">
        <v>9805781</v>
      </c>
      <c r="G56" t="s">
        <v>3115</v>
      </c>
      <c r="H56" s="2007" t="s">
        <v>109</v>
      </c>
      <c r="I56" s="2148"/>
      <c r="J56" s="2148">
        <v>112897.85753461102</v>
      </c>
      <c r="K56" s="2148">
        <v>246862.28246538897</v>
      </c>
      <c r="L56" s="2087">
        <f t="shared" si="0"/>
        <v>359760.14</v>
      </c>
      <c r="M56" s="2087">
        <f t="shared" si="1"/>
        <v>0</v>
      </c>
    </row>
    <row r="57" spans="1:13">
      <c r="A57">
        <v>303100</v>
      </c>
      <c r="B57" t="s">
        <v>2293</v>
      </c>
      <c r="C57" t="s">
        <v>2249</v>
      </c>
      <c r="D57">
        <v>2021</v>
      </c>
      <c r="E57" s="584">
        <v>0</v>
      </c>
      <c r="F57">
        <v>9805790</v>
      </c>
      <c r="G57" t="s">
        <v>3142</v>
      </c>
      <c r="H57" s="2007" t="s">
        <v>2301</v>
      </c>
      <c r="I57" s="2148"/>
      <c r="J57" s="2148"/>
      <c r="K57" s="2148">
        <v>0</v>
      </c>
      <c r="L57" s="2087">
        <f t="shared" si="0"/>
        <v>0</v>
      </c>
      <c r="M57" s="2087">
        <f t="shared" si="1"/>
        <v>0</v>
      </c>
    </row>
    <row r="58" spans="1:13">
      <c r="A58">
        <v>303100</v>
      </c>
      <c r="B58" t="s">
        <v>2293</v>
      </c>
      <c r="C58" t="s">
        <v>2249</v>
      </c>
      <c r="D58">
        <v>2021</v>
      </c>
      <c r="E58" s="584">
        <v>0</v>
      </c>
      <c r="F58">
        <v>9805803</v>
      </c>
      <c r="G58" t="s">
        <v>2314</v>
      </c>
      <c r="H58" s="2007" t="s">
        <v>2313</v>
      </c>
      <c r="I58" s="2148">
        <v>0</v>
      </c>
      <c r="J58" s="2148">
        <v>0</v>
      </c>
      <c r="K58" s="2148">
        <v>0</v>
      </c>
      <c r="L58" s="2087">
        <f t="shared" si="0"/>
        <v>0</v>
      </c>
      <c r="M58" s="2087">
        <f t="shared" si="1"/>
        <v>0</v>
      </c>
    </row>
    <row r="59" spans="1:13">
      <c r="A59">
        <v>303100</v>
      </c>
      <c r="B59" t="s">
        <v>2293</v>
      </c>
      <c r="C59" t="s">
        <v>2249</v>
      </c>
      <c r="D59">
        <v>2021</v>
      </c>
      <c r="E59" s="584">
        <v>0</v>
      </c>
      <c r="F59">
        <v>9805847</v>
      </c>
      <c r="G59" t="s">
        <v>2310</v>
      </c>
      <c r="H59" s="2007" t="s">
        <v>2305</v>
      </c>
      <c r="I59" s="2148">
        <v>0</v>
      </c>
      <c r="J59" s="2148"/>
      <c r="K59" s="2148"/>
      <c r="L59" s="2087">
        <f t="shared" si="0"/>
        <v>0</v>
      </c>
      <c r="M59" s="2087">
        <f t="shared" si="1"/>
        <v>0</v>
      </c>
    </row>
    <row r="60" spans="1:13">
      <c r="A60">
        <v>303100</v>
      </c>
      <c r="B60" t="s">
        <v>2293</v>
      </c>
      <c r="C60" t="s">
        <v>2249</v>
      </c>
      <c r="D60">
        <v>2021</v>
      </c>
      <c r="E60" s="584">
        <v>0</v>
      </c>
      <c r="F60">
        <v>9805864</v>
      </c>
      <c r="G60" t="s">
        <v>2308</v>
      </c>
      <c r="H60" s="2007" t="s">
        <v>2305</v>
      </c>
      <c r="I60" s="2148">
        <v>0</v>
      </c>
      <c r="J60" s="2148"/>
      <c r="K60" s="2148"/>
      <c r="L60" s="2087">
        <f t="shared" si="0"/>
        <v>0</v>
      </c>
      <c r="M60" s="2087">
        <f t="shared" si="1"/>
        <v>0</v>
      </c>
    </row>
    <row r="61" spans="1:13">
      <c r="A61">
        <v>303100</v>
      </c>
      <c r="B61" t="s">
        <v>2293</v>
      </c>
      <c r="C61" t="s">
        <v>2249</v>
      </c>
      <c r="D61">
        <v>2021</v>
      </c>
      <c r="E61" s="584">
        <v>85490.510000000009</v>
      </c>
      <c r="F61">
        <v>9806019</v>
      </c>
      <c r="G61" t="s">
        <v>3117</v>
      </c>
      <c r="H61" s="2007" t="s">
        <v>99</v>
      </c>
      <c r="I61" s="2148">
        <v>28019.462730528332</v>
      </c>
      <c r="J61" s="2148">
        <v>18035.233439128941</v>
      </c>
      <c r="K61" s="2148">
        <v>39435.81383034274</v>
      </c>
      <c r="L61" s="2087">
        <f t="shared" si="0"/>
        <v>85490.510000000009</v>
      </c>
      <c r="M61" s="2087">
        <f t="shared" si="1"/>
        <v>0</v>
      </c>
    </row>
    <row r="62" spans="1:13">
      <c r="A62">
        <v>303100</v>
      </c>
      <c r="B62" t="s">
        <v>2293</v>
      </c>
      <c r="C62" t="s">
        <v>2249</v>
      </c>
      <c r="D62">
        <v>2021</v>
      </c>
      <c r="E62" s="584">
        <v>32384.410000000011</v>
      </c>
      <c r="F62">
        <v>9806051</v>
      </c>
      <c r="G62" t="s">
        <v>3120</v>
      </c>
      <c r="H62" s="2007" t="s">
        <v>2291</v>
      </c>
      <c r="I62" s="2148"/>
      <c r="J62" s="2148">
        <v>32384.410000000011</v>
      </c>
      <c r="K62" s="2148"/>
      <c r="L62" s="2087">
        <f t="shared" si="0"/>
        <v>32384.410000000011</v>
      </c>
      <c r="M62" s="2087">
        <f t="shared" si="1"/>
        <v>0</v>
      </c>
    </row>
    <row r="63" spans="1:13">
      <c r="A63">
        <v>303100</v>
      </c>
      <c r="B63" t="s">
        <v>2293</v>
      </c>
      <c r="C63" t="s">
        <v>2249</v>
      </c>
      <c r="D63">
        <v>2021</v>
      </c>
      <c r="E63" s="584">
        <v>2017.9699999999993</v>
      </c>
      <c r="F63">
        <v>9806089</v>
      </c>
      <c r="G63" t="s">
        <v>3123</v>
      </c>
      <c r="H63" s="2007" t="s">
        <v>99</v>
      </c>
      <c r="I63" s="2148">
        <v>661.38844190219754</v>
      </c>
      <c r="J63" s="2148">
        <v>425.71462052523736</v>
      </c>
      <c r="K63" s="2148">
        <v>930.86693757256444</v>
      </c>
      <c r="L63" s="2087">
        <f t="shared" si="0"/>
        <v>2017.9699999999993</v>
      </c>
      <c r="M63" s="2087">
        <f t="shared" si="1"/>
        <v>0</v>
      </c>
    </row>
    <row r="64" spans="1:13">
      <c r="A64">
        <v>303100</v>
      </c>
      <c r="B64" t="s">
        <v>2293</v>
      </c>
      <c r="C64" t="s">
        <v>2249</v>
      </c>
      <c r="D64">
        <v>2021</v>
      </c>
      <c r="E64" s="584">
        <v>0</v>
      </c>
      <c r="F64">
        <v>9806091</v>
      </c>
      <c r="G64" t="s">
        <v>3124</v>
      </c>
      <c r="H64" s="2007" t="s">
        <v>109</v>
      </c>
      <c r="I64" s="2148"/>
      <c r="J64" s="2148">
        <v>0</v>
      </c>
      <c r="K64" s="2148">
        <v>0</v>
      </c>
      <c r="L64" s="2087">
        <f t="shared" si="0"/>
        <v>0</v>
      </c>
      <c r="M64" s="2087">
        <f t="shared" si="1"/>
        <v>0</v>
      </c>
    </row>
    <row r="65" spans="1:13">
      <c r="A65">
        <v>303100</v>
      </c>
      <c r="B65" t="s">
        <v>2293</v>
      </c>
      <c r="C65" t="s">
        <v>2249</v>
      </c>
      <c r="D65">
        <v>2021</v>
      </c>
      <c r="E65" s="584">
        <v>85345.45</v>
      </c>
      <c r="F65">
        <v>9806092</v>
      </c>
      <c r="G65" t="s">
        <v>3125</v>
      </c>
      <c r="H65" s="2007" t="s">
        <v>2305</v>
      </c>
      <c r="I65" s="2148">
        <v>85345.45</v>
      </c>
      <c r="J65" s="2148"/>
      <c r="K65" s="2148"/>
      <c r="L65" s="2087">
        <f t="shared" si="0"/>
        <v>85345.45</v>
      </c>
      <c r="M65" s="2087">
        <f t="shared" si="1"/>
        <v>0</v>
      </c>
    </row>
    <row r="66" spans="1:13">
      <c r="A66">
        <v>303100</v>
      </c>
      <c r="B66" t="s">
        <v>2293</v>
      </c>
      <c r="C66" t="s">
        <v>2249</v>
      </c>
      <c r="D66">
        <v>2021</v>
      </c>
      <c r="E66" s="584">
        <v>-82732.710000000006</v>
      </c>
      <c r="F66">
        <v>9806093</v>
      </c>
      <c r="G66" t="s">
        <v>3126</v>
      </c>
      <c r="H66" s="2007" t="s">
        <v>2305</v>
      </c>
      <c r="I66" s="2148">
        <v>-82732.710000000006</v>
      </c>
      <c r="J66" s="2148"/>
      <c r="K66" s="2148"/>
      <c r="L66" s="2087">
        <f t="shared" si="0"/>
        <v>-82732.710000000006</v>
      </c>
      <c r="M66" s="2087">
        <f t="shared" si="1"/>
        <v>0</v>
      </c>
    </row>
    <row r="67" spans="1:13">
      <c r="A67">
        <v>303100</v>
      </c>
      <c r="B67" t="s">
        <v>2293</v>
      </c>
      <c r="C67" t="s">
        <v>2249</v>
      </c>
      <c r="D67">
        <v>2021</v>
      </c>
      <c r="E67" s="584">
        <v>0</v>
      </c>
      <c r="F67">
        <v>9806098</v>
      </c>
      <c r="G67" t="s">
        <v>3127</v>
      </c>
      <c r="H67" s="2007" t="s">
        <v>2305</v>
      </c>
      <c r="I67" s="2148">
        <v>0</v>
      </c>
      <c r="J67" s="2148"/>
      <c r="K67" s="2148"/>
      <c r="L67" s="2087">
        <f t="shared" si="0"/>
        <v>0</v>
      </c>
      <c r="M67" s="2087">
        <f t="shared" si="1"/>
        <v>0</v>
      </c>
    </row>
    <row r="68" spans="1:13">
      <c r="A68">
        <v>303100</v>
      </c>
      <c r="B68" t="s">
        <v>2293</v>
      </c>
      <c r="C68" t="s">
        <v>2249</v>
      </c>
      <c r="D68">
        <v>2021</v>
      </c>
      <c r="E68" s="584">
        <v>0</v>
      </c>
      <c r="F68">
        <v>9806118</v>
      </c>
      <c r="G68" t="s">
        <v>3129</v>
      </c>
      <c r="H68" s="2007" t="s">
        <v>2305</v>
      </c>
      <c r="I68" s="2148">
        <v>0</v>
      </c>
      <c r="J68" s="2148"/>
      <c r="K68" s="2148"/>
      <c r="L68" s="2087">
        <f t="shared" si="0"/>
        <v>0</v>
      </c>
      <c r="M68" s="2087">
        <f t="shared" si="1"/>
        <v>0</v>
      </c>
    </row>
    <row r="69" spans="1:13">
      <c r="A69">
        <v>303100</v>
      </c>
      <c r="B69" t="s">
        <v>2293</v>
      </c>
      <c r="C69" t="s">
        <v>2249</v>
      </c>
      <c r="D69">
        <v>2021</v>
      </c>
      <c r="E69" s="584">
        <v>86957.03</v>
      </c>
      <c r="F69">
        <v>9806121</v>
      </c>
      <c r="G69" t="s">
        <v>3143</v>
      </c>
      <c r="H69" s="2007" t="s">
        <v>2301</v>
      </c>
      <c r="I69" s="2148"/>
      <c r="J69" s="2148"/>
      <c r="K69" s="2148">
        <v>86957.03</v>
      </c>
      <c r="L69" s="2087">
        <f t="shared" ref="L69:L132" si="2">SUM(I69:K69)</f>
        <v>86957.03</v>
      </c>
      <c r="M69" s="2087">
        <f t="shared" ref="M69:M132" si="3">E69-L69</f>
        <v>0</v>
      </c>
    </row>
    <row r="70" spans="1:13">
      <c r="A70">
        <v>303100</v>
      </c>
      <c r="B70" t="s">
        <v>2293</v>
      </c>
      <c r="C70" t="s">
        <v>2249</v>
      </c>
      <c r="D70">
        <v>2021</v>
      </c>
      <c r="E70" s="584">
        <v>0</v>
      </c>
      <c r="F70">
        <v>9806137</v>
      </c>
      <c r="G70" t="s">
        <v>3130</v>
      </c>
      <c r="H70" s="2149" t="s">
        <v>2291</v>
      </c>
      <c r="I70" s="2148"/>
      <c r="J70" s="2148">
        <v>0</v>
      </c>
      <c r="K70" s="2148"/>
      <c r="L70" s="2087">
        <f t="shared" si="2"/>
        <v>0</v>
      </c>
      <c r="M70" s="2087">
        <f t="shared" si="3"/>
        <v>0</v>
      </c>
    </row>
    <row r="71" spans="1:13">
      <c r="A71">
        <v>303100</v>
      </c>
      <c r="B71" t="s">
        <v>2293</v>
      </c>
      <c r="C71" t="s">
        <v>2249</v>
      </c>
      <c r="D71">
        <v>2021</v>
      </c>
      <c r="E71" s="584">
        <v>6552.86</v>
      </c>
      <c r="F71">
        <v>9806148</v>
      </c>
      <c r="G71" t="s">
        <v>3144</v>
      </c>
      <c r="H71" s="2007" t="s">
        <v>2301</v>
      </c>
      <c r="I71" s="2148"/>
      <c r="J71" s="2148"/>
      <c r="K71" s="2148">
        <v>6552.86</v>
      </c>
      <c r="L71" s="2087">
        <f t="shared" si="2"/>
        <v>6552.86</v>
      </c>
      <c r="M71" s="2087">
        <f t="shared" si="3"/>
        <v>0</v>
      </c>
    </row>
    <row r="72" spans="1:13">
      <c r="A72">
        <v>303100</v>
      </c>
      <c r="B72" t="s">
        <v>2293</v>
      </c>
      <c r="C72" t="s">
        <v>2249</v>
      </c>
      <c r="D72">
        <v>2021</v>
      </c>
      <c r="E72" s="584">
        <v>24622.47</v>
      </c>
      <c r="F72">
        <v>9806150</v>
      </c>
      <c r="G72" t="s">
        <v>3145</v>
      </c>
      <c r="H72" s="2007" t="s">
        <v>109</v>
      </c>
      <c r="I72" s="2148"/>
      <c r="J72" s="2148">
        <v>7726.8818891671372</v>
      </c>
      <c r="K72" s="2148">
        <v>16895.588110832861</v>
      </c>
      <c r="L72" s="2087">
        <f t="shared" si="2"/>
        <v>24622.469999999998</v>
      </c>
      <c r="M72" s="2087">
        <f t="shared" si="3"/>
        <v>0</v>
      </c>
    </row>
    <row r="73" spans="1:13">
      <c r="A73">
        <v>303100</v>
      </c>
      <c r="B73" t="s">
        <v>2293</v>
      </c>
      <c r="C73" t="s">
        <v>2249</v>
      </c>
      <c r="D73">
        <v>2021</v>
      </c>
      <c r="E73" s="584">
        <v>10796.15</v>
      </c>
      <c r="F73">
        <v>9806169</v>
      </c>
      <c r="G73" t="s">
        <v>3146</v>
      </c>
      <c r="H73" s="2007" t="s">
        <v>109</v>
      </c>
      <c r="I73" s="2148"/>
      <c r="J73" s="2148">
        <v>3387.9856857468717</v>
      </c>
      <c r="K73" s="2148">
        <v>7408.1643142531275</v>
      </c>
      <c r="L73" s="2087">
        <f t="shared" si="2"/>
        <v>10796.15</v>
      </c>
      <c r="M73" s="2087">
        <f t="shared" si="3"/>
        <v>0</v>
      </c>
    </row>
    <row r="74" spans="1:13">
      <c r="A74">
        <v>303100</v>
      </c>
      <c r="B74" t="s">
        <v>2293</v>
      </c>
      <c r="C74" t="s">
        <v>2249</v>
      </c>
      <c r="D74">
        <v>2021</v>
      </c>
      <c r="E74" s="584">
        <v>23142.71</v>
      </c>
      <c r="F74">
        <v>9806181</v>
      </c>
      <c r="G74" t="s">
        <v>3147</v>
      </c>
      <c r="H74" s="2149" t="s">
        <v>2301</v>
      </c>
      <c r="I74" s="2148"/>
      <c r="J74" s="2148"/>
      <c r="K74" s="2148">
        <v>23142.71</v>
      </c>
      <c r="L74" s="2087">
        <f t="shared" si="2"/>
        <v>23142.71</v>
      </c>
      <c r="M74" s="2087">
        <f t="shared" si="3"/>
        <v>0</v>
      </c>
    </row>
    <row r="75" spans="1:13">
      <c r="A75">
        <v>303100</v>
      </c>
      <c r="B75" t="s">
        <v>2293</v>
      </c>
      <c r="C75" t="s">
        <v>2249</v>
      </c>
      <c r="D75">
        <v>2021</v>
      </c>
      <c r="E75" s="584">
        <v>60140.93</v>
      </c>
      <c r="F75">
        <v>9806186</v>
      </c>
      <c r="G75" t="s">
        <v>3148</v>
      </c>
      <c r="H75" s="2149" t="s">
        <v>2305</v>
      </c>
      <c r="I75" s="2148">
        <v>60140.93</v>
      </c>
      <c r="J75" s="2148"/>
      <c r="K75" s="2148"/>
      <c r="L75" s="2087">
        <f t="shared" si="2"/>
        <v>60140.93</v>
      </c>
      <c r="M75" s="2087">
        <f t="shared" si="3"/>
        <v>0</v>
      </c>
    </row>
    <row r="76" spans="1:13">
      <c r="A76">
        <v>303100</v>
      </c>
      <c r="B76" t="s">
        <v>2293</v>
      </c>
      <c r="C76" t="s">
        <v>2249</v>
      </c>
      <c r="D76">
        <v>2021</v>
      </c>
      <c r="E76" s="584">
        <v>0</v>
      </c>
      <c r="F76">
        <v>21105005</v>
      </c>
      <c r="G76" t="s">
        <v>2299</v>
      </c>
      <c r="H76" s="2149" t="s">
        <v>2295</v>
      </c>
      <c r="I76" s="2148">
        <v>0</v>
      </c>
      <c r="J76" s="2148"/>
      <c r="K76" s="2148"/>
      <c r="L76" s="2087">
        <f t="shared" si="2"/>
        <v>0</v>
      </c>
      <c r="M76" s="2087">
        <f t="shared" si="3"/>
        <v>0</v>
      </c>
    </row>
    <row r="77" spans="1:13">
      <c r="A77">
        <v>303100</v>
      </c>
      <c r="B77" t="s">
        <v>2293</v>
      </c>
      <c r="C77" t="s">
        <v>2249</v>
      </c>
      <c r="D77">
        <v>2021</v>
      </c>
      <c r="E77" s="584">
        <v>0</v>
      </c>
      <c r="F77">
        <v>30405081</v>
      </c>
      <c r="G77" t="s">
        <v>2303</v>
      </c>
      <c r="H77" s="2149" t="s">
        <v>2295</v>
      </c>
      <c r="I77" s="2148">
        <v>0</v>
      </c>
      <c r="J77" s="2148"/>
      <c r="K77" s="2148"/>
      <c r="L77" s="2087">
        <f t="shared" si="2"/>
        <v>0</v>
      </c>
      <c r="M77" s="2087">
        <f t="shared" si="3"/>
        <v>0</v>
      </c>
    </row>
    <row r="78" spans="1:13">
      <c r="A78">
        <v>303100</v>
      </c>
      <c r="B78" t="s">
        <v>2293</v>
      </c>
      <c r="C78" t="s">
        <v>2249</v>
      </c>
      <c r="D78">
        <v>2021</v>
      </c>
      <c r="E78" s="584">
        <v>270.11</v>
      </c>
      <c r="F78">
        <v>42405000</v>
      </c>
      <c r="G78" t="s">
        <v>3133</v>
      </c>
      <c r="H78" s="2149" t="s">
        <v>2291</v>
      </c>
      <c r="I78" s="2148"/>
      <c r="J78" s="2148">
        <v>270.11</v>
      </c>
      <c r="K78" s="2148"/>
      <c r="L78" s="2087">
        <f t="shared" si="2"/>
        <v>270.11</v>
      </c>
      <c r="M78" s="2087">
        <f t="shared" si="3"/>
        <v>0</v>
      </c>
    </row>
    <row r="79" spans="1:13">
      <c r="A79">
        <v>303100</v>
      </c>
      <c r="B79" t="s">
        <v>2293</v>
      </c>
      <c r="C79" t="s">
        <v>2249</v>
      </c>
      <c r="D79">
        <v>2021</v>
      </c>
      <c r="E79" s="584">
        <v>0</v>
      </c>
      <c r="F79">
        <v>9805729</v>
      </c>
      <c r="G79" t="s">
        <v>2309</v>
      </c>
      <c r="H79" s="2007" t="s">
        <v>2305</v>
      </c>
      <c r="I79" s="2148">
        <v>0</v>
      </c>
      <c r="J79" s="2148"/>
      <c r="K79" s="2148"/>
      <c r="L79" s="2087">
        <f t="shared" si="2"/>
        <v>0</v>
      </c>
      <c r="M79" s="2087">
        <f t="shared" si="3"/>
        <v>0</v>
      </c>
    </row>
    <row r="80" spans="1:13">
      <c r="A80">
        <v>303100</v>
      </c>
      <c r="B80" t="s">
        <v>2293</v>
      </c>
      <c r="C80" t="s">
        <v>2249</v>
      </c>
      <c r="D80">
        <v>2021</v>
      </c>
      <c r="E80" s="584">
        <v>0</v>
      </c>
      <c r="F80">
        <v>9805869</v>
      </c>
      <c r="G80" t="s">
        <v>2307</v>
      </c>
      <c r="H80" s="2149" t="s">
        <v>2305</v>
      </c>
      <c r="I80" s="2148">
        <v>0</v>
      </c>
      <c r="J80" s="2148"/>
      <c r="K80" s="2148"/>
      <c r="L80" s="2087">
        <f t="shared" si="2"/>
        <v>0</v>
      </c>
      <c r="M80" s="2087">
        <f t="shared" si="3"/>
        <v>0</v>
      </c>
    </row>
    <row r="81" spans="1:17">
      <c r="A81">
        <v>303100</v>
      </c>
      <c r="B81" t="s">
        <v>2293</v>
      </c>
      <c r="C81" t="s">
        <v>2249</v>
      </c>
      <c r="D81">
        <v>2021</v>
      </c>
      <c r="E81" s="584">
        <v>0</v>
      </c>
      <c r="F81">
        <v>9805945</v>
      </c>
      <c r="G81" t="s">
        <v>2306</v>
      </c>
      <c r="H81" s="2007" t="s">
        <v>2305</v>
      </c>
      <c r="I81" s="2148">
        <v>0</v>
      </c>
      <c r="J81" s="2148"/>
      <c r="K81" s="2148"/>
      <c r="L81" s="2087">
        <f t="shared" si="2"/>
        <v>0</v>
      </c>
      <c r="M81" s="2087">
        <f t="shared" si="3"/>
        <v>0</v>
      </c>
    </row>
    <row r="82" spans="1:17">
      <c r="A82">
        <v>303100</v>
      </c>
      <c r="B82" t="s">
        <v>2293</v>
      </c>
      <c r="C82" t="s">
        <v>2249</v>
      </c>
      <c r="D82">
        <v>2021</v>
      </c>
      <c r="E82" s="584">
        <v>15585.150000000023</v>
      </c>
      <c r="F82">
        <v>9806031</v>
      </c>
      <c r="G82" t="s">
        <v>3135</v>
      </c>
      <c r="H82" s="2007" t="s">
        <v>2305</v>
      </c>
      <c r="I82" s="2148">
        <v>15585.150000000023</v>
      </c>
      <c r="J82" s="2148"/>
      <c r="K82" s="2148"/>
      <c r="L82" s="2087">
        <f t="shared" si="2"/>
        <v>15585.150000000023</v>
      </c>
      <c r="M82" s="2087">
        <f t="shared" si="3"/>
        <v>0</v>
      </c>
    </row>
    <row r="83" spans="1:17">
      <c r="A83">
        <v>303100</v>
      </c>
      <c r="B83" t="s">
        <v>2293</v>
      </c>
      <c r="C83" t="s">
        <v>2249</v>
      </c>
      <c r="D83">
        <v>2021</v>
      </c>
      <c r="E83" s="584">
        <v>0</v>
      </c>
      <c r="F83">
        <v>9806033</v>
      </c>
      <c r="G83" t="s">
        <v>3136</v>
      </c>
      <c r="H83" s="2007" t="s">
        <v>2305</v>
      </c>
      <c r="I83" s="2148">
        <v>0</v>
      </c>
      <c r="J83" s="2148"/>
      <c r="K83" s="2148"/>
      <c r="L83" s="2087">
        <f t="shared" si="2"/>
        <v>0</v>
      </c>
      <c r="M83" s="2087">
        <f t="shared" si="3"/>
        <v>0</v>
      </c>
    </row>
    <row r="84" spans="1:17">
      <c r="A84">
        <v>303100</v>
      </c>
      <c r="B84" t="s">
        <v>2293</v>
      </c>
      <c r="C84" t="s">
        <v>2249</v>
      </c>
      <c r="D84">
        <v>2021</v>
      </c>
      <c r="E84" s="584">
        <v>69.38</v>
      </c>
      <c r="F84">
        <v>9806034</v>
      </c>
      <c r="G84" t="s">
        <v>3137</v>
      </c>
      <c r="H84" s="2149" t="s">
        <v>2305</v>
      </c>
      <c r="I84" s="2148">
        <v>69.38</v>
      </c>
      <c r="J84" s="2148"/>
      <c r="K84" s="2148"/>
      <c r="L84" s="2087">
        <f t="shared" si="2"/>
        <v>69.38</v>
      </c>
      <c r="M84" s="2087">
        <f t="shared" si="3"/>
        <v>0</v>
      </c>
    </row>
    <row r="85" spans="1:17">
      <c r="A85">
        <v>303100</v>
      </c>
      <c r="B85" t="s">
        <v>2293</v>
      </c>
      <c r="C85" t="s">
        <v>2249</v>
      </c>
      <c r="D85">
        <v>2021</v>
      </c>
      <c r="E85" s="584">
        <v>23964.239999999998</v>
      </c>
      <c r="F85">
        <v>9806035</v>
      </c>
      <c r="G85" t="s">
        <v>3138</v>
      </c>
      <c r="H85" s="2007" t="s">
        <v>2305</v>
      </c>
      <c r="I85" s="2148">
        <v>23964.239999999998</v>
      </c>
      <c r="J85" s="2148"/>
      <c r="K85" s="2148"/>
      <c r="L85" s="2087">
        <f t="shared" si="2"/>
        <v>23964.239999999998</v>
      </c>
      <c r="M85" s="2087">
        <f t="shared" si="3"/>
        <v>0</v>
      </c>
    </row>
    <row r="86" spans="1:17">
      <c r="A86">
        <v>303100</v>
      </c>
      <c r="B86" t="s">
        <v>2293</v>
      </c>
      <c r="C86" t="s">
        <v>2249</v>
      </c>
      <c r="D86">
        <v>2021</v>
      </c>
      <c r="E86" s="584">
        <v>2320469.16</v>
      </c>
      <c r="F86">
        <v>9806107</v>
      </c>
      <c r="G86" t="s">
        <v>3149</v>
      </c>
      <c r="H86" s="2007" t="s">
        <v>2305</v>
      </c>
      <c r="I86" s="2148">
        <v>2320469.16</v>
      </c>
      <c r="J86" s="2148"/>
      <c r="K86" s="2148"/>
      <c r="L86" s="2087">
        <f t="shared" si="2"/>
        <v>2320469.16</v>
      </c>
      <c r="M86" s="2087">
        <f t="shared" si="3"/>
        <v>0</v>
      </c>
    </row>
    <row r="87" spans="1:17">
      <c r="A87">
        <v>303100</v>
      </c>
      <c r="B87" t="s">
        <v>2293</v>
      </c>
      <c r="C87" t="s">
        <v>2249</v>
      </c>
      <c r="D87">
        <v>2021</v>
      </c>
      <c r="E87" s="584">
        <v>297857.61</v>
      </c>
      <c r="F87">
        <v>9806152</v>
      </c>
      <c r="G87" t="s">
        <v>3150</v>
      </c>
      <c r="H87" s="2007" t="s">
        <v>2305</v>
      </c>
      <c r="I87" s="2148">
        <v>297857.61</v>
      </c>
      <c r="J87" s="2148"/>
      <c r="K87" s="2148"/>
      <c r="L87" s="2087">
        <f t="shared" si="2"/>
        <v>297857.61</v>
      </c>
      <c r="M87" s="2087">
        <f t="shared" si="3"/>
        <v>0</v>
      </c>
    </row>
    <row r="88" spans="1:17">
      <c r="A88">
        <v>303100</v>
      </c>
      <c r="B88" t="s">
        <v>2293</v>
      </c>
      <c r="C88" t="s">
        <v>2249</v>
      </c>
      <c r="D88">
        <v>2021</v>
      </c>
      <c r="E88" s="584">
        <v>152560.91</v>
      </c>
      <c r="F88">
        <v>9806165</v>
      </c>
      <c r="G88" t="s">
        <v>3151</v>
      </c>
      <c r="H88" s="2007" t="s">
        <v>2305</v>
      </c>
      <c r="I88" s="2148">
        <v>152560.91</v>
      </c>
      <c r="J88" s="2148"/>
      <c r="K88" s="2148"/>
      <c r="L88" s="2087">
        <f t="shared" si="2"/>
        <v>152560.91</v>
      </c>
      <c r="M88" s="2087">
        <f t="shared" si="3"/>
        <v>0</v>
      </c>
      <c r="Q88" s="584"/>
    </row>
    <row r="89" spans="1:17">
      <c r="A89">
        <v>303100</v>
      </c>
      <c r="B89" t="s">
        <v>2293</v>
      </c>
      <c r="C89" t="s">
        <v>2235</v>
      </c>
      <c r="D89">
        <v>2022</v>
      </c>
      <c r="E89" s="584">
        <v>0</v>
      </c>
      <c r="F89">
        <v>2806893</v>
      </c>
      <c r="G89" t="s">
        <v>3141</v>
      </c>
      <c r="H89" s="2007" t="s">
        <v>2301</v>
      </c>
      <c r="I89" s="2148"/>
      <c r="J89" s="2148"/>
      <c r="K89" s="2148">
        <v>0</v>
      </c>
      <c r="L89" s="2087">
        <f t="shared" si="2"/>
        <v>0</v>
      </c>
      <c r="M89" s="2087">
        <f t="shared" si="3"/>
        <v>0</v>
      </c>
      <c r="Q89" s="584"/>
    </row>
    <row r="90" spans="1:17">
      <c r="A90">
        <v>303100</v>
      </c>
      <c r="B90" t="s">
        <v>2293</v>
      </c>
      <c r="C90" t="s">
        <v>2235</v>
      </c>
      <c r="D90">
        <v>2022</v>
      </c>
      <c r="E90" s="584">
        <v>178449.01999999996</v>
      </c>
      <c r="F90">
        <v>2806936</v>
      </c>
      <c r="G90" t="s">
        <v>3152</v>
      </c>
      <c r="H90" s="2007" t="s">
        <v>2301</v>
      </c>
      <c r="I90" s="2148"/>
      <c r="J90" s="2148"/>
      <c r="K90" s="2148">
        <v>178449.01999999996</v>
      </c>
      <c r="L90" s="2087">
        <f t="shared" si="2"/>
        <v>178449.01999999996</v>
      </c>
      <c r="M90" s="2087">
        <f t="shared" si="3"/>
        <v>0</v>
      </c>
      <c r="Q90" s="584"/>
    </row>
    <row r="91" spans="1:17">
      <c r="A91">
        <v>303100</v>
      </c>
      <c r="B91" t="s">
        <v>2293</v>
      </c>
      <c r="C91" t="s">
        <v>2235</v>
      </c>
      <c r="D91">
        <v>2022</v>
      </c>
      <c r="E91" s="584">
        <v>1023150.1699999999</v>
      </c>
      <c r="F91">
        <v>2806983</v>
      </c>
      <c r="G91" t="s">
        <v>3153</v>
      </c>
      <c r="H91" s="2007" t="s">
        <v>2301</v>
      </c>
      <c r="I91" s="2148"/>
      <c r="J91" s="2148"/>
      <c r="K91" s="2148">
        <v>1023150.1699999999</v>
      </c>
      <c r="L91" s="2087">
        <f t="shared" si="2"/>
        <v>1023150.1699999999</v>
      </c>
      <c r="M91" s="2087">
        <f t="shared" si="3"/>
        <v>0</v>
      </c>
      <c r="Q91" s="584"/>
    </row>
    <row r="92" spans="1:17">
      <c r="A92">
        <v>303100</v>
      </c>
      <c r="B92" t="s">
        <v>2293</v>
      </c>
      <c r="C92" t="s">
        <v>2235</v>
      </c>
      <c r="D92">
        <v>2022</v>
      </c>
      <c r="E92" s="584">
        <v>273453.19</v>
      </c>
      <c r="F92">
        <v>2806996</v>
      </c>
      <c r="G92" t="s">
        <v>3154</v>
      </c>
      <c r="H92" s="2007" t="s">
        <v>2301</v>
      </c>
      <c r="I92" s="2148"/>
      <c r="J92" s="2148"/>
      <c r="K92" s="2148">
        <v>273453.19</v>
      </c>
      <c r="L92" s="2087">
        <f t="shared" si="2"/>
        <v>273453.19</v>
      </c>
      <c r="M92" s="2087">
        <f t="shared" si="3"/>
        <v>0</v>
      </c>
    </row>
    <row r="93" spans="1:17">
      <c r="A93">
        <v>303100</v>
      </c>
      <c r="B93" t="s">
        <v>2293</v>
      </c>
      <c r="C93" t="s">
        <v>2235</v>
      </c>
      <c r="D93">
        <v>2022</v>
      </c>
      <c r="E93" s="584">
        <v>226891.38</v>
      </c>
      <c r="F93">
        <v>2806997</v>
      </c>
      <c r="G93" t="s">
        <v>3155</v>
      </c>
      <c r="H93" s="2007" t="s">
        <v>2301</v>
      </c>
      <c r="I93" s="2148"/>
      <c r="J93" s="2148"/>
      <c r="K93" s="2148">
        <v>226891.38</v>
      </c>
      <c r="L93" s="2087">
        <f t="shared" si="2"/>
        <v>226891.38</v>
      </c>
      <c r="M93" s="2087">
        <f t="shared" si="3"/>
        <v>0</v>
      </c>
      <c r="Q93" s="584"/>
    </row>
    <row r="94" spans="1:17">
      <c r="A94">
        <v>303100</v>
      </c>
      <c r="B94" t="s">
        <v>2293</v>
      </c>
      <c r="C94" t="s">
        <v>2249</v>
      </c>
      <c r="D94">
        <v>2022</v>
      </c>
      <c r="E94" s="584">
        <v>265459.08999999997</v>
      </c>
      <c r="F94">
        <v>9805808</v>
      </c>
      <c r="G94" t="s">
        <v>3156</v>
      </c>
      <c r="H94" s="2007" t="s">
        <v>109</v>
      </c>
      <c r="I94" s="2148"/>
      <c r="J94" s="2148">
        <v>83304.844511366595</v>
      </c>
      <c r="K94" s="2148">
        <v>182154.24548863334</v>
      </c>
      <c r="L94" s="2087">
        <f t="shared" si="2"/>
        <v>265459.08999999997</v>
      </c>
      <c r="M94" s="2087">
        <f t="shared" si="3"/>
        <v>0</v>
      </c>
      <c r="Q94" s="584"/>
    </row>
    <row r="95" spans="1:17">
      <c r="A95">
        <v>303100</v>
      </c>
      <c r="B95" t="s">
        <v>2293</v>
      </c>
      <c r="C95" t="s">
        <v>2249</v>
      </c>
      <c r="D95">
        <v>2022</v>
      </c>
      <c r="E95" s="584">
        <v>2425975.48</v>
      </c>
      <c r="F95">
        <v>9806015</v>
      </c>
      <c r="G95" t="s">
        <v>3157</v>
      </c>
      <c r="H95" s="2007" t="s">
        <v>2305</v>
      </c>
      <c r="I95" s="2148">
        <v>2425975.48</v>
      </c>
      <c r="J95" s="2148"/>
      <c r="K95" s="2148"/>
      <c r="L95" s="2087">
        <f t="shared" si="2"/>
        <v>2425975.48</v>
      </c>
      <c r="M95" s="2087">
        <f t="shared" si="3"/>
        <v>0</v>
      </c>
    </row>
    <row r="96" spans="1:17">
      <c r="A96">
        <v>303100</v>
      </c>
      <c r="B96" t="s">
        <v>2293</v>
      </c>
      <c r="C96" t="s">
        <v>2249</v>
      </c>
      <c r="D96">
        <v>2022</v>
      </c>
      <c r="E96" s="584">
        <v>66833.740000000078</v>
      </c>
      <c r="F96">
        <v>9806019</v>
      </c>
      <c r="G96" t="s">
        <v>3117</v>
      </c>
      <c r="H96" s="2007" t="s">
        <v>99</v>
      </c>
      <c r="I96" s="2148">
        <v>21904.717694067127</v>
      </c>
      <c r="J96" s="2148">
        <v>14099.367315858224</v>
      </c>
      <c r="K96" s="2148">
        <v>30829.654990074727</v>
      </c>
      <c r="L96" s="2087">
        <f t="shared" si="2"/>
        <v>66833.740000000078</v>
      </c>
      <c r="M96" s="2087">
        <f t="shared" si="3"/>
        <v>0</v>
      </c>
      <c r="Q96" s="584"/>
    </row>
    <row r="97" spans="1:17">
      <c r="A97">
        <v>303100</v>
      </c>
      <c r="B97" t="s">
        <v>2293</v>
      </c>
      <c r="C97" t="s">
        <v>2249</v>
      </c>
      <c r="D97">
        <v>2022</v>
      </c>
      <c r="E97" s="584">
        <v>3793.0099999999998</v>
      </c>
      <c r="F97">
        <v>9806092</v>
      </c>
      <c r="G97" t="s">
        <v>3125</v>
      </c>
      <c r="H97" s="2007" t="s">
        <v>2305</v>
      </c>
      <c r="I97" s="2148">
        <v>3793.0099999999998</v>
      </c>
      <c r="J97" s="2148"/>
      <c r="K97" s="2148"/>
      <c r="L97" s="2087">
        <f t="shared" si="2"/>
        <v>3793.0099999999998</v>
      </c>
      <c r="M97" s="2087">
        <f t="shared" si="3"/>
        <v>0</v>
      </c>
      <c r="Q97" s="584"/>
    </row>
    <row r="98" spans="1:17">
      <c r="A98">
        <v>303100</v>
      </c>
      <c r="B98" t="s">
        <v>2293</v>
      </c>
      <c r="C98" t="s">
        <v>2249</v>
      </c>
      <c r="D98">
        <v>2022</v>
      </c>
      <c r="E98" s="584">
        <v>0</v>
      </c>
      <c r="F98">
        <v>9806107</v>
      </c>
      <c r="G98" t="s">
        <v>3149</v>
      </c>
      <c r="H98" s="2007" t="s">
        <v>2305</v>
      </c>
      <c r="I98" s="2148">
        <v>0</v>
      </c>
      <c r="J98" s="2148"/>
      <c r="K98" s="2148"/>
      <c r="L98" s="2087">
        <f t="shared" si="2"/>
        <v>0</v>
      </c>
      <c r="M98" s="2087">
        <f t="shared" si="3"/>
        <v>0</v>
      </c>
    </row>
    <row r="99" spans="1:17">
      <c r="A99">
        <v>303100</v>
      </c>
      <c r="B99" t="s">
        <v>2293</v>
      </c>
      <c r="C99" t="s">
        <v>2249</v>
      </c>
      <c r="D99">
        <v>2022</v>
      </c>
      <c r="E99" s="584">
        <v>2156389.2000000002</v>
      </c>
      <c r="F99">
        <v>9806129</v>
      </c>
      <c r="G99" t="s">
        <v>3158</v>
      </c>
      <c r="H99" s="2007" t="s">
        <v>2301</v>
      </c>
      <c r="I99" s="2148"/>
      <c r="J99" s="2148"/>
      <c r="K99" s="2148">
        <v>2156389.2000000002</v>
      </c>
      <c r="L99" s="2087">
        <f t="shared" si="2"/>
        <v>2156389.2000000002</v>
      </c>
      <c r="M99" s="2087">
        <f t="shared" si="3"/>
        <v>0</v>
      </c>
    </row>
    <row r="100" spans="1:17">
      <c r="A100">
        <v>303100</v>
      </c>
      <c r="B100" t="s">
        <v>2293</v>
      </c>
      <c r="C100" t="s">
        <v>2249</v>
      </c>
      <c r="D100">
        <v>2022</v>
      </c>
      <c r="E100" s="584">
        <v>126661.91</v>
      </c>
      <c r="F100">
        <v>9806141</v>
      </c>
      <c r="G100" t="s">
        <v>3159</v>
      </c>
      <c r="H100" s="2007" t="s">
        <v>2301</v>
      </c>
      <c r="I100" s="2148"/>
      <c r="J100" s="2148"/>
      <c r="K100" s="2148">
        <v>126661.91</v>
      </c>
      <c r="L100" s="2087">
        <f t="shared" si="2"/>
        <v>126661.91</v>
      </c>
      <c r="M100" s="2087">
        <f t="shared" si="3"/>
        <v>0</v>
      </c>
    </row>
    <row r="101" spans="1:17">
      <c r="A101">
        <v>303100</v>
      </c>
      <c r="B101" t="s">
        <v>2293</v>
      </c>
      <c r="C101" t="s">
        <v>2249</v>
      </c>
      <c r="D101">
        <v>2022</v>
      </c>
      <c r="E101" s="584">
        <v>418878.3</v>
      </c>
      <c r="F101">
        <v>9806146</v>
      </c>
      <c r="G101" t="s">
        <v>3160</v>
      </c>
      <c r="H101" s="2007" t="s">
        <v>2301</v>
      </c>
      <c r="I101" s="2148"/>
      <c r="J101" s="2148"/>
      <c r="K101" s="2148">
        <v>418878.3</v>
      </c>
      <c r="L101" s="2087">
        <f t="shared" si="2"/>
        <v>418878.3</v>
      </c>
      <c r="M101" s="2087">
        <f t="shared" si="3"/>
        <v>0</v>
      </c>
    </row>
    <row r="102" spans="1:17">
      <c r="A102">
        <v>303100</v>
      </c>
      <c r="B102" t="s">
        <v>2293</v>
      </c>
      <c r="C102" t="s">
        <v>2249</v>
      </c>
      <c r="D102">
        <v>2022</v>
      </c>
      <c r="E102" s="584">
        <v>23987.68</v>
      </c>
      <c r="F102">
        <v>9806147</v>
      </c>
      <c r="G102" t="s">
        <v>3161</v>
      </c>
      <c r="H102" s="2007" t="s">
        <v>99</v>
      </c>
      <c r="I102" s="2148">
        <v>7861.94755127604</v>
      </c>
      <c r="J102" s="2148">
        <v>5060.4845901974904</v>
      </c>
      <c r="K102" s="2148">
        <v>11065.247858526471</v>
      </c>
      <c r="L102" s="2087">
        <f t="shared" si="2"/>
        <v>23987.68</v>
      </c>
      <c r="M102" s="2087">
        <f t="shared" si="3"/>
        <v>0</v>
      </c>
    </row>
    <row r="103" spans="1:17">
      <c r="A103">
        <v>303100</v>
      </c>
      <c r="B103" t="s">
        <v>2293</v>
      </c>
      <c r="C103" t="s">
        <v>2249</v>
      </c>
      <c r="D103">
        <v>2022</v>
      </c>
      <c r="E103" s="584">
        <v>563.37</v>
      </c>
      <c r="F103">
        <v>9806148</v>
      </c>
      <c r="G103" t="s">
        <v>3144</v>
      </c>
      <c r="H103" s="2007" t="s">
        <v>2301</v>
      </c>
      <c r="I103" s="2148"/>
      <c r="J103" s="2148"/>
      <c r="K103" s="2148">
        <v>563.37</v>
      </c>
      <c r="L103" s="2087">
        <f t="shared" si="2"/>
        <v>563.37</v>
      </c>
      <c r="M103" s="2087">
        <f t="shared" si="3"/>
        <v>0</v>
      </c>
    </row>
    <row r="104" spans="1:17">
      <c r="A104">
        <v>303100</v>
      </c>
      <c r="B104" t="s">
        <v>2293</v>
      </c>
      <c r="C104" t="s">
        <v>2249</v>
      </c>
      <c r="D104">
        <v>2022</v>
      </c>
      <c r="E104" s="584">
        <v>0</v>
      </c>
      <c r="F104">
        <v>9806149</v>
      </c>
      <c r="G104" t="s">
        <v>3162</v>
      </c>
      <c r="H104" s="2007" t="s">
        <v>2301</v>
      </c>
      <c r="I104" s="2148"/>
      <c r="J104" s="2148"/>
      <c r="K104" s="2148">
        <v>0</v>
      </c>
      <c r="L104" s="2087">
        <f t="shared" si="2"/>
        <v>0</v>
      </c>
      <c r="M104" s="2087">
        <f t="shared" si="3"/>
        <v>0</v>
      </c>
    </row>
    <row r="105" spans="1:17">
      <c r="A105">
        <v>303100</v>
      </c>
      <c r="B105" t="s">
        <v>2293</v>
      </c>
      <c r="C105" t="s">
        <v>2249</v>
      </c>
      <c r="D105">
        <v>2022</v>
      </c>
      <c r="E105" s="584">
        <v>-2814.13</v>
      </c>
      <c r="F105">
        <v>9806150</v>
      </c>
      <c r="G105" t="s">
        <v>3145</v>
      </c>
      <c r="H105" s="2007" t="s">
        <v>109</v>
      </c>
      <c r="I105" s="2148"/>
      <c r="J105" s="2148">
        <v>-883.11408769152388</v>
      </c>
      <c r="K105" s="2148">
        <v>-1931.0159123084761</v>
      </c>
      <c r="L105" s="2087">
        <f t="shared" si="2"/>
        <v>-2814.13</v>
      </c>
      <c r="M105" s="2087">
        <f t="shared" si="3"/>
        <v>0</v>
      </c>
    </row>
    <row r="106" spans="1:17">
      <c r="A106">
        <v>303100</v>
      </c>
      <c r="B106" t="s">
        <v>2293</v>
      </c>
      <c r="C106" t="s">
        <v>2249</v>
      </c>
      <c r="D106">
        <v>2022</v>
      </c>
      <c r="E106" s="584">
        <v>0</v>
      </c>
      <c r="F106">
        <v>9806152</v>
      </c>
      <c r="G106" t="s">
        <v>3150</v>
      </c>
      <c r="H106" s="2007" t="s">
        <v>2305</v>
      </c>
      <c r="I106" s="2148">
        <v>0</v>
      </c>
      <c r="J106" s="2148"/>
      <c r="K106" s="2148"/>
      <c r="L106" s="2087">
        <f t="shared" si="2"/>
        <v>0</v>
      </c>
      <c r="M106" s="2087">
        <f t="shared" si="3"/>
        <v>0</v>
      </c>
    </row>
    <row r="107" spans="1:17">
      <c r="A107">
        <v>303100</v>
      </c>
      <c r="B107" t="s">
        <v>2293</v>
      </c>
      <c r="C107" t="s">
        <v>2249</v>
      </c>
      <c r="D107">
        <v>2022</v>
      </c>
      <c r="E107" s="584">
        <v>493030.07999999996</v>
      </c>
      <c r="F107">
        <v>9806163</v>
      </c>
      <c r="G107" t="s">
        <v>3163</v>
      </c>
      <c r="H107" s="2007" t="s">
        <v>2301</v>
      </c>
      <c r="I107" s="2148"/>
      <c r="J107" s="2148"/>
      <c r="K107" s="2148">
        <v>493030.07999999996</v>
      </c>
      <c r="L107" s="2087">
        <f t="shared" si="2"/>
        <v>493030.07999999996</v>
      </c>
      <c r="M107" s="2087">
        <f t="shared" si="3"/>
        <v>0</v>
      </c>
    </row>
    <row r="108" spans="1:17">
      <c r="A108">
        <v>303100</v>
      </c>
      <c r="B108" t="s">
        <v>2293</v>
      </c>
      <c r="C108" t="s">
        <v>2249</v>
      </c>
      <c r="D108">
        <v>2022</v>
      </c>
      <c r="E108" s="584">
        <v>0</v>
      </c>
      <c r="F108">
        <v>9806165</v>
      </c>
      <c r="G108" t="s">
        <v>3151</v>
      </c>
      <c r="H108" s="2007" t="s">
        <v>2305</v>
      </c>
      <c r="I108" s="2148">
        <v>0</v>
      </c>
      <c r="J108" s="2148"/>
      <c r="K108" s="2148"/>
      <c r="L108" s="2087">
        <f t="shared" si="2"/>
        <v>0</v>
      </c>
      <c r="M108" s="2087">
        <f t="shared" si="3"/>
        <v>0</v>
      </c>
    </row>
    <row r="109" spans="1:17">
      <c r="A109">
        <v>303100</v>
      </c>
      <c r="B109" t="s">
        <v>2293</v>
      </c>
      <c r="C109" t="s">
        <v>2249</v>
      </c>
      <c r="D109">
        <v>2022</v>
      </c>
      <c r="E109" s="584">
        <v>298.56</v>
      </c>
      <c r="F109">
        <v>9806169</v>
      </c>
      <c r="G109" t="s">
        <v>3146</v>
      </c>
      <c r="H109" s="2007" t="s">
        <v>109</v>
      </c>
      <c r="I109" s="2148"/>
      <c r="J109" s="2148">
        <v>93.692381667222676</v>
      </c>
      <c r="K109" s="2148">
        <v>204.86761833277731</v>
      </c>
      <c r="L109" s="2087">
        <f t="shared" si="2"/>
        <v>298.56</v>
      </c>
      <c r="M109" s="2087">
        <f t="shared" si="3"/>
        <v>0</v>
      </c>
    </row>
    <row r="110" spans="1:17">
      <c r="A110">
        <v>303100</v>
      </c>
      <c r="B110" t="s">
        <v>2293</v>
      </c>
      <c r="C110" t="s">
        <v>2249</v>
      </c>
      <c r="D110">
        <v>2022</v>
      </c>
      <c r="E110" s="584">
        <v>0</v>
      </c>
      <c r="F110">
        <v>9806181</v>
      </c>
      <c r="G110" t="s">
        <v>3147</v>
      </c>
      <c r="H110" s="2007" t="s">
        <v>2301</v>
      </c>
      <c r="I110" s="2148"/>
      <c r="J110" s="2148"/>
      <c r="K110" s="2148">
        <v>0</v>
      </c>
      <c r="L110" s="2087">
        <f t="shared" si="2"/>
        <v>0</v>
      </c>
      <c r="M110" s="2087">
        <f t="shared" si="3"/>
        <v>0</v>
      </c>
    </row>
    <row r="111" spans="1:17">
      <c r="A111">
        <v>303100</v>
      </c>
      <c r="B111" t="s">
        <v>2293</v>
      </c>
      <c r="C111" t="s">
        <v>2249</v>
      </c>
      <c r="D111">
        <v>2022</v>
      </c>
      <c r="E111" s="584">
        <v>506.34</v>
      </c>
      <c r="F111">
        <v>9806186</v>
      </c>
      <c r="G111" t="s">
        <v>3148</v>
      </c>
      <c r="H111" s="2007" t="s">
        <v>2305</v>
      </c>
      <c r="I111" s="2148">
        <v>506.34</v>
      </c>
      <c r="J111" s="2148"/>
      <c r="K111" s="2148"/>
      <c r="L111" s="2087">
        <f t="shared" si="2"/>
        <v>506.34</v>
      </c>
      <c r="M111" s="2087">
        <f t="shared" si="3"/>
        <v>0</v>
      </c>
    </row>
    <row r="112" spans="1:17">
      <c r="A112">
        <v>303100</v>
      </c>
      <c r="B112" t="s">
        <v>2293</v>
      </c>
      <c r="C112" t="s">
        <v>2249</v>
      </c>
      <c r="D112">
        <v>2022</v>
      </c>
      <c r="E112" s="584">
        <v>-557.16000000000349</v>
      </c>
      <c r="F112">
        <v>9806194</v>
      </c>
      <c r="G112" t="s">
        <v>3164</v>
      </c>
      <c r="H112" s="2007" t="s">
        <v>2301</v>
      </c>
      <c r="I112" s="2148"/>
      <c r="J112" s="2148"/>
      <c r="K112" s="2148">
        <v>-557.16000000000349</v>
      </c>
      <c r="L112" s="2087">
        <f t="shared" si="2"/>
        <v>-557.16000000000349</v>
      </c>
      <c r="M112" s="2087">
        <f t="shared" si="3"/>
        <v>0</v>
      </c>
    </row>
    <row r="113" spans="1:13">
      <c r="A113">
        <v>303100</v>
      </c>
      <c r="B113" t="s">
        <v>2293</v>
      </c>
      <c r="C113" t="s">
        <v>2249</v>
      </c>
      <c r="D113">
        <v>2022</v>
      </c>
      <c r="E113" s="584">
        <v>10764.16</v>
      </c>
      <c r="F113">
        <v>9806195</v>
      </c>
      <c r="G113" t="s">
        <v>3165</v>
      </c>
      <c r="H113" s="2007" t="s">
        <v>109</v>
      </c>
      <c r="I113" s="2148"/>
      <c r="J113" s="2148">
        <v>3377.9467679764589</v>
      </c>
      <c r="K113" s="2148">
        <v>7386.2132320235405</v>
      </c>
      <c r="L113" s="2087">
        <f t="shared" si="2"/>
        <v>10764.16</v>
      </c>
      <c r="M113" s="2087">
        <f t="shared" si="3"/>
        <v>0</v>
      </c>
    </row>
    <row r="114" spans="1:13">
      <c r="A114">
        <v>303100</v>
      </c>
      <c r="B114" t="s">
        <v>2293</v>
      </c>
      <c r="C114" t="s">
        <v>2249</v>
      </c>
      <c r="D114">
        <v>2022</v>
      </c>
      <c r="E114" s="584">
        <v>7721.27</v>
      </c>
      <c r="F114">
        <v>9806207</v>
      </c>
      <c r="G114" t="s">
        <v>3166</v>
      </c>
      <c r="H114" s="2007" t="s">
        <v>2301</v>
      </c>
      <c r="I114" s="2148"/>
      <c r="J114" s="2148"/>
      <c r="K114" s="2148">
        <v>7721.27</v>
      </c>
      <c r="L114" s="2087">
        <f t="shared" si="2"/>
        <v>7721.27</v>
      </c>
      <c r="M114" s="2087">
        <f t="shared" si="3"/>
        <v>0</v>
      </c>
    </row>
    <row r="115" spans="1:13">
      <c r="A115">
        <v>303100</v>
      </c>
      <c r="B115" t="s">
        <v>2293</v>
      </c>
      <c r="C115" t="s">
        <v>2249</v>
      </c>
      <c r="D115">
        <v>2022</v>
      </c>
      <c r="E115" s="584">
        <v>21725.23</v>
      </c>
      <c r="F115">
        <v>9806213</v>
      </c>
      <c r="G115" t="s">
        <v>3167</v>
      </c>
      <c r="H115" s="2007" t="s">
        <v>2301</v>
      </c>
      <c r="I115" s="2148"/>
      <c r="J115" s="2148"/>
      <c r="K115" s="2148">
        <v>21725.23</v>
      </c>
      <c r="L115" s="2087">
        <f t="shared" si="2"/>
        <v>21725.23</v>
      </c>
      <c r="M115" s="2087">
        <f t="shared" si="3"/>
        <v>0</v>
      </c>
    </row>
    <row r="116" spans="1:13">
      <c r="A116">
        <v>303100</v>
      </c>
      <c r="B116" t="s">
        <v>2293</v>
      </c>
      <c r="C116" t="s">
        <v>2249</v>
      </c>
      <c r="D116">
        <v>2022</v>
      </c>
      <c r="E116" s="584">
        <v>22855.24</v>
      </c>
      <c r="F116">
        <v>9806214</v>
      </c>
      <c r="G116" t="s">
        <v>3168</v>
      </c>
      <c r="H116" s="2007" t="s">
        <v>2301</v>
      </c>
      <c r="I116" s="2148"/>
      <c r="J116" s="2148"/>
      <c r="K116" s="2148">
        <v>22855.24</v>
      </c>
      <c r="L116" s="2087">
        <f t="shared" si="2"/>
        <v>22855.24</v>
      </c>
      <c r="M116" s="2087">
        <f t="shared" si="3"/>
        <v>0</v>
      </c>
    </row>
    <row r="117" spans="1:13">
      <c r="A117">
        <v>303100</v>
      </c>
      <c r="B117" t="s">
        <v>2293</v>
      </c>
      <c r="C117" t="s">
        <v>2249</v>
      </c>
      <c r="D117">
        <v>2022</v>
      </c>
      <c r="E117" s="584">
        <v>1111349.68</v>
      </c>
      <c r="F117">
        <v>9806227</v>
      </c>
      <c r="G117" t="s">
        <v>3169</v>
      </c>
      <c r="H117" s="2007" t="s">
        <v>2305</v>
      </c>
      <c r="I117" s="2148">
        <v>1111349.68</v>
      </c>
      <c r="J117" s="2148"/>
      <c r="K117" s="2148"/>
      <c r="L117" s="2087">
        <f t="shared" si="2"/>
        <v>1111349.68</v>
      </c>
      <c r="M117" s="2087">
        <f t="shared" si="3"/>
        <v>0</v>
      </c>
    </row>
    <row r="118" spans="1:13">
      <c r="A118">
        <v>303100</v>
      </c>
      <c r="B118" t="s">
        <v>2293</v>
      </c>
      <c r="C118" t="s">
        <v>2249</v>
      </c>
      <c r="D118">
        <v>2022</v>
      </c>
      <c r="E118" s="584">
        <v>380371.02</v>
      </c>
      <c r="F118">
        <v>9806232</v>
      </c>
      <c r="G118" t="s">
        <v>3170</v>
      </c>
      <c r="H118" s="2007" t="s">
        <v>2305</v>
      </c>
      <c r="I118" s="2148">
        <v>380371.02</v>
      </c>
      <c r="J118" s="2148"/>
      <c r="K118" s="2148"/>
      <c r="L118" s="2087">
        <f t="shared" si="2"/>
        <v>380371.02</v>
      </c>
      <c r="M118" s="2087">
        <f t="shared" si="3"/>
        <v>0</v>
      </c>
    </row>
    <row r="119" spans="1:13">
      <c r="A119">
        <v>303100</v>
      </c>
      <c r="B119" t="s">
        <v>2293</v>
      </c>
      <c r="C119" t="s">
        <v>2249</v>
      </c>
      <c r="D119">
        <v>2022</v>
      </c>
      <c r="E119" s="584">
        <v>88169.16</v>
      </c>
      <c r="F119">
        <v>9806234</v>
      </c>
      <c r="G119" t="s">
        <v>3171</v>
      </c>
      <c r="H119" s="2007" t="s">
        <v>2301</v>
      </c>
      <c r="I119" s="2148"/>
      <c r="J119" s="2148"/>
      <c r="K119" s="2148">
        <v>88169.16</v>
      </c>
      <c r="L119" s="2087">
        <f t="shared" si="2"/>
        <v>88169.16</v>
      </c>
      <c r="M119" s="2087">
        <f t="shared" si="3"/>
        <v>0</v>
      </c>
    </row>
    <row r="120" spans="1:13">
      <c r="A120">
        <v>303100</v>
      </c>
      <c r="B120" t="s">
        <v>2293</v>
      </c>
      <c r="C120" t="s">
        <v>2249</v>
      </c>
      <c r="D120">
        <v>2022</v>
      </c>
      <c r="E120" s="584">
        <v>17288.73</v>
      </c>
      <c r="F120">
        <v>9806237</v>
      </c>
      <c r="G120" t="s">
        <v>3172</v>
      </c>
      <c r="H120" s="2007" t="s">
        <v>2301</v>
      </c>
      <c r="I120" s="2148"/>
      <c r="J120" s="2148"/>
      <c r="K120" s="2148">
        <v>17288.73</v>
      </c>
      <c r="L120" s="2087">
        <f t="shared" si="2"/>
        <v>17288.73</v>
      </c>
      <c r="M120" s="2087">
        <f t="shared" si="3"/>
        <v>0</v>
      </c>
    </row>
    <row r="121" spans="1:13">
      <c r="A121">
        <v>303100</v>
      </c>
      <c r="B121" t="s">
        <v>2293</v>
      </c>
      <c r="C121" t="s">
        <v>2249</v>
      </c>
      <c r="D121">
        <v>2022</v>
      </c>
      <c r="E121" s="584">
        <v>16656.61</v>
      </c>
      <c r="F121">
        <v>9806238</v>
      </c>
      <c r="G121" t="s">
        <v>3173</v>
      </c>
      <c r="H121" s="2007" t="s">
        <v>2305</v>
      </c>
      <c r="I121" s="2148">
        <v>16656.61</v>
      </c>
      <c r="J121" s="2148"/>
      <c r="K121" s="2148"/>
      <c r="L121" s="2087">
        <f t="shared" si="2"/>
        <v>16656.61</v>
      </c>
      <c r="M121" s="2087">
        <f t="shared" si="3"/>
        <v>0</v>
      </c>
    </row>
    <row r="122" spans="1:13">
      <c r="A122">
        <v>303100</v>
      </c>
      <c r="B122" t="s">
        <v>2293</v>
      </c>
      <c r="C122" t="s">
        <v>2249</v>
      </c>
      <c r="D122">
        <v>2022</v>
      </c>
      <c r="E122" s="584">
        <v>21.96</v>
      </c>
      <c r="F122">
        <v>42405000</v>
      </c>
      <c r="G122" t="s">
        <v>3133</v>
      </c>
      <c r="H122" s="2007" t="s">
        <v>2291</v>
      </c>
      <c r="I122" s="2148"/>
      <c r="J122" s="2148">
        <v>21.96</v>
      </c>
      <c r="K122" s="2148"/>
      <c r="L122" s="2087">
        <f t="shared" si="2"/>
        <v>21.96</v>
      </c>
      <c r="M122" s="2087">
        <f t="shared" si="3"/>
        <v>0</v>
      </c>
    </row>
    <row r="123" spans="1:13">
      <c r="A123">
        <v>303100</v>
      </c>
      <c r="B123" t="s">
        <v>2293</v>
      </c>
      <c r="C123" t="s">
        <v>2235</v>
      </c>
      <c r="D123">
        <v>2023</v>
      </c>
      <c r="E123" s="584">
        <v>395842.39999999997</v>
      </c>
      <c r="F123">
        <v>2806880</v>
      </c>
      <c r="G123" t="s">
        <v>3174</v>
      </c>
      <c r="H123" s="2007" t="s">
        <v>2301</v>
      </c>
      <c r="I123" s="2148"/>
      <c r="J123" s="2148"/>
      <c r="K123" s="2148">
        <v>395842.39999999997</v>
      </c>
      <c r="L123" s="2087">
        <f t="shared" si="2"/>
        <v>395842.39999999997</v>
      </c>
      <c r="M123" s="2087">
        <f t="shared" si="3"/>
        <v>0</v>
      </c>
    </row>
    <row r="124" spans="1:13">
      <c r="A124">
        <v>303100</v>
      </c>
      <c r="B124" t="s">
        <v>2293</v>
      </c>
      <c r="C124" t="s">
        <v>2235</v>
      </c>
      <c r="D124">
        <v>2023</v>
      </c>
      <c r="E124" s="584">
        <v>2471.83</v>
      </c>
      <c r="F124">
        <v>2806983</v>
      </c>
      <c r="G124" t="s">
        <v>3153</v>
      </c>
      <c r="H124" s="2007" t="s">
        <v>2301</v>
      </c>
      <c r="I124" s="2148"/>
      <c r="J124" s="2148"/>
      <c r="K124" s="2148">
        <v>2471.83</v>
      </c>
      <c r="L124" s="2087">
        <f t="shared" si="2"/>
        <v>2471.83</v>
      </c>
      <c r="M124" s="2087">
        <f t="shared" si="3"/>
        <v>0</v>
      </c>
    </row>
    <row r="125" spans="1:13">
      <c r="A125">
        <v>303100</v>
      </c>
      <c r="B125" t="s">
        <v>2293</v>
      </c>
      <c r="C125" t="s">
        <v>2235</v>
      </c>
      <c r="D125">
        <v>2023</v>
      </c>
      <c r="E125" s="584">
        <v>144.27000000000001</v>
      </c>
      <c r="F125">
        <v>2806996</v>
      </c>
      <c r="G125" t="s">
        <v>3154</v>
      </c>
      <c r="H125" s="2007" t="s">
        <v>2301</v>
      </c>
      <c r="I125" s="2148"/>
      <c r="J125" s="2148"/>
      <c r="K125" s="2148">
        <v>144.27000000000001</v>
      </c>
      <c r="L125" s="2087">
        <f t="shared" si="2"/>
        <v>144.27000000000001</v>
      </c>
      <c r="M125" s="2087">
        <f t="shared" si="3"/>
        <v>0</v>
      </c>
    </row>
    <row r="126" spans="1:13">
      <c r="A126">
        <v>303100</v>
      </c>
      <c r="B126" t="s">
        <v>2293</v>
      </c>
      <c r="C126" t="s">
        <v>2235</v>
      </c>
      <c r="D126">
        <v>2023</v>
      </c>
      <c r="E126" s="584">
        <v>36320.29</v>
      </c>
      <c r="F126">
        <v>2806997</v>
      </c>
      <c r="G126" t="s">
        <v>3155</v>
      </c>
      <c r="H126" s="2007" t="s">
        <v>2301</v>
      </c>
      <c r="I126" s="2148"/>
      <c r="J126" s="2148"/>
      <c r="K126" s="2148">
        <v>36320.29</v>
      </c>
      <c r="L126" s="2087">
        <f t="shared" si="2"/>
        <v>36320.29</v>
      </c>
      <c r="M126" s="2087">
        <f t="shared" si="3"/>
        <v>0</v>
      </c>
    </row>
    <row r="127" spans="1:13">
      <c r="A127">
        <v>303100</v>
      </c>
      <c r="B127" t="s">
        <v>2293</v>
      </c>
      <c r="C127" t="s">
        <v>2235</v>
      </c>
      <c r="D127">
        <v>2023</v>
      </c>
      <c r="E127" s="584">
        <v>287080.05</v>
      </c>
      <c r="F127">
        <v>2807120</v>
      </c>
      <c r="G127" t="s">
        <v>3175</v>
      </c>
      <c r="H127" s="2007" t="s">
        <v>2301</v>
      </c>
      <c r="I127" s="2148"/>
      <c r="J127" s="2148"/>
      <c r="K127" s="2148">
        <v>287080.05</v>
      </c>
      <c r="L127" s="2087">
        <f t="shared" si="2"/>
        <v>287080.05</v>
      </c>
      <c r="M127" s="2087">
        <f t="shared" si="3"/>
        <v>0</v>
      </c>
    </row>
    <row r="128" spans="1:13">
      <c r="A128">
        <v>303100</v>
      </c>
      <c r="B128" t="s">
        <v>2293</v>
      </c>
      <c r="C128" t="s">
        <v>2235</v>
      </c>
      <c r="D128">
        <v>2023</v>
      </c>
      <c r="E128" s="584">
        <v>199397.13</v>
      </c>
      <c r="F128">
        <v>2807121</v>
      </c>
      <c r="G128" t="s">
        <v>3176</v>
      </c>
      <c r="H128" s="2007" t="s">
        <v>2301</v>
      </c>
      <c r="I128" s="2148"/>
      <c r="J128" s="2148"/>
      <c r="K128" s="2148">
        <v>199397.13</v>
      </c>
      <c r="L128" s="2087">
        <f t="shared" si="2"/>
        <v>199397.13</v>
      </c>
      <c r="M128" s="2087">
        <f t="shared" si="3"/>
        <v>0</v>
      </c>
    </row>
    <row r="129" spans="1:13">
      <c r="A129">
        <v>303100</v>
      </c>
      <c r="B129" t="s">
        <v>2293</v>
      </c>
      <c r="C129" t="s">
        <v>2235</v>
      </c>
      <c r="D129">
        <v>2023</v>
      </c>
      <c r="E129" s="584">
        <v>176115.16999999998</v>
      </c>
      <c r="F129">
        <v>2807141</v>
      </c>
      <c r="G129" t="s">
        <v>3177</v>
      </c>
      <c r="H129" s="2007" t="s">
        <v>2301</v>
      </c>
      <c r="I129" s="2148"/>
      <c r="J129" s="2148"/>
      <c r="K129" s="2148">
        <v>176115.16999999998</v>
      </c>
      <c r="L129" s="2087">
        <f t="shared" si="2"/>
        <v>176115.16999999998</v>
      </c>
      <c r="M129" s="2087">
        <f t="shared" si="3"/>
        <v>0</v>
      </c>
    </row>
    <row r="130" spans="1:13">
      <c r="A130">
        <v>303100</v>
      </c>
      <c r="B130" t="s">
        <v>2293</v>
      </c>
      <c r="C130" t="s">
        <v>2249</v>
      </c>
      <c r="D130">
        <v>2023</v>
      </c>
      <c r="E130" s="584">
        <v>109209.10999999999</v>
      </c>
      <c r="F130">
        <v>9806015</v>
      </c>
      <c r="G130" t="s">
        <v>3157</v>
      </c>
      <c r="H130" s="2007" t="s">
        <v>2305</v>
      </c>
      <c r="I130" s="2148">
        <v>109209.10999999999</v>
      </c>
      <c r="J130" s="2148"/>
      <c r="K130" s="2148"/>
      <c r="L130" s="2087">
        <f t="shared" si="2"/>
        <v>109209.10999999999</v>
      </c>
      <c r="M130" s="2087">
        <f t="shared" si="3"/>
        <v>0</v>
      </c>
    </row>
    <row r="131" spans="1:13">
      <c r="A131">
        <v>303100</v>
      </c>
      <c r="B131" t="s">
        <v>2293</v>
      </c>
      <c r="C131" t="s">
        <v>2249</v>
      </c>
      <c r="D131">
        <v>2023</v>
      </c>
      <c r="E131" s="584">
        <v>-11555.020000000002</v>
      </c>
      <c r="F131">
        <v>9806146</v>
      </c>
      <c r="G131" t="s">
        <v>3160</v>
      </c>
      <c r="H131" s="2007" t="s">
        <v>2301</v>
      </c>
      <c r="I131" s="2148"/>
      <c r="J131" s="2148"/>
      <c r="K131" s="2148">
        <v>-11555.020000000002</v>
      </c>
      <c r="L131" s="2087">
        <f t="shared" si="2"/>
        <v>-11555.020000000002</v>
      </c>
      <c r="M131" s="2087">
        <f t="shared" si="3"/>
        <v>0</v>
      </c>
    </row>
    <row r="132" spans="1:13">
      <c r="A132">
        <v>303100</v>
      </c>
      <c r="B132" t="s">
        <v>2293</v>
      </c>
      <c r="C132" t="s">
        <v>2249</v>
      </c>
      <c r="D132">
        <v>2023</v>
      </c>
      <c r="E132" s="584">
        <v>2583.7800000000002</v>
      </c>
      <c r="F132">
        <v>9806214</v>
      </c>
      <c r="G132" t="s">
        <v>3168</v>
      </c>
      <c r="H132" s="2007" t="s">
        <v>2301</v>
      </c>
      <c r="I132" s="2148"/>
      <c r="J132" s="2148"/>
      <c r="K132" s="2148">
        <v>2583.7800000000002</v>
      </c>
      <c r="L132" s="2087">
        <f t="shared" si="2"/>
        <v>2583.7800000000002</v>
      </c>
      <c r="M132" s="2087">
        <f t="shared" si="3"/>
        <v>0</v>
      </c>
    </row>
    <row r="133" spans="1:13">
      <c r="A133">
        <v>303100</v>
      </c>
      <c r="B133" t="s">
        <v>2293</v>
      </c>
      <c r="C133" t="s">
        <v>2249</v>
      </c>
      <c r="D133">
        <v>2023</v>
      </c>
      <c r="E133" s="584">
        <v>959869.97</v>
      </c>
      <c r="F133">
        <v>9806223</v>
      </c>
      <c r="G133" t="s">
        <v>3178</v>
      </c>
      <c r="H133" s="2007" t="s">
        <v>2301</v>
      </c>
      <c r="I133" s="2148"/>
      <c r="J133" s="2148"/>
      <c r="K133" s="2148">
        <v>959869.97</v>
      </c>
      <c r="L133" s="2087">
        <f t="shared" ref="L133:L151" si="4">SUM(I133:K133)</f>
        <v>959869.97</v>
      </c>
      <c r="M133" s="2087">
        <f t="shared" ref="M133:M151" si="5">E133-L133</f>
        <v>0</v>
      </c>
    </row>
    <row r="134" spans="1:13">
      <c r="A134">
        <v>303100</v>
      </c>
      <c r="B134" t="s">
        <v>2293</v>
      </c>
      <c r="C134" t="s">
        <v>2249</v>
      </c>
      <c r="D134">
        <v>2023</v>
      </c>
      <c r="E134" s="584">
        <v>90337.56</v>
      </c>
      <c r="F134">
        <v>9806225</v>
      </c>
      <c r="G134" t="s">
        <v>3179</v>
      </c>
      <c r="H134" s="2007" t="s">
        <v>2305</v>
      </c>
      <c r="I134" s="2148">
        <v>90337.56</v>
      </c>
      <c r="J134" s="2148"/>
      <c r="K134" s="2148"/>
      <c r="L134" s="2087">
        <f t="shared" si="4"/>
        <v>90337.56</v>
      </c>
      <c r="M134" s="2087">
        <f t="shared" si="5"/>
        <v>0</v>
      </c>
    </row>
    <row r="135" spans="1:13">
      <c r="A135">
        <v>303100</v>
      </c>
      <c r="B135" t="s">
        <v>2293</v>
      </c>
      <c r="C135" t="s">
        <v>2249</v>
      </c>
      <c r="D135">
        <v>2023</v>
      </c>
      <c r="E135" s="584">
        <v>240202.18</v>
      </c>
      <c r="F135">
        <v>9806226</v>
      </c>
      <c r="G135" t="s">
        <v>3180</v>
      </c>
      <c r="H135" s="2007" t="s">
        <v>2305</v>
      </c>
      <c r="I135" s="2148">
        <v>240202.18</v>
      </c>
      <c r="J135" s="2148"/>
      <c r="K135" s="2148"/>
      <c r="L135" s="2087">
        <f t="shared" si="4"/>
        <v>240202.18</v>
      </c>
      <c r="M135" s="2087">
        <f t="shared" si="5"/>
        <v>0</v>
      </c>
    </row>
    <row r="136" spans="1:13">
      <c r="A136">
        <v>303100</v>
      </c>
      <c r="B136" t="s">
        <v>2293</v>
      </c>
      <c r="C136" t="s">
        <v>2249</v>
      </c>
      <c r="D136">
        <v>2023</v>
      </c>
      <c r="E136" s="584">
        <v>58968.97</v>
      </c>
      <c r="F136">
        <v>9806227</v>
      </c>
      <c r="G136" t="s">
        <v>3169</v>
      </c>
      <c r="H136" s="2007" t="s">
        <v>2305</v>
      </c>
      <c r="I136" s="2148">
        <v>58968.97</v>
      </c>
      <c r="J136" s="2148"/>
      <c r="K136" s="2148"/>
      <c r="L136" s="2087">
        <f t="shared" si="4"/>
        <v>58968.97</v>
      </c>
      <c r="M136" s="2087">
        <f t="shared" si="5"/>
        <v>0</v>
      </c>
    </row>
    <row r="137" spans="1:13">
      <c r="A137">
        <v>303100</v>
      </c>
      <c r="B137" t="s">
        <v>2293</v>
      </c>
      <c r="C137" t="s">
        <v>2249</v>
      </c>
      <c r="D137">
        <v>2023</v>
      </c>
      <c r="E137" s="584">
        <v>3788.61</v>
      </c>
      <c r="F137">
        <v>9806232</v>
      </c>
      <c r="G137" t="s">
        <v>3170</v>
      </c>
      <c r="H137" s="2007" t="s">
        <v>2305</v>
      </c>
      <c r="I137" s="2148">
        <v>3788.61</v>
      </c>
      <c r="J137" s="2148"/>
      <c r="K137" s="2148"/>
      <c r="L137" s="2087">
        <f t="shared" si="4"/>
        <v>3788.61</v>
      </c>
      <c r="M137" s="2087">
        <f t="shared" si="5"/>
        <v>0</v>
      </c>
    </row>
    <row r="138" spans="1:13">
      <c r="A138">
        <v>303100</v>
      </c>
      <c r="B138" t="s">
        <v>2293</v>
      </c>
      <c r="C138" t="s">
        <v>2249</v>
      </c>
      <c r="D138">
        <v>2023</v>
      </c>
      <c r="E138" s="584">
        <v>50009.36</v>
      </c>
      <c r="F138">
        <v>9806233</v>
      </c>
      <c r="G138" t="s">
        <v>3181</v>
      </c>
      <c r="H138" s="2007" t="s">
        <v>2301</v>
      </c>
      <c r="I138" s="2148"/>
      <c r="J138" s="2148"/>
      <c r="K138" s="2148">
        <v>50009.36</v>
      </c>
      <c r="L138" s="2087">
        <f t="shared" si="4"/>
        <v>50009.36</v>
      </c>
      <c r="M138" s="2087">
        <f t="shared" si="5"/>
        <v>0</v>
      </c>
    </row>
    <row r="139" spans="1:13">
      <c r="A139">
        <v>303100</v>
      </c>
      <c r="B139" t="s">
        <v>2293</v>
      </c>
      <c r="C139" t="s">
        <v>2249</v>
      </c>
      <c r="D139">
        <v>2023</v>
      </c>
      <c r="E139" s="584">
        <v>12505.400000000001</v>
      </c>
      <c r="F139">
        <v>9806234</v>
      </c>
      <c r="G139" t="s">
        <v>3171</v>
      </c>
      <c r="H139" s="2007" t="s">
        <v>2301</v>
      </c>
      <c r="I139" s="2148"/>
      <c r="J139" s="2148"/>
      <c r="K139" s="2148">
        <v>12505.400000000001</v>
      </c>
      <c r="L139" s="2087">
        <f t="shared" si="4"/>
        <v>12505.400000000001</v>
      </c>
      <c r="M139" s="2087">
        <f t="shared" si="5"/>
        <v>0</v>
      </c>
    </row>
    <row r="140" spans="1:13">
      <c r="A140">
        <v>303100</v>
      </c>
      <c r="B140" t="s">
        <v>2293</v>
      </c>
      <c r="C140" t="s">
        <v>2249</v>
      </c>
      <c r="D140">
        <v>2023</v>
      </c>
      <c r="E140" s="584">
        <v>1698.9399999999998</v>
      </c>
      <c r="F140">
        <v>9806237</v>
      </c>
      <c r="G140" t="s">
        <v>3172</v>
      </c>
      <c r="H140" s="2007" t="s">
        <v>2301</v>
      </c>
      <c r="I140" s="2148"/>
      <c r="J140" s="2148"/>
      <c r="K140" s="2148">
        <v>1698.9399999999998</v>
      </c>
      <c r="L140" s="2087">
        <f t="shared" si="4"/>
        <v>1698.9399999999998</v>
      </c>
      <c r="M140" s="2087">
        <f t="shared" si="5"/>
        <v>0</v>
      </c>
    </row>
    <row r="141" spans="1:13">
      <c r="A141">
        <v>303100</v>
      </c>
      <c r="B141" t="s">
        <v>2293</v>
      </c>
      <c r="C141" t="s">
        <v>2249</v>
      </c>
      <c r="D141">
        <v>2023</v>
      </c>
      <c r="E141" s="584">
        <v>31159.57</v>
      </c>
      <c r="F141">
        <v>9806238</v>
      </c>
      <c r="G141" t="s">
        <v>3173</v>
      </c>
      <c r="H141" s="2007" t="s">
        <v>2305</v>
      </c>
      <c r="I141" s="2148">
        <v>31159.57</v>
      </c>
      <c r="J141" s="2148"/>
      <c r="K141" s="2148"/>
      <c r="L141" s="2087">
        <f t="shared" si="4"/>
        <v>31159.57</v>
      </c>
      <c r="M141" s="2087">
        <f t="shared" si="5"/>
        <v>0</v>
      </c>
    </row>
    <row r="142" spans="1:13">
      <c r="A142">
        <v>303100</v>
      </c>
      <c r="B142" t="s">
        <v>2293</v>
      </c>
      <c r="C142" t="s">
        <v>2249</v>
      </c>
      <c r="D142">
        <v>2023</v>
      </c>
      <c r="E142" s="584">
        <v>54733.24</v>
      </c>
      <c r="F142">
        <v>9806248</v>
      </c>
      <c r="G142" t="s">
        <v>3182</v>
      </c>
      <c r="H142" s="2007" t="s">
        <v>2301</v>
      </c>
      <c r="I142" s="2148"/>
      <c r="J142" s="2148"/>
      <c r="K142" s="2148">
        <v>54733.24</v>
      </c>
      <c r="L142" s="2087">
        <f t="shared" si="4"/>
        <v>54733.24</v>
      </c>
      <c r="M142" s="2087">
        <f t="shared" si="5"/>
        <v>0</v>
      </c>
    </row>
    <row r="143" spans="1:13">
      <c r="A143">
        <v>303100</v>
      </c>
      <c r="B143" t="s">
        <v>2293</v>
      </c>
      <c r="C143" t="s">
        <v>2249</v>
      </c>
      <c r="D143">
        <v>2023</v>
      </c>
      <c r="E143" s="584">
        <v>1213332.18</v>
      </c>
      <c r="F143">
        <v>9806250</v>
      </c>
      <c r="G143" t="s">
        <v>3183</v>
      </c>
      <c r="H143" s="2007" t="s">
        <v>2305</v>
      </c>
      <c r="I143" s="2148">
        <v>1213332.18</v>
      </c>
      <c r="J143" s="2148"/>
      <c r="K143" s="2148"/>
      <c r="L143" s="2087">
        <f t="shared" si="4"/>
        <v>1213332.18</v>
      </c>
      <c r="M143" s="2087">
        <f t="shared" si="5"/>
        <v>0</v>
      </c>
    </row>
    <row r="144" spans="1:13">
      <c r="A144">
        <v>303100</v>
      </c>
      <c r="B144" t="s">
        <v>2293</v>
      </c>
      <c r="C144" t="s">
        <v>2249</v>
      </c>
      <c r="D144">
        <v>2023</v>
      </c>
      <c r="E144" s="584">
        <v>83500.959999999992</v>
      </c>
      <c r="F144">
        <v>9806251</v>
      </c>
      <c r="G144" t="s">
        <v>3184</v>
      </c>
      <c r="H144" s="2149" t="s">
        <v>2305</v>
      </c>
      <c r="I144" s="2148">
        <v>83500.959999999992</v>
      </c>
      <c r="J144" s="2148"/>
      <c r="K144" s="2148"/>
      <c r="L144" s="2087">
        <f t="shared" si="4"/>
        <v>83500.959999999992</v>
      </c>
      <c r="M144" s="2087">
        <f t="shared" si="5"/>
        <v>0</v>
      </c>
    </row>
    <row r="145" spans="1:13">
      <c r="A145">
        <v>303100</v>
      </c>
      <c r="B145" t="s">
        <v>2293</v>
      </c>
      <c r="C145" t="s">
        <v>2249</v>
      </c>
      <c r="D145">
        <v>2023</v>
      </c>
      <c r="E145" s="584">
        <v>156298.57</v>
      </c>
      <c r="F145">
        <v>9806252</v>
      </c>
      <c r="G145" t="s">
        <v>3185</v>
      </c>
      <c r="H145" s="2007" t="s">
        <v>2305</v>
      </c>
      <c r="I145" s="2148">
        <v>156298.57</v>
      </c>
      <c r="J145" s="2148"/>
      <c r="K145" s="2148"/>
      <c r="L145" s="2087">
        <f t="shared" si="4"/>
        <v>156298.57</v>
      </c>
      <c r="M145" s="2087">
        <f t="shared" si="5"/>
        <v>0</v>
      </c>
    </row>
    <row r="146" spans="1:13">
      <c r="A146">
        <v>303100</v>
      </c>
      <c r="B146" t="s">
        <v>2293</v>
      </c>
      <c r="C146" t="s">
        <v>2249</v>
      </c>
      <c r="D146">
        <v>2023</v>
      </c>
      <c r="E146" s="584">
        <v>387864.2</v>
      </c>
      <c r="F146">
        <v>9806269</v>
      </c>
      <c r="G146" t="s">
        <v>3186</v>
      </c>
      <c r="H146" s="2007" t="s">
        <v>2301</v>
      </c>
      <c r="I146" s="2148"/>
      <c r="J146" s="2148"/>
      <c r="K146" s="2148">
        <v>387864.2</v>
      </c>
      <c r="L146" s="2087">
        <f t="shared" si="4"/>
        <v>387864.2</v>
      </c>
      <c r="M146" s="2087">
        <f t="shared" si="5"/>
        <v>0</v>
      </c>
    </row>
    <row r="147" spans="1:13">
      <c r="A147">
        <v>303100</v>
      </c>
      <c r="B147" t="s">
        <v>2293</v>
      </c>
      <c r="C147" t="s">
        <v>2249</v>
      </c>
      <c r="D147">
        <v>2023</v>
      </c>
      <c r="E147" s="584">
        <v>1132831.1100000001</v>
      </c>
      <c r="F147">
        <v>9806277</v>
      </c>
      <c r="G147" t="s">
        <v>3187</v>
      </c>
      <c r="H147" s="2007" t="s">
        <v>2305</v>
      </c>
      <c r="I147" s="2148">
        <v>1132831.1100000001</v>
      </c>
      <c r="J147" s="2148"/>
      <c r="K147" s="2148"/>
      <c r="L147" s="2087">
        <f t="shared" si="4"/>
        <v>1132831.1100000001</v>
      </c>
      <c r="M147" s="2087">
        <f t="shared" si="5"/>
        <v>0</v>
      </c>
    </row>
    <row r="148" spans="1:13">
      <c r="A148">
        <v>303100</v>
      </c>
      <c r="B148" t="s">
        <v>2293</v>
      </c>
      <c r="C148" t="s">
        <v>2249</v>
      </c>
      <c r="D148">
        <v>2023</v>
      </c>
      <c r="E148" s="584">
        <v>19774.400000000001</v>
      </c>
      <c r="F148">
        <v>9806290</v>
      </c>
      <c r="G148" t="s">
        <v>3188</v>
      </c>
      <c r="H148" s="2007" t="s">
        <v>2305</v>
      </c>
      <c r="I148" s="2148">
        <v>19774.400000000001</v>
      </c>
      <c r="J148" s="2148"/>
      <c r="K148" s="2148"/>
      <c r="L148" s="2087">
        <f t="shared" si="4"/>
        <v>19774.400000000001</v>
      </c>
      <c r="M148" s="2087">
        <f t="shared" si="5"/>
        <v>0</v>
      </c>
    </row>
    <row r="149" spans="1:13">
      <c r="A149">
        <v>303100</v>
      </c>
      <c r="B149" t="s">
        <v>2293</v>
      </c>
      <c r="C149" t="s">
        <v>2249</v>
      </c>
      <c r="D149">
        <v>2023</v>
      </c>
      <c r="E149" s="584">
        <v>381714.65</v>
      </c>
      <c r="F149">
        <v>9806292</v>
      </c>
      <c r="G149" t="s">
        <v>3189</v>
      </c>
      <c r="H149" s="2007" t="s">
        <v>2301</v>
      </c>
      <c r="I149" s="2148"/>
      <c r="J149" s="2148"/>
      <c r="K149" s="2148">
        <v>381714.65</v>
      </c>
      <c r="L149" s="2087">
        <f t="shared" si="4"/>
        <v>381714.65</v>
      </c>
      <c r="M149" s="2087">
        <f t="shared" si="5"/>
        <v>0</v>
      </c>
    </row>
    <row r="150" spans="1:13">
      <c r="A150">
        <v>303100</v>
      </c>
      <c r="B150" t="s">
        <v>2293</v>
      </c>
      <c r="C150" t="s">
        <v>2249</v>
      </c>
      <c r="D150">
        <v>2023</v>
      </c>
      <c r="E150" s="584">
        <v>46871.9</v>
      </c>
      <c r="F150">
        <v>61005124</v>
      </c>
      <c r="G150" t="s">
        <v>3190</v>
      </c>
      <c r="H150" s="2007" t="s">
        <v>2305</v>
      </c>
      <c r="I150" s="2148">
        <v>46871.9</v>
      </c>
      <c r="J150" s="2148"/>
      <c r="K150" s="2148"/>
      <c r="L150" s="2087">
        <f t="shared" si="4"/>
        <v>46871.9</v>
      </c>
      <c r="M150" s="2087">
        <f t="shared" si="5"/>
        <v>0</v>
      </c>
    </row>
    <row r="151" spans="1:13">
      <c r="E151" s="2150">
        <v>-473784.18</v>
      </c>
      <c r="G151" t="s">
        <v>2290</v>
      </c>
      <c r="H151" s="2007"/>
      <c r="I151" s="2148"/>
      <c r="J151" s="2148"/>
      <c r="K151" s="2148">
        <f>E151</f>
        <v>-473784.18</v>
      </c>
      <c r="L151" s="2087">
        <f t="shared" si="4"/>
        <v>-473784.18</v>
      </c>
      <c r="M151" s="2087">
        <f t="shared" si="5"/>
        <v>0</v>
      </c>
    </row>
    <row r="152" spans="1:13" ht="16.5" thickBot="1">
      <c r="E152" s="2006">
        <f>SUM(E4:E151)</f>
        <v>29766370.949999981</v>
      </c>
      <c r="H152" s="2007"/>
      <c r="I152" s="2151">
        <f>SUM(I4:I151)</f>
        <v>16218176.756072054</v>
      </c>
      <c r="J152" s="2151">
        <f t="shared" ref="J152:K152" si="6">SUM(J4:J151)</f>
        <v>1759125.5472682705</v>
      </c>
      <c r="K152" s="2151">
        <f t="shared" si="6"/>
        <v>11789068.646659676</v>
      </c>
      <c r="L152" s="2087">
        <v>0</v>
      </c>
    </row>
    <row r="153" spans="1:13" ht="16.5" thickTop="1">
      <c r="E153" s="1994">
        <f>+'1.1a Intangible Detail'!D45</f>
        <v>29766370.949999999</v>
      </c>
      <c r="F153" t="s">
        <v>2289</v>
      </c>
      <c r="H153" s="2007"/>
      <c r="L153" s="2087">
        <v>0</v>
      </c>
    </row>
    <row r="154" spans="1:13">
      <c r="E154" s="2096">
        <f>E152-E153</f>
        <v>0</v>
      </c>
      <c r="H154" s="2007"/>
    </row>
    <row r="155" spans="1:13">
      <c r="H155" s="2007"/>
      <c r="I155" s="1134">
        <v>0.31690000000000002</v>
      </c>
      <c r="J155" s="1134">
        <v>0.20749999999999999</v>
      </c>
      <c r="K155" s="1134">
        <v>0.46899999999999997</v>
      </c>
    </row>
    <row r="156" spans="1:13">
      <c r="E156" s="584">
        <f>-'Intangible Reserve 1.1c'!F27</f>
        <v>2268021.5</v>
      </c>
      <c r="F156" t="s">
        <v>2288</v>
      </c>
      <c r="H156" s="2007"/>
      <c r="I156" s="1994">
        <f>E156*I155</f>
        <v>718736.01335000002</v>
      </c>
      <c r="J156" s="1994">
        <f>E156*J155</f>
        <v>470614.46124999999</v>
      </c>
      <c r="K156" s="1994">
        <f>K155*E156</f>
        <v>1063702.0834999999</v>
      </c>
    </row>
    <row r="157" spans="1:13">
      <c r="D157" s="1750" t="s">
        <v>2287</v>
      </c>
      <c r="E157" s="584">
        <f>+'336'!E2</f>
        <v>9850589</v>
      </c>
      <c r="F157" t="s">
        <v>2286</v>
      </c>
      <c r="H157" s="2007"/>
      <c r="I157" s="1994">
        <f>E157*I155</f>
        <v>3121651.6540999999</v>
      </c>
      <c r="J157" s="1994">
        <f>E157*J155</f>
        <v>2043997.2174999998</v>
      </c>
      <c r="K157" s="1994">
        <f>E157*K155</f>
        <v>4619926.2409999995</v>
      </c>
    </row>
    <row r="158" spans="1:13">
      <c r="H158" s="2007"/>
    </row>
    <row r="159" spans="1:13">
      <c r="H159" s="2007"/>
      <c r="I159" t="s">
        <v>3191</v>
      </c>
    </row>
    <row r="162" spans="2:4">
      <c r="D162" s="1994"/>
    </row>
    <row r="163" spans="2:4">
      <c r="D163" s="1994"/>
    </row>
    <row r="164" spans="2:4">
      <c r="D164" s="1994"/>
    </row>
    <row r="165" spans="2:4">
      <c r="D165" s="1994"/>
    </row>
    <row r="166" spans="2:4">
      <c r="D166" s="1994"/>
    </row>
    <row r="167" spans="2:4">
      <c r="D167" s="1994"/>
    </row>
    <row r="168" spans="2:4">
      <c r="D168" s="1994"/>
    </row>
    <row r="169" spans="2:4">
      <c r="D169" s="1994"/>
    </row>
    <row r="170" spans="2:4">
      <c r="D170" s="1994"/>
    </row>
    <row r="171" spans="2:4">
      <c r="D171" s="1994"/>
    </row>
    <row r="172" spans="2:4">
      <c r="D172" s="1994"/>
    </row>
    <row r="173" spans="2:4">
      <c r="D173" s="1994"/>
    </row>
    <row r="174" spans="2:4">
      <c r="B174" s="2004"/>
      <c r="C174" s="2004"/>
      <c r="D174" s="2002"/>
    </row>
  </sheetData>
  <autoFilter ref="A3:K166" xr:uid="{00000000-0009-0000-0000-00000B000000}"/>
  <mergeCells count="1">
    <mergeCell ref="I2:K2"/>
  </mergeCells>
  <pageMargins left="0.7" right="0.7" top="0.75" bottom="0.75" header="0.3" footer="0.3"/>
  <pageSetup orientation="portrait" horizontalDpi="90" verticalDpi="90" r:id="rId1"/>
  <customProperties>
    <customPr name="xxe4aP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B1E5-D781-43B9-B2DA-0A742C895FBC}">
  <sheetPr codeName="Sheet28"/>
  <dimension ref="A1:L63"/>
  <sheetViews>
    <sheetView workbookViewId="0">
      <selection activeCell="D14" sqref="D14"/>
    </sheetView>
  </sheetViews>
  <sheetFormatPr defaultRowHeight="15.75"/>
  <cols>
    <col min="2" max="2" width="33.375" customWidth="1"/>
    <col min="3" max="3" width="63.25" customWidth="1"/>
    <col min="5" max="5" width="17.375" customWidth="1"/>
    <col min="6" max="6" width="16.75" customWidth="1"/>
    <col min="7" max="7" width="20.625" customWidth="1"/>
  </cols>
  <sheetData>
    <row r="1" spans="1:12">
      <c r="E1">
        <v>202312</v>
      </c>
    </row>
    <row r="2" spans="1:12">
      <c r="E2" t="s">
        <v>2337</v>
      </c>
      <c r="F2" t="s">
        <v>2283</v>
      </c>
    </row>
    <row r="3" spans="1:12">
      <c r="A3" t="s">
        <v>2282</v>
      </c>
      <c r="B3" t="s">
        <v>2336</v>
      </c>
      <c r="C3" t="s">
        <v>2281</v>
      </c>
      <c r="D3" t="s">
        <v>2335</v>
      </c>
    </row>
    <row r="4" spans="1:12">
      <c r="A4" s="2017">
        <v>302000</v>
      </c>
      <c r="B4" t="s">
        <v>2334</v>
      </c>
      <c r="C4" t="s">
        <v>2242</v>
      </c>
      <c r="D4" t="s">
        <v>2249</v>
      </c>
      <c r="E4" s="1994">
        <v>-4630598.74</v>
      </c>
      <c r="F4" s="1994">
        <v>-4646745.2</v>
      </c>
      <c r="G4" t="s">
        <v>319</v>
      </c>
    </row>
    <row r="5" spans="1:12">
      <c r="A5" s="2017"/>
      <c r="C5" t="s">
        <v>2279</v>
      </c>
      <c r="D5" t="s">
        <v>2249</v>
      </c>
      <c r="E5" s="1994">
        <v>-245280.46</v>
      </c>
      <c r="F5" s="1994">
        <v>-246306.82</v>
      </c>
      <c r="G5" t="s">
        <v>106</v>
      </c>
    </row>
    <row r="6" spans="1:12">
      <c r="A6" s="2017"/>
      <c r="C6" t="s">
        <v>2083</v>
      </c>
      <c r="D6" t="s">
        <v>2249</v>
      </c>
      <c r="E6" s="1994">
        <f>-5696388.11+5696388.11</f>
        <v>0</v>
      </c>
      <c r="F6" s="1994">
        <f>-5741790.89+5741790.89</f>
        <v>0</v>
      </c>
      <c r="G6" t="s">
        <v>319</v>
      </c>
      <c r="H6" s="2329"/>
      <c r="I6" s="2330"/>
      <c r="J6" s="2330"/>
      <c r="K6" s="2330"/>
      <c r="L6" s="2330"/>
    </row>
    <row r="7" spans="1:12">
      <c r="A7" s="2017"/>
      <c r="C7" t="s">
        <v>2239</v>
      </c>
      <c r="D7" t="s">
        <v>2249</v>
      </c>
      <c r="E7" s="1994">
        <v>-3286923.8</v>
      </c>
      <c r="F7" s="1994">
        <v>-3298257.86</v>
      </c>
      <c r="G7" t="s">
        <v>319</v>
      </c>
    </row>
    <row r="8" spans="1:12">
      <c r="A8" s="2017"/>
      <c r="C8" t="s">
        <v>2234</v>
      </c>
      <c r="D8" t="s">
        <v>2249</v>
      </c>
      <c r="E8" s="1994">
        <v>-455092.78</v>
      </c>
      <c r="F8" s="1994">
        <v>-457716.38</v>
      </c>
      <c r="G8" t="s">
        <v>319</v>
      </c>
    </row>
    <row r="9" spans="1:12">
      <c r="A9" s="2017"/>
      <c r="C9" t="s">
        <v>2333</v>
      </c>
      <c r="D9" t="s">
        <v>2232</v>
      </c>
      <c r="E9" s="1994">
        <v>0</v>
      </c>
      <c r="F9" s="1994">
        <v>0</v>
      </c>
    </row>
    <row r="10" spans="1:12">
      <c r="A10" s="2017"/>
      <c r="C10" t="s">
        <v>2277</v>
      </c>
      <c r="D10" t="s">
        <v>2235</v>
      </c>
      <c r="E10" s="1994">
        <v>-646368.18999999994</v>
      </c>
      <c r="F10" s="1994">
        <v>-657009.38</v>
      </c>
      <c r="G10" t="s">
        <v>106</v>
      </c>
    </row>
    <row r="11" spans="1:12">
      <c r="A11" s="2017"/>
      <c r="C11" s="2331" t="s">
        <v>104</v>
      </c>
      <c r="D11" s="2331"/>
      <c r="E11" s="2002">
        <f>SUM(E4:E10)</f>
        <v>-9264263.9699999988</v>
      </c>
      <c r="F11" s="2002">
        <f>SUM(F4:F10)</f>
        <v>-9306035.6400000025</v>
      </c>
    </row>
    <row r="12" spans="1:12">
      <c r="A12" s="2017">
        <v>303000</v>
      </c>
      <c r="B12" t="s">
        <v>2332</v>
      </c>
      <c r="C12" t="s">
        <v>2262</v>
      </c>
      <c r="D12" t="s">
        <v>2235</v>
      </c>
      <c r="E12" s="1994">
        <v>-23615.95</v>
      </c>
      <c r="F12" s="1994">
        <v>-23892.16</v>
      </c>
      <c r="G12" s="1211" t="s">
        <v>2211</v>
      </c>
    </row>
    <row r="13" spans="1:12">
      <c r="A13" s="2017"/>
      <c r="C13" t="s">
        <v>2275</v>
      </c>
      <c r="D13" t="s">
        <v>2249</v>
      </c>
      <c r="E13" s="1994">
        <v>-939589.49</v>
      </c>
      <c r="F13" s="1994">
        <v>-947425.64</v>
      </c>
      <c r="G13" t="s">
        <v>106</v>
      </c>
    </row>
    <row r="14" spans="1:12">
      <c r="A14" s="2017"/>
      <c r="C14" t="s">
        <v>2274</v>
      </c>
      <c r="D14" t="s">
        <v>2249</v>
      </c>
      <c r="E14" s="1994">
        <v>-208181.41</v>
      </c>
      <c r="F14" s="1994">
        <v>-208390.62</v>
      </c>
      <c r="G14" t="s">
        <v>106</v>
      </c>
    </row>
    <row r="15" spans="1:12">
      <c r="A15" s="2017"/>
      <c r="C15" t="s">
        <v>2273</v>
      </c>
      <c r="D15" t="s">
        <v>2249</v>
      </c>
      <c r="E15" s="1994">
        <v>-286989.01</v>
      </c>
      <c r="F15" s="1994">
        <v>-287280.71000000002</v>
      </c>
      <c r="G15" t="s">
        <v>106</v>
      </c>
    </row>
    <row r="16" spans="1:12">
      <c r="A16" s="2017"/>
      <c r="C16" t="s">
        <v>2272</v>
      </c>
      <c r="D16" t="s">
        <v>2249</v>
      </c>
      <c r="E16" s="1994">
        <v>-631.95000000000005</v>
      </c>
      <c r="F16" s="1994">
        <v>-648.79999999999995</v>
      </c>
      <c r="G16" t="s">
        <v>319</v>
      </c>
    </row>
    <row r="17" spans="1:8">
      <c r="A17" s="2017"/>
      <c r="C17" t="s">
        <v>2270</v>
      </c>
      <c r="D17" t="s">
        <v>2249</v>
      </c>
      <c r="E17" s="1994">
        <v>-142764.63</v>
      </c>
      <c r="F17" s="1994">
        <v>-143448.74</v>
      </c>
      <c r="G17" t="s">
        <v>106</v>
      </c>
    </row>
    <row r="18" spans="1:8">
      <c r="A18" s="2017"/>
      <c r="C18" t="s">
        <v>2267</v>
      </c>
      <c r="D18" t="s">
        <v>2249</v>
      </c>
      <c r="E18" s="1994">
        <v>-23617.35</v>
      </c>
      <c r="F18" s="1994">
        <v>-23837.040000000001</v>
      </c>
      <c r="G18" t="s">
        <v>106</v>
      </c>
    </row>
    <row r="19" spans="1:8">
      <c r="A19" s="2017"/>
      <c r="C19" t="s">
        <v>2266</v>
      </c>
      <c r="D19" t="s">
        <v>2249</v>
      </c>
      <c r="E19" s="1994">
        <v>-4054.36</v>
      </c>
      <c r="F19" s="1994">
        <v>-4072.36</v>
      </c>
      <c r="G19" t="s">
        <v>106</v>
      </c>
    </row>
    <row r="20" spans="1:8">
      <c r="A20" s="2017"/>
      <c r="C20" t="s">
        <v>2265</v>
      </c>
      <c r="D20" t="s">
        <v>2249</v>
      </c>
      <c r="E20" s="1994">
        <v>-160380.82999999999</v>
      </c>
      <c r="F20" s="1994">
        <v>-160380.82999999999</v>
      </c>
      <c r="G20" t="s">
        <v>319</v>
      </c>
    </row>
    <row r="21" spans="1:8">
      <c r="A21" s="2017"/>
      <c r="C21" t="s">
        <v>2236</v>
      </c>
      <c r="D21" t="s">
        <v>2249</v>
      </c>
      <c r="E21" s="1994">
        <v>-31699</v>
      </c>
      <c r="F21" s="1994">
        <v>-31924.63</v>
      </c>
      <c r="G21" t="s">
        <v>319</v>
      </c>
    </row>
    <row r="22" spans="1:8">
      <c r="A22" s="2017"/>
      <c r="C22" t="s">
        <v>2264</v>
      </c>
      <c r="D22" t="s">
        <v>2235</v>
      </c>
      <c r="E22" s="1994">
        <v>-47899.06</v>
      </c>
      <c r="F22" s="1994">
        <v>-48111.7</v>
      </c>
      <c r="G22" t="s">
        <v>106</v>
      </c>
    </row>
    <row r="23" spans="1:8">
      <c r="A23" s="2017"/>
      <c r="C23" t="s">
        <v>2239</v>
      </c>
      <c r="D23" t="s">
        <v>2249</v>
      </c>
      <c r="E23" s="1994">
        <v>-506.25</v>
      </c>
      <c r="F23" s="1994">
        <v>-519.75</v>
      </c>
      <c r="G23" t="s">
        <v>319</v>
      </c>
    </row>
    <row r="24" spans="1:8">
      <c r="A24" s="2017"/>
      <c r="C24" t="s">
        <v>2240</v>
      </c>
      <c r="D24" t="s">
        <v>2249</v>
      </c>
      <c r="E24" s="1994">
        <v>-59286.17</v>
      </c>
      <c r="F24" s="1994">
        <v>-59614.64</v>
      </c>
      <c r="G24" t="s">
        <v>319</v>
      </c>
    </row>
    <row r="25" spans="1:8">
      <c r="A25" s="2017"/>
      <c r="C25" t="s">
        <v>2263</v>
      </c>
      <c r="D25" t="s">
        <v>2249</v>
      </c>
      <c r="E25" s="1994">
        <v>-310069.18</v>
      </c>
      <c r="F25" s="1994">
        <v>-311086.40000000002</v>
      </c>
      <c r="G25" t="s">
        <v>106</v>
      </c>
    </row>
    <row r="26" spans="1:8">
      <c r="A26" s="2017"/>
      <c r="C26" t="s">
        <v>2258</v>
      </c>
      <c r="D26" t="s">
        <v>2249</v>
      </c>
      <c r="E26" s="1994">
        <v>-17387.48</v>
      </c>
      <c r="F26" s="1994">
        <v>-17387.48</v>
      </c>
      <c r="G26" t="s">
        <v>106</v>
      </c>
    </row>
    <row r="27" spans="1:8">
      <c r="A27" s="2017"/>
      <c r="D27" s="1750" t="s">
        <v>104</v>
      </c>
      <c r="E27" s="2002">
        <f>SUM(E12:E26)</f>
        <v>-2256672.12</v>
      </c>
      <c r="F27" s="2002">
        <f>SUM(F12:F26)</f>
        <v>-2268021.5</v>
      </c>
      <c r="H27" s="1995"/>
    </row>
    <row r="28" spans="1:8">
      <c r="A28">
        <v>303100</v>
      </c>
      <c r="B28" t="s">
        <v>2331</v>
      </c>
      <c r="C28" t="s">
        <v>2262</v>
      </c>
      <c r="D28" t="s">
        <v>2235</v>
      </c>
      <c r="E28" s="1994">
        <v>-8560.31</v>
      </c>
      <c r="F28" s="1994">
        <v>-14439.93</v>
      </c>
      <c r="G28" t="s">
        <v>2329</v>
      </c>
    </row>
    <row r="29" spans="1:8">
      <c r="C29" t="s">
        <v>2260</v>
      </c>
      <c r="D29" t="s">
        <v>2249</v>
      </c>
      <c r="E29" s="1994">
        <v>-6577.84</v>
      </c>
      <c r="F29" s="1994">
        <v>-7773.81</v>
      </c>
      <c r="G29" t="s">
        <v>2329</v>
      </c>
      <c r="H29" s="1995"/>
    </row>
    <row r="30" spans="1:8">
      <c r="C30" t="s">
        <v>2251</v>
      </c>
      <c r="D30" t="s">
        <v>2249</v>
      </c>
      <c r="E30" s="1994">
        <v>-18451.330000000002</v>
      </c>
      <c r="F30" s="1994">
        <v>-19010.98</v>
      </c>
      <c r="G30" t="s">
        <v>2329</v>
      </c>
    </row>
    <row r="31" spans="1:8">
      <c r="C31" t="s">
        <v>2257</v>
      </c>
      <c r="D31" t="s">
        <v>2249</v>
      </c>
      <c r="E31" s="1994">
        <v>-6716.35</v>
      </c>
      <c r="F31" s="1994">
        <v>-7269.82</v>
      </c>
      <c r="G31" t="s">
        <v>2329</v>
      </c>
    </row>
    <row r="32" spans="1:8">
      <c r="C32" t="s">
        <v>2243</v>
      </c>
      <c r="D32" t="s">
        <v>2249</v>
      </c>
      <c r="E32" s="1994">
        <v>-5633003.1299999999</v>
      </c>
      <c r="F32" s="1994">
        <v>-5868836.6500000004</v>
      </c>
      <c r="G32" t="s">
        <v>2329</v>
      </c>
    </row>
    <row r="33" spans="1:8">
      <c r="C33" t="s">
        <v>2247</v>
      </c>
      <c r="D33" t="s">
        <v>2235</v>
      </c>
      <c r="E33" s="1994">
        <v>-761687.25</v>
      </c>
      <c r="F33" s="1994">
        <v>-20644.849999999999</v>
      </c>
      <c r="G33" t="s">
        <v>2329</v>
      </c>
    </row>
    <row r="34" spans="1:8">
      <c r="A34">
        <v>303121</v>
      </c>
      <c r="B34" t="s">
        <v>2330</v>
      </c>
      <c r="C34" t="s">
        <v>2247</v>
      </c>
      <c r="D34" t="s">
        <v>2235</v>
      </c>
      <c r="E34" s="1994">
        <v>-3052.42</v>
      </c>
      <c r="F34" s="1994">
        <v>-12636.18</v>
      </c>
      <c r="G34" t="s">
        <v>2329</v>
      </c>
    </row>
    <row r="35" spans="1:8">
      <c r="D35" s="1750" t="s">
        <v>104</v>
      </c>
      <c r="E35" s="2016">
        <f>SUM(E28:E34)</f>
        <v>-6438048.6299999999</v>
      </c>
      <c r="F35" s="2016">
        <f>SUM(F28:F34)</f>
        <v>-5950612.2199999997</v>
      </c>
    </row>
    <row r="36" spans="1:8" ht="16.5" thickBot="1">
      <c r="A36" t="s">
        <v>104</v>
      </c>
      <c r="D36" s="1750" t="s">
        <v>1779</v>
      </c>
      <c r="E36" s="2001">
        <f>SUM(E35,E27,E11)</f>
        <v>-17958984.719999999</v>
      </c>
      <c r="F36" s="2001">
        <f>SUM(F35,F27,F11)</f>
        <v>-17524669.360000003</v>
      </c>
      <c r="G36" s="1994"/>
    </row>
    <row r="37" spans="1:8" ht="16.5" thickTop="1">
      <c r="A37" t="s">
        <v>2328</v>
      </c>
    </row>
    <row r="39" spans="1:8">
      <c r="F39" s="2332" t="s">
        <v>2327</v>
      </c>
      <c r="G39" s="2333"/>
    </row>
    <row r="40" spans="1:8">
      <c r="A40" t="s">
        <v>2230</v>
      </c>
      <c r="F40" s="2011">
        <f>SUM(F4,F6,F7,F8)</f>
        <v>-8402719.4400000013</v>
      </c>
      <c r="G40" s="2000" t="s">
        <v>105</v>
      </c>
      <c r="H40" s="1641"/>
    </row>
    <row r="41" spans="1:8">
      <c r="F41" s="2011">
        <f>SUM(F5,F10)</f>
        <v>-903316.2</v>
      </c>
      <c r="G41" s="2000" t="s">
        <v>2212</v>
      </c>
      <c r="H41" s="1995"/>
    </row>
    <row r="42" spans="1:8">
      <c r="F42" s="2011">
        <v>0</v>
      </c>
      <c r="G42" s="2000" t="s">
        <v>2211</v>
      </c>
    </row>
    <row r="43" spans="1:8">
      <c r="F43" s="2015">
        <f>SUM(F40:F42)</f>
        <v>-9306035.6400000006</v>
      </c>
      <c r="G43" s="2014" t="s">
        <v>2228</v>
      </c>
      <c r="H43" s="1641"/>
    </row>
    <row r="45" spans="1:8">
      <c r="F45" s="2332" t="s">
        <v>2326</v>
      </c>
      <c r="G45" s="2333"/>
    </row>
    <row r="46" spans="1:8">
      <c r="F46" s="2011">
        <f>SUM(F13,F14,F15,F17:F18,F19,F22,F25:F26)</f>
        <v>-1991040.69</v>
      </c>
      <c r="G46" s="2012">
        <v>303000</v>
      </c>
    </row>
    <row r="47" spans="1:8">
      <c r="F47" s="2011">
        <f>-'[1]1.1b Intangible Soft. 303100'!J104</f>
        <v>-294472.33239826042</v>
      </c>
      <c r="G47" s="2012" t="s">
        <v>2324</v>
      </c>
      <c r="H47">
        <f>F35*0.3169</f>
        <v>-1885749.0125180001</v>
      </c>
    </row>
    <row r="48" spans="1:8">
      <c r="F48" s="2011" t="s">
        <v>2224</v>
      </c>
      <c r="G48" s="2012" t="s">
        <v>371</v>
      </c>
    </row>
    <row r="49" spans="6:8" ht="16.5" thickBot="1">
      <c r="F49" s="2013">
        <f>SUM(F46:F48)</f>
        <v>-2285513.0223982604</v>
      </c>
      <c r="G49" s="2010" t="s">
        <v>2325</v>
      </c>
      <c r="H49" s="1995"/>
    </row>
    <row r="50" spans="6:8" ht="16.5" thickTop="1">
      <c r="F50" s="2011"/>
      <c r="G50" s="2012"/>
    </row>
    <row r="51" spans="6:8">
      <c r="F51" s="2011">
        <f>SUM(F16,F20:F21,F24,F23)</f>
        <v>-253088.64999999997</v>
      </c>
      <c r="G51" s="2012">
        <v>303000</v>
      </c>
    </row>
    <row r="52" spans="6:8">
      <c r="F52" s="2011">
        <f>-'[1]1.1b Intangible Soft. 303100'!I104</f>
        <v>-4142690.715501627</v>
      </c>
      <c r="G52" s="2012" t="s">
        <v>2324</v>
      </c>
    </row>
    <row r="53" spans="6:8" ht="16.5" thickBot="1">
      <c r="F53" s="2013">
        <f>SUM(F51:F52)</f>
        <v>-4395779.3655016273</v>
      </c>
      <c r="G53" s="2010" t="s">
        <v>105</v>
      </c>
      <c r="H53" s="1995"/>
    </row>
    <row r="54" spans="6:8" ht="16.5" thickTop="1">
      <c r="F54" s="2011"/>
      <c r="G54" s="2012"/>
    </row>
    <row r="55" spans="6:8">
      <c r="F55" s="2011">
        <f>SUM(F12)</f>
        <v>-23892.16</v>
      </c>
      <c r="G55" s="2012">
        <v>303000</v>
      </c>
    </row>
    <row r="56" spans="6:8">
      <c r="F56" s="2011">
        <f>-'[1]1.1b Intangible Soft. 303100'!K104</f>
        <v>-1513448.728802904</v>
      </c>
      <c r="G56" s="2012" t="s">
        <v>2324</v>
      </c>
    </row>
    <row r="57" spans="6:8">
      <c r="F57" s="2011"/>
      <c r="G57" s="2012" t="s">
        <v>371</v>
      </c>
    </row>
    <row r="58" spans="6:8" ht="16.5" thickBot="1">
      <c r="F58" s="2013">
        <f>SUM(F55:F57)</f>
        <v>-1537340.8888029039</v>
      </c>
      <c r="G58" s="2010" t="s">
        <v>2222</v>
      </c>
      <c r="H58" s="1995"/>
    </row>
    <row r="59" spans="6:8" ht="16.5" thickTop="1">
      <c r="F59" s="2011"/>
      <c r="G59" s="2012"/>
    </row>
    <row r="60" spans="6:8">
      <c r="F60" s="2011">
        <f>F49+F53+F58</f>
        <v>-8218633.2767027915</v>
      </c>
      <c r="G60" s="2010" t="s">
        <v>2221</v>
      </c>
      <c r="H60" s="1995"/>
    </row>
    <row r="61" spans="6:8">
      <c r="F61" s="2011"/>
      <c r="G61" s="2010"/>
    </row>
    <row r="62" spans="6:8">
      <c r="F62" s="2011">
        <f>F60+F43</f>
        <v>-17524668.916702792</v>
      </c>
      <c r="G62" s="2010" t="s">
        <v>2220</v>
      </c>
    </row>
    <row r="63" spans="6:8">
      <c r="F63" s="2009">
        <f>F36-F62</f>
        <v>-0.44329721108078957</v>
      </c>
      <c r="G63" s="1996"/>
    </row>
  </sheetData>
  <mergeCells count="4">
    <mergeCell ref="H6:L6"/>
    <mergeCell ref="C11:D11"/>
    <mergeCell ref="F39:G39"/>
    <mergeCell ref="F45:G45"/>
  </mergeCells>
  <pageMargins left="0.7" right="0.7" top="0.75" bottom="0.75" header="0.3" footer="0.3"/>
  <pageSetup orientation="portrait" horizontalDpi="90" verticalDpi="90" r:id="rId1"/>
  <customProperties>
    <customPr name="xxe4aPID" r:id="rId2"/>
  </customPropertie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E57FE-927A-4E56-BDB2-DE4431E9ED08}">
  <sheetPr codeName="Sheet29"/>
  <dimension ref="A1:Q75"/>
  <sheetViews>
    <sheetView topLeftCell="A43" zoomScale="110" zoomScaleNormal="110" workbookViewId="0">
      <selection activeCell="D14" sqref="D14"/>
    </sheetView>
  </sheetViews>
  <sheetFormatPr defaultRowHeight="15.75"/>
  <cols>
    <col min="2" max="2" width="44" customWidth="1"/>
    <col min="3" max="3" width="19.25" customWidth="1"/>
    <col min="4" max="4" width="13.625" customWidth="1"/>
    <col min="5" max="5" width="13.5" bestFit="1" customWidth="1"/>
    <col min="6" max="6" width="2.875" customWidth="1"/>
    <col min="7" max="7" width="12.375" customWidth="1"/>
    <col min="8" max="8" width="15.75" customWidth="1"/>
    <col min="9" max="9" width="14.25" customWidth="1"/>
    <col min="10" max="10" width="2.875" customWidth="1"/>
    <col min="11" max="11" width="9" customWidth="1"/>
    <col min="12" max="12" width="1.5" customWidth="1"/>
    <col min="14" max="14" width="32.625" bestFit="1" customWidth="1"/>
    <col min="15" max="15" width="16" bestFit="1" customWidth="1"/>
    <col min="16" max="16" width="12.75" bestFit="1" customWidth="1"/>
  </cols>
  <sheetData>
    <row r="1" spans="1:17">
      <c r="A1" t="s">
        <v>2217</v>
      </c>
    </row>
    <row r="2" spans="1:17">
      <c r="A2" t="s">
        <v>2366</v>
      </c>
      <c r="N2" t="s">
        <v>2365</v>
      </c>
    </row>
    <row r="3" spans="1:17">
      <c r="A3" t="s">
        <v>2215</v>
      </c>
    </row>
    <row r="5" spans="1:17">
      <c r="A5" s="2334" t="s">
        <v>2214</v>
      </c>
      <c r="B5" s="2334"/>
      <c r="C5" s="1993" t="s">
        <v>2213</v>
      </c>
      <c r="D5" s="1993">
        <v>2023</v>
      </c>
      <c r="E5" s="1993" t="s">
        <v>371</v>
      </c>
    </row>
    <row r="6" spans="1:17">
      <c r="A6" t="s">
        <v>96</v>
      </c>
      <c r="B6" t="s">
        <v>231</v>
      </c>
    </row>
    <row r="7" spans="1:17">
      <c r="A7">
        <v>301</v>
      </c>
      <c r="B7" t="s">
        <v>2355</v>
      </c>
    </row>
    <row r="8" spans="1:17">
      <c r="A8">
        <v>302</v>
      </c>
      <c r="B8" t="s">
        <v>2204</v>
      </c>
      <c r="G8" s="2041" t="s">
        <v>319</v>
      </c>
      <c r="H8" s="2041" t="s">
        <v>2212</v>
      </c>
      <c r="I8" s="2041" t="s">
        <v>2211</v>
      </c>
      <c r="M8" s="1588"/>
      <c r="N8" s="1588" t="s">
        <v>2364</v>
      </c>
      <c r="O8" s="1588"/>
      <c r="P8" s="1588"/>
      <c r="Q8" s="1588"/>
    </row>
    <row r="9" spans="1:17">
      <c r="A9">
        <v>303</v>
      </c>
      <c r="B9" t="s">
        <v>2363</v>
      </c>
      <c r="C9" t="s">
        <v>2351</v>
      </c>
      <c r="D9" s="584">
        <f>SUM('[1]1.3a Common Plant'!I17,'[1]1.3a Common Plant'!I26,'[1]1.3a Common Plant'!I35,'[1]1.3a Common Plant'!I53,'[1]1.3a Common Plant'!I62,'[1]1.3a Common Plant'!I71,'[1]1.3a Common Plant'!I80)</f>
        <v>222188264</v>
      </c>
      <c r="E9" t="s">
        <v>2301</v>
      </c>
      <c r="F9" s="1991"/>
      <c r="G9">
        <v>0</v>
      </c>
      <c r="H9">
        <v>0</v>
      </c>
      <c r="I9" s="584">
        <f>D9</f>
        <v>222188264</v>
      </c>
      <c r="K9" t="b">
        <f t="shared" ref="K9:K22" si="0">D9=SUM(G9:I9)</f>
        <v>1</v>
      </c>
      <c r="M9" s="2040">
        <v>303</v>
      </c>
      <c r="N9" s="2039" t="s">
        <v>2363</v>
      </c>
      <c r="O9" s="2039" t="s">
        <v>2351</v>
      </c>
      <c r="P9" s="2038">
        <v>123724778</v>
      </c>
      <c r="Q9" s="2037" t="s">
        <v>2301</v>
      </c>
    </row>
    <row r="10" spans="1:17">
      <c r="A10">
        <v>389</v>
      </c>
      <c r="B10" t="s">
        <v>125</v>
      </c>
      <c r="C10" t="s">
        <v>2351</v>
      </c>
      <c r="D10" s="584">
        <f>'[1]1.3a Common Plant'!I109</f>
        <v>10303494</v>
      </c>
      <c r="E10" t="s">
        <v>99</v>
      </c>
      <c r="F10" s="1991"/>
      <c r="G10" s="584">
        <f>D10*[1]Ratios!$E$50</f>
        <v>3274046.6873392779</v>
      </c>
      <c r="H10" s="584">
        <f>D10*[1]Ratios!$F$50</f>
        <v>2145779.2416180223</v>
      </c>
      <c r="I10" s="584">
        <f>D10*[1]Ratios!$G$50</f>
        <v>4883668.0710426997</v>
      </c>
      <c r="K10" t="b">
        <f t="shared" si="0"/>
        <v>1</v>
      </c>
      <c r="M10" s="2034">
        <v>389</v>
      </c>
      <c r="N10" s="1588" t="s">
        <v>125</v>
      </c>
      <c r="O10" s="1588" t="s">
        <v>2351</v>
      </c>
      <c r="P10" s="2033">
        <v>9895991</v>
      </c>
      <c r="Q10" s="2032" t="s">
        <v>99</v>
      </c>
    </row>
    <row r="11" spans="1:17">
      <c r="A11">
        <v>390</v>
      </c>
      <c r="B11" t="s">
        <v>126</v>
      </c>
      <c r="C11" t="s">
        <v>2351</v>
      </c>
      <c r="D11" s="584">
        <f>'[1]1.3a Common Plant'!I119</f>
        <v>117958282</v>
      </c>
      <c r="E11" t="s">
        <v>99</v>
      </c>
      <c r="F11" s="1991"/>
      <c r="G11" s="584">
        <f>D11*[1]Ratios!$E$50</f>
        <v>37482520.242777094</v>
      </c>
      <c r="H11" s="584">
        <f>D11*[1]Ratios!$F$50</f>
        <v>24565689.356690537</v>
      </c>
      <c r="I11" s="584">
        <f>D11*[1]Ratios!$G$50</f>
        <v>55910072.400532365</v>
      </c>
      <c r="K11" t="b">
        <f t="shared" si="0"/>
        <v>1</v>
      </c>
      <c r="M11" s="2034">
        <v>390</v>
      </c>
      <c r="N11" s="1588" t="s">
        <v>126</v>
      </c>
      <c r="O11" s="1588" t="s">
        <v>2351</v>
      </c>
      <c r="P11" s="2033">
        <v>112447413</v>
      </c>
      <c r="Q11" s="2032" t="s">
        <v>99</v>
      </c>
    </row>
    <row r="12" spans="1:17">
      <c r="A12">
        <v>391</v>
      </c>
      <c r="B12" t="s">
        <v>2353</v>
      </c>
      <c r="C12" t="s">
        <v>2351</v>
      </c>
      <c r="D12" s="584">
        <f>'[1]1.3a Common Plant'!I129</f>
        <v>52107378</v>
      </c>
      <c r="E12" t="s">
        <v>95</v>
      </c>
      <c r="F12" s="1991"/>
      <c r="G12" s="584">
        <f>D12*[1]Ratios!E22</f>
        <v>19074981.343956396</v>
      </c>
      <c r="H12" s="584">
        <f>D12*[1]Ratios!F22</f>
        <v>8309893.8211636292</v>
      </c>
      <c r="I12" s="584">
        <f>D12*[1]Ratios!G22</f>
        <v>24722502.834879972</v>
      </c>
      <c r="K12" t="b">
        <f t="shared" si="0"/>
        <v>1</v>
      </c>
      <c r="M12" s="2034">
        <v>391</v>
      </c>
      <c r="N12" s="1588" t="s">
        <v>2353</v>
      </c>
      <c r="O12" s="1588" t="s">
        <v>2351</v>
      </c>
      <c r="P12" s="2033">
        <v>65552553</v>
      </c>
      <c r="Q12" s="2032" t="s">
        <v>95</v>
      </c>
    </row>
    <row r="13" spans="1:17">
      <c r="A13">
        <v>392</v>
      </c>
      <c r="B13" t="s">
        <v>128</v>
      </c>
      <c r="C13" t="s">
        <v>2351</v>
      </c>
      <c r="D13" s="584">
        <f>'[1]1.3a Common Plant'!I139</f>
        <v>10962380</v>
      </c>
      <c r="E13" t="s">
        <v>109</v>
      </c>
      <c r="F13" s="1991"/>
      <c r="G13">
        <f>D13*[1]Ratios!$E$65</f>
        <v>0</v>
      </c>
      <c r="H13" s="584">
        <f>D13*[1]Ratios!$F$65</f>
        <v>3346329.5756355734</v>
      </c>
      <c r="I13" s="584">
        <f>D13*[1]Ratios!$G$65</f>
        <v>7616050.4243644262</v>
      </c>
      <c r="K13" t="b">
        <f t="shared" si="0"/>
        <v>1</v>
      </c>
      <c r="M13" s="2034">
        <v>392</v>
      </c>
      <c r="N13" s="1588" t="s">
        <v>128</v>
      </c>
      <c r="O13" s="1588" t="s">
        <v>2351</v>
      </c>
      <c r="P13" s="2033">
        <v>10591056</v>
      </c>
      <c r="Q13" s="2032" t="s">
        <v>109</v>
      </c>
    </row>
    <row r="14" spans="1:17">
      <c r="A14">
        <v>393</v>
      </c>
      <c r="B14" t="s">
        <v>129</v>
      </c>
      <c r="C14" t="s">
        <v>2351</v>
      </c>
      <c r="D14" s="584">
        <f>'[1]1.3a Common Plant'!I149</f>
        <v>4684177</v>
      </c>
      <c r="E14" t="s">
        <v>99</v>
      </c>
      <c r="F14" s="1991"/>
      <c r="G14" s="584">
        <f>D14*[1]Ratios!$E$50</f>
        <v>1488447.9177413832</v>
      </c>
      <c r="H14" s="584">
        <f>D14*[1]Ratios!$F$50</f>
        <v>975514.6914885944</v>
      </c>
      <c r="I14" s="584">
        <f>D14*[1]Ratios!$G$50</f>
        <v>2220214.3907700223</v>
      </c>
      <c r="K14" t="b">
        <f t="shared" si="0"/>
        <v>1</v>
      </c>
      <c r="M14" s="2034">
        <v>393</v>
      </c>
      <c r="N14" s="1588" t="s">
        <v>129</v>
      </c>
      <c r="O14" s="1588" t="s">
        <v>2351</v>
      </c>
      <c r="P14" s="2033">
        <v>3824165</v>
      </c>
      <c r="Q14" s="2032" t="s">
        <v>99</v>
      </c>
    </row>
    <row r="15" spans="1:17">
      <c r="A15">
        <v>394</v>
      </c>
      <c r="B15" t="s">
        <v>2352</v>
      </c>
      <c r="C15" t="s">
        <v>2351</v>
      </c>
      <c r="D15" s="584">
        <f>'[1]1.3a Common Plant'!I159</f>
        <v>12717622</v>
      </c>
      <c r="E15" t="s">
        <v>99</v>
      </c>
      <c r="F15" s="1991"/>
      <c r="G15" s="584">
        <f>D15*[1]Ratios!$E$50</f>
        <v>4041161.976697722</v>
      </c>
      <c r="H15" s="584">
        <f>D15*[1]Ratios!$F$50</f>
        <v>2648539.3489184035</v>
      </c>
      <c r="I15" s="584">
        <f>D15*[1]Ratios!$G$50</f>
        <v>6027920.6743838741</v>
      </c>
      <c r="K15" t="b">
        <f t="shared" si="0"/>
        <v>1</v>
      </c>
      <c r="M15" s="2034">
        <v>394</v>
      </c>
      <c r="N15" s="1588" t="s">
        <v>2352</v>
      </c>
      <c r="O15" s="1588" t="s">
        <v>2351</v>
      </c>
      <c r="P15" s="2033">
        <v>10356500</v>
      </c>
      <c r="Q15" s="2032" t="s">
        <v>99</v>
      </c>
    </row>
    <row r="16" spans="1:17">
      <c r="A16">
        <v>395</v>
      </c>
      <c r="B16" t="s">
        <v>131</v>
      </c>
      <c r="C16" t="s">
        <v>2351</v>
      </c>
      <c r="D16" s="584">
        <f>'[1]1.3a Common Plant'!I178</f>
        <v>929160</v>
      </c>
      <c r="E16" t="s">
        <v>99</v>
      </c>
      <c r="F16" s="1991"/>
      <c r="G16" s="584">
        <f>D16*[1]Ratios!$E$50</f>
        <v>295250.64216159715</v>
      </c>
      <c r="H16" s="584">
        <f>D16*[1]Ratios!$F$50</f>
        <v>193504.47917393863</v>
      </c>
      <c r="I16" s="584">
        <f>D16*[1]Ratios!$G$50</f>
        <v>440404.87866446422</v>
      </c>
      <c r="K16" t="b">
        <f t="shared" si="0"/>
        <v>1</v>
      </c>
      <c r="M16" s="2034">
        <v>395</v>
      </c>
      <c r="N16" s="1588" t="s">
        <v>131</v>
      </c>
      <c r="O16" s="1588" t="s">
        <v>2351</v>
      </c>
      <c r="P16" s="2033">
        <v>1107027</v>
      </c>
      <c r="Q16" s="2032" t="s">
        <v>99</v>
      </c>
    </row>
    <row r="17" spans="1:17">
      <c r="A17">
        <v>396</v>
      </c>
      <c r="B17" t="s">
        <v>132</v>
      </c>
      <c r="C17" t="s">
        <v>2351</v>
      </c>
      <c r="D17" s="584">
        <f>'[1]1.3a Common Plant'!I188</f>
        <v>1424950</v>
      </c>
      <c r="E17" t="s">
        <v>109</v>
      </c>
      <c r="F17" s="1991"/>
      <c r="G17">
        <f>D17*[1]Ratios!$E$65</f>
        <v>0</v>
      </c>
      <c r="H17" s="584">
        <f>D17*[1]Ratios!$F$65</f>
        <v>434974.1870653918</v>
      </c>
      <c r="I17" s="584">
        <f>D17*[1]Ratios!$G$65</f>
        <v>989975.81293460808</v>
      </c>
      <c r="K17" t="b">
        <f t="shared" si="0"/>
        <v>1</v>
      </c>
      <c r="M17" s="2034">
        <v>396</v>
      </c>
      <c r="N17" s="1588" t="s">
        <v>132</v>
      </c>
      <c r="O17" s="1588" t="s">
        <v>2351</v>
      </c>
      <c r="P17" s="2033">
        <v>1539719</v>
      </c>
      <c r="Q17" s="2032" t="s">
        <v>109</v>
      </c>
    </row>
    <row r="18" spans="1:17">
      <c r="A18">
        <v>397</v>
      </c>
      <c r="B18" t="s">
        <v>133</v>
      </c>
      <c r="C18" t="s">
        <v>2351</v>
      </c>
      <c r="D18" s="584">
        <f>'[1]1.3a Common Plant'!I198</f>
        <v>93649773</v>
      </c>
      <c r="E18" t="s">
        <v>99</v>
      </c>
      <c r="F18" s="1991"/>
      <c r="G18" s="584">
        <f>D18*[1]Ratios!$E$50</f>
        <v>29758228.525267772</v>
      </c>
      <c r="H18" s="584">
        <f>D18*[1]Ratios!$F$50</f>
        <v>19503261.60093265</v>
      </c>
      <c r="I18" s="584">
        <f>D18*[1]Ratios!$G$50</f>
        <v>44388282.873799577</v>
      </c>
      <c r="K18" t="b">
        <f t="shared" si="0"/>
        <v>1</v>
      </c>
      <c r="M18" s="2034">
        <v>397</v>
      </c>
      <c r="N18" s="1588" t="s">
        <v>133</v>
      </c>
      <c r="O18" s="1588" t="s">
        <v>2351</v>
      </c>
      <c r="P18" s="2033">
        <v>55904154</v>
      </c>
      <c r="Q18" s="2032" t="s">
        <v>99</v>
      </c>
    </row>
    <row r="19" spans="1:17">
      <c r="A19">
        <v>398</v>
      </c>
      <c r="B19" t="s">
        <v>134</v>
      </c>
      <c r="C19" t="s">
        <v>2351</v>
      </c>
      <c r="D19" s="584">
        <f>'[1]1.3a Common Plant'!I208</f>
        <v>594944</v>
      </c>
      <c r="E19" t="s">
        <v>99</v>
      </c>
      <c r="F19" s="1991"/>
      <c r="G19" s="584">
        <f>D19*[1]Ratios!$E$50</f>
        <v>189049.89242992515</v>
      </c>
      <c r="H19" s="584">
        <f>D19*[1]Ratios!$F$50</f>
        <v>123901.51196528019</v>
      </c>
      <c r="I19" s="584">
        <f>D19*[1]Ratios!$G$50</f>
        <v>281992.59560479462</v>
      </c>
      <c r="K19" t="b">
        <f t="shared" si="0"/>
        <v>1</v>
      </c>
      <c r="M19" s="2034">
        <v>398</v>
      </c>
      <c r="N19" s="1588" t="s">
        <v>134</v>
      </c>
      <c r="O19" s="1588" t="s">
        <v>2351</v>
      </c>
      <c r="P19" s="2033">
        <v>442664</v>
      </c>
      <c r="Q19" s="2032" t="s">
        <v>99</v>
      </c>
    </row>
    <row r="20" spans="1:17">
      <c r="A20">
        <v>399</v>
      </c>
      <c r="B20" t="s">
        <v>2349</v>
      </c>
      <c r="E20" t="s">
        <v>2362</v>
      </c>
      <c r="F20" s="1991"/>
      <c r="K20" t="b">
        <f t="shared" si="0"/>
        <v>1</v>
      </c>
      <c r="M20" s="2034">
        <v>399</v>
      </c>
      <c r="N20" s="1588" t="s">
        <v>2349</v>
      </c>
      <c r="O20" s="1588"/>
      <c r="P20" s="2033"/>
      <c r="Q20" s="2032" t="s">
        <v>2362</v>
      </c>
    </row>
    <row r="21" spans="1:17">
      <c r="A21">
        <v>399.1</v>
      </c>
      <c r="B21" t="s">
        <v>446</v>
      </c>
      <c r="D21">
        <v>0</v>
      </c>
      <c r="E21" t="s">
        <v>99</v>
      </c>
      <c r="F21" s="1991"/>
      <c r="G21">
        <f>D21*[1]Ratios!$E$50</f>
        <v>0</v>
      </c>
      <c r="H21">
        <f>D21*[1]Ratios!$F$50</f>
        <v>0</v>
      </c>
      <c r="I21">
        <f>D21*[1]Ratios!$G$50</f>
        <v>0</v>
      </c>
      <c r="K21" t="b">
        <f t="shared" si="0"/>
        <v>1</v>
      </c>
      <c r="M21" s="2034">
        <v>399.1</v>
      </c>
      <c r="N21" s="1588" t="s">
        <v>446</v>
      </c>
      <c r="O21" s="1588"/>
      <c r="P21" s="2033">
        <v>0</v>
      </c>
      <c r="Q21" s="2032" t="s">
        <v>99</v>
      </c>
    </row>
    <row r="22" spans="1:17" ht="16.5" thickBot="1">
      <c r="B22" t="s">
        <v>2361</v>
      </c>
      <c r="D22" s="2036">
        <f>SUM(D9:D21)</f>
        <v>527520424</v>
      </c>
      <c r="G22" s="2031">
        <f>SUM(G9:G21)</f>
        <v>95603687.228371158</v>
      </c>
      <c r="H22" s="2031">
        <f>SUM(H9:H21)</f>
        <v>62247387.814652018</v>
      </c>
      <c r="I22" s="2031">
        <f>SUM(I9:I21)</f>
        <v>369669348.95697683</v>
      </c>
      <c r="J22" s="1991"/>
      <c r="K22" t="b">
        <f t="shared" si="0"/>
        <v>1</v>
      </c>
      <c r="M22" s="2034"/>
      <c r="N22" s="1588" t="s">
        <v>2361</v>
      </c>
      <c r="O22" s="1588"/>
      <c r="P22" s="2033">
        <v>466550667</v>
      </c>
      <c r="Q22" s="2035"/>
    </row>
    <row r="23" spans="1:17" ht="16.5" thickTop="1">
      <c r="B23" t="s">
        <v>2206</v>
      </c>
      <c r="G23" s="1990">
        <v>0.28000000000000003</v>
      </c>
      <c r="H23" s="1990">
        <v>0.14000000000000001</v>
      </c>
      <c r="I23" s="1990">
        <v>0.57999999999999996</v>
      </c>
      <c r="J23" s="1991"/>
      <c r="M23" s="2034"/>
      <c r="N23" s="2033" t="s">
        <v>2206</v>
      </c>
      <c r="O23" s="1588"/>
      <c r="P23" s="1588"/>
      <c r="Q23" s="2032"/>
    </row>
    <row r="24" spans="1:17" ht="16.5" thickBot="1">
      <c r="B24" t="s">
        <v>2198</v>
      </c>
      <c r="C24" t="s">
        <v>2346</v>
      </c>
      <c r="D24" s="2219">
        <f>'1.3b Common Plt Acc. Depr'!E128</f>
        <v>-219309854</v>
      </c>
      <c r="E24" s="2220" t="s">
        <v>3223</v>
      </c>
      <c r="G24" s="2031">
        <f>G23*D24</f>
        <v>-61406759.120000005</v>
      </c>
      <c r="H24" s="2031">
        <f>D24*H23</f>
        <v>-30703379.560000002</v>
      </c>
      <c r="I24" s="2031">
        <f>D24*I23</f>
        <v>-127199715.31999999</v>
      </c>
      <c r="J24" s="1991"/>
      <c r="K24" t="b">
        <f>D24=SUM(G24:I24)</f>
        <v>1</v>
      </c>
      <c r="M24" s="2030"/>
      <c r="N24" s="2029" t="s">
        <v>2198</v>
      </c>
      <c r="O24" s="2029" t="s">
        <v>2346</v>
      </c>
      <c r="P24" s="2028">
        <v>-140139684</v>
      </c>
      <c r="Q24" s="2027"/>
    </row>
    <row r="25" spans="1:17" ht="16.5" thickTop="1"/>
    <row r="26" spans="1:17">
      <c r="B26" s="2127" t="s">
        <v>2195</v>
      </c>
      <c r="C26" s="2127" t="s">
        <v>2360</v>
      </c>
      <c r="D26" s="2125">
        <v>18217879</v>
      </c>
      <c r="G26" s="2026">
        <f>D26*G23</f>
        <v>5101006.12</v>
      </c>
      <c r="H26" s="2026">
        <f>D26*H23</f>
        <v>2550503.06</v>
      </c>
      <c r="I26" s="2026">
        <f>D26*I23</f>
        <v>10566369.819999998</v>
      </c>
      <c r="K26" t="b">
        <f>D26=SUM(G26:I26)</f>
        <v>1</v>
      </c>
    </row>
    <row r="27" spans="1:17">
      <c r="B27" s="2127" t="s">
        <v>2359</v>
      </c>
      <c r="C27" s="2127" t="s">
        <v>2358</v>
      </c>
      <c r="D27" s="2126">
        <v>36465620</v>
      </c>
      <c r="E27" s="1995"/>
      <c r="G27" s="2025">
        <f>D27*G23</f>
        <v>10210373.600000001</v>
      </c>
      <c r="H27" s="2025">
        <f>D27*H23</f>
        <v>5105186.8000000007</v>
      </c>
      <c r="I27" s="2025">
        <f>D27*I23</f>
        <v>21150059.599999998</v>
      </c>
      <c r="K27" t="b">
        <f>D27=SUM(G27:I27)</f>
        <v>1</v>
      </c>
    </row>
    <row r="28" spans="1:17">
      <c r="B28" s="2127" t="s">
        <v>2193</v>
      </c>
      <c r="C28" s="2127"/>
      <c r="D28" s="2125">
        <f>SUM(D26:D27)</f>
        <v>54683499</v>
      </c>
      <c r="G28" s="584">
        <f>G26+G27</f>
        <v>15311379.720000003</v>
      </c>
      <c r="H28" s="584">
        <f>H26+H27</f>
        <v>7655689.8600000013</v>
      </c>
      <c r="I28" s="584">
        <f>I26+I27</f>
        <v>31716429.419999994</v>
      </c>
      <c r="K28" t="b">
        <f>D28=SUM(G28:I28)</f>
        <v>1</v>
      </c>
      <c r="N28">
        <v>744829169</v>
      </c>
    </row>
    <row r="30" spans="1:17" ht="16.5" thickBot="1">
      <c r="B30" t="s">
        <v>2345</v>
      </c>
      <c r="D30" s="2023">
        <f>(D22/D58)*D62</f>
        <v>21660100.030917872</v>
      </c>
      <c r="G30" s="2022" t="s">
        <v>2357</v>
      </c>
      <c r="H30" s="2022" t="s">
        <v>2357</v>
      </c>
      <c r="I30" s="2021">
        <f>D30</f>
        <v>21660100.030917872</v>
      </c>
      <c r="K30" t="b">
        <f>D30=SUM(G30:I30)</f>
        <v>1</v>
      </c>
    </row>
    <row r="31" spans="1:17" ht="16.5" thickTop="1"/>
    <row r="32" spans="1:17">
      <c r="A32" s="2280" t="s">
        <v>2356</v>
      </c>
      <c r="B32" s="2280"/>
      <c r="C32" s="1993" t="s">
        <v>2213</v>
      </c>
      <c r="D32" s="1993">
        <v>2023</v>
      </c>
      <c r="E32" s="1993" t="s">
        <v>371</v>
      </c>
    </row>
    <row r="33" spans="1:5">
      <c r="A33" t="s">
        <v>96</v>
      </c>
      <c r="B33" t="s">
        <v>231</v>
      </c>
    </row>
    <row r="34" spans="1:5">
      <c r="A34">
        <v>301</v>
      </c>
      <c r="B34" t="s">
        <v>2355</v>
      </c>
      <c r="C34" t="s">
        <v>2351</v>
      </c>
      <c r="E34" t="s">
        <v>2350</v>
      </c>
    </row>
    <row r="35" spans="1:5">
      <c r="A35">
        <v>302</v>
      </c>
      <c r="B35" t="s">
        <v>2204</v>
      </c>
    </row>
    <row r="36" spans="1:5">
      <c r="A36">
        <v>303</v>
      </c>
      <c r="B36" t="s">
        <v>2354</v>
      </c>
      <c r="C36" t="s">
        <v>2351</v>
      </c>
      <c r="D36" s="584">
        <f>'[1]1.3a Common Plant'!Q81</f>
        <v>94171546</v>
      </c>
      <c r="E36" t="s">
        <v>2350</v>
      </c>
    </row>
    <row r="37" spans="1:5">
      <c r="A37">
        <v>389</v>
      </c>
      <c r="B37" t="s">
        <v>125</v>
      </c>
      <c r="C37" t="s">
        <v>2351</v>
      </c>
      <c r="D37" s="584">
        <f>'[1]1.3a Common Plant'!Q109</f>
        <v>4158883</v>
      </c>
      <c r="E37" t="s">
        <v>2350</v>
      </c>
    </row>
    <row r="38" spans="1:5">
      <c r="A38">
        <v>390</v>
      </c>
      <c r="B38" t="s">
        <v>126</v>
      </c>
      <c r="C38" t="s">
        <v>2351</v>
      </c>
      <c r="D38" s="584">
        <f>'[1]1.3a Common Plant'!Q119</f>
        <v>47021412</v>
      </c>
      <c r="E38" t="s">
        <v>2350</v>
      </c>
    </row>
    <row r="39" spans="1:5">
      <c r="A39">
        <v>391</v>
      </c>
      <c r="B39" t="s">
        <v>2353</v>
      </c>
      <c r="C39" t="s">
        <v>2351</v>
      </c>
      <c r="D39" s="584">
        <f>'[1]1.3a Common Plant'!Q129</f>
        <v>22075316</v>
      </c>
      <c r="E39" t="s">
        <v>2350</v>
      </c>
    </row>
    <row r="40" spans="1:5">
      <c r="A40">
        <v>392</v>
      </c>
      <c r="B40" t="s">
        <v>128</v>
      </c>
      <c r="C40" t="s">
        <v>2351</v>
      </c>
      <c r="D40" s="584">
        <f>'[1]1.3a Common Plant'!Q139</f>
        <v>3935750</v>
      </c>
      <c r="E40" t="s">
        <v>2350</v>
      </c>
    </row>
    <row r="41" spans="1:5">
      <c r="A41">
        <v>393</v>
      </c>
      <c r="B41" t="s">
        <v>129</v>
      </c>
      <c r="C41" t="s">
        <v>2351</v>
      </c>
      <c r="D41" s="584">
        <f>'[1]1.3a Common Plant'!Q149</f>
        <v>1389035</v>
      </c>
      <c r="E41" t="s">
        <v>2350</v>
      </c>
    </row>
    <row r="42" spans="1:5">
      <c r="A42">
        <v>394</v>
      </c>
      <c r="B42" t="s">
        <v>2352</v>
      </c>
      <c r="C42" t="s">
        <v>2351</v>
      </c>
      <c r="D42" s="584">
        <f>'[1]1.3a Common Plant'!Q159</f>
        <v>5218298</v>
      </c>
      <c r="E42" t="s">
        <v>2350</v>
      </c>
    </row>
    <row r="43" spans="1:5">
      <c r="A43">
        <v>395</v>
      </c>
      <c r="B43" t="s">
        <v>131</v>
      </c>
      <c r="C43" t="s">
        <v>2351</v>
      </c>
      <c r="D43" s="584">
        <f>'[1]1.3a Common Plant'!Q178</f>
        <v>396091</v>
      </c>
      <c r="E43" t="s">
        <v>2350</v>
      </c>
    </row>
    <row r="44" spans="1:5">
      <c r="A44">
        <v>396</v>
      </c>
      <c r="B44" t="s">
        <v>132</v>
      </c>
      <c r="C44" t="s">
        <v>2351</v>
      </c>
      <c r="D44" s="584">
        <f>'[1]1.3a Common Plant'!Q188</f>
        <v>470370</v>
      </c>
      <c r="E44" t="s">
        <v>2350</v>
      </c>
    </row>
    <row r="45" spans="1:5">
      <c r="A45">
        <v>397</v>
      </c>
      <c r="B45" t="s">
        <v>133</v>
      </c>
      <c r="C45" t="s">
        <v>2351</v>
      </c>
      <c r="D45" s="584">
        <f>'[1]1.3a Common Plant'!Q198</f>
        <v>38219758</v>
      </c>
      <c r="E45" t="s">
        <v>2350</v>
      </c>
    </row>
    <row r="46" spans="1:5">
      <c r="A46">
        <v>398</v>
      </c>
      <c r="B46" t="s">
        <v>134</v>
      </c>
      <c r="C46" t="s">
        <v>2351</v>
      </c>
      <c r="D46" s="584">
        <f>'[1]1.3a Common Plant'!Q208</f>
        <v>252286</v>
      </c>
      <c r="E46" t="s">
        <v>2350</v>
      </c>
    </row>
    <row r="47" spans="1:5">
      <c r="A47">
        <v>399</v>
      </c>
      <c r="B47" t="s">
        <v>2349</v>
      </c>
    </row>
    <row r="48" spans="1:5">
      <c r="A48">
        <v>399.1</v>
      </c>
      <c r="B48" t="s">
        <v>446</v>
      </c>
      <c r="D48" t="s">
        <v>2224</v>
      </c>
    </row>
    <row r="49" spans="1:9">
      <c r="B49" t="s">
        <v>2348</v>
      </c>
      <c r="D49" s="2020">
        <f>SUM(D36:D46)</f>
        <v>217308745</v>
      </c>
    </row>
    <row r="51" spans="1:9">
      <c r="B51" t="s">
        <v>2347</v>
      </c>
      <c r="C51" t="s">
        <v>2346</v>
      </c>
    </row>
    <row r="52" spans="1:9">
      <c r="D52" s="2020">
        <f>SUM('1.3b Common Plt Acc. Depr'!F128:G128)</f>
        <v>-91151447</v>
      </c>
    </row>
    <row r="53" spans="1:9">
      <c r="D53" s="584"/>
    </row>
    <row r="54" spans="1:9" ht="16.5" thickBot="1">
      <c r="B54" t="s">
        <v>2345</v>
      </c>
      <c r="D54" s="2019">
        <f>(D49/D58)*D62</f>
        <v>8922742.9690821301</v>
      </c>
    </row>
    <row r="55" spans="1:9" ht="16.5" thickTop="1"/>
    <row r="58" spans="1:9">
      <c r="A58" t="s">
        <v>2344</v>
      </c>
      <c r="C58" t="s">
        <v>2342</v>
      </c>
      <c r="D58" s="2018">
        <f>D49+D22</f>
        <v>744829169</v>
      </c>
    </row>
    <row r="59" spans="1:9">
      <c r="A59" t="s">
        <v>2340</v>
      </c>
      <c r="D59" s="584">
        <f>D58-744829169</f>
        <v>0</v>
      </c>
      <c r="I59" s="1211"/>
    </row>
    <row r="62" spans="1:9">
      <c r="A62" t="s">
        <v>2343</v>
      </c>
      <c r="C62" t="s">
        <v>2342</v>
      </c>
      <c r="D62" s="2018">
        <v>30582843</v>
      </c>
    </row>
    <row r="64" spans="1:9">
      <c r="A64" t="s">
        <v>2341</v>
      </c>
    </row>
    <row r="65" spans="1:5">
      <c r="A65" t="s">
        <v>2340</v>
      </c>
      <c r="C65" t="s">
        <v>2339</v>
      </c>
      <c r="D65" s="2018">
        <f>D52+D24</f>
        <v>-310461301</v>
      </c>
    </row>
    <row r="66" spans="1:5">
      <c r="D66" s="584">
        <f>D65+313510703</f>
        <v>3049402</v>
      </c>
      <c r="E66" s="2215">
        <f>D65-D66</f>
        <v>-313510703</v>
      </c>
    </row>
    <row r="68" spans="1:5" ht="15.75" customHeight="1">
      <c r="A68" t="s">
        <v>2192</v>
      </c>
      <c r="B68" s="2335" t="s">
        <v>2338</v>
      </c>
      <c r="C68" s="2335"/>
      <c r="D68" s="2335"/>
      <c r="E68" s="2335"/>
    </row>
    <row r="69" spans="1:5">
      <c r="B69" s="2335"/>
      <c r="C69" s="2335"/>
      <c r="D69" s="2335"/>
      <c r="E69" s="2335"/>
    </row>
    <row r="70" spans="1:5">
      <c r="B70" s="2335"/>
      <c r="C70" s="2335"/>
      <c r="D70" s="2335"/>
      <c r="E70" s="2335"/>
    </row>
    <row r="71" spans="1:5">
      <c r="B71" s="2335"/>
      <c r="C71" s="2335"/>
      <c r="D71" s="2335"/>
      <c r="E71" s="2335"/>
    </row>
    <row r="72" spans="1:5">
      <c r="B72" s="1987"/>
      <c r="C72" s="1987"/>
      <c r="D72" s="1987"/>
      <c r="E72" s="1987"/>
    </row>
    <row r="73" spans="1:5">
      <c r="B73" s="1987"/>
      <c r="C73" s="1987"/>
      <c r="D73" s="1987"/>
      <c r="E73" s="1987"/>
    </row>
    <row r="74" spans="1:5">
      <c r="B74" s="1987"/>
      <c r="C74" s="1987"/>
      <c r="D74" s="1987"/>
      <c r="E74" s="1987"/>
    </row>
    <row r="75" spans="1:5">
      <c r="B75" s="1987"/>
      <c r="C75" s="1987"/>
      <c r="D75" s="1987"/>
      <c r="E75" s="1987"/>
    </row>
  </sheetData>
  <mergeCells count="3">
    <mergeCell ref="A5:B5"/>
    <mergeCell ref="A32:B32"/>
    <mergeCell ref="B68:E71"/>
  </mergeCells>
  <pageMargins left="0.7" right="0.7" top="0.75" bottom="0.75" header="0.3" footer="0.3"/>
  <pageSetup orientation="portrait" horizontalDpi="90" verticalDpi="90" r:id="rId1"/>
  <customProperties>
    <customPr name="xxe4aPID" r:id="rId2"/>
  </customProperties>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E4707-4E39-447A-8916-2A3E4CB37088}">
  <sheetPr codeName="Sheet30"/>
  <dimension ref="A2:Q217"/>
  <sheetViews>
    <sheetView zoomScaleNormal="100" workbookViewId="0">
      <selection activeCell="D14" sqref="D14"/>
    </sheetView>
  </sheetViews>
  <sheetFormatPr defaultRowHeight="15.75"/>
  <cols>
    <col min="5" max="5" width="12" bestFit="1" customWidth="1"/>
    <col min="6" max="6" width="11.625" customWidth="1"/>
    <col min="7" max="7" width="11" customWidth="1"/>
    <col min="8" max="8" width="12.625" customWidth="1"/>
    <col min="9" max="9" width="12" bestFit="1" customWidth="1"/>
    <col min="10" max="10" width="12.25" customWidth="1"/>
    <col min="11" max="11" width="11.125" customWidth="1"/>
    <col min="12" max="12" width="11" bestFit="1" customWidth="1"/>
    <col min="13" max="13" width="11.5" bestFit="1" customWidth="1"/>
    <col min="14" max="14" width="13.125" customWidth="1"/>
    <col min="15" max="16" width="11" bestFit="1" customWidth="1"/>
    <col min="17" max="17" width="12" bestFit="1" customWidth="1"/>
  </cols>
  <sheetData>
    <row r="2" spans="1:16">
      <c r="A2" t="s">
        <v>2409</v>
      </c>
      <c r="E2" t="s">
        <v>2408</v>
      </c>
      <c r="H2" t="s">
        <v>2407</v>
      </c>
    </row>
    <row r="3" spans="1:16">
      <c r="A3" t="s">
        <v>2428</v>
      </c>
      <c r="E3" t="s">
        <v>2427</v>
      </c>
    </row>
    <row r="4" spans="1:16">
      <c r="A4" t="s">
        <v>2404</v>
      </c>
      <c r="H4" t="s">
        <v>2403</v>
      </c>
    </row>
    <row r="5" spans="1:16">
      <c r="A5" t="s">
        <v>2402</v>
      </c>
    </row>
    <row r="6" spans="1:16">
      <c r="F6" t="s">
        <v>2426</v>
      </c>
      <c r="J6" t="s">
        <v>2425</v>
      </c>
      <c r="N6" t="s">
        <v>2424</v>
      </c>
    </row>
    <row r="7" spans="1:16">
      <c r="A7" t="s">
        <v>2398</v>
      </c>
      <c r="B7" t="s">
        <v>96</v>
      </c>
      <c r="C7" t="s">
        <v>231</v>
      </c>
      <c r="E7" t="s">
        <v>104</v>
      </c>
      <c r="F7" t="s">
        <v>2397</v>
      </c>
      <c r="G7" t="s">
        <v>2396</v>
      </c>
      <c r="H7" t="s">
        <v>2394</v>
      </c>
      <c r="I7" s="2007" t="s">
        <v>104</v>
      </c>
      <c r="J7" t="s">
        <v>2397</v>
      </c>
      <c r="K7" t="s">
        <v>2396</v>
      </c>
      <c r="L7" t="s">
        <v>2394</v>
      </c>
      <c r="M7" t="s">
        <v>104</v>
      </c>
      <c r="N7" t="s">
        <v>2395</v>
      </c>
      <c r="O7" t="s">
        <v>2394</v>
      </c>
      <c r="P7" t="s">
        <v>104</v>
      </c>
    </row>
    <row r="8" spans="1:16">
      <c r="I8" s="2007"/>
    </row>
    <row r="9" spans="1:16">
      <c r="B9">
        <v>303000</v>
      </c>
      <c r="C9" t="s">
        <v>1786</v>
      </c>
      <c r="I9" s="2007"/>
    </row>
    <row r="10" spans="1:16">
      <c r="A10">
        <v>99</v>
      </c>
      <c r="C10" t="s">
        <v>2415</v>
      </c>
      <c r="E10" s="1989">
        <v>12150827</v>
      </c>
      <c r="F10" s="1989">
        <v>319716</v>
      </c>
      <c r="G10" s="1989">
        <v>0</v>
      </c>
      <c r="H10" s="1989">
        <v>11831111</v>
      </c>
      <c r="I10" s="2049">
        <v>12150827</v>
      </c>
      <c r="J10" s="1989">
        <v>0</v>
      </c>
      <c r="K10" s="1989">
        <v>0</v>
      </c>
      <c r="L10" s="1989">
        <v>0</v>
      </c>
      <c r="M10" s="1989">
        <v>0</v>
      </c>
      <c r="N10" s="1989">
        <v>0</v>
      </c>
      <c r="O10" s="1989">
        <v>0</v>
      </c>
      <c r="P10" s="1989">
        <v>0</v>
      </c>
    </row>
    <row r="11" spans="1:16">
      <c r="A11">
        <v>99</v>
      </c>
      <c r="C11" t="s">
        <v>2414</v>
      </c>
      <c r="E11" s="1989">
        <v>1794111</v>
      </c>
      <c r="F11" s="1989">
        <v>0</v>
      </c>
      <c r="G11" s="1989">
        <v>0</v>
      </c>
      <c r="H11" s="1989">
        <v>0</v>
      </c>
      <c r="I11" s="2049">
        <v>0</v>
      </c>
      <c r="J11" s="1989">
        <v>1022594</v>
      </c>
      <c r="K11" s="1989">
        <v>771517</v>
      </c>
      <c r="L11" s="1989">
        <v>0</v>
      </c>
      <c r="M11" s="1989">
        <v>1794111</v>
      </c>
      <c r="N11" s="1989">
        <v>0</v>
      </c>
      <c r="O11" s="1989">
        <v>0</v>
      </c>
      <c r="P11" s="1989">
        <v>0</v>
      </c>
    </row>
    <row r="12" spans="1:16">
      <c r="A12">
        <v>99</v>
      </c>
      <c r="C12" t="s">
        <v>2413</v>
      </c>
      <c r="E12" s="1989">
        <v>425951</v>
      </c>
      <c r="F12" s="1989">
        <v>0</v>
      </c>
      <c r="G12" s="1989">
        <v>0</v>
      </c>
      <c r="H12" s="1989">
        <v>0</v>
      </c>
      <c r="I12" s="2049">
        <v>0</v>
      </c>
      <c r="J12" s="1989">
        <v>0</v>
      </c>
      <c r="K12" s="1989">
        <v>0</v>
      </c>
      <c r="L12" s="1989">
        <v>0</v>
      </c>
      <c r="M12" s="1989">
        <v>0</v>
      </c>
      <c r="N12" s="1989">
        <v>425951</v>
      </c>
      <c r="O12" s="1989">
        <v>0</v>
      </c>
      <c r="P12" s="1989">
        <v>425951</v>
      </c>
    </row>
    <row r="13" spans="1:16">
      <c r="A13">
        <v>8</v>
      </c>
      <c r="C13" t="s">
        <v>2412</v>
      </c>
      <c r="E13" s="1989">
        <v>0</v>
      </c>
      <c r="F13" s="1989">
        <v>0</v>
      </c>
      <c r="G13" s="1989">
        <v>0</v>
      </c>
      <c r="H13" s="1989">
        <v>0</v>
      </c>
      <c r="I13" s="2049">
        <v>0</v>
      </c>
      <c r="J13" s="1989">
        <v>0</v>
      </c>
      <c r="K13" s="1989">
        <v>0</v>
      </c>
      <c r="L13" s="1989">
        <v>0</v>
      </c>
      <c r="M13" s="1989">
        <v>0</v>
      </c>
      <c r="N13" s="1989">
        <v>0</v>
      </c>
      <c r="O13" s="1989">
        <v>0</v>
      </c>
      <c r="P13" s="1989">
        <v>0</v>
      </c>
    </row>
    <row r="14" spans="1:16">
      <c r="A14" s="2046">
        <v>7</v>
      </c>
      <c r="B14" s="2046"/>
      <c r="C14" s="2046" t="s">
        <v>2411</v>
      </c>
      <c r="D14" s="2046"/>
      <c r="E14" s="2042">
        <v>6222493</v>
      </c>
      <c r="F14" s="2042">
        <v>0</v>
      </c>
      <c r="G14" s="2042">
        <v>0</v>
      </c>
      <c r="H14" s="2042">
        <v>4362714</v>
      </c>
      <c r="I14" s="2048">
        <v>4362714</v>
      </c>
      <c r="J14" s="2042">
        <v>0</v>
      </c>
      <c r="K14" s="2042">
        <v>0</v>
      </c>
      <c r="L14" s="2042">
        <v>1288554</v>
      </c>
      <c r="M14" s="2042">
        <v>1288554</v>
      </c>
      <c r="N14" s="2042">
        <v>0</v>
      </c>
      <c r="O14" s="2042">
        <v>571225</v>
      </c>
      <c r="P14" s="2042">
        <v>571225</v>
      </c>
    </row>
    <row r="15" spans="1:16">
      <c r="A15" s="2046">
        <v>9</v>
      </c>
      <c r="B15" s="2046"/>
      <c r="C15" s="2046" t="s">
        <v>2410</v>
      </c>
      <c r="D15" s="2046"/>
      <c r="E15" s="2042">
        <v>194058</v>
      </c>
      <c r="F15" s="2042">
        <v>0</v>
      </c>
      <c r="G15" s="2042">
        <v>0</v>
      </c>
      <c r="H15" s="2042">
        <v>149702</v>
      </c>
      <c r="I15" s="2048">
        <v>149702</v>
      </c>
      <c r="J15" s="2042">
        <v>0</v>
      </c>
      <c r="K15" s="2042">
        <v>0</v>
      </c>
      <c r="L15" s="2042">
        <v>44356</v>
      </c>
      <c r="M15" s="2042">
        <v>44356</v>
      </c>
      <c r="N15" s="2042">
        <v>0</v>
      </c>
      <c r="O15" s="2042">
        <v>0</v>
      </c>
      <c r="P15" s="2042">
        <v>0</v>
      </c>
    </row>
    <row r="16" spans="1:16">
      <c r="C16" t="s">
        <v>2375</v>
      </c>
      <c r="E16" s="1989">
        <f t="shared" ref="E16:P16" si="0">SUM(E10:E15)</f>
        <v>20787440</v>
      </c>
      <c r="F16" s="1989">
        <f t="shared" si="0"/>
        <v>319716</v>
      </c>
      <c r="G16" s="1989">
        <f t="shared" si="0"/>
        <v>0</v>
      </c>
      <c r="H16" s="1989">
        <f t="shared" si="0"/>
        <v>16343527</v>
      </c>
      <c r="I16" s="1989">
        <f t="shared" si="0"/>
        <v>16663243</v>
      </c>
      <c r="J16" s="1989">
        <f t="shared" si="0"/>
        <v>1022594</v>
      </c>
      <c r="K16" s="1989">
        <f t="shared" si="0"/>
        <v>771517</v>
      </c>
      <c r="L16" s="1989">
        <f t="shared" si="0"/>
        <v>1332910</v>
      </c>
      <c r="M16" s="1989">
        <f t="shared" si="0"/>
        <v>3127021</v>
      </c>
      <c r="N16" s="1989">
        <f t="shared" si="0"/>
        <v>425951</v>
      </c>
      <c r="O16" s="1989">
        <f t="shared" si="0"/>
        <v>571225</v>
      </c>
      <c r="P16" s="1989">
        <f t="shared" si="0"/>
        <v>997176</v>
      </c>
    </row>
    <row r="17" spans="1:17">
      <c r="E17" s="1989"/>
      <c r="F17" s="1989"/>
      <c r="G17" s="1989"/>
      <c r="H17" s="1989"/>
      <c r="I17" s="2048">
        <f>SUM(I14:I15)</f>
        <v>4512416</v>
      </c>
      <c r="J17" s="1989"/>
      <c r="K17" s="1989"/>
      <c r="L17" s="1989"/>
      <c r="M17" s="1989">
        <f>SUM(M14:M15)</f>
        <v>1332910</v>
      </c>
      <c r="N17" s="1989"/>
      <c r="O17" s="1989"/>
      <c r="P17" s="1989">
        <f>SUM(P14:P15)</f>
        <v>571225</v>
      </c>
      <c r="Q17" s="1989">
        <f>SUM(M17:P17)</f>
        <v>1904135</v>
      </c>
    </row>
    <row r="18" spans="1:17">
      <c r="B18">
        <v>303100</v>
      </c>
      <c r="C18" t="s">
        <v>2423</v>
      </c>
      <c r="E18" s="1989"/>
      <c r="F18" s="1989"/>
      <c r="G18" s="1989"/>
      <c r="H18" s="1989"/>
      <c r="I18" s="2049"/>
      <c r="J18" s="1989"/>
      <c r="K18" s="1989"/>
      <c r="L18" s="1989"/>
      <c r="M18" s="1989"/>
      <c r="N18" s="1989"/>
      <c r="O18" s="1989"/>
      <c r="P18" s="1989"/>
    </row>
    <row r="19" spans="1:17">
      <c r="A19">
        <v>99</v>
      </c>
      <c r="C19" t="s">
        <v>2415</v>
      </c>
      <c r="E19" s="1989">
        <v>29766371</v>
      </c>
      <c r="F19" s="1989">
        <v>5213484</v>
      </c>
      <c r="G19" s="1989">
        <v>0</v>
      </c>
      <c r="H19" s="1989">
        <v>24552887</v>
      </c>
      <c r="I19" s="2049">
        <v>29766371</v>
      </c>
      <c r="J19" s="1989">
        <v>0</v>
      </c>
      <c r="K19" s="1989">
        <v>0</v>
      </c>
      <c r="L19" s="1989">
        <v>0</v>
      </c>
      <c r="M19" s="1989">
        <v>0</v>
      </c>
      <c r="N19" s="1989">
        <v>0</v>
      </c>
      <c r="O19" s="1989">
        <v>0</v>
      </c>
      <c r="P19" s="1989">
        <v>0</v>
      </c>
    </row>
    <row r="20" spans="1:17">
      <c r="A20">
        <v>99</v>
      </c>
      <c r="C20" t="s">
        <v>2414</v>
      </c>
      <c r="E20" s="1989">
        <v>0</v>
      </c>
      <c r="F20" s="1989">
        <v>0</v>
      </c>
      <c r="G20" s="1989">
        <v>0</v>
      </c>
      <c r="H20" s="1989">
        <v>0</v>
      </c>
      <c r="I20" s="2049">
        <v>0</v>
      </c>
      <c r="J20" s="1989">
        <v>0</v>
      </c>
      <c r="K20" s="1989">
        <v>0</v>
      </c>
      <c r="L20" s="1989">
        <v>0</v>
      </c>
      <c r="M20" s="1989">
        <v>0</v>
      </c>
      <c r="N20" s="1989">
        <v>0</v>
      </c>
      <c r="O20" s="1989">
        <v>0</v>
      </c>
      <c r="P20" s="1989">
        <v>0</v>
      </c>
    </row>
    <row r="21" spans="1:17">
      <c r="A21">
        <v>99</v>
      </c>
      <c r="C21" t="s">
        <v>2413</v>
      </c>
      <c r="E21" s="1989">
        <v>354611</v>
      </c>
      <c r="F21" s="1989">
        <v>0</v>
      </c>
      <c r="G21" s="1989">
        <v>0</v>
      </c>
      <c r="H21" s="1989">
        <v>0</v>
      </c>
      <c r="I21" s="2049">
        <v>0</v>
      </c>
      <c r="J21" s="1989">
        <v>0</v>
      </c>
      <c r="K21" s="1989">
        <v>0</v>
      </c>
      <c r="L21" s="1989">
        <v>0</v>
      </c>
      <c r="M21" s="1989">
        <v>0</v>
      </c>
      <c r="N21" s="1989">
        <v>354611</v>
      </c>
      <c r="O21" s="1989">
        <v>0</v>
      </c>
      <c r="P21" s="1989">
        <v>354611</v>
      </c>
    </row>
    <row r="22" spans="1:17">
      <c r="A22">
        <v>8</v>
      </c>
      <c r="C22" t="s">
        <v>2412</v>
      </c>
      <c r="E22" s="1989">
        <v>420398</v>
      </c>
      <c r="F22" s="1989">
        <v>0</v>
      </c>
      <c r="G22" s="1989">
        <v>0</v>
      </c>
      <c r="H22" s="1989">
        <v>0</v>
      </c>
      <c r="I22" s="2049">
        <v>0</v>
      </c>
      <c r="J22" s="1989">
        <v>0</v>
      </c>
      <c r="K22" s="1989">
        <v>0</v>
      </c>
      <c r="L22" s="1989">
        <v>290222</v>
      </c>
      <c r="M22" s="1989">
        <v>290222</v>
      </c>
      <c r="N22" s="1989">
        <v>0</v>
      </c>
      <c r="O22" s="1989">
        <v>130176</v>
      </c>
      <c r="P22" s="1989">
        <v>130176</v>
      </c>
    </row>
    <row r="23" spans="1:17">
      <c r="A23" s="2046">
        <v>7</v>
      </c>
      <c r="B23" s="2046"/>
      <c r="C23" s="2046" t="s">
        <v>2411</v>
      </c>
      <c r="D23" s="2046"/>
      <c r="E23" s="2042">
        <v>119731234</v>
      </c>
      <c r="F23" s="2042">
        <v>0</v>
      </c>
      <c r="G23" s="2042">
        <v>0</v>
      </c>
      <c r="H23" s="2042">
        <v>83945963</v>
      </c>
      <c r="I23" s="2048">
        <v>83945963</v>
      </c>
      <c r="J23" s="2042">
        <v>0</v>
      </c>
      <c r="K23" s="2042">
        <v>0</v>
      </c>
      <c r="L23" s="2042">
        <v>24793944</v>
      </c>
      <c r="M23" s="2042">
        <v>24793944</v>
      </c>
      <c r="N23" s="2042">
        <v>0</v>
      </c>
      <c r="O23" s="2042">
        <v>10991327</v>
      </c>
      <c r="P23" s="2042">
        <v>10991327</v>
      </c>
    </row>
    <row r="24" spans="1:17">
      <c r="A24" s="2046">
        <v>9</v>
      </c>
      <c r="B24" s="2046"/>
      <c r="C24" s="2046" t="s">
        <v>2410</v>
      </c>
      <c r="D24" s="2046"/>
      <c r="E24" s="2042">
        <v>1490369</v>
      </c>
      <c r="F24" s="2042">
        <v>687019</v>
      </c>
      <c r="G24" s="2042">
        <v>0</v>
      </c>
      <c r="H24" s="2042">
        <v>462697</v>
      </c>
      <c r="I24" s="2048">
        <v>1149716</v>
      </c>
      <c r="J24" s="2042">
        <v>203559</v>
      </c>
      <c r="K24" s="2042">
        <v>0</v>
      </c>
      <c r="L24" s="2042">
        <v>137094</v>
      </c>
      <c r="M24" s="2042">
        <v>340653</v>
      </c>
      <c r="N24" s="2042">
        <v>0</v>
      </c>
      <c r="O24" s="2042">
        <v>0</v>
      </c>
      <c r="P24" s="2042">
        <v>0</v>
      </c>
    </row>
    <row r="25" spans="1:17">
      <c r="C25" t="s">
        <v>2375</v>
      </c>
      <c r="E25" s="1989">
        <f t="shared" ref="E25:P25" si="1">SUM(E19:E24)</f>
        <v>151762983</v>
      </c>
      <c r="F25" s="1989">
        <f t="shared" si="1"/>
        <v>5900503</v>
      </c>
      <c r="G25" s="1989">
        <f t="shared" si="1"/>
        <v>0</v>
      </c>
      <c r="H25" s="1989">
        <f t="shared" si="1"/>
        <v>108961547</v>
      </c>
      <c r="I25" s="1989">
        <f t="shared" si="1"/>
        <v>114862050</v>
      </c>
      <c r="J25" s="1989">
        <f t="shared" si="1"/>
        <v>203559</v>
      </c>
      <c r="K25" s="1989">
        <f t="shared" si="1"/>
        <v>0</v>
      </c>
      <c r="L25" s="1989">
        <f t="shared" si="1"/>
        <v>25221260</v>
      </c>
      <c r="M25" s="1989">
        <f t="shared" si="1"/>
        <v>25424819</v>
      </c>
      <c r="N25" s="1989">
        <f t="shared" si="1"/>
        <v>354611</v>
      </c>
      <c r="O25" s="1989">
        <f t="shared" si="1"/>
        <v>11121503</v>
      </c>
      <c r="P25" s="1989">
        <f t="shared" si="1"/>
        <v>11476114</v>
      </c>
    </row>
    <row r="26" spans="1:17">
      <c r="E26" s="1989"/>
      <c r="F26" s="1989"/>
      <c r="G26" s="1989"/>
      <c r="H26" s="1989"/>
      <c r="I26" s="2048">
        <f>SUM(I23:I24)</f>
        <v>85095679</v>
      </c>
      <c r="J26" s="1989"/>
      <c r="K26" s="1989"/>
      <c r="L26" s="1989"/>
      <c r="M26" s="1989">
        <f>SUM(M23:M24)</f>
        <v>25134597</v>
      </c>
      <c r="N26" s="1989"/>
      <c r="O26" s="1989"/>
      <c r="P26" s="1989">
        <f>SUM(P23:P24)</f>
        <v>10991327</v>
      </c>
      <c r="Q26" s="1989">
        <f>SUM(M26:P26)</f>
        <v>36125924</v>
      </c>
    </row>
    <row r="27" spans="1:17">
      <c r="B27" s="1750" t="s">
        <v>2422</v>
      </c>
      <c r="C27" t="s">
        <v>2421</v>
      </c>
      <c r="E27" s="1989"/>
      <c r="F27" s="1989"/>
      <c r="G27" s="1989"/>
      <c r="H27" s="1989"/>
      <c r="I27" s="2049"/>
      <c r="J27" s="1989"/>
      <c r="K27" s="1989"/>
      <c r="L27" s="1989"/>
      <c r="M27" s="1989"/>
      <c r="N27" s="1989"/>
      <c r="O27" s="1989"/>
      <c r="P27" s="1989"/>
    </row>
    <row r="28" spans="1:17">
      <c r="A28">
        <v>99</v>
      </c>
      <c r="C28" t="s">
        <v>2415</v>
      </c>
      <c r="E28" s="1989">
        <v>5941658</v>
      </c>
      <c r="F28" s="1989">
        <v>0</v>
      </c>
      <c r="G28" s="1989">
        <v>0</v>
      </c>
      <c r="H28" s="1989">
        <v>5941658</v>
      </c>
      <c r="I28" s="2049">
        <v>5941658</v>
      </c>
      <c r="J28" s="1989">
        <v>0</v>
      </c>
      <c r="K28" s="1989">
        <v>0</v>
      </c>
      <c r="L28" s="1989">
        <v>0</v>
      </c>
      <c r="M28" s="1989">
        <v>0</v>
      </c>
      <c r="N28" s="1989">
        <v>0</v>
      </c>
      <c r="O28" s="1989">
        <v>0</v>
      </c>
      <c r="P28" s="1989">
        <v>0</v>
      </c>
    </row>
    <row r="29" spans="1:17">
      <c r="A29">
        <v>99</v>
      </c>
      <c r="C29" t="s">
        <v>2414</v>
      </c>
      <c r="E29" s="1989">
        <v>0</v>
      </c>
      <c r="F29" s="1989">
        <v>0</v>
      </c>
      <c r="G29" s="1989">
        <v>0</v>
      </c>
      <c r="H29" s="1989">
        <v>0</v>
      </c>
      <c r="I29" s="2049">
        <v>0</v>
      </c>
      <c r="J29" s="1989">
        <v>0</v>
      </c>
      <c r="K29" s="1989">
        <v>0</v>
      </c>
      <c r="L29" s="1989">
        <v>0</v>
      </c>
      <c r="M29" s="1989">
        <v>0</v>
      </c>
      <c r="N29" s="1989">
        <v>0</v>
      </c>
      <c r="O29" s="1989">
        <v>0</v>
      </c>
      <c r="P29" s="1989">
        <v>0</v>
      </c>
    </row>
    <row r="30" spans="1:17">
      <c r="A30">
        <v>99</v>
      </c>
      <c r="C30" t="s">
        <v>2413</v>
      </c>
      <c r="E30" s="1989">
        <v>0</v>
      </c>
      <c r="F30" s="1989">
        <v>0</v>
      </c>
      <c r="G30" s="1989">
        <v>0</v>
      </c>
      <c r="H30" s="1989">
        <v>0</v>
      </c>
      <c r="I30" s="2049">
        <v>0</v>
      </c>
      <c r="J30" s="1989">
        <v>0</v>
      </c>
      <c r="K30" s="1989">
        <v>0</v>
      </c>
      <c r="L30" s="1989">
        <v>0</v>
      </c>
      <c r="M30" s="1989">
        <v>0</v>
      </c>
      <c r="N30" s="1989">
        <v>0</v>
      </c>
      <c r="O30" s="1989">
        <v>0</v>
      </c>
      <c r="P30" s="1989">
        <v>0</v>
      </c>
    </row>
    <row r="31" spans="1:17">
      <c r="A31">
        <v>8</v>
      </c>
      <c r="C31" t="s">
        <v>2412</v>
      </c>
      <c r="E31" s="1989">
        <v>1087713</v>
      </c>
      <c r="F31" s="1989">
        <v>0</v>
      </c>
      <c r="G31" s="1989">
        <v>0</v>
      </c>
      <c r="H31" s="1989">
        <v>0</v>
      </c>
      <c r="I31" s="2049">
        <v>0</v>
      </c>
      <c r="J31" s="1989">
        <v>0</v>
      </c>
      <c r="K31" s="1989">
        <v>0</v>
      </c>
      <c r="L31" s="1989">
        <v>750903</v>
      </c>
      <c r="M31" s="1989">
        <v>750903</v>
      </c>
      <c r="N31" s="1989">
        <v>0</v>
      </c>
      <c r="O31" s="1989">
        <v>336810</v>
      </c>
      <c r="P31" s="1989">
        <v>336810</v>
      </c>
    </row>
    <row r="32" spans="1:17">
      <c r="A32" s="2046">
        <v>7</v>
      </c>
      <c r="B32" s="2046"/>
      <c r="C32" s="2046" t="s">
        <v>2411</v>
      </c>
      <c r="D32" s="2046"/>
      <c r="E32" s="2042">
        <v>35412540</v>
      </c>
      <c r="F32" s="2042">
        <v>0</v>
      </c>
      <c r="G32" s="2042">
        <v>0</v>
      </c>
      <c r="H32" s="2042">
        <v>24828440</v>
      </c>
      <c r="I32" s="2048">
        <v>24828440</v>
      </c>
      <c r="J32" s="2042">
        <v>0</v>
      </c>
      <c r="K32" s="2042">
        <v>0</v>
      </c>
      <c r="L32" s="2042">
        <v>7333229</v>
      </c>
      <c r="M32" s="2042">
        <v>7333229</v>
      </c>
      <c r="N32" s="2042">
        <v>0</v>
      </c>
      <c r="O32" s="2042">
        <v>3250871</v>
      </c>
      <c r="P32" s="2042">
        <v>3250871</v>
      </c>
    </row>
    <row r="33" spans="1:17">
      <c r="A33" s="2046">
        <v>9</v>
      </c>
      <c r="B33" s="2046"/>
      <c r="C33" s="2046" t="s">
        <v>2410</v>
      </c>
      <c r="D33" s="2046"/>
      <c r="E33" s="2042">
        <v>0</v>
      </c>
      <c r="F33" s="2042">
        <v>0</v>
      </c>
      <c r="G33" s="2042">
        <v>0</v>
      </c>
      <c r="H33" s="2042">
        <v>0</v>
      </c>
      <c r="I33" s="2048">
        <v>0</v>
      </c>
      <c r="J33" s="2042">
        <v>0</v>
      </c>
      <c r="K33" s="2042">
        <v>0</v>
      </c>
      <c r="L33" s="2042">
        <v>0</v>
      </c>
      <c r="M33" s="2042">
        <v>0</v>
      </c>
      <c r="N33" s="2042">
        <v>0</v>
      </c>
      <c r="O33" s="2042">
        <v>0</v>
      </c>
      <c r="P33" s="2042">
        <v>0</v>
      </c>
    </row>
    <row r="34" spans="1:17">
      <c r="C34" t="s">
        <v>2375</v>
      </c>
      <c r="E34" s="1989">
        <f t="shared" ref="E34:P34" si="2">SUM(E28:E33)</f>
        <v>42441911</v>
      </c>
      <c r="F34" s="1989">
        <f t="shared" si="2"/>
        <v>0</v>
      </c>
      <c r="G34" s="1989">
        <f t="shared" si="2"/>
        <v>0</v>
      </c>
      <c r="H34" s="1989">
        <f t="shared" si="2"/>
        <v>30770098</v>
      </c>
      <c r="I34" s="1989">
        <f t="shared" si="2"/>
        <v>30770098</v>
      </c>
      <c r="J34" s="1989">
        <f t="shared" si="2"/>
        <v>0</v>
      </c>
      <c r="K34" s="1989">
        <f t="shared" si="2"/>
        <v>0</v>
      </c>
      <c r="L34" s="1989">
        <f t="shared" si="2"/>
        <v>8084132</v>
      </c>
      <c r="M34" s="1989">
        <f t="shared" si="2"/>
        <v>8084132</v>
      </c>
      <c r="N34" s="1989">
        <f t="shared" si="2"/>
        <v>0</v>
      </c>
      <c r="O34" s="1989">
        <f t="shared" si="2"/>
        <v>3587681</v>
      </c>
      <c r="P34" s="1989">
        <f t="shared" si="2"/>
        <v>3587681</v>
      </c>
    </row>
    <row r="35" spans="1:17">
      <c r="E35" s="1989"/>
      <c r="F35" s="1989"/>
      <c r="G35" s="1989"/>
      <c r="H35" s="1989"/>
      <c r="I35" s="2048">
        <f>SUM(I32:I33)</f>
        <v>24828440</v>
      </c>
      <c r="J35" s="1989"/>
      <c r="K35" s="1989"/>
      <c r="L35" s="1989"/>
      <c r="M35" s="1989">
        <f>SUM(M32:M33)</f>
        <v>7333229</v>
      </c>
      <c r="N35" s="1989"/>
      <c r="O35" s="1989"/>
      <c r="P35" s="1989">
        <f>SUM(P32:P33)</f>
        <v>3250871</v>
      </c>
      <c r="Q35" s="1989">
        <f>SUM(M35:P35)</f>
        <v>10584100</v>
      </c>
    </row>
    <row r="36" spans="1:17">
      <c r="B36">
        <v>303110</v>
      </c>
      <c r="C36" t="s">
        <v>2420</v>
      </c>
      <c r="E36" s="1989"/>
      <c r="F36" s="1989"/>
      <c r="G36" s="1989"/>
      <c r="H36" s="1989"/>
      <c r="I36" s="2049"/>
      <c r="J36" s="1989"/>
      <c r="K36" s="1989"/>
      <c r="L36" s="1989"/>
      <c r="M36" s="1989"/>
      <c r="N36" s="1989"/>
      <c r="O36" s="1989"/>
      <c r="P36" s="1989"/>
    </row>
    <row r="37" spans="1:17">
      <c r="A37">
        <v>99</v>
      </c>
      <c r="C37" t="s">
        <v>2415</v>
      </c>
      <c r="E37" s="1989">
        <v>7813329</v>
      </c>
      <c r="F37" s="1989">
        <v>0</v>
      </c>
      <c r="G37" s="1989">
        <v>0</v>
      </c>
      <c r="H37" s="1989">
        <v>7813329</v>
      </c>
      <c r="I37" s="2049">
        <v>7813329</v>
      </c>
      <c r="J37" s="1989">
        <v>0</v>
      </c>
      <c r="K37" s="1989">
        <v>0</v>
      </c>
      <c r="L37" s="1989">
        <v>0</v>
      </c>
      <c r="M37" s="1989">
        <v>0</v>
      </c>
      <c r="N37" s="1989">
        <v>0</v>
      </c>
      <c r="O37" s="1989">
        <v>0</v>
      </c>
      <c r="P37" s="1989">
        <v>0</v>
      </c>
    </row>
    <row r="38" spans="1:17">
      <c r="A38">
        <v>99</v>
      </c>
      <c r="C38" t="s">
        <v>2414</v>
      </c>
      <c r="E38" s="1989">
        <v>0</v>
      </c>
      <c r="F38" s="1989">
        <v>0</v>
      </c>
      <c r="G38" s="1989">
        <v>0</v>
      </c>
      <c r="H38" s="1989">
        <v>0</v>
      </c>
      <c r="I38" s="2049">
        <v>0</v>
      </c>
      <c r="J38" s="1989">
        <v>0</v>
      </c>
      <c r="K38" s="1989">
        <v>0</v>
      </c>
      <c r="L38" s="1989">
        <v>0</v>
      </c>
      <c r="M38" s="1989">
        <v>0</v>
      </c>
      <c r="N38" s="1989">
        <v>0</v>
      </c>
      <c r="O38" s="1989">
        <v>0</v>
      </c>
      <c r="P38" s="1989">
        <v>0</v>
      </c>
    </row>
    <row r="39" spans="1:17">
      <c r="A39">
        <v>99</v>
      </c>
      <c r="C39" t="s">
        <v>2413</v>
      </c>
      <c r="E39" s="1989">
        <v>0</v>
      </c>
      <c r="F39" s="1989">
        <v>0</v>
      </c>
      <c r="G39" s="1989">
        <v>0</v>
      </c>
      <c r="H39" s="1989">
        <v>0</v>
      </c>
      <c r="I39" s="2049">
        <v>0</v>
      </c>
      <c r="J39" s="1989">
        <v>0</v>
      </c>
      <c r="K39" s="1989">
        <v>0</v>
      </c>
      <c r="L39" s="1989">
        <v>0</v>
      </c>
      <c r="M39" s="1989">
        <v>0</v>
      </c>
      <c r="N39" s="1989">
        <v>0</v>
      </c>
      <c r="O39" s="1989">
        <v>0</v>
      </c>
      <c r="P39" s="1989">
        <v>0</v>
      </c>
    </row>
    <row r="40" spans="1:17">
      <c r="A40">
        <v>8</v>
      </c>
      <c r="C40" t="s">
        <v>2412</v>
      </c>
      <c r="E40" s="1989">
        <v>0</v>
      </c>
      <c r="F40" s="1989">
        <v>0</v>
      </c>
      <c r="G40" s="1989">
        <v>0</v>
      </c>
      <c r="H40" s="1989">
        <v>0</v>
      </c>
      <c r="I40" s="2049">
        <v>0</v>
      </c>
      <c r="J40" s="1989">
        <v>0</v>
      </c>
      <c r="K40" s="1989">
        <v>0</v>
      </c>
      <c r="L40" s="1989">
        <v>0</v>
      </c>
      <c r="M40" s="1989">
        <v>0</v>
      </c>
      <c r="N40" s="1989">
        <v>0</v>
      </c>
      <c r="O40" s="1989">
        <v>0</v>
      </c>
      <c r="P40" s="1989">
        <v>0</v>
      </c>
    </row>
    <row r="41" spans="1:17">
      <c r="A41" s="2046">
        <v>7</v>
      </c>
      <c r="B41" s="2046"/>
      <c r="C41" s="2046" t="s">
        <v>2411</v>
      </c>
      <c r="D41" s="2046"/>
      <c r="E41" s="2042">
        <v>0</v>
      </c>
      <c r="F41" s="2042">
        <v>0</v>
      </c>
      <c r="G41" s="2042">
        <v>0</v>
      </c>
      <c r="H41" s="2042">
        <v>0</v>
      </c>
      <c r="I41" s="2048">
        <v>0</v>
      </c>
      <c r="J41" s="2042">
        <v>0</v>
      </c>
      <c r="K41" s="2042">
        <v>0</v>
      </c>
      <c r="L41" s="2042">
        <v>0</v>
      </c>
      <c r="M41" s="2042">
        <v>0</v>
      </c>
      <c r="N41" s="2042">
        <v>0</v>
      </c>
      <c r="O41" s="2042">
        <v>0</v>
      </c>
      <c r="P41" s="2042">
        <v>0</v>
      </c>
    </row>
    <row r="42" spans="1:17">
      <c r="A42" s="2046">
        <v>9</v>
      </c>
      <c r="B42" s="2046"/>
      <c r="C42" s="2046" t="s">
        <v>2410</v>
      </c>
      <c r="D42" s="2046"/>
      <c r="E42" s="2042">
        <v>0</v>
      </c>
      <c r="F42" s="2042">
        <v>0</v>
      </c>
      <c r="G42" s="2042">
        <v>0</v>
      </c>
      <c r="H42" s="2042">
        <v>0</v>
      </c>
      <c r="I42" s="2048">
        <v>0</v>
      </c>
      <c r="J42" s="2042">
        <v>0</v>
      </c>
      <c r="K42" s="2042">
        <v>0</v>
      </c>
      <c r="L42" s="2042">
        <v>0</v>
      </c>
      <c r="M42" s="2042">
        <v>0</v>
      </c>
      <c r="N42" s="2042">
        <v>0</v>
      </c>
      <c r="O42" s="2042">
        <v>0</v>
      </c>
      <c r="P42" s="2042">
        <v>0</v>
      </c>
    </row>
    <row r="43" spans="1:17">
      <c r="C43" t="s">
        <v>2375</v>
      </c>
      <c r="E43" s="1989">
        <v>7813329</v>
      </c>
      <c r="F43" s="1989">
        <v>0</v>
      </c>
      <c r="G43" s="1989">
        <v>0</v>
      </c>
      <c r="H43" s="1989">
        <v>7813329</v>
      </c>
      <c r="I43" s="2049">
        <v>7813329</v>
      </c>
      <c r="J43" s="1989">
        <v>0</v>
      </c>
      <c r="K43" s="1989">
        <v>0</v>
      </c>
      <c r="L43" s="1989">
        <v>0</v>
      </c>
      <c r="M43" s="1989">
        <v>0</v>
      </c>
      <c r="N43" s="1989">
        <v>0</v>
      </c>
      <c r="O43" s="1989">
        <v>0</v>
      </c>
      <c r="P43" s="1989">
        <v>0</v>
      </c>
    </row>
    <row r="44" spans="1:17">
      <c r="E44" s="1989"/>
      <c r="F44" s="1989"/>
      <c r="G44" s="1989"/>
      <c r="H44" s="1989"/>
      <c r="I44" s="2048">
        <f>SUM(I41:I42)</f>
        <v>0</v>
      </c>
      <c r="J44" s="1989"/>
      <c r="K44" s="1989"/>
      <c r="L44" s="1989"/>
      <c r="M44" s="1989">
        <f>SUM(M41:M42)</f>
        <v>0</v>
      </c>
      <c r="N44" s="1989"/>
      <c r="O44" s="1989"/>
      <c r="P44" s="1989">
        <f>SUM(P41:P42)</f>
        <v>0</v>
      </c>
      <c r="Q44" s="1989">
        <f>SUM(M44:P44)</f>
        <v>0</v>
      </c>
    </row>
    <row r="45" spans="1:17">
      <c r="B45">
        <v>303115</v>
      </c>
      <c r="C45" t="s">
        <v>2420</v>
      </c>
      <c r="E45" s="1989"/>
      <c r="F45" s="1989"/>
      <c r="G45" s="1989"/>
      <c r="H45" s="1989"/>
      <c r="I45" s="2049"/>
      <c r="J45" s="1989"/>
      <c r="K45" s="1989"/>
      <c r="L45" s="1989"/>
      <c r="M45" s="1989"/>
      <c r="N45" s="1989"/>
      <c r="O45" s="1989"/>
      <c r="P45" s="1989"/>
    </row>
    <row r="46" spans="1:17">
      <c r="A46">
        <v>99</v>
      </c>
      <c r="C46" t="s">
        <v>2415</v>
      </c>
      <c r="E46" s="1989">
        <v>0</v>
      </c>
      <c r="F46" s="1989">
        <v>0</v>
      </c>
      <c r="G46" s="1989">
        <v>0</v>
      </c>
      <c r="H46" s="1989">
        <v>0</v>
      </c>
      <c r="I46" s="2049">
        <v>0</v>
      </c>
      <c r="J46" s="1989">
        <v>0</v>
      </c>
      <c r="K46" s="1989">
        <v>0</v>
      </c>
      <c r="L46" s="1989">
        <v>0</v>
      </c>
      <c r="M46" s="1989">
        <v>0</v>
      </c>
      <c r="N46" s="1989">
        <v>0</v>
      </c>
      <c r="O46" s="1989">
        <v>0</v>
      </c>
      <c r="P46" s="1989">
        <v>0</v>
      </c>
    </row>
    <row r="47" spans="1:17">
      <c r="A47">
        <v>99</v>
      </c>
      <c r="C47" t="s">
        <v>2414</v>
      </c>
      <c r="E47" s="1989">
        <v>0</v>
      </c>
      <c r="F47" s="1989">
        <v>0</v>
      </c>
      <c r="G47" s="1989">
        <v>0</v>
      </c>
      <c r="H47" s="1989">
        <v>0</v>
      </c>
      <c r="I47" s="2049">
        <v>0</v>
      </c>
      <c r="J47" s="1989">
        <v>0</v>
      </c>
      <c r="K47" s="1989">
        <v>0</v>
      </c>
      <c r="L47" s="1989">
        <v>0</v>
      </c>
      <c r="M47" s="1989">
        <v>0</v>
      </c>
      <c r="N47" s="1989">
        <v>0</v>
      </c>
      <c r="O47" s="1989">
        <v>0</v>
      </c>
      <c r="P47" s="1989">
        <v>0</v>
      </c>
    </row>
    <row r="48" spans="1:17">
      <c r="A48">
        <v>99</v>
      </c>
      <c r="C48" t="s">
        <v>2413</v>
      </c>
      <c r="E48" s="1989">
        <v>0</v>
      </c>
      <c r="F48" s="1989">
        <v>0</v>
      </c>
      <c r="G48" s="1989">
        <v>0</v>
      </c>
      <c r="H48" s="1989">
        <v>0</v>
      </c>
      <c r="I48" s="2049">
        <v>0</v>
      </c>
      <c r="J48" s="1989">
        <v>0</v>
      </c>
      <c r="K48" s="1989">
        <v>0</v>
      </c>
      <c r="L48" s="1989">
        <v>0</v>
      </c>
      <c r="M48" s="1989">
        <v>0</v>
      </c>
      <c r="N48" s="1989">
        <v>0</v>
      </c>
      <c r="O48" s="1989">
        <v>0</v>
      </c>
      <c r="P48" s="1989">
        <v>0</v>
      </c>
    </row>
    <row r="49" spans="1:17">
      <c r="A49">
        <v>8</v>
      </c>
      <c r="C49" t="s">
        <v>2412</v>
      </c>
      <c r="E49" s="1989">
        <v>0</v>
      </c>
      <c r="F49" s="1989">
        <v>0</v>
      </c>
      <c r="G49" s="1989">
        <v>0</v>
      </c>
      <c r="H49" s="1989">
        <v>0</v>
      </c>
      <c r="I49" s="2049">
        <v>0</v>
      </c>
      <c r="J49" s="1989">
        <v>0</v>
      </c>
      <c r="K49" s="1989">
        <v>0</v>
      </c>
      <c r="L49" s="1989">
        <v>0</v>
      </c>
      <c r="M49" s="1989">
        <v>0</v>
      </c>
      <c r="N49" s="1989">
        <v>0</v>
      </c>
      <c r="O49" s="1989">
        <v>0</v>
      </c>
      <c r="P49" s="1989">
        <v>0</v>
      </c>
    </row>
    <row r="50" spans="1:17">
      <c r="A50" s="2046">
        <v>7</v>
      </c>
      <c r="B50" s="2046"/>
      <c r="C50" s="2046" t="s">
        <v>2411</v>
      </c>
      <c r="D50" s="2046"/>
      <c r="E50" s="2042">
        <v>98160456</v>
      </c>
      <c r="F50" s="2042">
        <v>0</v>
      </c>
      <c r="G50" s="2042">
        <v>0</v>
      </c>
      <c r="H50" s="2042">
        <v>68822259</v>
      </c>
      <c r="I50" s="2048">
        <v>68822259</v>
      </c>
      <c r="J50" s="2042">
        <v>0</v>
      </c>
      <c r="K50" s="2042">
        <v>0</v>
      </c>
      <c r="L50" s="2042">
        <v>20327067</v>
      </c>
      <c r="M50" s="2042">
        <v>20327067</v>
      </c>
      <c r="N50" s="2042">
        <v>0</v>
      </c>
      <c r="O50" s="2042">
        <v>9011130</v>
      </c>
      <c r="P50" s="2042">
        <v>9011130</v>
      </c>
    </row>
    <row r="51" spans="1:17">
      <c r="A51" s="2046">
        <v>9</v>
      </c>
      <c r="B51" s="2046"/>
      <c r="C51" s="2046" t="s">
        <v>2410</v>
      </c>
      <c r="D51" s="2046"/>
      <c r="E51" s="2042">
        <v>0</v>
      </c>
      <c r="F51" s="2042">
        <v>0</v>
      </c>
      <c r="G51" s="2042">
        <v>0</v>
      </c>
      <c r="H51" s="2042">
        <v>0</v>
      </c>
      <c r="I51" s="2048">
        <v>0</v>
      </c>
      <c r="J51" s="2042">
        <v>0</v>
      </c>
      <c r="K51" s="2042">
        <v>0</v>
      </c>
      <c r="L51" s="2042">
        <v>0</v>
      </c>
      <c r="M51" s="2042">
        <v>0</v>
      </c>
      <c r="N51" s="2042">
        <v>0</v>
      </c>
      <c r="O51" s="2042">
        <v>0</v>
      </c>
      <c r="P51" s="2042">
        <v>0</v>
      </c>
    </row>
    <row r="52" spans="1:17">
      <c r="C52" s="1989" t="s">
        <v>2375</v>
      </c>
      <c r="D52" s="1989"/>
      <c r="E52" s="1989">
        <f t="shared" ref="E52:P52" si="3">SUM(E46:E51)</f>
        <v>98160456</v>
      </c>
      <c r="F52" s="1989">
        <f t="shared" si="3"/>
        <v>0</v>
      </c>
      <c r="G52" s="1989">
        <f t="shared" si="3"/>
        <v>0</v>
      </c>
      <c r="H52" s="1989">
        <f t="shared" si="3"/>
        <v>68822259</v>
      </c>
      <c r="I52" s="1989">
        <f t="shared" si="3"/>
        <v>68822259</v>
      </c>
      <c r="J52" s="1989">
        <f t="shared" si="3"/>
        <v>0</v>
      </c>
      <c r="K52" s="1989">
        <f t="shared" si="3"/>
        <v>0</v>
      </c>
      <c r="L52" s="1989">
        <f t="shared" si="3"/>
        <v>20327067</v>
      </c>
      <c r="M52" s="1989">
        <f t="shared" si="3"/>
        <v>20327067</v>
      </c>
      <c r="N52" s="1989">
        <f t="shared" si="3"/>
        <v>0</v>
      </c>
      <c r="O52" s="1989">
        <f t="shared" si="3"/>
        <v>9011130</v>
      </c>
      <c r="P52" s="1989">
        <f t="shared" si="3"/>
        <v>9011130</v>
      </c>
    </row>
    <row r="53" spans="1:17">
      <c r="E53" s="1989"/>
      <c r="F53" s="1989"/>
      <c r="G53" s="1989"/>
      <c r="H53" s="1989"/>
      <c r="I53" s="2048">
        <f>SUM(I50:I51)</f>
        <v>68822259</v>
      </c>
      <c r="J53" s="1989"/>
      <c r="K53" s="1989"/>
      <c r="L53" s="1989"/>
      <c r="M53" s="1989">
        <f>SUM(M50:M51)</f>
        <v>20327067</v>
      </c>
      <c r="N53" s="1989"/>
      <c r="O53" s="1989"/>
      <c r="P53" s="1989">
        <f>SUM(P50:P51)</f>
        <v>9011130</v>
      </c>
      <c r="Q53" s="1989">
        <f>SUM(M53:P53)</f>
        <v>29338197</v>
      </c>
    </row>
    <row r="54" spans="1:17">
      <c r="B54">
        <v>303120</v>
      </c>
      <c r="C54" t="s">
        <v>2419</v>
      </c>
      <c r="E54" s="1989"/>
      <c r="F54" s="1989"/>
      <c r="G54" s="1989"/>
      <c r="H54" s="1989"/>
      <c r="I54" s="2049"/>
      <c r="J54" s="1989"/>
      <c r="K54" s="1989"/>
      <c r="L54" s="1989"/>
      <c r="M54" s="1989"/>
      <c r="N54" s="1989"/>
      <c r="O54" s="1989"/>
      <c r="P54" s="1989"/>
    </row>
    <row r="55" spans="1:17">
      <c r="A55">
        <v>99</v>
      </c>
      <c r="C55" t="s">
        <v>2415</v>
      </c>
      <c r="E55" s="1989">
        <v>0</v>
      </c>
      <c r="F55" s="1989">
        <v>0</v>
      </c>
      <c r="G55" s="1989">
        <v>0</v>
      </c>
      <c r="H55" s="1989">
        <v>0</v>
      </c>
      <c r="I55" s="2049">
        <v>0</v>
      </c>
      <c r="J55" s="1989">
        <v>0</v>
      </c>
      <c r="K55" s="1989">
        <v>0</v>
      </c>
      <c r="L55" s="1989">
        <v>0</v>
      </c>
      <c r="M55" s="1989">
        <v>0</v>
      </c>
      <c r="N55" s="1989">
        <v>0</v>
      </c>
      <c r="O55" s="1989">
        <v>0</v>
      </c>
      <c r="P55" s="1989">
        <v>0</v>
      </c>
    </row>
    <row r="56" spans="1:17">
      <c r="A56">
        <v>99</v>
      </c>
      <c r="C56" t="s">
        <v>2414</v>
      </c>
      <c r="E56" s="1989">
        <v>0</v>
      </c>
      <c r="F56" s="1989">
        <v>0</v>
      </c>
      <c r="G56" s="1989">
        <v>0</v>
      </c>
      <c r="H56" s="1989">
        <v>0</v>
      </c>
      <c r="I56" s="2049">
        <v>0</v>
      </c>
      <c r="J56" s="1989">
        <v>0</v>
      </c>
      <c r="K56" s="1989">
        <v>0</v>
      </c>
      <c r="L56" s="1989">
        <v>0</v>
      </c>
      <c r="M56" s="1989">
        <v>0</v>
      </c>
      <c r="N56" s="1989">
        <v>0</v>
      </c>
      <c r="O56" s="1989">
        <v>0</v>
      </c>
      <c r="P56" s="1989">
        <v>0</v>
      </c>
    </row>
    <row r="57" spans="1:17">
      <c r="A57">
        <v>99</v>
      </c>
      <c r="C57" t="s">
        <v>2413</v>
      </c>
      <c r="E57" s="1989">
        <v>0</v>
      </c>
      <c r="F57" s="1989">
        <v>0</v>
      </c>
      <c r="G57" s="1989">
        <v>0</v>
      </c>
      <c r="H57" s="1989">
        <v>0</v>
      </c>
      <c r="I57" s="2049">
        <v>0</v>
      </c>
      <c r="J57" s="1989">
        <v>0</v>
      </c>
      <c r="K57" s="1989">
        <v>0</v>
      </c>
      <c r="L57" s="1989">
        <v>0</v>
      </c>
      <c r="M57" s="1989">
        <v>0</v>
      </c>
      <c r="N57" s="1989">
        <v>0</v>
      </c>
      <c r="O57" s="1989">
        <v>0</v>
      </c>
      <c r="P57" s="1989">
        <v>0</v>
      </c>
    </row>
    <row r="58" spans="1:17">
      <c r="A58">
        <v>8</v>
      </c>
      <c r="C58" t="s">
        <v>2412</v>
      </c>
      <c r="E58" s="1989">
        <v>0</v>
      </c>
      <c r="F58" s="1989">
        <v>0</v>
      </c>
      <c r="G58" s="1989">
        <v>0</v>
      </c>
      <c r="H58" s="1989">
        <v>0</v>
      </c>
      <c r="I58" s="2049">
        <v>0</v>
      </c>
      <c r="J58" s="1989">
        <v>0</v>
      </c>
      <c r="K58" s="1989">
        <v>0</v>
      </c>
      <c r="L58" s="1989">
        <v>0</v>
      </c>
      <c r="M58" s="1989">
        <v>0</v>
      </c>
      <c r="N58" s="1989">
        <v>0</v>
      </c>
      <c r="O58" s="1989">
        <v>0</v>
      </c>
      <c r="P58" s="1989">
        <v>0</v>
      </c>
    </row>
    <row r="59" spans="1:17">
      <c r="A59" s="2046">
        <v>7</v>
      </c>
      <c r="B59" s="2046"/>
      <c r="C59" s="2046" t="s">
        <v>2411</v>
      </c>
      <c r="D59" s="2046"/>
      <c r="E59" s="2042">
        <v>29192891</v>
      </c>
      <c r="F59" s="2042">
        <v>0</v>
      </c>
      <c r="G59" s="2042">
        <v>0</v>
      </c>
      <c r="H59" s="2042">
        <v>20467720</v>
      </c>
      <c r="I59" s="2048">
        <v>20467720</v>
      </c>
      <c r="J59" s="2042">
        <v>0</v>
      </c>
      <c r="K59" s="2042">
        <v>0</v>
      </c>
      <c r="L59" s="2042">
        <v>6045264</v>
      </c>
      <c r="M59" s="2042">
        <v>6045264</v>
      </c>
      <c r="N59" s="2042">
        <v>0</v>
      </c>
      <c r="O59" s="2042">
        <v>2679907</v>
      </c>
      <c r="P59" s="2042">
        <v>2679907</v>
      </c>
    </row>
    <row r="60" spans="1:17">
      <c r="A60" s="2046">
        <v>9</v>
      </c>
      <c r="B60" s="2046"/>
      <c r="C60" s="2046" t="s">
        <v>2410</v>
      </c>
      <c r="D60" s="2046"/>
      <c r="E60" s="2042">
        <v>0</v>
      </c>
      <c r="F60" s="2042">
        <v>0</v>
      </c>
      <c r="G60" s="2042">
        <v>0</v>
      </c>
      <c r="H60" s="2042">
        <v>0</v>
      </c>
      <c r="I60" s="2048">
        <v>0</v>
      </c>
      <c r="J60" s="2042">
        <v>0</v>
      </c>
      <c r="K60" s="2042">
        <v>0</v>
      </c>
      <c r="L60" s="2042">
        <v>0</v>
      </c>
      <c r="M60" s="2042">
        <v>0</v>
      </c>
      <c r="N60" s="2042">
        <v>0</v>
      </c>
      <c r="O60" s="2042">
        <v>0</v>
      </c>
      <c r="P60" s="2042">
        <v>0</v>
      </c>
    </row>
    <row r="61" spans="1:17">
      <c r="C61" s="1989" t="s">
        <v>2375</v>
      </c>
      <c r="D61" s="1989"/>
      <c r="E61" s="1989">
        <f t="shared" ref="E61:P61" si="4">SUM(E55:E60)</f>
        <v>29192891</v>
      </c>
      <c r="F61" s="1989">
        <f t="shared" si="4"/>
        <v>0</v>
      </c>
      <c r="G61" s="1989">
        <f t="shared" si="4"/>
        <v>0</v>
      </c>
      <c r="H61" s="1989">
        <f t="shared" si="4"/>
        <v>20467720</v>
      </c>
      <c r="I61" s="1989">
        <f t="shared" si="4"/>
        <v>20467720</v>
      </c>
      <c r="J61" s="1989">
        <f t="shared" si="4"/>
        <v>0</v>
      </c>
      <c r="K61" s="1989">
        <f t="shared" si="4"/>
        <v>0</v>
      </c>
      <c r="L61" s="1989">
        <f t="shared" si="4"/>
        <v>6045264</v>
      </c>
      <c r="M61" s="1989">
        <f t="shared" si="4"/>
        <v>6045264</v>
      </c>
      <c r="N61" s="1989">
        <f t="shared" si="4"/>
        <v>0</v>
      </c>
      <c r="O61" s="1989">
        <f t="shared" si="4"/>
        <v>2679907</v>
      </c>
      <c r="P61" s="1989">
        <f t="shared" si="4"/>
        <v>2679907</v>
      </c>
    </row>
    <row r="62" spans="1:17">
      <c r="E62" s="1989"/>
      <c r="F62" s="1989"/>
      <c r="G62" s="1989"/>
      <c r="H62" s="1989"/>
      <c r="I62" s="2048">
        <f>SUM(I59:I60)</f>
        <v>20467720</v>
      </c>
      <c r="J62" s="1989"/>
      <c r="K62" s="1989"/>
      <c r="L62" s="1989"/>
      <c r="M62" s="1989">
        <f>SUM(M59:M60)</f>
        <v>6045264</v>
      </c>
      <c r="N62" s="1989"/>
      <c r="O62" s="1989"/>
      <c r="P62" s="1989">
        <f>SUM(P59:P60)</f>
        <v>2679907</v>
      </c>
      <c r="Q62" s="1989">
        <f>SUM(M62:P62)</f>
        <v>8725171</v>
      </c>
    </row>
    <row r="63" spans="1:17">
      <c r="B63">
        <v>303121</v>
      </c>
      <c r="C63" t="s">
        <v>2418</v>
      </c>
      <c r="E63" s="1989"/>
      <c r="F63" s="1989"/>
      <c r="G63" s="1989"/>
      <c r="H63" s="1989"/>
      <c r="I63" s="2049"/>
      <c r="J63" s="1989"/>
      <c r="K63" s="1989"/>
      <c r="L63" s="1989"/>
      <c r="M63" s="1989"/>
      <c r="N63" s="1989"/>
      <c r="O63" s="1989"/>
      <c r="P63" s="1989"/>
    </row>
    <row r="64" spans="1:17">
      <c r="A64">
        <v>99</v>
      </c>
      <c r="C64" t="s">
        <v>2415</v>
      </c>
      <c r="E64" s="1989">
        <v>1779527</v>
      </c>
      <c r="F64" s="1989">
        <v>1779527</v>
      </c>
      <c r="G64" s="1989">
        <v>0</v>
      </c>
      <c r="H64" s="1989">
        <v>0</v>
      </c>
      <c r="I64" s="2049">
        <v>1779527</v>
      </c>
      <c r="J64" s="1989">
        <v>0</v>
      </c>
      <c r="K64" s="1989">
        <v>0</v>
      </c>
      <c r="L64" s="1989">
        <v>0</v>
      </c>
      <c r="M64" s="1989">
        <v>0</v>
      </c>
      <c r="N64" s="1989">
        <v>0</v>
      </c>
      <c r="O64" s="1989">
        <v>0</v>
      </c>
      <c r="P64" s="1989">
        <v>0</v>
      </c>
    </row>
    <row r="65" spans="1:17">
      <c r="A65">
        <v>99</v>
      </c>
      <c r="C65" t="s">
        <v>2414</v>
      </c>
      <c r="E65" s="1989">
        <v>0</v>
      </c>
      <c r="F65" s="1989">
        <v>0</v>
      </c>
      <c r="G65" s="1989">
        <v>0</v>
      </c>
      <c r="H65" s="1989">
        <v>0</v>
      </c>
      <c r="I65" s="2049">
        <v>0</v>
      </c>
      <c r="J65" s="1989">
        <v>0</v>
      </c>
      <c r="K65" s="1989">
        <v>0</v>
      </c>
      <c r="L65" s="1989">
        <v>0</v>
      </c>
      <c r="M65" s="1989">
        <v>0</v>
      </c>
      <c r="N65" s="1989">
        <v>0</v>
      </c>
      <c r="O65" s="1989">
        <v>0</v>
      </c>
      <c r="P65" s="1989">
        <v>0</v>
      </c>
    </row>
    <row r="66" spans="1:17">
      <c r="A66">
        <v>99</v>
      </c>
      <c r="C66" t="s">
        <v>2413</v>
      </c>
      <c r="E66" s="1989">
        <v>0</v>
      </c>
      <c r="F66" s="1989">
        <v>0</v>
      </c>
      <c r="G66" s="1989">
        <v>0</v>
      </c>
      <c r="H66" s="1989">
        <v>0</v>
      </c>
      <c r="I66" s="2049">
        <v>0</v>
      </c>
      <c r="J66" s="1989">
        <v>0</v>
      </c>
      <c r="K66" s="1989">
        <v>0</v>
      </c>
      <c r="L66" s="1989">
        <v>0</v>
      </c>
      <c r="M66" s="1989">
        <v>0</v>
      </c>
      <c r="N66" s="1989">
        <v>0</v>
      </c>
      <c r="O66" s="1989">
        <v>0</v>
      </c>
      <c r="P66" s="1989">
        <v>0</v>
      </c>
    </row>
    <row r="67" spans="1:17">
      <c r="A67">
        <v>8</v>
      </c>
      <c r="C67" t="s">
        <v>2412</v>
      </c>
      <c r="E67" s="1989">
        <v>0</v>
      </c>
      <c r="F67" s="1989">
        <v>0</v>
      </c>
      <c r="G67" s="1989">
        <v>0</v>
      </c>
      <c r="H67" s="1989">
        <v>0</v>
      </c>
      <c r="I67" s="2049">
        <v>0</v>
      </c>
      <c r="J67" s="1989">
        <v>0</v>
      </c>
      <c r="K67" s="1989">
        <v>0</v>
      </c>
      <c r="L67" s="1989">
        <v>0</v>
      </c>
      <c r="M67" s="1989">
        <v>0</v>
      </c>
      <c r="N67" s="1989">
        <v>0</v>
      </c>
      <c r="O67" s="1989">
        <v>0</v>
      </c>
      <c r="P67" s="1989">
        <v>0</v>
      </c>
    </row>
    <row r="68" spans="1:17">
      <c r="A68" s="2046">
        <v>7</v>
      </c>
      <c r="B68" s="2046"/>
      <c r="C68" s="2046" t="s">
        <v>2411</v>
      </c>
      <c r="D68" s="2046"/>
      <c r="E68" s="2042">
        <v>83246</v>
      </c>
      <c r="F68" s="2042">
        <v>0</v>
      </c>
      <c r="G68" s="2042">
        <v>0</v>
      </c>
      <c r="H68" s="2042">
        <v>58365</v>
      </c>
      <c r="I68" s="2048">
        <v>58365</v>
      </c>
      <c r="J68" s="2042">
        <v>0</v>
      </c>
      <c r="K68" s="2042">
        <v>0</v>
      </c>
      <c r="L68" s="2042">
        <v>17239</v>
      </c>
      <c r="M68" s="2042">
        <v>17239</v>
      </c>
      <c r="N68" s="2042">
        <v>0</v>
      </c>
      <c r="O68" s="2042">
        <v>7642</v>
      </c>
      <c r="P68" s="2042">
        <v>7642</v>
      </c>
    </row>
    <row r="69" spans="1:17">
      <c r="A69" s="2046">
        <v>9</v>
      </c>
      <c r="B69" s="2046"/>
      <c r="C69" s="2046" t="s">
        <v>2410</v>
      </c>
      <c r="D69" s="2046"/>
      <c r="E69" s="2042">
        <v>3749705</v>
      </c>
      <c r="F69" s="2042">
        <v>2892635</v>
      </c>
      <c r="G69" s="2042">
        <v>0</v>
      </c>
      <c r="H69" s="2042">
        <v>0</v>
      </c>
      <c r="I69" s="2048">
        <v>2892635</v>
      </c>
      <c r="J69" s="2042">
        <v>857070</v>
      </c>
      <c r="K69" s="2042">
        <v>0</v>
      </c>
      <c r="L69" s="2042">
        <v>0</v>
      </c>
      <c r="M69" s="2042">
        <v>857070</v>
      </c>
      <c r="N69" s="2042">
        <v>0</v>
      </c>
      <c r="O69" s="2042">
        <v>0</v>
      </c>
      <c r="P69" s="2042">
        <v>0</v>
      </c>
    </row>
    <row r="70" spans="1:17">
      <c r="C70" s="1989" t="s">
        <v>2375</v>
      </c>
      <c r="D70" s="1989"/>
      <c r="E70" s="1989">
        <f t="shared" ref="E70:P70" si="5">SUM(E64:E69)</f>
        <v>5612478</v>
      </c>
      <c r="F70" s="1989">
        <f t="shared" si="5"/>
        <v>4672162</v>
      </c>
      <c r="G70" s="1989">
        <f t="shared" si="5"/>
        <v>0</v>
      </c>
      <c r="H70" s="1989">
        <f t="shared" si="5"/>
        <v>58365</v>
      </c>
      <c r="I70" s="1989">
        <f t="shared" si="5"/>
        <v>4730527</v>
      </c>
      <c r="J70" s="1989">
        <f t="shared" si="5"/>
        <v>857070</v>
      </c>
      <c r="K70" s="1989">
        <f t="shared" si="5"/>
        <v>0</v>
      </c>
      <c r="L70" s="1989">
        <f t="shared" si="5"/>
        <v>17239</v>
      </c>
      <c r="M70" s="1989">
        <f t="shared" si="5"/>
        <v>874309</v>
      </c>
      <c r="N70" s="1989">
        <f t="shared" si="5"/>
        <v>0</v>
      </c>
      <c r="O70" s="1989">
        <f t="shared" si="5"/>
        <v>7642</v>
      </c>
      <c r="P70" s="1989">
        <f t="shared" si="5"/>
        <v>7642</v>
      </c>
    </row>
    <row r="71" spans="1:17">
      <c r="E71" s="1989"/>
      <c r="F71" s="1989"/>
      <c r="G71" s="1989"/>
      <c r="H71" s="1989"/>
      <c r="I71" s="2048">
        <f>SUM(I68:I69)</f>
        <v>2951000</v>
      </c>
      <c r="J71" s="1989"/>
      <c r="K71" s="1989"/>
      <c r="L71" s="1989"/>
      <c r="M71" s="1989">
        <f>SUM(M68:M69)</f>
        <v>874309</v>
      </c>
      <c r="N71" s="1989"/>
      <c r="O71" s="1989"/>
      <c r="P71" s="1989">
        <f>SUM(P68:P69)</f>
        <v>7642</v>
      </c>
      <c r="Q71" s="1989">
        <f>SUM(M71:P71)</f>
        <v>881951</v>
      </c>
    </row>
    <row r="72" spans="1:17">
      <c r="B72" t="s">
        <v>2417</v>
      </c>
      <c r="C72" t="s">
        <v>2416</v>
      </c>
      <c r="E72" s="1989"/>
      <c r="F72" s="1989"/>
      <c r="G72" s="1989"/>
      <c r="H72" s="1989"/>
      <c r="I72" s="2049"/>
      <c r="J72" s="1989"/>
      <c r="K72" s="1989"/>
      <c r="L72" s="1989"/>
      <c r="M72" s="1989"/>
      <c r="N72" s="1989"/>
      <c r="O72" s="1989"/>
      <c r="P72" s="1989"/>
    </row>
    <row r="73" spans="1:17">
      <c r="A73">
        <v>99</v>
      </c>
      <c r="C73" t="s">
        <v>2415</v>
      </c>
      <c r="E73" s="1989">
        <v>389189</v>
      </c>
      <c r="F73" s="1989">
        <v>0</v>
      </c>
      <c r="G73" s="1989">
        <v>0</v>
      </c>
      <c r="H73" s="1989">
        <v>389189</v>
      </c>
      <c r="I73" s="2049">
        <v>389189</v>
      </c>
      <c r="J73" s="1989">
        <v>0</v>
      </c>
      <c r="K73" s="1989">
        <v>0</v>
      </c>
      <c r="L73" s="1989">
        <v>0</v>
      </c>
      <c r="M73" s="1989">
        <v>0</v>
      </c>
      <c r="N73" s="1989">
        <v>0</v>
      </c>
      <c r="O73" s="1989">
        <v>0</v>
      </c>
      <c r="P73" s="1989">
        <v>0</v>
      </c>
    </row>
    <row r="74" spans="1:17">
      <c r="A74">
        <v>99</v>
      </c>
      <c r="C74" t="s">
        <v>2414</v>
      </c>
      <c r="E74" s="1989">
        <v>0</v>
      </c>
      <c r="F74" s="1989">
        <v>0</v>
      </c>
      <c r="G74" s="1989">
        <v>0</v>
      </c>
      <c r="H74" s="1989">
        <v>0</v>
      </c>
      <c r="I74" s="2049">
        <v>0</v>
      </c>
      <c r="J74" s="1989">
        <v>0</v>
      </c>
      <c r="K74" s="1989">
        <v>0</v>
      </c>
      <c r="L74" s="1989">
        <v>0</v>
      </c>
      <c r="M74" s="1989">
        <v>0</v>
      </c>
      <c r="N74" s="1989">
        <v>0</v>
      </c>
      <c r="O74" s="1989">
        <v>0</v>
      </c>
      <c r="P74" s="1989">
        <v>0</v>
      </c>
    </row>
    <row r="75" spans="1:17">
      <c r="A75">
        <v>99</v>
      </c>
      <c r="C75" t="s">
        <v>2413</v>
      </c>
      <c r="E75" s="1989">
        <v>0</v>
      </c>
      <c r="F75" s="1989">
        <v>0</v>
      </c>
      <c r="G75" s="1989">
        <v>0</v>
      </c>
      <c r="H75" s="1989">
        <v>0</v>
      </c>
      <c r="I75" s="2049">
        <v>0</v>
      </c>
      <c r="J75" s="1989">
        <v>0</v>
      </c>
      <c r="K75" s="1989">
        <v>0</v>
      </c>
      <c r="L75" s="1989">
        <v>0</v>
      </c>
      <c r="M75" s="1989">
        <v>0</v>
      </c>
      <c r="N75" s="1989">
        <v>0</v>
      </c>
      <c r="O75" s="1989">
        <v>0</v>
      </c>
      <c r="P75" s="1989">
        <v>0</v>
      </c>
    </row>
    <row r="76" spans="1:17">
      <c r="A76">
        <v>8</v>
      </c>
      <c r="C76" t="s">
        <v>2412</v>
      </c>
      <c r="E76" s="1989">
        <v>0</v>
      </c>
      <c r="F76" s="1989">
        <v>0</v>
      </c>
      <c r="G76" s="1989">
        <v>0</v>
      </c>
      <c r="H76" s="1989">
        <v>0</v>
      </c>
      <c r="I76" s="2049">
        <v>0</v>
      </c>
      <c r="J76" s="1989">
        <v>0</v>
      </c>
      <c r="K76" s="1989">
        <v>0</v>
      </c>
      <c r="L76" s="1989">
        <v>0</v>
      </c>
      <c r="M76" s="1989">
        <v>0</v>
      </c>
      <c r="N76" s="1989">
        <v>0</v>
      </c>
      <c r="O76" s="1989">
        <v>0</v>
      </c>
      <c r="P76" s="1989">
        <v>0</v>
      </c>
    </row>
    <row r="77" spans="1:17">
      <c r="A77" s="2046">
        <v>7</v>
      </c>
      <c r="B77" s="2046"/>
      <c r="C77" s="2046" t="s">
        <v>2411</v>
      </c>
      <c r="D77" s="2046"/>
      <c r="E77" s="2042">
        <v>22122818</v>
      </c>
      <c r="F77" s="2042">
        <v>0</v>
      </c>
      <c r="G77" s="2042">
        <v>0</v>
      </c>
      <c r="H77" s="2042">
        <v>15510750</v>
      </c>
      <c r="I77" s="2048">
        <v>15510750</v>
      </c>
      <c r="J77" s="2042">
        <v>0</v>
      </c>
      <c r="K77" s="2042">
        <v>0</v>
      </c>
      <c r="L77" s="2042">
        <v>4581193</v>
      </c>
      <c r="M77" s="2042">
        <v>4581193</v>
      </c>
      <c r="N77" s="2042">
        <v>0</v>
      </c>
      <c r="O77" s="2042">
        <v>2030875</v>
      </c>
      <c r="P77" s="2042">
        <v>2030875</v>
      </c>
    </row>
    <row r="78" spans="1:17">
      <c r="A78" s="2046">
        <v>9</v>
      </c>
      <c r="B78" s="2046"/>
      <c r="C78" s="2046" t="s">
        <v>2410</v>
      </c>
      <c r="D78" s="2046"/>
      <c r="E78" s="2042">
        <v>0</v>
      </c>
      <c r="F78" s="2042">
        <v>0</v>
      </c>
      <c r="G78" s="2042">
        <v>0</v>
      </c>
      <c r="H78" s="2042">
        <v>0</v>
      </c>
      <c r="I78" s="2048">
        <v>0</v>
      </c>
      <c r="J78" s="2042">
        <v>0</v>
      </c>
      <c r="K78" s="2042">
        <v>0</v>
      </c>
      <c r="L78" s="2042">
        <v>0</v>
      </c>
      <c r="M78" s="2042">
        <v>0</v>
      </c>
      <c r="N78" s="2042">
        <v>0</v>
      </c>
      <c r="O78" s="2042">
        <v>0</v>
      </c>
      <c r="P78" s="2042">
        <v>0</v>
      </c>
    </row>
    <row r="79" spans="1:17">
      <c r="C79" s="1989" t="s">
        <v>2375</v>
      </c>
      <c r="D79" s="1989"/>
      <c r="E79" s="1989">
        <f t="shared" ref="E79:P79" si="6">SUM(E73:E78)</f>
        <v>22512007</v>
      </c>
      <c r="F79" s="1989">
        <f t="shared" si="6"/>
        <v>0</v>
      </c>
      <c r="G79" s="1989">
        <f t="shared" si="6"/>
        <v>0</v>
      </c>
      <c r="H79" s="1989">
        <f t="shared" si="6"/>
        <v>15899939</v>
      </c>
      <c r="I79" s="1989">
        <f t="shared" si="6"/>
        <v>15899939</v>
      </c>
      <c r="J79" s="1989">
        <f t="shared" si="6"/>
        <v>0</v>
      </c>
      <c r="K79" s="1989">
        <f t="shared" si="6"/>
        <v>0</v>
      </c>
      <c r="L79" s="1989">
        <f t="shared" si="6"/>
        <v>4581193</v>
      </c>
      <c r="M79" s="1989">
        <f t="shared" si="6"/>
        <v>4581193</v>
      </c>
      <c r="N79" s="1989">
        <f t="shared" si="6"/>
        <v>0</v>
      </c>
      <c r="O79" s="1989">
        <f t="shared" si="6"/>
        <v>2030875</v>
      </c>
      <c r="P79" s="1989">
        <f t="shared" si="6"/>
        <v>2030875</v>
      </c>
    </row>
    <row r="80" spans="1:17">
      <c r="E80" s="1989"/>
      <c r="F80" s="1989"/>
      <c r="G80" s="1989"/>
      <c r="H80" s="1989"/>
      <c r="I80" s="2048">
        <f>SUM(I77:I78)</f>
        <v>15510750</v>
      </c>
      <c r="J80" s="1989"/>
      <c r="K80" s="1989"/>
      <c r="L80" s="1989"/>
      <c r="M80" s="1989">
        <f>SUM(M77:M78)</f>
        <v>4581193</v>
      </c>
      <c r="N80" s="1989"/>
      <c r="O80" s="1989"/>
      <c r="P80" s="1989">
        <f>SUM(P77:P78)</f>
        <v>2030875</v>
      </c>
      <c r="Q80" s="1989">
        <f>SUM(M80:P80)</f>
        <v>6612068</v>
      </c>
    </row>
    <row r="81" spans="1:17">
      <c r="C81" s="1989" t="s">
        <v>197</v>
      </c>
      <c r="D81" s="1989"/>
      <c r="E81" s="1989">
        <f t="shared" ref="E81:P81" si="7">+E52+E43+E34+E25+E16+E61+E70+E79</f>
        <v>378283495</v>
      </c>
      <c r="F81" s="1989">
        <f t="shared" si="7"/>
        <v>10892381</v>
      </c>
      <c r="G81" s="1989">
        <f t="shared" si="7"/>
        <v>0</v>
      </c>
      <c r="H81" s="1989">
        <f t="shared" si="7"/>
        <v>269136784</v>
      </c>
      <c r="I81" s="1989">
        <f t="shared" si="7"/>
        <v>280029165</v>
      </c>
      <c r="J81" s="1989">
        <f t="shared" si="7"/>
        <v>2083223</v>
      </c>
      <c r="K81" s="1989">
        <f t="shared" si="7"/>
        <v>771517</v>
      </c>
      <c r="L81" s="1989">
        <f t="shared" si="7"/>
        <v>65609065</v>
      </c>
      <c r="M81" s="1989">
        <f t="shared" si="7"/>
        <v>68463805</v>
      </c>
      <c r="N81" s="1989">
        <f t="shared" si="7"/>
        <v>780562</v>
      </c>
      <c r="O81" s="1989">
        <f t="shared" si="7"/>
        <v>29009963</v>
      </c>
      <c r="P81" s="1989">
        <f t="shared" si="7"/>
        <v>29790525</v>
      </c>
      <c r="Q81" s="1989">
        <f>SUM(Q7:Q80)</f>
        <v>94171546</v>
      </c>
    </row>
    <row r="83" spans="1:17">
      <c r="I83" s="1989">
        <f>SUM(I71,I62,I53,I26,I17,I80,I44,I35)</f>
        <v>222188264</v>
      </c>
    </row>
    <row r="85" spans="1:17">
      <c r="A85" t="s">
        <v>2372</v>
      </c>
    </row>
    <row r="86" spans="1:17">
      <c r="A86" t="s">
        <v>2368</v>
      </c>
      <c r="B86">
        <v>7</v>
      </c>
      <c r="C86" t="s">
        <v>2371</v>
      </c>
      <c r="E86" s="1134">
        <v>1</v>
      </c>
      <c r="H86" s="1134">
        <v>0.70111999999999997</v>
      </c>
      <c r="L86" s="1134">
        <v>0.20707999999999999</v>
      </c>
      <c r="O86" s="1134">
        <v>9.1800000000000007E-2</v>
      </c>
    </row>
    <row r="87" spans="1:17">
      <c r="A87" t="s">
        <v>2368</v>
      </c>
      <c r="B87">
        <v>8</v>
      </c>
      <c r="C87" t="s">
        <v>2370</v>
      </c>
      <c r="E87" s="1134">
        <v>1</v>
      </c>
      <c r="H87" s="1134">
        <v>0</v>
      </c>
      <c r="L87" s="1134">
        <v>0.69035000000000002</v>
      </c>
      <c r="O87" s="1134">
        <v>0.30964999999999998</v>
      </c>
    </row>
    <row r="88" spans="1:17">
      <c r="A88" t="s">
        <v>2368</v>
      </c>
      <c r="B88">
        <v>9</v>
      </c>
      <c r="C88" t="s">
        <v>2369</v>
      </c>
      <c r="E88" s="1134">
        <v>1</v>
      </c>
      <c r="H88" s="1134">
        <v>0.77144000000000001</v>
      </c>
      <c r="L88" s="1134">
        <v>0.22856000000000001</v>
      </c>
      <c r="O88" s="1134">
        <v>0</v>
      </c>
    </row>
    <row r="89" spans="1:17">
      <c r="A89" t="s">
        <v>2368</v>
      </c>
      <c r="B89">
        <v>99</v>
      </c>
      <c r="C89" t="s">
        <v>2367</v>
      </c>
      <c r="E89" s="1134">
        <v>0</v>
      </c>
      <c r="H89" s="1134">
        <v>0</v>
      </c>
      <c r="L89" s="1134">
        <v>0</v>
      </c>
      <c r="O89" s="1134">
        <v>0</v>
      </c>
    </row>
    <row r="94" spans="1:17">
      <c r="A94" t="s">
        <v>2409</v>
      </c>
      <c r="E94" t="s">
        <v>2408</v>
      </c>
      <c r="H94" t="s">
        <v>2407</v>
      </c>
    </row>
    <row r="95" spans="1:17">
      <c r="A95" t="s">
        <v>2406</v>
      </c>
      <c r="E95" t="s">
        <v>2405</v>
      </c>
    </row>
    <row r="96" spans="1:17">
      <c r="A96" t="s">
        <v>2404</v>
      </c>
      <c r="H96" t="s">
        <v>2403</v>
      </c>
    </row>
    <row r="97" spans="1:17">
      <c r="A97" t="s">
        <v>2402</v>
      </c>
    </row>
    <row r="98" spans="1:17">
      <c r="F98" t="s">
        <v>2401</v>
      </c>
      <c r="J98" t="s">
        <v>2400</v>
      </c>
      <c r="N98" t="s">
        <v>2399</v>
      </c>
    </row>
    <row r="99" spans="1:17">
      <c r="A99" t="s">
        <v>2398</v>
      </c>
      <c r="B99" t="s">
        <v>96</v>
      </c>
      <c r="C99" t="s">
        <v>231</v>
      </c>
      <c r="E99" t="s">
        <v>104</v>
      </c>
      <c r="F99" t="s">
        <v>2397</v>
      </c>
      <c r="G99" t="s">
        <v>2396</v>
      </c>
      <c r="H99" t="s">
        <v>2394</v>
      </c>
      <c r="I99" t="s">
        <v>104</v>
      </c>
      <c r="J99" t="s">
        <v>2397</v>
      </c>
      <c r="K99" t="s">
        <v>2396</v>
      </c>
      <c r="L99" t="s">
        <v>2394</v>
      </c>
      <c r="M99" t="s">
        <v>104</v>
      </c>
      <c r="N99" t="s">
        <v>2395</v>
      </c>
      <c r="O99" t="s">
        <v>2394</v>
      </c>
      <c r="P99" t="s">
        <v>104</v>
      </c>
    </row>
    <row r="101" spans="1:17">
      <c r="B101" t="s">
        <v>2393</v>
      </c>
      <c r="C101" t="s">
        <v>2392</v>
      </c>
    </row>
    <row r="102" spans="1:17">
      <c r="A102">
        <v>99</v>
      </c>
      <c r="C102" t="s">
        <v>2381</v>
      </c>
      <c r="E102" s="2043">
        <v>1083006</v>
      </c>
      <c r="F102" s="584">
        <v>122220</v>
      </c>
      <c r="G102" s="584">
        <v>362279</v>
      </c>
      <c r="H102" s="584">
        <v>598507</v>
      </c>
      <c r="I102" s="2043">
        <v>1083006</v>
      </c>
      <c r="J102">
        <v>0</v>
      </c>
      <c r="K102">
        <v>0</v>
      </c>
      <c r="L102">
        <v>0</v>
      </c>
      <c r="M102" s="2007">
        <v>0</v>
      </c>
      <c r="N102">
        <v>0</v>
      </c>
      <c r="O102">
        <v>0</v>
      </c>
      <c r="P102" s="2007">
        <v>0</v>
      </c>
    </row>
    <row r="103" spans="1:17">
      <c r="A103">
        <v>99</v>
      </c>
      <c r="C103" t="s">
        <v>2380</v>
      </c>
      <c r="E103" s="2043">
        <v>3071017</v>
      </c>
      <c r="F103">
        <v>0</v>
      </c>
      <c r="G103">
        <v>0</v>
      </c>
      <c r="H103">
        <v>0</v>
      </c>
      <c r="I103" s="2007">
        <v>0</v>
      </c>
      <c r="J103" s="584">
        <v>3071017</v>
      </c>
      <c r="K103">
        <v>0</v>
      </c>
      <c r="L103">
        <v>0</v>
      </c>
      <c r="M103" s="2043">
        <v>3071017</v>
      </c>
      <c r="N103">
        <v>0</v>
      </c>
      <c r="O103">
        <v>0</v>
      </c>
      <c r="P103" s="2007">
        <v>0</v>
      </c>
    </row>
    <row r="104" spans="1:17">
      <c r="A104">
        <v>99</v>
      </c>
      <c r="C104" t="s">
        <v>2379</v>
      </c>
      <c r="E104" s="2043">
        <v>845517</v>
      </c>
      <c r="F104">
        <v>0</v>
      </c>
      <c r="G104">
        <v>0</v>
      </c>
      <c r="H104">
        <v>0</v>
      </c>
      <c r="I104" s="2007">
        <v>0</v>
      </c>
      <c r="J104">
        <v>0</v>
      </c>
      <c r="K104">
        <v>0</v>
      </c>
      <c r="L104">
        <v>0</v>
      </c>
      <c r="M104" s="2007">
        <v>0</v>
      </c>
      <c r="N104" s="584">
        <v>845517</v>
      </c>
      <c r="O104">
        <v>0</v>
      </c>
      <c r="P104" s="2043">
        <v>845517</v>
      </c>
    </row>
    <row r="105" spans="1:17">
      <c r="A105">
        <v>8</v>
      </c>
      <c r="C105" t="s">
        <v>2378</v>
      </c>
      <c r="E105" s="2007">
        <v>0</v>
      </c>
      <c r="F105">
        <v>0</v>
      </c>
      <c r="G105">
        <v>0</v>
      </c>
      <c r="H105">
        <v>0</v>
      </c>
      <c r="I105" s="2007">
        <v>0</v>
      </c>
      <c r="J105">
        <v>0</v>
      </c>
      <c r="K105">
        <v>0</v>
      </c>
      <c r="L105">
        <v>0</v>
      </c>
      <c r="M105" s="2007">
        <v>0</v>
      </c>
      <c r="N105">
        <v>0</v>
      </c>
      <c r="O105">
        <v>0</v>
      </c>
      <c r="P105" s="2007">
        <v>0</v>
      </c>
    </row>
    <row r="106" spans="1:17">
      <c r="A106" s="2046">
        <v>7</v>
      </c>
      <c r="B106" s="2046"/>
      <c r="C106" s="2046" t="s">
        <v>2377</v>
      </c>
      <c r="D106" s="2046"/>
      <c r="E106" s="2044">
        <v>12135088</v>
      </c>
      <c r="F106" s="2046">
        <v>0</v>
      </c>
      <c r="G106" s="2046">
        <v>0</v>
      </c>
      <c r="H106" s="2047">
        <v>8508153</v>
      </c>
      <c r="I106" s="2044">
        <v>8508153</v>
      </c>
      <c r="J106" s="2046">
        <v>0</v>
      </c>
      <c r="K106" s="2046">
        <v>0</v>
      </c>
      <c r="L106" s="2047">
        <v>2512934</v>
      </c>
      <c r="M106" s="2044">
        <v>2512934</v>
      </c>
      <c r="N106" s="2046">
        <v>0</v>
      </c>
      <c r="O106" s="2047">
        <v>1114001</v>
      </c>
      <c r="P106" s="2044">
        <v>1114001</v>
      </c>
    </row>
    <row r="107" spans="1:17">
      <c r="A107" s="2046">
        <v>9</v>
      </c>
      <c r="B107" s="2046"/>
      <c r="C107" s="2046" t="s">
        <v>2383</v>
      </c>
      <c r="D107" s="2046"/>
      <c r="E107" s="2044">
        <v>2327289</v>
      </c>
      <c r="F107" s="2047">
        <v>678639</v>
      </c>
      <c r="G107" s="2047">
        <v>337288</v>
      </c>
      <c r="H107" s="2047">
        <v>779414</v>
      </c>
      <c r="I107" s="2044">
        <v>1795341</v>
      </c>
      <c r="J107" s="2047">
        <v>201076</v>
      </c>
      <c r="K107" s="2047">
        <v>99936</v>
      </c>
      <c r="L107" s="2047">
        <v>230936</v>
      </c>
      <c r="M107" s="2044">
        <v>531948</v>
      </c>
      <c r="N107" s="2046">
        <v>0</v>
      </c>
      <c r="O107" s="2046">
        <v>0</v>
      </c>
      <c r="P107" s="2045">
        <v>0</v>
      </c>
    </row>
    <row r="108" spans="1:17">
      <c r="C108" t="s">
        <v>2375</v>
      </c>
      <c r="E108" s="2043">
        <f t="shared" ref="E108:P108" si="8">SUM(E102:E107)</f>
        <v>19461917</v>
      </c>
      <c r="F108" s="2043">
        <f t="shared" si="8"/>
        <v>800859</v>
      </c>
      <c r="G108" s="2043">
        <f t="shared" si="8"/>
        <v>699567</v>
      </c>
      <c r="H108" s="2043">
        <f t="shared" si="8"/>
        <v>9886074</v>
      </c>
      <c r="I108" s="2043">
        <f t="shared" si="8"/>
        <v>11386500</v>
      </c>
      <c r="J108" s="2043">
        <f t="shared" si="8"/>
        <v>3272093</v>
      </c>
      <c r="K108" s="2043">
        <f t="shared" si="8"/>
        <v>99936</v>
      </c>
      <c r="L108" s="2043">
        <f t="shared" si="8"/>
        <v>2743870</v>
      </c>
      <c r="M108" s="2043">
        <f t="shared" si="8"/>
        <v>6115899</v>
      </c>
      <c r="N108" s="2043">
        <f t="shared" si="8"/>
        <v>845517</v>
      </c>
      <c r="O108" s="2043">
        <f t="shared" si="8"/>
        <v>1114001</v>
      </c>
      <c r="P108" s="2043">
        <f t="shared" si="8"/>
        <v>1959518</v>
      </c>
    </row>
    <row r="109" spans="1:17">
      <c r="E109" s="2044">
        <f>SUM(E106:E107)</f>
        <v>14462377</v>
      </c>
      <c r="I109" s="2044">
        <f>SUM(I106:I107)</f>
        <v>10303494</v>
      </c>
      <c r="M109" s="1989">
        <f>SUM(M106:M107)</f>
        <v>3044882</v>
      </c>
      <c r="N109" s="1989"/>
      <c r="O109" s="1989"/>
      <c r="P109" s="1989">
        <f>SUM(P106:P107)</f>
        <v>1114001</v>
      </c>
      <c r="Q109" s="1989">
        <f>SUM(M109:P109)</f>
        <v>4158883</v>
      </c>
    </row>
    <row r="110" spans="1:17">
      <c r="E110" s="2007"/>
      <c r="I110" s="2007"/>
      <c r="M110" s="2007"/>
      <c r="P110" s="2007"/>
    </row>
    <row r="111" spans="1:17">
      <c r="B111" t="s">
        <v>2391</v>
      </c>
      <c r="C111" t="s">
        <v>2390</v>
      </c>
      <c r="E111" s="2007"/>
      <c r="I111" s="2007"/>
      <c r="M111" s="2007"/>
      <c r="P111" s="2007"/>
    </row>
    <row r="112" spans="1:17">
      <c r="A112">
        <v>99</v>
      </c>
      <c r="C112" t="s">
        <v>2381</v>
      </c>
      <c r="E112" s="2043">
        <v>21045509</v>
      </c>
      <c r="F112" s="584">
        <v>8516429</v>
      </c>
      <c r="G112" s="584">
        <v>3388448</v>
      </c>
      <c r="H112" s="584">
        <v>9140632</v>
      </c>
      <c r="I112" s="2043">
        <v>21045509</v>
      </c>
      <c r="J112">
        <v>0</v>
      </c>
      <c r="K112">
        <v>0</v>
      </c>
      <c r="L112">
        <v>0</v>
      </c>
      <c r="M112" s="2007">
        <v>0</v>
      </c>
      <c r="N112">
        <v>0</v>
      </c>
      <c r="O112">
        <v>0</v>
      </c>
      <c r="P112" s="2007">
        <v>0</v>
      </c>
    </row>
    <row r="113" spans="1:17">
      <c r="A113">
        <v>99</v>
      </c>
      <c r="C113" t="s">
        <v>2380</v>
      </c>
      <c r="E113" s="2043">
        <v>25050600</v>
      </c>
      <c r="F113">
        <v>0</v>
      </c>
      <c r="G113">
        <v>0</v>
      </c>
      <c r="H113">
        <v>0</v>
      </c>
      <c r="I113" s="2007">
        <v>0</v>
      </c>
      <c r="J113" s="584">
        <v>25050600</v>
      </c>
      <c r="K113">
        <v>0</v>
      </c>
      <c r="L113">
        <v>0</v>
      </c>
      <c r="M113" s="2043">
        <v>25050600</v>
      </c>
      <c r="N113">
        <v>0</v>
      </c>
      <c r="O113">
        <v>0</v>
      </c>
      <c r="P113" s="2007">
        <v>0</v>
      </c>
    </row>
    <row r="114" spans="1:17">
      <c r="A114">
        <v>99</v>
      </c>
      <c r="C114" t="s">
        <v>2379</v>
      </c>
      <c r="E114" s="2043">
        <v>4457921</v>
      </c>
      <c r="F114">
        <v>0</v>
      </c>
      <c r="G114">
        <v>0</v>
      </c>
      <c r="H114">
        <v>0</v>
      </c>
      <c r="I114" s="2007">
        <v>0</v>
      </c>
      <c r="J114">
        <v>0</v>
      </c>
      <c r="K114">
        <v>0</v>
      </c>
      <c r="L114">
        <v>0</v>
      </c>
      <c r="M114" s="2007">
        <v>0</v>
      </c>
      <c r="N114" s="584">
        <v>4457921</v>
      </c>
      <c r="O114">
        <v>0</v>
      </c>
      <c r="P114" s="2043">
        <v>4457921</v>
      </c>
    </row>
    <row r="115" spans="1:17">
      <c r="A115">
        <v>8</v>
      </c>
      <c r="C115" t="s">
        <v>2378</v>
      </c>
      <c r="E115" s="2007">
        <v>0</v>
      </c>
      <c r="F115">
        <v>0</v>
      </c>
      <c r="G115">
        <v>0</v>
      </c>
      <c r="H115">
        <v>0</v>
      </c>
      <c r="I115" s="2007">
        <v>0</v>
      </c>
      <c r="J115">
        <v>0</v>
      </c>
      <c r="K115">
        <v>0</v>
      </c>
      <c r="L115">
        <v>0</v>
      </c>
      <c r="M115" s="2007">
        <v>0</v>
      </c>
      <c r="N115">
        <v>0</v>
      </c>
      <c r="O115">
        <v>0</v>
      </c>
      <c r="P115" s="2007">
        <v>0</v>
      </c>
    </row>
    <row r="116" spans="1:17">
      <c r="A116" s="2046">
        <v>7</v>
      </c>
      <c r="B116" s="2046"/>
      <c r="C116" s="2046" t="s">
        <v>2377</v>
      </c>
      <c r="D116" s="2046"/>
      <c r="E116" s="2044">
        <v>132442094</v>
      </c>
      <c r="F116" s="2046">
        <v>0</v>
      </c>
      <c r="G116" s="2046">
        <v>0</v>
      </c>
      <c r="H116" s="2047">
        <v>92857801</v>
      </c>
      <c r="I116" s="2044">
        <v>92857801</v>
      </c>
      <c r="J116" s="2046">
        <v>0</v>
      </c>
      <c r="K116" s="2046">
        <v>0</v>
      </c>
      <c r="L116" s="2047">
        <v>27426109</v>
      </c>
      <c r="M116" s="2044">
        <v>27426109</v>
      </c>
      <c r="N116" s="2046">
        <v>0</v>
      </c>
      <c r="O116" s="2047">
        <v>12158184</v>
      </c>
      <c r="P116" s="2044">
        <v>12158184</v>
      </c>
    </row>
    <row r="117" spans="1:17">
      <c r="A117" s="2046">
        <v>9</v>
      </c>
      <c r="B117" s="2046"/>
      <c r="C117" s="2046" t="s">
        <v>2383</v>
      </c>
      <c r="D117" s="2046"/>
      <c r="E117" s="2044">
        <v>32537600</v>
      </c>
      <c r="F117" s="2047">
        <v>9599820</v>
      </c>
      <c r="G117" s="2047">
        <v>6330918</v>
      </c>
      <c r="H117" s="2047">
        <v>9169743</v>
      </c>
      <c r="I117" s="2044">
        <v>25100481</v>
      </c>
      <c r="J117" s="2047">
        <v>2844368</v>
      </c>
      <c r="K117" s="2047">
        <v>1875812</v>
      </c>
      <c r="L117" s="2047">
        <v>2716939</v>
      </c>
      <c r="M117" s="2044">
        <v>7437119</v>
      </c>
      <c r="N117" s="2046">
        <v>0</v>
      </c>
      <c r="O117" s="2046">
        <v>0</v>
      </c>
      <c r="P117" s="2045">
        <v>0</v>
      </c>
    </row>
    <row r="118" spans="1:17">
      <c r="C118" t="s">
        <v>2375</v>
      </c>
      <c r="E118" s="2043">
        <f>SUM('[7]C-GPL'!G20:G25)</f>
        <v>215533724</v>
      </c>
      <c r="F118" s="2043">
        <f>SUM('[7]C-GPL'!H20:H25)</f>
        <v>18116249</v>
      </c>
      <c r="G118" s="2043">
        <f>SUM('[7]C-GPL'!I20:I25)</f>
        <v>9719366</v>
      </c>
      <c r="H118" s="2043">
        <f>SUM('[7]C-GPL'!J20:J25)</f>
        <v>111168176</v>
      </c>
      <c r="I118" s="2043">
        <f>SUM('[7]C-GPL'!K20:K25)</f>
        <v>139003791</v>
      </c>
      <c r="J118" s="2043">
        <f>SUM('[7]C-GPL'!L20:L25)</f>
        <v>27894968</v>
      </c>
      <c r="K118" s="2043">
        <f>SUM('[7]C-GPL'!M20:M25)</f>
        <v>1875812</v>
      </c>
      <c r="L118" s="2043">
        <f>SUM('[7]C-GPL'!N20:N25)</f>
        <v>30143048</v>
      </c>
      <c r="M118" s="2043">
        <f>SUM('[7]C-GPL'!O20:O25)</f>
        <v>59913828</v>
      </c>
      <c r="N118" s="2043">
        <f>SUM('[7]C-GPL'!P20:P25)</f>
        <v>4457921</v>
      </c>
      <c r="O118" s="2043">
        <f>SUM('[7]C-GPL'!Q20:Q25)</f>
        <v>12158184</v>
      </c>
      <c r="P118" s="2043">
        <f>SUM('[7]C-GPL'!R20:R25)</f>
        <v>16616105</v>
      </c>
    </row>
    <row r="119" spans="1:17">
      <c r="E119" s="2044">
        <f>SUM(E116:E117)</f>
        <v>164979694</v>
      </c>
      <c r="I119" s="2044">
        <f>SUM(I116:I117)</f>
        <v>117958282</v>
      </c>
      <c r="M119" s="1989">
        <f>SUM(M116:M117)</f>
        <v>34863228</v>
      </c>
      <c r="N119" s="1989"/>
      <c r="O119" s="1989"/>
      <c r="P119" s="1989">
        <f>SUM(P116:P117)</f>
        <v>12158184</v>
      </c>
      <c r="Q119" s="1989">
        <f>SUM(M119:P119)</f>
        <v>47021412</v>
      </c>
    </row>
    <row r="120" spans="1:17">
      <c r="E120" s="2007"/>
      <c r="I120" s="2007"/>
      <c r="M120" s="2007"/>
      <c r="P120" s="2007"/>
    </row>
    <row r="121" spans="1:17">
      <c r="B121" t="s">
        <v>2389</v>
      </c>
      <c r="C121" t="s">
        <v>2388</v>
      </c>
      <c r="E121" s="2007"/>
      <c r="I121" s="2007"/>
      <c r="M121" s="2007"/>
      <c r="P121" s="2007"/>
    </row>
    <row r="122" spans="1:17">
      <c r="A122">
        <v>99</v>
      </c>
      <c r="C122" t="s">
        <v>2381</v>
      </c>
      <c r="E122" s="2043">
        <v>3979342</v>
      </c>
      <c r="F122" s="584">
        <v>1691302</v>
      </c>
      <c r="G122" s="584">
        <v>7798</v>
      </c>
      <c r="H122" s="584">
        <v>2280242</v>
      </c>
      <c r="I122" s="2043">
        <v>3979342</v>
      </c>
      <c r="J122">
        <v>0</v>
      </c>
      <c r="K122">
        <v>0</v>
      </c>
      <c r="L122">
        <v>0</v>
      </c>
      <c r="M122" s="2007">
        <v>0</v>
      </c>
      <c r="N122">
        <v>0</v>
      </c>
      <c r="O122">
        <v>0</v>
      </c>
      <c r="P122" s="2007">
        <v>0</v>
      </c>
    </row>
    <row r="123" spans="1:17">
      <c r="A123">
        <v>99</v>
      </c>
      <c r="C123" t="s">
        <v>2380</v>
      </c>
      <c r="E123" s="2043">
        <v>233123</v>
      </c>
      <c r="F123">
        <v>0</v>
      </c>
      <c r="G123">
        <v>0</v>
      </c>
      <c r="H123">
        <v>0</v>
      </c>
      <c r="I123" s="2007">
        <v>0</v>
      </c>
      <c r="J123" s="584">
        <v>233123</v>
      </c>
      <c r="K123">
        <v>0</v>
      </c>
      <c r="L123">
        <v>0</v>
      </c>
      <c r="M123" s="2043">
        <v>233123</v>
      </c>
      <c r="N123">
        <v>0</v>
      </c>
      <c r="O123">
        <v>0</v>
      </c>
      <c r="P123" s="2007">
        <v>0</v>
      </c>
    </row>
    <row r="124" spans="1:17">
      <c r="A124">
        <v>99</v>
      </c>
      <c r="C124" t="s">
        <v>2379</v>
      </c>
      <c r="E124" s="2043">
        <v>12109</v>
      </c>
      <c r="F124">
        <v>0</v>
      </c>
      <c r="G124">
        <v>0</v>
      </c>
      <c r="H124">
        <v>0</v>
      </c>
      <c r="I124" s="2007">
        <v>0</v>
      </c>
      <c r="J124">
        <v>0</v>
      </c>
      <c r="K124">
        <v>0</v>
      </c>
      <c r="L124">
        <v>0</v>
      </c>
      <c r="M124" s="2007">
        <v>0</v>
      </c>
      <c r="N124" s="584">
        <v>12109</v>
      </c>
      <c r="O124">
        <v>0</v>
      </c>
      <c r="P124" s="2043">
        <v>12109</v>
      </c>
    </row>
    <row r="125" spans="1:17">
      <c r="A125">
        <v>8</v>
      </c>
      <c r="C125" t="s">
        <v>2378</v>
      </c>
      <c r="E125" s="2043">
        <v>170667</v>
      </c>
      <c r="F125">
        <v>0</v>
      </c>
      <c r="G125">
        <v>0</v>
      </c>
      <c r="H125">
        <v>0</v>
      </c>
      <c r="I125" s="2007">
        <v>0</v>
      </c>
      <c r="J125">
        <v>0</v>
      </c>
      <c r="K125">
        <v>0</v>
      </c>
      <c r="L125" s="584">
        <v>117820</v>
      </c>
      <c r="M125" s="2043">
        <v>117820</v>
      </c>
      <c r="N125">
        <v>0</v>
      </c>
      <c r="O125" s="584">
        <v>52847</v>
      </c>
      <c r="P125" s="2043">
        <v>52847</v>
      </c>
    </row>
    <row r="126" spans="1:17">
      <c r="A126" s="2046">
        <v>7</v>
      </c>
      <c r="B126" s="2046"/>
      <c r="C126" s="2046" t="s">
        <v>2377</v>
      </c>
      <c r="D126" s="2046"/>
      <c r="E126" s="2044">
        <v>72811513</v>
      </c>
      <c r="F126" s="2046">
        <v>0</v>
      </c>
      <c r="G126" s="2046">
        <v>0</v>
      </c>
      <c r="H126" s="2047">
        <v>51049608</v>
      </c>
      <c r="I126" s="2044">
        <v>51049608</v>
      </c>
      <c r="J126" s="2046">
        <v>0</v>
      </c>
      <c r="K126" s="2046">
        <v>0</v>
      </c>
      <c r="L126" s="2047">
        <v>15077808</v>
      </c>
      <c r="M126" s="2044">
        <v>15077808</v>
      </c>
      <c r="N126" s="2046">
        <v>0</v>
      </c>
      <c r="O126" s="2047">
        <v>6684097</v>
      </c>
      <c r="P126" s="2044">
        <v>6684097</v>
      </c>
    </row>
    <row r="127" spans="1:17">
      <c r="A127" s="2046">
        <v>9</v>
      </c>
      <c r="B127" s="2046"/>
      <c r="C127" s="2046" t="s">
        <v>2383</v>
      </c>
      <c r="D127" s="2046"/>
      <c r="E127" s="2044">
        <v>1371181</v>
      </c>
      <c r="F127" s="2047">
        <v>853099</v>
      </c>
      <c r="G127" s="2047">
        <v>7622</v>
      </c>
      <c r="H127" s="2047">
        <v>197049</v>
      </c>
      <c r="I127" s="2044">
        <v>1057770</v>
      </c>
      <c r="J127" s="2047">
        <v>252768</v>
      </c>
      <c r="K127" s="2047">
        <v>2258</v>
      </c>
      <c r="L127" s="2047">
        <v>58385</v>
      </c>
      <c r="M127" s="2044">
        <v>313411</v>
      </c>
      <c r="N127" s="2046">
        <v>0</v>
      </c>
      <c r="O127" s="2046">
        <v>0</v>
      </c>
      <c r="P127" s="2045">
        <v>0</v>
      </c>
    </row>
    <row r="128" spans="1:17">
      <c r="C128" t="s">
        <v>2375</v>
      </c>
      <c r="E128" s="2043">
        <f>SUM('[7]C-GPL'!G30:G35)</f>
        <v>78577935</v>
      </c>
      <c r="F128" s="2043">
        <f>SUM('[7]C-GPL'!H30:H35)</f>
        <v>2544401</v>
      </c>
      <c r="G128" s="2043">
        <f>SUM('[7]C-GPL'!I30:I35)</f>
        <v>15420</v>
      </c>
      <c r="H128" s="2043">
        <f>SUM('[7]C-GPL'!J30:J35)</f>
        <v>53526899</v>
      </c>
      <c r="I128" s="2043">
        <f>SUM('[7]C-GPL'!K30:K35)</f>
        <v>56086720</v>
      </c>
      <c r="J128" s="2043">
        <f>SUM('[7]C-GPL'!L30:L35)</f>
        <v>485891</v>
      </c>
      <c r="K128" s="2043">
        <f>SUM('[7]C-GPL'!M30:M35)</f>
        <v>2258</v>
      </c>
      <c r="L128" s="2043">
        <f>SUM('[7]C-GPL'!N30:N35)</f>
        <v>15254013</v>
      </c>
      <c r="M128" s="2043">
        <f>SUM('[7]C-GPL'!O30:O35)</f>
        <v>15742162</v>
      </c>
      <c r="N128" s="2043">
        <f>SUM('[7]C-GPL'!P30:P35)</f>
        <v>12109</v>
      </c>
      <c r="O128" s="2043">
        <f>SUM('[7]C-GPL'!Q30:Q35)</f>
        <v>6736944</v>
      </c>
      <c r="P128" s="2043">
        <f>SUM('[7]C-GPL'!R30:R35)</f>
        <v>6749053</v>
      </c>
    </row>
    <row r="129" spans="1:17">
      <c r="E129" s="2044">
        <f>SUM(E126:E127)</f>
        <v>74182694</v>
      </c>
      <c r="I129" s="2044">
        <f>SUM(I126:I127)</f>
        <v>52107378</v>
      </c>
      <c r="M129" s="1989">
        <f>SUM(M126:M127)</f>
        <v>15391219</v>
      </c>
      <c r="N129" s="1989"/>
      <c r="O129" s="1989"/>
      <c r="P129" s="1989">
        <f>SUM(P126:P127)</f>
        <v>6684097</v>
      </c>
      <c r="Q129" s="1989">
        <f>SUM(M129:P129)</f>
        <v>22075316</v>
      </c>
    </row>
    <row r="130" spans="1:17">
      <c r="E130" s="2007"/>
      <c r="I130" s="2007"/>
      <c r="M130" s="2007"/>
      <c r="P130" s="2007"/>
    </row>
    <row r="131" spans="1:17">
      <c r="B131" t="s">
        <v>2387</v>
      </c>
      <c r="C131" t="s">
        <v>128</v>
      </c>
      <c r="E131" s="2007"/>
      <c r="I131" s="2007"/>
      <c r="M131" s="2007"/>
      <c r="P131" s="2007"/>
    </row>
    <row r="132" spans="1:17">
      <c r="A132">
        <v>99</v>
      </c>
      <c r="C132" t="s">
        <v>2381</v>
      </c>
      <c r="E132" s="2043">
        <v>62357846</v>
      </c>
      <c r="F132" s="584">
        <v>25686521</v>
      </c>
      <c r="G132" s="584">
        <v>12358614</v>
      </c>
      <c r="H132" s="584">
        <v>24312711</v>
      </c>
      <c r="I132" s="2043">
        <v>62357846</v>
      </c>
      <c r="J132">
        <v>0</v>
      </c>
      <c r="K132">
        <v>0</v>
      </c>
      <c r="L132">
        <v>0</v>
      </c>
      <c r="M132" s="2007">
        <v>0</v>
      </c>
      <c r="N132">
        <v>0</v>
      </c>
      <c r="O132">
        <v>0</v>
      </c>
      <c r="P132" s="2007">
        <v>0</v>
      </c>
    </row>
    <row r="133" spans="1:17">
      <c r="A133">
        <v>99</v>
      </c>
      <c r="C133" t="s">
        <v>2380</v>
      </c>
      <c r="E133" s="2043">
        <v>16028018</v>
      </c>
      <c r="F133">
        <v>0</v>
      </c>
      <c r="G133">
        <v>0</v>
      </c>
      <c r="H133">
        <v>0</v>
      </c>
      <c r="I133" s="2007">
        <v>0</v>
      </c>
      <c r="J133" s="584">
        <v>9890776</v>
      </c>
      <c r="K133" s="584">
        <v>3413318</v>
      </c>
      <c r="L133" s="584">
        <v>2723924</v>
      </c>
      <c r="M133" s="2043">
        <v>16028018</v>
      </c>
      <c r="N133">
        <v>0</v>
      </c>
      <c r="O133">
        <v>0</v>
      </c>
      <c r="P133" s="2007">
        <v>0</v>
      </c>
    </row>
    <row r="134" spans="1:17">
      <c r="A134">
        <v>99</v>
      </c>
      <c r="C134" t="s">
        <v>2379</v>
      </c>
      <c r="E134" s="2043">
        <v>4812326</v>
      </c>
      <c r="F134">
        <v>0</v>
      </c>
      <c r="G134">
        <v>0</v>
      </c>
      <c r="H134">
        <v>0</v>
      </c>
      <c r="I134" s="2007">
        <v>0</v>
      </c>
      <c r="J134">
        <v>0</v>
      </c>
      <c r="K134">
        <v>0</v>
      </c>
      <c r="L134">
        <v>0</v>
      </c>
      <c r="M134" s="2007">
        <v>0</v>
      </c>
      <c r="N134" s="584">
        <v>4812326</v>
      </c>
      <c r="O134">
        <v>0</v>
      </c>
      <c r="P134" s="2043">
        <v>4812326</v>
      </c>
    </row>
    <row r="135" spans="1:17">
      <c r="A135">
        <v>8</v>
      </c>
      <c r="C135" t="s">
        <v>2378</v>
      </c>
      <c r="E135" s="2043">
        <v>97187</v>
      </c>
      <c r="F135">
        <v>0</v>
      </c>
      <c r="G135">
        <v>0</v>
      </c>
      <c r="H135">
        <v>0</v>
      </c>
      <c r="I135" s="2007">
        <v>0</v>
      </c>
      <c r="J135">
        <v>0</v>
      </c>
      <c r="K135">
        <v>0</v>
      </c>
      <c r="L135" s="584">
        <v>67093</v>
      </c>
      <c r="M135" s="2043">
        <v>67093</v>
      </c>
      <c r="N135">
        <v>0</v>
      </c>
      <c r="O135" s="584">
        <v>30094</v>
      </c>
      <c r="P135" s="2043">
        <v>30094</v>
      </c>
    </row>
    <row r="136" spans="1:17">
      <c r="A136" s="2046">
        <v>7</v>
      </c>
      <c r="B136" s="2046"/>
      <c r="C136" s="2046" t="s">
        <v>2377</v>
      </c>
      <c r="D136" s="2046"/>
      <c r="E136" s="2044">
        <v>7544933</v>
      </c>
      <c r="F136" s="2046">
        <v>0</v>
      </c>
      <c r="G136" s="2046">
        <v>0</v>
      </c>
      <c r="H136" s="2047">
        <v>5289903</v>
      </c>
      <c r="I136" s="2044">
        <v>5289903</v>
      </c>
      <c r="J136" s="2046">
        <v>0</v>
      </c>
      <c r="K136" s="2046">
        <v>0</v>
      </c>
      <c r="L136" s="2047">
        <v>1562405</v>
      </c>
      <c r="M136" s="2044">
        <v>1562405</v>
      </c>
      <c r="N136" s="2046">
        <v>0</v>
      </c>
      <c r="O136" s="2047">
        <v>692625</v>
      </c>
      <c r="P136" s="2044">
        <v>692625</v>
      </c>
    </row>
    <row r="137" spans="1:17">
      <c r="A137" s="2046">
        <v>9</v>
      </c>
      <c r="B137" s="2046"/>
      <c r="C137" s="2046" t="s">
        <v>2383</v>
      </c>
      <c r="D137" s="2046"/>
      <c r="E137" s="2044">
        <v>7353197</v>
      </c>
      <c r="F137" s="2047">
        <v>1579408</v>
      </c>
      <c r="G137" s="2047">
        <v>767978</v>
      </c>
      <c r="H137" s="2047">
        <v>3325091</v>
      </c>
      <c r="I137" s="2044">
        <v>5672477</v>
      </c>
      <c r="J137" s="2047">
        <v>467969</v>
      </c>
      <c r="K137" s="2047">
        <v>227547</v>
      </c>
      <c r="L137" s="2047">
        <v>985204</v>
      </c>
      <c r="M137" s="2044">
        <v>1680720</v>
      </c>
      <c r="N137" s="2046">
        <v>0</v>
      </c>
      <c r="O137" s="2046">
        <v>0</v>
      </c>
      <c r="P137" s="2045">
        <v>0</v>
      </c>
    </row>
    <row r="138" spans="1:17">
      <c r="C138" t="s">
        <v>2375</v>
      </c>
      <c r="E138" s="2043">
        <f t="shared" ref="E138:P138" si="9">SUM(E132:E137)</f>
        <v>98193507</v>
      </c>
      <c r="F138" s="2043">
        <f t="shared" si="9"/>
        <v>27265929</v>
      </c>
      <c r="G138" s="2043">
        <f t="shared" si="9"/>
        <v>13126592</v>
      </c>
      <c r="H138" s="2043">
        <f t="shared" si="9"/>
        <v>32927705</v>
      </c>
      <c r="I138" s="2043">
        <f t="shared" si="9"/>
        <v>73320226</v>
      </c>
      <c r="J138" s="2043">
        <f t="shared" si="9"/>
        <v>10358745</v>
      </c>
      <c r="K138" s="2043">
        <f t="shared" si="9"/>
        <v>3640865</v>
      </c>
      <c r="L138" s="2043">
        <f t="shared" si="9"/>
        <v>5338626</v>
      </c>
      <c r="M138" s="2043">
        <f t="shared" si="9"/>
        <v>19338236</v>
      </c>
      <c r="N138" s="2043">
        <f t="shared" si="9"/>
        <v>4812326</v>
      </c>
      <c r="O138" s="2043">
        <f t="shared" si="9"/>
        <v>722719</v>
      </c>
      <c r="P138" s="2043">
        <f t="shared" si="9"/>
        <v>5535045</v>
      </c>
    </row>
    <row r="139" spans="1:17">
      <c r="E139" s="2044">
        <f>SUM(E136:E137)</f>
        <v>14898130</v>
      </c>
      <c r="I139" s="2044">
        <f>SUM(I136:I137)</f>
        <v>10962380</v>
      </c>
      <c r="M139" s="1989">
        <f>SUM(M136:M137)</f>
        <v>3243125</v>
      </c>
      <c r="N139" s="1989"/>
      <c r="O139" s="1989"/>
      <c r="P139" s="1989">
        <f>SUM(P136:P137)</f>
        <v>692625</v>
      </c>
      <c r="Q139" s="1989">
        <f>SUM(M139:P139)</f>
        <v>3935750</v>
      </c>
    </row>
    <row r="140" spans="1:17">
      <c r="E140" s="2007"/>
      <c r="I140" s="2007"/>
      <c r="M140" s="2007"/>
      <c r="P140" s="2007"/>
    </row>
    <row r="141" spans="1:17">
      <c r="B141">
        <v>393000</v>
      </c>
      <c r="C141" t="s">
        <v>129</v>
      </c>
      <c r="E141" s="2007"/>
      <c r="I141" s="2007"/>
      <c r="M141" s="2007"/>
      <c r="P141" s="2007"/>
    </row>
    <row r="142" spans="1:17">
      <c r="A142">
        <v>99</v>
      </c>
      <c r="C142" t="s">
        <v>2381</v>
      </c>
      <c r="E142" s="2043">
        <v>472783</v>
      </c>
      <c r="F142">
        <v>58866</v>
      </c>
      <c r="G142" s="584">
        <v>0</v>
      </c>
      <c r="H142" s="584">
        <v>413917</v>
      </c>
      <c r="I142" s="2043">
        <v>472783</v>
      </c>
      <c r="J142">
        <v>0</v>
      </c>
      <c r="K142">
        <v>0</v>
      </c>
      <c r="L142">
        <v>0</v>
      </c>
      <c r="M142" s="2007">
        <v>0</v>
      </c>
      <c r="N142">
        <v>0</v>
      </c>
      <c r="O142">
        <v>0</v>
      </c>
      <c r="P142" s="2007">
        <v>0</v>
      </c>
    </row>
    <row r="143" spans="1:17">
      <c r="A143">
        <v>99</v>
      </c>
      <c r="C143" t="s">
        <v>2380</v>
      </c>
      <c r="E143" s="2043">
        <v>222353</v>
      </c>
      <c r="F143">
        <v>0</v>
      </c>
      <c r="G143">
        <v>0</v>
      </c>
      <c r="H143">
        <v>0</v>
      </c>
      <c r="I143" s="2007">
        <v>0</v>
      </c>
      <c r="J143" s="584">
        <v>222353</v>
      </c>
      <c r="K143">
        <v>0</v>
      </c>
      <c r="L143">
        <v>0</v>
      </c>
      <c r="M143" s="2043">
        <v>222353</v>
      </c>
      <c r="N143">
        <v>0</v>
      </c>
      <c r="O143">
        <v>0</v>
      </c>
      <c r="P143" s="2007">
        <v>0</v>
      </c>
    </row>
    <row r="144" spans="1:17">
      <c r="A144">
        <v>99</v>
      </c>
      <c r="C144" t="s">
        <v>2379</v>
      </c>
      <c r="E144" s="2043">
        <v>20792</v>
      </c>
      <c r="F144">
        <v>0</v>
      </c>
      <c r="G144">
        <v>0</v>
      </c>
      <c r="H144">
        <v>0</v>
      </c>
      <c r="I144" s="2007">
        <v>0</v>
      </c>
      <c r="J144">
        <v>0</v>
      </c>
      <c r="K144">
        <v>0</v>
      </c>
      <c r="L144">
        <v>0</v>
      </c>
      <c r="M144" s="2007">
        <v>0</v>
      </c>
      <c r="N144" s="584">
        <v>20792</v>
      </c>
      <c r="O144">
        <v>0</v>
      </c>
      <c r="P144" s="2043">
        <v>20792</v>
      </c>
    </row>
    <row r="145" spans="1:17">
      <c r="A145">
        <v>8</v>
      </c>
      <c r="C145" t="s">
        <v>2378</v>
      </c>
      <c r="E145" s="2007">
        <v>0</v>
      </c>
      <c r="F145">
        <v>0</v>
      </c>
      <c r="G145">
        <v>0</v>
      </c>
      <c r="H145">
        <v>0</v>
      </c>
      <c r="I145" s="2007">
        <v>0</v>
      </c>
      <c r="J145">
        <v>0</v>
      </c>
      <c r="K145">
        <v>0</v>
      </c>
      <c r="L145">
        <v>0</v>
      </c>
      <c r="M145" s="2007">
        <v>0</v>
      </c>
      <c r="N145">
        <v>0</v>
      </c>
      <c r="O145">
        <v>0</v>
      </c>
      <c r="P145" s="2007">
        <v>0</v>
      </c>
    </row>
    <row r="146" spans="1:17">
      <c r="A146" s="2046">
        <v>7</v>
      </c>
      <c r="B146" s="2046"/>
      <c r="C146" s="2046" t="s">
        <v>2377</v>
      </c>
      <c r="D146" s="2046"/>
      <c r="E146" s="2045">
        <v>12523</v>
      </c>
      <c r="F146" s="2046">
        <v>0</v>
      </c>
      <c r="G146" s="2046">
        <v>0</v>
      </c>
      <c r="H146" s="2046">
        <v>8780</v>
      </c>
      <c r="I146" s="2045">
        <v>8780</v>
      </c>
      <c r="J146" s="2046">
        <v>0</v>
      </c>
      <c r="K146" s="2046">
        <v>0</v>
      </c>
      <c r="L146" s="2046">
        <v>2593</v>
      </c>
      <c r="M146" s="2045">
        <v>2593</v>
      </c>
      <c r="N146" s="2046">
        <v>0</v>
      </c>
      <c r="O146" s="2046">
        <v>1150</v>
      </c>
      <c r="P146" s="2045">
        <v>1150</v>
      </c>
    </row>
    <row r="147" spans="1:17">
      <c r="A147" s="2046">
        <v>9</v>
      </c>
      <c r="B147" s="2046"/>
      <c r="C147" s="2046" t="s">
        <v>2383</v>
      </c>
      <c r="D147" s="2046"/>
      <c r="E147" s="2044">
        <v>6060689</v>
      </c>
      <c r="F147" s="2047">
        <v>626837</v>
      </c>
      <c r="G147" s="2047">
        <v>188488</v>
      </c>
      <c r="H147" s="2047">
        <v>3860072</v>
      </c>
      <c r="I147" s="2044">
        <v>4675397</v>
      </c>
      <c r="J147" s="2047">
        <v>185728</v>
      </c>
      <c r="K147" s="2047">
        <v>55848</v>
      </c>
      <c r="L147" s="2047">
        <v>1143716</v>
      </c>
      <c r="M147" s="2044">
        <v>1385292</v>
      </c>
      <c r="N147" s="2046">
        <v>0</v>
      </c>
      <c r="O147" s="2046">
        <v>0</v>
      </c>
      <c r="P147" s="2045">
        <v>0</v>
      </c>
    </row>
    <row r="148" spans="1:17">
      <c r="C148" t="s">
        <v>2375</v>
      </c>
      <c r="E148" s="2043">
        <f t="shared" ref="E148:P148" si="10">SUM(E142:E147)</f>
        <v>6789140</v>
      </c>
      <c r="F148" s="2043">
        <f t="shared" si="10"/>
        <v>685703</v>
      </c>
      <c r="G148" s="2043">
        <f t="shared" si="10"/>
        <v>188488</v>
      </c>
      <c r="H148" s="2043">
        <f t="shared" si="10"/>
        <v>4282769</v>
      </c>
      <c r="I148" s="2043">
        <f t="shared" si="10"/>
        <v>5156960</v>
      </c>
      <c r="J148" s="2043">
        <f t="shared" si="10"/>
        <v>408081</v>
      </c>
      <c r="K148" s="2043">
        <f t="shared" si="10"/>
        <v>55848</v>
      </c>
      <c r="L148" s="2043">
        <f t="shared" si="10"/>
        <v>1146309</v>
      </c>
      <c r="M148" s="2043">
        <f t="shared" si="10"/>
        <v>1610238</v>
      </c>
      <c r="N148" s="2043">
        <f t="shared" si="10"/>
        <v>20792</v>
      </c>
      <c r="O148" s="2043">
        <f t="shared" si="10"/>
        <v>1150</v>
      </c>
      <c r="P148" s="2043">
        <f t="shared" si="10"/>
        <v>21942</v>
      </c>
    </row>
    <row r="149" spans="1:17">
      <c r="E149" s="2044">
        <f>SUM(E146:E147)</f>
        <v>6073212</v>
      </c>
      <c r="I149" s="2044">
        <f>SUM(I146:I147)</f>
        <v>4684177</v>
      </c>
      <c r="M149" s="1989">
        <f>SUM(M146:M147)</f>
        <v>1387885</v>
      </c>
      <c r="N149" s="1989"/>
      <c r="O149" s="1989"/>
      <c r="P149" s="1989">
        <f>SUM(P146:P147)</f>
        <v>1150</v>
      </c>
      <c r="Q149" s="1989">
        <f>SUM(M149:P149)</f>
        <v>1389035</v>
      </c>
    </row>
    <row r="150" spans="1:17">
      <c r="E150" s="2007"/>
      <c r="I150" s="2007"/>
      <c r="M150" s="2007"/>
      <c r="P150" s="2007"/>
    </row>
    <row r="151" spans="1:17">
      <c r="B151">
        <v>394000</v>
      </c>
      <c r="C151" t="s">
        <v>2386</v>
      </c>
      <c r="E151" s="2007"/>
      <c r="I151" s="2007"/>
      <c r="M151" s="2007"/>
      <c r="P151" s="2007"/>
    </row>
    <row r="152" spans="1:17">
      <c r="A152">
        <v>99</v>
      </c>
      <c r="C152" t="s">
        <v>2381</v>
      </c>
      <c r="E152" s="2043">
        <v>8888757</v>
      </c>
      <c r="F152" s="584">
        <v>1816321</v>
      </c>
      <c r="G152" s="584">
        <v>599575</v>
      </c>
      <c r="H152" s="584">
        <v>6472861</v>
      </c>
      <c r="I152" s="2043">
        <v>8888757</v>
      </c>
      <c r="J152">
        <v>0</v>
      </c>
      <c r="K152">
        <v>0</v>
      </c>
      <c r="L152">
        <v>0</v>
      </c>
      <c r="M152" s="2007">
        <v>0</v>
      </c>
      <c r="N152">
        <v>0</v>
      </c>
      <c r="O152">
        <v>0</v>
      </c>
      <c r="P152" s="2007">
        <v>0</v>
      </c>
    </row>
    <row r="153" spans="1:17">
      <c r="A153">
        <v>99</v>
      </c>
      <c r="C153" t="s">
        <v>2380</v>
      </c>
      <c r="E153" s="2043">
        <v>3921435</v>
      </c>
      <c r="F153">
        <v>0</v>
      </c>
      <c r="G153">
        <v>0</v>
      </c>
      <c r="H153">
        <v>0</v>
      </c>
      <c r="I153" s="2007">
        <v>0</v>
      </c>
      <c r="J153" s="584">
        <v>2896816</v>
      </c>
      <c r="K153" s="584">
        <v>587478</v>
      </c>
      <c r="L153" s="584">
        <v>437141</v>
      </c>
      <c r="M153" s="2043">
        <v>3921435</v>
      </c>
      <c r="N153">
        <v>0</v>
      </c>
      <c r="O153">
        <v>0</v>
      </c>
      <c r="P153" s="2007">
        <v>0</v>
      </c>
    </row>
    <row r="154" spans="1:17">
      <c r="A154">
        <v>99</v>
      </c>
      <c r="C154" t="s">
        <v>2379</v>
      </c>
      <c r="E154" s="2043">
        <v>1296185</v>
      </c>
      <c r="F154">
        <v>0</v>
      </c>
      <c r="G154">
        <v>0</v>
      </c>
      <c r="H154">
        <v>0</v>
      </c>
      <c r="I154" s="2007">
        <v>0</v>
      </c>
      <c r="J154">
        <v>0</v>
      </c>
      <c r="K154">
        <v>0</v>
      </c>
      <c r="L154">
        <v>0</v>
      </c>
      <c r="M154" s="2007">
        <v>0</v>
      </c>
      <c r="N154" s="584">
        <v>1296185</v>
      </c>
      <c r="O154">
        <v>0</v>
      </c>
      <c r="P154" s="2043">
        <v>1296185</v>
      </c>
    </row>
    <row r="155" spans="1:17">
      <c r="A155">
        <v>8</v>
      </c>
      <c r="C155" t="s">
        <v>2378</v>
      </c>
      <c r="E155" s="2043">
        <v>5849743</v>
      </c>
      <c r="F155">
        <v>0</v>
      </c>
      <c r="G155">
        <v>0</v>
      </c>
      <c r="H155">
        <v>0</v>
      </c>
      <c r="I155" s="2007">
        <v>0</v>
      </c>
      <c r="J155">
        <v>0</v>
      </c>
      <c r="K155">
        <v>0</v>
      </c>
      <c r="L155" s="584">
        <v>4038370</v>
      </c>
      <c r="M155" s="2043">
        <v>4038370</v>
      </c>
      <c r="N155">
        <v>0</v>
      </c>
      <c r="O155" s="584">
        <v>1811373</v>
      </c>
      <c r="P155" s="2043">
        <v>1811373</v>
      </c>
    </row>
    <row r="156" spans="1:17">
      <c r="A156" s="2046">
        <v>7</v>
      </c>
      <c r="B156" s="2046"/>
      <c r="C156" s="2046" t="s">
        <v>2377</v>
      </c>
      <c r="D156" s="2046"/>
      <c r="E156" s="2044">
        <v>15910743</v>
      </c>
      <c r="F156" s="2046">
        <v>0</v>
      </c>
      <c r="G156" s="2046">
        <v>0</v>
      </c>
      <c r="H156" s="2047">
        <v>11155340</v>
      </c>
      <c r="I156" s="2044">
        <v>11155340</v>
      </c>
      <c r="J156" s="2046">
        <v>0</v>
      </c>
      <c r="K156" s="2046">
        <v>0</v>
      </c>
      <c r="L156" s="2047">
        <v>3294797</v>
      </c>
      <c r="M156" s="2044">
        <v>3294797</v>
      </c>
      <c r="N156" s="2046">
        <v>0</v>
      </c>
      <c r="O156" s="2047">
        <v>1460606</v>
      </c>
      <c r="P156" s="2044">
        <v>1460606</v>
      </c>
    </row>
    <row r="157" spans="1:17">
      <c r="A157" s="2046">
        <v>9</v>
      </c>
      <c r="B157" s="2046"/>
      <c r="C157" s="2046" t="s">
        <v>2383</v>
      </c>
      <c r="D157" s="2046"/>
      <c r="E157" s="2044">
        <v>2025177</v>
      </c>
      <c r="F157" s="2047">
        <v>24411</v>
      </c>
      <c r="G157" s="2047">
        <v>747989</v>
      </c>
      <c r="H157" s="2047">
        <v>789882</v>
      </c>
      <c r="I157" s="2044">
        <v>1562282</v>
      </c>
      <c r="J157" s="2047">
        <v>7233</v>
      </c>
      <c r="K157" s="2047">
        <v>221625</v>
      </c>
      <c r="L157" s="2047">
        <v>234037</v>
      </c>
      <c r="M157" s="2044">
        <v>462895</v>
      </c>
      <c r="N157" s="2046">
        <v>0</v>
      </c>
      <c r="O157" s="2046">
        <v>0</v>
      </c>
      <c r="P157" s="2045">
        <v>0</v>
      </c>
    </row>
    <row r="158" spans="1:17">
      <c r="C158" t="s">
        <v>2375</v>
      </c>
      <c r="E158" s="2043">
        <f t="shared" ref="E158:P158" si="11">SUM(E152:E157)</f>
        <v>37892040</v>
      </c>
      <c r="F158" s="2043">
        <f t="shared" si="11"/>
        <v>1840732</v>
      </c>
      <c r="G158" s="2043">
        <f t="shared" si="11"/>
        <v>1347564</v>
      </c>
      <c r="H158" s="2043">
        <f t="shared" si="11"/>
        <v>18418083</v>
      </c>
      <c r="I158" s="2043">
        <f t="shared" si="11"/>
        <v>21606379</v>
      </c>
      <c r="J158" s="2043">
        <f t="shared" si="11"/>
        <v>2904049</v>
      </c>
      <c r="K158" s="2043">
        <f t="shared" si="11"/>
        <v>809103</v>
      </c>
      <c r="L158" s="2043">
        <f t="shared" si="11"/>
        <v>8004345</v>
      </c>
      <c r="M158" s="2043">
        <f t="shared" si="11"/>
        <v>11717497</v>
      </c>
      <c r="N158" s="2043">
        <f t="shared" si="11"/>
        <v>1296185</v>
      </c>
      <c r="O158" s="2043">
        <f t="shared" si="11"/>
        <v>3271979</v>
      </c>
      <c r="P158" s="2043">
        <f t="shared" si="11"/>
        <v>4568164</v>
      </c>
    </row>
    <row r="159" spans="1:17">
      <c r="E159" s="2044">
        <f>SUM(E156:E157)</f>
        <v>17935920</v>
      </c>
      <c r="I159" s="2044">
        <f>SUM(I156:I157)</f>
        <v>12717622</v>
      </c>
      <c r="M159" s="1989">
        <f>SUM(M156:M157)</f>
        <v>3757692</v>
      </c>
      <c r="N159" s="1989"/>
      <c r="O159" s="1989"/>
      <c r="P159" s="1989">
        <f>SUM(P156:P157)</f>
        <v>1460606</v>
      </c>
      <c r="Q159" s="1989">
        <f>SUM(M159:P159)</f>
        <v>5218298</v>
      </c>
    </row>
    <row r="160" spans="1:17">
      <c r="B160">
        <v>394100</v>
      </c>
      <c r="C160" t="s">
        <v>2385</v>
      </c>
      <c r="E160" s="2007"/>
      <c r="I160" s="2007"/>
      <c r="M160" s="2007"/>
      <c r="P160" s="2007"/>
    </row>
    <row r="161" spans="1:16">
      <c r="A161">
        <v>99</v>
      </c>
      <c r="C161" t="s">
        <v>2381</v>
      </c>
      <c r="E161" s="2043">
        <v>116787</v>
      </c>
      <c r="F161">
        <v>0</v>
      </c>
      <c r="G161">
        <v>0</v>
      </c>
      <c r="H161" s="584">
        <v>116787</v>
      </c>
      <c r="I161" s="2043">
        <v>116787</v>
      </c>
      <c r="J161">
        <v>0</v>
      </c>
      <c r="K161">
        <v>0</v>
      </c>
      <c r="L161">
        <v>0</v>
      </c>
      <c r="M161" s="2007">
        <v>0</v>
      </c>
      <c r="N161">
        <v>0</v>
      </c>
      <c r="O161">
        <v>0</v>
      </c>
      <c r="P161" s="2007">
        <v>0</v>
      </c>
    </row>
    <row r="162" spans="1:16">
      <c r="A162">
        <v>99</v>
      </c>
      <c r="C162" t="s">
        <v>2380</v>
      </c>
      <c r="E162" s="2007">
        <v>0</v>
      </c>
      <c r="F162">
        <v>0</v>
      </c>
      <c r="G162">
        <v>0</v>
      </c>
      <c r="H162">
        <v>0</v>
      </c>
      <c r="I162" s="2007">
        <v>0</v>
      </c>
      <c r="J162">
        <v>0</v>
      </c>
      <c r="K162">
        <v>0</v>
      </c>
      <c r="L162">
        <v>0</v>
      </c>
      <c r="M162" s="2007">
        <v>0</v>
      </c>
      <c r="N162">
        <v>0</v>
      </c>
      <c r="O162">
        <v>0</v>
      </c>
      <c r="P162" s="2007">
        <v>0</v>
      </c>
    </row>
    <row r="163" spans="1:16">
      <c r="A163">
        <v>99</v>
      </c>
      <c r="C163" t="s">
        <v>2379</v>
      </c>
      <c r="E163" s="2007">
        <v>0</v>
      </c>
      <c r="F163">
        <v>0</v>
      </c>
      <c r="G163">
        <v>0</v>
      </c>
      <c r="H163">
        <v>0</v>
      </c>
      <c r="I163" s="2007">
        <v>0</v>
      </c>
      <c r="J163">
        <v>0</v>
      </c>
      <c r="K163">
        <v>0</v>
      </c>
      <c r="L163">
        <v>0</v>
      </c>
      <c r="M163" s="2007">
        <v>0</v>
      </c>
      <c r="N163">
        <v>0</v>
      </c>
      <c r="O163">
        <v>0</v>
      </c>
      <c r="P163" s="2007">
        <v>0</v>
      </c>
    </row>
    <row r="164" spans="1:16">
      <c r="A164">
        <v>8</v>
      </c>
      <c r="C164" t="s">
        <v>2378</v>
      </c>
      <c r="E164" s="2007">
        <v>0</v>
      </c>
      <c r="F164">
        <v>0</v>
      </c>
      <c r="G164">
        <v>0</v>
      </c>
      <c r="H164">
        <v>0</v>
      </c>
      <c r="I164" s="2007">
        <v>0</v>
      </c>
      <c r="J164">
        <v>0</v>
      </c>
      <c r="K164">
        <v>0</v>
      </c>
      <c r="L164">
        <v>0</v>
      </c>
      <c r="M164" s="2007">
        <v>0</v>
      </c>
      <c r="N164">
        <v>0</v>
      </c>
      <c r="O164">
        <v>0</v>
      </c>
      <c r="P164" s="2007">
        <v>0</v>
      </c>
    </row>
    <row r="165" spans="1:16">
      <c r="A165" s="2046">
        <v>7</v>
      </c>
      <c r="B165" s="2046"/>
      <c r="C165" s="2046" t="s">
        <v>2377</v>
      </c>
      <c r="D165" s="2046"/>
      <c r="E165" s="2045">
        <v>0</v>
      </c>
      <c r="F165" s="2046">
        <v>0</v>
      </c>
      <c r="G165" s="2046">
        <v>0</v>
      </c>
      <c r="H165" s="2046">
        <v>0</v>
      </c>
      <c r="I165" s="2045">
        <v>0</v>
      </c>
      <c r="J165" s="2046">
        <v>0</v>
      </c>
      <c r="K165" s="2046">
        <v>0</v>
      </c>
      <c r="L165" s="2046">
        <v>0</v>
      </c>
      <c r="M165" s="2045">
        <v>0</v>
      </c>
      <c r="N165" s="2046">
        <v>0</v>
      </c>
      <c r="O165" s="2046">
        <v>0</v>
      </c>
      <c r="P165" s="2045">
        <v>0</v>
      </c>
    </row>
    <row r="166" spans="1:16">
      <c r="A166" s="2046">
        <v>9</v>
      </c>
      <c r="B166" s="2046"/>
      <c r="C166" s="2046" t="s">
        <v>2383</v>
      </c>
      <c r="D166" s="2046"/>
      <c r="E166" s="2045">
        <v>0</v>
      </c>
      <c r="F166" s="2046">
        <v>0</v>
      </c>
      <c r="G166" s="2046">
        <v>0</v>
      </c>
      <c r="H166" s="2046">
        <v>0</v>
      </c>
      <c r="I166" s="2045">
        <v>0</v>
      </c>
      <c r="J166" s="2046">
        <v>0</v>
      </c>
      <c r="K166" s="2046">
        <v>0</v>
      </c>
      <c r="L166" s="2046">
        <v>0</v>
      </c>
      <c r="M166" s="2045">
        <v>0</v>
      </c>
      <c r="N166" s="2046">
        <v>0</v>
      </c>
      <c r="O166" s="2046">
        <v>0</v>
      </c>
      <c r="P166" s="2045">
        <v>0</v>
      </c>
    </row>
    <row r="167" spans="1:16">
      <c r="C167" t="s">
        <v>2375</v>
      </c>
      <c r="E167" s="2043">
        <f t="shared" ref="E167:P167" si="12">SUM(E161:E166)</f>
        <v>116787</v>
      </c>
      <c r="F167" s="2043">
        <f t="shared" si="12"/>
        <v>0</v>
      </c>
      <c r="G167" s="2043">
        <f t="shared" si="12"/>
        <v>0</v>
      </c>
      <c r="H167" s="2043">
        <f t="shared" si="12"/>
        <v>116787</v>
      </c>
      <c r="I167" s="2043">
        <f t="shared" si="12"/>
        <v>116787</v>
      </c>
      <c r="J167" s="2043">
        <f t="shared" si="12"/>
        <v>0</v>
      </c>
      <c r="K167" s="2043">
        <f t="shared" si="12"/>
        <v>0</v>
      </c>
      <c r="L167" s="2043">
        <f t="shared" si="12"/>
        <v>0</v>
      </c>
      <c r="M167" s="2043">
        <f t="shared" si="12"/>
        <v>0</v>
      </c>
      <c r="N167" s="2043">
        <f t="shared" si="12"/>
        <v>0</v>
      </c>
      <c r="O167" s="2043">
        <f t="shared" si="12"/>
        <v>0</v>
      </c>
      <c r="P167" s="2043">
        <f t="shared" si="12"/>
        <v>0</v>
      </c>
    </row>
    <row r="168" spans="1:16">
      <c r="E168" s="2043">
        <f>SUM(E165:E166)</f>
        <v>0</v>
      </c>
      <c r="I168" s="2044">
        <f>SUM(I165:I166)</f>
        <v>0</v>
      </c>
      <c r="M168" s="2007"/>
      <c r="P168" s="2007"/>
    </row>
    <row r="169" spans="1:16">
      <c r="E169" s="2007"/>
      <c r="I169" s="2007"/>
      <c r="M169" s="2007"/>
      <c r="P169" s="2007"/>
    </row>
    <row r="170" spans="1:16">
      <c r="B170">
        <v>395000</v>
      </c>
      <c r="C170" t="s">
        <v>131</v>
      </c>
      <c r="E170" s="2007"/>
      <c r="I170" s="2007"/>
      <c r="M170" s="2007"/>
      <c r="P170" s="2007"/>
    </row>
    <row r="171" spans="1:16">
      <c r="A171">
        <v>99</v>
      </c>
      <c r="C171" t="s">
        <v>2381</v>
      </c>
      <c r="E171" s="2043">
        <v>3305285</v>
      </c>
      <c r="F171" s="584">
        <v>398866</v>
      </c>
      <c r="G171" s="584">
        <v>15791</v>
      </c>
      <c r="H171" s="584">
        <v>2890628</v>
      </c>
      <c r="I171" s="2043">
        <v>3305285</v>
      </c>
      <c r="J171">
        <v>0</v>
      </c>
      <c r="K171">
        <v>0</v>
      </c>
      <c r="L171">
        <v>0</v>
      </c>
      <c r="M171" s="2007">
        <v>0</v>
      </c>
      <c r="N171">
        <v>0</v>
      </c>
      <c r="O171">
        <v>0</v>
      </c>
      <c r="P171" s="2007">
        <v>0</v>
      </c>
    </row>
    <row r="172" spans="1:16">
      <c r="A172">
        <v>99</v>
      </c>
      <c r="C172" t="s">
        <v>2380</v>
      </c>
      <c r="E172" s="2043">
        <v>205248</v>
      </c>
      <c r="F172">
        <v>0</v>
      </c>
      <c r="G172">
        <v>0</v>
      </c>
      <c r="H172">
        <v>0</v>
      </c>
      <c r="I172" s="2007">
        <v>0</v>
      </c>
      <c r="J172" s="584">
        <v>110331</v>
      </c>
      <c r="K172">
        <v>0</v>
      </c>
      <c r="L172" s="584">
        <v>94917</v>
      </c>
      <c r="M172" s="2043">
        <v>205248</v>
      </c>
      <c r="N172">
        <v>0</v>
      </c>
      <c r="O172">
        <v>0</v>
      </c>
      <c r="P172" s="2007">
        <v>0</v>
      </c>
    </row>
    <row r="173" spans="1:16">
      <c r="A173">
        <v>99</v>
      </c>
      <c r="C173" t="s">
        <v>2379</v>
      </c>
      <c r="E173" s="2043">
        <v>18586</v>
      </c>
      <c r="F173">
        <v>0</v>
      </c>
      <c r="G173">
        <v>0</v>
      </c>
      <c r="H173">
        <v>0</v>
      </c>
      <c r="I173" s="2007">
        <v>0</v>
      </c>
      <c r="J173">
        <v>0</v>
      </c>
      <c r="K173">
        <v>0</v>
      </c>
      <c r="L173">
        <v>0</v>
      </c>
      <c r="M173" s="2007">
        <v>0</v>
      </c>
      <c r="N173" s="584">
        <v>18586</v>
      </c>
      <c r="O173">
        <v>0</v>
      </c>
      <c r="P173" s="2043">
        <v>18586</v>
      </c>
    </row>
    <row r="174" spans="1:16">
      <c r="A174">
        <v>8</v>
      </c>
      <c r="C174" t="s">
        <v>2378</v>
      </c>
      <c r="E174" s="2043">
        <v>232523</v>
      </c>
      <c r="F174">
        <v>0</v>
      </c>
      <c r="G174">
        <v>0</v>
      </c>
      <c r="H174">
        <v>0</v>
      </c>
      <c r="I174" s="2007">
        <v>0</v>
      </c>
      <c r="J174">
        <v>0</v>
      </c>
      <c r="K174">
        <v>0</v>
      </c>
      <c r="L174" s="584">
        <v>160522</v>
      </c>
      <c r="M174" s="2043">
        <v>160522</v>
      </c>
      <c r="N174">
        <v>0</v>
      </c>
      <c r="O174" s="584">
        <v>72001</v>
      </c>
      <c r="P174" s="2043">
        <v>72001</v>
      </c>
    </row>
    <row r="175" spans="1:16">
      <c r="A175" s="2046">
        <v>7</v>
      </c>
      <c r="B175" s="2046"/>
      <c r="C175" s="2046" t="s">
        <v>2377</v>
      </c>
      <c r="D175" s="2046"/>
      <c r="E175" s="2044">
        <v>1325251</v>
      </c>
      <c r="F175" s="2046">
        <v>0</v>
      </c>
      <c r="G175" s="2046">
        <v>0</v>
      </c>
      <c r="H175" s="2047">
        <v>929160</v>
      </c>
      <c r="I175" s="2044">
        <v>929160</v>
      </c>
      <c r="J175" s="2046">
        <v>0</v>
      </c>
      <c r="K175" s="2046">
        <v>0</v>
      </c>
      <c r="L175" s="2047">
        <v>274433</v>
      </c>
      <c r="M175" s="2044">
        <v>274433</v>
      </c>
      <c r="N175" s="2046">
        <v>0</v>
      </c>
      <c r="O175" s="2047">
        <v>121658</v>
      </c>
      <c r="P175" s="2044">
        <v>121658</v>
      </c>
    </row>
    <row r="176" spans="1:16">
      <c r="A176" s="2046">
        <v>9</v>
      </c>
      <c r="B176" s="2046"/>
      <c r="C176" s="2046" t="s">
        <v>2383</v>
      </c>
      <c r="D176" s="2046"/>
      <c r="E176" s="2045">
        <v>0</v>
      </c>
      <c r="F176" s="2046">
        <v>0</v>
      </c>
      <c r="G176" s="2046">
        <v>0</v>
      </c>
      <c r="H176" s="2046">
        <v>0</v>
      </c>
      <c r="I176" s="2045">
        <v>0</v>
      </c>
      <c r="J176" s="2046">
        <v>0</v>
      </c>
      <c r="K176" s="2046">
        <v>0</v>
      </c>
      <c r="L176" s="2046">
        <v>0</v>
      </c>
      <c r="M176" s="2045">
        <v>0</v>
      </c>
      <c r="N176" s="2046">
        <v>0</v>
      </c>
      <c r="O176" s="2046">
        <v>0</v>
      </c>
      <c r="P176" s="2045">
        <v>0</v>
      </c>
    </row>
    <row r="177" spans="1:17">
      <c r="C177" t="s">
        <v>2375</v>
      </c>
      <c r="E177" s="2043">
        <f t="shared" ref="E177:P177" si="13">SUM(E171:E176)</f>
        <v>5086893</v>
      </c>
      <c r="F177" s="2043">
        <f t="shared" si="13"/>
        <v>398866</v>
      </c>
      <c r="G177" s="2043">
        <f t="shared" si="13"/>
        <v>15791</v>
      </c>
      <c r="H177" s="2043">
        <f t="shared" si="13"/>
        <v>3819788</v>
      </c>
      <c r="I177" s="2043">
        <f t="shared" si="13"/>
        <v>4234445</v>
      </c>
      <c r="J177" s="2043">
        <f t="shared" si="13"/>
        <v>110331</v>
      </c>
      <c r="K177" s="2043">
        <f t="shared" si="13"/>
        <v>0</v>
      </c>
      <c r="L177" s="2043">
        <f t="shared" si="13"/>
        <v>529872</v>
      </c>
      <c r="M177" s="2043">
        <f t="shared" si="13"/>
        <v>640203</v>
      </c>
      <c r="N177" s="2043">
        <f t="shared" si="13"/>
        <v>18586</v>
      </c>
      <c r="O177" s="2043">
        <f t="shared" si="13"/>
        <v>193659</v>
      </c>
      <c r="P177" s="2043">
        <f t="shared" si="13"/>
        <v>212245</v>
      </c>
    </row>
    <row r="178" spans="1:17">
      <c r="E178" s="2044">
        <f>SUM(E175:E176)</f>
        <v>1325251</v>
      </c>
      <c r="I178" s="2044">
        <f>SUM(I175:I176)</f>
        <v>929160</v>
      </c>
      <c r="M178" s="1989">
        <f>SUM(M175:M176)</f>
        <v>274433</v>
      </c>
      <c r="N178" s="1989"/>
      <c r="O178" s="1989"/>
      <c r="P178" s="1989">
        <f>SUM(P175:P176)</f>
        <v>121658</v>
      </c>
      <c r="Q178" s="1989">
        <f>SUM(M178:P178)</f>
        <v>396091</v>
      </c>
    </row>
    <row r="179" spans="1:17">
      <c r="E179" s="2007"/>
      <c r="I179" s="2007"/>
      <c r="M179" s="2007"/>
      <c r="P179" s="2007"/>
    </row>
    <row r="180" spans="1:17">
      <c r="B180" t="s">
        <v>2384</v>
      </c>
      <c r="C180" t="s">
        <v>132</v>
      </c>
      <c r="E180" s="2007"/>
      <c r="I180" s="2007"/>
      <c r="M180" s="2007"/>
      <c r="P180" s="2007"/>
    </row>
    <row r="181" spans="1:17">
      <c r="A181">
        <v>99</v>
      </c>
      <c r="C181" t="s">
        <v>2381</v>
      </c>
      <c r="E181" s="2043">
        <v>25432530</v>
      </c>
      <c r="F181" s="584">
        <v>12577381</v>
      </c>
      <c r="G181" s="584">
        <v>7583364</v>
      </c>
      <c r="H181" s="584">
        <v>5271785</v>
      </c>
      <c r="I181" s="2043">
        <v>25432530</v>
      </c>
      <c r="J181">
        <v>0</v>
      </c>
      <c r="K181">
        <v>0</v>
      </c>
      <c r="L181">
        <v>0</v>
      </c>
      <c r="M181" s="2007">
        <v>0</v>
      </c>
      <c r="N181">
        <v>0</v>
      </c>
      <c r="O181">
        <v>0</v>
      </c>
      <c r="P181" s="2007">
        <v>0</v>
      </c>
    </row>
    <row r="182" spans="1:17">
      <c r="A182">
        <v>99</v>
      </c>
      <c r="C182" t="s">
        <v>2380</v>
      </c>
      <c r="E182" s="2043">
        <v>4255051</v>
      </c>
      <c r="F182">
        <v>0</v>
      </c>
      <c r="G182">
        <v>0</v>
      </c>
      <c r="H182">
        <v>0</v>
      </c>
      <c r="I182" s="2007">
        <v>0</v>
      </c>
      <c r="J182" s="584">
        <v>2612965</v>
      </c>
      <c r="K182" s="584">
        <v>821497</v>
      </c>
      <c r="L182" s="584">
        <v>820589</v>
      </c>
      <c r="M182" s="2043">
        <v>4255051</v>
      </c>
      <c r="N182">
        <v>0</v>
      </c>
      <c r="O182">
        <v>0</v>
      </c>
      <c r="P182" s="2007">
        <v>0</v>
      </c>
    </row>
    <row r="183" spans="1:17">
      <c r="A183">
        <v>99</v>
      </c>
      <c r="C183" t="s">
        <v>2379</v>
      </c>
      <c r="E183" s="2043">
        <v>43834</v>
      </c>
      <c r="F183">
        <v>0</v>
      </c>
      <c r="G183">
        <v>0</v>
      </c>
      <c r="H183">
        <v>0</v>
      </c>
      <c r="I183" s="2007">
        <v>0</v>
      </c>
      <c r="J183">
        <v>0</v>
      </c>
      <c r="K183">
        <v>0</v>
      </c>
      <c r="L183">
        <v>0</v>
      </c>
      <c r="M183" s="2007">
        <v>0</v>
      </c>
      <c r="N183" s="584">
        <v>43834</v>
      </c>
      <c r="O183">
        <v>0</v>
      </c>
      <c r="P183" s="2043">
        <v>43834</v>
      </c>
    </row>
    <row r="184" spans="1:17">
      <c r="A184">
        <v>8</v>
      </c>
      <c r="C184" t="s">
        <v>2378</v>
      </c>
      <c r="E184" s="2007">
        <v>0</v>
      </c>
      <c r="F184">
        <v>0</v>
      </c>
      <c r="G184">
        <v>0</v>
      </c>
      <c r="H184">
        <v>0</v>
      </c>
      <c r="I184" s="2007">
        <v>0</v>
      </c>
      <c r="J184">
        <v>0</v>
      </c>
      <c r="K184">
        <v>0</v>
      </c>
      <c r="L184">
        <v>0</v>
      </c>
      <c r="M184" s="2007">
        <v>0</v>
      </c>
      <c r="N184">
        <v>0</v>
      </c>
      <c r="O184">
        <v>0</v>
      </c>
      <c r="P184" s="2007">
        <v>0</v>
      </c>
    </row>
    <row r="185" spans="1:17">
      <c r="A185" s="2046">
        <v>7</v>
      </c>
      <c r="B185" s="2046"/>
      <c r="C185" s="2046" t="s">
        <v>2377</v>
      </c>
      <c r="D185" s="2046"/>
      <c r="E185" s="2044">
        <v>528478</v>
      </c>
      <c r="F185" s="2046">
        <v>0</v>
      </c>
      <c r="G185" s="2046">
        <v>0</v>
      </c>
      <c r="H185" s="2047">
        <v>370527</v>
      </c>
      <c r="I185" s="2044">
        <v>370527</v>
      </c>
      <c r="J185" s="2046">
        <v>0</v>
      </c>
      <c r="K185" s="2046">
        <v>0</v>
      </c>
      <c r="L185" s="2047">
        <v>109437</v>
      </c>
      <c r="M185" s="2044">
        <v>109437</v>
      </c>
      <c r="N185" s="2046">
        <v>0</v>
      </c>
      <c r="O185" s="2047">
        <v>48514</v>
      </c>
      <c r="P185" s="2044">
        <v>48514</v>
      </c>
    </row>
    <row r="186" spans="1:17">
      <c r="A186" s="2046">
        <v>9</v>
      </c>
      <c r="B186" s="2046"/>
      <c r="C186" s="2046" t="s">
        <v>2383</v>
      </c>
      <c r="D186" s="2046"/>
      <c r="E186" s="2044">
        <v>1366842</v>
      </c>
      <c r="F186" s="2047">
        <v>250008</v>
      </c>
      <c r="G186" s="2047">
        <v>316561</v>
      </c>
      <c r="H186" s="2047">
        <v>487854</v>
      </c>
      <c r="I186" s="2044">
        <v>1054423</v>
      </c>
      <c r="J186" s="2047">
        <v>74076</v>
      </c>
      <c r="K186" s="2047">
        <v>93795</v>
      </c>
      <c r="L186" s="2047">
        <v>144548</v>
      </c>
      <c r="M186" s="2044">
        <v>312419</v>
      </c>
      <c r="N186" s="2046">
        <v>0</v>
      </c>
      <c r="O186" s="2046">
        <v>0</v>
      </c>
      <c r="P186" s="2045">
        <v>0</v>
      </c>
    </row>
    <row r="187" spans="1:17">
      <c r="C187" t="s">
        <v>2375</v>
      </c>
      <c r="E187" s="2043">
        <f t="shared" ref="E187:P187" si="14">SUM(E181:E186)</f>
        <v>31626735</v>
      </c>
      <c r="F187" s="2043">
        <f t="shared" si="14"/>
        <v>12827389</v>
      </c>
      <c r="G187" s="2043">
        <f t="shared" si="14"/>
        <v>7899925</v>
      </c>
      <c r="H187" s="2043">
        <f t="shared" si="14"/>
        <v>6130166</v>
      </c>
      <c r="I187" s="2043">
        <f t="shared" si="14"/>
        <v>26857480</v>
      </c>
      <c r="J187" s="2043">
        <f t="shared" si="14"/>
        <v>2687041</v>
      </c>
      <c r="K187" s="2043">
        <f t="shared" si="14"/>
        <v>915292</v>
      </c>
      <c r="L187" s="2043">
        <f t="shared" si="14"/>
        <v>1074574</v>
      </c>
      <c r="M187" s="2043">
        <f t="shared" si="14"/>
        <v>4676907</v>
      </c>
      <c r="N187" s="2043">
        <f t="shared" si="14"/>
        <v>43834</v>
      </c>
      <c r="O187" s="2043">
        <f t="shared" si="14"/>
        <v>48514</v>
      </c>
      <c r="P187" s="2043">
        <f t="shared" si="14"/>
        <v>92348</v>
      </c>
    </row>
    <row r="188" spans="1:17">
      <c r="E188" s="2044">
        <f>SUM(E185:E186)</f>
        <v>1895320</v>
      </c>
      <c r="I188" s="2044">
        <f>SUM(I185:I186)</f>
        <v>1424950</v>
      </c>
      <c r="M188" s="1989">
        <f>SUM(M185:M186)</f>
        <v>421856</v>
      </c>
      <c r="N188" s="1989"/>
      <c r="O188" s="1989"/>
      <c r="P188" s="1989">
        <f>SUM(P185:P186)</f>
        <v>48514</v>
      </c>
      <c r="Q188" s="1989">
        <f>SUM(M188:P188)</f>
        <v>470370</v>
      </c>
    </row>
    <row r="189" spans="1:17">
      <c r="E189" s="2007"/>
      <c r="I189" s="2007"/>
      <c r="M189" s="2007"/>
      <c r="P189" s="2007"/>
    </row>
    <row r="190" spans="1:17">
      <c r="B190" t="s">
        <v>2382</v>
      </c>
      <c r="C190" t="s">
        <v>133</v>
      </c>
      <c r="E190" s="2007"/>
      <c r="I190" s="2007"/>
      <c r="M190" s="2007"/>
      <c r="P190" s="2007"/>
    </row>
    <row r="191" spans="1:17">
      <c r="A191">
        <v>99</v>
      </c>
      <c r="C191" t="s">
        <v>2381</v>
      </c>
      <c r="E191" s="2043">
        <v>42276533</v>
      </c>
      <c r="F191" s="584">
        <v>12517709</v>
      </c>
      <c r="G191" s="584">
        <v>6552805</v>
      </c>
      <c r="H191" s="584">
        <v>23206019</v>
      </c>
      <c r="I191" s="2043">
        <v>42276533</v>
      </c>
      <c r="J191">
        <v>0</v>
      </c>
      <c r="K191">
        <v>0</v>
      </c>
      <c r="L191">
        <v>0</v>
      </c>
      <c r="M191" s="2007">
        <v>0</v>
      </c>
      <c r="N191">
        <v>0</v>
      </c>
      <c r="O191">
        <v>0</v>
      </c>
      <c r="P191" s="2007">
        <v>0</v>
      </c>
    </row>
    <row r="192" spans="1:17">
      <c r="A192">
        <v>99</v>
      </c>
      <c r="C192" t="s">
        <v>2380</v>
      </c>
      <c r="E192" s="2043">
        <v>889482</v>
      </c>
      <c r="F192">
        <v>0</v>
      </c>
      <c r="G192">
        <v>0</v>
      </c>
      <c r="H192">
        <v>0</v>
      </c>
      <c r="I192" s="2007">
        <v>0</v>
      </c>
      <c r="J192" s="584">
        <v>595634</v>
      </c>
      <c r="K192" s="584">
        <v>287726</v>
      </c>
      <c r="L192" s="584">
        <v>6122</v>
      </c>
      <c r="M192" s="2043">
        <v>889482</v>
      </c>
      <c r="N192">
        <v>0</v>
      </c>
      <c r="O192">
        <v>0</v>
      </c>
      <c r="P192" s="2007">
        <v>0</v>
      </c>
    </row>
    <row r="193" spans="1:17">
      <c r="A193">
        <v>99</v>
      </c>
      <c r="C193" t="s">
        <v>2379</v>
      </c>
      <c r="E193" s="2043">
        <v>742178</v>
      </c>
      <c r="F193">
        <v>0</v>
      </c>
      <c r="G193">
        <v>0</v>
      </c>
      <c r="H193">
        <v>0</v>
      </c>
      <c r="I193" s="2007">
        <v>0</v>
      </c>
      <c r="J193">
        <v>0</v>
      </c>
      <c r="K193">
        <v>0</v>
      </c>
      <c r="L193">
        <v>0</v>
      </c>
      <c r="M193" s="2007">
        <v>0</v>
      </c>
      <c r="N193" s="584">
        <v>742178</v>
      </c>
      <c r="O193">
        <v>0</v>
      </c>
      <c r="P193" s="2043">
        <v>742178</v>
      </c>
    </row>
    <row r="194" spans="1:17">
      <c r="A194">
        <v>8</v>
      </c>
      <c r="C194" t="s">
        <v>2378</v>
      </c>
      <c r="E194" s="2043">
        <v>243298</v>
      </c>
      <c r="F194">
        <v>0</v>
      </c>
      <c r="G194">
        <v>0</v>
      </c>
      <c r="H194">
        <v>0</v>
      </c>
      <c r="I194" s="2007">
        <v>0</v>
      </c>
      <c r="J194">
        <v>0</v>
      </c>
      <c r="K194">
        <v>0</v>
      </c>
      <c r="L194" s="584">
        <v>167961</v>
      </c>
      <c r="M194" s="2043">
        <v>167961</v>
      </c>
      <c r="N194">
        <v>0</v>
      </c>
      <c r="O194" s="584">
        <v>75337</v>
      </c>
      <c r="P194" s="2043">
        <v>75337</v>
      </c>
    </row>
    <row r="195" spans="1:17">
      <c r="A195" s="2046">
        <v>7</v>
      </c>
      <c r="B195" s="2046"/>
      <c r="C195" s="2046" t="s">
        <v>2377</v>
      </c>
      <c r="D195" s="2046"/>
      <c r="E195" s="2044">
        <v>114896021</v>
      </c>
      <c r="F195" s="2046">
        <v>0</v>
      </c>
      <c r="G195" s="2046">
        <v>0</v>
      </c>
      <c r="H195" s="2047">
        <v>80555898</v>
      </c>
      <c r="I195" s="2044">
        <v>80555898</v>
      </c>
      <c r="J195" s="2046">
        <v>0</v>
      </c>
      <c r="K195" s="2046">
        <v>0</v>
      </c>
      <c r="L195" s="2047">
        <v>23792668</v>
      </c>
      <c r="M195" s="2044">
        <v>23792668</v>
      </c>
      <c r="N195" s="2046">
        <v>0</v>
      </c>
      <c r="O195" s="2047">
        <v>10547455</v>
      </c>
      <c r="P195" s="2044">
        <v>10547455</v>
      </c>
    </row>
    <row r="196" spans="1:17">
      <c r="A196" s="2046">
        <v>9</v>
      </c>
      <c r="B196" s="2046"/>
      <c r="C196" s="2046" t="s">
        <v>2376</v>
      </c>
      <c r="D196" s="2046"/>
      <c r="E196" s="2044">
        <v>16973510</v>
      </c>
      <c r="F196" s="2047">
        <v>10359503</v>
      </c>
      <c r="G196" s="2047">
        <v>269958</v>
      </c>
      <c r="H196" s="2047">
        <v>2464414</v>
      </c>
      <c r="I196" s="2044">
        <v>13093875</v>
      </c>
      <c r="J196" s="2047">
        <v>3069457</v>
      </c>
      <c r="K196" s="2047">
        <v>79987</v>
      </c>
      <c r="L196" s="2047">
        <v>730191</v>
      </c>
      <c r="M196" s="2044">
        <v>3879635</v>
      </c>
      <c r="N196" s="2046">
        <v>0</v>
      </c>
      <c r="O196" s="2046">
        <v>0</v>
      </c>
      <c r="P196" s="2045">
        <v>0</v>
      </c>
    </row>
    <row r="197" spans="1:17">
      <c r="C197" t="s">
        <v>2375</v>
      </c>
      <c r="E197" s="2043">
        <f t="shared" ref="E197:P197" si="15">SUM(E191:E196)</f>
        <v>176021022</v>
      </c>
      <c r="F197" s="2043">
        <f t="shared" si="15"/>
        <v>22877212</v>
      </c>
      <c r="G197" s="2043">
        <f t="shared" si="15"/>
        <v>6822763</v>
      </c>
      <c r="H197" s="2043">
        <f t="shared" si="15"/>
        <v>106226331</v>
      </c>
      <c r="I197" s="2043">
        <f t="shared" si="15"/>
        <v>135926306</v>
      </c>
      <c r="J197" s="2043">
        <f t="shared" si="15"/>
        <v>3665091</v>
      </c>
      <c r="K197" s="2043">
        <f t="shared" si="15"/>
        <v>367713</v>
      </c>
      <c r="L197" s="2043">
        <f t="shared" si="15"/>
        <v>24696942</v>
      </c>
      <c r="M197" s="2043">
        <f t="shared" si="15"/>
        <v>28729746</v>
      </c>
      <c r="N197" s="2043">
        <f t="shared" si="15"/>
        <v>742178</v>
      </c>
      <c r="O197" s="2043">
        <f t="shared" si="15"/>
        <v>10622792</v>
      </c>
      <c r="P197" s="2043">
        <f t="shared" si="15"/>
        <v>11364970</v>
      </c>
    </row>
    <row r="198" spans="1:17">
      <c r="E198" s="2044">
        <f>SUM(E195:E196)</f>
        <v>131869531</v>
      </c>
      <c r="I198" s="2044">
        <f>SUM(I195:I196)</f>
        <v>93649773</v>
      </c>
      <c r="M198" s="1989">
        <f>SUM(M195:M196)</f>
        <v>27672303</v>
      </c>
      <c r="N198" s="1989"/>
      <c r="O198" s="1989"/>
      <c r="P198" s="1989">
        <f>SUM(P195:P196)</f>
        <v>10547455</v>
      </c>
      <c r="Q198" s="1989">
        <f>SUM(M198:P198)</f>
        <v>38219758</v>
      </c>
    </row>
    <row r="199" spans="1:17">
      <c r="E199" s="2007"/>
      <c r="I199" s="2007"/>
      <c r="M199" s="2007"/>
      <c r="P199" s="2007"/>
    </row>
    <row r="200" spans="1:17">
      <c r="B200">
        <v>398000</v>
      </c>
      <c r="C200" t="s">
        <v>134</v>
      </c>
      <c r="E200" s="2007"/>
      <c r="I200" s="2007"/>
      <c r="M200" s="2007"/>
      <c r="P200" s="2007"/>
    </row>
    <row r="201" spans="1:17">
      <c r="A201">
        <v>99</v>
      </c>
      <c r="C201" t="s">
        <v>2381</v>
      </c>
      <c r="E201" s="2043">
        <v>258679</v>
      </c>
      <c r="F201">
        <v>0</v>
      </c>
      <c r="G201" s="584">
        <v>6846</v>
      </c>
      <c r="H201" s="584">
        <v>251833</v>
      </c>
      <c r="I201" s="2043">
        <v>258679</v>
      </c>
      <c r="J201">
        <v>0</v>
      </c>
      <c r="K201">
        <v>0</v>
      </c>
      <c r="L201">
        <v>0</v>
      </c>
      <c r="M201" s="2007">
        <v>0</v>
      </c>
      <c r="N201">
        <v>0</v>
      </c>
      <c r="O201">
        <v>0</v>
      </c>
      <c r="P201" s="2007">
        <v>0</v>
      </c>
    </row>
    <row r="202" spans="1:17">
      <c r="A202">
        <v>99</v>
      </c>
      <c r="C202" t="s">
        <v>2380</v>
      </c>
      <c r="E202" s="2007">
        <v>0</v>
      </c>
      <c r="F202">
        <v>0</v>
      </c>
      <c r="G202">
        <v>0</v>
      </c>
      <c r="H202">
        <v>0</v>
      </c>
      <c r="I202" s="2007">
        <v>0</v>
      </c>
      <c r="J202">
        <v>0</v>
      </c>
      <c r="K202">
        <v>0</v>
      </c>
      <c r="L202">
        <v>0</v>
      </c>
      <c r="M202" s="2007">
        <v>0</v>
      </c>
      <c r="N202">
        <v>0</v>
      </c>
      <c r="O202">
        <v>0</v>
      </c>
      <c r="P202" s="2007">
        <v>0</v>
      </c>
    </row>
    <row r="203" spans="1:17">
      <c r="A203">
        <v>99</v>
      </c>
      <c r="C203" t="s">
        <v>2379</v>
      </c>
      <c r="E203" s="2043">
        <v>9092</v>
      </c>
      <c r="F203">
        <v>0</v>
      </c>
      <c r="G203">
        <v>0</v>
      </c>
      <c r="H203">
        <v>0</v>
      </c>
      <c r="I203" s="2007">
        <v>0</v>
      </c>
      <c r="J203">
        <v>0</v>
      </c>
      <c r="K203">
        <v>0</v>
      </c>
      <c r="L203">
        <v>0</v>
      </c>
      <c r="M203" s="2007">
        <v>0</v>
      </c>
      <c r="N203" s="584">
        <v>9092</v>
      </c>
      <c r="O203">
        <v>0</v>
      </c>
      <c r="P203" s="2043">
        <v>9092</v>
      </c>
    </row>
    <row r="204" spans="1:17">
      <c r="A204">
        <v>8</v>
      </c>
      <c r="C204" t="s">
        <v>2378</v>
      </c>
      <c r="E204" s="2007">
        <v>889</v>
      </c>
      <c r="F204">
        <v>0</v>
      </c>
      <c r="G204">
        <v>0</v>
      </c>
      <c r="H204">
        <v>0</v>
      </c>
      <c r="I204" s="2007">
        <v>0</v>
      </c>
      <c r="J204">
        <v>0</v>
      </c>
      <c r="K204">
        <v>0</v>
      </c>
      <c r="L204">
        <v>614</v>
      </c>
      <c r="M204" s="2007">
        <v>614</v>
      </c>
      <c r="N204">
        <v>0</v>
      </c>
      <c r="O204">
        <v>275</v>
      </c>
      <c r="P204" s="2007">
        <v>275</v>
      </c>
    </row>
    <row r="205" spans="1:17">
      <c r="A205" s="2046">
        <v>7</v>
      </c>
      <c r="B205" s="2046"/>
      <c r="C205" s="2046" t="s">
        <v>2377</v>
      </c>
      <c r="D205" s="2046"/>
      <c r="E205" s="2044">
        <v>833940</v>
      </c>
      <c r="F205" s="2046">
        <v>0</v>
      </c>
      <c r="G205" s="2046">
        <v>0</v>
      </c>
      <c r="H205" s="2047">
        <v>584692</v>
      </c>
      <c r="I205" s="2044">
        <v>584692</v>
      </c>
      <c r="J205" s="2046">
        <v>0</v>
      </c>
      <c r="K205" s="2046">
        <v>0</v>
      </c>
      <c r="L205" s="2047">
        <v>172692</v>
      </c>
      <c r="M205" s="2044">
        <v>172692</v>
      </c>
      <c r="N205" s="2046">
        <v>0</v>
      </c>
      <c r="O205" s="2047">
        <v>76556</v>
      </c>
      <c r="P205" s="2044">
        <v>76556</v>
      </c>
    </row>
    <row r="206" spans="1:17">
      <c r="A206" s="2046">
        <v>9</v>
      </c>
      <c r="B206" s="2046"/>
      <c r="C206" s="2046" t="s">
        <v>2376</v>
      </c>
      <c r="D206" s="2046"/>
      <c r="E206" s="2044">
        <v>13290</v>
      </c>
      <c r="F206" s="2046">
        <v>0</v>
      </c>
      <c r="G206" s="2047">
        <v>3524</v>
      </c>
      <c r="H206" s="2046">
        <v>6728</v>
      </c>
      <c r="I206" s="2044">
        <v>10252</v>
      </c>
      <c r="J206" s="2046">
        <v>0</v>
      </c>
      <c r="K206" s="2047">
        <v>1044</v>
      </c>
      <c r="L206" s="2046">
        <v>1994</v>
      </c>
      <c r="M206" s="2044">
        <v>3038</v>
      </c>
      <c r="N206" s="2046">
        <v>0</v>
      </c>
      <c r="O206" s="2046">
        <v>0</v>
      </c>
      <c r="P206" s="2045">
        <v>0</v>
      </c>
    </row>
    <row r="207" spans="1:17">
      <c r="C207" t="s">
        <v>2375</v>
      </c>
      <c r="E207" s="2043">
        <f t="shared" ref="E207:P207" si="16">SUM(E201:E206)</f>
        <v>1115890</v>
      </c>
      <c r="F207" s="2043">
        <f t="shared" si="16"/>
        <v>0</v>
      </c>
      <c r="G207" s="2043">
        <f t="shared" si="16"/>
        <v>10370</v>
      </c>
      <c r="H207" s="2043">
        <f t="shared" si="16"/>
        <v>843253</v>
      </c>
      <c r="I207" s="2043">
        <f t="shared" si="16"/>
        <v>853623</v>
      </c>
      <c r="J207" s="2043">
        <f t="shared" si="16"/>
        <v>0</v>
      </c>
      <c r="K207" s="2043">
        <f t="shared" si="16"/>
        <v>1044</v>
      </c>
      <c r="L207" s="2043">
        <f t="shared" si="16"/>
        <v>175300</v>
      </c>
      <c r="M207" s="2043">
        <f t="shared" si="16"/>
        <v>176344</v>
      </c>
      <c r="N207" s="2043">
        <f t="shared" si="16"/>
        <v>9092</v>
      </c>
      <c r="O207" s="2043">
        <f t="shared" si="16"/>
        <v>76831</v>
      </c>
      <c r="P207" s="2043">
        <f t="shared" si="16"/>
        <v>85923</v>
      </c>
    </row>
    <row r="208" spans="1:17">
      <c r="E208" s="2044">
        <f>SUM(E205:E206)</f>
        <v>847230</v>
      </c>
      <c r="I208" s="2044">
        <f>SUM(I205:I206)</f>
        <v>594944</v>
      </c>
      <c r="M208" s="1989">
        <f>SUM(M205:M206)</f>
        <v>175730</v>
      </c>
      <c r="N208" s="1989"/>
      <c r="O208" s="1989"/>
      <c r="P208" s="1989">
        <f>SUM(P205:P206)</f>
        <v>76556</v>
      </c>
      <c r="Q208" s="1989">
        <f>SUM(M208:P208)</f>
        <v>252286</v>
      </c>
    </row>
    <row r="209" spans="1:17">
      <c r="C209" t="s">
        <v>2374</v>
      </c>
      <c r="E209" s="2043">
        <f t="shared" ref="E209:P209" si="17">E108+E118+E128+E138+E148+E158+E167+E177+E187+E197+E207</f>
        <v>670415590</v>
      </c>
      <c r="F209" s="2043">
        <f t="shared" si="17"/>
        <v>87357340</v>
      </c>
      <c r="G209" s="2043">
        <f t="shared" si="17"/>
        <v>39845846</v>
      </c>
      <c r="H209" s="2043">
        <f t="shared" si="17"/>
        <v>347346031</v>
      </c>
      <c r="I209" s="2043">
        <f t="shared" si="17"/>
        <v>474549217</v>
      </c>
      <c r="J209" s="2043">
        <f t="shared" si="17"/>
        <v>51786290</v>
      </c>
      <c r="K209" s="2043">
        <f t="shared" si="17"/>
        <v>7767871</v>
      </c>
      <c r="L209" s="2043">
        <f t="shared" si="17"/>
        <v>89106899</v>
      </c>
      <c r="M209" s="2043">
        <f t="shared" si="17"/>
        <v>148661060</v>
      </c>
      <c r="N209" s="2043">
        <f t="shared" si="17"/>
        <v>12258540</v>
      </c>
      <c r="O209" s="2043">
        <f t="shared" si="17"/>
        <v>34946773</v>
      </c>
      <c r="P209" s="2043">
        <f t="shared" si="17"/>
        <v>47205313</v>
      </c>
    </row>
    <row r="210" spans="1:17">
      <c r="E210" s="584"/>
      <c r="F210" s="584"/>
      <c r="G210" s="584"/>
      <c r="H210" s="584"/>
      <c r="I210" s="584">
        <f>I208+I198+I188+I178+I168+I159+I149+I139+I129+I119+I109</f>
        <v>305332160</v>
      </c>
      <c r="J210" s="584"/>
      <c r="K210" s="584"/>
      <c r="L210" s="584"/>
      <c r="M210" s="1989"/>
      <c r="N210" s="1989"/>
      <c r="O210" s="1989"/>
      <c r="P210" s="1989"/>
      <c r="Q210" s="2042">
        <f>SUM(Q109:Q208)</f>
        <v>123137199</v>
      </c>
    </row>
    <row r="211" spans="1:17">
      <c r="B211" s="1750" t="s">
        <v>2373</v>
      </c>
      <c r="E211" s="584">
        <f>SUM(E205:E206,E195:E196,E185:E186,E175:E176,E165:E166,E156:E157,E146:E147,E136:E137,E126:E127,E116:E117,E106:E107)</f>
        <v>428469359</v>
      </c>
      <c r="F211" s="584"/>
      <c r="G211" s="584"/>
      <c r="H211" s="584"/>
      <c r="I211" s="584">
        <f>SUM(I205:I206,I195:I196,I185:I186,I175:I176,I165:I166,I156:I157,I146:I147,I136:I137,I126:I127,I116:I117,I106:I107)</f>
        <v>305332160</v>
      </c>
      <c r="J211" s="584"/>
      <c r="K211" s="584"/>
      <c r="L211" s="584"/>
      <c r="M211" s="584">
        <f>SUM(M205:M206,M195:M196,M185:M186,M175:M176,M165:M166,M156:M157,M146:M147,M136:M137,M126:M127,M116:M117,M106:M107)</f>
        <v>90232353</v>
      </c>
      <c r="N211" s="584"/>
      <c r="O211" s="584"/>
      <c r="P211" s="584">
        <f>SUM(P205:P206,P195:P196,P185:P186,P175:P176,P165:P166,P156:P157,P146:P147,P136:P137,P126:P127,P116:P117,P106:P107)</f>
        <v>32904846</v>
      </c>
    </row>
    <row r="213" spans="1:17">
      <c r="A213" t="s">
        <v>2372</v>
      </c>
    </row>
    <row r="214" spans="1:17">
      <c r="A214" t="s">
        <v>2368</v>
      </c>
      <c r="B214">
        <v>7</v>
      </c>
      <c r="C214" t="s">
        <v>2371</v>
      </c>
      <c r="F214" s="1134">
        <v>1</v>
      </c>
      <c r="H214" s="1134">
        <v>0.70111999999999997</v>
      </c>
      <c r="L214" s="1134">
        <v>0.20707999999999999</v>
      </c>
      <c r="O214" s="1134">
        <v>9.1800000000000007E-2</v>
      </c>
    </row>
    <row r="215" spans="1:17">
      <c r="A215" t="s">
        <v>2368</v>
      </c>
      <c r="B215">
        <v>8</v>
      </c>
      <c r="C215" t="s">
        <v>2370</v>
      </c>
      <c r="F215" s="1134">
        <v>1</v>
      </c>
      <c r="H215" s="1134">
        <v>0</v>
      </c>
      <c r="L215" s="1134">
        <v>0.69035000000000002</v>
      </c>
      <c r="O215" s="1134">
        <v>0.30964999999999998</v>
      </c>
    </row>
    <row r="216" spans="1:17">
      <c r="A216" t="s">
        <v>2368</v>
      </c>
      <c r="B216">
        <v>9</v>
      </c>
      <c r="C216" t="s">
        <v>2369</v>
      </c>
      <c r="F216" s="1134">
        <v>1</v>
      </c>
      <c r="H216" s="1134">
        <v>0.77144000000000001</v>
      </c>
      <c r="L216" s="1134">
        <v>0.22856000000000001</v>
      </c>
      <c r="O216" s="1134">
        <v>0</v>
      </c>
    </row>
    <row r="217" spans="1:17">
      <c r="A217" t="s">
        <v>2368</v>
      </c>
      <c r="B217">
        <v>99</v>
      </c>
      <c r="C217" t="s">
        <v>2367</v>
      </c>
      <c r="F217" s="1134">
        <v>0</v>
      </c>
      <c r="H217" s="1134">
        <v>0</v>
      </c>
      <c r="L217" s="1134">
        <v>0</v>
      </c>
      <c r="O217" s="1134">
        <v>0</v>
      </c>
    </row>
  </sheetData>
  <pageMargins left="0.7" right="0.7" top="0.75" bottom="0.75" header="0.3" footer="0.3"/>
  <pageSetup orientation="portrait" r:id="rId1"/>
  <customProperties>
    <customPr name="xxe4aP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E274F-5701-4098-AE99-B785C26FA19A}">
  <sheetPr codeName="Sheet31"/>
  <dimension ref="A2:P139"/>
  <sheetViews>
    <sheetView topLeftCell="A52" workbookViewId="0">
      <selection activeCell="E18" sqref="E18"/>
    </sheetView>
  </sheetViews>
  <sheetFormatPr defaultRowHeight="15.75"/>
  <cols>
    <col min="1" max="16" width="15.25" customWidth="1"/>
  </cols>
  <sheetData>
    <row r="2" spans="1:16">
      <c r="A2" t="s">
        <v>2409</v>
      </c>
      <c r="E2" t="s">
        <v>2408</v>
      </c>
      <c r="H2" t="s">
        <v>2407</v>
      </c>
    </row>
    <row r="3" spans="1:16">
      <c r="A3" t="s">
        <v>2492</v>
      </c>
      <c r="E3" t="s">
        <v>2491</v>
      </c>
    </row>
    <row r="4" spans="1:16">
      <c r="A4" t="s">
        <v>2404</v>
      </c>
    </row>
    <row r="5" spans="1:16">
      <c r="A5" t="s">
        <v>2402</v>
      </c>
    </row>
    <row r="7" spans="1:16">
      <c r="E7" s="2005" t="s">
        <v>2473</v>
      </c>
      <c r="F7" t="s">
        <v>2473</v>
      </c>
      <c r="G7" t="s">
        <v>2473</v>
      </c>
    </row>
    <row r="8" spans="1:16">
      <c r="D8" t="s">
        <v>2472</v>
      </c>
      <c r="E8" s="2005" t="s">
        <v>2394</v>
      </c>
      <c r="F8" t="s">
        <v>2394</v>
      </c>
      <c r="G8" t="s">
        <v>2394</v>
      </c>
      <c r="I8" t="s">
        <v>2471</v>
      </c>
      <c r="L8" t="s">
        <v>2470</v>
      </c>
      <c r="O8" t="s">
        <v>2469</v>
      </c>
    </row>
    <row r="9" spans="1:16">
      <c r="A9" t="s">
        <v>2398</v>
      </c>
      <c r="D9" t="s">
        <v>104</v>
      </c>
      <c r="E9" s="2005" t="s">
        <v>2468</v>
      </c>
      <c r="F9" t="s">
        <v>2467</v>
      </c>
      <c r="G9" t="s">
        <v>2466</v>
      </c>
      <c r="H9" t="s">
        <v>2189</v>
      </c>
      <c r="I9" t="s">
        <v>2394</v>
      </c>
      <c r="J9" t="s">
        <v>104</v>
      </c>
      <c r="K9" t="s">
        <v>2189</v>
      </c>
      <c r="L9" t="s">
        <v>2394</v>
      </c>
      <c r="M9" t="s">
        <v>104</v>
      </c>
      <c r="N9" t="s">
        <v>2189</v>
      </c>
      <c r="O9" t="s">
        <v>2394</v>
      </c>
      <c r="P9" t="s">
        <v>104</v>
      </c>
    </row>
    <row r="10" spans="1:16">
      <c r="A10" t="s">
        <v>2490</v>
      </c>
    </row>
    <row r="11" spans="1:16">
      <c r="A11">
        <v>1</v>
      </c>
      <c r="B11" t="s">
        <v>2489</v>
      </c>
      <c r="D11" s="2066">
        <v>-82023072</v>
      </c>
      <c r="E11" s="2066">
        <v>-82023072</v>
      </c>
      <c r="F11" s="2066"/>
      <c r="G11" s="2066"/>
      <c r="H11" s="2066"/>
      <c r="I11" s="2066">
        <v>-82023072</v>
      </c>
      <c r="J11" s="2066">
        <v>-82023072</v>
      </c>
      <c r="K11" s="2066"/>
      <c r="L11" s="2066">
        <v>-52888477</v>
      </c>
      <c r="M11" s="2066">
        <v>-52888477</v>
      </c>
      <c r="N11" s="2066"/>
      <c r="O11" s="2066">
        <v>-29134595</v>
      </c>
      <c r="P11" s="2066">
        <v>-29134595</v>
      </c>
    </row>
    <row r="12" spans="1:16">
      <c r="B12" t="s">
        <v>2488</v>
      </c>
      <c r="D12" s="2066">
        <v>-100069993</v>
      </c>
      <c r="E12" s="2066">
        <v>-100069993</v>
      </c>
      <c r="F12" s="2066"/>
      <c r="G12" s="2066"/>
      <c r="H12" s="2066">
        <v>-100069993</v>
      </c>
      <c r="I12" s="2066"/>
      <c r="J12" s="2066">
        <v>-100069993</v>
      </c>
      <c r="K12" s="2066"/>
      <c r="L12" s="2066"/>
      <c r="M12" s="2066"/>
      <c r="N12" s="2066">
        <v>-100069993</v>
      </c>
      <c r="O12" s="2066"/>
      <c r="P12" s="2066">
        <v>-100069993</v>
      </c>
    </row>
    <row r="13" spans="1:16">
      <c r="B13" t="s">
        <v>2487</v>
      </c>
      <c r="D13" s="2066">
        <v>-197154614</v>
      </c>
      <c r="E13" s="2066">
        <v>-197154614</v>
      </c>
      <c r="F13" s="2066"/>
      <c r="G13" s="2066"/>
      <c r="H13" s="2066">
        <v>-197154614</v>
      </c>
      <c r="I13" s="2066"/>
      <c r="J13" s="2066">
        <v>-197154614</v>
      </c>
      <c r="K13" s="2066">
        <v>-197154614</v>
      </c>
      <c r="L13" s="2066"/>
      <c r="M13" s="2066">
        <v>-197154614</v>
      </c>
      <c r="N13" s="2066"/>
      <c r="O13" s="2066"/>
      <c r="P13" s="2066"/>
    </row>
    <row r="14" spans="1:16">
      <c r="A14">
        <v>1</v>
      </c>
      <c r="B14" t="s">
        <v>2486</v>
      </c>
      <c r="D14" s="2066">
        <v>-203413600</v>
      </c>
      <c r="E14" s="2066">
        <v>-203413600</v>
      </c>
      <c r="F14" s="2066"/>
      <c r="G14" s="2066"/>
      <c r="H14" s="2066"/>
      <c r="I14" s="2066">
        <v>-203413600</v>
      </c>
      <c r="J14" s="2066">
        <v>-203413600</v>
      </c>
      <c r="K14" s="2066"/>
      <c r="L14" s="2066">
        <v>-131161089</v>
      </c>
      <c r="M14" s="2066">
        <v>-131161089</v>
      </c>
      <c r="N14" s="2066"/>
      <c r="O14" s="2066">
        <v>-72252511</v>
      </c>
      <c r="P14" s="2066">
        <v>-72252511</v>
      </c>
    </row>
    <row r="15" spans="1:16">
      <c r="A15">
        <v>1</v>
      </c>
      <c r="B15" t="s">
        <v>2485</v>
      </c>
      <c r="D15" s="2066">
        <v>-180021272</v>
      </c>
      <c r="E15" s="2066">
        <v>-180021272</v>
      </c>
      <c r="F15" s="2066"/>
      <c r="G15" s="2066"/>
      <c r="H15" s="2066"/>
      <c r="I15" s="2066">
        <v>-180021272</v>
      </c>
      <c r="J15" s="2066">
        <v>-180021272</v>
      </c>
      <c r="K15" s="2066"/>
      <c r="L15" s="2066">
        <v>-116077716</v>
      </c>
      <c r="M15" s="2066">
        <v>-116077716</v>
      </c>
      <c r="N15" s="2066"/>
      <c r="O15" s="2066">
        <v>-63943556</v>
      </c>
      <c r="P15" s="2066">
        <v>-63943556</v>
      </c>
    </row>
    <row r="16" spans="1:16">
      <c r="A16" t="s">
        <v>2484</v>
      </c>
      <c r="D16" s="2066">
        <f>SUM(D11:D15)</f>
        <v>-762682551</v>
      </c>
      <c r="E16" s="2066">
        <f>SUM(E11:E15)</f>
        <v>-762682551</v>
      </c>
      <c r="F16" s="2066"/>
      <c r="G16" s="2066"/>
      <c r="H16" s="2066">
        <f t="shared" ref="H16:P16" si="0">SUM(H11:H15)</f>
        <v>-297224607</v>
      </c>
      <c r="I16" s="2066">
        <f t="shared" si="0"/>
        <v>-465457944</v>
      </c>
      <c r="J16" s="2066">
        <f t="shared" si="0"/>
        <v>-762682551</v>
      </c>
      <c r="K16" s="2066">
        <f t="shared" si="0"/>
        <v>-197154614</v>
      </c>
      <c r="L16" s="2066">
        <f t="shared" si="0"/>
        <v>-300127282</v>
      </c>
      <c r="M16" s="2066">
        <f t="shared" si="0"/>
        <v>-497281896</v>
      </c>
      <c r="N16" s="2066">
        <f t="shared" si="0"/>
        <v>-100069993</v>
      </c>
      <c r="O16" s="2066">
        <f t="shared" si="0"/>
        <v>-165330662</v>
      </c>
      <c r="P16" s="2066">
        <f t="shared" si="0"/>
        <v>-265400655</v>
      </c>
    </row>
    <row r="17" spans="1:16">
      <c r="D17" s="2066"/>
      <c r="E17" s="2066"/>
      <c r="F17" s="2066"/>
      <c r="G17" s="2066"/>
      <c r="H17" s="2066"/>
      <c r="I17" s="2066"/>
      <c r="J17" s="2066"/>
      <c r="K17" s="2066"/>
      <c r="L17" s="2066"/>
      <c r="M17" s="2066"/>
      <c r="N17" s="2066"/>
      <c r="O17" s="2066"/>
      <c r="P17" s="2066"/>
    </row>
    <row r="18" spans="1:16">
      <c r="A18" t="s">
        <v>2483</v>
      </c>
      <c r="D18" s="2066"/>
      <c r="E18" s="2066"/>
      <c r="F18" s="2066"/>
      <c r="G18" s="2066"/>
      <c r="H18" s="2066"/>
      <c r="I18" s="2066"/>
      <c r="J18" s="2066"/>
      <c r="K18" s="2066"/>
      <c r="L18" s="2066"/>
      <c r="M18" s="2066"/>
      <c r="N18" s="2066"/>
      <c r="O18" s="2066"/>
      <c r="P18" s="2066"/>
    </row>
    <row r="19" spans="1:16">
      <c r="A19">
        <v>1</v>
      </c>
      <c r="B19" t="s">
        <v>2445</v>
      </c>
      <c r="D19" s="2066">
        <v>-258289052</v>
      </c>
      <c r="E19" s="2066">
        <v>-258289052</v>
      </c>
      <c r="F19" s="2066"/>
      <c r="G19" s="2066"/>
      <c r="H19" s="2066"/>
      <c r="I19" s="2066">
        <v>-258289052</v>
      </c>
      <c r="J19" s="2066">
        <v>-258289052</v>
      </c>
      <c r="K19" s="2066"/>
      <c r="L19" s="2066">
        <v>-166544781</v>
      </c>
      <c r="M19" s="2066">
        <v>-166544781</v>
      </c>
      <c r="N19" s="2066"/>
      <c r="O19" s="2066">
        <v>-91744271</v>
      </c>
      <c r="P19" s="2066">
        <v>-91744271</v>
      </c>
    </row>
    <row r="20" spans="1:16">
      <c r="B20" t="s">
        <v>2454</v>
      </c>
      <c r="D20" s="2066">
        <v>-10870481</v>
      </c>
      <c r="E20" s="2066">
        <v>-10870481</v>
      </c>
      <c r="F20" s="2066"/>
      <c r="G20" s="2066"/>
      <c r="H20" s="2066">
        <v>-10870481</v>
      </c>
      <c r="I20" s="2066"/>
      <c r="J20" s="2066">
        <v>-10870481</v>
      </c>
      <c r="K20" s="2066"/>
      <c r="L20" s="2066"/>
      <c r="M20" s="2066"/>
      <c r="N20" s="2066">
        <v>-10870481</v>
      </c>
      <c r="O20" s="2066"/>
      <c r="P20" s="2066">
        <v>-10870481</v>
      </c>
    </row>
    <row r="21" spans="1:16">
      <c r="B21" t="s">
        <v>2444</v>
      </c>
      <c r="D21" s="2066">
        <v>-17242792</v>
      </c>
      <c r="E21" s="2066">
        <v>-17242792</v>
      </c>
      <c r="F21" s="2066"/>
      <c r="G21" s="2066"/>
      <c r="H21" s="2066">
        <v>-17242792</v>
      </c>
      <c r="I21" s="2066"/>
      <c r="J21" s="2066">
        <v>-17242792</v>
      </c>
      <c r="K21" s="2066">
        <v>-17242792</v>
      </c>
      <c r="L21" s="2066"/>
      <c r="M21" s="2066">
        <v>-17242792</v>
      </c>
      <c r="N21" s="2066"/>
      <c r="O21" s="2066"/>
      <c r="P21" s="2066"/>
    </row>
    <row r="22" spans="1:16">
      <c r="A22" t="s">
        <v>2482</v>
      </c>
      <c r="D22" s="2066">
        <f>SUM(D19:D21)</f>
        <v>-286402325</v>
      </c>
      <c r="E22" s="2066">
        <f>SUM(E19:E21)</f>
        <v>-286402325</v>
      </c>
      <c r="F22" s="2066"/>
      <c r="G22" s="2066"/>
      <c r="H22" s="2066">
        <f t="shared" ref="H22:P22" si="1">SUM(H19:H21)</f>
        <v>-28113273</v>
      </c>
      <c r="I22" s="2066">
        <f t="shared" si="1"/>
        <v>-258289052</v>
      </c>
      <c r="J22" s="2066">
        <f t="shared" si="1"/>
        <v>-286402325</v>
      </c>
      <c r="K22" s="2066">
        <f t="shared" si="1"/>
        <v>-17242792</v>
      </c>
      <c r="L22" s="2066">
        <f t="shared" si="1"/>
        <v>-166544781</v>
      </c>
      <c r="M22" s="2066">
        <f t="shared" si="1"/>
        <v>-183787573</v>
      </c>
      <c r="N22" s="2066">
        <f t="shared" si="1"/>
        <v>-10870481</v>
      </c>
      <c r="O22" s="2066">
        <f t="shared" si="1"/>
        <v>-91744271</v>
      </c>
      <c r="P22" s="2066">
        <f t="shared" si="1"/>
        <v>-102614752</v>
      </c>
    </row>
    <row r="23" spans="1:16">
      <c r="D23" s="2066"/>
      <c r="E23" s="2066"/>
      <c r="F23" s="2066"/>
      <c r="G23" s="2066"/>
      <c r="H23" s="2066"/>
      <c r="I23" s="2066"/>
      <c r="J23" s="2066"/>
      <c r="K23" s="2066"/>
      <c r="L23" s="2066"/>
      <c r="M23" s="2066"/>
      <c r="N23" s="2066"/>
      <c r="O23" s="2066"/>
      <c r="P23" s="2066"/>
    </row>
    <row r="24" spans="1:16">
      <c r="A24" t="s">
        <v>2481</v>
      </c>
      <c r="D24" s="2066"/>
      <c r="E24" s="2066"/>
      <c r="F24" s="2066"/>
      <c r="G24" s="2066"/>
      <c r="H24" s="2066"/>
      <c r="I24" s="2066"/>
      <c r="J24" s="2066"/>
      <c r="K24" s="2066"/>
      <c r="L24" s="2066"/>
      <c r="M24" s="2066"/>
      <c r="N24" s="2066"/>
      <c r="O24" s="2066"/>
      <c r="P24" s="2066"/>
    </row>
    <row r="25" spans="1:16">
      <c r="A25">
        <v>3</v>
      </c>
      <c r="B25" t="s">
        <v>2445</v>
      </c>
      <c r="D25" s="2066">
        <v>-577679</v>
      </c>
      <c r="E25" s="2066">
        <v>-577679</v>
      </c>
      <c r="F25" s="2066"/>
      <c r="G25" s="2066"/>
      <c r="H25" s="2066"/>
      <c r="I25" s="2066">
        <v>-577679</v>
      </c>
      <c r="J25" s="2066">
        <v>-577679</v>
      </c>
      <c r="K25" s="2066"/>
      <c r="L25" s="2066">
        <v>-402145</v>
      </c>
      <c r="M25" s="2066">
        <v>-402145</v>
      </c>
      <c r="N25" s="2066"/>
      <c r="O25" s="2066">
        <v>-175534</v>
      </c>
      <c r="P25" s="2066">
        <v>-175534</v>
      </c>
    </row>
    <row r="26" spans="1:16">
      <c r="B26" t="s">
        <v>2454</v>
      </c>
      <c r="D26" s="2066">
        <v>-295908105</v>
      </c>
      <c r="E26" s="2066">
        <v>-295908105</v>
      </c>
      <c r="F26" s="2066"/>
      <c r="G26" s="2066"/>
      <c r="H26" s="2066">
        <v>-295908105</v>
      </c>
      <c r="I26" s="2066"/>
      <c r="J26" s="2066">
        <v>-295908105</v>
      </c>
      <c r="K26" s="2066"/>
      <c r="L26" s="2066"/>
      <c r="M26" s="2066"/>
      <c r="N26" s="2066">
        <v>-295908105</v>
      </c>
      <c r="O26" s="2066"/>
      <c r="P26" s="2066">
        <v>-295908105</v>
      </c>
    </row>
    <row r="27" spans="1:16">
      <c r="B27" t="s">
        <v>2444</v>
      </c>
      <c r="D27" s="2066">
        <v>-492331554</v>
      </c>
      <c r="E27" s="2066">
        <v>-492331554</v>
      </c>
      <c r="F27" s="2066"/>
      <c r="G27" s="2066"/>
      <c r="H27" s="2066">
        <v>-492331554</v>
      </c>
      <c r="I27" s="2066"/>
      <c r="J27" s="2066">
        <v>-492331554</v>
      </c>
      <c r="K27" s="2066">
        <v>-492331554</v>
      </c>
      <c r="L27" s="2066"/>
      <c r="M27" s="2066">
        <v>-492331554</v>
      </c>
      <c r="N27" s="2066"/>
      <c r="O27" s="2066"/>
      <c r="P27" s="2066"/>
    </row>
    <row r="28" spans="1:16">
      <c r="A28" t="s">
        <v>2480</v>
      </c>
      <c r="D28" s="2066">
        <f>SUM(D25:D27)</f>
        <v>-788817338</v>
      </c>
      <c r="E28" s="2066">
        <f>SUM(E25:E27)</f>
        <v>-788817338</v>
      </c>
      <c r="F28" s="2066"/>
      <c r="G28" s="2066"/>
      <c r="H28" s="2066">
        <f t="shared" ref="H28:P28" si="2">SUM(H25:H27)</f>
        <v>-788239659</v>
      </c>
      <c r="I28" s="2066">
        <f t="shared" si="2"/>
        <v>-577679</v>
      </c>
      <c r="J28" s="2066">
        <f t="shared" si="2"/>
        <v>-788817338</v>
      </c>
      <c r="K28" s="2066">
        <f t="shared" si="2"/>
        <v>-492331554</v>
      </c>
      <c r="L28" s="2066">
        <f t="shared" si="2"/>
        <v>-402145</v>
      </c>
      <c r="M28" s="2066">
        <f t="shared" si="2"/>
        <v>-492733699</v>
      </c>
      <c r="N28" s="2066">
        <f t="shared" si="2"/>
        <v>-295908105</v>
      </c>
      <c r="O28" s="2066">
        <f t="shared" si="2"/>
        <v>-175534</v>
      </c>
      <c r="P28" s="2066">
        <f t="shared" si="2"/>
        <v>-296083639</v>
      </c>
    </row>
    <row r="29" spans="1:16">
      <c r="D29" s="2066"/>
      <c r="E29" s="2066"/>
      <c r="F29" s="2066"/>
      <c r="G29" s="2066"/>
      <c r="H29" s="2066"/>
      <c r="I29" s="2066"/>
      <c r="J29" s="2066"/>
      <c r="K29" s="2066"/>
      <c r="L29" s="2066"/>
      <c r="M29" s="2066"/>
      <c r="N29" s="2066"/>
      <c r="O29" s="2066"/>
      <c r="P29" s="2066"/>
    </row>
    <row r="30" spans="1:16">
      <c r="A30" t="s">
        <v>2452</v>
      </c>
      <c r="D30" s="2066"/>
      <c r="E30" s="2066"/>
      <c r="F30" s="2066"/>
      <c r="G30" s="2066"/>
      <c r="H30" s="2066"/>
      <c r="I30" s="2066"/>
      <c r="J30" s="2066"/>
      <c r="K30" s="2066"/>
      <c r="L30" s="2066"/>
      <c r="M30" s="2066"/>
      <c r="N30" s="2066"/>
      <c r="O30" s="2066"/>
      <c r="P30" s="2066"/>
    </row>
    <row r="31" spans="1:16">
      <c r="B31" t="s">
        <v>2451</v>
      </c>
      <c r="D31" s="2066">
        <v>-19980348</v>
      </c>
      <c r="E31" s="2066"/>
      <c r="F31" s="2066">
        <v>-19980348</v>
      </c>
      <c r="G31" s="2066"/>
      <c r="H31" s="2066"/>
      <c r="I31" s="2066"/>
      <c r="J31" s="2066"/>
      <c r="K31" s="2066"/>
      <c r="L31" s="2066"/>
      <c r="M31" s="2066"/>
      <c r="N31" s="2066"/>
      <c r="O31" s="2066"/>
      <c r="P31" s="2066"/>
    </row>
    <row r="32" spans="1:16">
      <c r="B32" t="s">
        <v>2442</v>
      </c>
      <c r="D32" s="2066">
        <v>-1773512</v>
      </c>
      <c r="E32" s="2066"/>
      <c r="F32" s="2066"/>
      <c r="G32" s="2066">
        <v>-1773512</v>
      </c>
      <c r="H32" s="2066"/>
      <c r="I32" s="2066"/>
      <c r="J32" s="2066"/>
      <c r="K32" s="2066"/>
      <c r="L32" s="2066"/>
      <c r="M32" s="2066"/>
      <c r="N32" s="2066"/>
      <c r="O32" s="2066"/>
      <c r="P32" s="2066"/>
    </row>
    <row r="33" spans="1:16">
      <c r="A33" t="s">
        <v>2450</v>
      </c>
      <c r="D33" s="2066">
        <f>SUM(D31:D32)</f>
        <v>-21753860</v>
      </c>
      <c r="E33" s="2066"/>
      <c r="F33" s="2066">
        <f>SUM(F31:F32)</f>
        <v>-19980348</v>
      </c>
      <c r="G33" s="2066">
        <f>SUM(G31:G32)</f>
        <v>-1773512</v>
      </c>
      <c r="H33" s="2066"/>
      <c r="I33" s="2066"/>
      <c r="J33" s="2066"/>
      <c r="K33" s="2066"/>
      <c r="L33" s="2066"/>
      <c r="M33" s="2066"/>
      <c r="N33" s="2066"/>
      <c r="O33" s="2066"/>
      <c r="P33" s="2066"/>
    </row>
    <row r="34" spans="1:16">
      <c r="D34" s="2066"/>
      <c r="E34" s="2066"/>
      <c r="F34" s="2066"/>
      <c r="G34" s="2066"/>
      <c r="H34" s="2066"/>
      <c r="I34" s="2066"/>
      <c r="J34" s="2066"/>
      <c r="K34" s="2066"/>
      <c r="L34" s="2066"/>
      <c r="M34" s="2066"/>
      <c r="N34" s="2066"/>
      <c r="O34" s="2066"/>
      <c r="P34" s="2066"/>
    </row>
    <row r="35" spans="1:16">
      <c r="A35" t="s">
        <v>2479</v>
      </c>
    </row>
    <row r="36" spans="1:16">
      <c r="B36" t="s">
        <v>2451</v>
      </c>
      <c r="D36" s="2066">
        <v>-2080935</v>
      </c>
      <c r="E36" s="2066"/>
      <c r="F36" s="2066">
        <v>-2080935</v>
      </c>
      <c r="G36" s="2066"/>
      <c r="H36" s="2066"/>
      <c r="I36" s="2066"/>
      <c r="J36" s="2066"/>
      <c r="K36" s="2066"/>
      <c r="L36" s="2066"/>
      <c r="M36" s="2066"/>
      <c r="N36" s="2066"/>
      <c r="O36" s="2066"/>
      <c r="P36" s="2066"/>
    </row>
    <row r="37" spans="1:16">
      <c r="B37" t="s">
        <v>2459</v>
      </c>
      <c r="D37" s="2066">
        <v>-107960786</v>
      </c>
      <c r="E37" s="2066"/>
      <c r="F37" s="2066">
        <v>-107960786</v>
      </c>
      <c r="G37" s="2066"/>
      <c r="H37" s="2066"/>
      <c r="I37" s="2066"/>
      <c r="J37" s="2066"/>
      <c r="K37" s="2066"/>
      <c r="L37" s="2066"/>
      <c r="M37" s="2066"/>
      <c r="N37" s="2066"/>
      <c r="O37" s="2066"/>
      <c r="P37" s="2066"/>
    </row>
    <row r="38" spans="1:16">
      <c r="B38" t="s">
        <v>2443</v>
      </c>
      <c r="D38" s="2066">
        <v>-202174606</v>
      </c>
      <c r="E38" s="2066"/>
      <c r="F38" s="2066">
        <v>-202174606</v>
      </c>
      <c r="G38" s="2066"/>
      <c r="H38" s="2066"/>
      <c r="I38" s="2066"/>
      <c r="J38" s="2066"/>
      <c r="K38" s="2066"/>
      <c r="L38" s="2066"/>
      <c r="M38" s="2066"/>
      <c r="N38" s="2066"/>
      <c r="O38" s="2066"/>
      <c r="P38" s="2066"/>
    </row>
    <row r="39" spans="1:16">
      <c r="B39" t="s">
        <v>2442</v>
      </c>
      <c r="D39" s="2066">
        <v>-149690561</v>
      </c>
      <c r="E39" s="2066"/>
      <c r="F39" s="2066"/>
      <c r="G39" s="2066">
        <v>-149690561</v>
      </c>
      <c r="H39" s="2066"/>
      <c r="I39" s="2066"/>
      <c r="J39" s="2066"/>
      <c r="K39" s="2066"/>
      <c r="L39" s="2066"/>
      <c r="M39" s="2066"/>
      <c r="N39" s="2066"/>
      <c r="O39" s="2066"/>
      <c r="P39" s="2066"/>
    </row>
    <row r="40" spans="1:16">
      <c r="A40" t="s">
        <v>2478</v>
      </c>
      <c r="D40" s="2066">
        <f>SUM(D36:D39)</f>
        <v>-461906888</v>
      </c>
      <c r="E40" s="2066"/>
      <c r="F40" s="2066">
        <f>SUM(F36:F39)</f>
        <v>-312216327</v>
      </c>
      <c r="G40" s="2066">
        <f>SUM(G36:G39)</f>
        <v>-149690561</v>
      </c>
      <c r="H40" s="2066"/>
      <c r="I40" s="2066"/>
      <c r="J40" s="2066"/>
      <c r="K40" s="2066"/>
      <c r="L40" s="2066"/>
      <c r="M40" s="2066"/>
      <c r="N40" s="2066"/>
      <c r="O40" s="2066"/>
      <c r="P40" s="2066"/>
    </row>
    <row r="41" spans="1:16">
      <c r="D41" s="2066"/>
      <c r="E41" s="2066"/>
      <c r="F41" s="2066"/>
      <c r="G41" s="2066"/>
      <c r="H41" s="2066"/>
      <c r="I41" s="2066"/>
      <c r="J41" s="2066"/>
      <c r="K41" s="2066"/>
      <c r="L41" s="2066"/>
      <c r="M41" s="2066"/>
      <c r="N41" s="2066"/>
      <c r="O41" s="2066"/>
      <c r="P41" s="2066"/>
    </row>
    <row r="42" spans="1:16">
      <c r="A42" t="s">
        <v>92</v>
      </c>
      <c r="D42" s="2066"/>
      <c r="E42" s="2066"/>
      <c r="F42" s="2066"/>
      <c r="G42" s="2066"/>
      <c r="H42" s="2066"/>
      <c r="I42" s="2066"/>
      <c r="J42" s="2066"/>
      <c r="K42" s="2066"/>
      <c r="L42" s="2066"/>
      <c r="M42" s="2066"/>
      <c r="N42" s="2066"/>
      <c r="O42" s="2066"/>
      <c r="P42" s="2066"/>
    </row>
    <row r="43" spans="1:16">
      <c r="A43">
        <v>4</v>
      </c>
      <c r="B43" t="s">
        <v>2445</v>
      </c>
      <c r="D43" s="2066">
        <v>-36984577</v>
      </c>
      <c r="E43" s="2066">
        <v>-36984577</v>
      </c>
      <c r="F43" s="2066"/>
      <c r="G43" s="2066"/>
      <c r="H43" s="2066"/>
      <c r="I43" s="2066">
        <v>-36984577</v>
      </c>
      <c r="J43" s="2066">
        <v>-36984577</v>
      </c>
      <c r="K43" s="2066"/>
      <c r="L43" s="2066">
        <v>-25409514</v>
      </c>
      <c r="M43" s="2066">
        <v>-25409514</v>
      </c>
      <c r="N43" s="2066"/>
      <c r="O43" s="2066">
        <v>-11575063</v>
      </c>
      <c r="P43" s="2066">
        <v>-11575063</v>
      </c>
    </row>
    <row r="44" spans="1:16">
      <c r="B44" t="s">
        <v>2454</v>
      </c>
      <c r="D44" s="2066">
        <v>-13778734</v>
      </c>
      <c r="E44" s="2066">
        <v>-13778734</v>
      </c>
      <c r="F44" s="2066"/>
      <c r="G44" s="2066"/>
      <c r="H44" s="2066">
        <v>-13778734</v>
      </c>
      <c r="I44" s="2066"/>
      <c r="J44" s="2066">
        <v>-13778734</v>
      </c>
      <c r="K44" s="2066"/>
      <c r="L44" s="2066"/>
      <c r="M44" s="2066"/>
      <c r="N44" s="2066">
        <v>-13778734</v>
      </c>
      <c r="O44" s="2066"/>
      <c r="P44" s="2066">
        <v>-13778734</v>
      </c>
    </row>
    <row r="45" spans="1:16">
      <c r="B45" t="s">
        <v>2444</v>
      </c>
      <c r="D45" s="2066">
        <v>-27325224</v>
      </c>
      <c r="E45" s="2066">
        <v>-27325224</v>
      </c>
      <c r="F45" s="2066"/>
      <c r="G45" s="2066"/>
      <c r="H45" s="2066">
        <v>-27325224</v>
      </c>
      <c r="I45" s="2066"/>
      <c r="J45" s="2066">
        <v>-27325224</v>
      </c>
      <c r="K45" s="2066">
        <v>-27325224</v>
      </c>
      <c r="L45" s="2066"/>
      <c r="M45" s="2066">
        <v>-27325224</v>
      </c>
      <c r="N45" s="2066"/>
      <c r="O45" s="2066"/>
      <c r="P45" s="2066"/>
    </row>
    <row r="46" spans="1:16">
      <c r="A46" t="s">
        <v>2448</v>
      </c>
      <c r="B46" t="s">
        <v>2411</v>
      </c>
      <c r="D46" s="2066">
        <v>-110355496</v>
      </c>
      <c r="E46" s="2124">
        <v>-77372445</v>
      </c>
      <c r="F46" s="2124">
        <v>-22852416</v>
      </c>
      <c r="G46" s="2124">
        <v>-10130635</v>
      </c>
      <c r="H46" s="2066"/>
      <c r="I46" s="2066">
        <v>-77372445</v>
      </c>
      <c r="J46" s="2066">
        <v>-77372445</v>
      </c>
      <c r="K46" s="2066"/>
      <c r="L46" s="2066">
        <v>-53157191</v>
      </c>
      <c r="M46" s="2066">
        <v>-53157191</v>
      </c>
      <c r="N46" s="2066"/>
      <c r="O46" s="2066">
        <v>-24215254</v>
      </c>
      <c r="P46" s="2066">
        <v>-24215254</v>
      </c>
    </row>
    <row r="47" spans="1:16">
      <c r="A47" t="s">
        <v>2456</v>
      </c>
      <c r="B47" t="s">
        <v>2455</v>
      </c>
      <c r="D47" s="2066">
        <v>-9087635</v>
      </c>
      <c r="E47" s="2124">
        <v>-7010474</v>
      </c>
      <c r="F47" s="2124">
        <v>-2077161</v>
      </c>
      <c r="G47" s="2124"/>
      <c r="H47" s="2066"/>
      <c r="I47" s="2066">
        <v>-7010474</v>
      </c>
      <c r="J47" s="2066">
        <v>-7010474</v>
      </c>
      <c r="K47" s="2066"/>
      <c r="L47" s="2066">
        <v>-4816406</v>
      </c>
      <c r="M47" s="2066">
        <v>-4816406</v>
      </c>
      <c r="N47" s="2066"/>
      <c r="O47" s="2066">
        <v>-2194068</v>
      </c>
      <c r="P47" s="2066">
        <v>-2194068</v>
      </c>
    </row>
    <row r="48" spans="1:16">
      <c r="A48">
        <v>9</v>
      </c>
      <c r="B48" t="s">
        <v>2447</v>
      </c>
      <c r="D48" s="2066">
        <v>-4288018</v>
      </c>
      <c r="E48" s="2124">
        <v>-3307906</v>
      </c>
      <c r="F48" s="2124">
        <v>-980112</v>
      </c>
      <c r="G48" s="2124"/>
      <c r="H48" s="2066">
        <v>-3307906</v>
      </c>
      <c r="I48" s="2066"/>
      <c r="J48" s="2066">
        <v>-3307906</v>
      </c>
      <c r="K48" s="2066"/>
      <c r="L48" s="2066"/>
      <c r="M48" s="2066"/>
      <c r="N48" s="2066">
        <v>-3307906</v>
      </c>
      <c r="O48" s="2066"/>
      <c r="P48" s="2066">
        <v>-3307906</v>
      </c>
    </row>
    <row r="49" spans="1:16">
      <c r="A49">
        <v>9</v>
      </c>
      <c r="B49" t="s">
        <v>2446</v>
      </c>
      <c r="D49" s="2066">
        <v>-9272971</v>
      </c>
      <c r="E49" s="2124">
        <v>-7153448</v>
      </c>
      <c r="F49" s="2124">
        <v>-2119523</v>
      </c>
      <c r="G49" s="2124"/>
      <c r="H49" s="2066">
        <v>-7153448</v>
      </c>
      <c r="I49" s="2066"/>
      <c r="J49" s="2066">
        <v>-7153448</v>
      </c>
      <c r="K49" s="2066">
        <v>-7153448</v>
      </c>
      <c r="L49" s="2066"/>
      <c r="M49" s="2066">
        <v>-7153448</v>
      </c>
      <c r="N49" s="2066"/>
      <c r="O49" s="2066"/>
      <c r="P49" s="2066"/>
    </row>
    <row r="50" spans="1:16">
      <c r="A50">
        <v>8</v>
      </c>
      <c r="B50" t="s">
        <v>2412</v>
      </c>
      <c r="D50" s="2066">
        <v>-2831367</v>
      </c>
      <c r="E50" s="2066"/>
      <c r="F50" s="2066">
        <v>-1954634</v>
      </c>
      <c r="G50" s="2066">
        <v>-876733</v>
      </c>
      <c r="H50" s="2066"/>
      <c r="I50" s="2066"/>
      <c r="J50" s="2066"/>
      <c r="K50" s="2066"/>
      <c r="L50" s="2066"/>
      <c r="M50" s="2066"/>
      <c r="N50" s="2066"/>
      <c r="O50" s="2066"/>
      <c r="P50" s="2066"/>
    </row>
    <row r="51" spans="1:16">
      <c r="B51" t="s">
        <v>2451</v>
      </c>
      <c r="D51" s="2066">
        <v>-3908982</v>
      </c>
      <c r="E51" s="2066"/>
      <c r="F51" s="2066">
        <v>-3908982</v>
      </c>
      <c r="G51" s="2066"/>
      <c r="H51" s="2066"/>
      <c r="I51" s="2066"/>
      <c r="J51" s="2066"/>
      <c r="K51" s="2066"/>
      <c r="L51" s="2066"/>
      <c r="M51" s="2066"/>
      <c r="N51" s="2066"/>
      <c r="O51" s="2066"/>
      <c r="P51" s="2066"/>
    </row>
    <row r="52" spans="1:16">
      <c r="B52" t="s">
        <v>2459</v>
      </c>
      <c r="D52" s="2066">
        <v>-2530602</v>
      </c>
      <c r="E52" s="2066"/>
      <c r="F52" s="2066">
        <v>-2530602</v>
      </c>
      <c r="G52" s="2066"/>
      <c r="H52" s="2066"/>
      <c r="I52" s="2066"/>
      <c r="J52" s="2066"/>
      <c r="K52" s="2066"/>
      <c r="L52" s="2066"/>
      <c r="M52" s="2066"/>
      <c r="N52" s="2066"/>
      <c r="O52" s="2066"/>
      <c r="P52" s="2066"/>
    </row>
    <row r="53" spans="1:16">
      <c r="B53" t="s">
        <v>2443</v>
      </c>
      <c r="D53" s="2066">
        <v>-13712114</v>
      </c>
      <c r="E53" s="2066"/>
      <c r="F53" s="2066">
        <v>-13712114</v>
      </c>
      <c r="G53" s="2066"/>
      <c r="H53" s="2066"/>
      <c r="I53" s="2066"/>
      <c r="J53" s="2066"/>
      <c r="K53" s="2066"/>
      <c r="L53" s="2066"/>
      <c r="M53" s="2066"/>
      <c r="N53" s="2066"/>
      <c r="O53" s="2066"/>
      <c r="P53" s="2066"/>
    </row>
    <row r="54" spans="1:16">
      <c r="B54" t="s">
        <v>2442</v>
      </c>
      <c r="D54" s="2066">
        <v>-5940275</v>
      </c>
      <c r="E54" s="2066"/>
      <c r="F54" s="2066"/>
      <c r="G54" s="2066">
        <v>-5940275</v>
      </c>
      <c r="H54" s="2066"/>
      <c r="I54" s="2066"/>
      <c r="J54" s="2066"/>
      <c r="K54" s="2066"/>
      <c r="L54" s="2066"/>
      <c r="M54" s="2066"/>
      <c r="N54" s="2066"/>
      <c r="O54" s="2066"/>
      <c r="P54" s="2066"/>
    </row>
    <row r="55" spans="1:16">
      <c r="A55" t="s">
        <v>135</v>
      </c>
      <c r="D55" s="2066">
        <f t="shared" ref="D55:P55" si="3">SUM(D43:D54)</f>
        <v>-240015995</v>
      </c>
      <c r="E55" s="2066">
        <f t="shared" si="3"/>
        <v>-172932808</v>
      </c>
      <c r="F55" s="2066">
        <f t="shared" si="3"/>
        <v>-50135544</v>
      </c>
      <c r="G55" s="2066">
        <f t="shared" si="3"/>
        <v>-16947643</v>
      </c>
      <c r="H55" s="2066">
        <f t="shared" si="3"/>
        <v>-51565312</v>
      </c>
      <c r="I55" s="2066">
        <f t="shared" si="3"/>
        <v>-121367496</v>
      </c>
      <c r="J55" s="2066">
        <f t="shared" si="3"/>
        <v>-172932808</v>
      </c>
      <c r="K55" s="2066">
        <f t="shared" si="3"/>
        <v>-34478672</v>
      </c>
      <c r="L55" s="2066">
        <f t="shared" si="3"/>
        <v>-83383111</v>
      </c>
      <c r="M55" s="2066">
        <f t="shared" si="3"/>
        <v>-117861783</v>
      </c>
      <c r="N55" s="2066">
        <f t="shared" si="3"/>
        <v>-17086640</v>
      </c>
      <c r="O55" s="2066">
        <f t="shared" si="3"/>
        <v>-37984385</v>
      </c>
      <c r="P55" s="2066">
        <f t="shared" si="3"/>
        <v>-55071025</v>
      </c>
    </row>
    <row r="56" spans="1:16">
      <c r="D56" s="2066"/>
      <c r="E56" s="2066"/>
      <c r="F56" s="2066"/>
      <c r="G56" s="2066"/>
      <c r="H56" s="2066"/>
      <c r="I56" s="2066"/>
      <c r="J56" s="2066"/>
      <c r="K56" s="2066"/>
      <c r="L56" s="2066"/>
      <c r="M56" s="2066"/>
      <c r="N56" s="2066"/>
      <c r="O56" s="2066"/>
      <c r="P56" s="2066"/>
    </row>
    <row r="57" spans="1:16">
      <c r="A57" t="s">
        <v>2477</v>
      </c>
      <c r="D57" s="2066">
        <f t="shared" ref="D57:P57" si="4">SUM(D55,D40,D33,D28,D22,D16)</f>
        <v>-2561578957</v>
      </c>
      <c r="E57" s="2066">
        <f t="shared" si="4"/>
        <v>-2010835022</v>
      </c>
      <c r="F57" s="2066">
        <f t="shared" si="4"/>
        <v>-382332219</v>
      </c>
      <c r="G57" s="2066">
        <f t="shared" si="4"/>
        <v>-168411716</v>
      </c>
      <c r="H57" s="2066">
        <f t="shared" si="4"/>
        <v>-1165142851</v>
      </c>
      <c r="I57" s="2066">
        <f t="shared" si="4"/>
        <v>-845692171</v>
      </c>
      <c r="J57" s="2066">
        <f t="shared" si="4"/>
        <v>-2010835022</v>
      </c>
      <c r="K57" s="2066">
        <f t="shared" si="4"/>
        <v>-741207632</v>
      </c>
      <c r="L57" s="2066">
        <f t="shared" si="4"/>
        <v>-550457319</v>
      </c>
      <c r="M57" s="2066">
        <f t="shared" si="4"/>
        <v>-1291664951</v>
      </c>
      <c r="N57" s="2066">
        <f t="shared" si="4"/>
        <v>-423935219</v>
      </c>
      <c r="O57" s="2066">
        <f t="shared" si="4"/>
        <v>-295234852</v>
      </c>
      <c r="P57" s="2066">
        <f t="shared" si="4"/>
        <v>-719170071</v>
      </c>
    </row>
    <row r="58" spans="1:16">
      <c r="D58" s="2066"/>
      <c r="E58" s="2066"/>
      <c r="F58" s="2066"/>
      <c r="G58" s="2066"/>
      <c r="H58" s="2066"/>
      <c r="I58" s="2066"/>
      <c r="J58" s="2066"/>
      <c r="K58" s="2066"/>
      <c r="L58" s="2066"/>
      <c r="M58" s="2066"/>
      <c r="N58" s="2066"/>
      <c r="O58" s="2066"/>
      <c r="P58" s="2066"/>
    </row>
    <row r="59" spans="1:16">
      <c r="D59" s="2066">
        <f>SUM(D46:D49)</f>
        <v>-133004120</v>
      </c>
      <c r="E59" s="2066">
        <f>SUM(E46:E49)</f>
        <v>-94844273</v>
      </c>
      <c r="F59" s="2066">
        <f>SUM(F46:F49)</f>
        <v>-28029212</v>
      </c>
      <c r="G59" s="2066">
        <f>SUM(G46:G49)</f>
        <v>-10130635</v>
      </c>
      <c r="H59" s="2066"/>
      <c r="I59" s="2066"/>
      <c r="J59" s="2066"/>
      <c r="K59" s="2066"/>
      <c r="L59" s="2066"/>
      <c r="M59" s="2066"/>
      <c r="N59" s="2066"/>
      <c r="O59" s="2066"/>
      <c r="P59" s="2066"/>
    </row>
    <row r="60" spans="1:16">
      <c r="D60" s="584"/>
      <c r="E60" s="584"/>
      <c r="F60" s="584"/>
      <c r="G60" s="584"/>
      <c r="H60" s="584"/>
      <c r="I60" s="584"/>
      <c r="J60" s="584"/>
      <c r="K60" s="584"/>
      <c r="L60" s="584"/>
      <c r="M60" s="584"/>
      <c r="N60" s="584"/>
      <c r="O60" s="584"/>
      <c r="P60" s="584"/>
    </row>
    <row r="61" spans="1:16">
      <c r="D61" s="584"/>
      <c r="E61" s="584"/>
      <c r="F61" s="584"/>
      <c r="G61" s="584"/>
      <c r="H61" s="584"/>
      <c r="I61" s="584"/>
      <c r="J61" s="584"/>
      <c r="K61" s="584"/>
      <c r="L61" s="584"/>
      <c r="M61" s="584"/>
      <c r="N61" s="584"/>
      <c r="O61" s="584"/>
      <c r="P61" s="584"/>
    </row>
    <row r="62" spans="1:16">
      <c r="D62" s="584"/>
      <c r="E62" s="584"/>
      <c r="F62" s="584"/>
      <c r="G62" s="584"/>
      <c r="H62" s="584"/>
      <c r="I62" s="584"/>
      <c r="J62" s="584"/>
      <c r="K62" s="584"/>
      <c r="L62" s="584"/>
      <c r="M62" s="584"/>
      <c r="N62" s="584"/>
      <c r="O62" s="584"/>
      <c r="P62" s="584"/>
    </row>
    <row r="64" spans="1:16">
      <c r="A64" t="s">
        <v>2437</v>
      </c>
    </row>
    <row r="65" spans="1:16">
      <c r="A65" t="s">
        <v>2436</v>
      </c>
      <c r="E65" t="s">
        <v>515</v>
      </c>
      <c r="F65" t="s">
        <v>2435</v>
      </c>
      <c r="G65" t="s">
        <v>2434</v>
      </c>
      <c r="I65" t="s">
        <v>2433</v>
      </c>
      <c r="L65" t="s">
        <v>2432</v>
      </c>
      <c r="O65" t="s">
        <v>2431</v>
      </c>
    </row>
    <row r="66" spans="1:16">
      <c r="A66">
        <v>7</v>
      </c>
      <c r="B66" t="s">
        <v>2371</v>
      </c>
      <c r="E66" s="1134">
        <v>0.70111999999999997</v>
      </c>
      <c r="F66" s="1134">
        <v>0.20707999999999999</v>
      </c>
      <c r="G66" s="1134">
        <v>9.1800000000000007E-2</v>
      </c>
      <c r="I66">
        <v>1</v>
      </c>
      <c r="J66" t="s">
        <v>2430</v>
      </c>
      <c r="L66" s="1134">
        <v>0.64480000000000004</v>
      </c>
      <c r="O66" s="1134">
        <v>0.35520000000000002</v>
      </c>
    </row>
    <row r="67" spans="1:16">
      <c r="A67">
        <v>8</v>
      </c>
      <c r="B67" t="s">
        <v>2370</v>
      </c>
      <c r="E67" s="1134">
        <v>0</v>
      </c>
      <c r="F67" s="1134">
        <v>0.69035000000000002</v>
      </c>
      <c r="G67" s="1134">
        <v>0.30964999999999998</v>
      </c>
      <c r="I67">
        <v>3</v>
      </c>
      <c r="J67" t="s">
        <v>2476</v>
      </c>
      <c r="L67" s="1134">
        <v>0.69613999999999998</v>
      </c>
      <c r="O67" s="1134">
        <v>0.30386000000000002</v>
      </c>
    </row>
    <row r="68" spans="1:16">
      <c r="A68">
        <v>9</v>
      </c>
      <c r="B68" t="s">
        <v>2369</v>
      </c>
      <c r="E68" s="1134">
        <v>0.77144000000000001</v>
      </c>
      <c r="F68" s="1134">
        <v>0.22856000000000001</v>
      </c>
      <c r="G68" s="1134">
        <v>0</v>
      </c>
      <c r="I68">
        <v>4</v>
      </c>
      <c r="J68" t="s">
        <v>2429</v>
      </c>
      <c r="L68" s="1134">
        <v>0.68703000000000003</v>
      </c>
      <c r="O68" s="1134">
        <v>0.31297000000000003</v>
      </c>
    </row>
    <row r="73" spans="1:16">
      <c r="A73" t="s">
        <v>2409</v>
      </c>
      <c r="E73" t="s">
        <v>2408</v>
      </c>
      <c r="G73" t="s">
        <v>2407</v>
      </c>
    </row>
    <row r="74" spans="1:16">
      <c r="A74" t="s">
        <v>2475</v>
      </c>
      <c r="E74" t="s">
        <v>2474</v>
      </c>
    </row>
    <row r="75" spans="1:16">
      <c r="A75" t="s">
        <v>2404</v>
      </c>
    </row>
    <row r="76" spans="1:16">
      <c r="A76" t="s">
        <v>2402</v>
      </c>
    </row>
    <row r="78" spans="1:16">
      <c r="E78" s="2005" t="s">
        <v>2473</v>
      </c>
      <c r="F78" t="s">
        <v>2473</v>
      </c>
      <c r="G78" t="s">
        <v>2473</v>
      </c>
    </row>
    <row r="79" spans="1:16">
      <c r="D79" t="s">
        <v>2472</v>
      </c>
      <c r="E79" s="2005" t="s">
        <v>2394</v>
      </c>
      <c r="F79" t="s">
        <v>2394</v>
      </c>
      <c r="G79" t="s">
        <v>2394</v>
      </c>
      <c r="I79" t="s">
        <v>2471</v>
      </c>
      <c r="L79" t="s">
        <v>2470</v>
      </c>
      <c r="O79" t="s">
        <v>2469</v>
      </c>
    </row>
    <row r="80" spans="1:16">
      <c r="A80" t="s">
        <v>2398</v>
      </c>
      <c r="D80" t="s">
        <v>104</v>
      </c>
      <c r="E80" s="2005" t="s">
        <v>2468</v>
      </c>
      <c r="F80" t="s">
        <v>2467</v>
      </c>
      <c r="G80" t="s">
        <v>2466</v>
      </c>
      <c r="H80" t="s">
        <v>2189</v>
      </c>
      <c r="I80" t="s">
        <v>2394</v>
      </c>
      <c r="J80" t="s">
        <v>104</v>
      </c>
      <c r="K80" t="s">
        <v>2189</v>
      </c>
      <c r="L80" t="s">
        <v>2394</v>
      </c>
      <c r="M80" t="s">
        <v>104</v>
      </c>
      <c r="N80" t="s">
        <v>2189</v>
      </c>
      <c r="O80" t="s">
        <v>2394</v>
      </c>
      <c r="P80" t="s">
        <v>104</v>
      </c>
    </row>
    <row r="81" spans="1:16">
      <c r="A81" t="s">
        <v>2465</v>
      </c>
    </row>
    <row r="82" spans="1:16">
      <c r="A82">
        <v>1</v>
      </c>
      <c r="B82" t="s">
        <v>2463</v>
      </c>
      <c r="C82" t="s">
        <v>2445</v>
      </c>
      <c r="D82" s="2066">
        <v>-16570154</v>
      </c>
      <c r="E82" s="2066">
        <v>-16570154</v>
      </c>
      <c r="F82" s="2066"/>
      <c r="G82" s="2066"/>
      <c r="H82" s="2066"/>
      <c r="I82" s="2066">
        <v>-16570154</v>
      </c>
      <c r="J82" s="2066">
        <v>-16570154</v>
      </c>
      <c r="K82" s="2066"/>
      <c r="L82" s="2066">
        <v>-10684435</v>
      </c>
      <c r="M82" s="2066">
        <v>-10684435</v>
      </c>
      <c r="N82" s="2066"/>
      <c r="O82" s="2066">
        <v>-5885719</v>
      </c>
      <c r="P82" s="2066">
        <v>-5885719</v>
      </c>
    </row>
    <row r="83" spans="1:16">
      <c r="A83">
        <v>1</v>
      </c>
      <c r="B83" t="s">
        <v>2462</v>
      </c>
      <c r="C83" t="s">
        <v>2445</v>
      </c>
      <c r="D83" s="2066">
        <v>-3081969</v>
      </c>
      <c r="E83" s="2066">
        <v>-3081969</v>
      </c>
      <c r="F83" s="2066"/>
      <c r="G83" s="2066"/>
      <c r="H83" s="2066"/>
      <c r="I83" s="2066">
        <v>-3081969</v>
      </c>
      <c r="J83" s="2066">
        <v>-3081969</v>
      </c>
      <c r="K83" s="2066"/>
      <c r="L83" s="2066">
        <v>-1987254</v>
      </c>
      <c r="M83" s="2066">
        <v>-1987254</v>
      </c>
      <c r="N83" s="2066"/>
      <c r="O83" s="2066">
        <v>-1094715</v>
      </c>
      <c r="P83" s="2066">
        <v>-1094715</v>
      </c>
    </row>
    <row r="84" spans="1:16">
      <c r="A84" t="s">
        <v>2464</v>
      </c>
      <c r="D84" s="2066">
        <f>SUM(D82:D83)</f>
        <v>-19652123</v>
      </c>
      <c r="E84" s="2066">
        <f>SUM(E82:E83)</f>
        <v>-19652123</v>
      </c>
      <c r="F84" s="2066"/>
      <c r="G84" s="2066"/>
      <c r="H84" s="2066"/>
      <c r="I84" s="2066">
        <f>SUM(I82:I83)</f>
        <v>-19652123</v>
      </c>
      <c r="J84" s="2066">
        <f>SUM(J82:J83)</f>
        <v>-19652123</v>
      </c>
      <c r="K84" s="2066"/>
      <c r="L84" s="2066">
        <f>SUM(L82:L83)</f>
        <v>-12671689</v>
      </c>
      <c r="M84" s="2066">
        <f>SUM(M82:M83)</f>
        <v>-12671689</v>
      </c>
      <c r="N84" s="2066"/>
      <c r="O84" s="2066">
        <f>SUM(O82:O83)</f>
        <v>-6980434</v>
      </c>
      <c r="P84" s="2066">
        <f>SUM(P82:P83)</f>
        <v>-6980434</v>
      </c>
    </row>
    <row r="85" spans="1:16">
      <c r="D85" s="2066"/>
      <c r="E85" s="2066"/>
      <c r="F85" s="2066"/>
      <c r="G85" s="2066"/>
      <c r="H85" s="2066"/>
      <c r="I85" s="2066"/>
      <c r="J85" s="2066"/>
      <c r="K85" s="2066"/>
      <c r="L85" s="2066"/>
      <c r="M85" s="2066"/>
      <c r="N85" s="2066"/>
      <c r="O85" s="2066"/>
      <c r="P85" s="2066"/>
    </row>
    <row r="86" spans="1:16">
      <c r="A86" t="s">
        <v>516</v>
      </c>
      <c r="D86" s="2066"/>
      <c r="E86" s="2066"/>
      <c r="F86" s="2066"/>
      <c r="G86" s="2066"/>
      <c r="H86" s="2066"/>
      <c r="I86" s="2066"/>
      <c r="J86" s="2066"/>
      <c r="K86" s="2066"/>
      <c r="L86" s="2066"/>
      <c r="M86" s="2066"/>
      <c r="N86" s="2066"/>
      <c r="O86" s="2066"/>
      <c r="P86" s="2066"/>
    </row>
    <row r="87" spans="1:16">
      <c r="B87" t="s">
        <v>2463</v>
      </c>
      <c r="C87" t="s">
        <v>2444</v>
      </c>
      <c r="D87" s="2066">
        <v>-503313</v>
      </c>
      <c r="E87" s="2066">
        <v>-503313</v>
      </c>
      <c r="F87" s="2066"/>
      <c r="G87" s="2066"/>
      <c r="H87" s="2066">
        <v>-503313</v>
      </c>
      <c r="I87" s="2066"/>
      <c r="J87" s="2066">
        <v>-503313</v>
      </c>
      <c r="K87" s="2066">
        <v>-503313</v>
      </c>
      <c r="L87" s="2066"/>
      <c r="M87" s="2066">
        <v>-503313</v>
      </c>
      <c r="N87" s="2066"/>
      <c r="O87" s="2066"/>
      <c r="P87" s="2066"/>
    </row>
    <row r="88" spans="1:16">
      <c r="B88" t="s">
        <v>2462</v>
      </c>
      <c r="C88" t="s">
        <v>2444</v>
      </c>
      <c r="D88" s="2066">
        <v>-72004</v>
      </c>
      <c r="E88" s="2066">
        <v>-72004</v>
      </c>
      <c r="F88" s="2066"/>
      <c r="G88" s="2066"/>
      <c r="H88" s="2066">
        <v>-72004</v>
      </c>
      <c r="I88" s="2066"/>
      <c r="J88" s="2066">
        <v>-72004</v>
      </c>
      <c r="K88" s="2066">
        <v>-72004</v>
      </c>
      <c r="L88" s="2066"/>
      <c r="M88" s="2066">
        <v>-72004</v>
      </c>
      <c r="N88" s="2066"/>
      <c r="O88" s="2066"/>
      <c r="P88" s="2066"/>
    </row>
    <row r="89" spans="1:16">
      <c r="A89" t="s">
        <v>2222</v>
      </c>
      <c r="D89" s="2066">
        <f>SUM(D87:D88)</f>
        <v>-575317</v>
      </c>
      <c r="E89" s="2066">
        <f>SUM(E87:E88)</f>
        <v>-575317</v>
      </c>
      <c r="F89" s="2066"/>
      <c r="G89" s="2066"/>
      <c r="H89" s="2066">
        <f>SUM(H87:H88)</f>
        <v>-575317</v>
      </c>
      <c r="I89" s="2066"/>
      <c r="J89" s="2066">
        <f>SUM(J87:J88)</f>
        <v>-575317</v>
      </c>
      <c r="K89" s="2066">
        <f>SUM(K87:K88)</f>
        <v>-575317</v>
      </c>
      <c r="L89" s="2066"/>
      <c r="M89" s="2066">
        <f>SUM(M87:M88)</f>
        <v>-575317</v>
      </c>
      <c r="N89" s="2066"/>
      <c r="O89" s="2066"/>
      <c r="P89" s="2066"/>
    </row>
    <row r="90" spans="1:16">
      <c r="D90" s="2066"/>
      <c r="E90" s="2066"/>
      <c r="F90" s="2066"/>
      <c r="G90" s="2066"/>
      <c r="H90" s="2066"/>
      <c r="I90" s="2066"/>
      <c r="J90" s="2066"/>
      <c r="K90" s="2066"/>
      <c r="L90" s="2066"/>
      <c r="M90" s="2066"/>
      <c r="N90" s="2066"/>
      <c r="O90" s="2066"/>
      <c r="P90" s="2066"/>
    </row>
    <row r="91" spans="1:16">
      <c r="A91" t="s">
        <v>2461</v>
      </c>
      <c r="D91" s="2066"/>
      <c r="E91" s="2066"/>
      <c r="F91" s="2066"/>
      <c r="G91" s="2066"/>
      <c r="H91" s="2066"/>
      <c r="I91" s="2066"/>
      <c r="J91" s="2066"/>
      <c r="K91" s="2066"/>
      <c r="L91" s="2066"/>
      <c r="M91" s="2066"/>
      <c r="N91" s="2066"/>
      <c r="O91" s="2066"/>
      <c r="P91" s="2066"/>
    </row>
    <row r="92" spans="1:16">
      <c r="A92" t="s">
        <v>2448</v>
      </c>
      <c r="C92" s="2046" t="s">
        <v>2411</v>
      </c>
      <c r="D92" s="2066">
        <v>-5450622</v>
      </c>
      <c r="E92" s="2124">
        <v>-3821540</v>
      </c>
      <c r="F92" s="2124">
        <v>-1128715</v>
      </c>
      <c r="G92" s="2124">
        <v>-500367</v>
      </c>
      <c r="H92" s="2066"/>
      <c r="I92" s="2066">
        <v>-3821540</v>
      </c>
      <c r="J92" s="2066">
        <v>-3821540</v>
      </c>
      <c r="K92" s="2066"/>
      <c r="L92" s="2066">
        <v>-2625513</v>
      </c>
      <c r="M92" s="2066">
        <v>-2625513</v>
      </c>
      <c r="N92" s="2066"/>
      <c r="O92" s="2066">
        <v>-1196027</v>
      </c>
      <c r="P92" s="2066">
        <v>-1196027</v>
      </c>
    </row>
    <row r="93" spans="1:16">
      <c r="A93" t="s">
        <v>2460</v>
      </c>
      <c r="C93" s="2046" t="s">
        <v>2455</v>
      </c>
      <c r="D93" s="2066">
        <v>-155142</v>
      </c>
      <c r="E93" s="2124">
        <v>-119681</v>
      </c>
      <c r="F93" s="2124">
        <v>-35461</v>
      </c>
      <c r="G93" s="2124"/>
      <c r="H93" s="2066"/>
      <c r="I93" s="2066">
        <v>-119681</v>
      </c>
      <c r="J93" s="2066">
        <v>-119681</v>
      </c>
      <c r="K93" s="2066"/>
      <c r="L93" s="2066">
        <v>-77170</v>
      </c>
      <c r="M93" s="2066">
        <v>-77170</v>
      </c>
      <c r="N93" s="2066"/>
      <c r="O93" s="2066">
        <v>-42511</v>
      </c>
      <c r="P93" s="2066">
        <v>-42511</v>
      </c>
    </row>
    <row r="94" spans="1:16">
      <c r="C94" t="s">
        <v>2459</v>
      </c>
      <c r="D94" s="2066">
        <v>-174844</v>
      </c>
      <c r="E94" s="2066"/>
      <c r="F94" s="2066">
        <v>-174844</v>
      </c>
      <c r="G94" s="2066"/>
      <c r="H94" s="2066"/>
      <c r="I94" s="2066"/>
      <c r="J94" s="2066"/>
      <c r="K94" s="2066"/>
      <c r="L94" s="2066"/>
      <c r="M94" s="2066"/>
      <c r="N94" s="2066"/>
      <c r="O94" s="2066"/>
      <c r="P94" s="2066"/>
    </row>
    <row r="95" spans="1:16">
      <c r="C95" t="s">
        <v>2443</v>
      </c>
      <c r="D95" s="2066">
        <v>-340463</v>
      </c>
      <c r="E95" s="2066"/>
      <c r="F95" s="2066">
        <v>-340463</v>
      </c>
      <c r="G95" s="2066"/>
      <c r="H95" s="2066"/>
      <c r="I95" s="2066"/>
      <c r="J95" s="2066"/>
      <c r="K95" s="2066"/>
      <c r="L95" s="2066"/>
      <c r="M95" s="2066"/>
      <c r="N95" s="2066"/>
      <c r="O95" s="2066"/>
      <c r="P95" s="2066"/>
    </row>
    <row r="96" spans="1:16">
      <c r="C96" t="s">
        <v>2442</v>
      </c>
      <c r="D96" s="2066">
        <v>-135608</v>
      </c>
      <c r="E96" s="2066"/>
      <c r="F96" s="2066"/>
      <c r="G96" s="2066">
        <v>-135608</v>
      </c>
      <c r="H96" s="2066"/>
      <c r="I96" s="2066"/>
      <c r="J96" s="2066"/>
      <c r="K96" s="2066"/>
      <c r="L96" s="2066"/>
      <c r="M96" s="2066"/>
      <c r="N96" s="2066"/>
      <c r="O96" s="2066"/>
      <c r="P96" s="2066"/>
    </row>
    <row r="97" spans="1:16">
      <c r="A97" t="s">
        <v>2458</v>
      </c>
      <c r="D97" s="2066">
        <f>SUM(D92:D96)</f>
        <v>-6256679</v>
      </c>
      <c r="E97" s="2066">
        <f>SUM(E92:E96)</f>
        <v>-3941221</v>
      </c>
      <c r="F97" s="2066">
        <f>SUM(F92:F96)</f>
        <v>-1679483</v>
      </c>
      <c r="G97" s="2066">
        <f>SUM(G92:G96)</f>
        <v>-635975</v>
      </c>
      <c r="H97" s="2066"/>
      <c r="I97" s="2066">
        <f>SUM(I92:I96)</f>
        <v>-3941221</v>
      </c>
      <c r="J97" s="2066">
        <f>SUM(J92:J96)</f>
        <v>-3941221</v>
      </c>
      <c r="K97" s="2066"/>
      <c r="L97" s="2066">
        <f>SUM(L92:L96)</f>
        <v>-2702683</v>
      </c>
      <c r="M97" s="2066">
        <f>SUM(M92:M96)</f>
        <v>-2702683</v>
      </c>
      <c r="N97" s="2066"/>
      <c r="O97" s="2066">
        <f>SUM(O92:O96)</f>
        <v>-1238538</v>
      </c>
      <c r="P97" s="2066">
        <f>SUM(P92:P96)</f>
        <v>-1238538</v>
      </c>
    </row>
    <row r="98" spans="1:16">
      <c r="D98" s="2066"/>
      <c r="E98" s="2066"/>
      <c r="F98" s="2066"/>
      <c r="G98" s="2066"/>
      <c r="H98" s="2066"/>
      <c r="I98" s="2066"/>
      <c r="J98" s="2066"/>
      <c r="K98" s="2066"/>
      <c r="L98" s="2066"/>
      <c r="M98" s="2066"/>
      <c r="N98" s="2066"/>
      <c r="O98" s="2066"/>
      <c r="P98" s="2066"/>
    </row>
    <row r="99" spans="1:16">
      <c r="A99" t="s">
        <v>2457</v>
      </c>
      <c r="D99" s="2066"/>
      <c r="E99" s="2066"/>
      <c r="F99" s="2066"/>
      <c r="G99" s="2066"/>
      <c r="H99" s="2066"/>
      <c r="I99" s="2066"/>
      <c r="J99" s="2066"/>
      <c r="K99" s="2066"/>
      <c r="L99" s="2066"/>
      <c r="M99" s="2066"/>
      <c r="N99" s="2066"/>
      <c r="O99" s="2066"/>
      <c r="P99" s="2066"/>
    </row>
    <row r="100" spans="1:16">
      <c r="A100" t="s">
        <v>2448</v>
      </c>
      <c r="C100" s="2046" t="s">
        <v>2411</v>
      </c>
      <c r="D100" s="2066">
        <v>-171340885</v>
      </c>
      <c r="E100" s="2124">
        <v>-120130521</v>
      </c>
      <c r="F100" s="2124">
        <v>-35481271</v>
      </c>
      <c r="G100" s="2124">
        <v>-15729093</v>
      </c>
      <c r="H100" s="2066"/>
      <c r="I100" s="2066">
        <v>-120130521</v>
      </c>
      <c r="J100" s="2066">
        <v>-120130521</v>
      </c>
      <c r="K100" s="2066"/>
      <c r="L100" s="2066">
        <v>-82533272</v>
      </c>
      <c r="M100" s="2066">
        <v>-82533272</v>
      </c>
      <c r="N100" s="2066"/>
      <c r="O100" s="2066">
        <v>-37597249</v>
      </c>
      <c r="P100" s="2066">
        <v>-37597249</v>
      </c>
    </row>
    <row r="101" spans="1:16">
      <c r="A101" t="s">
        <v>2456</v>
      </c>
      <c r="C101" s="2046" t="s">
        <v>2455</v>
      </c>
      <c r="D101" s="2066">
        <v>-510532</v>
      </c>
      <c r="E101" s="2124">
        <v>-393839</v>
      </c>
      <c r="F101" s="2124">
        <v>-116693</v>
      </c>
      <c r="G101" s="2124"/>
      <c r="H101" s="2066"/>
      <c r="I101" s="2066">
        <v>-393839</v>
      </c>
      <c r="J101" s="2066">
        <v>-393839</v>
      </c>
      <c r="K101" s="2066"/>
      <c r="L101" s="2066">
        <v>-270579</v>
      </c>
      <c r="M101" s="2066">
        <v>-270579</v>
      </c>
      <c r="N101" s="2066"/>
      <c r="O101" s="2066">
        <v>-123260</v>
      </c>
      <c r="P101" s="2066">
        <v>-123260</v>
      </c>
    </row>
    <row r="102" spans="1:16">
      <c r="A102">
        <v>9</v>
      </c>
      <c r="C102" t="s">
        <v>2447</v>
      </c>
      <c r="D102" s="2066">
        <v>0</v>
      </c>
      <c r="E102" s="2066">
        <v>0</v>
      </c>
      <c r="F102" s="2066">
        <v>0</v>
      </c>
      <c r="G102" s="2066"/>
      <c r="H102" s="2066">
        <v>0</v>
      </c>
      <c r="I102" s="2066"/>
      <c r="J102" s="2066">
        <v>0</v>
      </c>
      <c r="K102" s="2066"/>
      <c r="L102" s="2066"/>
      <c r="M102" s="2066">
        <v>0</v>
      </c>
      <c r="N102" s="2066">
        <v>0</v>
      </c>
      <c r="O102" s="2066"/>
      <c r="P102" s="2066">
        <v>0</v>
      </c>
    </row>
    <row r="103" spans="1:16">
      <c r="A103">
        <v>9</v>
      </c>
      <c r="C103" t="s">
        <v>2446</v>
      </c>
      <c r="D103" s="2066">
        <v>-3612161</v>
      </c>
      <c r="E103" s="2066">
        <v>-2786530</v>
      </c>
      <c r="F103" s="2066">
        <v>-825631</v>
      </c>
      <c r="G103" s="2066"/>
      <c r="H103" s="2066">
        <v>-2786530</v>
      </c>
      <c r="I103" s="2066"/>
      <c r="J103" s="2066">
        <v>-2786530</v>
      </c>
      <c r="K103" s="2066">
        <v>-2786530</v>
      </c>
      <c r="L103" s="2066"/>
      <c r="M103" s="2066">
        <v>-2786530</v>
      </c>
      <c r="N103" s="2066">
        <v>0</v>
      </c>
      <c r="O103" s="2066"/>
      <c r="P103" s="2066">
        <v>0</v>
      </c>
    </row>
    <row r="104" spans="1:16">
      <c r="A104">
        <v>4</v>
      </c>
      <c r="C104" t="s">
        <v>2445</v>
      </c>
      <c r="D104" s="2066">
        <v>-15838258</v>
      </c>
      <c r="E104" s="2066">
        <v>-15838258</v>
      </c>
      <c r="F104" s="2066"/>
      <c r="G104" s="2066"/>
      <c r="H104" s="2066"/>
      <c r="I104" s="2066">
        <v>-15838258</v>
      </c>
      <c r="J104" s="2066">
        <v>-15838258</v>
      </c>
      <c r="K104" s="2066"/>
      <c r="L104" s="2066">
        <v>-10881358</v>
      </c>
      <c r="M104" s="2066">
        <v>-10881358</v>
      </c>
      <c r="N104" s="2066"/>
      <c r="O104" s="2066">
        <v>-4956900</v>
      </c>
      <c r="P104" s="2066">
        <v>-4956900</v>
      </c>
    </row>
    <row r="105" spans="1:16">
      <c r="C105" t="s">
        <v>2454</v>
      </c>
      <c r="D105" s="2066">
        <v>0</v>
      </c>
      <c r="E105" s="2066">
        <v>0</v>
      </c>
      <c r="F105" s="2066"/>
      <c r="G105" s="2066"/>
      <c r="H105" s="2066">
        <v>0</v>
      </c>
      <c r="I105" s="2066"/>
      <c r="J105" s="2066">
        <v>0</v>
      </c>
      <c r="K105" s="2066"/>
      <c r="L105" s="2066"/>
      <c r="M105" s="2066"/>
      <c r="N105" s="2066">
        <v>0</v>
      </c>
      <c r="O105" s="2066"/>
      <c r="P105" s="2066">
        <v>0</v>
      </c>
    </row>
    <row r="106" spans="1:16">
      <c r="C106" t="s">
        <v>2444</v>
      </c>
      <c r="D106" s="2066">
        <v>-3326296</v>
      </c>
      <c r="E106" s="2066">
        <v>-3326296</v>
      </c>
      <c r="F106" s="2066"/>
      <c r="G106" s="2066"/>
      <c r="H106" s="2066">
        <v>-3326296</v>
      </c>
      <c r="I106" s="2066"/>
      <c r="J106" s="2066">
        <v>-3326296</v>
      </c>
      <c r="K106" s="2066">
        <v>-3326296</v>
      </c>
      <c r="L106" s="2066"/>
      <c r="M106" s="2066">
        <v>-3326296</v>
      </c>
      <c r="N106" s="2066"/>
      <c r="O106" s="2066"/>
      <c r="P106" s="2066"/>
    </row>
    <row r="107" spans="1:16">
      <c r="A107">
        <v>8</v>
      </c>
      <c r="C107" t="s">
        <v>2412</v>
      </c>
      <c r="D107" s="2066">
        <v>-322409</v>
      </c>
      <c r="E107" s="2066"/>
      <c r="F107" s="2066">
        <v>-222575</v>
      </c>
      <c r="G107" s="2066">
        <v>-99834</v>
      </c>
      <c r="H107" s="2066"/>
      <c r="I107" s="2066"/>
      <c r="J107" s="2066"/>
      <c r="K107" s="2066"/>
      <c r="L107" s="2066"/>
      <c r="M107" s="2066"/>
      <c r="N107" s="2066"/>
      <c r="O107" s="2066"/>
      <c r="P107" s="2066"/>
    </row>
    <row r="108" spans="1:16">
      <c r="C108" t="s">
        <v>2451</v>
      </c>
      <c r="D108" s="2066">
        <v>0</v>
      </c>
      <c r="E108" s="2066"/>
      <c r="F108" s="2066">
        <v>0</v>
      </c>
      <c r="G108" s="2066"/>
      <c r="H108" s="2066"/>
      <c r="I108" s="2066"/>
      <c r="J108" s="2066"/>
      <c r="K108" s="2066"/>
      <c r="L108" s="2066"/>
      <c r="M108" s="2066"/>
      <c r="N108" s="2066"/>
      <c r="O108" s="2066"/>
      <c r="P108" s="2066"/>
    </row>
    <row r="109" spans="1:16">
      <c r="C109" t="s">
        <v>2442</v>
      </c>
      <c r="D109" s="2066">
        <v>-83307</v>
      </c>
      <c r="E109" s="2066"/>
      <c r="F109" s="2066"/>
      <c r="G109" s="2066">
        <v>-83307</v>
      </c>
      <c r="H109" s="2066"/>
      <c r="I109" s="2066"/>
      <c r="J109" s="2066"/>
      <c r="K109" s="2066"/>
      <c r="L109" s="2066"/>
      <c r="M109" s="2066"/>
      <c r="N109" s="2066"/>
      <c r="O109" s="2066"/>
      <c r="P109" s="2066"/>
    </row>
    <row r="110" spans="1:16">
      <c r="A110" t="s">
        <v>2453</v>
      </c>
      <c r="D110" s="2066">
        <f t="shared" ref="D110:M110" si="5">SUM(D100:D109)</f>
        <v>-195033848</v>
      </c>
      <c r="E110" s="2066">
        <f t="shared" si="5"/>
        <v>-142475444</v>
      </c>
      <c r="F110" s="2066">
        <f t="shared" si="5"/>
        <v>-36646170</v>
      </c>
      <c r="G110" s="2066">
        <f t="shared" si="5"/>
        <v>-15912234</v>
      </c>
      <c r="H110" s="2066">
        <f t="shared" si="5"/>
        <v>-6112826</v>
      </c>
      <c r="I110" s="2066">
        <f t="shared" si="5"/>
        <v>-136362618</v>
      </c>
      <c r="J110" s="2066">
        <f t="shared" si="5"/>
        <v>-142475444</v>
      </c>
      <c r="K110" s="2066">
        <f t="shared" si="5"/>
        <v>-6112826</v>
      </c>
      <c r="L110" s="2066">
        <f t="shared" si="5"/>
        <v>-93685209</v>
      </c>
      <c r="M110" s="2066">
        <f t="shared" si="5"/>
        <v>-99798035</v>
      </c>
      <c r="N110" s="2066"/>
      <c r="O110" s="2066">
        <f>SUM(O100:O109)</f>
        <v>-42677409</v>
      </c>
      <c r="P110" s="2066">
        <f>SUM(P100:P109)</f>
        <v>-42677409</v>
      </c>
    </row>
    <row r="111" spans="1:16">
      <c r="D111" s="2066"/>
      <c r="E111" s="2066"/>
      <c r="F111" s="2066"/>
      <c r="G111" s="2066"/>
      <c r="H111" s="2066"/>
      <c r="I111" s="2066"/>
      <c r="J111" s="2066"/>
      <c r="K111" s="2066"/>
      <c r="L111" s="2066"/>
      <c r="M111" s="2066"/>
      <c r="N111" s="2066"/>
      <c r="O111" s="2066"/>
      <c r="P111" s="2066"/>
    </row>
    <row r="112" spans="1:16">
      <c r="A112" t="s">
        <v>2452</v>
      </c>
      <c r="D112" s="2066"/>
      <c r="E112" s="2066"/>
      <c r="F112" s="2066"/>
      <c r="G112" s="2066"/>
      <c r="H112" s="2066"/>
      <c r="I112" s="2066"/>
      <c r="J112" s="2066"/>
      <c r="K112" s="2066"/>
      <c r="L112" s="2066"/>
      <c r="M112" s="2066"/>
      <c r="N112" s="2066"/>
      <c r="O112" s="2066"/>
      <c r="P112" s="2066"/>
    </row>
    <row r="113" spans="1:16">
      <c r="C113" t="s">
        <v>2451</v>
      </c>
      <c r="D113" s="2066">
        <v>0</v>
      </c>
      <c r="E113" s="2066"/>
      <c r="F113" s="2066">
        <v>0</v>
      </c>
      <c r="G113" s="2066"/>
      <c r="H113" s="2066"/>
      <c r="I113" s="2066"/>
      <c r="J113" s="2066"/>
      <c r="K113" s="2066"/>
      <c r="L113" s="2066"/>
      <c r="M113" s="2066"/>
      <c r="N113" s="2066"/>
      <c r="O113" s="2066"/>
      <c r="P113" s="2066"/>
    </row>
    <row r="114" spans="1:16">
      <c r="A114" t="s">
        <v>2450</v>
      </c>
      <c r="D114" s="2066">
        <v>0</v>
      </c>
      <c r="E114" s="2066"/>
      <c r="F114" s="2066">
        <v>0</v>
      </c>
      <c r="G114" s="2066"/>
      <c r="H114" s="2066"/>
      <c r="I114" s="2066"/>
      <c r="J114" s="2066"/>
      <c r="K114" s="2066"/>
      <c r="L114" s="2066"/>
      <c r="M114" s="2066"/>
      <c r="N114" s="2066"/>
      <c r="O114" s="2066"/>
      <c r="P114" s="2066"/>
    </row>
    <row r="115" spans="1:16">
      <c r="D115" s="2066"/>
      <c r="E115" s="2066"/>
      <c r="F115" s="2066"/>
      <c r="G115" s="2066"/>
      <c r="H115" s="2066"/>
      <c r="I115" s="2066"/>
      <c r="J115" s="2066"/>
      <c r="K115" s="2066"/>
      <c r="L115" s="2066"/>
      <c r="M115" s="2066"/>
      <c r="N115" s="2066"/>
      <c r="O115" s="2066"/>
      <c r="P115" s="2066"/>
    </row>
    <row r="116" spans="1:16">
      <c r="A116" t="s">
        <v>2449</v>
      </c>
      <c r="D116" s="2066"/>
      <c r="E116" s="2066"/>
      <c r="F116" s="2066"/>
      <c r="G116" s="2066"/>
      <c r="H116" s="2066"/>
      <c r="I116" s="2066"/>
      <c r="J116" s="2066"/>
      <c r="K116" s="2066"/>
      <c r="L116" s="2066"/>
      <c r="M116" s="2066"/>
      <c r="N116" s="2066"/>
      <c r="O116" s="2066"/>
      <c r="P116" s="2066"/>
    </row>
    <row r="117" spans="1:16">
      <c r="A117" t="s">
        <v>2448</v>
      </c>
      <c r="C117" t="s">
        <v>2411</v>
      </c>
      <c r="D117" s="2066">
        <v>0</v>
      </c>
      <c r="E117" s="2124">
        <v>0</v>
      </c>
      <c r="F117" s="2124">
        <v>0</v>
      </c>
      <c r="G117" s="2124">
        <v>0</v>
      </c>
      <c r="H117" s="2066"/>
      <c r="I117" s="2066">
        <v>0</v>
      </c>
      <c r="J117" s="2066">
        <v>0</v>
      </c>
      <c r="K117" s="2066"/>
      <c r="L117" s="2066">
        <v>0</v>
      </c>
      <c r="M117" s="2066">
        <v>0</v>
      </c>
      <c r="N117" s="2066"/>
      <c r="O117" s="2066">
        <v>0</v>
      </c>
      <c r="P117" s="2066">
        <v>0</v>
      </c>
    </row>
    <row r="118" spans="1:16">
      <c r="A118">
        <v>9</v>
      </c>
      <c r="C118" t="s">
        <v>2447</v>
      </c>
      <c r="D118" s="2066">
        <v>0</v>
      </c>
      <c r="E118" s="2124">
        <v>0</v>
      </c>
      <c r="F118" s="2124">
        <v>0</v>
      </c>
      <c r="G118" s="2124"/>
      <c r="H118" s="2066">
        <v>0</v>
      </c>
      <c r="I118" s="2066"/>
      <c r="J118" s="2066">
        <v>0</v>
      </c>
      <c r="K118" s="2066"/>
      <c r="L118" s="2066"/>
      <c r="M118" s="2066"/>
      <c r="N118" s="2066">
        <v>0</v>
      </c>
      <c r="O118" s="2066"/>
      <c r="P118" s="2066">
        <v>0</v>
      </c>
    </row>
    <row r="119" spans="1:16">
      <c r="A119">
        <v>9</v>
      </c>
      <c r="C119" t="s">
        <v>2446</v>
      </c>
      <c r="D119" s="2066">
        <v>0</v>
      </c>
      <c r="E119" s="2124">
        <v>0</v>
      </c>
      <c r="F119" s="2124">
        <v>0</v>
      </c>
      <c r="G119" s="2124"/>
      <c r="H119" s="2066">
        <v>0</v>
      </c>
      <c r="I119" s="2066"/>
      <c r="J119" s="2066">
        <v>0</v>
      </c>
      <c r="K119" s="2066">
        <v>0</v>
      </c>
      <c r="L119" s="2066"/>
      <c r="M119" s="2066">
        <v>0</v>
      </c>
      <c r="N119" s="2066"/>
      <c r="O119" s="2066"/>
      <c r="P119" s="2066"/>
    </row>
    <row r="120" spans="1:16">
      <c r="A120">
        <v>4</v>
      </c>
      <c r="C120" t="s">
        <v>2445</v>
      </c>
      <c r="D120" s="2066">
        <v>-1582237</v>
      </c>
      <c r="E120" s="2066">
        <v>-1582237</v>
      </c>
      <c r="F120" s="2066"/>
      <c r="G120" s="2066"/>
      <c r="H120" s="2066"/>
      <c r="I120" s="2066">
        <v>-1582237</v>
      </c>
      <c r="J120" s="2066">
        <v>-1582237</v>
      </c>
      <c r="K120" s="2066"/>
      <c r="L120" s="2066">
        <v>-1087044</v>
      </c>
      <c r="M120" s="2066">
        <v>-1087044</v>
      </c>
      <c r="N120" s="2066"/>
      <c r="O120" s="2066">
        <v>-495193</v>
      </c>
      <c r="P120" s="2066">
        <v>-495193</v>
      </c>
    </row>
    <row r="121" spans="1:16">
      <c r="C121" t="s">
        <v>2444</v>
      </c>
      <c r="D121" s="2066">
        <v>0</v>
      </c>
      <c r="E121" s="2066">
        <v>0</v>
      </c>
      <c r="F121" s="2066"/>
      <c r="G121" s="2066"/>
      <c r="H121" s="2066">
        <v>0</v>
      </c>
      <c r="I121" s="2066"/>
      <c r="J121" s="2066">
        <v>0</v>
      </c>
      <c r="K121" s="2066">
        <v>0</v>
      </c>
      <c r="L121" s="2066"/>
      <c r="M121" s="2066">
        <v>0</v>
      </c>
      <c r="N121" s="2066"/>
      <c r="O121" s="2066"/>
      <c r="P121" s="2066"/>
    </row>
    <row r="122" spans="1:16">
      <c r="C122" t="s">
        <v>2443</v>
      </c>
      <c r="D122" s="2066">
        <v>0</v>
      </c>
      <c r="E122" s="2066"/>
      <c r="F122" s="2066">
        <v>0</v>
      </c>
      <c r="G122" s="2066"/>
      <c r="H122" s="2066"/>
      <c r="I122" s="2066"/>
      <c r="J122" s="2066"/>
      <c r="K122" s="2066"/>
      <c r="L122" s="2066"/>
      <c r="M122" s="2066"/>
      <c r="N122" s="2066"/>
      <c r="O122" s="2066"/>
      <c r="P122" s="2066"/>
    </row>
    <row r="123" spans="1:16">
      <c r="C123" t="s">
        <v>2442</v>
      </c>
      <c r="D123" s="2066">
        <v>0</v>
      </c>
      <c r="E123" s="2066"/>
      <c r="F123" s="2066"/>
      <c r="G123" s="2066">
        <v>0</v>
      </c>
      <c r="H123" s="2066"/>
      <c r="I123" s="2066"/>
      <c r="J123" s="2066"/>
      <c r="K123" s="2066"/>
      <c r="L123" s="2066"/>
      <c r="M123" s="2066"/>
      <c r="N123" s="2066"/>
      <c r="O123" s="2066"/>
      <c r="P123" s="2066"/>
    </row>
    <row r="124" spans="1:16">
      <c r="A124" t="s">
        <v>2441</v>
      </c>
      <c r="D124" s="2066">
        <f t="shared" ref="D124:P124" si="6">SUM(D117:D123)</f>
        <v>-1582237</v>
      </c>
      <c r="E124" s="2066">
        <f t="shared" si="6"/>
        <v>-1582237</v>
      </c>
      <c r="F124" s="2066">
        <f t="shared" si="6"/>
        <v>0</v>
      </c>
      <c r="G124" s="2066">
        <f t="shared" si="6"/>
        <v>0</v>
      </c>
      <c r="H124" s="2066">
        <f t="shared" si="6"/>
        <v>0</v>
      </c>
      <c r="I124" s="2066">
        <f t="shared" si="6"/>
        <v>-1582237</v>
      </c>
      <c r="J124" s="2066">
        <f t="shared" si="6"/>
        <v>-1582237</v>
      </c>
      <c r="K124" s="2066">
        <f t="shared" si="6"/>
        <v>0</v>
      </c>
      <c r="L124" s="2066">
        <f t="shared" si="6"/>
        <v>-1087044</v>
      </c>
      <c r="M124" s="2066">
        <f t="shared" si="6"/>
        <v>-1087044</v>
      </c>
      <c r="N124" s="2066">
        <f t="shared" si="6"/>
        <v>0</v>
      </c>
      <c r="O124" s="2066">
        <f t="shared" si="6"/>
        <v>-495193</v>
      </c>
      <c r="P124" s="2066">
        <f t="shared" si="6"/>
        <v>-495193</v>
      </c>
    </row>
    <row r="125" spans="1:16">
      <c r="D125" s="2066"/>
      <c r="E125" s="2066"/>
      <c r="F125" s="2066"/>
      <c r="G125" s="2066"/>
      <c r="H125" s="2066"/>
      <c r="I125" s="2066"/>
      <c r="J125" s="2066"/>
      <c r="K125" s="2066"/>
      <c r="L125" s="2066"/>
      <c r="M125" s="2066"/>
      <c r="N125" s="2066"/>
      <c r="O125" s="2066"/>
      <c r="P125" s="2066"/>
    </row>
    <row r="126" spans="1:16">
      <c r="A126" t="s">
        <v>2440</v>
      </c>
      <c r="D126" s="2066">
        <f t="shared" ref="D126:P126" si="7">SUM(D124,D114, D110,D97,D89,D84)</f>
        <v>-223100204</v>
      </c>
      <c r="E126" s="2066">
        <f t="shared" si="7"/>
        <v>-168226342</v>
      </c>
      <c r="F126" s="2066">
        <f t="shared" si="7"/>
        <v>-38325653</v>
      </c>
      <c r="G126" s="2066">
        <f t="shared" si="7"/>
        <v>-16548209</v>
      </c>
      <c r="H126" s="2066">
        <f t="shared" si="7"/>
        <v>-6688143</v>
      </c>
      <c r="I126" s="2066">
        <f t="shared" si="7"/>
        <v>-161538199</v>
      </c>
      <c r="J126" s="2066">
        <f t="shared" si="7"/>
        <v>-168226342</v>
      </c>
      <c r="K126" s="2066">
        <f t="shared" si="7"/>
        <v>-6688143</v>
      </c>
      <c r="L126" s="2066">
        <f t="shared" si="7"/>
        <v>-110146625</v>
      </c>
      <c r="M126" s="2066">
        <f t="shared" si="7"/>
        <v>-116834768</v>
      </c>
      <c r="N126" s="2066">
        <f t="shared" si="7"/>
        <v>0</v>
      </c>
      <c r="O126" s="2066">
        <f t="shared" si="7"/>
        <v>-51391574</v>
      </c>
      <c r="P126" s="2066">
        <f t="shared" si="7"/>
        <v>-51391574</v>
      </c>
    </row>
    <row r="127" spans="1:16">
      <c r="D127" s="2066"/>
      <c r="E127" s="2066"/>
      <c r="F127" s="2066"/>
      <c r="G127" s="2066"/>
      <c r="H127" s="2066"/>
      <c r="I127" s="2066"/>
      <c r="J127" s="2066"/>
      <c r="K127" s="2066"/>
      <c r="L127" s="2066"/>
      <c r="M127" s="2066"/>
      <c r="N127" s="2066"/>
      <c r="O127" s="2066"/>
      <c r="P127" s="2066"/>
    </row>
    <row r="128" spans="1:16">
      <c r="C128" t="s">
        <v>286</v>
      </c>
      <c r="D128" s="2066">
        <f>SUM(D100:D101,D92:D93,D83)+D59</f>
        <v>-313543270</v>
      </c>
      <c r="E128" s="2216">
        <f>SUM(E100:E101,E92:E93)+E59</f>
        <v>-219309854</v>
      </c>
      <c r="F128" s="2124">
        <f>SUM(F100:F101,F92:F93,F83)+F59</f>
        <v>-64791352</v>
      </c>
      <c r="G128" s="2124">
        <f>SUM(G100:G101,G92:G93,G83)+G59</f>
        <v>-26360095</v>
      </c>
      <c r="H128" s="2066"/>
      <c r="I128" s="2066"/>
      <c r="J128" s="2066"/>
      <c r="K128" s="2066"/>
      <c r="L128" s="2066"/>
      <c r="M128" s="2066"/>
      <c r="N128" s="2066"/>
      <c r="O128" s="2066"/>
      <c r="P128" s="2066"/>
    </row>
    <row r="129" spans="1:16">
      <c r="D129" s="2066"/>
      <c r="E129" s="2066"/>
      <c r="F129" s="2066"/>
      <c r="G129" s="2066"/>
      <c r="H129" s="2066"/>
      <c r="I129" s="2066"/>
      <c r="J129" s="2066"/>
      <c r="K129" s="2066"/>
      <c r="L129" s="2066"/>
      <c r="M129" s="2066"/>
      <c r="N129" s="2066"/>
      <c r="O129" s="2066"/>
      <c r="P129" s="2066"/>
    </row>
    <row r="130" spans="1:16">
      <c r="C130" t="s">
        <v>2439</v>
      </c>
      <c r="D130" s="2066">
        <f>D128-D132</f>
        <v>-32567</v>
      </c>
      <c r="E130" s="2066">
        <f>E128-E132</f>
        <v>-219309854</v>
      </c>
      <c r="F130" s="2066">
        <f>F128-F132</f>
        <v>-64791352</v>
      </c>
      <c r="G130" s="2066">
        <f>G128-G132</f>
        <v>-26360095</v>
      </c>
      <c r="H130" s="2066"/>
      <c r="I130" s="2066"/>
      <c r="J130" s="2066"/>
      <c r="K130" s="2066"/>
      <c r="L130" s="2066"/>
      <c r="M130" s="2066"/>
      <c r="N130" s="2066"/>
      <c r="O130" s="2066"/>
      <c r="P130" s="2066"/>
    </row>
    <row r="131" spans="1:16">
      <c r="D131" s="2066"/>
      <c r="E131" s="2066"/>
      <c r="F131" s="2066"/>
      <c r="G131" s="2066"/>
      <c r="H131" s="2066"/>
      <c r="I131" s="2066"/>
      <c r="J131" s="2066"/>
      <c r="K131" s="2066"/>
      <c r="L131" s="2066"/>
      <c r="M131" s="2066"/>
      <c r="N131" s="2066"/>
      <c r="O131" s="2066"/>
      <c r="P131" s="2066"/>
    </row>
    <row r="132" spans="1:16">
      <c r="C132" s="1750" t="s">
        <v>2438</v>
      </c>
      <c r="D132" s="2217">
        <v>-313510703</v>
      </c>
      <c r="E132" s="2066"/>
      <c r="F132" s="2066"/>
      <c r="G132" s="2066"/>
      <c r="H132" s="2066"/>
      <c r="I132" s="2066"/>
      <c r="J132" s="2066"/>
      <c r="K132" s="2066"/>
      <c r="L132" s="2066"/>
      <c r="M132" s="2066"/>
      <c r="N132" s="2066"/>
      <c r="O132" s="2066"/>
      <c r="P132" s="2066"/>
    </row>
    <row r="133" spans="1:16">
      <c r="D133" s="584"/>
      <c r="E133" s="584"/>
      <c r="F133" s="584"/>
      <c r="G133" s="584"/>
      <c r="H133" s="584"/>
      <c r="I133" s="584"/>
      <c r="J133" s="584"/>
      <c r="K133" s="584"/>
      <c r="L133" s="584"/>
      <c r="M133" s="584"/>
      <c r="N133" s="584"/>
      <c r="O133" s="584"/>
      <c r="P133" s="584"/>
    </row>
    <row r="135" spans="1:16">
      <c r="A135" t="s">
        <v>2437</v>
      </c>
    </row>
    <row r="136" spans="1:16">
      <c r="A136" t="s">
        <v>2436</v>
      </c>
      <c r="E136" t="s">
        <v>515</v>
      </c>
      <c r="F136" t="s">
        <v>2435</v>
      </c>
      <c r="G136" t="s">
        <v>2434</v>
      </c>
      <c r="I136" t="s">
        <v>2433</v>
      </c>
      <c r="L136" t="s">
        <v>2432</v>
      </c>
      <c r="O136" t="s">
        <v>2431</v>
      </c>
    </row>
    <row r="137" spans="1:16">
      <c r="A137">
        <v>7</v>
      </c>
      <c r="B137" t="s">
        <v>2371</v>
      </c>
      <c r="E137" s="1134">
        <v>0.70111999999999997</v>
      </c>
      <c r="F137" s="1134">
        <v>0.20707999999999999</v>
      </c>
      <c r="G137" s="1134">
        <v>9.1800000000000007E-2</v>
      </c>
      <c r="I137">
        <v>1</v>
      </c>
      <c r="J137" t="s">
        <v>2430</v>
      </c>
      <c r="L137" s="1134">
        <v>0.64480000000000004</v>
      </c>
      <c r="O137" s="1134">
        <v>0.35520000000000002</v>
      </c>
    </row>
    <row r="138" spans="1:16">
      <c r="A138">
        <v>8</v>
      </c>
      <c r="B138" t="s">
        <v>2370</v>
      </c>
      <c r="E138" s="1134">
        <v>0</v>
      </c>
      <c r="F138" s="1134">
        <v>0.69035000000000002</v>
      </c>
      <c r="G138" s="1134">
        <v>0.30964999999999998</v>
      </c>
      <c r="I138">
        <v>4</v>
      </c>
      <c r="J138" t="s">
        <v>2429</v>
      </c>
      <c r="L138" s="1134">
        <v>0.68703000000000003</v>
      </c>
      <c r="O138" s="1134">
        <v>0.31297000000000003</v>
      </c>
    </row>
    <row r="139" spans="1:16">
      <c r="A139">
        <v>9</v>
      </c>
      <c r="B139" t="s">
        <v>2369</v>
      </c>
      <c r="E139" s="1134">
        <v>0.77144000000000001</v>
      </c>
      <c r="F139" s="1134">
        <v>0.22856000000000001</v>
      </c>
      <c r="G139" s="1134">
        <v>0</v>
      </c>
    </row>
  </sheetData>
  <pageMargins left="0.7" right="0.7" top="0.75" bottom="0.75" header="0.3" footer="0.3"/>
  <pageSetup orientation="portrait" r:id="rId1"/>
  <customProperties>
    <customPr name="xxe4aP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1132F-D4F7-4920-86E7-2AFB286A9539}">
  <sheetPr codeName="Sheet32"/>
  <dimension ref="A1:P137"/>
  <sheetViews>
    <sheetView workbookViewId="0">
      <selection activeCell="E18" sqref="E18"/>
    </sheetView>
  </sheetViews>
  <sheetFormatPr defaultRowHeight="15.75"/>
  <cols>
    <col min="4" max="5" width="12.375" bestFit="1" customWidth="1"/>
    <col min="6" max="6" width="11.625" bestFit="1" customWidth="1"/>
    <col min="7" max="7" width="11.5" bestFit="1" customWidth="1"/>
    <col min="8" max="8" width="17.5" bestFit="1" customWidth="1"/>
    <col min="9" max="9" width="21.5" customWidth="1"/>
    <col min="10" max="10" width="23.625" customWidth="1"/>
    <col min="11" max="11" width="11.25" bestFit="1" customWidth="1"/>
    <col min="12" max="12" width="22.125" customWidth="1"/>
    <col min="13" max="13" width="12.375" bestFit="1" customWidth="1"/>
    <col min="14" max="14" width="9.875" bestFit="1" customWidth="1"/>
    <col min="15" max="15" width="24.5" bestFit="1" customWidth="1"/>
    <col min="16" max="16" width="11.25" bestFit="1" customWidth="1"/>
  </cols>
  <sheetData>
    <row r="1" spans="1:16">
      <c r="A1" t="s">
        <v>2409</v>
      </c>
      <c r="E1" t="s">
        <v>2408</v>
      </c>
      <c r="H1" t="s">
        <v>2407</v>
      </c>
    </row>
    <row r="2" spans="1:16">
      <c r="A2" t="s">
        <v>2510</v>
      </c>
      <c r="E2" t="s">
        <v>2509</v>
      </c>
    </row>
    <row r="3" spans="1:16">
      <c r="A3" t="s">
        <v>2404</v>
      </c>
    </row>
    <row r="4" spans="1:16">
      <c r="A4" t="s">
        <v>2402</v>
      </c>
    </row>
    <row r="6" spans="1:16">
      <c r="E6" t="s">
        <v>2473</v>
      </c>
      <c r="F6" t="s">
        <v>2473</v>
      </c>
      <c r="G6" t="s">
        <v>2473</v>
      </c>
    </row>
    <row r="7" spans="1:16">
      <c r="D7" t="s">
        <v>2472</v>
      </c>
      <c r="E7" t="s">
        <v>2394</v>
      </c>
      <c r="F7" t="s">
        <v>2394</v>
      </c>
      <c r="G7" t="s">
        <v>2394</v>
      </c>
      <c r="I7" t="s">
        <v>2471</v>
      </c>
      <c r="L7" t="s">
        <v>2470</v>
      </c>
      <c r="O7" t="s">
        <v>2469</v>
      </c>
    </row>
    <row r="8" spans="1:16">
      <c r="A8" t="s">
        <v>2398</v>
      </c>
      <c r="D8" t="s">
        <v>104</v>
      </c>
      <c r="E8" t="s">
        <v>2468</v>
      </c>
      <c r="F8" t="s">
        <v>2467</v>
      </c>
      <c r="G8" t="s">
        <v>2466</v>
      </c>
      <c r="H8" t="s">
        <v>2189</v>
      </c>
      <c r="I8" t="s">
        <v>2394</v>
      </c>
      <c r="J8" s="2007" t="s">
        <v>104</v>
      </c>
      <c r="K8" t="s">
        <v>2189</v>
      </c>
      <c r="L8" t="s">
        <v>2394</v>
      </c>
      <c r="M8" t="s">
        <v>104</v>
      </c>
      <c r="N8" t="s">
        <v>2189</v>
      </c>
      <c r="O8" t="s">
        <v>2394</v>
      </c>
      <c r="P8" t="s">
        <v>104</v>
      </c>
    </row>
    <row r="9" spans="1:16">
      <c r="A9" t="s">
        <v>2465</v>
      </c>
      <c r="J9" s="2007"/>
    </row>
    <row r="10" spans="1:16">
      <c r="A10">
        <v>1</v>
      </c>
      <c r="B10" t="s">
        <v>2463</v>
      </c>
      <c r="C10" t="s">
        <v>2445</v>
      </c>
      <c r="D10" s="584">
        <v>918400</v>
      </c>
      <c r="E10" s="584">
        <v>918400</v>
      </c>
      <c r="I10" s="584">
        <v>918400</v>
      </c>
      <c r="J10" s="2044">
        <v>918400</v>
      </c>
      <c r="L10" s="584">
        <v>592184</v>
      </c>
      <c r="M10" s="584">
        <v>592184</v>
      </c>
      <c r="O10" s="584">
        <v>326216</v>
      </c>
      <c r="P10" s="584">
        <v>326216</v>
      </c>
    </row>
    <row r="11" spans="1:16">
      <c r="A11">
        <v>1</v>
      </c>
      <c r="B11" t="s">
        <v>2462</v>
      </c>
      <c r="C11" t="s">
        <v>2445</v>
      </c>
      <c r="D11" s="584">
        <v>262754</v>
      </c>
      <c r="E11" s="584">
        <v>262754</v>
      </c>
      <c r="I11" s="584">
        <v>262754</v>
      </c>
      <c r="J11" s="2063">
        <v>262754</v>
      </c>
      <c r="L11" s="584">
        <v>169424</v>
      </c>
      <c r="M11" s="584">
        <v>169424</v>
      </c>
      <c r="O11" s="584">
        <v>93330</v>
      </c>
      <c r="P11" s="584">
        <v>93330</v>
      </c>
    </row>
    <row r="12" spans="1:16">
      <c r="A12" t="s">
        <v>2464</v>
      </c>
      <c r="D12" s="584">
        <f>SUM(D10:D11)</f>
        <v>1181154</v>
      </c>
      <c r="E12" s="584">
        <f>SUM(E10:E11)</f>
        <v>1181154</v>
      </c>
      <c r="F12" s="584"/>
      <c r="G12" s="584"/>
      <c r="H12" s="584"/>
      <c r="I12" s="584">
        <f>SUM(I10:I11)</f>
        <v>1181154</v>
      </c>
      <c r="J12" s="584">
        <f>SUM(J10:J11)</f>
        <v>1181154</v>
      </c>
      <c r="K12" s="584"/>
      <c r="L12" s="584">
        <f>SUM(L10:L11)</f>
        <v>761608</v>
      </c>
      <c r="M12" s="584">
        <f>SUM(M10:M11)</f>
        <v>761608</v>
      </c>
      <c r="N12" s="584"/>
      <c r="O12" s="584">
        <f>SUM(O10:O11)</f>
        <v>419546</v>
      </c>
      <c r="P12" s="584">
        <f>SUM(P10:P11)</f>
        <v>419546</v>
      </c>
    </row>
    <row r="13" spans="1:16">
      <c r="J13" s="2007"/>
    </row>
    <row r="14" spans="1:16">
      <c r="A14" t="s">
        <v>516</v>
      </c>
      <c r="J14" s="2007"/>
    </row>
    <row r="15" spans="1:16">
      <c r="B15" t="s">
        <v>2463</v>
      </c>
      <c r="C15" t="s">
        <v>2444</v>
      </c>
      <c r="D15" s="584">
        <v>109887</v>
      </c>
      <c r="E15" s="584">
        <v>109887</v>
      </c>
      <c r="H15" s="584">
        <v>109887</v>
      </c>
      <c r="J15" s="2044">
        <v>109887</v>
      </c>
      <c r="K15" s="584">
        <v>109887</v>
      </c>
      <c r="M15" s="584">
        <v>109887</v>
      </c>
    </row>
    <row r="16" spans="1:16">
      <c r="B16" t="s">
        <v>2462</v>
      </c>
      <c r="C16" t="s">
        <v>2444</v>
      </c>
      <c r="D16" s="584">
        <v>5866</v>
      </c>
      <c r="E16" s="584">
        <v>5866</v>
      </c>
      <c r="H16" s="584">
        <v>5866</v>
      </c>
      <c r="J16" s="2063">
        <v>5866</v>
      </c>
      <c r="K16" s="584">
        <v>5866</v>
      </c>
      <c r="M16" s="584">
        <v>5866</v>
      </c>
    </row>
    <row r="17" spans="1:16">
      <c r="A17" t="s">
        <v>2222</v>
      </c>
      <c r="D17" s="584">
        <f>SUM(D15:D16)</f>
        <v>115753</v>
      </c>
      <c r="E17" s="584">
        <f>SUM(E15:E16)</f>
        <v>115753</v>
      </c>
      <c r="F17" s="584"/>
      <c r="G17" s="584"/>
      <c r="H17" s="584">
        <f>SUM(H15:H16)</f>
        <v>115753</v>
      </c>
      <c r="I17" s="584"/>
      <c r="J17" s="584">
        <f>SUM(J15:J16)</f>
        <v>115753</v>
      </c>
      <c r="K17" s="584">
        <f>SUM(K15:K16)</f>
        <v>115753</v>
      </c>
      <c r="L17" s="584"/>
      <c r="M17" s="584">
        <f>SUM(M15:M16)</f>
        <v>115753</v>
      </c>
      <c r="N17" s="2067"/>
      <c r="O17" s="2067"/>
      <c r="P17" s="2066"/>
    </row>
    <row r="18" spans="1:16">
      <c r="J18" s="2007"/>
    </row>
    <row r="19" spans="1:16">
      <c r="A19" t="s">
        <v>2461</v>
      </c>
      <c r="J19" s="2007"/>
    </row>
    <row r="20" spans="1:16">
      <c r="A20" t="s">
        <v>2448</v>
      </c>
      <c r="C20" t="s">
        <v>2411</v>
      </c>
      <c r="D20" s="584">
        <v>414834</v>
      </c>
      <c r="E20" s="584">
        <v>290848</v>
      </c>
      <c r="F20" s="584">
        <v>85904</v>
      </c>
      <c r="G20" s="584">
        <v>38082</v>
      </c>
      <c r="I20" s="584">
        <v>290848</v>
      </c>
      <c r="J20" s="2065">
        <v>290848</v>
      </c>
      <c r="L20" s="584">
        <v>199821</v>
      </c>
      <c r="M20" s="584">
        <v>199821</v>
      </c>
      <c r="O20" s="584">
        <v>91027</v>
      </c>
      <c r="P20" s="584">
        <v>91027</v>
      </c>
    </row>
    <row r="21" spans="1:16">
      <c r="A21" t="s">
        <v>2460</v>
      </c>
      <c r="C21" t="s">
        <v>2455</v>
      </c>
      <c r="D21" s="584">
        <v>9729</v>
      </c>
      <c r="E21" s="584">
        <v>7505</v>
      </c>
      <c r="F21" s="584">
        <v>2224</v>
      </c>
      <c r="I21" s="584">
        <v>7505</v>
      </c>
      <c r="J21" s="2065">
        <v>7505</v>
      </c>
      <c r="L21" s="584">
        <v>4839</v>
      </c>
      <c r="M21" s="584">
        <v>4839</v>
      </c>
      <c r="O21" s="584">
        <v>2666</v>
      </c>
      <c r="P21" s="584">
        <v>2666</v>
      </c>
    </row>
    <row r="22" spans="1:16">
      <c r="C22" t="s">
        <v>2459</v>
      </c>
      <c r="D22" s="584">
        <v>14795</v>
      </c>
      <c r="F22" s="584">
        <v>14795</v>
      </c>
      <c r="J22" s="2007"/>
    </row>
    <row r="23" spans="1:16">
      <c r="C23" t="s">
        <v>2443</v>
      </c>
      <c r="D23" s="584">
        <v>24862</v>
      </c>
      <c r="F23" s="584">
        <v>24862</v>
      </c>
      <c r="J23" s="2007"/>
    </row>
    <row r="24" spans="1:16">
      <c r="C24" t="s">
        <v>2442</v>
      </c>
      <c r="D24" s="584">
        <v>6607</v>
      </c>
      <c r="G24" s="584">
        <v>6607</v>
      </c>
      <c r="J24" s="2007"/>
    </row>
    <row r="25" spans="1:16">
      <c r="A25" t="s">
        <v>2458</v>
      </c>
      <c r="D25" s="584">
        <f>SUM(D20:D24)</f>
        <v>470827</v>
      </c>
      <c r="E25" s="584">
        <f>SUM(E20:E24)</f>
        <v>298353</v>
      </c>
      <c r="F25" s="584">
        <f>SUM(F20:F24)</f>
        <v>127785</v>
      </c>
      <c r="G25" s="584">
        <f>SUM(G20:G24)</f>
        <v>44689</v>
      </c>
      <c r="H25" s="584"/>
      <c r="I25" s="584">
        <f>SUM(I20:I24)</f>
        <v>298353</v>
      </c>
      <c r="J25" s="584">
        <f>SUM(J20:J24)</f>
        <v>298353</v>
      </c>
      <c r="K25" s="584"/>
      <c r="L25" s="584">
        <f>SUM(L20:L24)</f>
        <v>204660</v>
      </c>
      <c r="M25" s="584">
        <f>SUM(M20:M24)</f>
        <v>204660</v>
      </c>
      <c r="N25" s="584"/>
      <c r="O25" s="584">
        <f>SUM(O20:O24)</f>
        <v>93693</v>
      </c>
      <c r="P25" s="584">
        <f>SUM(P20:P24)</f>
        <v>93693</v>
      </c>
    </row>
    <row r="26" spans="1:16">
      <c r="J26" s="2007"/>
    </row>
    <row r="27" spans="1:16">
      <c r="A27" t="s">
        <v>2508</v>
      </c>
      <c r="J27" s="2007"/>
    </row>
    <row r="28" spans="1:16">
      <c r="A28" t="s">
        <v>2448</v>
      </c>
      <c r="C28" t="s">
        <v>2411</v>
      </c>
      <c r="D28" s="584">
        <v>29913664</v>
      </c>
      <c r="E28" s="584">
        <v>21112466</v>
      </c>
      <c r="F28" s="584">
        <v>6136190</v>
      </c>
      <c r="G28" s="584">
        <v>2665008</v>
      </c>
      <c r="I28" s="584">
        <v>21112466</v>
      </c>
      <c r="J28" s="2065">
        <v>21112466</v>
      </c>
      <c r="L28" s="584">
        <v>14607504</v>
      </c>
      <c r="M28" s="584">
        <v>14607504</v>
      </c>
      <c r="O28" s="584">
        <v>6504962</v>
      </c>
      <c r="P28" s="584">
        <v>6504962</v>
      </c>
    </row>
    <row r="29" spans="1:16">
      <c r="A29" t="s">
        <v>2456</v>
      </c>
      <c r="C29" t="s">
        <v>2455</v>
      </c>
      <c r="D29" s="584">
        <v>86219</v>
      </c>
      <c r="E29" s="584">
        <v>67141</v>
      </c>
      <c r="F29" s="584">
        <v>19078</v>
      </c>
      <c r="I29" s="584">
        <v>67141</v>
      </c>
      <c r="J29" s="2065">
        <v>67141</v>
      </c>
      <c r="L29" s="584">
        <v>46454</v>
      </c>
      <c r="M29" s="584">
        <v>46454</v>
      </c>
      <c r="O29" s="584">
        <v>20687</v>
      </c>
      <c r="P29" s="584">
        <v>20687</v>
      </c>
    </row>
    <row r="30" spans="1:16">
      <c r="A30" t="s">
        <v>2456</v>
      </c>
      <c r="C30" t="s">
        <v>2447</v>
      </c>
      <c r="D30" s="584">
        <v>7834</v>
      </c>
      <c r="E30" s="584">
        <v>6101</v>
      </c>
      <c r="F30" s="584">
        <v>1733</v>
      </c>
      <c r="H30" s="584">
        <v>6101</v>
      </c>
      <c r="J30" s="2065">
        <v>6101</v>
      </c>
      <c r="N30" s="584">
        <v>6101</v>
      </c>
      <c r="P30" s="584">
        <v>6101</v>
      </c>
    </row>
    <row r="31" spans="1:16">
      <c r="A31" t="s">
        <v>2456</v>
      </c>
      <c r="C31" t="s">
        <v>2446</v>
      </c>
      <c r="D31" s="584">
        <v>3703616</v>
      </c>
      <c r="E31" s="584">
        <v>2884117</v>
      </c>
      <c r="F31" s="584">
        <v>819499</v>
      </c>
      <c r="H31" s="584">
        <v>2884117</v>
      </c>
      <c r="J31" s="2065">
        <v>2884117</v>
      </c>
      <c r="K31" s="584">
        <v>2884117</v>
      </c>
      <c r="M31" s="584">
        <v>2884117</v>
      </c>
      <c r="P31">
        <v>0</v>
      </c>
    </row>
    <row r="32" spans="1:16">
      <c r="A32">
        <v>4</v>
      </c>
      <c r="C32" t="s">
        <v>2445</v>
      </c>
      <c r="D32" s="584">
        <v>2727532</v>
      </c>
      <c r="E32" s="584">
        <v>2727532</v>
      </c>
      <c r="I32" s="584">
        <v>2727532</v>
      </c>
      <c r="J32" s="2063">
        <v>2727532</v>
      </c>
      <c r="L32" s="584">
        <v>1887152</v>
      </c>
      <c r="M32" s="584">
        <v>1887152</v>
      </c>
      <c r="O32" s="584">
        <v>840380</v>
      </c>
      <c r="P32" s="584">
        <v>840380</v>
      </c>
    </row>
    <row r="33" spans="1:16">
      <c r="C33" t="s">
        <v>2454</v>
      </c>
      <c r="D33">
        <v>-32</v>
      </c>
      <c r="E33">
        <v>-32</v>
      </c>
      <c r="H33">
        <v>-32</v>
      </c>
      <c r="J33" s="2064">
        <v>-32</v>
      </c>
      <c r="N33">
        <v>-32</v>
      </c>
      <c r="P33">
        <v>-32</v>
      </c>
    </row>
    <row r="34" spans="1:16">
      <c r="C34" t="s">
        <v>2444</v>
      </c>
      <c r="D34" s="584">
        <v>227798</v>
      </c>
      <c r="E34" s="584">
        <v>227798</v>
      </c>
      <c r="H34" s="584">
        <v>227798</v>
      </c>
      <c r="J34" s="2063">
        <v>227798</v>
      </c>
      <c r="K34" s="584">
        <v>227798</v>
      </c>
      <c r="M34" s="584">
        <v>227798</v>
      </c>
    </row>
    <row r="35" spans="1:16">
      <c r="A35">
        <v>8</v>
      </c>
      <c r="C35" t="s">
        <v>2412</v>
      </c>
      <c r="D35" s="584">
        <v>128573</v>
      </c>
      <c r="F35" s="584">
        <v>89713</v>
      </c>
      <c r="G35" s="584">
        <v>38860</v>
      </c>
      <c r="J35" s="2007"/>
    </row>
    <row r="36" spans="1:16">
      <c r="C36" t="s">
        <v>2451</v>
      </c>
      <c r="D36">
        <v>0</v>
      </c>
      <c r="F36">
        <v>0</v>
      </c>
      <c r="J36" s="2007"/>
    </row>
    <row r="37" spans="1:16">
      <c r="C37" t="s">
        <v>2442</v>
      </c>
      <c r="D37">
        <v>0</v>
      </c>
      <c r="G37">
        <v>0</v>
      </c>
      <c r="J37" s="2007"/>
    </row>
    <row r="38" spans="1:16">
      <c r="A38" t="s">
        <v>2507</v>
      </c>
      <c r="D38" s="584">
        <f t="shared" ref="D38:P38" si="0">SUM(D28:D37)</f>
        <v>36795204</v>
      </c>
      <c r="E38" s="584">
        <f t="shared" si="0"/>
        <v>27025123</v>
      </c>
      <c r="F38" s="584">
        <f t="shared" si="0"/>
        <v>7066213</v>
      </c>
      <c r="G38" s="584">
        <f t="shared" si="0"/>
        <v>2703868</v>
      </c>
      <c r="H38" s="584">
        <f t="shared" si="0"/>
        <v>3117984</v>
      </c>
      <c r="I38" s="584">
        <f t="shared" si="0"/>
        <v>23907139</v>
      </c>
      <c r="J38" s="584">
        <f t="shared" si="0"/>
        <v>27025123</v>
      </c>
      <c r="K38" s="584">
        <f t="shared" si="0"/>
        <v>3111915</v>
      </c>
      <c r="L38" s="584">
        <f t="shared" si="0"/>
        <v>16541110</v>
      </c>
      <c r="M38" s="584">
        <f t="shared" si="0"/>
        <v>19653025</v>
      </c>
      <c r="N38" s="584">
        <f t="shared" si="0"/>
        <v>6069</v>
      </c>
      <c r="O38" s="584">
        <f t="shared" si="0"/>
        <v>7366029</v>
      </c>
      <c r="P38" s="584">
        <f t="shared" si="0"/>
        <v>7372098</v>
      </c>
    </row>
    <row r="39" spans="1:16">
      <c r="J39" s="2007"/>
    </row>
    <row r="40" spans="1:16">
      <c r="A40" t="s">
        <v>2452</v>
      </c>
      <c r="J40" s="2007"/>
    </row>
    <row r="41" spans="1:16">
      <c r="C41" t="s">
        <v>2451</v>
      </c>
      <c r="D41">
        <v>0</v>
      </c>
      <c r="F41">
        <v>0</v>
      </c>
      <c r="J41" s="2007"/>
    </row>
    <row r="42" spans="1:16">
      <c r="A42" t="s">
        <v>2450</v>
      </c>
      <c r="D42">
        <v>0</v>
      </c>
      <c r="F42">
        <v>0</v>
      </c>
      <c r="J42" s="2007"/>
    </row>
    <row r="43" spans="1:16">
      <c r="J43" s="2007"/>
    </row>
    <row r="44" spans="1:16">
      <c r="A44" t="s">
        <v>2449</v>
      </c>
      <c r="J44" s="2007"/>
    </row>
    <row r="45" spans="1:16">
      <c r="A45" t="s">
        <v>2448</v>
      </c>
      <c r="C45" t="s">
        <v>2411</v>
      </c>
      <c r="D45">
        <v>0</v>
      </c>
      <c r="E45">
        <v>0</v>
      </c>
      <c r="F45">
        <v>0</v>
      </c>
      <c r="G45">
        <v>0</v>
      </c>
      <c r="I45">
        <v>0</v>
      </c>
      <c r="J45" s="2007">
        <v>0</v>
      </c>
      <c r="L45">
        <v>0</v>
      </c>
      <c r="M45">
        <v>0</v>
      </c>
      <c r="O45">
        <v>0</v>
      </c>
      <c r="P45">
        <v>0</v>
      </c>
    </row>
    <row r="46" spans="1:16">
      <c r="A46">
        <v>4</v>
      </c>
      <c r="C46" t="s">
        <v>2445</v>
      </c>
      <c r="D46" s="584">
        <v>422431</v>
      </c>
      <c r="E46" s="584">
        <v>422431</v>
      </c>
      <c r="I46" s="584">
        <v>422431</v>
      </c>
      <c r="J46" s="2043">
        <v>422431</v>
      </c>
      <c r="L46" s="584">
        <v>290223</v>
      </c>
      <c r="M46" s="584">
        <v>290223</v>
      </c>
      <c r="O46" s="584">
        <v>132208</v>
      </c>
      <c r="P46" s="584">
        <v>132208</v>
      </c>
    </row>
    <row r="47" spans="1:16">
      <c r="C47" t="s">
        <v>2442</v>
      </c>
      <c r="D47">
        <v>0</v>
      </c>
      <c r="G47">
        <v>0</v>
      </c>
      <c r="J47" s="2007"/>
    </row>
    <row r="48" spans="1:16">
      <c r="A48" t="s">
        <v>2441</v>
      </c>
      <c r="D48" s="584">
        <f>SUM(D45:D47)</f>
        <v>422431</v>
      </c>
      <c r="E48" s="584">
        <f>SUM(E45:E47)</f>
        <v>422431</v>
      </c>
      <c r="F48" s="584">
        <f>SUM(F45:F47)</f>
        <v>0</v>
      </c>
      <c r="G48" s="584">
        <f>SUM(G45:G47)</f>
        <v>0</v>
      </c>
      <c r="H48" s="584"/>
      <c r="I48" s="584">
        <f>SUM(I45:I47)</f>
        <v>422431</v>
      </c>
      <c r="J48" s="584">
        <f>SUM(J45:J47)</f>
        <v>422431</v>
      </c>
      <c r="K48" s="584"/>
      <c r="L48" s="584">
        <f>SUM(L41:L47)</f>
        <v>290223</v>
      </c>
      <c r="M48" s="584">
        <f>SUM(M41:M47)</f>
        <v>290223</v>
      </c>
      <c r="N48" s="584"/>
      <c r="O48" s="584">
        <f>SUM(O41:O47)</f>
        <v>132208</v>
      </c>
      <c r="P48" s="584">
        <f>SUM(P41:P47)</f>
        <v>132208</v>
      </c>
    </row>
    <row r="49" spans="1:16">
      <c r="J49" s="2007"/>
    </row>
    <row r="50" spans="1:16">
      <c r="A50" t="s">
        <v>2506</v>
      </c>
      <c r="D50" s="584">
        <f t="shared" ref="D50:P50" si="1">SUM(D48,D42,D38,D25,D17, D12)</f>
        <v>38985369</v>
      </c>
      <c r="E50" s="584">
        <f t="shared" si="1"/>
        <v>29042814</v>
      </c>
      <c r="F50" s="584">
        <f t="shared" si="1"/>
        <v>7193998</v>
      </c>
      <c r="G50" s="584">
        <f t="shared" si="1"/>
        <v>2748557</v>
      </c>
      <c r="H50" s="584">
        <f t="shared" si="1"/>
        <v>3233737</v>
      </c>
      <c r="I50" s="584">
        <f t="shared" si="1"/>
        <v>25809077</v>
      </c>
      <c r="J50" s="584">
        <f t="shared" si="1"/>
        <v>29042814</v>
      </c>
      <c r="K50" s="584">
        <f t="shared" si="1"/>
        <v>3227668</v>
      </c>
      <c r="L50" s="584">
        <f t="shared" si="1"/>
        <v>17797601</v>
      </c>
      <c r="M50" s="584">
        <f t="shared" si="1"/>
        <v>21025269</v>
      </c>
      <c r="N50" s="584">
        <f t="shared" si="1"/>
        <v>6069</v>
      </c>
      <c r="O50" s="584">
        <f t="shared" si="1"/>
        <v>8011476</v>
      </c>
      <c r="P50" s="584">
        <f t="shared" si="1"/>
        <v>8017545</v>
      </c>
    </row>
    <row r="52" spans="1:16">
      <c r="A52" t="s">
        <v>2437</v>
      </c>
    </row>
    <row r="53" spans="1:16">
      <c r="A53" t="s">
        <v>2436</v>
      </c>
      <c r="E53" t="s">
        <v>515</v>
      </c>
      <c r="F53" t="s">
        <v>2435</v>
      </c>
      <c r="G53" t="s">
        <v>2434</v>
      </c>
      <c r="I53" t="s">
        <v>2433</v>
      </c>
      <c r="L53" t="s">
        <v>2432</v>
      </c>
      <c r="O53" t="s">
        <v>2431</v>
      </c>
    </row>
    <row r="54" spans="1:16">
      <c r="A54">
        <v>7</v>
      </c>
      <c r="B54" t="s">
        <v>2371</v>
      </c>
      <c r="E54" s="1134">
        <v>0.70111999999999997</v>
      </c>
      <c r="F54" s="1134">
        <v>0.20707999999999999</v>
      </c>
      <c r="G54" s="1134">
        <v>9.1800000000000007E-2</v>
      </c>
      <c r="I54">
        <v>1</v>
      </c>
      <c r="J54" t="s">
        <v>2430</v>
      </c>
      <c r="L54" s="1134">
        <v>0.64480000000000004</v>
      </c>
      <c r="O54" s="1134">
        <v>0.35520000000000002</v>
      </c>
    </row>
    <row r="55" spans="1:16">
      <c r="A55">
        <v>8</v>
      </c>
      <c r="B55" t="s">
        <v>2370</v>
      </c>
      <c r="E55" s="1134">
        <v>0</v>
      </c>
      <c r="F55" s="1134">
        <v>0.69035000000000002</v>
      </c>
      <c r="G55" s="1134">
        <v>0.30964999999999998</v>
      </c>
      <c r="I55">
        <v>4</v>
      </c>
      <c r="J55" t="s">
        <v>2429</v>
      </c>
      <c r="L55" s="1134">
        <v>0.68703000000000003</v>
      </c>
      <c r="O55" s="1134">
        <v>0.31297000000000003</v>
      </c>
    </row>
    <row r="56" spans="1:16">
      <c r="A56">
        <v>9</v>
      </c>
      <c r="B56" t="s">
        <v>2369</v>
      </c>
      <c r="E56" s="1134">
        <v>0.77144000000000001</v>
      </c>
      <c r="F56" s="1134">
        <v>0.22856000000000001</v>
      </c>
      <c r="G56" s="1134">
        <v>0</v>
      </c>
    </row>
    <row r="59" spans="1:16">
      <c r="A59" t="s">
        <v>2409</v>
      </c>
      <c r="E59" t="s">
        <v>2408</v>
      </c>
      <c r="H59" t="s">
        <v>2407</v>
      </c>
    </row>
    <row r="60" spans="1:16">
      <c r="A60" t="s">
        <v>2505</v>
      </c>
      <c r="E60" t="s">
        <v>2504</v>
      </c>
    </row>
    <row r="61" spans="1:16">
      <c r="A61" t="s">
        <v>2404</v>
      </c>
    </row>
    <row r="62" spans="1:16">
      <c r="A62" t="s">
        <v>2402</v>
      </c>
    </row>
    <row r="64" spans="1:16">
      <c r="E64" t="s">
        <v>2473</v>
      </c>
      <c r="F64" t="s">
        <v>2473</v>
      </c>
      <c r="G64" t="s">
        <v>2473</v>
      </c>
    </row>
    <row r="65" spans="1:16">
      <c r="D65" t="s">
        <v>2472</v>
      </c>
      <c r="E65" t="s">
        <v>2394</v>
      </c>
      <c r="F65" t="s">
        <v>2394</v>
      </c>
      <c r="G65" t="s">
        <v>2394</v>
      </c>
      <c r="I65" t="s">
        <v>2471</v>
      </c>
      <c r="L65" t="s">
        <v>2470</v>
      </c>
      <c r="O65" t="s">
        <v>2469</v>
      </c>
    </row>
    <row r="66" spans="1:16">
      <c r="A66" t="s">
        <v>2398</v>
      </c>
      <c r="D66" t="s">
        <v>104</v>
      </c>
      <c r="E66" t="s">
        <v>2468</v>
      </c>
      <c r="F66" t="s">
        <v>2467</v>
      </c>
      <c r="G66" t="s">
        <v>2466</v>
      </c>
      <c r="H66" t="s">
        <v>2189</v>
      </c>
      <c r="I66" t="s">
        <v>2394</v>
      </c>
      <c r="J66" t="s">
        <v>104</v>
      </c>
      <c r="K66" t="s">
        <v>2189</v>
      </c>
      <c r="L66" t="s">
        <v>2394</v>
      </c>
      <c r="M66" t="s">
        <v>104</v>
      </c>
      <c r="N66" t="s">
        <v>2189</v>
      </c>
      <c r="O66" t="s">
        <v>2394</v>
      </c>
      <c r="P66" t="s">
        <v>104</v>
      </c>
    </row>
    <row r="67" spans="1:16">
      <c r="A67" t="s">
        <v>2490</v>
      </c>
    </row>
    <row r="68" spans="1:16">
      <c r="A68">
        <v>1</v>
      </c>
      <c r="B68" t="s">
        <v>2489</v>
      </c>
      <c r="D68" s="584">
        <v>4227705</v>
      </c>
      <c r="E68" s="584">
        <v>4227705</v>
      </c>
      <c r="I68" s="584">
        <v>4227705</v>
      </c>
      <c r="J68" s="2043">
        <v>4227705</v>
      </c>
      <c r="L68" s="584">
        <v>2726024</v>
      </c>
      <c r="M68" s="584">
        <v>2726024</v>
      </c>
      <c r="O68" s="584">
        <v>1501681</v>
      </c>
      <c r="P68" s="584">
        <v>1501681</v>
      </c>
    </row>
    <row r="69" spans="1:16">
      <c r="B69" t="s">
        <v>2488</v>
      </c>
      <c r="D69" s="584">
        <v>4369441</v>
      </c>
      <c r="E69" s="584">
        <v>4369441</v>
      </c>
      <c r="H69" s="584">
        <v>4369441</v>
      </c>
      <c r="J69" s="2043">
        <v>4369441</v>
      </c>
      <c r="N69" s="584">
        <v>4369441</v>
      </c>
      <c r="P69" s="584">
        <v>4369441</v>
      </c>
    </row>
    <row r="70" spans="1:16">
      <c r="B70" t="s">
        <v>2487</v>
      </c>
      <c r="D70" s="584">
        <v>11235468</v>
      </c>
      <c r="E70" s="584">
        <v>11235468</v>
      </c>
      <c r="H70" s="584">
        <v>11235468</v>
      </c>
      <c r="J70" s="2043">
        <v>11235468</v>
      </c>
      <c r="K70" s="584">
        <v>11235468</v>
      </c>
      <c r="M70" s="584">
        <v>11235468</v>
      </c>
    </row>
    <row r="71" spans="1:16">
      <c r="A71">
        <v>1</v>
      </c>
      <c r="B71" t="s">
        <v>2486</v>
      </c>
      <c r="D71" s="584">
        <v>16632247</v>
      </c>
      <c r="E71" s="584">
        <v>16632247</v>
      </c>
      <c r="I71" s="584">
        <v>16632247</v>
      </c>
      <c r="J71" s="2043">
        <v>16632247</v>
      </c>
      <c r="L71" s="584">
        <v>10724473</v>
      </c>
      <c r="M71" s="584">
        <v>10724473</v>
      </c>
      <c r="O71" s="584">
        <v>5907774</v>
      </c>
      <c r="P71" s="584">
        <v>5907774</v>
      </c>
    </row>
    <row r="72" spans="1:16">
      <c r="A72">
        <v>1</v>
      </c>
      <c r="B72" t="s">
        <v>2485</v>
      </c>
      <c r="D72" s="584">
        <v>11021689</v>
      </c>
      <c r="E72" s="584">
        <v>11021689</v>
      </c>
      <c r="I72" s="584">
        <v>11021689</v>
      </c>
      <c r="J72" s="2043">
        <v>11021689</v>
      </c>
      <c r="L72" s="584">
        <v>7106785</v>
      </c>
      <c r="M72" s="584">
        <v>7106785</v>
      </c>
      <c r="O72" s="584">
        <v>3914904</v>
      </c>
      <c r="P72" s="584">
        <v>3914904</v>
      </c>
    </row>
    <row r="73" spans="1:16">
      <c r="A73" t="s">
        <v>2484</v>
      </c>
      <c r="D73" s="584">
        <f>SUM(D68:D72)</f>
        <v>47486550</v>
      </c>
      <c r="E73" s="584">
        <f>SUM(E68:E72)</f>
        <v>47486550</v>
      </c>
      <c r="F73" s="584"/>
      <c r="G73" s="584"/>
      <c r="H73" s="584">
        <f t="shared" ref="H73:P73" si="2">SUM(H68:H72)</f>
        <v>15604909</v>
      </c>
      <c r="I73" s="584">
        <f t="shared" si="2"/>
        <v>31881641</v>
      </c>
      <c r="J73" s="584">
        <f t="shared" si="2"/>
        <v>47486550</v>
      </c>
      <c r="K73" s="584">
        <f t="shared" si="2"/>
        <v>11235468</v>
      </c>
      <c r="L73" s="584">
        <f t="shared" si="2"/>
        <v>20557282</v>
      </c>
      <c r="M73" s="584">
        <f t="shared" si="2"/>
        <v>31792750</v>
      </c>
      <c r="N73" s="584">
        <f t="shared" si="2"/>
        <v>4369441</v>
      </c>
      <c r="O73" s="584">
        <f t="shared" si="2"/>
        <v>11324359</v>
      </c>
      <c r="P73" s="584">
        <f t="shared" si="2"/>
        <v>15693800</v>
      </c>
    </row>
    <row r="74" spans="1:16">
      <c r="J74" s="2007"/>
    </row>
    <row r="75" spans="1:16">
      <c r="A75" t="s">
        <v>2483</v>
      </c>
      <c r="J75" s="2007"/>
    </row>
    <row r="76" spans="1:16">
      <c r="A76">
        <v>1</v>
      </c>
      <c r="B76" t="s">
        <v>2445</v>
      </c>
      <c r="D76" s="584">
        <v>20269922</v>
      </c>
      <c r="E76" s="584">
        <v>20269922</v>
      </c>
      <c r="I76" s="584">
        <v>20269922</v>
      </c>
      <c r="J76" s="2043">
        <v>20269922</v>
      </c>
      <c r="L76" s="584">
        <v>13070046</v>
      </c>
      <c r="M76" s="584">
        <v>13070046</v>
      </c>
      <c r="O76" s="584">
        <v>7199876</v>
      </c>
      <c r="P76" s="584">
        <v>7199876</v>
      </c>
    </row>
    <row r="77" spans="1:16">
      <c r="B77" t="s">
        <v>2454</v>
      </c>
      <c r="D77" s="584">
        <v>272723</v>
      </c>
      <c r="E77" s="584">
        <v>272723</v>
      </c>
      <c r="H77" s="584">
        <v>272723</v>
      </c>
      <c r="J77" s="2043">
        <v>272723</v>
      </c>
      <c r="N77" s="584">
        <v>272723</v>
      </c>
      <c r="P77" s="584">
        <v>272723</v>
      </c>
    </row>
    <row r="78" spans="1:16">
      <c r="B78" t="s">
        <v>2444</v>
      </c>
      <c r="D78" s="584">
        <v>522026</v>
      </c>
      <c r="E78" s="584">
        <v>522026</v>
      </c>
      <c r="H78" s="584">
        <v>522026</v>
      </c>
      <c r="J78" s="2043">
        <v>522026</v>
      </c>
      <c r="K78" s="584">
        <v>522026</v>
      </c>
      <c r="M78" s="584">
        <v>522026</v>
      </c>
    </row>
    <row r="79" spans="1:16">
      <c r="A79" t="s">
        <v>2482</v>
      </c>
      <c r="D79" s="584">
        <f>SUM(D76:D78)</f>
        <v>21064671</v>
      </c>
      <c r="E79" s="584">
        <f>SUM(E76:E78)</f>
        <v>21064671</v>
      </c>
      <c r="F79" s="584"/>
      <c r="G79" s="584"/>
      <c r="H79" s="584">
        <f t="shared" ref="H79:P79" si="3">SUM(H76:H78)</f>
        <v>794749</v>
      </c>
      <c r="I79" s="584">
        <f t="shared" si="3"/>
        <v>20269922</v>
      </c>
      <c r="J79" s="584">
        <f t="shared" si="3"/>
        <v>21064671</v>
      </c>
      <c r="K79" s="584">
        <f t="shared" si="3"/>
        <v>522026</v>
      </c>
      <c r="L79" s="584">
        <f t="shared" si="3"/>
        <v>13070046</v>
      </c>
      <c r="M79" s="584">
        <f t="shared" si="3"/>
        <v>13592072</v>
      </c>
      <c r="N79" s="584">
        <f t="shared" si="3"/>
        <v>272723</v>
      </c>
      <c r="O79" s="584">
        <f t="shared" si="3"/>
        <v>7199876</v>
      </c>
      <c r="P79" s="584">
        <f t="shared" si="3"/>
        <v>7472599</v>
      </c>
    </row>
    <row r="80" spans="1:16">
      <c r="J80" s="2007"/>
    </row>
    <row r="81" spans="1:16">
      <c r="A81" t="s">
        <v>2481</v>
      </c>
      <c r="J81" s="2007"/>
    </row>
    <row r="82" spans="1:16">
      <c r="A82">
        <v>3</v>
      </c>
      <c r="B82" t="s">
        <v>2445</v>
      </c>
      <c r="D82" s="584">
        <v>86671</v>
      </c>
      <c r="E82" s="584">
        <v>86671</v>
      </c>
      <c r="I82" s="584">
        <v>86671</v>
      </c>
      <c r="J82" s="2043">
        <v>86671</v>
      </c>
      <c r="L82" s="584">
        <v>60335</v>
      </c>
      <c r="M82" s="584">
        <v>60335</v>
      </c>
      <c r="O82" s="584">
        <v>26336</v>
      </c>
      <c r="P82" s="584">
        <v>26336</v>
      </c>
    </row>
    <row r="83" spans="1:16">
      <c r="B83" t="s">
        <v>2454</v>
      </c>
      <c r="D83" s="584">
        <v>20587230</v>
      </c>
      <c r="E83" s="584">
        <v>20587230</v>
      </c>
      <c r="H83" s="584">
        <v>20587230</v>
      </c>
      <c r="J83" s="2043">
        <v>20587230</v>
      </c>
      <c r="N83" s="584">
        <v>20587230</v>
      </c>
      <c r="P83" s="584">
        <v>20587230</v>
      </c>
    </row>
    <row r="84" spans="1:16">
      <c r="B84" t="s">
        <v>2444</v>
      </c>
      <c r="D84" s="584">
        <v>39835680</v>
      </c>
      <c r="E84" s="584">
        <v>39835680</v>
      </c>
      <c r="H84" s="584">
        <v>39835680</v>
      </c>
      <c r="J84" s="2043">
        <v>39835680</v>
      </c>
      <c r="K84" s="584">
        <v>39835680</v>
      </c>
      <c r="M84" s="584">
        <v>39835680</v>
      </c>
    </row>
    <row r="85" spans="1:16">
      <c r="A85" t="s">
        <v>2480</v>
      </c>
      <c r="D85" s="584">
        <f>SUM(D82:D84)</f>
        <v>60509581</v>
      </c>
      <c r="E85" s="584">
        <f>SUM(E82:E84)</f>
        <v>60509581</v>
      </c>
      <c r="F85" s="584"/>
      <c r="G85" s="584"/>
      <c r="H85" s="584">
        <f t="shared" ref="H85:P85" si="4">SUM(H82:H84)</f>
        <v>60422910</v>
      </c>
      <c r="I85" s="584">
        <f t="shared" si="4"/>
        <v>86671</v>
      </c>
      <c r="J85" s="584">
        <f t="shared" si="4"/>
        <v>60509581</v>
      </c>
      <c r="K85" s="584">
        <f t="shared" si="4"/>
        <v>39835680</v>
      </c>
      <c r="L85" s="584">
        <f t="shared" si="4"/>
        <v>60335</v>
      </c>
      <c r="M85" s="584">
        <f t="shared" si="4"/>
        <v>39896015</v>
      </c>
      <c r="N85" s="584">
        <f t="shared" si="4"/>
        <v>20587230</v>
      </c>
      <c r="O85" s="584">
        <f t="shared" si="4"/>
        <v>26336</v>
      </c>
      <c r="P85" s="584">
        <f t="shared" si="4"/>
        <v>20613566</v>
      </c>
    </row>
    <row r="86" spans="1:16">
      <c r="J86" s="2007"/>
    </row>
    <row r="87" spans="1:16">
      <c r="A87" t="s">
        <v>2452</v>
      </c>
      <c r="J87" s="2007"/>
    </row>
    <row r="88" spans="1:16">
      <c r="B88" t="s">
        <v>2451</v>
      </c>
      <c r="D88" s="584">
        <v>766986</v>
      </c>
      <c r="F88" s="584">
        <v>766986</v>
      </c>
      <c r="J88" s="2007"/>
    </row>
    <row r="89" spans="1:16">
      <c r="B89" t="s">
        <v>2442</v>
      </c>
      <c r="D89" s="584">
        <v>129752</v>
      </c>
      <c r="G89" s="584">
        <v>129752</v>
      </c>
      <c r="J89" s="2007"/>
    </row>
    <row r="90" spans="1:16">
      <c r="A90" t="s">
        <v>2450</v>
      </c>
      <c r="D90" s="584">
        <f>SUM(D88:D89)</f>
        <v>896738</v>
      </c>
      <c r="E90" s="584"/>
      <c r="F90" s="584">
        <f>SUM(F88:F89)</f>
        <v>766986</v>
      </c>
      <c r="G90" s="584">
        <f>SUM(G88:G89)</f>
        <v>129752</v>
      </c>
      <c r="J90" s="2007"/>
    </row>
    <row r="91" spans="1:16">
      <c r="J91" s="2007"/>
    </row>
    <row r="92" spans="1:16">
      <c r="A92" t="s">
        <v>2479</v>
      </c>
      <c r="J92" s="2007"/>
    </row>
    <row r="93" spans="1:16">
      <c r="B93" t="s">
        <v>2451</v>
      </c>
      <c r="D93" s="584">
        <v>57432</v>
      </c>
      <c r="F93" s="584">
        <v>57432</v>
      </c>
      <c r="J93" s="2007"/>
    </row>
    <row r="94" spans="1:16">
      <c r="B94" t="s">
        <v>2459</v>
      </c>
      <c r="D94" s="584">
        <v>7217145</v>
      </c>
      <c r="F94" s="584">
        <v>7217145</v>
      </c>
      <c r="J94" s="2007"/>
    </row>
    <row r="95" spans="1:16">
      <c r="B95" t="s">
        <v>2443</v>
      </c>
      <c r="D95" s="584">
        <v>16993528</v>
      </c>
      <c r="F95" s="584">
        <v>16993528</v>
      </c>
      <c r="J95" s="2007"/>
    </row>
    <row r="96" spans="1:16">
      <c r="B96" t="s">
        <v>2442</v>
      </c>
      <c r="D96" s="584">
        <v>11025577</v>
      </c>
      <c r="G96" s="584">
        <v>11025577</v>
      </c>
      <c r="J96" s="2007"/>
    </row>
    <row r="97" spans="1:16">
      <c r="A97" t="s">
        <v>2478</v>
      </c>
      <c r="D97" s="584">
        <f>SUM(D93:D96)</f>
        <v>35293682</v>
      </c>
      <c r="E97" s="584"/>
      <c r="F97" s="584">
        <f>SUM(F93:F96)</f>
        <v>24268105</v>
      </c>
      <c r="G97" s="584">
        <f>SUM(G93:G96)</f>
        <v>11025577</v>
      </c>
      <c r="J97" s="2007"/>
    </row>
    <row r="98" spans="1:16">
      <c r="J98" s="2007"/>
    </row>
    <row r="99" spans="1:16">
      <c r="A99" t="s">
        <v>92</v>
      </c>
      <c r="J99" s="2007"/>
    </row>
    <row r="100" spans="1:16">
      <c r="A100">
        <v>4</v>
      </c>
      <c r="B100" t="s">
        <v>2445</v>
      </c>
      <c r="D100" s="584">
        <v>2809853</v>
      </c>
      <c r="E100" s="584">
        <v>2809853</v>
      </c>
      <c r="I100" s="584">
        <v>2809853</v>
      </c>
      <c r="J100" s="2043">
        <v>2809853</v>
      </c>
      <c r="L100" s="584">
        <v>1930453</v>
      </c>
      <c r="M100" s="584">
        <v>1930453</v>
      </c>
      <c r="O100" s="584">
        <v>879400</v>
      </c>
      <c r="P100" s="584">
        <v>879400</v>
      </c>
    </row>
    <row r="101" spans="1:16">
      <c r="B101" t="s">
        <v>2454</v>
      </c>
      <c r="D101" s="584">
        <v>521706</v>
      </c>
      <c r="E101" s="584">
        <v>521706</v>
      </c>
      <c r="H101" s="584">
        <v>521706</v>
      </c>
      <c r="J101" s="2043">
        <v>521706</v>
      </c>
      <c r="N101" s="584">
        <v>521706</v>
      </c>
      <c r="P101" s="584">
        <v>521706</v>
      </c>
    </row>
    <row r="102" spans="1:16">
      <c r="B102" t="s">
        <v>2444</v>
      </c>
      <c r="D102" s="584">
        <v>1418464</v>
      </c>
      <c r="E102" s="584">
        <v>1418464</v>
      </c>
      <c r="H102" s="584">
        <v>1418464</v>
      </c>
      <c r="J102" s="2043">
        <v>1418464</v>
      </c>
      <c r="K102" s="584">
        <v>1418464</v>
      </c>
      <c r="M102" s="584">
        <v>1418464</v>
      </c>
    </row>
    <row r="103" spans="1:16">
      <c r="A103" t="s">
        <v>2448</v>
      </c>
      <c r="B103" t="s">
        <v>2411</v>
      </c>
      <c r="D103" s="584">
        <v>22402930</v>
      </c>
      <c r="E103" s="584">
        <v>15707142</v>
      </c>
      <c r="F103" s="584">
        <v>4639199</v>
      </c>
      <c r="G103" s="584">
        <v>2056589</v>
      </c>
      <c r="I103" s="584">
        <v>15707142</v>
      </c>
      <c r="J103" s="2043">
        <v>15707142</v>
      </c>
      <c r="L103" s="584">
        <v>10791278</v>
      </c>
      <c r="M103" s="584">
        <v>10791278</v>
      </c>
      <c r="O103" s="584">
        <v>4915864</v>
      </c>
      <c r="P103" s="584">
        <v>4915864</v>
      </c>
    </row>
    <row r="104" spans="1:16">
      <c r="A104" t="s">
        <v>2456</v>
      </c>
      <c r="B104" t="s">
        <v>2455</v>
      </c>
      <c r="D104" s="584">
        <v>765285</v>
      </c>
      <c r="E104" s="584">
        <v>590364</v>
      </c>
      <c r="F104" s="584">
        <v>174921</v>
      </c>
      <c r="I104" s="584">
        <v>590364</v>
      </c>
      <c r="J104" s="2043">
        <v>590364</v>
      </c>
      <c r="L104" s="584">
        <v>405598</v>
      </c>
      <c r="M104" s="584">
        <v>405598</v>
      </c>
      <c r="O104" s="584">
        <v>184766</v>
      </c>
      <c r="P104" s="584">
        <v>184766</v>
      </c>
    </row>
    <row r="105" spans="1:16">
      <c r="A105">
        <v>9</v>
      </c>
      <c r="B105" t="s">
        <v>2447</v>
      </c>
      <c r="D105" s="584">
        <v>473544</v>
      </c>
      <c r="E105" s="584">
        <v>365306</v>
      </c>
      <c r="F105" s="584">
        <v>108238</v>
      </c>
      <c r="H105" s="584">
        <v>365306</v>
      </c>
      <c r="J105" s="2043">
        <v>365306</v>
      </c>
      <c r="N105" s="584">
        <v>365306</v>
      </c>
      <c r="P105" s="584">
        <v>365306</v>
      </c>
    </row>
    <row r="106" spans="1:16">
      <c r="A106">
        <v>9</v>
      </c>
      <c r="B106" t="s">
        <v>2446</v>
      </c>
      <c r="D106" s="584">
        <v>2015781</v>
      </c>
      <c r="E106" s="584">
        <v>1555034</v>
      </c>
      <c r="F106" s="584">
        <v>460747</v>
      </c>
      <c r="H106" s="584">
        <v>1555034</v>
      </c>
      <c r="J106" s="2043">
        <v>1555034</v>
      </c>
      <c r="K106" s="584">
        <v>1555034</v>
      </c>
      <c r="M106" s="584">
        <v>1555034</v>
      </c>
    </row>
    <row r="107" spans="1:16">
      <c r="A107">
        <v>8</v>
      </c>
      <c r="B107" t="s">
        <v>2412</v>
      </c>
      <c r="D107" s="584">
        <v>355402</v>
      </c>
      <c r="F107" s="584">
        <v>245352</v>
      </c>
      <c r="G107" s="584">
        <v>110050</v>
      </c>
      <c r="J107" s="2007"/>
    </row>
    <row r="108" spans="1:16">
      <c r="B108" t="s">
        <v>2451</v>
      </c>
      <c r="D108" s="584">
        <v>28729</v>
      </c>
      <c r="F108" s="584">
        <v>28729</v>
      </c>
      <c r="J108" s="2007"/>
    </row>
    <row r="109" spans="1:16">
      <c r="B109" t="s">
        <v>2459</v>
      </c>
      <c r="D109" s="584">
        <v>42632</v>
      </c>
      <c r="F109" s="584">
        <v>42632</v>
      </c>
      <c r="J109" s="2007"/>
    </row>
    <row r="110" spans="1:16">
      <c r="B110" t="s">
        <v>2443</v>
      </c>
      <c r="D110" s="584">
        <v>1095909</v>
      </c>
      <c r="F110" s="584">
        <v>1095909</v>
      </c>
      <c r="J110" s="2007"/>
    </row>
    <row r="111" spans="1:16">
      <c r="B111" t="s">
        <v>2442</v>
      </c>
      <c r="D111" s="584">
        <v>186516</v>
      </c>
      <c r="G111" s="584">
        <v>186516</v>
      </c>
      <c r="J111" s="2007"/>
    </row>
    <row r="112" spans="1:16">
      <c r="A112" t="s">
        <v>135</v>
      </c>
      <c r="D112" s="584">
        <f t="shared" ref="D112:P112" si="5">SUM(D100:D111)</f>
        <v>32116751</v>
      </c>
      <c r="E112" s="584">
        <f t="shared" si="5"/>
        <v>22967869</v>
      </c>
      <c r="F112" s="584">
        <f t="shared" si="5"/>
        <v>6795727</v>
      </c>
      <c r="G112" s="584">
        <f t="shared" si="5"/>
        <v>2353155</v>
      </c>
      <c r="H112" s="584">
        <f t="shared" si="5"/>
        <v>3860510</v>
      </c>
      <c r="I112" s="584">
        <f t="shared" si="5"/>
        <v>19107359</v>
      </c>
      <c r="J112" s="584">
        <f t="shared" si="5"/>
        <v>22967869</v>
      </c>
      <c r="K112" s="584">
        <f t="shared" si="5"/>
        <v>2973498</v>
      </c>
      <c r="L112" s="584">
        <f t="shared" si="5"/>
        <v>13127329</v>
      </c>
      <c r="M112" s="584">
        <f t="shared" si="5"/>
        <v>16100827</v>
      </c>
      <c r="N112" s="584">
        <f t="shared" si="5"/>
        <v>887012</v>
      </c>
      <c r="O112" s="584">
        <f t="shared" si="5"/>
        <v>5980030</v>
      </c>
      <c r="P112" s="584">
        <f t="shared" si="5"/>
        <v>6867042</v>
      </c>
    </row>
    <row r="113" spans="1:16">
      <c r="J113" s="2007"/>
    </row>
    <row r="114" spans="1:16">
      <c r="A114" t="s">
        <v>2503</v>
      </c>
      <c r="D114" s="584">
        <f t="shared" ref="D114:P114" si="6">SUM(D112,D97,D90,D85,D79,D73)</f>
        <v>197367973</v>
      </c>
      <c r="E114" s="584">
        <f t="shared" si="6"/>
        <v>152028671</v>
      </c>
      <c r="F114" s="584">
        <f t="shared" si="6"/>
        <v>31830818</v>
      </c>
      <c r="G114" s="584">
        <f t="shared" si="6"/>
        <v>13508484</v>
      </c>
      <c r="H114" s="584">
        <f t="shared" si="6"/>
        <v>80683078</v>
      </c>
      <c r="I114" s="584">
        <f t="shared" si="6"/>
        <v>71345593</v>
      </c>
      <c r="J114" s="584">
        <f t="shared" si="6"/>
        <v>152028671</v>
      </c>
      <c r="K114" s="584">
        <f t="shared" si="6"/>
        <v>54566672</v>
      </c>
      <c r="L114" s="584">
        <f t="shared" si="6"/>
        <v>46814992</v>
      </c>
      <c r="M114" s="584">
        <f t="shared" si="6"/>
        <v>101381664</v>
      </c>
      <c r="N114" s="584">
        <f t="shared" si="6"/>
        <v>26116406</v>
      </c>
      <c r="O114" s="584">
        <f t="shared" si="6"/>
        <v>24530601</v>
      </c>
      <c r="P114" s="584">
        <f t="shared" si="6"/>
        <v>50647007</v>
      </c>
    </row>
    <row r="117" spans="1:16">
      <c r="A117" t="s">
        <v>2437</v>
      </c>
    </row>
    <row r="118" spans="1:16">
      <c r="A118" t="s">
        <v>2436</v>
      </c>
      <c r="E118" t="s">
        <v>515</v>
      </c>
      <c r="F118" t="s">
        <v>2435</v>
      </c>
      <c r="G118" t="s">
        <v>2434</v>
      </c>
      <c r="I118" t="s">
        <v>2433</v>
      </c>
      <c r="L118" t="s">
        <v>2432</v>
      </c>
      <c r="O118" t="s">
        <v>2431</v>
      </c>
    </row>
    <row r="119" spans="1:16">
      <c r="A119">
        <v>7</v>
      </c>
      <c r="B119" t="s">
        <v>2371</v>
      </c>
      <c r="E119" s="1134">
        <v>0.70111999999999997</v>
      </c>
      <c r="F119" s="1134">
        <v>0.20707999999999999</v>
      </c>
      <c r="G119" s="1134">
        <v>9.1800000000000007E-2</v>
      </c>
      <c r="I119">
        <v>1</v>
      </c>
      <c r="J119" t="s">
        <v>2430</v>
      </c>
      <c r="L119" s="1134">
        <v>0.64480000000000004</v>
      </c>
      <c r="O119" s="1134">
        <v>0.35520000000000002</v>
      </c>
    </row>
    <row r="120" spans="1:16">
      <c r="A120">
        <v>8</v>
      </c>
      <c r="B120" t="s">
        <v>2370</v>
      </c>
      <c r="E120" s="1134">
        <v>0</v>
      </c>
      <c r="F120" s="1134">
        <v>0.69035000000000002</v>
      </c>
      <c r="G120" s="1134">
        <v>0.30964999999999998</v>
      </c>
      <c r="I120">
        <v>3</v>
      </c>
      <c r="J120" t="s">
        <v>2476</v>
      </c>
      <c r="L120" s="1134">
        <v>0.69613999999999998</v>
      </c>
      <c r="O120" s="1134">
        <v>0.30386000000000002</v>
      </c>
    </row>
    <row r="121" spans="1:16">
      <c r="A121">
        <v>9</v>
      </c>
      <c r="B121" t="s">
        <v>2369</v>
      </c>
      <c r="E121" s="1134">
        <v>0.77144000000000001</v>
      </c>
      <c r="F121" s="1134">
        <v>0.22856000000000001</v>
      </c>
      <c r="G121" s="1134">
        <v>0</v>
      </c>
      <c r="I121">
        <v>4</v>
      </c>
      <c r="J121" t="s">
        <v>2429</v>
      </c>
      <c r="L121" s="1134">
        <v>0.68703000000000003</v>
      </c>
      <c r="O121" s="1134">
        <v>0.31297000000000003</v>
      </c>
    </row>
    <row r="122" spans="1:16" ht="16.5" thickBot="1"/>
    <row r="123" spans="1:16">
      <c r="I123" s="2062"/>
      <c r="J123" s="2061"/>
      <c r="K123" s="2061"/>
      <c r="L123" s="2061"/>
      <c r="M123" s="2060"/>
    </row>
    <row r="124" spans="1:16">
      <c r="I124" s="2054"/>
      <c r="M124" s="2058"/>
    </row>
    <row r="125" spans="1:16">
      <c r="I125" s="2054"/>
      <c r="J125" s="1070" t="s">
        <v>2502</v>
      </c>
      <c r="M125" s="2059" t="s">
        <v>2501</v>
      </c>
    </row>
    <row r="126" spans="1:16">
      <c r="I126" s="2054">
        <v>302</v>
      </c>
      <c r="J126" t="s">
        <v>2500</v>
      </c>
      <c r="M126" s="2057">
        <f>J10+J15</f>
        <v>1028287</v>
      </c>
    </row>
    <row r="127" spans="1:16">
      <c r="I127" s="2054">
        <v>303</v>
      </c>
      <c r="J127" t="s">
        <v>2499</v>
      </c>
      <c r="M127" s="2057">
        <f>SUM(J11,J16,J32:J34)</f>
        <v>3223918</v>
      </c>
    </row>
    <row r="128" spans="1:16">
      <c r="I128" s="2054"/>
      <c r="M128" s="2055">
        <f>SUM(M126:M127)</f>
        <v>4252205</v>
      </c>
    </row>
    <row r="129" spans="9:15">
      <c r="I129" s="2054"/>
      <c r="L129" t="s">
        <v>2498</v>
      </c>
      <c r="M129" s="2057">
        <f>M128-M130</f>
        <v>-5598384</v>
      </c>
    </row>
    <row r="130" spans="9:15">
      <c r="I130" s="2054"/>
      <c r="L130" t="s">
        <v>2493</v>
      </c>
      <c r="M130" s="2057">
        <f>'[1]336'!J2</f>
        <v>9850589</v>
      </c>
    </row>
    <row r="131" spans="9:15">
      <c r="I131" s="2054"/>
      <c r="J131" s="1070" t="s">
        <v>2497</v>
      </c>
      <c r="M131" s="2058"/>
    </row>
    <row r="132" spans="9:15">
      <c r="I132" s="2054">
        <v>302</v>
      </c>
      <c r="M132" s="2058">
        <v>0</v>
      </c>
    </row>
    <row r="133" spans="9:15">
      <c r="I133" s="2054">
        <v>303</v>
      </c>
      <c r="J133" t="s">
        <v>2496</v>
      </c>
      <c r="M133" s="2057">
        <f>SUM(J20:J21,J28:J30)+J31</f>
        <v>24368178</v>
      </c>
      <c r="N133" s="1988"/>
      <c r="O133" s="1988"/>
    </row>
    <row r="134" spans="9:15">
      <c r="I134" s="2056" t="s">
        <v>2495</v>
      </c>
      <c r="J134" t="s">
        <v>2494</v>
      </c>
      <c r="M134" s="2057">
        <f>J46</f>
        <v>422431</v>
      </c>
      <c r="N134" s="1988"/>
      <c r="O134" s="1988"/>
    </row>
    <row r="135" spans="9:15">
      <c r="I135" s="2056"/>
      <c r="M135" s="2055">
        <f>SUM(M132:M134)</f>
        <v>24790609</v>
      </c>
    </row>
    <row r="136" spans="9:15">
      <c r="I136" s="2054"/>
      <c r="L136" t="s">
        <v>2493</v>
      </c>
      <c r="M136" s="2053">
        <f>'[1]336'!J11+'[1]336'!J12</f>
        <v>36888052</v>
      </c>
    </row>
    <row r="137" spans="9:15" ht="16.5" thickBot="1">
      <c r="I137" s="2052"/>
      <c r="J137" s="2051"/>
      <c r="K137" s="2051"/>
      <c r="L137" s="2051"/>
      <c r="M137" s="2050">
        <f>M135-M136</f>
        <v>-12097443</v>
      </c>
    </row>
  </sheetData>
  <pageMargins left="0.7" right="0.7" top="0.75" bottom="0.75" header="0.3" footer="0.3"/>
  <pageSetup orientation="portrait" r:id="rId1"/>
  <customProperties>
    <customPr name="xxe4aPID" r:id="rId2"/>
  </customPropertie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D0F42-5E99-44E2-983B-99E923EA22E1}">
  <sheetPr codeName="Sheet33"/>
  <dimension ref="A1:L57"/>
  <sheetViews>
    <sheetView topLeftCell="A2" zoomScale="110" zoomScaleNormal="110" workbookViewId="0">
      <pane ySplit="5" topLeftCell="A7" activePane="bottomLeft" state="frozen"/>
      <selection activeCell="E18" sqref="E18"/>
      <selection pane="bottomLeft" activeCell="E18" sqref="E18"/>
    </sheetView>
  </sheetViews>
  <sheetFormatPr defaultRowHeight="15.75"/>
  <cols>
    <col min="1" max="1" width="45.5" style="2069" customWidth="1"/>
    <col min="2" max="2" width="8.875" style="2069" customWidth="1"/>
    <col min="3" max="3" width="10.375" style="2069" customWidth="1"/>
    <col min="4" max="4" width="8.875" style="2069" customWidth="1"/>
    <col min="5" max="5" width="13.75" style="2069" customWidth="1"/>
    <col min="6" max="7" width="12.375" style="2069" bestFit="1" customWidth="1"/>
    <col min="8" max="8" width="15.25" style="2069" customWidth="1"/>
    <col min="9" max="9" width="16.75" style="2069" customWidth="1"/>
    <col min="10" max="10" width="48.625" style="2068" customWidth="1"/>
    <col min="11" max="11" width="52.375" style="2068" customWidth="1"/>
    <col min="12" max="13" width="8.875" customWidth="1"/>
  </cols>
  <sheetData>
    <row r="1" spans="1:12">
      <c r="A1" s="2069" t="s">
        <v>2560</v>
      </c>
      <c r="L1" t="s">
        <v>2559</v>
      </c>
    </row>
    <row r="2" spans="1:12">
      <c r="A2" s="2069" t="s">
        <v>2558</v>
      </c>
    </row>
    <row r="3" spans="1:12">
      <c r="A3" s="2069" t="s">
        <v>2512</v>
      </c>
    </row>
    <row r="4" spans="1:12">
      <c r="A4" s="2069" t="s">
        <v>2557</v>
      </c>
    </row>
    <row r="6" spans="1:12" ht="31.5">
      <c r="A6" s="2221" t="s">
        <v>894</v>
      </c>
      <c r="B6" s="2221" t="s">
        <v>2556</v>
      </c>
      <c r="C6" s="2221" t="s">
        <v>2555</v>
      </c>
      <c r="D6" s="2221" t="s">
        <v>2554</v>
      </c>
      <c r="E6" s="2221" t="s">
        <v>2553</v>
      </c>
      <c r="F6" s="2221" t="s">
        <v>2552</v>
      </c>
      <c r="G6" s="2221" t="s">
        <v>2551</v>
      </c>
      <c r="H6" s="2221" t="s">
        <v>2550</v>
      </c>
      <c r="I6" s="2221" t="s">
        <v>2549</v>
      </c>
      <c r="J6" s="2221" t="s">
        <v>231</v>
      </c>
      <c r="K6" s="2221" t="s">
        <v>2548</v>
      </c>
      <c r="L6" s="1070" t="s">
        <v>2547</v>
      </c>
    </row>
    <row r="7" spans="1:12">
      <c r="A7" s="2068" t="s">
        <v>2546</v>
      </c>
      <c r="B7" s="2068"/>
      <c r="C7" s="2068"/>
      <c r="D7" s="2068"/>
      <c r="E7" s="2243">
        <v>2583244</v>
      </c>
      <c r="F7" s="2243"/>
      <c r="G7" s="2243"/>
      <c r="H7" s="2243">
        <f>E7</f>
        <v>2583244</v>
      </c>
      <c r="I7" s="2068"/>
      <c r="J7" s="2068" t="s">
        <v>2545</v>
      </c>
    </row>
    <row r="8" spans="1:12" ht="63">
      <c r="A8" s="2068" t="s">
        <v>1415</v>
      </c>
      <c r="B8" s="2068">
        <v>232</v>
      </c>
      <c r="C8" s="2068">
        <v>182.30500000000001</v>
      </c>
      <c r="D8" s="2068" t="s">
        <v>2526</v>
      </c>
      <c r="E8" s="2243">
        <v>112462393</v>
      </c>
      <c r="F8" s="2243"/>
      <c r="G8" s="2243"/>
      <c r="H8" s="2243">
        <f>E8</f>
        <v>112462393</v>
      </c>
      <c r="I8" s="2068"/>
      <c r="J8" s="2068" t="s">
        <v>2544</v>
      </c>
    </row>
    <row r="9" spans="1:12" ht="47.25">
      <c r="A9" s="2068" t="s">
        <v>1413</v>
      </c>
      <c r="B9" s="2068">
        <v>232</v>
      </c>
      <c r="C9" s="2068" t="s">
        <v>2543</v>
      </c>
      <c r="D9" s="2068" t="s">
        <v>2526</v>
      </c>
      <c r="E9" s="2243">
        <v>78172454</v>
      </c>
      <c r="F9" s="2243"/>
      <c r="G9" s="2243"/>
      <c r="H9" s="2243">
        <f>E9</f>
        <v>78172454</v>
      </c>
      <c r="I9" s="2068" t="s">
        <v>2534</v>
      </c>
      <c r="J9" s="2068" t="s">
        <v>2542</v>
      </c>
      <c r="K9" s="2068" t="s">
        <v>2541</v>
      </c>
    </row>
    <row r="10" spans="1:12" ht="47.25" customHeight="1">
      <c r="A10" s="2068" t="s">
        <v>1412</v>
      </c>
      <c r="B10" s="2068">
        <v>232</v>
      </c>
      <c r="C10" s="2068">
        <v>182.315</v>
      </c>
      <c r="D10" s="2068" t="s">
        <v>2526</v>
      </c>
      <c r="E10" s="2243">
        <v>2681673</v>
      </c>
      <c r="F10" s="2243"/>
      <c r="G10" s="2243"/>
      <c r="H10" s="2243">
        <f>E10</f>
        <v>2681673</v>
      </c>
      <c r="I10" s="2068" t="s">
        <v>2534</v>
      </c>
      <c r="J10" s="2335" t="s">
        <v>2542</v>
      </c>
      <c r="K10" s="2068" t="s">
        <v>2541</v>
      </c>
    </row>
    <row r="11" spans="1:12">
      <c r="A11" s="2068" t="s">
        <v>1410</v>
      </c>
      <c r="B11" s="2068">
        <v>232</v>
      </c>
      <c r="C11" s="2068">
        <v>182.32</v>
      </c>
      <c r="D11" s="2068" t="s">
        <v>2526</v>
      </c>
      <c r="E11" s="2243">
        <v>0</v>
      </c>
      <c r="F11" s="2243"/>
      <c r="G11" s="2243"/>
      <c r="H11" s="2243">
        <f>E11</f>
        <v>0</v>
      </c>
      <c r="I11" s="2068" t="s">
        <v>2534</v>
      </c>
      <c r="J11" s="2335"/>
      <c r="K11" s="2068" t="s">
        <v>2541</v>
      </c>
    </row>
    <row r="12" spans="1:12">
      <c r="A12" s="2068" t="s">
        <v>1409</v>
      </c>
      <c r="B12" s="2068">
        <v>232</v>
      </c>
      <c r="C12" s="2068"/>
      <c r="D12" s="2068" t="s">
        <v>2529</v>
      </c>
      <c r="E12" s="2243">
        <v>0</v>
      </c>
      <c r="F12" s="2244">
        <f>E12</f>
        <v>0</v>
      </c>
      <c r="G12" s="2243"/>
      <c r="H12" s="2243"/>
      <c r="I12" s="2068"/>
      <c r="J12" s="2068" t="s">
        <v>2528</v>
      </c>
      <c r="K12" s="2068" t="s">
        <v>2540</v>
      </c>
    </row>
    <row r="13" spans="1:12">
      <c r="A13" s="2068" t="s">
        <v>2539</v>
      </c>
      <c r="B13" s="2068">
        <v>232</v>
      </c>
      <c r="C13" s="2068"/>
      <c r="D13" s="2068" t="s">
        <v>2526</v>
      </c>
      <c r="E13" s="2243">
        <v>2435722</v>
      </c>
      <c r="F13" s="2243"/>
      <c r="G13" s="2243"/>
      <c r="H13" s="2243">
        <f>E13</f>
        <v>2435722</v>
      </c>
      <c r="I13" s="2068"/>
      <c r="J13" s="2068" t="s">
        <v>2538</v>
      </c>
    </row>
    <row r="14" spans="1:12" ht="63">
      <c r="A14" s="2068" t="s">
        <v>1404</v>
      </c>
      <c r="B14" s="2068">
        <v>232</v>
      </c>
      <c r="C14" s="2068"/>
      <c r="D14" s="2068" t="s">
        <v>2526</v>
      </c>
      <c r="E14" s="2243">
        <v>19428968</v>
      </c>
      <c r="F14" s="2243">
        <f>E14</f>
        <v>19428968</v>
      </c>
      <c r="G14" s="2243"/>
      <c r="H14" s="2243"/>
      <c r="I14" s="2068"/>
      <c r="J14" s="2068" t="s">
        <v>2537</v>
      </c>
      <c r="K14" s="2068" t="s">
        <v>2536</v>
      </c>
    </row>
    <row r="15" spans="1:12" ht="63">
      <c r="A15" s="2068" t="s">
        <v>2535</v>
      </c>
      <c r="B15" s="2068">
        <v>232</v>
      </c>
      <c r="C15" s="2068" t="s">
        <v>3052</v>
      </c>
      <c r="D15" s="2068" t="s">
        <v>2519</v>
      </c>
      <c r="E15" s="2243">
        <v>0</v>
      </c>
      <c r="F15" s="2243">
        <f>E15</f>
        <v>0</v>
      </c>
      <c r="G15" s="2243"/>
      <c r="H15" s="2243">
        <f>E15</f>
        <v>0</v>
      </c>
      <c r="I15" s="2068" t="s">
        <v>2534</v>
      </c>
      <c r="J15" s="2068" t="s">
        <v>2533</v>
      </c>
    </row>
    <row r="16" spans="1:12" ht="47.25">
      <c r="A16" s="2068" t="s">
        <v>1402</v>
      </c>
      <c r="B16" s="2068">
        <v>232</v>
      </c>
      <c r="C16" s="2068">
        <v>182.46</v>
      </c>
      <c r="D16" s="2068" t="s">
        <v>2526</v>
      </c>
      <c r="E16" s="2243">
        <v>2298569</v>
      </c>
      <c r="F16" s="2243"/>
      <c r="G16" s="2243"/>
      <c r="H16" s="2243">
        <f>E16</f>
        <v>2298569</v>
      </c>
      <c r="I16" s="2068"/>
      <c r="J16" s="2068" t="s">
        <v>2532</v>
      </c>
      <c r="K16" s="2068" t="s">
        <v>2531</v>
      </c>
    </row>
    <row r="17" spans="1:11">
      <c r="A17" s="2068" t="s">
        <v>2530</v>
      </c>
      <c r="B17" s="2068">
        <v>232</v>
      </c>
      <c r="C17" s="2068">
        <v>182.3</v>
      </c>
      <c r="D17" s="2068" t="s">
        <v>2529</v>
      </c>
      <c r="E17" s="2243">
        <v>36692352</v>
      </c>
      <c r="F17" s="2244">
        <f>E17</f>
        <v>36692352</v>
      </c>
      <c r="G17" s="2243"/>
      <c r="H17" s="2243"/>
      <c r="I17" s="2068"/>
      <c r="J17" s="2068" t="s">
        <v>2528</v>
      </c>
      <c r="K17" s="2068" t="s">
        <v>2527</v>
      </c>
    </row>
    <row r="18" spans="1:11">
      <c r="A18" s="2068" t="s">
        <v>1401</v>
      </c>
      <c r="B18" s="2068">
        <v>232</v>
      </c>
      <c r="C18" s="2068">
        <v>182.76</v>
      </c>
      <c r="D18" s="2068" t="s">
        <v>2526</v>
      </c>
      <c r="E18" s="2243">
        <v>1930165</v>
      </c>
      <c r="F18" s="2243">
        <v>0</v>
      </c>
      <c r="G18" s="2243">
        <v>0</v>
      </c>
      <c r="H18" s="2243">
        <f>SUM(E18)</f>
        <v>1930165</v>
      </c>
      <c r="I18" s="2068"/>
      <c r="J18" s="2068" t="s">
        <v>2525</v>
      </c>
    </row>
    <row r="19" spans="1:11">
      <c r="A19" s="2068" t="s">
        <v>2524</v>
      </c>
      <c r="B19" s="2068">
        <v>232</v>
      </c>
      <c r="C19" s="2068">
        <v>182.3</v>
      </c>
      <c r="D19" s="2068"/>
      <c r="E19" s="2243">
        <v>179488399</v>
      </c>
      <c r="F19" s="2243"/>
      <c r="G19" s="2243"/>
      <c r="H19" s="2243">
        <f t="shared" ref="H19:H27" si="0">E19</f>
        <v>179488399</v>
      </c>
      <c r="I19" s="2068"/>
      <c r="J19" s="2068" t="s">
        <v>2523</v>
      </c>
    </row>
    <row r="20" spans="1:11" ht="63">
      <c r="A20" s="2068" t="s">
        <v>1398</v>
      </c>
      <c r="B20" s="2068">
        <v>232</v>
      </c>
      <c r="C20" s="2068">
        <v>182.3</v>
      </c>
      <c r="D20" s="2068" t="s">
        <v>2519</v>
      </c>
      <c r="E20" s="2243">
        <v>10257486</v>
      </c>
      <c r="F20" s="2243"/>
      <c r="G20" s="2243"/>
      <c r="H20" s="2243">
        <f t="shared" si="0"/>
        <v>10257486</v>
      </c>
      <c r="I20" s="2143" t="s">
        <v>2534</v>
      </c>
      <c r="J20" s="2068" t="s">
        <v>2522</v>
      </c>
    </row>
    <row r="21" spans="1:11">
      <c r="A21" s="2068" t="s">
        <v>1397</v>
      </c>
      <c r="B21" s="2068"/>
      <c r="C21" s="2068">
        <v>182.3</v>
      </c>
      <c r="D21" s="2068"/>
      <c r="E21" s="2243">
        <v>3602106</v>
      </c>
      <c r="F21" s="2243"/>
      <c r="G21" s="2243"/>
      <c r="H21" s="2243">
        <f t="shared" si="0"/>
        <v>3602106</v>
      </c>
      <c r="I21" s="2143" t="s">
        <v>2534</v>
      </c>
      <c r="J21" s="2068" t="s">
        <v>2521</v>
      </c>
    </row>
    <row r="22" spans="1:11">
      <c r="A22" s="2068" t="s">
        <v>1395</v>
      </c>
      <c r="B22" s="2068"/>
      <c r="C22" s="2068">
        <v>182.33699999999999</v>
      </c>
      <c r="D22" s="2068"/>
      <c r="E22" s="2243">
        <v>29345159</v>
      </c>
      <c r="F22" s="2243"/>
      <c r="G22" s="2243"/>
      <c r="H22" s="2243">
        <f t="shared" si="0"/>
        <v>29345159</v>
      </c>
      <c r="I22" s="2068"/>
      <c r="J22" s="2068" t="s">
        <v>2520</v>
      </c>
    </row>
    <row r="23" spans="1:11" ht="63">
      <c r="A23" s="2068" t="s">
        <v>1394</v>
      </c>
      <c r="B23" s="2068">
        <v>232</v>
      </c>
      <c r="C23" s="2068">
        <v>182.36</v>
      </c>
      <c r="D23" s="2068" t="s">
        <v>2519</v>
      </c>
      <c r="E23" s="2243">
        <v>1550215</v>
      </c>
      <c r="F23" s="2243"/>
      <c r="G23" s="2243"/>
      <c r="H23" s="2243">
        <f t="shared" si="0"/>
        <v>1550215</v>
      </c>
      <c r="I23" s="2068"/>
      <c r="J23" s="2068" t="s">
        <v>2518</v>
      </c>
    </row>
    <row r="24" spans="1:11">
      <c r="A24" s="2068" t="s">
        <v>2517</v>
      </c>
      <c r="B24" s="2068">
        <v>232</v>
      </c>
      <c r="C24" s="2068">
        <v>182.31399999999999</v>
      </c>
      <c r="D24" s="2068"/>
      <c r="E24" s="2243">
        <v>170311</v>
      </c>
      <c r="F24" s="2243">
        <v>0</v>
      </c>
      <c r="G24" s="2243"/>
      <c r="H24" s="2243">
        <f>SUM(E24)</f>
        <v>170311</v>
      </c>
      <c r="I24" s="2068"/>
      <c r="J24" s="2068" t="s">
        <v>2516</v>
      </c>
    </row>
    <row r="25" spans="1:11">
      <c r="A25" s="2068" t="s">
        <v>2515</v>
      </c>
      <c r="B25" s="2068">
        <v>232</v>
      </c>
      <c r="C25" s="2068">
        <v>182.3</v>
      </c>
      <c r="D25" s="2068"/>
      <c r="E25" s="2243">
        <v>59066092</v>
      </c>
      <c r="F25" s="2243"/>
      <c r="G25" s="2243"/>
      <c r="H25" s="2243">
        <f t="shared" si="0"/>
        <v>59066092</v>
      </c>
      <c r="I25" s="2068"/>
      <c r="J25" s="2068" t="s">
        <v>2514</v>
      </c>
    </row>
    <row r="26" spans="1:11">
      <c r="A26" s="2068" t="s">
        <v>1390</v>
      </c>
      <c r="B26" s="2068">
        <v>232</v>
      </c>
      <c r="C26" s="2068">
        <v>182.3</v>
      </c>
      <c r="D26" s="2068"/>
      <c r="E26" s="2243">
        <v>7627491</v>
      </c>
      <c r="F26" s="2243"/>
      <c r="G26" s="2243"/>
      <c r="H26" s="2243">
        <f t="shared" si="0"/>
        <v>7627491</v>
      </c>
      <c r="I26" s="2068"/>
    </row>
    <row r="27" spans="1:11" ht="17.25" customHeight="1">
      <c r="A27" s="2068" t="s">
        <v>1388</v>
      </c>
      <c r="B27" s="2068">
        <v>232</v>
      </c>
      <c r="C27" s="2068">
        <v>182.33099999999999</v>
      </c>
      <c r="D27" s="2068"/>
      <c r="E27" s="2243">
        <v>17635170</v>
      </c>
      <c r="F27" s="2243"/>
      <c r="G27" s="2243"/>
      <c r="H27" s="2243">
        <f t="shared" si="0"/>
        <v>17635170</v>
      </c>
      <c r="I27" s="2068"/>
      <c r="J27" s="2068" t="s">
        <v>2513</v>
      </c>
    </row>
    <row r="28" spans="1:11" ht="63">
      <c r="A28" s="2143" t="s">
        <v>1386</v>
      </c>
      <c r="B28" s="2068">
        <v>232</v>
      </c>
      <c r="C28" s="2068">
        <v>182.3</v>
      </c>
      <c r="D28" s="2068"/>
      <c r="E28" s="2243">
        <v>750000</v>
      </c>
      <c r="F28" s="2243">
        <f>E28</f>
        <v>750000</v>
      </c>
      <c r="G28" s="2243"/>
      <c r="H28" s="2243"/>
      <c r="I28" s="2068"/>
      <c r="J28" s="2143" t="s">
        <v>3032</v>
      </c>
    </row>
    <row r="29" spans="1:11" ht="63">
      <c r="A29" s="2143" t="s">
        <v>3053</v>
      </c>
      <c r="B29" s="2068">
        <v>232</v>
      </c>
      <c r="C29" s="2068">
        <v>182.34700000000001</v>
      </c>
      <c r="D29" s="2068"/>
      <c r="E29" s="2243">
        <v>657789</v>
      </c>
      <c r="F29" s="2243">
        <v>0</v>
      </c>
      <c r="G29" s="2243">
        <v>0</v>
      </c>
      <c r="H29" s="2243">
        <f>SUM(E29)</f>
        <v>657789</v>
      </c>
      <c r="I29" s="2143" t="s">
        <v>2534</v>
      </c>
      <c r="J29" s="2143" t="s">
        <v>3033</v>
      </c>
    </row>
    <row r="30" spans="1:11" ht="47.25">
      <c r="A30" s="2143" t="s">
        <v>3027</v>
      </c>
      <c r="B30" s="2068">
        <v>232</v>
      </c>
      <c r="C30" s="2068">
        <v>182.3</v>
      </c>
      <c r="D30" s="2068"/>
      <c r="E30" s="2243">
        <v>582599</v>
      </c>
      <c r="F30" s="2243"/>
      <c r="G30" s="2243"/>
      <c r="H30" s="2243">
        <f>E30</f>
        <v>582599</v>
      </c>
      <c r="I30" s="2068"/>
      <c r="J30" s="2143" t="s">
        <v>3034</v>
      </c>
    </row>
    <row r="31" spans="1:11">
      <c r="A31" s="2143" t="s">
        <v>3028</v>
      </c>
      <c r="B31" s="2068">
        <v>232</v>
      </c>
      <c r="C31" s="2068">
        <v>182.34100000000001</v>
      </c>
      <c r="D31" s="2068"/>
      <c r="E31" s="2243">
        <v>10064</v>
      </c>
      <c r="F31" s="2243"/>
      <c r="G31" s="2243"/>
      <c r="H31" s="2243">
        <f>E31</f>
        <v>10064</v>
      </c>
      <c r="I31" s="2068"/>
      <c r="J31" s="2143" t="s">
        <v>3035</v>
      </c>
    </row>
    <row r="32" spans="1:11" ht="47.25">
      <c r="A32" s="2143" t="s">
        <v>1382</v>
      </c>
      <c r="B32" s="2068">
        <v>232</v>
      </c>
      <c r="C32" s="2068">
        <v>182.34399999999999</v>
      </c>
      <c r="D32" s="2068"/>
      <c r="E32" s="2243">
        <v>23737455</v>
      </c>
      <c r="F32" s="2243">
        <v>0</v>
      </c>
      <c r="G32" s="2243">
        <v>0</v>
      </c>
      <c r="H32" s="2243">
        <f>E32</f>
        <v>23737455</v>
      </c>
      <c r="I32" s="2068"/>
      <c r="J32" s="2143" t="s">
        <v>3036</v>
      </c>
    </row>
    <row r="33" spans="1:10" ht="31.5">
      <c r="A33" s="2143" t="s">
        <v>1381</v>
      </c>
      <c r="B33" s="2068">
        <v>232</v>
      </c>
      <c r="C33" s="2068">
        <v>182.35499999999999</v>
      </c>
      <c r="D33" s="2068"/>
      <c r="E33" s="2243">
        <v>2018257</v>
      </c>
      <c r="F33" s="2243">
        <f>E33</f>
        <v>2018257</v>
      </c>
      <c r="G33" s="2243"/>
      <c r="H33" s="2243"/>
      <c r="I33" s="2068"/>
      <c r="J33" s="2143" t="s">
        <v>3037</v>
      </c>
    </row>
    <row r="34" spans="1:10" ht="94.5">
      <c r="A34" s="2143" t="s">
        <v>1380</v>
      </c>
      <c r="B34" s="2068">
        <v>232</v>
      </c>
      <c r="C34" s="2068">
        <v>182.3</v>
      </c>
      <c r="D34" s="2068"/>
      <c r="E34" s="2243">
        <v>145169206</v>
      </c>
      <c r="F34" s="2243"/>
      <c r="G34" s="2243"/>
      <c r="H34" s="2243">
        <f>E34</f>
        <v>145169206</v>
      </c>
      <c r="I34" s="2143" t="s">
        <v>2534</v>
      </c>
      <c r="J34" s="2143" t="s">
        <v>3038</v>
      </c>
    </row>
    <row r="35" spans="1:10">
      <c r="A35" s="2143" t="s">
        <v>1378</v>
      </c>
      <c r="B35" s="2068">
        <v>232</v>
      </c>
      <c r="C35" s="2068">
        <v>182.357</v>
      </c>
      <c r="D35" s="2068"/>
      <c r="E35" s="2243">
        <v>105939</v>
      </c>
      <c r="F35" s="2243">
        <v>0</v>
      </c>
      <c r="G35" s="2243">
        <v>0</v>
      </c>
      <c r="H35" s="2243">
        <f>E35</f>
        <v>105939</v>
      </c>
      <c r="I35" s="2068"/>
      <c r="J35" s="2143" t="s">
        <v>3039</v>
      </c>
    </row>
    <row r="36" spans="1:10" ht="31.5">
      <c r="A36" s="2143" t="s">
        <v>1377</v>
      </c>
      <c r="B36" s="2068">
        <v>232</v>
      </c>
      <c r="C36" s="2068">
        <v>182.3</v>
      </c>
      <c r="D36" s="2068"/>
      <c r="E36" s="2243">
        <v>0</v>
      </c>
      <c r="F36" s="2243"/>
      <c r="G36" s="2243"/>
      <c r="H36" s="2243"/>
      <c r="I36" s="2068"/>
      <c r="J36" s="2143" t="s">
        <v>3040</v>
      </c>
    </row>
    <row r="37" spans="1:10">
      <c r="A37" s="2143" t="s">
        <v>1376</v>
      </c>
      <c r="B37" s="2068">
        <v>232</v>
      </c>
      <c r="C37" s="2143" t="s">
        <v>3052</v>
      </c>
      <c r="D37" s="2068"/>
      <c r="E37" s="2243">
        <v>69139449</v>
      </c>
      <c r="F37" s="2243">
        <v>0</v>
      </c>
      <c r="G37" s="2243"/>
      <c r="H37" s="2243">
        <f t="shared" ref="H37:H44" si="1">E37</f>
        <v>69139449</v>
      </c>
      <c r="I37" s="2068"/>
      <c r="J37" s="2143" t="s">
        <v>3041</v>
      </c>
    </row>
    <row r="38" spans="1:10">
      <c r="A38" s="2143" t="s">
        <v>1374</v>
      </c>
      <c r="B38" s="2068">
        <v>232</v>
      </c>
      <c r="C38" s="2068">
        <v>182.35400000000001</v>
      </c>
      <c r="D38" s="2068"/>
      <c r="E38" s="2243">
        <v>1301000</v>
      </c>
      <c r="F38" s="2243"/>
      <c r="G38" s="2243"/>
      <c r="H38" s="2243">
        <f t="shared" si="1"/>
        <v>1301000</v>
      </c>
      <c r="I38" s="2068"/>
      <c r="J38" s="2143" t="s">
        <v>3042</v>
      </c>
    </row>
    <row r="39" spans="1:10" ht="47.25">
      <c r="A39" s="2143" t="s">
        <v>3029</v>
      </c>
      <c r="B39" s="2068">
        <v>232</v>
      </c>
      <c r="C39" s="2068">
        <v>182.35900000000001</v>
      </c>
      <c r="D39" s="2068"/>
      <c r="E39" s="2243">
        <v>288789</v>
      </c>
      <c r="F39" s="2243">
        <v>0</v>
      </c>
      <c r="G39" s="2243">
        <v>0</v>
      </c>
      <c r="H39" s="2243">
        <f t="shared" si="1"/>
        <v>288789</v>
      </c>
      <c r="I39" s="2143" t="s">
        <v>2534</v>
      </c>
      <c r="J39" s="2143" t="s">
        <v>3043</v>
      </c>
    </row>
    <row r="40" spans="1:10" ht="47.25">
      <c r="A40" s="2143" t="s">
        <v>1372</v>
      </c>
      <c r="B40" s="2068">
        <v>232</v>
      </c>
      <c r="C40" s="2068">
        <v>182.36099999999999</v>
      </c>
      <c r="D40" s="2068"/>
      <c r="E40" s="2243">
        <v>594833</v>
      </c>
      <c r="F40" s="2243"/>
      <c r="G40" s="2243"/>
      <c r="H40" s="2243">
        <f t="shared" si="1"/>
        <v>594833</v>
      </c>
      <c r="I40" s="2068"/>
      <c r="J40" s="2143" t="s">
        <v>3044</v>
      </c>
    </row>
    <row r="41" spans="1:10" ht="63">
      <c r="A41" s="2143" t="s">
        <v>1371</v>
      </c>
      <c r="B41" s="2068">
        <v>232</v>
      </c>
      <c r="C41" s="2068">
        <v>182.34299999999999</v>
      </c>
      <c r="D41" s="2068"/>
      <c r="E41" s="2243">
        <v>1915416</v>
      </c>
      <c r="F41" s="2243">
        <v>0</v>
      </c>
      <c r="G41" s="2245">
        <v>0</v>
      </c>
      <c r="H41" s="2245">
        <f t="shared" si="1"/>
        <v>1915416</v>
      </c>
      <c r="I41" s="2068"/>
      <c r="J41" s="2143" t="s">
        <v>3045</v>
      </c>
    </row>
    <row r="42" spans="1:10" ht="63">
      <c r="A42" s="2143" t="s">
        <v>1369</v>
      </c>
      <c r="B42" s="2068">
        <v>232</v>
      </c>
      <c r="C42" s="2068">
        <v>182.358</v>
      </c>
      <c r="D42" s="2068"/>
      <c r="E42" s="2243">
        <v>10841956</v>
      </c>
      <c r="F42" s="2243">
        <v>0</v>
      </c>
      <c r="G42" s="2245">
        <v>0</v>
      </c>
      <c r="H42" s="2245">
        <f t="shared" si="1"/>
        <v>10841956</v>
      </c>
      <c r="I42" s="2068"/>
      <c r="J42" s="2143" t="s">
        <v>3046</v>
      </c>
    </row>
    <row r="43" spans="1:10" ht="47.25">
      <c r="A43" s="2143" t="s">
        <v>1367</v>
      </c>
      <c r="B43" s="2068">
        <v>232</v>
      </c>
      <c r="C43" s="2068">
        <v>182.363</v>
      </c>
      <c r="D43" s="2068"/>
      <c r="E43" s="2243">
        <v>46022329</v>
      </c>
      <c r="F43" s="2243"/>
      <c r="G43" s="2243"/>
      <c r="H43" s="2243">
        <f t="shared" si="1"/>
        <v>46022329</v>
      </c>
      <c r="I43" s="2143" t="s">
        <v>2534</v>
      </c>
      <c r="J43" s="2143" t="s">
        <v>3047</v>
      </c>
    </row>
    <row r="44" spans="1:10" ht="31.5">
      <c r="A44" s="2143" t="s">
        <v>1366</v>
      </c>
      <c r="B44" s="2068">
        <v>232</v>
      </c>
      <c r="C44" s="2068">
        <v>182.352</v>
      </c>
      <c r="D44" s="2068"/>
      <c r="E44" s="2243">
        <v>25478297</v>
      </c>
      <c r="F44" s="2243"/>
      <c r="G44" s="2243"/>
      <c r="H44" s="2243">
        <f t="shared" si="1"/>
        <v>25478297</v>
      </c>
      <c r="I44" s="2143" t="s">
        <v>2534</v>
      </c>
      <c r="J44" s="2143" t="s">
        <v>3048</v>
      </c>
    </row>
    <row r="45" spans="1:10" ht="47.25">
      <c r="A45" s="2143" t="s">
        <v>3030</v>
      </c>
      <c r="B45" s="2068">
        <v>232</v>
      </c>
      <c r="C45" s="2068">
        <v>182.37700000000001</v>
      </c>
      <c r="D45" s="2068"/>
      <c r="E45" s="2243">
        <v>1613960</v>
      </c>
      <c r="F45" s="2243">
        <f>E45</f>
        <v>1613960</v>
      </c>
      <c r="G45" s="2243"/>
      <c r="H45" s="2243"/>
      <c r="I45" s="2068"/>
      <c r="J45" s="2143" t="s">
        <v>3049</v>
      </c>
    </row>
    <row r="46" spans="1:10" ht="47.25">
      <c r="A46" s="2143" t="s">
        <v>3031</v>
      </c>
      <c r="B46" s="2068">
        <v>232</v>
      </c>
      <c r="C46" s="2068">
        <v>182.3</v>
      </c>
      <c r="D46" s="2068"/>
      <c r="E46" s="2243">
        <v>511800</v>
      </c>
      <c r="F46" s="2243"/>
      <c r="G46" s="2243"/>
      <c r="H46" s="2243">
        <f>E46</f>
        <v>511800</v>
      </c>
      <c r="I46" s="2068"/>
      <c r="J46" s="2143" t="s">
        <v>3050</v>
      </c>
    </row>
    <row r="47" spans="1:10">
      <c r="A47" s="2143" t="s">
        <v>1362</v>
      </c>
      <c r="B47" s="2068">
        <v>232</v>
      </c>
      <c r="C47" s="2068">
        <v>182.37799999999999</v>
      </c>
      <c r="D47" s="2068"/>
      <c r="E47" s="2243">
        <v>25000</v>
      </c>
      <c r="F47" s="2243">
        <v>0</v>
      </c>
      <c r="G47" s="2243"/>
      <c r="H47" s="2243">
        <f>E47</f>
        <v>25000</v>
      </c>
      <c r="I47" s="2068"/>
      <c r="J47" s="2143" t="s">
        <v>3051</v>
      </c>
    </row>
    <row r="48" spans="1:10" ht="16.5" thickBot="1">
      <c r="A48" s="2069" t="s">
        <v>104</v>
      </c>
      <c r="E48" s="2246">
        <f>SUM(E7:E47)</f>
        <v>898192107</v>
      </c>
      <c r="F48" s="2246">
        <f>SUM(F7:F47)</f>
        <v>60503537</v>
      </c>
      <c r="G48" s="2246">
        <f>SUM(G7:G47)</f>
        <v>0</v>
      </c>
      <c r="H48" s="2246">
        <f>SUM(H7:H47)</f>
        <v>837688570</v>
      </c>
    </row>
    <row r="49" spans="1:9" ht="16.5" thickTop="1">
      <c r="E49" s="2070">
        <f>'[1]232'!L45</f>
        <v>898192107</v>
      </c>
      <c r="F49" s="2070"/>
      <c r="H49" s="2070">
        <f>SUM(F48:H48)-E48</f>
        <v>0</v>
      </c>
    </row>
    <row r="50" spans="1:9">
      <c r="A50" s="2069" t="s">
        <v>2192</v>
      </c>
      <c r="E50" s="2069" t="b">
        <f>E48=E49</f>
        <v>1</v>
      </c>
    </row>
    <row r="51" spans="1:9">
      <c r="A51" s="2069" t="s">
        <v>2511</v>
      </c>
    </row>
    <row r="54" spans="1:9" ht="15.6" customHeight="1">
      <c r="B54" s="2247"/>
      <c r="C54" s="2247"/>
      <c r="D54" s="2247"/>
      <c r="E54" s="2247"/>
      <c r="F54" s="2247"/>
      <c r="G54" s="2247"/>
      <c r="H54" s="2247"/>
      <c r="I54" s="2247"/>
    </row>
    <row r="55" spans="1:9">
      <c r="B55" s="2247"/>
      <c r="C55" s="2247"/>
      <c r="D55" s="2247"/>
      <c r="E55" s="2247"/>
      <c r="F55" s="2247"/>
      <c r="G55" s="2247"/>
      <c r="H55" s="2247"/>
      <c r="I55" s="2247"/>
    </row>
    <row r="56" spans="1:9">
      <c r="B56" s="2247"/>
      <c r="C56" s="2247"/>
      <c r="D56" s="2247"/>
      <c r="E56" s="2247"/>
      <c r="F56" s="2247"/>
      <c r="G56" s="2247"/>
      <c r="H56" s="2247"/>
      <c r="I56" s="2247"/>
    </row>
    <row r="57" spans="1:9">
      <c r="B57" s="2247"/>
      <c r="C57" s="2247"/>
      <c r="D57" s="2247"/>
      <c r="E57" s="2247"/>
      <c r="F57" s="2247"/>
      <c r="G57" s="2247"/>
      <c r="H57" s="2247"/>
      <c r="I57" s="2247"/>
    </row>
  </sheetData>
  <autoFilter ref="A6:L51" xr:uid="{00000000-0009-0000-0000-000011000000}"/>
  <mergeCells count="1">
    <mergeCell ref="J10:J11"/>
  </mergeCells>
  <pageMargins left="0.7" right="0.7" top="0.75" bottom="0.75" header="0.3" footer="0.3"/>
  <pageSetup orientation="portrait" r:id="rId1"/>
  <customProperties>
    <customPr name="xxe4aPID" r:id="rId2"/>
  </customProperties>
  <drawing r:id="rId3"/>
  <legacyDrawing r:id="rId4"/>
  <oleObjects>
    <mc:AlternateContent xmlns:mc="http://schemas.openxmlformats.org/markup-compatibility/2006">
      <mc:Choice Requires="x14">
        <oleObject progId="AcroExch.Document.DC" dvAspect="DVASPECT_ICON" shapeId="171009" r:id="rId5">
          <objectPr defaultSize="0" autoPict="0" r:id="rId6">
            <anchor moveWithCells="1" sizeWithCells="1">
              <from>
                <xdr:col>10</xdr:col>
                <xdr:colOff>133350</xdr:colOff>
                <xdr:row>14</xdr:row>
                <xdr:rowOff>47625</xdr:rowOff>
              </from>
              <to>
                <xdr:col>10</xdr:col>
                <xdr:colOff>1028700</xdr:colOff>
                <xdr:row>14</xdr:row>
                <xdr:rowOff>771525</xdr:rowOff>
              </to>
            </anchor>
          </objectPr>
        </oleObject>
      </mc:Choice>
      <mc:Fallback>
        <oleObject progId="AcroExch.Document.DC" dvAspect="DVASPECT_ICON" shapeId="171009" r:id="rId5"/>
      </mc:Fallback>
    </mc:AlternateContent>
    <mc:AlternateContent xmlns:mc="http://schemas.openxmlformats.org/markup-compatibility/2006">
      <mc:Choice Requires="x14">
        <oleObject progId="AcroExch.Document.DC" dvAspect="DVASPECT_ICON" shapeId="171010" r:id="rId7">
          <objectPr defaultSize="0" autoPict="0" r:id="rId8">
            <anchor moveWithCells="1" sizeWithCells="1">
              <from>
                <xdr:col>11</xdr:col>
                <xdr:colOff>66675</xdr:colOff>
                <xdr:row>15</xdr:row>
                <xdr:rowOff>104775</xdr:rowOff>
              </from>
              <to>
                <xdr:col>11</xdr:col>
                <xdr:colOff>523875</xdr:colOff>
                <xdr:row>15</xdr:row>
                <xdr:rowOff>561975</xdr:rowOff>
              </to>
            </anchor>
          </objectPr>
        </oleObject>
      </mc:Choice>
      <mc:Fallback>
        <oleObject progId="AcroExch.Document.DC" dvAspect="DVASPECT_ICON" shapeId="171010" r:id="rId7"/>
      </mc:Fallback>
    </mc:AlternateContent>
    <mc:AlternateContent xmlns:mc="http://schemas.openxmlformats.org/markup-compatibility/2006">
      <mc:Choice Requires="x14">
        <oleObject progId="AcroExch.Document.DC" dvAspect="DVASPECT_ICON" shapeId="171011" r:id="rId9">
          <objectPr defaultSize="0" autoPict="0" r:id="rId10">
            <anchor moveWithCells="1" sizeWithCells="1">
              <from>
                <xdr:col>11</xdr:col>
                <xdr:colOff>552450</xdr:colOff>
                <xdr:row>15</xdr:row>
                <xdr:rowOff>95250</xdr:rowOff>
              </from>
              <to>
                <xdr:col>12</xdr:col>
                <xdr:colOff>352425</xdr:colOff>
                <xdr:row>15</xdr:row>
                <xdr:rowOff>561975</xdr:rowOff>
              </to>
            </anchor>
          </objectPr>
        </oleObject>
      </mc:Choice>
      <mc:Fallback>
        <oleObject progId="AcroExch.Document.DC" dvAspect="DVASPECT_ICON" shapeId="171011" r:id="rId9"/>
      </mc:Fallback>
    </mc:AlternateContent>
    <mc:AlternateContent xmlns:mc="http://schemas.openxmlformats.org/markup-compatibility/2006">
      <mc:Choice Requires="x14">
        <oleObject progId="AcroExch.Document.DC" dvAspect="DVASPECT_ICON" shapeId="171012" r:id="rId11">
          <objectPr defaultSize="0" autoPict="0" r:id="rId12">
            <anchor moveWithCells="1" sizeWithCells="1">
              <from>
                <xdr:col>10</xdr:col>
                <xdr:colOff>47625</xdr:colOff>
                <xdr:row>19</xdr:row>
                <xdr:rowOff>57150</xdr:rowOff>
              </from>
              <to>
                <xdr:col>10</xdr:col>
                <xdr:colOff>609600</xdr:colOff>
                <xdr:row>19</xdr:row>
                <xdr:rowOff>771525</xdr:rowOff>
              </to>
            </anchor>
          </objectPr>
        </oleObject>
      </mc:Choice>
      <mc:Fallback>
        <oleObject progId="AcroExch.Document.DC" dvAspect="DVASPECT_ICON" shapeId="171012" r:id="rId11"/>
      </mc:Fallback>
    </mc:AlternateContent>
    <mc:AlternateContent xmlns:mc="http://schemas.openxmlformats.org/markup-compatibility/2006">
      <mc:Choice Requires="x14">
        <oleObject progId="AcroExch.Document.DC" dvAspect="DVASPECT_ICON" shapeId="171013" r:id="rId13">
          <objectPr defaultSize="0" autoPict="0" r:id="rId14">
            <anchor moveWithCells="1" sizeWithCells="1">
              <from>
                <xdr:col>10</xdr:col>
                <xdr:colOff>733425</xdr:colOff>
                <xdr:row>19</xdr:row>
                <xdr:rowOff>38100</xdr:rowOff>
              </from>
              <to>
                <xdr:col>10</xdr:col>
                <xdr:colOff>1314450</xdr:colOff>
                <xdr:row>19</xdr:row>
                <xdr:rowOff>771525</xdr:rowOff>
              </to>
            </anchor>
          </objectPr>
        </oleObject>
      </mc:Choice>
      <mc:Fallback>
        <oleObject progId="AcroExch.Document.DC" dvAspect="DVASPECT_ICON" shapeId="171013" r:id="rId13"/>
      </mc:Fallback>
    </mc:AlternateContent>
    <mc:AlternateContent xmlns:mc="http://schemas.openxmlformats.org/markup-compatibility/2006">
      <mc:Choice Requires="x14">
        <oleObject progId="AcroExch.Document.DC" dvAspect="DVASPECT_ICON" shapeId="171014" r:id="rId15">
          <objectPr defaultSize="0" autoPict="0" r:id="rId16">
            <anchor moveWithCells="1" sizeWithCells="1">
              <from>
                <xdr:col>10</xdr:col>
                <xdr:colOff>1419225</xdr:colOff>
                <xdr:row>19</xdr:row>
                <xdr:rowOff>57150</xdr:rowOff>
              </from>
              <to>
                <xdr:col>10</xdr:col>
                <xdr:colOff>1962150</xdr:colOff>
                <xdr:row>19</xdr:row>
                <xdr:rowOff>771525</xdr:rowOff>
              </to>
            </anchor>
          </objectPr>
        </oleObject>
      </mc:Choice>
      <mc:Fallback>
        <oleObject progId="AcroExch.Document.DC" dvAspect="DVASPECT_ICON" shapeId="171014" r:id="rId15"/>
      </mc:Fallback>
    </mc:AlternateContent>
    <mc:AlternateContent xmlns:mc="http://schemas.openxmlformats.org/markup-compatibility/2006">
      <mc:Choice Requires="x14">
        <oleObject progId="AcroExch.Document.DC" dvAspect="DVASPECT_ICON" shapeId="171015" r:id="rId17">
          <objectPr defaultSize="0" autoPict="0" r:id="rId18">
            <anchor moveWithCells="1" sizeWithCells="1">
              <from>
                <xdr:col>10</xdr:col>
                <xdr:colOff>2705100</xdr:colOff>
                <xdr:row>19</xdr:row>
                <xdr:rowOff>57150</xdr:rowOff>
              </from>
              <to>
                <xdr:col>10</xdr:col>
                <xdr:colOff>3228975</xdr:colOff>
                <xdr:row>19</xdr:row>
                <xdr:rowOff>771525</xdr:rowOff>
              </to>
            </anchor>
          </objectPr>
        </oleObject>
      </mc:Choice>
      <mc:Fallback>
        <oleObject progId="AcroExch.Document.DC" dvAspect="DVASPECT_ICON" shapeId="171015" r:id="rId17"/>
      </mc:Fallback>
    </mc:AlternateContent>
    <mc:AlternateContent xmlns:mc="http://schemas.openxmlformats.org/markup-compatibility/2006">
      <mc:Choice Requires="x14">
        <oleObject progId="AcroExch.Document.DC" dvAspect="DVASPECT_ICON" shapeId="171016" r:id="rId19">
          <objectPr defaultSize="0" autoPict="0" r:id="rId20">
            <anchor moveWithCells="1" sizeWithCells="1">
              <from>
                <xdr:col>10</xdr:col>
                <xdr:colOff>2028825</xdr:colOff>
                <xdr:row>19</xdr:row>
                <xdr:rowOff>47625</xdr:rowOff>
              </from>
              <to>
                <xdr:col>10</xdr:col>
                <xdr:colOff>2571750</xdr:colOff>
                <xdr:row>19</xdr:row>
                <xdr:rowOff>771525</xdr:rowOff>
              </to>
            </anchor>
          </objectPr>
        </oleObject>
      </mc:Choice>
      <mc:Fallback>
        <oleObject progId="AcroExch.Document.DC" dvAspect="DVASPECT_ICON" shapeId="171016" r:id="rId19"/>
      </mc:Fallback>
    </mc:AlternateContent>
  </oleObject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552A-B006-4DC7-A61D-E18BF229A43E}">
  <sheetPr codeName="Sheet34"/>
  <dimension ref="A1:N25"/>
  <sheetViews>
    <sheetView workbookViewId="0">
      <selection activeCell="E18" sqref="E18"/>
    </sheetView>
  </sheetViews>
  <sheetFormatPr defaultRowHeight="15.75"/>
  <cols>
    <col min="1" max="2" width="33" style="2068" customWidth="1"/>
    <col min="3" max="3" width="0" style="2068" hidden="1" customWidth="1"/>
    <col min="4" max="4" width="16.625" style="2068" hidden="1" customWidth="1"/>
    <col min="5" max="5" width="13.375" style="2068" customWidth="1"/>
    <col min="6" max="7" width="10.875" style="2068" bestFit="1" customWidth="1"/>
    <col min="8" max="8" width="14.5" style="2068" customWidth="1"/>
    <col min="9" max="9" width="14.625" style="2068" customWidth="1"/>
    <col min="10" max="10" width="51.375" style="2068" hidden="1" customWidth="1"/>
    <col min="11" max="11" width="47.125" style="2068" hidden="1" customWidth="1"/>
    <col min="12" max="12" width="9" hidden="1" customWidth="1"/>
    <col min="13" max="13" width="0" hidden="1" customWidth="1"/>
    <col min="14" max="14" width="11.625" customWidth="1"/>
  </cols>
  <sheetData>
    <row r="1" spans="1:14">
      <c r="A1" s="2068" t="s">
        <v>2580</v>
      </c>
      <c r="L1" t="s">
        <v>2579</v>
      </c>
    </row>
    <row r="2" spans="1:14">
      <c r="A2" s="2143" t="s">
        <v>2558</v>
      </c>
    </row>
    <row r="3" spans="1:14">
      <c r="A3" s="2068" t="s">
        <v>17</v>
      </c>
    </row>
    <row r="4" spans="1:14">
      <c r="A4" s="2068" t="s">
        <v>2578</v>
      </c>
    </row>
    <row r="6" spans="1:14" ht="47.25">
      <c r="A6" s="2221" t="s">
        <v>2577</v>
      </c>
      <c r="B6" s="2221"/>
      <c r="C6" s="2221" t="s">
        <v>2556</v>
      </c>
      <c r="D6" s="2221" t="s">
        <v>2555</v>
      </c>
      <c r="E6" s="2221" t="s">
        <v>2554</v>
      </c>
      <c r="F6" s="2221" t="s">
        <v>104</v>
      </c>
      <c r="G6" s="2221" t="s">
        <v>319</v>
      </c>
      <c r="H6" s="2221" t="s">
        <v>106</v>
      </c>
      <c r="I6" s="2221" t="s">
        <v>516</v>
      </c>
      <c r="J6" s="2221" t="s">
        <v>2576</v>
      </c>
      <c r="K6" s="2221" t="s">
        <v>2548</v>
      </c>
      <c r="L6" s="1070" t="s">
        <v>2575</v>
      </c>
      <c r="M6" s="1070"/>
      <c r="N6" s="2222" t="s">
        <v>2574</v>
      </c>
    </row>
    <row r="7" spans="1:14">
      <c r="N7" s="2073"/>
    </row>
    <row r="8" spans="1:14" ht="31.5">
      <c r="A8" s="2068" t="s">
        <v>1482</v>
      </c>
      <c r="B8" s="1958" t="s">
        <v>2997</v>
      </c>
      <c r="C8" s="2068">
        <v>233</v>
      </c>
      <c r="D8" s="2068">
        <v>186070</v>
      </c>
      <c r="E8" s="2248" t="s">
        <v>2526</v>
      </c>
      <c r="F8" s="2243">
        <v>3422092.93</v>
      </c>
      <c r="G8" s="2243">
        <v>0</v>
      </c>
      <c r="H8" s="2243"/>
      <c r="I8" s="2243">
        <f>F8</f>
        <v>3422092.93</v>
      </c>
      <c r="J8" s="2068" t="s">
        <v>2573</v>
      </c>
      <c r="K8" s="2068" t="s">
        <v>2572</v>
      </c>
      <c r="N8" s="2072">
        <f t="shared" ref="N8:N20" si="0">F8-SUM(G8:I8)</f>
        <v>0</v>
      </c>
    </row>
    <row r="9" spans="1:14" ht="31.5">
      <c r="A9" s="2068" t="s">
        <v>1480</v>
      </c>
      <c r="B9" s="1958" t="s">
        <v>2998</v>
      </c>
      <c r="C9" s="2068">
        <v>233</v>
      </c>
      <c r="D9" s="2068">
        <v>186205</v>
      </c>
      <c r="E9" s="2249" t="s">
        <v>2526</v>
      </c>
      <c r="F9" s="2243">
        <v>6207997.46</v>
      </c>
      <c r="G9" s="2243">
        <v>0</v>
      </c>
      <c r="H9" s="2243">
        <v>0</v>
      </c>
      <c r="I9" s="2243">
        <f>F9</f>
        <v>6207997.46</v>
      </c>
      <c r="J9" s="2068" t="s">
        <v>2571</v>
      </c>
      <c r="K9" s="2068" t="s">
        <v>2570</v>
      </c>
      <c r="N9" s="2072">
        <f t="shared" si="0"/>
        <v>0</v>
      </c>
    </row>
    <row r="10" spans="1:14">
      <c r="A10" s="2068" t="s">
        <v>1478</v>
      </c>
      <c r="B10" s="1958" t="s">
        <v>2999</v>
      </c>
      <c r="C10" s="2068">
        <v>233</v>
      </c>
      <c r="D10" s="2143" t="s">
        <v>3055</v>
      </c>
      <c r="E10" s="2248" t="s">
        <v>2526</v>
      </c>
      <c r="F10" s="2243">
        <v>12160663</v>
      </c>
      <c r="G10" s="2243"/>
      <c r="H10" s="2243"/>
      <c r="I10" s="2243">
        <f>F10</f>
        <v>12160663</v>
      </c>
      <c r="N10" s="2072">
        <f t="shared" si="0"/>
        <v>0</v>
      </c>
    </row>
    <row r="11" spans="1:14">
      <c r="A11" s="2068" t="s">
        <v>3000</v>
      </c>
      <c r="B11" s="1958" t="s">
        <v>3001</v>
      </c>
      <c r="C11" s="2068">
        <v>233</v>
      </c>
      <c r="D11" s="2143" t="s">
        <v>3056</v>
      </c>
      <c r="E11" s="2249" t="s">
        <v>2529</v>
      </c>
      <c r="F11" s="2243">
        <v>412638.67</v>
      </c>
      <c r="G11" s="2243">
        <f>F11</f>
        <v>412638.67</v>
      </c>
      <c r="H11" s="2243"/>
      <c r="I11" s="2243"/>
      <c r="J11" s="2068" t="s">
        <v>2569</v>
      </c>
      <c r="K11" s="2068" t="s">
        <v>2568</v>
      </c>
      <c r="N11" s="2072">
        <f t="shared" si="0"/>
        <v>0</v>
      </c>
    </row>
    <row r="12" spans="1:14">
      <c r="A12" s="2068" t="s">
        <v>1474</v>
      </c>
      <c r="B12" s="1958" t="s">
        <v>3002</v>
      </c>
      <c r="C12" s="2068">
        <v>233</v>
      </c>
      <c r="D12" s="2143" t="s">
        <v>3057</v>
      </c>
      <c r="E12" s="2248" t="s">
        <v>2526</v>
      </c>
      <c r="F12" s="2243">
        <v>9112109.5300000012</v>
      </c>
      <c r="G12" s="2243"/>
      <c r="H12" s="2243"/>
      <c r="I12" s="2243">
        <f>F12</f>
        <v>9112109.5300000012</v>
      </c>
      <c r="J12" s="2068" t="s">
        <v>2567</v>
      </c>
      <c r="K12" s="2068" t="s">
        <v>2566</v>
      </c>
      <c r="N12" s="2072">
        <f t="shared" si="0"/>
        <v>0</v>
      </c>
    </row>
    <row r="13" spans="1:14">
      <c r="A13" s="2068" t="s">
        <v>3003</v>
      </c>
      <c r="B13" s="1958" t="s">
        <v>3004</v>
      </c>
      <c r="C13" s="2068">
        <v>233</v>
      </c>
      <c r="D13" s="2143" t="s">
        <v>3058</v>
      </c>
      <c r="E13" s="2248" t="s">
        <v>2526</v>
      </c>
      <c r="F13" s="2243">
        <v>11484555.119999999</v>
      </c>
      <c r="G13" s="2243"/>
      <c r="H13" s="2243"/>
      <c r="I13" s="2243">
        <f>F13</f>
        <v>11484555.119999999</v>
      </c>
      <c r="N13" s="2072">
        <f t="shared" si="0"/>
        <v>0</v>
      </c>
    </row>
    <row r="14" spans="1:14">
      <c r="A14" s="2068" t="s">
        <v>1470</v>
      </c>
      <c r="B14" s="1958" t="s">
        <v>3005</v>
      </c>
      <c r="C14" s="2068">
        <v>233</v>
      </c>
      <c r="D14" s="2068">
        <v>1186351</v>
      </c>
      <c r="E14" s="2249" t="s">
        <v>2526</v>
      </c>
      <c r="F14" s="2243">
        <v>1033207.09</v>
      </c>
      <c r="G14" s="2243">
        <v>0</v>
      </c>
      <c r="H14" s="2243">
        <v>0</v>
      </c>
      <c r="I14" s="2243">
        <f>F14</f>
        <v>1033207.09</v>
      </c>
      <c r="N14" s="2072">
        <f t="shared" si="0"/>
        <v>0</v>
      </c>
    </row>
    <row r="15" spans="1:14">
      <c r="A15" s="2068" t="s">
        <v>1468</v>
      </c>
      <c r="B15" s="1958" t="s">
        <v>3006</v>
      </c>
      <c r="C15" s="2068">
        <v>233</v>
      </c>
      <c r="D15" s="2068">
        <v>186353</v>
      </c>
      <c r="E15" s="2248" t="s">
        <v>2526</v>
      </c>
      <c r="F15" s="2243">
        <v>10297716.130000001</v>
      </c>
      <c r="G15" s="2243"/>
      <c r="H15" s="2243"/>
      <c r="I15" s="2243">
        <f>F15</f>
        <v>10297716.130000001</v>
      </c>
      <c r="N15" s="2072">
        <f t="shared" si="0"/>
        <v>0</v>
      </c>
    </row>
    <row r="16" spans="1:14" ht="31.5">
      <c r="A16" s="2068" t="s">
        <v>3007</v>
      </c>
      <c r="B16" s="1958" t="s">
        <v>3008</v>
      </c>
      <c r="C16" s="2068">
        <v>233</v>
      </c>
      <c r="D16" s="2068">
        <v>186500</v>
      </c>
      <c r="E16" s="2249" t="s">
        <v>2526</v>
      </c>
      <c r="F16" s="2243">
        <v>33003989.079999998</v>
      </c>
      <c r="G16" s="2243">
        <v>0</v>
      </c>
      <c r="H16" s="2243">
        <v>0</v>
      </c>
      <c r="I16" s="2243">
        <f>F16</f>
        <v>33003989.079999998</v>
      </c>
      <c r="J16" s="2068" t="s">
        <v>2565</v>
      </c>
      <c r="K16" s="2068" t="s">
        <v>2564</v>
      </c>
      <c r="N16" s="2072">
        <f t="shared" si="0"/>
        <v>0</v>
      </c>
    </row>
    <row r="17" spans="1:14">
      <c r="A17" s="2068" t="s">
        <v>1464</v>
      </c>
      <c r="B17" s="1958" t="s">
        <v>3009</v>
      </c>
      <c r="C17" s="2068">
        <v>233</v>
      </c>
      <c r="D17" s="2143" t="s">
        <v>3059</v>
      </c>
      <c r="E17" s="2248" t="s">
        <v>2529</v>
      </c>
      <c r="F17" s="2243">
        <v>103561</v>
      </c>
      <c r="G17" s="2243">
        <f>F17</f>
        <v>103561</v>
      </c>
      <c r="H17" s="2243"/>
      <c r="I17" s="2243"/>
      <c r="J17" s="2068" t="s">
        <v>2562</v>
      </c>
      <c r="N17" s="2072">
        <f t="shared" si="0"/>
        <v>0</v>
      </c>
    </row>
    <row r="18" spans="1:14">
      <c r="A18" s="2068" t="s">
        <v>1462</v>
      </c>
      <c r="B18" s="1958" t="s">
        <v>3010</v>
      </c>
      <c r="C18" s="2068">
        <v>233</v>
      </c>
      <c r="D18" s="2068">
        <v>186200</v>
      </c>
      <c r="E18" s="2248" t="s">
        <v>2529</v>
      </c>
      <c r="F18" s="2243">
        <v>126851.04</v>
      </c>
      <c r="G18" s="2243">
        <f>F18</f>
        <v>126851.04</v>
      </c>
      <c r="H18" s="2243"/>
      <c r="I18" s="2243"/>
      <c r="N18" s="2072">
        <f t="shared" si="0"/>
        <v>0</v>
      </c>
    </row>
    <row r="19" spans="1:14">
      <c r="A19" s="2068" t="s">
        <v>1460</v>
      </c>
      <c r="B19" s="1958" t="s">
        <v>3010</v>
      </c>
      <c r="C19" s="2068">
        <v>233</v>
      </c>
      <c r="D19" s="2068">
        <v>186200</v>
      </c>
      <c r="E19" s="2248" t="s">
        <v>2529</v>
      </c>
      <c r="F19" s="2243">
        <v>101120.54</v>
      </c>
      <c r="G19" s="2243">
        <f>F19</f>
        <v>101120.54</v>
      </c>
      <c r="H19" s="2243"/>
      <c r="I19" s="2243"/>
      <c r="N19" s="2072">
        <f t="shared" si="0"/>
        <v>0</v>
      </c>
    </row>
    <row r="20" spans="1:14">
      <c r="A20" s="2068" t="s">
        <v>3011</v>
      </c>
      <c r="B20" s="1958" t="s">
        <v>3012</v>
      </c>
      <c r="C20" s="2068">
        <v>233</v>
      </c>
      <c r="D20" s="2143" t="s">
        <v>3060</v>
      </c>
      <c r="E20" s="2249" t="s">
        <v>2526</v>
      </c>
      <c r="F20" s="2243">
        <v>51401.630000000012</v>
      </c>
      <c r="G20" s="2243">
        <v>0</v>
      </c>
      <c r="H20" s="2243"/>
      <c r="I20" s="2243">
        <f>F20</f>
        <v>51401.630000000012</v>
      </c>
      <c r="N20" s="2072">
        <f t="shared" si="0"/>
        <v>0</v>
      </c>
    </row>
    <row r="21" spans="1:14" ht="16.5" thickBot="1">
      <c r="A21" s="2069" t="s">
        <v>197</v>
      </c>
      <c r="B21" s="2069"/>
      <c r="C21" s="2069"/>
      <c r="D21" s="2069"/>
      <c r="E21" s="2069"/>
      <c r="F21" s="2250">
        <f>SUM(F8:F20)</f>
        <v>87517903.220000014</v>
      </c>
      <c r="G21" s="2250">
        <f>SUM(G8:G20)</f>
        <v>744171.25</v>
      </c>
      <c r="H21" s="2250">
        <f>SUM(H8:H20)</f>
        <v>0</v>
      </c>
      <c r="I21" s="2250">
        <f>SUM(I8:I20)</f>
        <v>86773731.969999999</v>
      </c>
      <c r="J21" s="2069"/>
      <c r="K21" s="2069"/>
      <c r="N21" s="2071">
        <f>SUM(N8:N20)</f>
        <v>0</v>
      </c>
    </row>
    <row r="22" spans="1:14" ht="16.5" thickTop="1">
      <c r="A22" s="2251"/>
      <c r="B22" s="2251"/>
      <c r="F22" s="2252">
        <f>F21-'[1]233'!N23</f>
        <v>87517903.220000014</v>
      </c>
    </row>
    <row r="23" spans="1:14">
      <c r="A23" s="2069" t="s">
        <v>2192</v>
      </c>
      <c r="B23" s="2069"/>
      <c r="F23" s="2252">
        <f>F21-SUM(G21:I21)</f>
        <v>0</v>
      </c>
      <c r="G23" s="2243"/>
    </row>
    <row r="24" spans="1:14" ht="18.75" customHeight="1">
      <c r="A24" s="2335" t="s">
        <v>2511</v>
      </c>
      <c r="B24" s="2335"/>
      <c r="C24" s="2335"/>
      <c r="D24" s="2335"/>
      <c r="E24" s="2335"/>
      <c r="F24" s="2335"/>
    </row>
    <row r="25" spans="1:14" ht="17.25" customHeight="1">
      <c r="A25" s="2335" t="s">
        <v>2561</v>
      </c>
      <c r="B25" s="2335"/>
      <c r="C25" s="2335"/>
      <c r="D25" s="2335"/>
      <c r="E25" s="2335"/>
      <c r="F25" s="2335"/>
    </row>
  </sheetData>
  <mergeCells count="2">
    <mergeCell ref="A24:F24"/>
    <mergeCell ref="A25:F25"/>
  </mergeCells>
  <pageMargins left="0.7" right="0.7" top="0.75" bottom="0.75" header="0.3" footer="0.3"/>
  <pageSetup orientation="portrait" horizontalDpi="90" verticalDpi="90" r:id="rId1"/>
  <customProperties>
    <customPr name="xxe4aPID" r:id="rId2"/>
  </customProperties>
  <drawing r:id="rId3"/>
  <legacyDrawing r:id="rId4"/>
  <oleObjects>
    <mc:AlternateContent xmlns:mc="http://schemas.openxmlformats.org/markup-compatibility/2006">
      <mc:Choice Requires="x14">
        <oleObject progId="AcroExch.Document.DC" dvAspect="DVASPECT_ICON" shapeId="172033" r:id="rId5">
          <objectPr defaultSize="0" autoPict="0" r:id="rId6">
            <anchor moveWithCells="1" sizeWithCells="1">
              <from>
                <xdr:col>11</xdr:col>
                <xdr:colOff>47625</xdr:colOff>
                <xdr:row>7</xdr:row>
                <xdr:rowOff>304800</xdr:rowOff>
              </from>
              <to>
                <xdr:col>12</xdr:col>
                <xdr:colOff>47625</xdr:colOff>
                <xdr:row>9</xdr:row>
                <xdr:rowOff>9525</xdr:rowOff>
              </to>
            </anchor>
          </objectPr>
        </oleObject>
      </mc:Choice>
      <mc:Fallback>
        <oleObject progId="AcroExch.Document.DC" dvAspect="DVASPECT_ICON" shapeId="172033" r:id="rId5"/>
      </mc:Fallback>
    </mc:AlternateContent>
    <mc:AlternateContent xmlns:mc="http://schemas.openxmlformats.org/markup-compatibility/2006">
      <mc:Choice Requires="x14">
        <oleObject progId="AcroExch.Document.DC" dvAspect="DVASPECT_ICON" shapeId="172034" r:id="rId7">
          <objectPr defaultSize="0" autoPict="0" r:id="rId8">
            <anchor moveWithCells="1" sizeWithCells="1">
              <from>
                <xdr:col>11</xdr:col>
                <xdr:colOff>0</xdr:colOff>
                <xdr:row>14</xdr:row>
                <xdr:rowOff>190500</xdr:rowOff>
              </from>
              <to>
                <xdr:col>12</xdr:col>
                <xdr:colOff>228600</xdr:colOff>
                <xdr:row>17</xdr:row>
                <xdr:rowOff>76200</xdr:rowOff>
              </to>
            </anchor>
          </objectPr>
        </oleObject>
      </mc:Choice>
      <mc:Fallback>
        <oleObject progId="AcroExch.Document.DC" dvAspect="DVASPECT_ICON" shapeId="172034" r:id="rId7"/>
      </mc:Fallback>
    </mc:AlternateContent>
  </oleObjec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05EB9-B22F-4058-8FD2-D7A4CAF7EB66}">
  <sheetPr codeName="Sheet35"/>
  <dimension ref="A1:J23"/>
  <sheetViews>
    <sheetView zoomScale="120" zoomScaleNormal="120" workbookViewId="0">
      <selection activeCell="E18" sqref="E18"/>
    </sheetView>
  </sheetViews>
  <sheetFormatPr defaultRowHeight="15.75"/>
  <cols>
    <col min="1" max="1" width="34.625" customWidth="1"/>
    <col min="3" max="3" width="16.125" customWidth="1"/>
    <col min="4" max="4" width="10.375" bestFit="1" customWidth="1"/>
    <col min="5" max="5" width="10.75" customWidth="1"/>
    <col min="6" max="6" width="13" customWidth="1"/>
    <col min="7" max="7" width="11.625" customWidth="1"/>
    <col min="9" max="9" width="60.625" customWidth="1"/>
    <col min="10" max="10" width="39.375" customWidth="1"/>
  </cols>
  <sheetData>
    <row r="1" spans="1:10">
      <c r="A1" t="s">
        <v>2580</v>
      </c>
      <c r="I1" t="s">
        <v>2595</v>
      </c>
    </row>
    <row r="2" spans="1:10">
      <c r="A2" s="1211" t="s">
        <v>2986</v>
      </c>
    </row>
    <row r="3" spans="1:10">
      <c r="A3" t="s">
        <v>25</v>
      </c>
    </row>
    <row r="4" spans="1:10">
      <c r="A4" t="s">
        <v>2594</v>
      </c>
    </row>
    <row r="6" spans="1:10">
      <c r="A6" s="1987"/>
      <c r="B6" s="1987"/>
      <c r="C6" s="1987"/>
      <c r="D6" s="1987"/>
      <c r="E6" s="1987"/>
      <c r="F6" s="1987"/>
      <c r="G6" s="1987"/>
      <c r="H6" s="1987"/>
      <c r="I6" s="1987"/>
      <c r="J6" s="1987"/>
    </row>
    <row r="7" spans="1:10" ht="31.5">
      <c r="A7" s="2223" t="s">
        <v>2593</v>
      </c>
      <c r="B7" s="2224" t="s">
        <v>2996</v>
      </c>
      <c r="C7" s="2223" t="s">
        <v>2554</v>
      </c>
      <c r="D7" s="2223" t="s">
        <v>104</v>
      </c>
      <c r="E7" s="2223" t="s">
        <v>319</v>
      </c>
      <c r="F7" s="2223" t="s">
        <v>106</v>
      </c>
      <c r="G7" s="2223" t="s">
        <v>516</v>
      </c>
      <c r="H7" s="2223"/>
      <c r="I7" s="2223" t="s">
        <v>231</v>
      </c>
      <c r="J7" s="2223" t="s">
        <v>2548</v>
      </c>
    </row>
    <row r="8" spans="1:10">
      <c r="A8" s="2077" t="s">
        <v>2592</v>
      </c>
      <c r="B8" s="2077">
        <v>269</v>
      </c>
      <c r="C8" s="2190" t="s">
        <v>2526</v>
      </c>
      <c r="D8" s="2078">
        <v>1406250</v>
      </c>
      <c r="E8" s="2077"/>
      <c r="F8" s="2077"/>
      <c r="G8" s="2078">
        <f>D8</f>
        <v>1406250</v>
      </c>
      <c r="H8" s="2077"/>
      <c r="I8" s="2077" t="s">
        <v>2591</v>
      </c>
      <c r="J8" s="1987"/>
    </row>
    <row r="9" spans="1:10">
      <c r="A9" s="2077" t="s">
        <v>2590</v>
      </c>
      <c r="B9" s="2077">
        <v>269</v>
      </c>
      <c r="C9" s="2190" t="s">
        <v>2519</v>
      </c>
      <c r="D9" s="2078">
        <v>666361</v>
      </c>
      <c r="E9" s="2077" t="s">
        <v>2357</v>
      </c>
      <c r="F9" s="2077" t="s">
        <v>2357</v>
      </c>
      <c r="G9" s="2078">
        <f t="shared" ref="G9:G18" si="0">D9</f>
        <v>666361</v>
      </c>
      <c r="H9" s="2077"/>
      <c r="I9" s="2077" t="s">
        <v>2589</v>
      </c>
      <c r="J9" s="1987"/>
    </row>
    <row r="10" spans="1:10">
      <c r="A10" s="2077" t="s">
        <v>2588</v>
      </c>
      <c r="B10" s="2077">
        <v>269</v>
      </c>
      <c r="C10" s="2190" t="s">
        <v>95</v>
      </c>
      <c r="D10" s="2078">
        <v>7793908</v>
      </c>
      <c r="E10" s="2078"/>
      <c r="F10" s="2078"/>
      <c r="G10" s="2078">
        <f t="shared" si="0"/>
        <v>7793908</v>
      </c>
      <c r="H10" s="2077" t="s">
        <v>2224</v>
      </c>
      <c r="I10" s="2077"/>
      <c r="J10" s="1987"/>
    </row>
    <row r="11" spans="1:10">
      <c r="A11" s="2077" t="s">
        <v>2587</v>
      </c>
      <c r="B11" s="2077">
        <v>269</v>
      </c>
      <c r="C11" s="2190" t="s">
        <v>2526</v>
      </c>
      <c r="D11" s="2078">
        <v>4654027</v>
      </c>
      <c r="E11" s="2077" t="s">
        <v>2357</v>
      </c>
      <c r="F11" s="2077" t="s">
        <v>2357</v>
      </c>
      <c r="G11" s="2078">
        <f t="shared" si="0"/>
        <v>4654027</v>
      </c>
      <c r="H11" s="2077"/>
      <c r="I11" s="2077" t="s">
        <v>2586</v>
      </c>
      <c r="J11" s="1987"/>
    </row>
    <row r="12" spans="1:10">
      <c r="A12" s="2077" t="s">
        <v>2584</v>
      </c>
      <c r="B12" s="2077">
        <v>269</v>
      </c>
      <c r="C12" s="2190"/>
      <c r="D12" s="2078">
        <v>8466683</v>
      </c>
      <c r="E12" s="2077"/>
      <c r="F12" s="2077"/>
      <c r="G12" s="2078">
        <f t="shared" si="0"/>
        <v>8466683</v>
      </c>
      <c r="H12" s="2077"/>
      <c r="I12" s="2077" t="s">
        <v>2583</v>
      </c>
      <c r="J12" s="1987"/>
    </row>
    <row r="13" spans="1:10">
      <c r="A13" s="2133" t="s">
        <v>2987</v>
      </c>
      <c r="B13" s="2077">
        <v>269</v>
      </c>
      <c r="C13" s="2190"/>
      <c r="D13" s="2078">
        <v>7749100</v>
      </c>
      <c r="E13" s="2077"/>
      <c r="F13" s="2077"/>
      <c r="G13" s="2078">
        <f>D13</f>
        <v>7749100</v>
      </c>
      <c r="H13" s="2077"/>
      <c r="I13" s="2077" t="s">
        <v>2995</v>
      </c>
      <c r="J13" s="1987"/>
    </row>
    <row r="14" spans="1:10">
      <c r="A14" s="2133" t="s">
        <v>2988</v>
      </c>
      <c r="B14" s="2077">
        <v>269</v>
      </c>
      <c r="C14" s="2190"/>
      <c r="D14" s="2078">
        <v>0</v>
      </c>
      <c r="E14" s="2077">
        <v>0</v>
      </c>
      <c r="F14" s="2077"/>
      <c r="G14" s="2078"/>
      <c r="H14" s="2077"/>
      <c r="I14" s="2134" t="s">
        <v>2994</v>
      </c>
      <c r="J14" s="1987"/>
    </row>
    <row r="15" spans="1:10">
      <c r="A15" s="2133" t="s">
        <v>2989</v>
      </c>
      <c r="B15" s="2077">
        <v>269</v>
      </c>
      <c r="C15" s="2191" t="s">
        <v>2526</v>
      </c>
      <c r="D15" s="2078">
        <v>226796</v>
      </c>
      <c r="E15" s="2077"/>
      <c r="F15" s="2077"/>
      <c r="G15" s="2078">
        <f>D15</f>
        <v>226796</v>
      </c>
      <c r="H15" s="2077"/>
      <c r="I15" s="1987"/>
      <c r="J15" s="1987"/>
    </row>
    <row r="16" spans="1:10">
      <c r="A16" s="2133" t="s">
        <v>2990</v>
      </c>
      <c r="B16" s="2077">
        <v>269</v>
      </c>
      <c r="C16" s="2190"/>
      <c r="D16" s="2078">
        <v>870702</v>
      </c>
      <c r="E16" s="2077"/>
      <c r="F16" s="2077"/>
      <c r="G16" s="2078">
        <f>D16</f>
        <v>870702</v>
      </c>
      <c r="H16" s="2077"/>
      <c r="I16" s="1211" t="s">
        <v>2993</v>
      </c>
    </row>
    <row r="17" spans="1:9">
      <c r="A17" s="2133" t="s">
        <v>2991</v>
      </c>
      <c r="B17" s="2077">
        <v>269</v>
      </c>
      <c r="C17" s="2190"/>
      <c r="D17" s="2078">
        <v>1077496</v>
      </c>
      <c r="E17" s="2077"/>
      <c r="F17" s="2077"/>
      <c r="G17" s="2078">
        <f>D17</f>
        <v>1077496</v>
      </c>
      <c r="H17" s="2077"/>
      <c r="I17" s="1211" t="s">
        <v>2992</v>
      </c>
    </row>
    <row r="18" spans="1:9">
      <c r="A18" s="2077" t="s">
        <v>2582</v>
      </c>
      <c r="B18" s="2077">
        <v>269</v>
      </c>
      <c r="C18" s="2190"/>
      <c r="D18" s="2078">
        <v>6920</v>
      </c>
      <c r="E18" s="2077"/>
      <c r="F18" s="2077"/>
      <c r="G18" s="2078">
        <f t="shared" si="0"/>
        <v>6920</v>
      </c>
      <c r="H18" s="2077"/>
    </row>
    <row r="19" spans="1:9" ht="16.5" thickBot="1">
      <c r="A19" s="1987" t="s">
        <v>104</v>
      </c>
      <c r="B19" s="1987"/>
      <c r="C19" s="1987"/>
      <c r="D19" s="2076">
        <f>SUM(D8:D18)</f>
        <v>32918243</v>
      </c>
      <c r="E19" s="2076">
        <f>SUM(E8:E12)</f>
        <v>0</v>
      </c>
      <c r="F19" s="2076">
        <f>SUM(F8:F12)</f>
        <v>0</v>
      </c>
      <c r="G19" s="2076">
        <f>SUM(G8:G18)</f>
        <v>32918243</v>
      </c>
      <c r="H19" s="2077"/>
    </row>
    <row r="20" spans="1:9" ht="16.5" thickTop="1">
      <c r="A20" s="1987"/>
      <c r="B20" s="1987"/>
      <c r="C20" s="1987"/>
      <c r="D20" s="2075">
        <f>D19-SUM(E19:G19)</f>
        <v>0</v>
      </c>
      <c r="E20" s="2074"/>
      <c r="F20" s="1987"/>
      <c r="G20" s="1987"/>
      <c r="H20" s="1987"/>
    </row>
    <row r="21" spans="1:9">
      <c r="A21" t="s">
        <v>2192</v>
      </c>
      <c r="H21" s="1987"/>
    </row>
    <row r="22" spans="1:9">
      <c r="A22" t="s">
        <v>2511</v>
      </c>
    </row>
    <row r="23" spans="1:9">
      <c r="A23" t="s">
        <v>2581</v>
      </c>
    </row>
  </sheetData>
  <pageMargins left="0.7" right="0.7" top="0.75" bottom="0.75" header="0.3" footer="0.3"/>
  <pageSetup orientation="portrait" horizontalDpi="90" verticalDpi="90" r:id="rId1"/>
  <customProperties>
    <customPr name="xxe4aPID" r:id="rId2"/>
  </customPropertie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89797-C6E5-48F8-9B13-17648B62D042}">
  <sheetPr codeName="Sheet36"/>
  <dimension ref="A1:K31"/>
  <sheetViews>
    <sheetView zoomScale="110" zoomScaleNormal="110" workbookViewId="0">
      <selection activeCell="E18" sqref="E18"/>
    </sheetView>
  </sheetViews>
  <sheetFormatPr defaultRowHeight="15.75"/>
  <cols>
    <col min="1" max="1" width="31.75" customWidth="1"/>
    <col min="3" max="3" width="14.25" customWidth="1"/>
    <col min="4" max="4" width="13.25" customWidth="1"/>
    <col min="5" max="5" width="17" customWidth="1"/>
    <col min="6" max="6" width="16.75" customWidth="1"/>
    <col min="7" max="7" width="16" customWidth="1"/>
    <col min="8" max="8" width="15.5" customWidth="1"/>
    <col min="9" max="9" width="44.125" customWidth="1"/>
    <col min="10" max="10" width="38.5" customWidth="1"/>
  </cols>
  <sheetData>
    <row r="1" spans="1:11">
      <c r="A1" t="s">
        <v>2616</v>
      </c>
      <c r="J1" t="s">
        <v>2615</v>
      </c>
    </row>
    <row r="2" spans="1:11">
      <c r="A2" t="s">
        <v>3013</v>
      </c>
    </row>
    <row r="3" spans="1:11">
      <c r="A3" t="s">
        <v>26</v>
      </c>
    </row>
    <row r="4" spans="1:11">
      <c r="A4" t="s">
        <v>2614</v>
      </c>
    </row>
    <row r="5" spans="1:11" ht="18.75" customHeight="1">
      <c r="A5" s="2221" t="s">
        <v>2603</v>
      </c>
      <c r="B5" s="2221" t="s">
        <v>2556</v>
      </c>
      <c r="C5" s="2221" t="s">
        <v>2554</v>
      </c>
      <c r="D5" s="2221" t="s">
        <v>2553</v>
      </c>
      <c r="E5" s="2221" t="s">
        <v>2552</v>
      </c>
      <c r="F5" s="2221" t="s">
        <v>2551</v>
      </c>
      <c r="G5" s="2221" t="s">
        <v>2550</v>
      </c>
      <c r="H5" s="2221" t="s">
        <v>2613</v>
      </c>
      <c r="I5" s="2221" t="s">
        <v>2576</v>
      </c>
      <c r="J5" s="2221" t="s">
        <v>2548</v>
      </c>
    </row>
    <row r="6" spans="1:11" ht="47.25">
      <c r="A6" s="2068" t="s">
        <v>2612</v>
      </c>
      <c r="B6" s="2068">
        <v>278</v>
      </c>
      <c r="C6" s="2248" t="s">
        <v>2526</v>
      </c>
      <c r="D6" s="2243">
        <v>7105476</v>
      </c>
      <c r="E6" s="2243"/>
      <c r="F6" s="2243"/>
      <c r="G6" s="2243">
        <f>D6</f>
        <v>7105476</v>
      </c>
      <c r="H6" s="2068"/>
      <c r="I6" s="2068" t="s">
        <v>2611</v>
      </c>
      <c r="J6" s="2068" t="s">
        <v>2610</v>
      </c>
    </row>
    <row r="7" spans="1:11">
      <c r="A7" s="2068" t="s">
        <v>1663</v>
      </c>
      <c r="B7" s="2068">
        <v>278</v>
      </c>
      <c r="C7" s="2248"/>
      <c r="D7" s="2243">
        <v>23751628</v>
      </c>
      <c r="E7" s="2243"/>
      <c r="F7" s="2243"/>
      <c r="G7" s="2243">
        <f>D7</f>
        <v>23751628</v>
      </c>
      <c r="H7" s="2068"/>
      <c r="I7" s="2068" t="s">
        <v>2606</v>
      </c>
      <c r="J7" s="2068"/>
    </row>
    <row r="8" spans="1:11" ht="31.5">
      <c r="A8" s="2068" t="s">
        <v>2609</v>
      </c>
      <c r="B8" s="2068">
        <v>278</v>
      </c>
      <c r="C8" s="2248" t="s">
        <v>2563</v>
      </c>
      <c r="D8" s="2243">
        <v>440276</v>
      </c>
      <c r="E8" s="2243">
        <f>D8</f>
        <v>440276</v>
      </c>
      <c r="F8" s="2243" t="s">
        <v>2357</v>
      </c>
      <c r="G8" s="2243" t="s">
        <v>2357</v>
      </c>
      <c r="H8" s="2068"/>
      <c r="I8" s="2068" t="s">
        <v>2608</v>
      </c>
      <c r="J8" s="2068" t="s">
        <v>2607</v>
      </c>
    </row>
    <row r="9" spans="1:11" ht="31.5">
      <c r="A9" s="2068" t="s">
        <v>1661</v>
      </c>
      <c r="B9" s="2068">
        <v>278</v>
      </c>
      <c r="C9" s="2248"/>
      <c r="D9" s="2243">
        <v>572475</v>
      </c>
      <c r="E9" s="2243"/>
      <c r="F9" s="2243"/>
      <c r="G9" s="2243">
        <f t="shared" ref="G9:G16" si="0">D9</f>
        <v>572475</v>
      </c>
      <c r="H9" s="2068"/>
      <c r="I9" s="2068" t="s">
        <v>2605</v>
      </c>
      <c r="J9" s="2068" t="s">
        <v>2604</v>
      </c>
    </row>
    <row r="10" spans="1:11">
      <c r="A10" s="2068" t="s">
        <v>1659</v>
      </c>
      <c r="B10" s="2068">
        <v>278</v>
      </c>
      <c r="C10" s="2248" t="s">
        <v>2526</v>
      </c>
      <c r="D10" s="2243">
        <v>17998342</v>
      </c>
      <c r="E10" s="2243"/>
      <c r="F10" s="2243"/>
      <c r="G10" s="2243">
        <f t="shared" si="0"/>
        <v>17998342</v>
      </c>
      <c r="H10" s="2068"/>
      <c r="I10" s="2068" t="s">
        <v>2538</v>
      </c>
      <c r="J10" s="2068"/>
    </row>
    <row r="11" spans="1:11" ht="31.5" customHeight="1">
      <c r="A11" s="2068" t="s">
        <v>1658</v>
      </c>
      <c r="B11" s="2068">
        <v>278</v>
      </c>
      <c r="C11" s="2248" t="s">
        <v>2526</v>
      </c>
      <c r="D11" s="2243">
        <v>0</v>
      </c>
      <c r="E11" s="2243"/>
      <c r="F11" s="2243"/>
      <c r="G11" s="2243">
        <f t="shared" si="0"/>
        <v>0</v>
      </c>
      <c r="H11" s="2068"/>
      <c r="I11" s="2336" t="s">
        <v>2585</v>
      </c>
      <c r="J11" s="2336"/>
    </row>
    <row r="12" spans="1:11" ht="15" customHeight="1">
      <c r="A12" s="2068" t="s">
        <v>2602</v>
      </c>
      <c r="B12" s="2068">
        <v>278</v>
      </c>
      <c r="C12" s="2248" t="s">
        <v>2526</v>
      </c>
      <c r="D12" s="2243">
        <v>7204302</v>
      </c>
      <c r="E12" s="2243"/>
      <c r="F12" s="2243"/>
      <c r="G12" s="2243">
        <f t="shared" si="0"/>
        <v>7204302</v>
      </c>
      <c r="H12" s="2143" t="s">
        <v>2534</v>
      </c>
      <c r="I12" s="2337" t="s">
        <v>2601</v>
      </c>
      <c r="J12" s="2337"/>
    </row>
    <row r="13" spans="1:11" ht="18" customHeight="1">
      <c r="A13" s="2068" t="s">
        <v>1656</v>
      </c>
      <c r="B13" s="2068">
        <v>278</v>
      </c>
      <c r="C13" s="2248" t="s">
        <v>2526</v>
      </c>
      <c r="D13" s="2243">
        <v>301619229</v>
      </c>
      <c r="E13" s="2243"/>
      <c r="F13" s="2243"/>
      <c r="G13" s="2243">
        <f t="shared" si="0"/>
        <v>301619229</v>
      </c>
      <c r="H13" s="2068"/>
      <c r="I13" s="2335" t="s">
        <v>2600</v>
      </c>
      <c r="J13" s="2335"/>
    </row>
    <row r="14" spans="1:11">
      <c r="A14" s="2068" t="s">
        <v>1655</v>
      </c>
      <c r="B14" s="2068">
        <v>278</v>
      </c>
      <c r="C14" s="2248" t="s">
        <v>2526</v>
      </c>
      <c r="D14" s="2243">
        <v>0</v>
      </c>
      <c r="E14" s="2243"/>
      <c r="F14" s="2243"/>
      <c r="G14" s="2243">
        <f t="shared" si="0"/>
        <v>0</v>
      </c>
      <c r="H14" s="2143" t="s">
        <v>2534</v>
      </c>
      <c r="I14" s="1987" t="s">
        <v>2599</v>
      </c>
      <c r="J14" s="1987"/>
      <c r="K14" t="b">
        <v>0</v>
      </c>
    </row>
    <row r="15" spans="1:11" ht="31.5">
      <c r="A15" t="s">
        <v>1653</v>
      </c>
      <c r="B15" s="623">
        <v>278</v>
      </c>
      <c r="C15" s="2253"/>
      <c r="D15" s="2243">
        <v>4987044</v>
      </c>
      <c r="G15" s="2243">
        <f t="shared" si="0"/>
        <v>4987044</v>
      </c>
      <c r="H15" s="1211" t="s">
        <v>2534</v>
      </c>
      <c r="I15" s="2254" t="s">
        <v>2598</v>
      </c>
    </row>
    <row r="16" spans="1:11">
      <c r="A16" t="s">
        <v>1651</v>
      </c>
      <c r="B16" s="623">
        <v>278</v>
      </c>
      <c r="C16" s="2253"/>
      <c r="D16" s="2243">
        <v>5734024</v>
      </c>
      <c r="G16" s="2243">
        <f t="shared" si="0"/>
        <v>5734024</v>
      </c>
      <c r="I16" s="2254" t="s">
        <v>2597</v>
      </c>
    </row>
    <row r="17" spans="1:10" ht="31.5">
      <c r="A17" s="2068" t="s">
        <v>3014</v>
      </c>
      <c r="B17" s="2068">
        <v>278</v>
      </c>
      <c r="C17" s="2253"/>
      <c r="D17" s="2243">
        <v>569566</v>
      </c>
      <c r="G17" s="2243">
        <f>D17</f>
        <v>569566</v>
      </c>
      <c r="I17" s="2254" t="s">
        <v>3025</v>
      </c>
    </row>
    <row r="18" spans="1:10" ht="31.5">
      <c r="A18" s="2068" t="s">
        <v>1648</v>
      </c>
      <c r="B18" s="2068">
        <v>278</v>
      </c>
      <c r="C18" s="2253" t="s">
        <v>2526</v>
      </c>
      <c r="D18" s="2243">
        <v>139305</v>
      </c>
      <c r="G18" s="2243">
        <f>D18</f>
        <v>139305</v>
      </c>
      <c r="I18" s="2254" t="s">
        <v>2596</v>
      </c>
    </row>
    <row r="19" spans="1:10" ht="29.25" customHeight="1">
      <c r="A19" s="2068" t="s">
        <v>3015</v>
      </c>
      <c r="B19" s="2068">
        <v>278</v>
      </c>
      <c r="C19" s="2253"/>
      <c r="D19" s="2243">
        <v>0</v>
      </c>
      <c r="G19" s="2243"/>
      <c r="I19" s="2254" t="s">
        <v>3026</v>
      </c>
    </row>
    <row r="20" spans="1:10" ht="17.25" customHeight="1">
      <c r="A20" s="2068" t="s">
        <v>1646</v>
      </c>
      <c r="B20" s="2068">
        <v>278</v>
      </c>
      <c r="C20" s="2253"/>
      <c r="D20" s="2243">
        <v>714598</v>
      </c>
      <c r="G20" s="2243">
        <f t="shared" ref="G20:G27" si="1">D20</f>
        <v>714598</v>
      </c>
      <c r="I20" s="2338" t="s">
        <v>3020</v>
      </c>
      <c r="J20" s="2338"/>
    </row>
    <row r="21" spans="1:10" ht="30" customHeight="1">
      <c r="A21" s="2068" t="s">
        <v>3016</v>
      </c>
      <c r="B21" s="2068">
        <v>278</v>
      </c>
      <c r="C21" s="2255" t="s">
        <v>3227</v>
      </c>
      <c r="D21" s="2243">
        <v>2807374</v>
      </c>
      <c r="G21" s="2243">
        <f t="shared" si="1"/>
        <v>2807374</v>
      </c>
      <c r="H21" s="1211" t="s">
        <v>2534</v>
      </c>
      <c r="I21" s="2339" t="s">
        <v>3021</v>
      </c>
      <c r="J21" s="2339"/>
    </row>
    <row r="22" spans="1:10" ht="62.25" customHeight="1">
      <c r="A22" s="2068" t="s">
        <v>1642</v>
      </c>
      <c r="B22" s="2068">
        <v>278</v>
      </c>
      <c r="C22" s="2253"/>
      <c r="D22" s="2243">
        <v>56253863</v>
      </c>
      <c r="G22" s="2243">
        <f t="shared" si="1"/>
        <v>56253863</v>
      </c>
      <c r="H22" s="1211" t="s">
        <v>2534</v>
      </c>
      <c r="I22" s="2339" t="s">
        <v>3022</v>
      </c>
      <c r="J22" s="2339"/>
    </row>
    <row r="23" spans="1:10" ht="15.75" customHeight="1">
      <c r="A23" s="2068" t="s">
        <v>1641</v>
      </c>
      <c r="B23" s="2068">
        <v>278</v>
      </c>
      <c r="C23" s="2253" t="s">
        <v>2529</v>
      </c>
      <c r="D23" s="2243">
        <v>867237</v>
      </c>
      <c r="G23" s="2243">
        <f t="shared" si="1"/>
        <v>867237</v>
      </c>
      <c r="I23" s="2338" t="s">
        <v>3023</v>
      </c>
      <c r="J23" s="2338"/>
    </row>
    <row r="24" spans="1:10" ht="30.75" customHeight="1">
      <c r="A24" s="2068" t="s">
        <v>1639</v>
      </c>
      <c r="B24" s="2068">
        <v>278</v>
      </c>
      <c r="C24" s="2253"/>
      <c r="D24" s="2243">
        <v>11147603</v>
      </c>
      <c r="G24" s="2243">
        <f t="shared" si="1"/>
        <v>11147603</v>
      </c>
      <c r="I24" s="2338" t="s">
        <v>3024</v>
      </c>
      <c r="J24" s="2338"/>
    </row>
    <row r="25" spans="1:10" ht="37.5" customHeight="1">
      <c r="A25" s="2068" t="s">
        <v>1638</v>
      </c>
      <c r="B25" s="2068">
        <v>278</v>
      </c>
      <c r="C25" s="2253" t="s">
        <v>2526</v>
      </c>
      <c r="D25" s="2243">
        <v>37231122</v>
      </c>
      <c r="G25" s="2243">
        <f t="shared" si="1"/>
        <v>37231122</v>
      </c>
      <c r="H25" s="1211" t="s">
        <v>2534</v>
      </c>
      <c r="I25" s="2339" t="s">
        <v>3019</v>
      </c>
      <c r="J25" s="2339"/>
    </row>
    <row r="26" spans="1:10" ht="37.5" customHeight="1">
      <c r="A26" s="2068" t="s">
        <v>3017</v>
      </c>
      <c r="B26" s="2068">
        <v>278</v>
      </c>
      <c r="C26" s="2255" t="s">
        <v>3227</v>
      </c>
      <c r="D26" s="2243">
        <v>14854</v>
      </c>
      <c r="G26" s="2243">
        <f t="shared" si="1"/>
        <v>14854</v>
      </c>
      <c r="H26" s="1211" t="s">
        <v>2534</v>
      </c>
      <c r="I26" s="2339" t="s">
        <v>3018</v>
      </c>
      <c r="J26" s="2339"/>
    </row>
    <row r="27" spans="1:10" ht="18" customHeight="1">
      <c r="A27" s="2143" t="s">
        <v>3054</v>
      </c>
      <c r="B27" s="2068">
        <v>278</v>
      </c>
      <c r="C27" s="2253"/>
      <c r="D27" s="2243">
        <v>75597</v>
      </c>
      <c r="G27" s="2243">
        <f t="shared" si="1"/>
        <v>75597</v>
      </c>
      <c r="I27" s="2338"/>
      <c r="J27" s="2338"/>
    </row>
    <row r="28" spans="1:10" ht="16.5" thickBot="1">
      <c r="A28" t="s">
        <v>104</v>
      </c>
      <c r="D28" s="2079">
        <f>SUM(D6:D27)</f>
        <v>479233915</v>
      </c>
      <c r="E28" s="2079">
        <f>SUM(E6:E27)</f>
        <v>440276</v>
      </c>
      <c r="F28" s="2079">
        <f>SUM(F6:F27)</f>
        <v>0</v>
      </c>
      <c r="G28" s="2079">
        <f>SUM(G6:G27)</f>
        <v>478793639</v>
      </c>
      <c r="H28" s="2074"/>
    </row>
    <row r="29" spans="1:10" ht="16.5" thickTop="1">
      <c r="D29" s="584">
        <f>D28-'278'!M24</f>
        <v>0</v>
      </c>
      <c r="G29" s="584">
        <f>SUM(E28:G28)-D28</f>
        <v>0</v>
      </c>
    </row>
    <row r="30" spans="1:10">
      <c r="A30" t="s">
        <v>2192</v>
      </c>
    </row>
    <row r="31" spans="1:10">
      <c r="A31" t="s">
        <v>2511</v>
      </c>
    </row>
  </sheetData>
  <autoFilter ref="A5:J31" xr:uid="{F5089797-C6E5-48F8-9B13-17648B62D042}"/>
  <mergeCells count="11">
    <mergeCell ref="I11:J11"/>
    <mergeCell ref="I12:J12"/>
    <mergeCell ref="I13:J13"/>
    <mergeCell ref="I27:J27"/>
    <mergeCell ref="I25:J25"/>
    <mergeCell ref="I20:J20"/>
    <mergeCell ref="I21:J21"/>
    <mergeCell ref="I22:J22"/>
    <mergeCell ref="I23:J23"/>
    <mergeCell ref="I24:J24"/>
    <mergeCell ref="I26:J26"/>
  </mergeCells>
  <pageMargins left="0.7" right="0.7" top="0.75" bottom="0.75" header="0.3" footer="0.3"/>
  <pageSetup orientation="portrait" horizontalDpi="90" verticalDpi="90" r:id="rId1"/>
  <customProperties>
    <customPr name="xxe4aPID" r:id="rId2"/>
  </customProperties>
  <drawing r:id="rId3"/>
  <legacyDrawing r:id="rId4"/>
  <oleObjects>
    <mc:AlternateContent xmlns:mc="http://schemas.openxmlformats.org/markup-compatibility/2006">
      <mc:Choice Requires="x14">
        <oleObject progId="AcroExch.Document.DC" dvAspect="DVASPECT_ICON" shapeId="174081" r:id="rId5">
          <objectPr defaultSize="0" r:id="rId6">
            <anchor moveWithCells="1" sizeWithCells="1">
              <from>
                <xdr:col>10</xdr:col>
                <xdr:colOff>57150</xdr:colOff>
                <xdr:row>8</xdr:row>
                <xdr:rowOff>0</xdr:rowOff>
              </from>
              <to>
                <xdr:col>11</xdr:col>
                <xdr:colOff>285750</xdr:colOff>
                <xdr:row>9</xdr:row>
                <xdr:rowOff>133350</xdr:rowOff>
              </to>
            </anchor>
          </objectPr>
        </oleObject>
      </mc:Choice>
      <mc:Fallback>
        <oleObject progId="AcroExch.Document.DC" dvAspect="DVASPECT_ICON" shapeId="174081" r:id="rId5"/>
      </mc:Fallback>
    </mc:AlternateContent>
  </oleObjec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B0F0"/>
  </sheetPr>
  <dimension ref="A1:H30"/>
  <sheetViews>
    <sheetView zoomScale="110" zoomScaleNormal="110" zoomScaleSheetLayoutView="75" zoomScalePageLayoutView="85" workbookViewId="0">
      <selection activeCell="A12" sqref="A12:B13"/>
    </sheetView>
  </sheetViews>
  <sheetFormatPr defaultRowHeight="15.75"/>
  <cols>
    <col min="1" max="1" width="6.75" customWidth="1"/>
    <col min="2" max="2" width="52.625" customWidth="1"/>
    <col min="3" max="6" width="15.875" customWidth="1"/>
    <col min="7" max="7" width="17.5" bestFit="1" customWidth="1"/>
    <col min="8" max="8" width="13.75" bestFit="1" customWidth="1"/>
  </cols>
  <sheetData>
    <row r="1" spans="1:6" ht="19.5" thickTop="1">
      <c r="A1" s="2344" t="s">
        <v>54</v>
      </c>
      <c r="B1" s="2345"/>
      <c r="C1" s="2345"/>
      <c r="D1" s="2345"/>
      <c r="E1" s="2345"/>
      <c r="F1" s="2346"/>
    </row>
    <row r="2" spans="1:6">
      <c r="A2" s="2342" t="s">
        <v>56</v>
      </c>
      <c r="B2" s="2295"/>
      <c r="C2" s="2295"/>
      <c r="D2" s="2295"/>
      <c r="E2" s="2295"/>
      <c r="F2" s="2343"/>
    </row>
    <row r="3" spans="1:6">
      <c r="A3" s="2340" t="s">
        <v>723</v>
      </c>
      <c r="B3" s="2292"/>
      <c r="C3" s="2292"/>
      <c r="D3" s="2292"/>
      <c r="E3" s="2292"/>
      <c r="F3" s="2341"/>
    </row>
    <row r="4" spans="1:6" ht="12" customHeight="1" thickBot="1">
      <c r="A4" s="1334"/>
      <c r="B4" s="3"/>
      <c r="C4" s="141"/>
      <c r="D4" s="16"/>
      <c r="E4" s="16"/>
      <c r="F4" s="159"/>
    </row>
    <row r="5" spans="1:6">
      <c r="A5" s="1238" t="s">
        <v>699</v>
      </c>
      <c r="B5" s="502" t="s">
        <v>576</v>
      </c>
      <c r="C5" s="2355" t="str">
        <f>'Sch 1- Rate Base '!$E$5</f>
        <v>Utility Name</v>
      </c>
      <c r="D5" s="2356"/>
      <c r="E5" s="1313"/>
      <c r="F5" s="1325" t="s">
        <v>721</v>
      </c>
    </row>
    <row r="6" spans="1:6" ht="18.75">
      <c r="A6" s="1335"/>
      <c r="B6" s="502" t="s">
        <v>578</v>
      </c>
      <c r="C6" s="2357">
        <f>'Sch 1- Rate Base '!$E$6</f>
        <v>2023</v>
      </c>
      <c r="D6" s="2358"/>
      <c r="E6" s="1313"/>
      <c r="F6" s="1326" t="str">
        <f>'Sch 1- Rate Base '!I6</f>
        <v/>
      </c>
    </row>
    <row r="7" spans="1:6" ht="16.5" thickBot="1">
      <c r="A7" s="332"/>
      <c r="B7" s="502" t="s">
        <v>579</v>
      </c>
      <c r="C7" s="2359">
        <f>'Sch 1- Rate Base '!$E$7</f>
        <v>45446</v>
      </c>
      <c r="D7" s="2360"/>
      <c r="E7" s="1313"/>
      <c r="F7" s="1328" t="str">
        <f>'Sch 1- Rate Base '!I7</f>
        <v/>
      </c>
    </row>
    <row r="8" spans="1:6">
      <c r="A8" s="332"/>
      <c r="B8" s="502"/>
      <c r="C8" s="625"/>
      <c r="D8" s="624"/>
      <c r="E8" s="180"/>
      <c r="F8" s="159"/>
    </row>
    <row r="9" spans="1:6">
      <c r="A9" s="332"/>
      <c r="B9" s="502"/>
      <c r="C9" s="180"/>
      <c r="D9" s="624"/>
      <c r="E9" s="180"/>
      <c r="F9" s="159"/>
    </row>
    <row r="10" spans="1:6">
      <c r="A10" s="332" t="s">
        <v>502</v>
      </c>
      <c r="B10" s="3"/>
      <c r="C10" s="141"/>
      <c r="D10" s="16"/>
      <c r="E10" s="16"/>
      <c r="F10" s="159"/>
    </row>
    <row r="11" spans="1:6" ht="17.25" customHeight="1" thickBot="1">
      <c r="A11" s="2352" t="s">
        <v>230</v>
      </c>
      <c r="B11" s="2353"/>
      <c r="C11" s="2353"/>
      <c r="D11" s="2353"/>
      <c r="E11" s="2353"/>
      <c r="F11" s="2354"/>
    </row>
    <row r="12" spans="1:6">
      <c r="A12" s="2349" t="s">
        <v>100</v>
      </c>
      <c r="B12" s="2286"/>
      <c r="C12" s="2289" t="s">
        <v>104</v>
      </c>
      <c r="D12" s="2289" t="s">
        <v>105</v>
      </c>
      <c r="E12" s="2289" t="s">
        <v>106</v>
      </c>
      <c r="F12" s="2347" t="s">
        <v>732</v>
      </c>
    </row>
    <row r="13" spans="1:6" ht="16.5" thickBot="1">
      <c r="A13" s="2350"/>
      <c r="B13" s="2351"/>
      <c r="C13" s="2312"/>
      <c r="D13" s="2312"/>
      <c r="E13" s="2312"/>
      <c r="F13" s="2348"/>
    </row>
    <row r="14" spans="1:6">
      <c r="A14" s="160" t="s">
        <v>154</v>
      </c>
      <c r="B14" s="32"/>
      <c r="C14" s="35"/>
      <c r="D14" s="142"/>
      <c r="E14" s="142"/>
      <c r="F14" s="251"/>
    </row>
    <row r="15" spans="1:6">
      <c r="A15" s="164"/>
      <c r="B15" s="33" t="s">
        <v>155</v>
      </c>
      <c r="C15" s="539">
        <f>'Sch 3 - Expenses'!G36</f>
        <v>485623392</v>
      </c>
      <c r="D15" s="539">
        <f>'Sch 3 - Expenses'!H36</f>
        <v>485623392</v>
      </c>
      <c r="E15" s="539">
        <f>'Sch 3 - Expenses'!I36</f>
        <v>0</v>
      </c>
      <c r="F15" s="540">
        <f>'Sch 3 - Expenses'!J36</f>
        <v>0</v>
      </c>
    </row>
    <row r="16" spans="1:6">
      <c r="A16" s="164"/>
      <c r="B16" s="33" t="s">
        <v>503</v>
      </c>
      <c r="C16" s="539">
        <f>'Sch 3 - Expenses'!G42</f>
        <v>33665618</v>
      </c>
      <c r="D16" s="539">
        <f>'Sch 3 - Expenses'!H42</f>
        <v>19063436</v>
      </c>
      <c r="E16" s="539">
        <f>'Sch 3 - Expenses'!I42</f>
        <v>0</v>
      </c>
      <c r="F16" s="540">
        <f>'Sch 3 - Expenses'!J42</f>
        <v>14602182</v>
      </c>
    </row>
    <row r="17" spans="1:8">
      <c r="A17" s="164"/>
      <c r="B17" s="33" t="s">
        <v>524</v>
      </c>
      <c r="C17" s="539">
        <f>'Sch 3 - Expenses'!G47</f>
        <v>56024785.200000003</v>
      </c>
      <c r="D17" s="539">
        <f>'Sch 3 - Expenses'!H47</f>
        <v>0</v>
      </c>
      <c r="E17" s="539">
        <f>'Sch 3 - Expenses'!I47</f>
        <v>0</v>
      </c>
      <c r="F17" s="540">
        <f>'Sch 3 - Expenses'!J47</f>
        <v>56024785.200000003</v>
      </c>
    </row>
    <row r="18" spans="1:8">
      <c r="A18" s="164"/>
      <c r="B18" s="33" t="s">
        <v>546</v>
      </c>
      <c r="C18" s="539">
        <f>'Sch 3 - Expenses'!G55</f>
        <v>43420871.850000001</v>
      </c>
      <c r="D18" s="539">
        <f>'Sch 3 - Expenses'!H55</f>
        <v>0</v>
      </c>
      <c r="E18" s="539">
        <f>'Sch 3 - Expenses'!I55</f>
        <v>0</v>
      </c>
      <c r="F18" s="540">
        <f>'Sch 3 - Expenses'!J55</f>
        <v>43420871.850000001</v>
      </c>
    </row>
    <row r="19" spans="1:8">
      <c r="A19" s="164"/>
      <c r="B19" s="33" t="s">
        <v>156</v>
      </c>
      <c r="C19" s="539">
        <f>'Sch 3 - Expenses'!G75</f>
        <v>122527419.78000002</v>
      </c>
      <c r="D19" s="539">
        <f>'Sch 3 - Expenses'!H75</f>
        <v>38573197.74474591</v>
      </c>
      <c r="E19" s="539">
        <f>'Sch 3 - Expenses'!I75</f>
        <v>0</v>
      </c>
      <c r="F19" s="540">
        <f>'Sch 3 - Expenses'!J75</f>
        <v>83954222.034965694</v>
      </c>
    </row>
    <row r="20" spans="1:8">
      <c r="A20" s="164"/>
      <c r="B20" s="33" t="s">
        <v>182</v>
      </c>
      <c r="C20" s="1554">
        <f>'Sch 3 - Expenses'!G16+'Sch 3 - Expenses'!G20+'Sch 3 - Expenses'!G27+'Sch 3 - Expenses'!G31+'Sch 3 - Expenses'!G34+'Sch 3 - Expenses'!G35+G30</f>
        <v>408512831</v>
      </c>
      <c r="D20" s="1554">
        <f>'Sch 3 - Expenses'!H16+'Sch 3 - Expenses'!H20+'Sch 3 - Expenses'!H27+'Sch 3 - Expenses'!H31+'Sch 3 - Expenses'!H34+'Sch 3 - Expenses'!H35+H30</f>
        <v>408512831</v>
      </c>
      <c r="E20" s="539">
        <f>'Sch 3 - Expenses'!I16+'Sch 3 - Expenses'!I20+'Sch 3 - Expenses'!I27+'Sch 3 - Expenses'!I31+'Sch 3 - Expenses'!I34+'Sch 3 - Expenses'!I35</f>
        <v>0</v>
      </c>
      <c r="F20" s="540">
        <f>'Sch 3 - Expenses'!J16+'Sch 3 - Expenses'!J20+'Sch 3 - Expenses'!J27+'Sch 3 - Expenses'!J31+'Sch 3 - Expenses'!J34+'Sch 3 - Expenses'!J35</f>
        <v>0</v>
      </c>
    </row>
    <row r="21" spans="1:8">
      <c r="A21" s="163" t="s">
        <v>158</v>
      </c>
      <c r="B21" s="32"/>
      <c r="C21" s="474">
        <f>SUM(C15:C19)-C20</f>
        <v>332749255.83000004</v>
      </c>
      <c r="D21" s="474">
        <f>SUM(D15:D19)-D20</f>
        <v>134747194.74474597</v>
      </c>
      <c r="E21" s="474">
        <f>SUM(E15:E19)-E20</f>
        <v>0</v>
      </c>
      <c r="F21" s="475">
        <f>SUM(F15:F19)-F20</f>
        <v>198002061.08496571</v>
      </c>
      <c r="G21" s="1988"/>
    </row>
    <row r="22" spans="1:8">
      <c r="A22" s="212"/>
      <c r="B22" s="32"/>
      <c r="C22" s="142"/>
      <c r="D22" s="142"/>
      <c r="E22" s="142"/>
      <c r="F22" s="252"/>
      <c r="G22" s="2147"/>
    </row>
    <row r="23" spans="1:8">
      <c r="A23" s="160" t="s">
        <v>159</v>
      </c>
      <c r="B23" s="62"/>
      <c r="C23" s="142"/>
      <c r="D23" s="142"/>
      <c r="E23" s="142"/>
      <c r="F23" s="252"/>
      <c r="G23" s="1988"/>
    </row>
    <row r="24" spans="1:8">
      <c r="A24" s="163" t="s">
        <v>157</v>
      </c>
      <c r="B24" s="62"/>
      <c r="C24" s="474">
        <f>C21/8</f>
        <v>41593656.978750005</v>
      </c>
      <c r="D24" s="474">
        <f>D21/8</f>
        <v>16843399.343093246</v>
      </c>
      <c r="E24" s="474">
        <f>E21/8</f>
        <v>0</v>
      </c>
      <c r="F24" s="475">
        <f>F21/8</f>
        <v>24750257.635620713</v>
      </c>
      <c r="G24" s="2147"/>
    </row>
    <row r="25" spans="1:8">
      <c r="A25" s="170"/>
      <c r="B25" s="79"/>
      <c r="C25" s="54"/>
      <c r="D25" s="54"/>
      <c r="E25" s="54"/>
      <c r="F25" s="244"/>
      <c r="G25" s="2147"/>
    </row>
    <row r="26" spans="1:8" ht="16.5" thickBot="1">
      <c r="A26" s="191"/>
      <c r="B26" s="203"/>
      <c r="C26" s="203"/>
      <c r="D26" s="203"/>
      <c r="E26" s="203"/>
      <c r="F26" s="204"/>
    </row>
    <row r="27" spans="1:8" ht="16.5" thickTop="1"/>
    <row r="30" spans="1:8">
      <c r="B30" s="1552" t="s">
        <v>756</v>
      </c>
      <c r="C30" s="1553"/>
      <c r="D30" s="1553"/>
      <c r="E30" s="1553"/>
      <c r="F30" s="1553"/>
      <c r="G30" s="1751">
        <f>+'3.2 557 Detail'!J36</f>
        <v>29805671</v>
      </c>
      <c r="H30" s="1638">
        <f>G30</f>
        <v>29805671</v>
      </c>
    </row>
  </sheetData>
  <mergeCells count="12">
    <mergeCell ref="A3:F3"/>
    <mergeCell ref="A2:F2"/>
    <mergeCell ref="A1:F1"/>
    <mergeCell ref="F12:F13"/>
    <mergeCell ref="A12:B13"/>
    <mergeCell ref="C12:C13"/>
    <mergeCell ref="D12:D13"/>
    <mergeCell ref="E12:E13"/>
    <mergeCell ref="A11:F11"/>
    <mergeCell ref="C5:D5"/>
    <mergeCell ref="C6:D6"/>
    <mergeCell ref="C7:D7"/>
  </mergeCells>
  <phoneticPr fontId="0" type="noConversion"/>
  <hyperlinks>
    <hyperlink ref="A5" location="TOC!A1" display="TOC" xr:uid="{00000000-0004-0000-0300-000000000000}"/>
  </hyperlinks>
  <printOptions horizontalCentered="1" headings="1"/>
  <pageMargins left="0.5" right="0.5" top="1" bottom="0.55000000000000004" header="0.25" footer="0.25"/>
  <pageSetup scale="75" orientation="landscape" r:id="rId1"/>
  <headerFooter alignWithMargins="0">
    <oddFooter>&amp;LFY 2026-2028 ASC Filing&amp;CPage &amp;P of &amp;N&amp;R&amp;A
&amp;D</oddFooter>
  </headerFooter>
  <customProperties>
    <customPr name="xxe4aP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1DC4FF"/>
  </sheetPr>
  <dimension ref="A1:Q129"/>
  <sheetViews>
    <sheetView showZeros="0" topLeftCell="A99" zoomScale="120" zoomScaleNormal="120" zoomScaleSheetLayoutView="75" workbookViewId="0">
      <selection activeCell="C9" sqref="A9:G38"/>
    </sheetView>
  </sheetViews>
  <sheetFormatPr defaultColWidth="9" defaultRowHeight="15.75"/>
  <cols>
    <col min="1" max="1" width="29.625" style="1" customWidth="1"/>
    <col min="2" max="2" width="17.75" style="1" customWidth="1"/>
    <col min="3" max="3" width="14.125" style="1" customWidth="1"/>
    <col min="4" max="4" width="9.875" style="1" customWidth="1"/>
    <col min="5" max="5" width="17.375" style="1" bestFit="1" customWidth="1"/>
    <col min="6" max="6" width="12.5" style="1" customWidth="1"/>
    <col min="7" max="7" width="18.5" style="1" customWidth="1"/>
    <col min="8" max="8" width="16.625" style="1" customWidth="1"/>
    <col min="9" max="9" width="2.75" style="1" customWidth="1"/>
    <col min="10" max="11" width="9.625" style="1" customWidth="1"/>
    <col min="12" max="12" width="10.5" style="1" customWidth="1"/>
    <col min="13" max="16384" width="9" style="1"/>
  </cols>
  <sheetData>
    <row r="1" spans="1:17" ht="20.100000000000001" customHeight="1" thickTop="1">
      <c r="A1" s="2344" t="s">
        <v>54</v>
      </c>
      <c r="B1" s="2345"/>
      <c r="C1" s="2345"/>
      <c r="D1" s="2345"/>
      <c r="E1" s="2345"/>
      <c r="F1" s="2345"/>
      <c r="G1" s="2345"/>
      <c r="H1" s="2346"/>
      <c r="I1"/>
      <c r="J1"/>
      <c r="K1"/>
      <c r="L1" s="40"/>
      <c r="M1" s="37"/>
      <c r="N1" s="41"/>
      <c r="O1" s="11"/>
      <c r="P1" s="11"/>
      <c r="Q1" s="11"/>
    </row>
    <row r="2" spans="1:17" ht="20.100000000000001" customHeight="1">
      <c r="A2" s="2342" t="s">
        <v>56</v>
      </c>
      <c r="B2" s="2295"/>
      <c r="C2" s="2295"/>
      <c r="D2" s="2295"/>
      <c r="E2" s="2295"/>
      <c r="F2" s="2295"/>
      <c r="G2" s="2295"/>
      <c r="H2" s="2343"/>
      <c r="I2"/>
      <c r="J2"/>
      <c r="K2"/>
      <c r="L2" s="40"/>
      <c r="M2" s="37"/>
      <c r="N2" s="41"/>
      <c r="O2" s="11"/>
      <c r="P2" s="11"/>
      <c r="Q2" s="11"/>
    </row>
    <row r="3" spans="1:17" ht="20.100000000000001" customHeight="1">
      <c r="A3" s="2340" t="s">
        <v>723</v>
      </c>
      <c r="B3" s="2292"/>
      <c r="C3" s="2292"/>
      <c r="D3" s="2292"/>
      <c r="E3" s="2292"/>
      <c r="F3" s="2292"/>
      <c r="G3" s="2292"/>
      <c r="H3" s="2341"/>
      <c r="I3"/>
      <c r="J3"/>
      <c r="K3"/>
      <c r="L3" s="40"/>
      <c r="M3" s="37"/>
      <c r="N3" s="41"/>
      <c r="O3" s="11"/>
      <c r="P3" s="11"/>
      <c r="Q3" s="11"/>
    </row>
    <row r="4" spans="1:17" ht="12" customHeight="1" thickBot="1">
      <c r="A4" s="367"/>
      <c r="B4" s="83"/>
      <c r="C4" s="83"/>
      <c r="D4" s="83"/>
      <c r="E4" s="83"/>
      <c r="F4" s="144"/>
      <c r="G4" s="144"/>
      <c r="H4" s="253"/>
      <c r="I4"/>
      <c r="J4"/>
      <c r="K4"/>
      <c r="L4" s="40"/>
      <c r="M4" s="37"/>
      <c r="N4" s="41"/>
      <c r="O4" s="11"/>
      <c r="P4" s="11"/>
      <c r="Q4" s="11"/>
    </row>
    <row r="5" spans="1:17" ht="15.75" customHeight="1">
      <c r="A5" s="1238" t="s">
        <v>699</v>
      </c>
      <c r="B5" s="1202"/>
      <c r="C5" s="502" t="s">
        <v>576</v>
      </c>
      <c r="D5" s="2355" t="str">
        <f>'Sch 1- Rate Base '!$E$5</f>
        <v>Utility Name</v>
      </c>
      <c r="E5" s="2356"/>
      <c r="F5" s="2363"/>
      <c r="G5" s="624"/>
      <c r="H5" s="1325" t="s">
        <v>721</v>
      </c>
      <c r="I5"/>
      <c r="J5"/>
      <c r="K5"/>
      <c r="L5" s="40"/>
      <c r="M5" s="37"/>
      <c r="N5" s="41"/>
      <c r="O5" s="11"/>
      <c r="P5" s="11"/>
      <c r="Q5" s="11"/>
    </row>
    <row r="6" spans="1:17" ht="15.75" customHeight="1">
      <c r="A6" s="1327" t="s">
        <v>700</v>
      </c>
      <c r="B6" s="1202"/>
      <c r="C6" s="502" t="s">
        <v>578</v>
      </c>
      <c r="D6" s="2357">
        <f>'Sch 1- Rate Base '!$E$6</f>
        <v>2023</v>
      </c>
      <c r="E6" s="2358"/>
      <c r="F6" s="2364"/>
      <c r="G6" s="624"/>
      <c r="H6" s="1326" t="str">
        <f>'Sch 1- Rate Base '!I6</f>
        <v/>
      </c>
      <c r="I6"/>
      <c r="J6"/>
      <c r="K6"/>
      <c r="L6" s="40"/>
      <c r="M6" s="37"/>
      <c r="N6" s="41"/>
      <c r="O6" s="11"/>
      <c r="P6" s="11"/>
      <c r="Q6" s="11"/>
    </row>
    <row r="7" spans="1:17" ht="15.75" customHeight="1" thickBot="1">
      <c r="A7" s="367"/>
      <c r="B7" s="1202"/>
      <c r="C7" s="502" t="s">
        <v>579</v>
      </c>
      <c r="D7" s="2359">
        <f>'Sch 1- Rate Base '!$E$7</f>
        <v>45446</v>
      </c>
      <c r="E7" s="2361"/>
      <c r="F7" s="2362"/>
      <c r="G7" s="144"/>
      <c r="H7" s="1328" t="str">
        <f>'Sch 1- Rate Base '!I7</f>
        <v/>
      </c>
      <c r="I7"/>
      <c r="J7"/>
      <c r="K7"/>
      <c r="L7" s="40"/>
      <c r="M7" s="37"/>
      <c r="N7" s="41"/>
      <c r="O7" s="11"/>
      <c r="P7" s="11"/>
      <c r="Q7" s="11"/>
    </row>
    <row r="8" spans="1:17" ht="18.75" customHeight="1">
      <c r="A8" s="2365" t="s">
        <v>504</v>
      </c>
      <c r="B8" s="2366"/>
      <c r="C8" s="2366"/>
      <c r="D8" s="2366"/>
      <c r="E8" s="2366"/>
      <c r="F8" s="2366"/>
      <c r="G8" s="2366"/>
      <c r="H8" s="2367"/>
      <c r="I8"/>
      <c r="J8"/>
      <c r="K8"/>
      <c r="L8" s="40"/>
      <c r="M8" s="37"/>
      <c r="N8" s="41"/>
      <c r="O8" s="11"/>
      <c r="P8" s="11"/>
      <c r="Q8" s="11"/>
    </row>
    <row r="9" spans="1:17" ht="13.5" customHeight="1" thickBot="1">
      <c r="A9" s="1329"/>
      <c r="B9" s="1194"/>
      <c r="C9" s="1194"/>
      <c r="D9" s="1194"/>
      <c r="E9" s="1194"/>
      <c r="F9" s="1194"/>
      <c r="G9" s="1194"/>
      <c r="H9" s="1195"/>
      <c r="I9"/>
      <c r="J9"/>
      <c r="K9"/>
      <c r="L9" s="40"/>
      <c r="M9" s="37"/>
      <c r="N9" s="41"/>
      <c r="O9" s="11"/>
      <c r="P9" s="11"/>
      <c r="Q9" s="11"/>
    </row>
    <row r="10" spans="1:17" ht="20.100000000000001" customHeight="1">
      <c r="A10" s="1330"/>
      <c r="B10" s="359"/>
      <c r="C10" s="359"/>
      <c r="D10" s="365" t="s">
        <v>203</v>
      </c>
      <c r="E10" s="360"/>
      <c r="F10" s="353"/>
      <c r="G10" s="353"/>
      <c r="H10" s="354"/>
      <c r="I10"/>
      <c r="J10"/>
      <c r="K10"/>
      <c r="L10" s="40"/>
      <c r="M10" s="37"/>
      <c r="N10" s="41"/>
      <c r="O10" s="11"/>
      <c r="P10" s="11"/>
      <c r="Q10" s="11"/>
    </row>
    <row r="11" spans="1:17" ht="15" customHeight="1">
      <c r="A11" s="1331"/>
      <c r="B11" s="359"/>
      <c r="C11" s="359"/>
      <c r="D11" s="362" t="s">
        <v>201</v>
      </c>
      <c r="E11" s="468">
        <f>E35</f>
        <v>0</v>
      </c>
      <c r="F11" s="353"/>
      <c r="G11" s="353"/>
      <c r="H11" s="354"/>
      <c r="I11"/>
      <c r="J11"/>
      <c r="K11"/>
      <c r="L11" s="40"/>
      <c r="M11" s="37"/>
      <c r="N11" s="41"/>
      <c r="O11" s="11"/>
      <c r="P11" s="11"/>
      <c r="Q11" s="11"/>
    </row>
    <row r="12" spans="1:17" ht="15" customHeight="1">
      <c r="A12" s="361"/>
      <c r="B12" s="359"/>
      <c r="C12" s="359"/>
      <c r="D12" s="363" t="s">
        <v>555</v>
      </c>
      <c r="E12" s="2225">
        <f>E90</f>
        <v>8.3054675822784807E-2</v>
      </c>
      <c r="F12"/>
      <c r="G12"/>
      <c r="H12" s="355"/>
      <c r="I12"/>
      <c r="J12"/>
      <c r="K12"/>
      <c r="L12" s="40"/>
      <c r="M12" s="37"/>
      <c r="N12" s="41"/>
      <c r="O12" s="11"/>
      <c r="P12" s="11"/>
      <c r="Q12" s="11"/>
    </row>
    <row r="13" spans="1:17" ht="15" customHeight="1" thickBot="1">
      <c r="A13" s="361"/>
      <c r="B13" s="364"/>
      <c r="C13" s="359"/>
      <c r="D13" s="363" t="s">
        <v>227</v>
      </c>
      <c r="E13" s="469">
        <f>E118</f>
        <v>0</v>
      </c>
      <c r="F13" s="90"/>
      <c r="G13" s="90"/>
      <c r="H13" s="223"/>
      <c r="I13"/>
      <c r="J13"/>
      <c r="K13"/>
      <c r="L13" s="40"/>
      <c r="M13" s="37"/>
      <c r="N13" s="41"/>
      <c r="O13" s="11"/>
      <c r="P13" s="11"/>
      <c r="Q13" s="11"/>
    </row>
    <row r="14" spans="1:17" ht="15" customHeight="1" thickBot="1">
      <c r="A14" s="361"/>
      <c r="B14" s="364"/>
      <c r="C14" s="364"/>
      <c r="D14" s="363" t="s">
        <v>204</v>
      </c>
      <c r="E14" s="546">
        <f>SUM(E11:E13)</f>
        <v>8.3054675822784807E-2</v>
      </c>
      <c r="F14" s="356"/>
      <c r="G14" s="356"/>
      <c r="H14" s="357"/>
      <c r="I14"/>
      <c r="J14"/>
      <c r="K14"/>
      <c r="L14" s="40"/>
      <c r="M14" s="37"/>
      <c r="N14" s="41"/>
      <c r="O14" s="11"/>
      <c r="P14" s="11"/>
      <c r="Q14" s="11"/>
    </row>
    <row r="15" spans="1:17" ht="12" customHeight="1" thickBot="1">
      <c r="A15" s="225"/>
      <c r="B15" s="144"/>
      <c r="C15" s="144"/>
      <c r="D15" s="144"/>
      <c r="E15" s="144"/>
      <c r="F15" s="144"/>
      <c r="G15" s="79"/>
      <c r="H15" s="219"/>
      <c r="I15"/>
      <c r="J15"/>
      <c r="K15"/>
      <c r="L15" s="40"/>
      <c r="M15" s="37"/>
      <c r="N15" s="41"/>
      <c r="O15" s="11"/>
      <c r="P15" s="11"/>
      <c r="Q15" s="11"/>
    </row>
    <row r="16" spans="1:17" ht="24.95" customHeight="1" thickBot="1">
      <c r="A16" s="331" t="s">
        <v>359</v>
      </c>
      <c r="B16" s="259"/>
      <c r="C16" s="260"/>
      <c r="D16" s="261"/>
      <c r="E16" s="262"/>
      <c r="F16" s="32" t="s">
        <v>97</v>
      </c>
      <c r="G16" s="33"/>
      <c r="H16" s="254"/>
      <c r="I16" s="7"/>
      <c r="J16" s="7"/>
      <c r="K16" s="17"/>
      <c r="L16" s="40"/>
      <c r="M16" s="37"/>
      <c r="N16" s="41"/>
      <c r="O16" s="11"/>
      <c r="P16" s="11"/>
      <c r="Q16" s="11"/>
    </row>
    <row r="17" spans="1:17" ht="12" customHeight="1">
      <c r="A17" s="202"/>
      <c r="B17" s="145"/>
      <c r="C17" s="146"/>
      <c r="D17" s="147"/>
      <c r="E17" s="147"/>
      <c r="F17" s="148"/>
      <c r="G17" s="6"/>
      <c r="H17" s="255"/>
      <c r="I17" s="7"/>
      <c r="J17" s="7"/>
      <c r="K17" s="17"/>
      <c r="L17" s="40"/>
      <c r="M17" s="37"/>
      <c r="N17" s="41"/>
      <c r="O17" s="11"/>
      <c r="P17" s="11"/>
      <c r="Q17" s="11"/>
    </row>
    <row r="18" spans="1:17" ht="15" customHeight="1">
      <c r="A18" s="202" t="s">
        <v>324</v>
      </c>
      <c r="B18" s="145"/>
      <c r="C18" s="146"/>
      <c r="D18" s="147"/>
      <c r="E18" s="147"/>
      <c r="F18" s="148"/>
      <c r="G18" s="6"/>
      <c r="H18" s="255"/>
      <c r="I18" s="7"/>
      <c r="J18" s="7"/>
      <c r="K18" s="17"/>
      <c r="L18" s="40"/>
      <c r="M18" s="37"/>
      <c r="N18" s="41"/>
      <c r="O18" s="11"/>
      <c r="P18" s="11"/>
      <c r="Q18" s="11"/>
    </row>
    <row r="19" spans="1:17" ht="15" customHeight="1">
      <c r="A19" s="257" t="s">
        <v>379</v>
      </c>
      <c r="B19" s="145"/>
      <c r="C19" s="146"/>
      <c r="D19" s="147"/>
      <c r="E19" s="147"/>
      <c r="F19" s="148"/>
      <c r="G19" s="6"/>
      <c r="H19" s="255"/>
      <c r="I19" s="7"/>
      <c r="J19" s="7"/>
      <c r="K19" s="17"/>
      <c r="L19" s="40"/>
      <c r="M19" s="37"/>
      <c r="N19" s="41"/>
      <c r="O19" s="11"/>
      <c r="P19" s="11"/>
      <c r="Q19" s="11"/>
    </row>
    <row r="20" spans="1:17" ht="15" customHeight="1">
      <c r="A20" s="257" t="s">
        <v>380</v>
      </c>
      <c r="B20" s="145"/>
      <c r="C20" s="146"/>
      <c r="D20" s="147"/>
      <c r="E20" s="147"/>
      <c r="F20" s="148"/>
      <c r="G20" s="6"/>
      <c r="H20" s="255"/>
      <c r="I20" s="7"/>
      <c r="J20" s="7"/>
      <c r="K20" s="17"/>
      <c r="L20" s="40"/>
      <c r="M20" s="37"/>
      <c r="N20" s="41"/>
      <c r="O20" s="11"/>
      <c r="P20" s="11"/>
      <c r="Q20" s="11"/>
    </row>
    <row r="21" spans="1:17" ht="15" customHeight="1" thickBot="1">
      <c r="A21" s="202"/>
      <c r="B21" s="145"/>
      <c r="C21" s="146"/>
      <c r="D21" s="79"/>
      <c r="E21" s="79"/>
      <c r="F21" s="148"/>
      <c r="G21" s="6"/>
      <c r="H21" s="255"/>
      <c r="I21" s="7"/>
      <c r="J21" s="7"/>
      <c r="K21" s="17"/>
      <c r="L21" s="40"/>
      <c r="M21" s="37"/>
      <c r="N21" s="41"/>
      <c r="O21" s="11"/>
      <c r="P21" s="11"/>
      <c r="Q21" s="11"/>
    </row>
    <row r="22" spans="1:17" ht="15" customHeight="1">
      <c r="A22" s="276"/>
      <c r="B22" s="2372" t="s">
        <v>543</v>
      </c>
      <c r="C22" s="2372"/>
      <c r="D22" s="2370" t="s">
        <v>542</v>
      </c>
      <c r="E22" s="2371"/>
      <c r="F22" s="152"/>
      <c r="G22" s="79"/>
      <c r="H22" s="219"/>
      <c r="P22" s="11"/>
      <c r="Q22" s="11"/>
    </row>
    <row r="23" spans="1:17" ht="15.75" customHeight="1" thickBot="1">
      <c r="A23" s="293" t="s">
        <v>53</v>
      </c>
      <c r="B23" s="289" t="s">
        <v>445</v>
      </c>
      <c r="C23" s="289" t="s">
        <v>544</v>
      </c>
      <c r="D23" s="290" t="s">
        <v>541</v>
      </c>
      <c r="E23" s="294" t="s">
        <v>57</v>
      </c>
      <c r="F23" s="149"/>
      <c r="G23" s="79"/>
      <c r="H23" s="219"/>
      <c r="P23" s="11"/>
      <c r="Q23" s="11"/>
    </row>
    <row r="24" spans="1:17" s="57" customFormat="1" ht="15.75" customHeight="1">
      <c r="A24" s="386" t="s">
        <v>58</v>
      </c>
      <c r="B24" s="387"/>
      <c r="C24" s="388">
        <v>0</v>
      </c>
      <c r="D24" s="389"/>
      <c r="E24" s="390">
        <f>ROUNDUP(D24*C24,5)</f>
        <v>0</v>
      </c>
      <c r="F24" s="149"/>
      <c r="G24" s="391"/>
      <c r="H24" s="244"/>
      <c r="P24" s="11"/>
      <c r="Q24" s="11"/>
    </row>
    <row r="25" spans="1:17" s="57" customFormat="1" ht="15.75" customHeight="1">
      <c r="A25" s="392" t="s">
        <v>59</v>
      </c>
      <c r="B25" s="387"/>
      <c r="C25" s="393">
        <v>0</v>
      </c>
      <c r="D25" s="394"/>
      <c r="E25" s="395">
        <f>ROUNDUP(D25*C25,5)</f>
        <v>0</v>
      </c>
      <c r="F25" s="358"/>
      <c r="G25" s="391"/>
      <c r="H25" s="244"/>
      <c r="P25" s="11"/>
      <c r="Q25" s="11"/>
    </row>
    <row r="26" spans="1:17" s="57" customFormat="1" ht="15.75" customHeight="1">
      <c r="A26" s="392" t="s">
        <v>60</v>
      </c>
      <c r="B26" s="387"/>
      <c r="C26" s="393">
        <v>0</v>
      </c>
      <c r="D26" s="394"/>
      <c r="E26" s="395">
        <f>ROUNDUP(D26*C26,5)</f>
        <v>0</v>
      </c>
      <c r="F26" s="358"/>
      <c r="G26" s="391"/>
      <c r="H26" s="244"/>
      <c r="P26" s="11"/>
      <c r="Q26" s="11"/>
    </row>
    <row r="27" spans="1:17" ht="15.75" customHeight="1" thickBot="1">
      <c r="A27" s="278" t="s">
        <v>277</v>
      </c>
      <c r="B27" s="403">
        <f>SUM(B24:B26)</f>
        <v>0</v>
      </c>
      <c r="C27" s="404">
        <f>IF($B$27=0,0,B27/$B$27)</f>
        <v>0</v>
      </c>
      <c r="D27" s="405"/>
      <c r="E27" s="406">
        <f>SUM(E24:E26)</f>
        <v>0</v>
      </c>
      <c r="F27" s="149"/>
      <c r="G27" s="352"/>
      <c r="H27" s="219"/>
      <c r="P27" s="11"/>
      <c r="Q27" s="11"/>
    </row>
    <row r="28" spans="1:17" ht="12" customHeight="1">
      <c r="A28" s="170"/>
      <c r="B28" s="54"/>
      <c r="C28" s="54"/>
      <c r="D28" s="402"/>
      <c r="E28" s="152"/>
      <c r="F28" s="149"/>
      <c r="G28" s="151"/>
      <c r="H28" s="219"/>
      <c r="P28" s="11"/>
      <c r="Q28" s="11"/>
    </row>
    <row r="29" spans="1:17" ht="15" customHeight="1">
      <c r="A29" s="202" t="s">
        <v>61</v>
      </c>
      <c r="B29" s="145"/>
      <c r="C29" s="79"/>
      <c r="D29" s="63"/>
      <c r="E29" s="150"/>
      <c r="F29" s="149"/>
      <c r="G29" s="79"/>
      <c r="H29" s="219"/>
      <c r="P29" s="11"/>
      <c r="Q29" s="11"/>
    </row>
    <row r="30" spans="1:17" ht="12" customHeight="1">
      <c r="A30" s="170"/>
      <c r="B30" s="79"/>
      <c r="C30" s="79"/>
      <c r="D30" s="63"/>
      <c r="E30" s="150"/>
      <c r="F30" s="149"/>
      <c r="G30" s="79"/>
      <c r="H30" s="219"/>
      <c r="P30" s="11"/>
      <c r="Q30" s="11"/>
    </row>
    <row r="31" spans="1:17" ht="15.75" customHeight="1" thickBot="1">
      <c r="A31" s="202" t="s">
        <v>826</v>
      </c>
      <c r="B31" s="79"/>
      <c r="C31" s="79"/>
      <c r="D31" s="91">
        <v>0.21</v>
      </c>
      <c r="E31" s="79"/>
      <c r="F31" s="152"/>
      <c r="G31" s="153"/>
      <c r="H31" s="219"/>
      <c r="P31" s="11"/>
      <c r="Q31" s="11"/>
    </row>
    <row r="32" spans="1:17" ht="15.75" customHeight="1" thickBot="1">
      <c r="A32" s="202" t="s">
        <v>270</v>
      </c>
      <c r="B32" s="79"/>
      <c r="C32" s="79"/>
      <c r="D32" s="79"/>
      <c r="E32" s="407">
        <f>(E27-(E24))*(D31/(1-D31))</f>
        <v>0</v>
      </c>
      <c r="F32" s="154"/>
      <c r="G32" s="79"/>
      <c r="H32" s="219"/>
      <c r="P32" s="11"/>
      <c r="Q32" s="11"/>
    </row>
    <row r="33" spans="1:17" ht="15.75" customHeight="1">
      <c r="A33" s="2368" t="s">
        <v>545</v>
      </c>
      <c r="B33" s="2369"/>
      <c r="C33" s="2369"/>
      <c r="D33" s="2369"/>
      <c r="E33" s="2369"/>
      <c r="F33" s="155"/>
      <c r="G33" s="79"/>
      <c r="H33" s="219"/>
      <c r="P33" s="11"/>
      <c r="Q33" s="11"/>
    </row>
    <row r="34" spans="1:17" ht="12" customHeight="1" thickBot="1">
      <c r="A34" s="256"/>
      <c r="B34" s="156"/>
      <c r="C34" s="79"/>
      <c r="D34" s="63"/>
      <c r="E34" s="150"/>
      <c r="F34" s="155"/>
      <c r="G34" s="79"/>
      <c r="H34" s="219"/>
      <c r="P34" s="11"/>
      <c r="Q34" s="11"/>
    </row>
    <row r="35" spans="1:17" ht="15.75" customHeight="1" thickBot="1">
      <c r="A35" s="202" t="s">
        <v>63</v>
      </c>
      <c r="B35" s="156"/>
      <c r="C35" s="79"/>
      <c r="D35" s="63"/>
      <c r="E35" s="407">
        <f>E27+E32</f>
        <v>0</v>
      </c>
      <c r="F35" s="155"/>
      <c r="G35" s="79"/>
      <c r="H35" s="219"/>
      <c r="P35" s="11"/>
      <c r="Q35" s="11"/>
    </row>
    <row r="36" spans="1:17" ht="15.75" customHeight="1">
      <c r="A36" s="470" t="s">
        <v>499</v>
      </c>
      <c r="B36" s="156"/>
      <c r="C36" s="79"/>
      <c r="D36" s="63"/>
      <c r="E36" s="150"/>
      <c r="F36" s="155"/>
      <c r="G36" s="79"/>
      <c r="H36" s="219"/>
      <c r="P36" s="11"/>
      <c r="Q36" s="11"/>
    </row>
    <row r="37" spans="1:17" ht="12" customHeight="1">
      <c r="A37" s="170"/>
      <c r="B37" s="79"/>
      <c r="C37" s="157"/>
      <c r="D37" s="10"/>
      <c r="E37" s="55"/>
      <c r="F37" s="34"/>
      <c r="G37" s="8"/>
      <c r="H37" s="185"/>
      <c r="I37" s="9"/>
      <c r="J37" s="9"/>
      <c r="K37" s="9"/>
      <c r="L37" s="24"/>
      <c r="M37" s="24"/>
      <c r="N37" s="25"/>
      <c r="O37" s="11"/>
      <c r="P37" s="11"/>
      <c r="Q37" s="11"/>
    </row>
    <row r="38" spans="1:17" ht="15.75" customHeight="1" thickBot="1">
      <c r="A38" s="202" t="s">
        <v>500</v>
      </c>
      <c r="B38" s="145"/>
      <c r="C38" s="79"/>
      <c r="D38" s="63"/>
      <c r="E38" s="92"/>
      <c r="F38" s="92"/>
      <c r="G38" s="92"/>
      <c r="H38" s="208"/>
    </row>
    <row r="39" spans="1:17" ht="15.75" customHeight="1">
      <c r="A39" s="202"/>
      <c r="B39" s="145"/>
      <c r="C39" s="79"/>
      <c r="D39" s="63"/>
      <c r="E39" s="264" t="s">
        <v>104</v>
      </c>
      <c r="F39" s="265" t="s">
        <v>105</v>
      </c>
      <c r="G39" s="265" t="s">
        <v>106</v>
      </c>
      <c r="H39" s="279" t="s">
        <v>107</v>
      </c>
    </row>
    <row r="40" spans="1:17" ht="15.75" customHeight="1">
      <c r="A40" s="170" t="s">
        <v>62</v>
      </c>
      <c r="B40" s="79"/>
      <c r="C40" s="79"/>
      <c r="D40" s="79"/>
      <c r="E40" s="396">
        <f>'Sch 1- Rate Base '!G161</f>
        <v>3835555745.0787497</v>
      </c>
      <c r="F40" s="397">
        <f>'Sch 1- Rate Base '!H161</f>
        <v>1099153933.6067338</v>
      </c>
      <c r="G40" s="397">
        <f>'Sch 1- Rate Base '!I161</f>
        <v>0</v>
      </c>
      <c r="H40" s="398">
        <f>'Sch 1- Rate Base '!J161</f>
        <v>2736401810.3225708</v>
      </c>
    </row>
    <row r="41" spans="1:17" ht="15.75" customHeight="1">
      <c r="A41" s="170" t="s">
        <v>63</v>
      </c>
      <c r="B41" s="79"/>
      <c r="C41" s="79"/>
      <c r="D41" s="79"/>
      <c r="E41" s="399">
        <f>$E$35</f>
        <v>0</v>
      </c>
      <c r="F41" s="400">
        <f>$E$35</f>
        <v>0</v>
      </c>
      <c r="G41" s="400">
        <f>$E$35</f>
        <v>0</v>
      </c>
      <c r="H41" s="401">
        <f>$E$35</f>
        <v>0</v>
      </c>
    </row>
    <row r="42" spans="1:17" ht="15.75" customHeight="1" thickBot="1">
      <c r="A42" s="202" t="s">
        <v>141</v>
      </c>
      <c r="B42" s="145"/>
      <c r="C42" s="145"/>
      <c r="D42" s="145"/>
      <c r="E42" s="408">
        <f>E41*E40</f>
        <v>0</v>
      </c>
      <c r="F42" s="409">
        <f>F41*F40</f>
        <v>0</v>
      </c>
      <c r="G42" s="409">
        <f>G41*G40</f>
        <v>0</v>
      </c>
      <c r="H42" s="410">
        <f>H41*H40</f>
        <v>0</v>
      </c>
    </row>
    <row r="43" spans="1:17" ht="15" customHeight="1">
      <c r="A43" s="470" t="s">
        <v>34</v>
      </c>
      <c r="B43" s="79"/>
      <c r="C43" s="79"/>
      <c r="D43" s="79"/>
      <c r="E43" s="79"/>
      <c r="F43" s="79"/>
      <c r="G43" s="79"/>
      <c r="H43" s="219"/>
    </row>
    <row r="44" spans="1:17" ht="6" customHeight="1">
      <c r="A44" s="170"/>
      <c r="B44" s="79"/>
      <c r="C44" s="79"/>
      <c r="D44" s="79"/>
      <c r="E44" s="79"/>
      <c r="F44" s="79"/>
      <c r="G44" s="79"/>
      <c r="H44" s="219"/>
    </row>
    <row r="45" spans="1:17" ht="6" customHeight="1" thickBot="1">
      <c r="A45" s="258"/>
      <c r="B45" s="203"/>
      <c r="C45" s="203"/>
      <c r="D45" s="203"/>
      <c r="E45" s="203"/>
      <c r="F45" s="203"/>
      <c r="G45" s="203"/>
      <c r="H45" s="204"/>
    </row>
    <row r="46" spans="1:17" ht="17.25" thickTop="1" thickBot="1">
      <c r="A46" s="225"/>
      <c r="B46" s="144"/>
      <c r="C46" s="144"/>
      <c r="D46" s="144"/>
      <c r="E46" s="144"/>
      <c r="F46" s="144"/>
      <c r="G46" s="79"/>
      <c r="H46" s="219"/>
    </row>
    <row r="47" spans="1:17" ht="24.95" customHeight="1" thickBot="1">
      <c r="A47" s="331" t="s">
        <v>358</v>
      </c>
      <c r="B47" s="259"/>
      <c r="C47" s="260"/>
      <c r="D47" s="261"/>
      <c r="E47" s="262"/>
      <c r="F47" s="32" t="s">
        <v>97</v>
      </c>
      <c r="G47" s="33"/>
      <c r="H47" s="254"/>
    </row>
    <row r="48" spans="1:17" ht="18.75">
      <c r="A48" s="202" t="s">
        <v>360</v>
      </c>
      <c r="B48" s="145"/>
      <c r="C48" s="146"/>
      <c r="D48" s="147"/>
      <c r="E48" s="147"/>
      <c r="F48" s="148"/>
      <c r="G48" s="6"/>
      <c r="H48" s="255"/>
      <c r="I48" s="12"/>
    </row>
    <row r="49" spans="1:9">
      <c r="A49" s="202" t="s">
        <v>361</v>
      </c>
      <c r="B49" s="145"/>
      <c r="C49" s="146"/>
      <c r="D49" s="147"/>
      <c r="E49" s="147"/>
      <c r="F49" s="148"/>
      <c r="G49" s="6"/>
      <c r="H49" s="255"/>
      <c r="I49" s="15"/>
    </row>
    <row r="50" spans="1:9" ht="16.5" thickBot="1">
      <c r="A50" s="202"/>
      <c r="B50" s="145"/>
      <c r="C50" s="146"/>
      <c r="D50" s="79"/>
      <c r="E50" s="79"/>
      <c r="F50" s="301"/>
      <c r="G50" s="147"/>
      <c r="H50" s="329"/>
    </row>
    <row r="51" spans="1:9">
      <c r="A51" s="276"/>
      <c r="B51" s="2372" t="s">
        <v>543</v>
      </c>
      <c r="C51" s="2372"/>
      <c r="D51" s="2370" t="s">
        <v>542</v>
      </c>
      <c r="E51" s="2371"/>
      <c r="F51" s="350" t="s">
        <v>554</v>
      </c>
      <c r="G51" s="346" t="s">
        <v>370</v>
      </c>
      <c r="H51" s="347"/>
    </row>
    <row r="52" spans="1:9" ht="16.5" thickBot="1">
      <c r="A52" s="293" t="s">
        <v>53</v>
      </c>
      <c r="B52" s="289" t="s">
        <v>445</v>
      </c>
      <c r="C52" s="289" t="s">
        <v>544</v>
      </c>
      <c r="D52" s="290" t="s">
        <v>541</v>
      </c>
      <c r="E52" s="294" t="s">
        <v>57</v>
      </c>
      <c r="F52" s="351" t="s">
        <v>371</v>
      </c>
      <c r="G52" s="348" t="s">
        <v>372</v>
      </c>
      <c r="H52" s="349"/>
    </row>
    <row r="53" spans="1:9" ht="16.5" thickBot="1">
      <c r="A53" s="411" t="s">
        <v>58</v>
      </c>
      <c r="B53" s="2186">
        <v>51.5</v>
      </c>
      <c r="C53" s="414">
        <v>0.51500000000000001</v>
      </c>
      <c r="D53" s="2256">
        <v>4.8000000000000001E-2</v>
      </c>
      <c r="E53" s="415">
        <v>2.47E-2</v>
      </c>
      <c r="F53" s="428">
        <v>0.67059999999999997</v>
      </c>
      <c r="G53" s="429">
        <f>E53*$F$53</f>
        <v>1.656382E-2</v>
      </c>
      <c r="H53" s="430">
        <f>C53*$F$53</f>
        <v>0.34535899999999997</v>
      </c>
    </row>
    <row r="54" spans="1:9">
      <c r="A54" s="412" t="s">
        <v>59</v>
      </c>
      <c r="B54" s="462"/>
      <c r="C54" s="388">
        <v>0</v>
      </c>
      <c r="D54" s="2257"/>
      <c r="E54" s="395">
        <f>ROUNDUP(D54*C54,5)</f>
        <v>0</v>
      </c>
      <c r="F54" s="1332"/>
      <c r="G54" s="431">
        <f>E54*$F$53</f>
        <v>0</v>
      </c>
      <c r="H54" s="432">
        <f>C54*$F$53</f>
        <v>0</v>
      </c>
    </row>
    <row r="55" spans="1:9">
      <c r="A55" s="412" t="s">
        <v>60</v>
      </c>
      <c r="B55" s="462">
        <v>48.5</v>
      </c>
      <c r="C55" s="388">
        <v>0.48499999999999999</v>
      </c>
      <c r="D55" s="2257">
        <v>9.4E-2</v>
      </c>
      <c r="E55" s="395">
        <v>4.5600000000000002E-2</v>
      </c>
      <c r="F55" s="1332"/>
      <c r="G55" s="431">
        <f>E55*$F$53</f>
        <v>3.057936E-2</v>
      </c>
      <c r="H55" s="432">
        <f>C55*$F$53</f>
        <v>0.325241</v>
      </c>
    </row>
    <row r="56" spans="1:9" ht="16.5" thickBot="1">
      <c r="A56" s="413" t="s">
        <v>277</v>
      </c>
      <c r="B56" s="498">
        <f>SUM(B53:B55)</f>
        <v>100</v>
      </c>
      <c r="C56" s="501">
        <f>SUM(C53:C55)</f>
        <v>1</v>
      </c>
      <c r="D56" s="405"/>
      <c r="E56" s="433">
        <f>SUM(E53:E55)</f>
        <v>7.0300000000000001E-2</v>
      </c>
      <c r="F56" s="434"/>
      <c r="G56" s="435">
        <f>SUM(G53:G55)</f>
        <v>4.714318E-2</v>
      </c>
      <c r="H56" s="436">
        <f>SUM(H53:H55)</f>
        <v>0.67059999999999997</v>
      </c>
    </row>
    <row r="57" spans="1:9">
      <c r="A57" s="170"/>
      <c r="B57" s="79"/>
      <c r="C57" s="79"/>
      <c r="D57" s="63"/>
      <c r="E57" s="150"/>
      <c r="F57" s="330"/>
      <c r="G57" s="282"/>
      <c r="H57" s="281"/>
    </row>
    <row r="58" spans="1:9">
      <c r="A58" s="202" t="s">
        <v>362</v>
      </c>
      <c r="B58" s="145"/>
      <c r="C58" s="146"/>
      <c r="D58" s="147"/>
      <c r="E58" s="147"/>
      <c r="F58" s="330"/>
      <c r="G58" s="282"/>
      <c r="H58" s="281"/>
    </row>
    <row r="59" spans="1:9" ht="16.5" thickBot="1">
      <c r="A59" s="202"/>
      <c r="B59" s="145"/>
      <c r="C59" s="146"/>
      <c r="D59" s="79"/>
      <c r="E59" s="79"/>
      <c r="F59" s="330"/>
      <c r="G59" s="282"/>
      <c r="H59" s="281"/>
    </row>
    <row r="60" spans="1:9" ht="16.5" thickBot="1">
      <c r="A60" s="295" t="s">
        <v>53</v>
      </c>
      <c r="B60" s="296" t="s">
        <v>445</v>
      </c>
      <c r="C60" s="296" t="s">
        <v>544</v>
      </c>
      <c r="D60" s="297" t="s">
        <v>541</v>
      </c>
      <c r="E60" s="298" t="s">
        <v>57</v>
      </c>
      <c r="F60" s="330"/>
      <c r="G60" s="282"/>
      <c r="H60" s="281"/>
    </row>
    <row r="61" spans="1:9" ht="16.5" thickBot="1">
      <c r="A61" s="288" t="s">
        <v>58</v>
      </c>
      <c r="B61" s="499">
        <v>50</v>
      </c>
      <c r="C61" s="388">
        <v>0.5</v>
      </c>
      <c r="D61" s="389">
        <v>4.9700000000000001E-2</v>
      </c>
      <c r="E61" s="415">
        <v>2.4850000000000001E-2</v>
      </c>
      <c r="F61" s="428">
        <v>0.32940000000000003</v>
      </c>
      <c r="G61" s="429">
        <f>E61*$F$61</f>
        <v>8.1855900000000013E-3</v>
      </c>
      <c r="H61" s="430">
        <f>C61*$F$61</f>
        <v>0.16470000000000001</v>
      </c>
    </row>
    <row r="62" spans="1:9">
      <c r="A62" s="277" t="s">
        <v>59</v>
      </c>
      <c r="B62" s="500"/>
      <c r="C62" s="393">
        <f>IF($B$64=0,0,B62/$B$64)</f>
        <v>0</v>
      </c>
      <c r="D62" s="394"/>
      <c r="E62" s="395">
        <f>ROUNDUP(D62*C62,5)</f>
        <v>0</v>
      </c>
      <c r="F62" s="1332"/>
      <c r="G62" s="431">
        <f>E62*$F$61</f>
        <v>0</v>
      </c>
      <c r="H62" s="432">
        <f>C62*$F$61</f>
        <v>0</v>
      </c>
    </row>
    <row r="63" spans="1:9">
      <c r="A63" s="277" t="s">
        <v>60</v>
      </c>
      <c r="B63" s="500">
        <v>50</v>
      </c>
      <c r="C63" s="388">
        <v>0.5</v>
      </c>
      <c r="D63" s="394">
        <v>9.4E-2</v>
      </c>
      <c r="E63" s="395">
        <v>4.7E-2</v>
      </c>
      <c r="F63" s="1332"/>
      <c r="G63" s="431">
        <f>E63*$F$61</f>
        <v>1.54818E-2</v>
      </c>
      <c r="H63" s="432">
        <f>C63*$F$61</f>
        <v>0.16470000000000001</v>
      </c>
    </row>
    <row r="64" spans="1:9" ht="16.5" thickBot="1">
      <c r="A64" s="278" t="s">
        <v>277</v>
      </c>
      <c r="B64" s="498">
        <f>SUM(B61:B63)</f>
        <v>100</v>
      </c>
      <c r="C64" s="501">
        <f>SUM(C61:C63)</f>
        <v>1</v>
      </c>
      <c r="D64" s="405"/>
      <c r="E64" s="406">
        <f>SUM(E61:E63)</f>
        <v>7.1849999999999997E-2</v>
      </c>
      <c r="F64" s="434"/>
      <c r="G64" s="435">
        <f>SUM(G61:G63)</f>
        <v>2.3667390000000003E-2</v>
      </c>
      <c r="H64" s="436">
        <f>SUM(H61:H63)</f>
        <v>0.32940000000000003</v>
      </c>
    </row>
    <row r="65" spans="1:8">
      <c r="A65" s="170"/>
      <c r="B65" s="79"/>
      <c r="C65" s="79"/>
      <c r="D65" s="63"/>
      <c r="E65" s="150"/>
      <c r="F65" s="330"/>
      <c r="G65" s="282"/>
      <c r="H65" s="281"/>
    </row>
    <row r="66" spans="1:8">
      <c r="A66" s="202" t="s">
        <v>363</v>
      </c>
      <c r="B66" s="145"/>
      <c r="C66" s="146"/>
      <c r="D66" s="147"/>
      <c r="E66" s="147"/>
      <c r="F66" s="330"/>
      <c r="G66" s="282"/>
      <c r="H66" s="281"/>
    </row>
    <row r="67" spans="1:8" ht="16.5" thickBot="1">
      <c r="A67" s="202"/>
      <c r="B67" s="145"/>
      <c r="C67" s="146"/>
      <c r="D67" s="79"/>
      <c r="E67" s="79"/>
      <c r="F67" s="330"/>
      <c r="G67" s="282"/>
      <c r="H67" s="281"/>
    </row>
    <row r="68" spans="1:8" ht="16.5" thickBot="1">
      <c r="A68" s="295" t="s">
        <v>53</v>
      </c>
      <c r="B68" s="296" t="s">
        <v>445</v>
      </c>
      <c r="C68" s="296" t="s">
        <v>544</v>
      </c>
      <c r="D68" s="297" t="s">
        <v>541</v>
      </c>
      <c r="E68" s="298" t="s">
        <v>57</v>
      </c>
      <c r="F68" s="330"/>
      <c r="G68" s="282"/>
      <c r="H68" s="281"/>
    </row>
    <row r="69" spans="1:8" ht="16.5" thickBot="1">
      <c r="A69" s="288" t="s">
        <v>58</v>
      </c>
      <c r="B69" s="499"/>
      <c r="C69" s="388">
        <f>IF($B$72=0,0,B69/$B$72)</f>
        <v>0</v>
      </c>
      <c r="D69" s="445"/>
      <c r="E69" s="446">
        <f>ROUNDUP(D69*C69,5)</f>
        <v>0</v>
      </c>
      <c r="F69" s="447" t="str">
        <f>IF(B77=0,"0",B77/$B$78)</f>
        <v>0</v>
      </c>
      <c r="G69" s="448">
        <f>E69*$F$69</f>
        <v>0</v>
      </c>
      <c r="H69" s="449">
        <f>C69*$F$69</f>
        <v>0</v>
      </c>
    </row>
    <row r="70" spans="1:8">
      <c r="A70" s="277" t="s">
        <v>59</v>
      </c>
      <c r="B70" s="500"/>
      <c r="C70" s="388">
        <f>IF($B$72=0,0,B70/$B$72)</f>
        <v>0</v>
      </c>
      <c r="D70" s="450"/>
      <c r="E70" s="451">
        <f>ROUNDUP(D70*C70,5)</f>
        <v>0</v>
      </c>
      <c r="F70" s="1333"/>
      <c r="G70" s="452">
        <f>E70*$F$69</f>
        <v>0</v>
      </c>
      <c r="H70" s="453">
        <f>C70*$F$69</f>
        <v>0</v>
      </c>
    </row>
    <row r="71" spans="1:8">
      <c r="A71" s="277" t="s">
        <v>60</v>
      </c>
      <c r="B71" s="500"/>
      <c r="C71" s="388">
        <f>IF($B$72=0,0,B71/$B$72)</f>
        <v>0</v>
      </c>
      <c r="D71" s="450"/>
      <c r="E71" s="451">
        <f>ROUNDUP(D71*C71,5)</f>
        <v>0</v>
      </c>
      <c r="F71" s="1333"/>
      <c r="G71" s="452">
        <f>E71*$F$69</f>
        <v>0</v>
      </c>
      <c r="H71" s="453">
        <f>C71*$F$69</f>
        <v>0</v>
      </c>
    </row>
    <row r="72" spans="1:8" ht="16.5" thickBot="1">
      <c r="A72" s="278" t="s">
        <v>277</v>
      </c>
      <c r="B72" s="498">
        <f>SUM(B69:B71)</f>
        <v>0</v>
      </c>
      <c r="C72" s="501">
        <f>SUM(C69:C71)</f>
        <v>0</v>
      </c>
      <c r="D72" s="454"/>
      <c r="E72" s="455">
        <f>SUM(E69:E71)</f>
        <v>0</v>
      </c>
      <c r="F72" s="456"/>
      <c r="G72" s="457">
        <f>SUM(G69:G71)</f>
        <v>0</v>
      </c>
      <c r="H72" s="458">
        <f>SUM(H69:H71)</f>
        <v>0</v>
      </c>
    </row>
    <row r="73" spans="1:8" ht="16.5" thickBot="1">
      <c r="A73" s="170"/>
      <c r="B73" s="79"/>
      <c r="C73" s="79"/>
      <c r="D73" s="63"/>
      <c r="E73" s="150"/>
      <c r="F73" s="330"/>
      <c r="G73" s="282"/>
      <c r="H73" s="281"/>
    </row>
    <row r="74" spans="1:8" ht="16.5" thickBot="1">
      <c r="A74" s="299" t="s">
        <v>369</v>
      </c>
      <c r="B74" s="296" t="s">
        <v>364</v>
      </c>
      <c r="C74" s="296" t="s">
        <v>365</v>
      </c>
      <c r="D74" s="297" t="s">
        <v>367</v>
      </c>
      <c r="E74" s="298" t="s">
        <v>366</v>
      </c>
      <c r="F74" s="330"/>
      <c r="G74" s="282"/>
      <c r="H74" s="281"/>
    </row>
    <row r="75" spans="1:8">
      <c r="A75" s="292" t="s">
        <v>3061</v>
      </c>
      <c r="B75" s="437">
        <v>1684913</v>
      </c>
      <c r="C75" s="389">
        <f>E56</f>
        <v>7.0300000000000001E-2</v>
      </c>
      <c r="D75" s="438">
        <f>C75*F53</f>
        <v>4.714318E-2</v>
      </c>
      <c r="E75" s="439">
        <f>$D$78*B75</f>
        <v>119309.64993041</v>
      </c>
      <c r="F75" s="440"/>
      <c r="G75" s="441">
        <f>G56</f>
        <v>4.714318E-2</v>
      </c>
      <c r="H75" s="416"/>
    </row>
    <row r="76" spans="1:8">
      <c r="A76" s="280" t="s">
        <v>3062</v>
      </c>
      <c r="B76" s="442">
        <v>827750</v>
      </c>
      <c r="C76" s="394">
        <f>E64</f>
        <v>7.1849999999999997E-2</v>
      </c>
      <c r="D76" s="438">
        <f>C76*F61</f>
        <v>2.366739E-2</v>
      </c>
      <c r="E76" s="443">
        <f>$D$78*B76</f>
        <v>58613.449317500003</v>
      </c>
      <c r="F76" s="1332"/>
      <c r="G76" s="444">
        <f>G64</f>
        <v>2.3667390000000003E-2</v>
      </c>
      <c r="H76" s="417"/>
    </row>
    <row r="77" spans="1:8" ht="16.5" thickBot="1">
      <c r="A77" s="280"/>
      <c r="B77" s="442"/>
      <c r="C77" s="394">
        <f>E72</f>
        <v>0</v>
      </c>
      <c r="D77" s="438">
        <f>C77*F69</f>
        <v>0</v>
      </c>
      <c r="E77" s="443">
        <f>$D$78*B77</f>
        <v>0</v>
      </c>
      <c r="F77" s="1332"/>
      <c r="G77" s="444">
        <f>G72</f>
        <v>0</v>
      </c>
      <c r="H77" s="417"/>
    </row>
    <row r="78" spans="1:8" ht="16.5" thickBot="1">
      <c r="A78" s="278" t="s">
        <v>104</v>
      </c>
      <c r="B78" s="422">
        <f>SUM(B75:B77)</f>
        <v>2512663</v>
      </c>
      <c r="C78" s="423"/>
      <c r="D78" s="424">
        <f>SUM(D75:D77)</f>
        <v>7.0810570000000003E-2</v>
      </c>
      <c r="E78" s="425">
        <f>SUM(E75:E77)</f>
        <v>177923.09924791</v>
      </c>
      <c r="F78" s="426">
        <f>SUM(F53:F77)</f>
        <v>1</v>
      </c>
      <c r="G78" s="427">
        <f>SUM(G75:G77)</f>
        <v>7.0810570000000003E-2</v>
      </c>
      <c r="H78" s="417"/>
    </row>
    <row r="79" spans="1:8" ht="16.5" thickBot="1">
      <c r="A79" s="191"/>
      <c r="B79" s="203"/>
      <c r="C79" s="203"/>
      <c r="D79" s="205"/>
      <c r="E79" s="206"/>
      <c r="F79" s="274"/>
      <c r="G79" s="275"/>
      <c r="H79" s="204"/>
    </row>
    <row r="80" spans="1:8" ht="17.25" thickTop="1" thickBot="1">
      <c r="A80" s="232"/>
      <c r="B80" s="505"/>
      <c r="C80" s="505"/>
      <c r="D80" s="506"/>
      <c r="E80" s="507"/>
      <c r="F80" s="508"/>
      <c r="G80" s="509"/>
      <c r="H80" s="510"/>
    </row>
    <row r="81" spans="1:12" ht="24.95" customHeight="1" thickBot="1">
      <c r="A81" s="331" t="s">
        <v>368</v>
      </c>
      <c r="B81" s="259"/>
      <c r="C81" s="260"/>
      <c r="D81" s="261"/>
      <c r="E81" s="262"/>
      <c r="F81" s="149"/>
      <c r="G81" s="151"/>
      <c r="H81" s="219"/>
      <c r="J81"/>
      <c r="K81"/>
      <c r="L81"/>
    </row>
    <row r="82" spans="1:12">
      <c r="A82" s="170"/>
      <c r="B82" s="79"/>
      <c r="C82" s="79"/>
      <c r="D82" s="63"/>
      <c r="E82" s="150"/>
      <c r="F82" s="149"/>
      <c r="G82" s="151"/>
      <c r="H82" s="219"/>
      <c r="J82"/>
      <c r="K82"/>
      <c r="L82"/>
    </row>
    <row r="83" spans="1:12">
      <c r="A83" s="170"/>
      <c r="B83" s="79"/>
      <c r="C83" s="79"/>
      <c r="D83" s="63"/>
      <c r="E83" s="150"/>
      <c r="F83" s="149"/>
      <c r="G83" s="151"/>
      <c r="H83" s="219"/>
      <c r="J83"/>
      <c r="K83"/>
      <c r="L83"/>
    </row>
    <row r="84" spans="1:12">
      <c r="A84" s="202" t="s">
        <v>61</v>
      </c>
      <c r="B84" s="145"/>
      <c r="C84" s="79"/>
      <c r="D84" s="63"/>
      <c r="E84" s="150"/>
      <c r="F84" s="149"/>
      <c r="G84" s="79"/>
      <c r="H84" s="219"/>
      <c r="J84"/>
      <c r="K84"/>
      <c r="L84"/>
    </row>
    <row r="85" spans="1:12">
      <c r="A85" s="170"/>
      <c r="B85" s="79"/>
      <c r="C85" s="79"/>
      <c r="D85" s="63"/>
      <c r="E85" s="150"/>
      <c r="F85" s="149"/>
      <c r="G85" s="79"/>
      <c r="H85" s="219"/>
      <c r="J85"/>
      <c r="K85"/>
      <c r="L85"/>
    </row>
    <row r="86" spans="1:12" ht="16.5" thickBot="1">
      <c r="A86" s="202" t="s">
        <v>826</v>
      </c>
      <c r="B86" s="79"/>
      <c r="C86" s="79"/>
      <c r="D86" s="91">
        <v>0.21</v>
      </c>
      <c r="E86" s="54"/>
      <c r="F86" s="152"/>
      <c r="G86" s="153"/>
      <c r="H86" s="219"/>
      <c r="J86"/>
      <c r="K86"/>
      <c r="L86"/>
    </row>
    <row r="87" spans="1:12" ht="16.5" thickBot="1">
      <c r="A87" s="202" t="s">
        <v>270</v>
      </c>
      <c r="B87" s="79"/>
      <c r="C87" s="79"/>
      <c r="D87" s="79"/>
      <c r="E87" s="545">
        <f>(G78-(G53+G61+G69))*(D86/(1-D86))</f>
        <v>1.2244105822784811E-2</v>
      </c>
      <c r="G87" s="79"/>
      <c r="H87" s="219"/>
      <c r="J87"/>
      <c r="K87"/>
      <c r="L87"/>
    </row>
    <row r="88" spans="1:12">
      <c r="A88" s="2368" t="s">
        <v>545</v>
      </c>
      <c r="B88" s="2369"/>
      <c r="C88" s="2369"/>
      <c r="D88" s="2369"/>
      <c r="E88" s="2369"/>
      <c r="F88" s="155"/>
      <c r="G88" s="79"/>
      <c r="H88" s="219"/>
      <c r="J88"/>
      <c r="K88"/>
      <c r="L88"/>
    </row>
    <row r="89" spans="1:12" ht="16.5" thickBot="1">
      <c r="A89" s="256"/>
      <c r="B89" s="156"/>
      <c r="C89" s="79"/>
      <c r="D89" s="63"/>
      <c r="E89" s="150"/>
      <c r="F89" s="155"/>
      <c r="G89" s="79"/>
      <c r="H89" s="219"/>
    </row>
    <row r="90" spans="1:12" ht="16.5" thickBot="1">
      <c r="A90" s="170" t="s">
        <v>63</v>
      </c>
      <c r="B90" s="156"/>
      <c r="C90" s="79"/>
      <c r="D90" s="63"/>
      <c r="E90" s="545">
        <f>G78+E87</f>
        <v>8.3054675822784807E-2</v>
      </c>
      <c r="G90" s="79"/>
      <c r="H90" s="219"/>
    </row>
    <row r="91" spans="1:12">
      <c r="A91" s="471" t="s">
        <v>499</v>
      </c>
      <c r="B91" s="156"/>
      <c r="C91" s="79"/>
      <c r="D91" s="63"/>
      <c r="E91" s="150"/>
      <c r="F91" s="155"/>
      <c r="G91" s="79"/>
      <c r="H91" s="219"/>
    </row>
    <row r="92" spans="1:12">
      <c r="A92" s="170"/>
      <c r="B92" s="79"/>
      <c r="C92" s="157"/>
      <c r="D92" s="10"/>
      <c r="E92" s="55"/>
      <c r="F92" s="34"/>
      <c r="G92" s="8"/>
      <c r="H92" s="185"/>
    </row>
    <row r="93" spans="1:12" ht="16.5" thickBot="1">
      <c r="A93" s="202" t="s">
        <v>500</v>
      </c>
      <c r="B93" s="145"/>
      <c r="C93" s="79"/>
      <c r="D93" s="63"/>
      <c r="E93" s="92"/>
      <c r="F93" s="92"/>
      <c r="G93" s="92"/>
      <c r="H93" s="208"/>
    </row>
    <row r="94" spans="1:12">
      <c r="A94" s="202"/>
      <c r="B94" s="145"/>
      <c r="C94" s="79"/>
      <c r="D94" s="63"/>
      <c r="E94" s="264" t="s">
        <v>104</v>
      </c>
      <c r="F94" s="265" t="s">
        <v>105</v>
      </c>
      <c r="G94" s="265" t="s">
        <v>106</v>
      </c>
      <c r="H94" s="279" t="s">
        <v>107</v>
      </c>
    </row>
    <row r="95" spans="1:12">
      <c r="A95" s="170"/>
      <c r="B95" s="79"/>
      <c r="C95" s="79"/>
      <c r="D95" s="79"/>
      <c r="E95" s="418"/>
      <c r="F95" s="419"/>
      <c r="G95" s="419"/>
      <c r="H95" s="420"/>
    </row>
    <row r="96" spans="1:12">
      <c r="A96" s="170" t="s">
        <v>62</v>
      </c>
      <c r="B96" s="79"/>
      <c r="C96" s="79"/>
      <c r="D96" s="79"/>
      <c r="E96" s="421">
        <f>'Sch 1- Rate Base '!G161</f>
        <v>3835555745.0787497</v>
      </c>
      <c r="F96" s="182">
        <f>'Sch 1- Rate Base '!H161</f>
        <v>1099153933.6067338</v>
      </c>
      <c r="G96" s="182">
        <f>'Sch 1- Rate Base '!I161</f>
        <v>0</v>
      </c>
      <c r="H96" s="183">
        <f>'Sch 1- Rate Base '!J161</f>
        <v>2736401810.3225708</v>
      </c>
    </row>
    <row r="97" spans="1:8">
      <c r="A97" s="170" t="s">
        <v>63</v>
      </c>
      <c r="B97" s="79"/>
      <c r="C97" s="79"/>
      <c r="D97" s="79"/>
      <c r="E97" s="399">
        <f>$E$90</f>
        <v>8.3054675822784807E-2</v>
      </c>
      <c r="F97" s="400">
        <f>$E$90</f>
        <v>8.3054675822784807E-2</v>
      </c>
      <c r="G97" s="400">
        <f>$E$90</f>
        <v>8.3054675822784807E-2</v>
      </c>
      <c r="H97" s="401">
        <f>$E$90</f>
        <v>8.3054675822784807E-2</v>
      </c>
    </row>
    <row r="98" spans="1:8" ht="16.5" thickBot="1">
      <c r="A98" s="202" t="s">
        <v>141</v>
      </c>
      <c r="B98" s="145"/>
      <c r="C98" s="145"/>
      <c r="D98" s="145"/>
      <c r="E98" s="408">
        <f>E97*E96</f>
        <v>318560839.00773537</v>
      </c>
      <c r="F98" s="409">
        <f>F97*F96</f>
        <v>91289873.635046005</v>
      </c>
      <c r="G98" s="409">
        <f>G97*G96</f>
        <v>0</v>
      </c>
      <c r="H98" s="410">
        <f>H97*H96</f>
        <v>227270965.2772226</v>
      </c>
    </row>
    <row r="99" spans="1:8" ht="16.5" thickBot="1">
      <c r="A99" s="511" t="s">
        <v>34</v>
      </c>
      <c r="B99" s="203"/>
      <c r="C99" s="203"/>
      <c r="D99" s="203"/>
      <c r="E99" s="203"/>
      <c r="F99" s="203"/>
      <c r="G99" s="203"/>
      <c r="H99" s="204"/>
    </row>
    <row r="100" spans="1:8" ht="17.25" thickTop="1" thickBot="1">
      <c r="A100" s="225"/>
      <c r="B100" s="144"/>
      <c r="C100" s="144"/>
      <c r="D100" s="144"/>
      <c r="E100" s="144"/>
      <c r="F100" s="144"/>
      <c r="G100" s="79"/>
      <c r="H100" s="219"/>
    </row>
    <row r="101" spans="1:8" ht="24.95" customHeight="1" thickBot="1">
      <c r="A101" s="331" t="s">
        <v>226</v>
      </c>
      <c r="B101" s="259"/>
      <c r="C101" s="260"/>
      <c r="D101" s="261"/>
      <c r="E101" s="262"/>
      <c r="F101" s="32" t="s">
        <v>97</v>
      </c>
      <c r="G101" s="33"/>
      <c r="H101" s="254"/>
    </row>
    <row r="102" spans="1:8">
      <c r="A102" s="202"/>
      <c r="B102" s="145"/>
      <c r="C102" s="146"/>
      <c r="D102" s="147"/>
      <c r="E102" s="147"/>
      <c r="F102" s="148"/>
      <c r="G102" s="6"/>
      <c r="H102" s="255"/>
    </row>
    <row r="103" spans="1:8">
      <c r="A103" s="202" t="s">
        <v>381</v>
      </c>
      <c r="B103" s="145"/>
      <c r="C103" s="146"/>
      <c r="D103" s="147"/>
      <c r="E103" s="147"/>
      <c r="F103" s="148"/>
      <c r="G103" s="6"/>
      <c r="H103" s="255"/>
    </row>
    <row r="104" spans="1:8">
      <c r="A104" s="257"/>
      <c r="B104" s="145"/>
      <c r="C104" s="146"/>
      <c r="D104" s="147"/>
      <c r="E104" s="147"/>
      <c r="F104" s="148"/>
      <c r="G104" s="6"/>
      <c r="H104" s="255"/>
    </row>
    <row r="105" spans="1:8">
      <c r="A105" s="257"/>
      <c r="B105" s="145"/>
      <c r="C105" s="146"/>
      <c r="D105" s="147"/>
      <c r="E105" s="147"/>
      <c r="F105" s="148"/>
      <c r="G105" s="6"/>
      <c r="H105" s="255"/>
    </row>
    <row r="106" spans="1:8" ht="16.5" thickBot="1">
      <c r="A106" s="202"/>
      <c r="B106" s="145"/>
      <c r="C106" s="146"/>
      <c r="D106" s="79"/>
      <c r="E106" s="79"/>
      <c r="F106" s="148"/>
      <c r="G106" s="6"/>
      <c r="H106" s="255"/>
    </row>
    <row r="107" spans="1:8">
      <c r="A107" s="276"/>
      <c r="B107" s="263" t="s">
        <v>386</v>
      </c>
      <c r="C107" s="263" t="s">
        <v>382</v>
      </c>
      <c r="D107" s="263" t="s">
        <v>382</v>
      </c>
      <c r="E107" s="283" t="s">
        <v>387</v>
      </c>
      <c r="F107" s="287" t="s">
        <v>388</v>
      </c>
      <c r="G107"/>
      <c r="H107" s="219"/>
    </row>
    <row r="108" spans="1:8" ht="16.5" thickBot="1">
      <c r="A108" s="278" t="s">
        <v>384</v>
      </c>
      <c r="B108" s="289" t="s">
        <v>445</v>
      </c>
      <c r="C108" s="289" t="s">
        <v>385</v>
      </c>
      <c r="D108" s="289" t="s">
        <v>390</v>
      </c>
      <c r="E108" s="290" t="s">
        <v>383</v>
      </c>
      <c r="F108" s="291" t="s">
        <v>389</v>
      </c>
      <c r="G108"/>
      <c r="H108" s="219"/>
    </row>
    <row r="109" spans="1:8">
      <c r="A109" s="288"/>
      <c r="B109" s="459"/>
      <c r="C109" s="460"/>
      <c r="D109" s="460"/>
      <c r="E109" s="389"/>
      <c r="F109" s="461">
        <f t="shared" ref="F109:F117" si="0">E109*B109</f>
        <v>0</v>
      </c>
      <c r="G109"/>
      <c r="H109" s="219"/>
    </row>
    <row r="110" spans="1:8">
      <c r="A110" s="277"/>
      <c r="B110" s="462"/>
      <c r="C110" s="460"/>
      <c r="D110" s="460"/>
      <c r="E110" s="394"/>
      <c r="F110" s="461">
        <f t="shared" si="0"/>
        <v>0</v>
      </c>
      <c r="G110"/>
      <c r="H110" s="219"/>
    </row>
    <row r="111" spans="1:8">
      <c r="A111" s="277"/>
      <c r="B111" s="462"/>
      <c r="C111" s="460"/>
      <c r="D111" s="460"/>
      <c r="E111" s="394"/>
      <c r="F111" s="461">
        <f t="shared" si="0"/>
        <v>0</v>
      </c>
      <c r="G111"/>
      <c r="H111" s="219"/>
    </row>
    <row r="112" spans="1:8">
      <c r="A112" s="277"/>
      <c r="B112" s="462"/>
      <c r="C112" s="460"/>
      <c r="D112" s="460"/>
      <c r="E112" s="394"/>
      <c r="F112" s="461">
        <f t="shared" si="0"/>
        <v>0</v>
      </c>
      <c r="G112"/>
      <c r="H112" s="219"/>
    </row>
    <row r="113" spans="1:8">
      <c r="A113" s="277"/>
      <c r="B113" s="462"/>
      <c r="C113" s="460"/>
      <c r="D113" s="460"/>
      <c r="E113" s="394"/>
      <c r="F113" s="461">
        <f t="shared" si="0"/>
        <v>0</v>
      </c>
      <c r="G113"/>
      <c r="H113" s="219"/>
    </row>
    <row r="114" spans="1:8">
      <c r="A114" s="277"/>
      <c r="B114" s="462"/>
      <c r="C114" s="460"/>
      <c r="D114" s="460"/>
      <c r="E114" s="394"/>
      <c r="F114" s="461">
        <f t="shared" si="0"/>
        <v>0</v>
      </c>
      <c r="G114"/>
      <c r="H114" s="219"/>
    </row>
    <row r="115" spans="1:8">
      <c r="A115" s="277"/>
      <c r="B115" s="462"/>
      <c r="C115" s="460"/>
      <c r="D115" s="460"/>
      <c r="E115" s="394"/>
      <c r="F115" s="461">
        <f t="shared" si="0"/>
        <v>0</v>
      </c>
      <c r="G115"/>
      <c r="H115" s="219"/>
    </row>
    <row r="116" spans="1:8">
      <c r="A116" s="277"/>
      <c r="B116" s="462"/>
      <c r="C116" s="460"/>
      <c r="D116" s="460"/>
      <c r="E116" s="394"/>
      <c r="F116" s="461">
        <f t="shared" si="0"/>
        <v>0</v>
      </c>
      <c r="G116"/>
      <c r="H116" s="219"/>
    </row>
    <row r="117" spans="1:8">
      <c r="A117" s="277"/>
      <c r="B117" s="462"/>
      <c r="C117" s="460"/>
      <c r="D117" s="460"/>
      <c r="E117" s="394"/>
      <c r="F117" s="461">
        <f t="shared" si="0"/>
        <v>0</v>
      </c>
      <c r="G117"/>
      <c r="H117" s="219"/>
    </row>
    <row r="118" spans="1:8" ht="16.5" thickBot="1">
      <c r="A118" s="278" t="s">
        <v>391</v>
      </c>
      <c r="B118" s="541">
        <f>SUM(B109:B117)</f>
        <v>0</v>
      </c>
      <c r="C118" s="542"/>
      <c r="D118" s="405"/>
      <c r="E118" s="543">
        <f>IF(B118=0,0,F118/B118)</f>
        <v>0</v>
      </c>
      <c r="F118" s="544">
        <f>SUM(F109:F117)</f>
        <v>0</v>
      </c>
      <c r="G118"/>
      <c r="H118" s="219"/>
    </row>
    <row r="119" spans="1:8">
      <c r="A119" s="170"/>
      <c r="B119" s="79"/>
      <c r="C119" s="79"/>
      <c r="D119" s="63"/>
      <c r="E119" s="150"/>
      <c r="F119" s="149"/>
      <c r="G119" s="151"/>
      <c r="H119" s="219"/>
    </row>
    <row r="120" spans="1:8">
      <c r="A120" s="170"/>
      <c r="B120" s="79"/>
      <c r="C120" s="157"/>
      <c r="D120" s="10"/>
      <c r="E120" s="55"/>
      <c r="F120" s="34"/>
      <c r="G120" s="8"/>
      <c r="H120" s="185"/>
    </row>
    <row r="121" spans="1:8" ht="16.5" thickBot="1">
      <c r="A121" s="202" t="s">
        <v>392</v>
      </c>
      <c r="B121" s="145"/>
      <c r="C121" s="79"/>
      <c r="D121" s="63"/>
      <c r="E121" s="92"/>
      <c r="F121" s="92"/>
      <c r="G121" s="92"/>
      <c r="H121" s="208"/>
    </row>
    <row r="122" spans="1:8">
      <c r="A122" s="202"/>
      <c r="B122" s="145"/>
      <c r="C122" s="79"/>
      <c r="D122" s="63"/>
      <c r="E122" s="264" t="s">
        <v>104</v>
      </c>
      <c r="F122" s="265" t="s">
        <v>105</v>
      </c>
      <c r="G122" s="265" t="s">
        <v>106</v>
      </c>
      <c r="H122" s="279" t="s">
        <v>107</v>
      </c>
    </row>
    <row r="123" spans="1:8">
      <c r="A123" s="202" t="s">
        <v>62</v>
      </c>
      <c r="B123" s="79"/>
      <c r="C123" s="79"/>
      <c r="D123" s="79"/>
      <c r="E123" s="463">
        <f>'Sch 1- Rate Base '!G161</f>
        <v>3835555745.0787497</v>
      </c>
      <c r="F123" s="397">
        <f>'Sch 1- Rate Base '!H161</f>
        <v>1099153933.6067338</v>
      </c>
      <c r="G123" s="464">
        <f>'Sch 1- Rate Base '!I161</f>
        <v>0</v>
      </c>
      <c r="H123" s="398">
        <f>'Sch 1- Rate Base '!J161</f>
        <v>2736401810.3225708</v>
      </c>
    </row>
    <row r="124" spans="1:8">
      <c r="A124" s="202" t="s">
        <v>391</v>
      </c>
      <c r="B124" s="79"/>
      <c r="C124" s="79"/>
      <c r="D124" s="79"/>
      <c r="E124" s="465">
        <f>$E$118</f>
        <v>0</v>
      </c>
      <c r="F124" s="466">
        <f>$E$118</f>
        <v>0</v>
      </c>
      <c r="G124" s="466">
        <f>$E$118</f>
        <v>0</v>
      </c>
      <c r="H124" s="467">
        <f>$E$118</f>
        <v>0</v>
      </c>
    </row>
    <row r="125" spans="1:8" ht="16.5" thickBot="1">
      <c r="A125" s="202" t="s">
        <v>202</v>
      </c>
      <c r="B125" s="145"/>
      <c r="C125" s="145"/>
      <c r="D125" s="145"/>
      <c r="E125" s="408">
        <f>E124*E123</f>
        <v>0</v>
      </c>
      <c r="F125" s="409">
        <f>F124*F123</f>
        <v>0</v>
      </c>
      <c r="G125" s="409">
        <f>G124*G123</f>
        <v>0</v>
      </c>
      <c r="H125" s="410">
        <f>H124*H123</f>
        <v>0</v>
      </c>
    </row>
    <row r="126" spans="1:8">
      <c r="A126" s="257"/>
      <c r="B126" s="79"/>
      <c r="C126" s="79"/>
      <c r="D126" s="79"/>
      <c r="E126" s="79"/>
      <c r="F126" s="79"/>
      <c r="G126" s="79"/>
      <c r="H126" s="219"/>
    </row>
    <row r="127" spans="1:8">
      <c r="A127" s="170"/>
      <c r="B127" s="79"/>
      <c r="C127" s="79"/>
      <c r="D127" s="79"/>
      <c r="E127" s="79"/>
      <c r="F127" s="79"/>
      <c r="G127" s="79"/>
      <c r="H127" s="219"/>
    </row>
    <row r="128" spans="1:8" ht="16.5" thickBot="1">
      <c r="A128" s="258"/>
      <c r="B128" s="203"/>
      <c r="C128" s="203"/>
      <c r="D128" s="203"/>
      <c r="E128" s="203"/>
      <c r="F128" s="203"/>
      <c r="G128" s="203"/>
      <c r="H128" s="204"/>
    </row>
    <row r="129" ht="16.5" thickTop="1"/>
  </sheetData>
  <mergeCells count="13">
    <mergeCell ref="A8:H8"/>
    <mergeCell ref="A88:E88"/>
    <mergeCell ref="D22:E22"/>
    <mergeCell ref="B22:C22"/>
    <mergeCell ref="A33:E33"/>
    <mergeCell ref="B51:C51"/>
    <mergeCell ref="D51:E51"/>
    <mergeCell ref="D7:F7"/>
    <mergeCell ref="A1:H1"/>
    <mergeCell ref="A2:H2"/>
    <mergeCell ref="A3:H3"/>
    <mergeCell ref="D5:F5"/>
    <mergeCell ref="D6:F6"/>
  </mergeCells>
  <phoneticPr fontId="0" type="noConversion"/>
  <hyperlinks>
    <hyperlink ref="A5" location="TOC!A1" display="TOC" xr:uid="{00000000-0004-0000-0400-000000000000}"/>
    <hyperlink ref="A6" location="'Sch 2 -Rate of Return'!A10" display="é" xr:uid="{00000000-0004-0000-0400-000001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rowBreaks count="3" manualBreakCount="3">
    <brk id="45" max="7" man="1"/>
    <brk id="79" max="7" man="1"/>
    <brk id="99" max="7" man="1"/>
  </rowBreaks>
  <customProperties>
    <customPr name="xxe4aP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28F04-429E-4550-9D29-5B345E653EFF}">
  <sheetPr codeName="Sheet25"/>
  <dimension ref="A1:E33"/>
  <sheetViews>
    <sheetView zoomScale="120" zoomScaleNormal="120" workbookViewId="0">
      <pane ySplit="1" topLeftCell="A20" activePane="bottomLeft" state="frozen"/>
      <selection pane="bottomLeft" activeCell="K41" sqref="K41"/>
    </sheetView>
  </sheetViews>
  <sheetFormatPr defaultColWidth="8.375" defaultRowHeight="15.75"/>
  <cols>
    <col min="1" max="1" width="11.875" style="1211" customWidth="1"/>
    <col min="2" max="2" width="9.125" style="1211" bestFit="1" customWidth="1"/>
    <col min="3" max="3" width="9.125" style="1211" customWidth="1"/>
    <col min="4" max="4" width="9.75" style="1211" customWidth="1"/>
    <col min="5" max="248" width="8.375" style="1211"/>
    <col min="249" max="249" width="11.875" style="1211" customWidth="1"/>
    <col min="250" max="250" width="9.125" style="1211" bestFit="1" customWidth="1"/>
    <col min="251" max="251" width="9.125" style="1211" customWidth="1"/>
    <col min="252" max="252" width="9.75" style="1211" customWidth="1"/>
    <col min="253" max="253" width="3.25" style="1211" customWidth="1"/>
    <col min="254" max="254" width="11.875" style="1211" customWidth="1"/>
    <col min="255" max="256" width="8.375" style="1211"/>
    <col min="257" max="257" width="10.625" style="1211" customWidth="1"/>
    <col min="258" max="504" width="8.375" style="1211"/>
    <col min="505" max="505" width="11.875" style="1211" customWidth="1"/>
    <col min="506" max="506" width="9.125" style="1211" bestFit="1" customWidth="1"/>
    <col min="507" max="507" width="9.125" style="1211" customWidth="1"/>
    <col min="508" max="508" width="9.75" style="1211" customWidth="1"/>
    <col min="509" max="509" width="3.25" style="1211" customWidth="1"/>
    <col min="510" max="510" width="11.875" style="1211" customWidth="1"/>
    <col min="511" max="512" width="8.375" style="1211"/>
    <col min="513" max="513" width="10.625" style="1211" customWidth="1"/>
    <col min="514" max="760" width="8.375" style="1211"/>
    <col min="761" max="761" width="11.875" style="1211" customWidth="1"/>
    <col min="762" max="762" width="9.125" style="1211" bestFit="1" customWidth="1"/>
    <col min="763" max="763" width="9.125" style="1211" customWidth="1"/>
    <col min="764" max="764" width="9.75" style="1211" customWidth="1"/>
    <col min="765" max="765" width="3.25" style="1211" customWidth="1"/>
    <col min="766" max="766" width="11.875" style="1211" customWidth="1"/>
    <col min="767" max="768" width="8.375" style="1211"/>
    <col min="769" max="769" width="10.625" style="1211" customWidth="1"/>
    <col min="770" max="1016" width="8.375" style="1211"/>
    <col min="1017" max="1017" width="11.875" style="1211" customWidth="1"/>
    <col min="1018" max="1018" width="9.125" style="1211" bestFit="1" customWidth="1"/>
    <col min="1019" max="1019" width="9.125" style="1211" customWidth="1"/>
    <col min="1020" max="1020" width="9.75" style="1211" customWidth="1"/>
    <col min="1021" max="1021" width="3.25" style="1211" customWidth="1"/>
    <col min="1022" max="1022" width="11.875" style="1211" customWidth="1"/>
    <col min="1023" max="1024" width="8.375" style="1211"/>
    <col min="1025" max="1025" width="10.625" style="1211" customWidth="1"/>
    <col min="1026" max="1272" width="8.375" style="1211"/>
    <col min="1273" max="1273" width="11.875" style="1211" customWidth="1"/>
    <col min="1274" max="1274" width="9.125" style="1211" bestFit="1" customWidth="1"/>
    <col min="1275" max="1275" width="9.125" style="1211" customWidth="1"/>
    <col min="1276" max="1276" width="9.75" style="1211" customWidth="1"/>
    <col min="1277" max="1277" width="3.25" style="1211" customWidth="1"/>
    <col min="1278" max="1278" width="11.875" style="1211" customWidth="1"/>
    <col min="1279" max="1280" width="8.375" style="1211"/>
    <col min="1281" max="1281" width="10.625" style="1211" customWidth="1"/>
    <col min="1282" max="1528" width="8.375" style="1211"/>
    <col min="1529" max="1529" width="11.875" style="1211" customWidth="1"/>
    <col min="1530" max="1530" width="9.125" style="1211" bestFit="1" customWidth="1"/>
    <col min="1531" max="1531" width="9.125" style="1211" customWidth="1"/>
    <col min="1532" max="1532" width="9.75" style="1211" customWidth="1"/>
    <col min="1533" max="1533" width="3.25" style="1211" customWidth="1"/>
    <col min="1534" max="1534" width="11.875" style="1211" customWidth="1"/>
    <col min="1535" max="1536" width="8.375" style="1211"/>
    <col min="1537" max="1537" width="10.625" style="1211" customWidth="1"/>
    <col min="1538" max="1784" width="8.375" style="1211"/>
    <col min="1785" max="1785" width="11.875" style="1211" customWidth="1"/>
    <col min="1786" max="1786" width="9.125" style="1211" bestFit="1" customWidth="1"/>
    <col min="1787" max="1787" width="9.125" style="1211" customWidth="1"/>
    <col min="1788" max="1788" width="9.75" style="1211" customWidth="1"/>
    <col min="1789" max="1789" width="3.25" style="1211" customWidth="1"/>
    <col min="1790" max="1790" width="11.875" style="1211" customWidth="1"/>
    <col min="1791" max="1792" width="8.375" style="1211"/>
    <col min="1793" max="1793" width="10.625" style="1211" customWidth="1"/>
    <col min="1794" max="2040" width="8.375" style="1211"/>
    <col min="2041" max="2041" width="11.875" style="1211" customWidth="1"/>
    <col min="2042" max="2042" width="9.125" style="1211" bestFit="1" customWidth="1"/>
    <col min="2043" max="2043" width="9.125" style="1211" customWidth="1"/>
    <col min="2044" max="2044" width="9.75" style="1211" customWidth="1"/>
    <col min="2045" max="2045" width="3.25" style="1211" customWidth="1"/>
    <col min="2046" max="2046" width="11.875" style="1211" customWidth="1"/>
    <col min="2047" max="2048" width="8.375" style="1211"/>
    <col min="2049" max="2049" width="10.625" style="1211" customWidth="1"/>
    <col min="2050" max="2296" width="8.375" style="1211"/>
    <col min="2297" max="2297" width="11.875" style="1211" customWidth="1"/>
    <col min="2298" max="2298" width="9.125" style="1211" bestFit="1" customWidth="1"/>
    <col min="2299" max="2299" width="9.125" style="1211" customWidth="1"/>
    <col min="2300" max="2300" width="9.75" style="1211" customWidth="1"/>
    <col min="2301" max="2301" width="3.25" style="1211" customWidth="1"/>
    <col min="2302" max="2302" width="11.875" style="1211" customWidth="1"/>
    <col min="2303" max="2304" width="8.375" style="1211"/>
    <col min="2305" max="2305" width="10.625" style="1211" customWidth="1"/>
    <col min="2306" max="2552" width="8.375" style="1211"/>
    <col min="2553" max="2553" width="11.875" style="1211" customWidth="1"/>
    <col min="2554" max="2554" width="9.125" style="1211" bestFit="1" customWidth="1"/>
    <col min="2555" max="2555" width="9.125" style="1211" customWidth="1"/>
    <col min="2556" max="2556" width="9.75" style="1211" customWidth="1"/>
    <col min="2557" max="2557" width="3.25" style="1211" customWidth="1"/>
    <col min="2558" max="2558" width="11.875" style="1211" customWidth="1"/>
    <col min="2559" max="2560" width="8.375" style="1211"/>
    <col min="2561" max="2561" width="10.625" style="1211" customWidth="1"/>
    <col min="2562" max="2808" width="8.375" style="1211"/>
    <col min="2809" max="2809" width="11.875" style="1211" customWidth="1"/>
    <col min="2810" max="2810" width="9.125" style="1211" bestFit="1" customWidth="1"/>
    <col min="2811" max="2811" width="9.125" style="1211" customWidth="1"/>
    <col min="2812" max="2812" width="9.75" style="1211" customWidth="1"/>
    <col min="2813" max="2813" width="3.25" style="1211" customWidth="1"/>
    <col min="2814" max="2814" width="11.875" style="1211" customWidth="1"/>
    <col min="2815" max="2816" width="8.375" style="1211"/>
    <col min="2817" max="2817" width="10.625" style="1211" customWidth="1"/>
    <col min="2818" max="3064" width="8.375" style="1211"/>
    <col min="3065" max="3065" width="11.875" style="1211" customWidth="1"/>
    <col min="3066" max="3066" width="9.125" style="1211" bestFit="1" customWidth="1"/>
    <col min="3067" max="3067" width="9.125" style="1211" customWidth="1"/>
    <col min="3068" max="3068" width="9.75" style="1211" customWidth="1"/>
    <col min="3069" max="3069" width="3.25" style="1211" customWidth="1"/>
    <col min="3070" max="3070" width="11.875" style="1211" customWidth="1"/>
    <col min="3071" max="3072" width="8.375" style="1211"/>
    <col min="3073" max="3073" width="10.625" style="1211" customWidth="1"/>
    <col min="3074" max="3320" width="8.375" style="1211"/>
    <col min="3321" max="3321" width="11.875" style="1211" customWidth="1"/>
    <col min="3322" max="3322" width="9.125" style="1211" bestFit="1" customWidth="1"/>
    <col min="3323" max="3323" width="9.125" style="1211" customWidth="1"/>
    <col min="3324" max="3324" width="9.75" style="1211" customWidth="1"/>
    <col min="3325" max="3325" width="3.25" style="1211" customWidth="1"/>
    <col min="3326" max="3326" width="11.875" style="1211" customWidth="1"/>
    <col min="3327" max="3328" width="8.375" style="1211"/>
    <col min="3329" max="3329" width="10.625" style="1211" customWidth="1"/>
    <col min="3330" max="3576" width="8.375" style="1211"/>
    <col min="3577" max="3577" width="11.875" style="1211" customWidth="1"/>
    <col min="3578" max="3578" width="9.125" style="1211" bestFit="1" customWidth="1"/>
    <col min="3579" max="3579" width="9.125" style="1211" customWidth="1"/>
    <col min="3580" max="3580" width="9.75" style="1211" customWidth="1"/>
    <col min="3581" max="3581" width="3.25" style="1211" customWidth="1"/>
    <col min="3582" max="3582" width="11.875" style="1211" customWidth="1"/>
    <col min="3583" max="3584" width="8.375" style="1211"/>
    <col min="3585" max="3585" width="10.625" style="1211" customWidth="1"/>
    <col min="3586" max="3832" width="8.375" style="1211"/>
    <col min="3833" max="3833" width="11.875" style="1211" customWidth="1"/>
    <col min="3834" max="3834" width="9.125" style="1211" bestFit="1" customWidth="1"/>
    <col min="3835" max="3835" width="9.125" style="1211" customWidth="1"/>
    <col min="3836" max="3836" width="9.75" style="1211" customWidth="1"/>
    <col min="3837" max="3837" width="3.25" style="1211" customWidth="1"/>
    <col min="3838" max="3838" width="11.875" style="1211" customWidth="1"/>
    <col min="3839" max="3840" width="8.375" style="1211"/>
    <col min="3841" max="3841" width="10.625" style="1211" customWidth="1"/>
    <col min="3842" max="4088" width="8.375" style="1211"/>
    <col min="4089" max="4089" width="11.875" style="1211" customWidth="1"/>
    <col min="4090" max="4090" width="9.125" style="1211" bestFit="1" customWidth="1"/>
    <col min="4091" max="4091" width="9.125" style="1211" customWidth="1"/>
    <col min="4092" max="4092" width="9.75" style="1211" customWidth="1"/>
    <col min="4093" max="4093" width="3.25" style="1211" customWidth="1"/>
    <col min="4094" max="4094" width="11.875" style="1211" customWidth="1"/>
    <col min="4095" max="4096" width="8.375" style="1211"/>
    <col min="4097" max="4097" width="10.625" style="1211" customWidth="1"/>
    <col min="4098" max="4344" width="8.375" style="1211"/>
    <col min="4345" max="4345" width="11.875" style="1211" customWidth="1"/>
    <col min="4346" max="4346" width="9.125" style="1211" bestFit="1" customWidth="1"/>
    <col min="4347" max="4347" width="9.125" style="1211" customWidth="1"/>
    <col min="4348" max="4348" width="9.75" style="1211" customWidth="1"/>
    <col min="4349" max="4349" width="3.25" style="1211" customWidth="1"/>
    <col min="4350" max="4350" width="11.875" style="1211" customWidth="1"/>
    <col min="4351" max="4352" width="8.375" style="1211"/>
    <col min="4353" max="4353" width="10.625" style="1211" customWidth="1"/>
    <col min="4354" max="4600" width="8.375" style="1211"/>
    <col min="4601" max="4601" width="11.875" style="1211" customWidth="1"/>
    <col min="4602" max="4602" width="9.125" style="1211" bestFit="1" customWidth="1"/>
    <col min="4603" max="4603" width="9.125" style="1211" customWidth="1"/>
    <col min="4604" max="4604" width="9.75" style="1211" customWidth="1"/>
    <col min="4605" max="4605" width="3.25" style="1211" customWidth="1"/>
    <col min="4606" max="4606" width="11.875" style="1211" customWidth="1"/>
    <col min="4607" max="4608" width="8.375" style="1211"/>
    <col min="4609" max="4609" width="10.625" style="1211" customWidth="1"/>
    <col min="4610" max="4856" width="8.375" style="1211"/>
    <col min="4857" max="4857" width="11.875" style="1211" customWidth="1"/>
    <col min="4858" max="4858" width="9.125" style="1211" bestFit="1" customWidth="1"/>
    <col min="4859" max="4859" width="9.125" style="1211" customWidth="1"/>
    <col min="4860" max="4860" width="9.75" style="1211" customWidth="1"/>
    <col min="4861" max="4861" width="3.25" style="1211" customWidth="1"/>
    <col min="4862" max="4862" width="11.875" style="1211" customWidth="1"/>
    <col min="4863" max="4864" width="8.375" style="1211"/>
    <col min="4865" max="4865" width="10.625" style="1211" customWidth="1"/>
    <col min="4866" max="5112" width="8.375" style="1211"/>
    <col min="5113" max="5113" width="11.875" style="1211" customWidth="1"/>
    <col min="5114" max="5114" width="9.125" style="1211" bestFit="1" customWidth="1"/>
    <col min="5115" max="5115" width="9.125" style="1211" customWidth="1"/>
    <col min="5116" max="5116" width="9.75" style="1211" customWidth="1"/>
    <col min="5117" max="5117" width="3.25" style="1211" customWidth="1"/>
    <col min="5118" max="5118" width="11.875" style="1211" customWidth="1"/>
    <col min="5119" max="5120" width="8.375" style="1211"/>
    <col min="5121" max="5121" width="10.625" style="1211" customWidth="1"/>
    <col min="5122" max="5368" width="8.375" style="1211"/>
    <col min="5369" max="5369" width="11.875" style="1211" customWidth="1"/>
    <col min="5370" max="5370" width="9.125" style="1211" bestFit="1" customWidth="1"/>
    <col min="5371" max="5371" width="9.125" style="1211" customWidth="1"/>
    <col min="5372" max="5372" width="9.75" style="1211" customWidth="1"/>
    <col min="5373" max="5373" width="3.25" style="1211" customWidth="1"/>
    <col min="5374" max="5374" width="11.875" style="1211" customWidth="1"/>
    <col min="5375" max="5376" width="8.375" style="1211"/>
    <col min="5377" max="5377" width="10.625" style="1211" customWidth="1"/>
    <col min="5378" max="5624" width="8.375" style="1211"/>
    <col min="5625" max="5625" width="11.875" style="1211" customWidth="1"/>
    <col min="5626" max="5626" width="9.125" style="1211" bestFit="1" customWidth="1"/>
    <col min="5627" max="5627" width="9.125" style="1211" customWidth="1"/>
    <col min="5628" max="5628" width="9.75" style="1211" customWidth="1"/>
    <col min="5629" max="5629" width="3.25" style="1211" customWidth="1"/>
    <col min="5630" max="5630" width="11.875" style="1211" customWidth="1"/>
    <col min="5631" max="5632" width="8.375" style="1211"/>
    <col min="5633" max="5633" width="10.625" style="1211" customWidth="1"/>
    <col min="5634" max="5880" width="8.375" style="1211"/>
    <col min="5881" max="5881" width="11.875" style="1211" customWidth="1"/>
    <col min="5882" max="5882" width="9.125" style="1211" bestFit="1" customWidth="1"/>
    <col min="5883" max="5883" width="9.125" style="1211" customWidth="1"/>
    <col min="5884" max="5884" width="9.75" style="1211" customWidth="1"/>
    <col min="5885" max="5885" width="3.25" style="1211" customWidth="1"/>
    <col min="5886" max="5886" width="11.875" style="1211" customWidth="1"/>
    <col min="5887" max="5888" width="8.375" style="1211"/>
    <col min="5889" max="5889" width="10.625" style="1211" customWidth="1"/>
    <col min="5890" max="6136" width="8.375" style="1211"/>
    <col min="6137" max="6137" width="11.875" style="1211" customWidth="1"/>
    <col min="6138" max="6138" width="9.125" style="1211" bestFit="1" customWidth="1"/>
    <col min="6139" max="6139" width="9.125" style="1211" customWidth="1"/>
    <col min="6140" max="6140" width="9.75" style="1211" customWidth="1"/>
    <col min="6141" max="6141" width="3.25" style="1211" customWidth="1"/>
    <col min="6142" max="6142" width="11.875" style="1211" customWidth="1"/>
    <col min="6143" max="6144" width="8.375" style="1211"/>
    <col min="6145" max="6145" width="10.625" style="1211" customWidth="1"/>
    <col min="6146" max="6392" width="8.375" style="1211"/>
    <col min="6393" max="6393" width="11.875" style="1211" customWidth="1"/>
    <col min="6394" max="6394" width="9.125" style="1211" bestFit="1" customWidth="1"/>
    <col min="6395" max="6395" width="9.125" style="1211" customWidth="1"/>
    <col min="6396" max="6396" width="9.75" style="1211" customWidth="1"/>
    <col min="6397" max="6397" width="3.25" style="1211" customWidth="1"/>
    <col min="6398" max="6398" width="11.875" style="1211" customWidth="1"/>
    <col min="6399" max="6400" width="8.375" style="1211"/>
    <col min="6401" max="6401" width="10.625" style="1211" customWidth="1"/>
    <col min="6402" max="6648" width="8.375" style="1211"/>
    <col min="6649" max="6649" width="11.875" style="1211" customWidth="1"/>
    <col min="6650" max="6650" width="9.125" style="1211" bestFit="1" customWidth="1"/>
    <col min="6651" max="6651" width="9.125" style="1211" customWidth="1"/>
    <col min="6652" max="6652" width="9.75" style="1211" customWidth="1"/>
    <col min="6653" max="6653" width="3.25" style="1211" customWidth="1"/>
    <col min="6654" max="6654" width="11.875" style="1211" customWidth="1"/>
    <col min="6655" max="6656" width="8.375" style="1211"/>
    <col min="6657" max="6657" width="10.625" style="1211" customWidth="1"/>
    <col min="6658" max="6904" width="8.375" style="1211"/>
    <col min="6905" max="6905" width="11.875" style="1211" customWidth="1"/>
    <col min="6906" max="6906" width="9.125" style="1211" bestFit="1" customWidth="1"/>
    <col min="6907" max="6907" width="9.125" style="1211" customWidth="1"/>
    <col min="6908" max="6908" width="9.75" style="1211" customWidth="1"/>
    <col min="6909" max="6909" width="3.25" style="1211" customWidth="1"/>
    <col min="6910" max="6910" width="11.875" style="1211" customWidth="1"/>
    <col min="6911" max="6912" width="8.375" style="1211"/>
    <col min="6913" max="6913" width="10.625" style="1211" customWidth="1"/>
    <col min="6914" max="7160" width="8.375" style="1211"/>
    <col min="7161" max="7161" width="11.875" style="1211" customWidth="1"/>
    <col min="7162" max="7162" width="9.125" style="1211" bestFit="1" customWidth="1"/>
    <col min="7163" max="7163" width="9.125" style="1211" customWidth="1"/>
    <col min="7164" max="7164" width="9.75" style="1211" customWidth="1"/>
    <col min="7165" max="7165" width="3.25" style="1211" customWidth="1"/>
    <col min="7166" max="7166" width="11.875" style="1211" customWidth="1"/>
    <col min="7167" max="7168" width="8.375" style="1211"/>
    <col min="7169" max="7169" width="10.625" style="1211" customWidth="1"/>
    <col min="7170" max="7416" width="8.375" style="1211"/>
    <col min="7417" max="7417" width="11.875" style="1211" customWidth="1"/>
    <col min="7418" max="7418" width="9.125" style="1211" bestFit="1" customWidth="1"/>
    <col min="7419" max="7419" width="9.125" style="1211" customWidth="1"/>
    <col min="7420" max="7420" width="9.75" style="1211" customWidth="1"/>
    <col min="7421" max="7421" width="3.25" style="1211" customWidth="1"/>
    <col min="7422" max="7422" width="11.875" style="1211" customWidth="1"/>
    <col min="7423" max="7424" width="8.375" style="1211"/>
    <col min="7425" max="7425" width="10.625" style="1211" customWidth="1"/>
    <col min="7426" max="7672" width="8.375" style="1211"/>
    <col min="7673" max="7673" width="11.875" style="1211" customWidth="1"/>
    <col min="7674" max="7674" width="9.125" style="1211" bestFit="1" customWidth="1"/>
    <col min="7675" max="7675" width="9.125" style="1211" customWidth="1"/>
    <col min="7676" max="7676" width="9.75" style="1211" customWidth="1"/>
    <col min="7677" max="7677" width="3.25" style="1211" customWidth="1"/>
    <col min="7678" max="7678" width="11.875" style="1211" customWidth="1"/>
    <col min="7679" max="7680" width="8.375" style="1211"/>
    <col min="7681" max="7681" width="10.625" style="1211" customWidth="1"/>
    <col min="7682" max="7928" width="8.375" style="1211"/>
    <col min="7929" max="7929" width="11.875" style="1211" customWidth="1"/>
    <col min="7930" max="7930" width="9.125" style="1211" bestFit="1" customWidth="1"/>
    <col min="7931" max="7931" width="9.125" style="1211" customWidth="1"/>
    <col min="7932" max="7932" width="9.75" style="1211" customWidth="1"/>
    <col min="7933" max="7933" width="3.25" style="1211" customWidth="1"/>
    <col min="7934" max="7934" width="11.875" style="1211" customWidth="1"/>
    <col min="7935" max="7936" width="8.375" style="1211"/>
    <col min="7937" max="7937" width="10.625" style="1211" customWidth="1"/>
    <col min="7938" max="8184" width="8.375" style="1211"/>
    <col min="8185" max="8185" width="11.875" style="1211" customWidth="1"/>
    <col min="8186" max="8186" width="9.125" style="1211" bestFit="1" customWidth="1"/>
    <col min="8187" max="8187" width="9.125" style="1211" customWidth="1"/>
    <col min="8188" max="8188" width="9.75" style="1211" customWidth="1"/>
    <col min="8189" max="8189" width="3.25" style="1211" customWidth="1"/>
    <col min="8190" max="8190" width="11.875" style="1211" customWidth="1"/>
    <col min="8191" max="8192" width="8.375" style="1211"/>
    <col min="8193" max="8193" width="10.625" style="1211" customWidth="1"/>
    <col min="8194" max="8440" width="8.375" style="1211"/>
    <col min="8441" max="8441" width="11.875" style="1211" customWidth="1"/>
    <col min="8442" max="8442" width="9.125" style="1211" bestFit="1" customWidth="1"/>
    <col min="8443" max="8443" width="9.125" style="1211" customWidth="1"/>
    <col min="8444" max="8444" width="9.75" style="1211" customWidth="1"/>
    <col min="8445" max="8445" width="3.25" style="1211" customWidth="1"/>
    <col min="8446" max="8446" width="11.875" style="1211" customWidth="1"/>
    <col min="8447" max="8448" width="8.375" style="1211"/>
    <col min="8449" max="8449" width="10.625" style="1211" customWidth="1"/>
    <col min="8450" max="8696" width="8.375" style="1211"/>
    <col min="8697" max="8697" width="11.875" style="1211" customWidth="1"/>
    <col min="8698" max="8698" width="9.125" style="1211" bestFit="1" customWidth="1"/>
    <col min="8699" max="8699" width="9.125" style="1211" customWidth="1"/>
    <col min="8700" max="8700" width="9.75" style="1211" customWidth="1"/>
    <col min="8701" max="8701" width="3.25" style="1211" customWidth="1"/>
    <col min="8702" max="8702" width="11.875" style="1211" customWidth="1"/>
    <col min="8703" max="8704" width="8.375" style="1211"/>
    <col min="8705" max="8705" width="10.625" style="1211" customWidth="1"/>
    <col min="8706" max="8952" width="8.375" style="1211"/>
    <col min="8953" max="8953" width="11.875" style="1211" customWidth="1"/>
    <col min="8954" max="8954" width="9.125" style="1211" bestFit="1" customWidth="1"/>
    <col min="8955" max="8955" width="9.125" style="1211" customWidth="1"/>
    <col min="8956" max="8956" width="9.75" style="1211" customWidth="1"/>
    <col min="8957" max="8957" width="3.25" style="1211" customWidth="1"/>
    <col min="8958" max="8958" width="11.875" style="1211" customWidth="1"/>
    <col min="8959" max="8960" width="8.375" style="1211"/>
    <col min="8961" max="8961" width="10.625" style="1211" customWidth="1"/>
    <col min="8962" max="9208" width="8.375" style="1211"/>
    <col min="9209" max="9209" width="11.875" style="1211" customWidth="1"/>
    <col min="9210" max="9210" width="9.125" style="1211" bestFit="1" customWidth="1"/>
    <col min="9211" max="9211" width="9.125" style="1211" customWidth="1"/>
    <col min="9212" max="9212" width="9.75" style="1211" customWidth="1"/>
    <col min="9213" max="9213" width="3.25" style="1211" customWidth="1"/>
    <col min="9214" max="9214" width="11.875" style="1211" customWidth="1"/>
    <col min="9215" max="9216" width="8.375" style="1211"/>
    <col min="9217" max="9217" width="10.625" style="1211" customWidth="1"/>
    <col min="9218" max="9464" width="8.375" style="1211"/>
    <col min="9465" max="9465" width="11.875" style="1211" customWidth="1"/>
    <col min="9466" max="9466" width="9.125" style="1211" bestFit="1" customWidth="1"/>
    <col min="9467" max="9467" width="9.125" style="1211" customWidth="1"/>
    <col min="9468" max="9468" width="9.75" style="1211" customWidth="1"/>
    <col min="9469" max="9469" width="3.25" style="1211" customWidth="1"/>
    <col min="9470" max="9470" width="11.875" style="1211" customWidth="1"/>
    <col min="9471" max="9472" width="8.375" style="1211"/>
    <col min="9473" max="9473" width="10.625" style="1211" customWidth="1"/>
    <col min="9474" max="9720" width="8.375" style="1211"/>
    <col min="9721" max="9721" width="11.875" style="1211" customWidth="1"/>
    <col min="9722" max="9722" width="9.125" style="1211" bestFit="1" customWidth="1"/>
    <col min="9723" max="9723" width="9.125" style="1211" customWidth="1"/>
    <col min="9724" max="9724" width="9.75" style="1211" customWidth="1"/>
    <col min="9725" max="9725" width="3.25" style="1211" customWidth="1"/>
    <col min="9726" max="9726" width="11.875" style="1211" customWidth="1"/>
    <col min="9727" max="9728" width="8.375" style="1211"/>
    <col min="9729" max="9729" width="10.625" style="1211" customWidth="1"/>
    <col min="9730" max="9976" width="8.375" style="1211"/>
    <col min="9977" max="9977" width="11.875" style="1211" customWidth="1"/>
    <col min="9978" max="9978" width="9.125" style="1211" bestFit="1" customWidth="1"/>
    <col min="9979" max="9979" width="9.125" style="1211" customWidth="1"/>
    <col min="9980" max="9980" width="9.75" style="1211" customWidth="1"/>
    <col min="9981" max="9981" width="3.25" style="1211" customWidth="1"/>
    <col min="9982" max="9982" width="11.875" style="1211" customWidth="1"/>
    <col min="9983" max="9984" width="8.375" style="1211"/>
    <col min="9985" max="9985" width="10.625" style="1211" customWidth="1"/>
    <col min="9986" max="10232" width="8.375" style="1211"/>
    <col min="10233" max="10233" width="11.875" style="1211" customWidth="1"/>
    <col min="10234" max="10234" width="9.125" style="1211" bestFit="1" customWidth="1"/>
    <col min="10235" max="10235" width="9.125" style="1211" customWidth="1"/>
    <col min="10236" max="10236" width="9.75" style="1211" customWidth="1"/>
    <col min="10237" max="10237" width="3.25" style="1211" customWidth="1"/>
    <col min="10238" max="10238" width="11.875" style="1211" customWidth="1"/>
    <col min="10239" max="10240" width="8.375" style="1211"/>
    <col min="10241" max="10241" width="10.625" style="1211" customWidth="1"/>
    <col min="10242" max="10488" width="8.375" style="1211"/>
    <col min="10489" max="10489" width="11.875" style="1211" customWidth="1"/>
    <col min="10490" max="10490" width="9.125" style="1211" bestFit="1" customWidth="1"/>
    <col min="10491" max="10491" width="9.125" style="1211" customWidth="1"/>
    <col min="10492" max="10492" width="9.75" style="1211" customWidth="1"/>
    <col min="10493" max="10493" width="3.25" style="1211" customWidth="1"/>
    <col min="10494" max="10494" width="11.875" style="1211" customWidth="1"/>
    <col min="10495" max="10496" width="8.375" style="1211"/>
    <col min="10497" max="10497" width="10.625" style="1211" customWidth="1"/>
    <col min="10498" max="10744" width="8.375" style="1211"/>
    <col min="10745" max="10745" width="11.875" style="1211" customWidth="1"/>
    <col min="10746" max="10746" width="9.125" style="1211" bestFit="1" customWidth="1"/>
    <col min="10747" max="10747" width="9.125" style="1211" customWidth="1"/>
    <col min="10748" max="10748" width="9.75" style="1211" customWidth="1"/>
    <col min="10749" max="10749" width="3.25" style="1211" customWidth="1"/>
    <col min="10750" max="10750" width="11.875" style="1211" customWidth="1"/>
    <col min="10751" max="10752" width="8.375" style="1211"/>
    <col min="10753" max="10753" width="10.625" style="1211" customWidth="1"/>
    <col min="10754" max="11000" width="8.375" style="1211"/>
    <col min="11001" max="11001" width="11.875" style="1211" customWidth="1"/>
    <col min="11002" max="11002" width="9.125" style="1211" bestFit="1" customWidth="1"/>
    <col min="11003" max="11003" width="9.125" style="1211" customWidth="1"/>
    <col min="11004" max="11004" width="9.75" style="1211" customWidth="1"/>
    <col min="11005" max="11005" width="3.25" style="1211" customWidth="1"/>
    <col min="11006" max="11006" width="11.875" style="1211" customWidth="1"/>
    <col min="11007" max="11008" width="8.375" style="1211"/>
    <col min="11009" max="11009" width="10.625" style="1211" customWidth="1"/>
    <col min="11010" max="11256" width="8.375" style="1211"/>
    <col min="11257" max="11257" width="11.875" style="1211" customWidth="1"/>
    <col min="11258" max="11258" width="9.125" style="1211" bestFit="1" customWidth="1"/>
    <col min="11259" max="11259" width="9.125" style="1211" customWidth="1"/>
    <col min="11260" max="11260" width="9.75" style="1211" customWidth="1"/>
    <col min="11261" max="11261" width="3.25" style="1211" customWidth="1"/>
    <col min="11262" max="11262" width="11.875" style="1211" customWidth="1"/>
    <col min="11263" max="11264" width="8.375" style="1211"/>
    <col min="11265" max="11265" width="10.625" style="1211" customWidth="1"/>
    <col min="11266" max="11512" width="8.375" style="1211"/>
    <col min="11513" max="11513" width="11.875" style="1211" customWidth="1"/>
    <col min="11514" max="11514" width="9.125" style="1211" bestFit="1" customWidth="1"/>
    <col min="11515" max="11515" width="9.125" style="1211" customWidth="1"/>
    <col min="11516" max="11516" width="9.75" style="1211" customWidth="1"/>
    <col min="11517" max="11517" width="3.25" style="1211" customWidth="1"/>
    <col min="11518" max="11518" width="11.875" style="1211" customWidth="1"/>
    <col min="11519" max="11520" width="8.375" style="1211"/>
    <col min="11521" max="11521" width="10.625" style="1211" customWidth="1"/>
    <col min="11522" max="11768" width="8.375" style="1211"/>
    <col min="11769" max="11769" width="11.875" style="1211" customWidth="1"/>
    <col min="11770" max="11770" width="9.125" style="1211" bestFit="1" customWidth="1"/>
    <col min="11771" max="11771" width="9.125" style="1211" customWidth="1"/>
    <col min="11772" max="11772" width="9.75" style="1211" customWidth="1"/>
    <col min="11773" max="11773" width="3.25" style="1211" customWidth="1"/>
    <col min="11774" max="11774" width="11.875" style="1211" customWidth="1"/>
    <col min="11775" max="11776" width="8.375" style="1211"/>
    <col min="11777" max="11777" width="10.625" style="1211" customWidth="1"/>
    <col min="11778" max="12024" width="8.375" style="1211"/>
    <col min="12025" max="12025" width="11.875" style="1211" customWidth="1"/>
    <col min="12026" max="12026" width="9.125" style="1211" bestFit="1" customWidth="1"/>
    <col min="12027" max="12027" width="9.125" style="1211" customWidth="1"/>
    <col min="12028" max="12028" width="9.75" style="1211" customWidth="1"/>
    <col min="12029" max="12029" width="3.25" style="1211" customWidth="1"/>
    <col min="12030" max="12030" width="11.875" style="1211" customWidth="1"/>
    <col min="12031" max="12032" width="8.375" style="1211"/>
    <col min="12033" max="12033" width="10.625" style="1211" customWidth="1"/>
    <col min="12034" max="12280" width="8.375" style="1211"/>
    <col min="12281" max="12281" width="11.875" style="1211" customWidth="1"/>
    <col min="12282" max="12282" width="9.125" style="1211" bestFit="1" customWidth="1"/>
    <col min="12283" max="12283" width="9.125" style="1211" customWidth="1"/>
    <col min="12284" max="12284" width="9.75" style="1211" customWidth="1"/>
    <col min="12285" max="12285" width="3.25" style="1211" customWidth="1"/>
    <col min="12286" max="12286" width="11.875" style="1211" customWidth="1"/>
    <col min="12287" max="12288" width="8.375" style="1211"/>
    <col min="12289" max="12289" width="10.625" style="1211" customWidth="1"/>
    <col min="12290" max="12536" width="8.375" style="1211"/>
    <col min="12537" max="12537" width="11.875" style="1211" customWidth="1"/>
    <col min="12538" max="12538" width="9.125" style="1211" bestFit="1" customWidth="1"/>
    <col min="12539" max="12539" width="9.125" style="1211" customWidth="1"/>
    <col min="12540" max="12540" width="9.75" style="1211" customWidth="1"/>
    <col min="12541" max="12541" width="3.25" style="1211" customWidth="1"/>
    <col min="12542" max="12542" width="11.875" style="1211" customWidth="1"/>
    <col min="12543" max="12544" width="8.375" style="1211"/>
    <col min="12545" max="12545" width="10.625" style="1211" customWidth="1"/>
    <col min="12546" max="12792" width="8.375" style="1211"/>
    <col min="12793" max="12793" width="11.875" style="1211" customWidth="1"/>
    <col min="12794" max="12794" width="9.125" style="1211" bestFit="1" customWidth="1"/>
    <col min="12795" max="12795" width="9.125" style="1211" customWidth="1"/>
    <col min="12796" max="12796" width="9.75" style="1211" customWidth="1"/>
    <col min="12797" max="12797" width="3.25" style="1211" customWidth="1"/>
    <col min="12798" max="12798" width="11.875" style="1211" customWidth="1"/>
    <col min="12799" max="12800" width="8.375" style="1211"/>
    <col min="12801" max="12801" width="10.625" style="1211" customWidth="1"/>
    <col min="12802" max="13048" width="8.375" style="1211"/>
    <col min="13049" max="13049" width="11.875" style="1211" customWidth="1"/>
    <col min="13050" max="13050" width="9.125" style="1211" bestFit="1" customWidth="1"/>
    <col min="13051" max="13051" width="9.125" style="1211" customWidth="1"/>
    <col min="13052" max="13052" width="9.75" style="1211" customWidth="1"/>
    <col min="13053" max="13053" width="3.25" style="1211" customWidth="1"/>
    <col min="13054" max="13054" width="11.875" style="1211" customWidth="1"/>
    <col min="13055" max="13056" width="8.375" style="1211"/>
    <col min="13057" max="13057" width="10.625" style="1211" customWidth="1"/>
    <col min="13058" max="13304" width="8.375" style="1211"/>
    <col min="13305" max="13305" width="11.875" style="1211" customWidth="1"/>
    <col min="13306" max="13306" width="9.125" style="1211" bestFit="1" customWidth="1"/>
    <col min="13307" max="13307" width="9.125" style="1211" customWidth="1"/>
    <col min="13308" max="13308" width="9.75" style="1211" customWidth="1"/>
    <col min="13309" max="13309" width="3.25" style="1211" customWidth="1"/>
    <col min="13310" max="13310" width="11.875" style="1211" customWidth="1"/>
    <col min="13311" max="13312" width="8.375" style="1211"/>
    <col min="13313" max="13313" width="10.625" style="1211" customWidth="1"/>
    <col min="13314" max="13560" width="8.375" style="1211"/>
    <col min="13561" max="13561" width="11.875" style="1211" customWidth="1"/>
    <col min="13562" max="13562" width="9.125" style="1211" bestFit="1" customWidth="1"/>
    <col min="13563" max="13563" width="9.125" style="1211" customWidth="1"/>
    <col min="13564" max="13564" width="9.75" style="1211" customWidth="1"/>
    <col min="13565" max="13565" width="3.25" style="1211" customWidth="1"/>
    <col min="13566" max="13566" width="11.875" style="1211" customWidth="1"/>
    <col min="13567" max="13568" width="8.375" style="1211"/>
    <col min="13569" max="13569" width="10.625" style="1211" customWidth="1"/>
    <col min="13570" max="13816" width="8.375" style="1211"/>
    <col min="13817" max="13817" width="11.875" style="1211" customWidth="1"/>
    <col min="13818" max="13818" width="9.125" style="1211" bestFit="1" customWidth="1"/>
    <col min="13819" max="13819" width="9.125" style="1211" customWidth="1"/>
    <col min="13820" max="13820" width="9.75" style="1211" customWidth="1"/>
    <col min="13821" max="13821" width="3.25" style="1211" customWidth="1"/>
    <col min="13822" max="13822" width="11.875" style="1211" customWidth="1"/>
    <col min="13823" max="13824" width="8.375" style="1211"/>
    <col min="13825" max="13825" width="10.625" style="1211" customWidth="1"/>
    <col min="13826" max="14072" width="8.375" style="1211"/>
    <col min="14073" max="14073" width="11.875" style="1211" customWidth="1"/>
    <col min="14074" max="14074" width="9.125" style="1211" bestFit="1" customWidth="1"/>
    <col min="14075" max="14075" width="9.125" style="1211" customWidth="1"/>
    <col min="14076" max="14076" width="9.75" style="1211" customWidth="1"/>
    <col min="14077" max="14077" width="3.25" style="1211" customWidth="1"/>
    <col min="14078" max="14078" width="11.875" style="1211" customWidth="1"/>
    <col min="14079" max="14080" width="8.375" style="1211"/>
    <col min="14081" max="14081" width="10.625" style="1211" customWidth="1"/>
    <col min="14082" max="14328" width="8.375" style="1211"/>
    <col min="14329" max="14329" width="11.875" style="1211" customWidth="1"/>
    <col min="14330" max="14330" width="9.125" style="1211" bestFit="1" customWidth="1"/>
    <col min="14331" max="14331" width="9.125" style="1211" customWidth="1"/>
    <col min="14332" max="14332" width="9.75" style="1211" customWidth="1"/>
    <col min="14333" max="14333" width="3.25" style="1211" customWidth="1"/>
    <col min="14334" max="14334" width="11.875" style="1211" customWidth="1"/>
    <col min="14335" max="14336" width="8.375" style="1211"/>
    <col min="14337" max="14337" width="10.625" style="1211" customWidth="1"/>
    <col min="14338" max="14584" width="8.375" style="1211"/>
    <col min="14585" max="14585" width="11.875" style="1211" customWidth="1"/>
    <col min="14586" max="14586" width="9.125" style="1211" bestFit="1" customWidth="1"/>
    <col min="14587" max="14587" width="9.125" style="1211" customWidth="1"/>
    <col min="14588" max="14588" width="9.75" style="1211" customWidth="1"/>
    <col min="14589" max="14589" width="3.25" style="1211" customWidth="1"/>
    <col min="14590" max="14590" width="11.875" style="1211" customWidth="1"/>
    <col min="14591" max="14592" width="8.375" style="1211"/>
    <col min="14593" max="14593" width="10.625" style="1211" customWidth="1"/>
    <col min="14594" max="14840" width="8.375" style="1211"/>
    <col min="14841" max="14841" width="11.875" style="1211" customWidth="1"/>
    <col min="14842" max="14842" width="9.125" style="1211" bestFit="1" customWidth="1"/>
    <col min="14843" max="14843" width="9.125" style="1211" customWidth="1"/>
    <col min="14844" max="14844" width="9.75" style="1211" customWidth="1"/>
    <col min="14845" max="14845" width="3.25" style="1211" customWidth="1"/>
    <col min="14846" max="14846" width="11.875" style="1211" customWidth="1"/>
    <col min="14847" max="14848" width="8.375" style="1211"/>
    <col min="14849" max="14849" width="10.625" style="1211" customWidth="1"/>
    <col min="14850" max="15096" width="8.375" style="1211"/>
    <col min="15097" max="15097" width="11.875" style="1211" customWidth="1"/>
    <col min="15098" max="15098" width="9.125" style="1211" bestFit="1" customWidth="1"/>
    <col min="15099" max="15099" width="9.125" style="1211" customWidth="1"/>
    <col min="15100" max="15100" width="9.75" style="1211" customWidth="1"/>
    <col min="15101" max="15101" width="3.25" style="1211" customWidth="1"/>
    <col min="15102" max="15102" width="11.875" style="1211" customWidth="1"/>
    <col min="15103" max="15104" width="8.375" style="1211"/>
    <col min="15105" max="15105" width="10.625" style="1211" customWidth="1"/>
    <col min="15106" max="15352" width="8.375" style="1211"/>
    <col min="15353" max="15353" width="11.875" style="1211" customWidth="1"/>
    <col min="15354" max="15354" width="9.125" style="1211" bestFit="1" customWidth="1"/>
    <col min="15355" max="15355" width="9.125" style="1211" customWidth="1"/>
    <col min="15356" max="15356" width="9.75" style="1211" customWidth="1"/>
    <col min="15357" max="15357" width="3.25" style="1211" customWidth="1"/>
    <col min="15358" max="15358" width="11.875" style="1211" customWidth="1"/>
    <col min="15359" max="15360" width="8.375" style="1211"/>
    <col min="15361" max="15361" width="10.625" style="1211" customWidth="1"/>
    <col min="15362" max="15608" width="8.375" style="1211"/>
    <col min="15609" max="15609" width="11.875" style="1211" customWidth="1"/>
    <col min="15610" max="15610" width="9.125" style="1211" bestFit="1" customWidth="1"/>
    <col min="15611" max="15611" width="9.125" style="1211" customWidth="1"/>
    <col min="15612" max="15612" width="9.75" style="1211" customWidth="1"/>
    <col min="15613" max="15613" width="3.25" style="1211" customWidth="1"/>
    <col min="15614" max="15614" width="11.875" style="1211" customWidth="1"/>
    <col min="15615" max="15616" width="8.375" style="1211"/>
    <col min="15617" max="15617" width="10.625" style="1211" customWidth="1"/>
    <col min="15618" max="15864" width="8.375" style="1211"/>
    <col min="15865" max="15865" width="11.875" style="1211" customWidth="1"/>
    <col min="15866" max="15866" width="9.125" style="1211" bestFit="1" customWidth="1"/>
    <col min="15867" max="15867" width="9.125" style="1211" customWidth="1"/>
    <col min="15868" max="15868" width="9.75" style="1211" customWidth="1"/>
    <col min="15869" max="15869" width="3.25" style="1211" customWidth="1"/>
    <col min="15870" max="15870" width="11.875" style="1211" customWidth="1"/>
    <col min="15871" max="15872" width="8.375" style="1211"/>
    <col min="15873" max="15873" width="10.625" style="1211" customWidth="1"/>
    <col min="15874" max="16120" width="8.375" style="1211"/>
    <col min="16121" max="16121" width="11.875" style="1211" customWidth="1"/>
    <col min="16122" max="16122" width="9.125" style="1211" bestFit="1" customWidth="1"/>
    <col min="16123" max="16123" width="9.125" style="1211" customWidth="1"/>
    <col min="16124" max="16124" width="9.75" style="1211" customWidth="1"/>
    <col min="16125" max="16125" width="3.25" style="1211" customWidth="1"/>
    <col min="16126" max="16126" width="11.875" style="1211" customWidth="1"/>
    <col min="16127" max="16128" width="8.375" style="1211"/>
    <col min="16129" max="16129" width="10.625" style="1211" customWidth="1"/>
    <col min="16130" max="16384" width="8.375" style="1211"/>
  </cols>
  <sheetData>
    <row r="1" spans="1:5">
      <c r="B1" s="15" t="s">
        <v>3208</v>
      </c>
    </row>
    <row r="2" spans="1:5">
      <c r="B2" s="2183"/>
      <c r="C2" s="2183"/>
      <c r="D2" s="2183"/>
    </row>
    <row r="3" spans="1:5">
      <c r="B3" s="2183"/>
      <c r="C3" s="2183"/>
      <c r="D3" s="2183"/>
    </row>
    <row r="4" spans="1:5">
      <c r="A4" s="1663" t="s">
        <v>3207</v>
      </c>
      <c r="B4" s="2183"/>
      <c r="C4" s="2183"/>
      <c r="D4" s="2183"/>
    </row>
    <row r="5" spans="1:5">
      <c r="A5" s="2226" t="s">
        <v>3209</v>
      </c>
      <c r="B5" s="2227"/>
      <c r="C5" s="2227"/>
      <c r="D5" s="2227"/>
      <c r="E5" s="2085" t="s">
        <v>3224</v>
      </c>
    </row>
    <row r="6" spans="1:5">
      <c r="A6" s="2182" t="s">
        <v>3210</v>
      </c>
    </row>
    <row r="7" spans="1:5">
      <c r="B7" s="1656"/>
      <c r="C7" s="1656"/>
      <c r="D7" s="1656" t="s">
        <v>3204</v>
      </c>
    </row>
    <row r="8" spans="1:5">
      <c r="B8" s="1656" t="s">
        <v>3205</v>
      </c>
      <c r="C8" s="1656" t="s">
        <v>3204</v>
      </c>
      <c r="D8" s="1656" t="s">
        <v>57</v>
      </c>
    </row>
    <row r="9" spans="1:5" s="2180" customFormat="1">
      <c r="A9" s="2180" t="s">
        <v>53</v>
      </c>
      <c r="B9" s="2181" t="s">
        <v>3203</v>
      </c>
      <c r="C9" s="2181" t="s">
        <v>695</v>
      </c>
      <c r="D9" s="2181" t="s">
        <v>695</v>
      </c>
    </row>
    <row r="10" spans="1:5" ht="18" customHeight="1">
      <c r="A10" s="1211" t="s">
        <v>3202</v>
      </c>
      <c r="B10" s="2177">
        <v>0.51500000000000001</v>
      </c>
      <c r="C10" s="2177">
        <v>4.8000000000000001E-2</v>
      </c>
      <c r="D10" s="2184">
        <f>B10*C10</f>
        <v>2.4720000000000002E-2</v>
      </c>
    </row>
    <row r="11" spans="1:5" hidden="1">
      <c r="A11" s="1211" t="s">
        <v>3201</v>
      </c>
      <c r="B11" s="2177">
        <v>0</v>
      </c>
      <c r="C11" s="2177">
        <v>0</v>
      </c>
      <c r="D11" s="2184">
        <f>B11*C11</f>
        <v>0</v>
      </c>
    </row>
    <row r="12" spans="1:5" ht="15" customHeight="1">
      <c r="A12" s="1211" t="s">
        <v>3201</v>
      </c>
      <c r="B12" s="2177">
        <v>0</v>
      </c>
      <c r="C12" s="2177">
        <v>0</v>
      </c>
      <c r="D12" s="2184">
        <f>B12*C12</f>
        <v>0</v>
      </c>
    </row>
    <row r="13" spans="1:5" ht="0.75" hidden="1" customHeight="1">
      <c r="A13" s="1211" t="s">
        <v>3199</v>
      </c>
      <c r="B13" s="2177">
        <v>0</v>
      </c>
      <c r="C13" s="2177">
        <v>0</v>
      </c>
      <c r="D13" s="2184">
        <f>B13*C13</f>
        <v>0</v>
      </c>
    </row>
    <row r="14" spans="1:5">
      <c r="A14" s="1211" t="s">
        <v>3198</v>
      </c>
      <c r="B14" s="2178">
        <v>0.48499999999999999</v>
      </c>
      <c r="C14" s="2177">
        <v>9.4E-2</v>
      </c>
      <c r="D14" s="2185">
        <f>B14*C14</f>
        <v>4.5589999999999999E-2</v>
      </c>
    </row>
    <row r="15" spans="1:5">
      <c r="A15" s="1211" t="s">
        <v>3197</v>
      </c>
      <c r="B15" s="2184">
        <f>SUM(B10:B14)</f>
        <v>1</v>
      </c>
      <c r="D15" s="2174">
        <f>SUM(D10:D14)</f>
        <v>7.0309999999999997E-2</v>
      </c>
    </row>
    <row r="16" spans="1:5">
      <c r="A16" s="2173"/>
      <c r="B16" s="2184"/>
      <c r="D16" s="2174"/>
    </row>
    <row r="17" spans="1:5" ht="16.5" thickBot="1">
      <c r="A17" s="2172"/>
      <c r="B17" s="2172"/>
      <c r="C17" s="2172" t="s">
        <v>3195</v>
      </c>
      <c r="D17" s="2172">
        <v>0.75529400000000002</v>
      </c>
    </row>
    <row r="18" spans="1:5">
      <c r="A18" s="2173"/>
    </row>
    <row r="20" spans="1:5">
      <c r="A20" s="1663" t="s">
        <v>3206</v>
      </c>
      <c r="B20" s="2183"/>
      <c r="C20" s="2183"/>
      <c r="D20" s="2183"/>
    </row>
    <row r="21" spans="1:5">
      <c r="A21" s="2226" t="s">
        <v>3211</v>
      </c>
      <c r="B21" s="2227"/>
      <c r="C21" s="2227"/>
      <c r="D21" s="2227"/>
      <c r="E21" s="2085"/>
    </row>
    <row r="22" spans="1:5">
      <c r="A22" s="2182" t="s">
        <v>3212</v>
      </c>
    </row>
    <row r="23" spans="1:5">
      <c r="B23" s="1656"/>
      <c r="C23" s="1656"/>
      <c r="D23" s="1656" t="s">
        <v>3204</v>
      </c>
    </row>
    <row r="24" spans="1:5">
      <c r="B24" s="1656" t="s">
        <v>3205</v>
      </c>
      <c r="C24" s="1656" t="s">
        <v>3204</v>
      </c>
      <c r="D24" s="1656" t="s">
        <v>57</v>
      </c>
    </row>
    <row r="25" spans="1:5" s="2180" customFormat="1">
      <c r="A25" s="2180" t="s">
        <v>53</v>
      </c>
      <c r="B25" s="2181" t="s">
        <v>3203</v>
      </c>
      <c r="C25" s="2181" t="s">
        <v>695</v>
      </c>
      <c r="D25" s="2181" t="s">
        <v>695</v>
      </c>
    </row>
    <row r="26" spans="1:5">
      <c r="A26" s="1211" t="s">
        <v>3202</v>
      </c>
      <c r="B26" s="2177">
        <v>0.5</v>
      </c>
      <c r="C26" s="2177">
        <v>4.9700000000000001E-2</v>
      </c>
      <c r="D26" s="2179">
        <f>B26*C26</f>
        <v>2.4850000000000001E-2</v>
      </c>
    </row>
    <row r="27" spans="1:5" ht="0.75" hidden="1" customHeight="1">
      <c r="A27" s="1211" t="s">
        <v>3201</v>
      </c>
      <c r="B27" s="2177">
        <v>0</v>
      </c>
      <c r="C27" s="2177">
        <v>0</v>
      </c>
      <c r="D27" s="2175">
        <f>B27*C27</f>
        <v>0</v>
      </c>
    </row>
    <row r="28" spans="1:5">
      <c r="A28" s="1211" t="s">
        <v>3200</v>
      </c>
      <c r="B28" s="2177"/>
      <c r="C28" s="2177"/>
      <c r="D28" s="2175">
        <f>B28*C28</f>
        <v>0</v>
      </c>
    </row>
    <row r="29" spans="1:5" hidden="1">
      <c r="A29" s="1211" t="s">
        <v>3199</v>
      </c>
      <c r="B29" s="2177"/>
      <c r="C29" s="2177"/>
      <c r="D29" s="2175">
        <f>B29*C29</f>
        <v>0</v>
      </c>
    </row>
    <row r="30" spans="1:5">
      <c r="A30" s="1211" t="s">
        <v>3198</v>
      </c>
      <c r="B30" s="2178">
        <v>0.5</v>
      </c>
      <c r="C30" s="2177">
        <v>9.4E-2</v>
      </c>
      <c r="D30" s="2176">
        <f>B30*C30</f>
        <v>4.7E-2</v>
      </c>
    </row>
    <row r="31" spans="1:5">
      <c r="A31" s="1211" t="s">
        <v>3197</v>
      </c>
      <c r="B31" s="2175">
        <f>SUM(B26:B30)</f>
        <v>1</v>
      </c>
      <c r="C31" s="2174"/>
      <c r="D31" s="2192">
        <f>SUM(D26:D30)</f>
        <v>7.1849999999999997E-2</v>
      </c>
    </row>
    <row r="32" spans="1:5">
      <c r="A32" s="2173" t="s">
        <v>3196</v>
      </c>
    </row>
    <row r="33" spans="1:4" ht="16.5" thickBot="1">
      <c r="A33" s="2172"/>
      <c r="B33" s="2172"/>
      <c r="C33" s="2172" t="s">
        <v>3195</v>
      </c>
      <c r="D33" s="2172">
        <v>0.78701600000000005</v>
      </c>
    </row>
  </sheetData>
  <pageMargins left="0.7" right="0.7" top="0.75" bottom="0.75" header="0.3" footer="0.3"/>
  <customProperties>
    <customPr name="xxe4aPID" r:id="rId1"/>
  </customPropertie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B0F0"/>
  </sheetPr>
  <dimension ref="A1:P113"/>
  <sheetViews>
    <sheetView topLeftCell="A22" zoomScale="110" zoomScaleNormal="110" zoomScaleSheetLayoutView="80" workbookViewId="0">
      <selection activeCell="H39" sqref="H39"/>
    </sheetView>
  </sheetViews>
  <sheetFormatPr defaultColWidth="9" defaultRowHeight="15.75"/>
  <cols>
    <col min="1" max="1" width="5.375" style="1" customWidth="1"/>
    <col min="2" max="2" width="47.375" style="1" customWidth="1"/>
    <col min="3" max="6" width="9.625" style="1" customWidth="1"/>
    <col min="7" max="7" width="14.75" style="68" customWidth="1"/>
    <col min="8" max="10" width="14.75" style="1" customWidth="1"/>
    <col min="11" max="11" width="2.625" style="1" customWidth="1"/>
    <col min="12" max="14" width="15.125" style="1" customWidth="1"/>
    <col min="15" max="15" width="14.375" style="1" bestFit="1" customWidth="1"/>
    <col min="16" max="16" width="12.625" style="1" customWidth="1"/>
    <col min="17" max="16384" width="9" style="1"/>
  </cols>
  <sheetData>
    <row r="1" spans="1:15" ht="19.5" thickTop="1">
      <c r="A1" s="2344" t="s">
        <v>54</v>
      </c>
      <c r="B1" s="2345"/>
      <c r="C1" s="2345"/>
      <c r="D1" s="2345"/>
      <c r="E1" s="2345"/>
      <c r="F1" s="2345"/>
      <c r="G1" s="2345"/>
      <c r="H1" s="2345"/>
      <c r="I1" s="2345"/>
      <c r="J1" s="2346"/>
      <c r="L1" s="1769"/>
      <c r="M1" s="1769"/>
      <c r="N1" s="1769"/>
      <c r="O1" s="1769"/>
    </row>
    <row r="2" spans="1:15">
      <c r="A2" s="2342" t="s">
        <v>56</v>
      </c>
      <c r="B2" s="2295"/>
      <c r="C2" s="2295"/>
      <c r="D2" s="2295"/>
      <c r="E2" s="2295"/>
      <c r="F2" s="2295"/>
      <c r="G2" s="2295"/>
      <c r="H2" s="2295"/>
      <c r="I2" s="2295"/>
      <c r="J2" s="2343"/>
      <c r="L2" s="1776"/>
      <c r="M2" s="1776"/>
      <c r="N2" s="1776"/>
      <c r="O2" s="1776"/>
    </row>
    <row r="3" spans="1:15">
      <c r="A3" s="2340" t="s">
        <v>723</v>
      </c>
      <c r="B3" s="2292"/>
      <c r="C3" s="2292"/>
      <c r="D3" s="2292"/>
      <c r="E3" s="2292"/>
      <c r="F3" s="2292"/>
      <c r="G3" s="2292"/>
      <c r="H3" s="2292"/>
      <c r="I3" s="2292"/>
      <c r="J3" s="2341"/>
      <c r="L3" s="1776"/>
      <c r="M3" s="1776"/>
      <c r="N3" s="1776"/>
      <c r="O3" s="1776"/>
    </row>
    <row r="4" spans="1:15" ht="10.5" customHeight="1" thickBot="1">
      <c r="A4" s="158"/>
      <c r="B4" s="2"/>
      <c r="C4" s="2"/>
      <c r="D4" s="2"/>
      <c r="E4" s="3"/>
      <c r="F4" s="3"/>
      <c r="G4" s="69"/>
      <c r="H4" s="5"/>
      <c r="I4" s="5"/>
      <c r="J4" s="159"/>
      <c r="L4" s="1776"/>
      <c r="M4" s="1776"/>
      <c r="N4" s="1776"/>
      <c r="O4" s="1776"/>
    </row>
    <row r="5" spans="1:15" s="1236" customFormat="1">
      <c r="A5" s="1238" t="s">
        <v>699</v>
      </c>
      <c r="D5" s="502" t="s">
        <v>576</v>
      </c>
      <c r="E5" s="2355" t="str">
        <f>'Sch 1- Rate Base '!$E$5</f>
        <v>Utility Name</v>
      </c>
      <c r="F5" s="2356"/>
      <c r="G5" s="2363"/>
      <c r="I5" s="1197" t="s">
        <v>721</v>
      </c>
      <c r="J5" s="159"/>
      <c r="L5" s="1817"/>
      <c r="M5" s="1817"/>
      <c r="N5" s="1817"/>
      <c r="O5" s="1817"/>
    </row>
    <row r="6" spans="1:15">
      <c r="A6" s="1327" t="s">
        <v>700</v>
      </c>
      <c r="B6" s="2"/>
      <c r="C6" s="2"/>
      <c r="D6" s="502" t="s">
        <v>578</v>
      </c>
      <c r="E6" s="2357">
        <f>'Sch 1- Rate Base '!$E$6</f>
        <v>2023</v>
      </c>
      <c r="F6" s="2358"/>
      <c r="G6" s="2364"/>
      <c r="H6" s="624"/>
      <c r="I6" s="1324" t="str">
        <f>'Sch 1- Rate Base '!I6</f>
        <v/>
      </c>
      <c r="J6" s="159"/>
      <c r="L6" s="1776"/>
      <c r="M6" s="1776"/>
      <c r="N6" s="1776"/>
      <c r="O6" s="1776"/>
    </row>
    <row r="7" spans="1:15" ht="16.5" thickBot="1">
      <c r="A7" s="158"/>
      <c r="B7" s="2"/>
      <c r="C7" s="2"/>
      <c r="D7" s="502" t="s">
        <v>579</v>
      </c>
      <c r="E7" s="2359">
        <f>'Sch 1- Rate Base '!$E$7</f>
        <v>45446</v>
      </c>
      <c r="F7" s="2361"/>
      <c r="G7" s="2362"/>
      <c r="H7" s="624"/>
      <c r="I7" s="1323" t="str">
        <f>'Sch 1- Rate Base '!I7</f>
        <v/>
      </c>
      <c r="J7" s="159"/>
      <c r="L7" s="1776"/>
      <c r="M7" s="1776"/>
      <c r="N7" s="1776"/>
      <c r="O7" s="1776"/>
    </row>
    <row r="8" spans="1:15" ht="9" customHeight="1">
      <c r="A8" s="158"/>
      <c r="B8" s="2"/>
      <c r="C8" s="2"/>
      <c r="D8" s="502"/>
      <c r="E8" s="180"/>
      <c r="F8" s="180"/>
      <c r="G8" s="180"/>
      <c r="H8" s="5"/>
      <c r="I8" s="5"/>
      <c r="J8" s="159"/>
      <c r="L8" s="1776"/>
      <c r="M8" s="1776"/>
      <c r="N8" s="1776"/>
      <c r="O8" s="1776"/>
    </row>
    <row r="9" spans="1:15">
      <c r="A9" s="332" t="s">
        <v>82</v>
      </c>
      <c r="B9" s="2"/>
      <c r="C9" s="2"/>
      <c r="D9" s="2"/>
      <c r="E9" s="3"/>
      <c r="F9" s="3"/>
      <c r="G9" s="69"/>
      <c r="H9" s="5"/>
      <c r="I9" s="5"/>
      <c r="J9" s="159"/>
      <c r="L9" s="1776"/>
      <c r="M9" s="1776"/>
      <c r="N9" s="1776"/>
      <c r="O9" s="1776"/>
    </row>
    <row r="10" spans="1:15" ht="18" customHeight="1" thickBot="1">
      <c r="A10" s="332"/>
      <c r="B10" s="2"/>
      <c r="C10" s="2"/>
      <c r="D10" s="2"/>
      <c r="E10" s="3"/>
      <c r="F10" s="3"/>
      <c r="G10" s="69"/>
      <c r="H10" s="5"/>
      <c r="I10" s="5"/>
      <c r="J10" s="159"/>
      <c r="L10" s="1776"/>
      <c r="M10" s="1776"/>
      <c r="N10" s="1776"/>
      <c r="O10" s="1776"/>
    </row>
    <row r="11" spans="1:15" ht="17.25" customHeight="1" thickTop="1" thickBot="1">
      <c r="A11" s="2381" t="s">
        <v>100</v>
      </c>
      <c r="B11" s="2382"/>
      <c r="C11" s="325" t="s">
        <v>323</v>
      </c>
      <c r="D11" s="325"/>
      <c r="E11" s="371" t="s">
        <v>354</v>
      </c>
      <c r="F11" s="372"/>
      <c r="G11" s="2386" t="s">
        <v>104</v>
      </c>
      <c r="H11" s="2379" t="s">
        <v>105</v>
      </c>
      <c r="I11" s="2379" t="s">
        <v>106</v>
      </c>
      <c r="J11" s="2389" t="s">
        <v>730</v>
      </c>
      <c r="L11" s="2373" t="s">
        <v>105</v>
      </c>
      <c r="M11" s="2373" t="s">
        <v>106</v>
      </c>
      <c r="N11" s="2376" t="s">
        <v>729</v>
      </c>
      <c r="O11" s="1776"/>
    </row>
    <row r="12" spans="1:15" ht="16.5" thickBot="1">
      <c r="A12" s="2383"/>
      <c r="B12" s="2288"/>
      <c r="C12" s="322" t="s">
        <v>272</v>
      </c>
      <c r="D12" s="322" t="s">
        <v>96</v>
      </c>
      <c r="E12" s="319" t="s">
        <v>454</v>
      </c>
      <c r="F12" s="320"/>
      <c r="G12" s="2387"/>
      <c r="H12" s="2290"/>
      <c r="I12" s="2290"/>
      <c r="J12" s="2390"/>
      <c r="L12" s="2374"/>
      <c r="M12" s="2374"/>
      <c r="N12" s="2377"/>
      <c r="O12" s="1776"/>
    </row>
    <row r="13" spans="1:15" ht="16.5" thickBot="1">
      <c r="A13" s="2384"/>
      <c r="B13" s="2385"/>
      <c r="C13" s="311" t="s">
        <v>273</v>
      </c>
      <c r="D13" s="311" t="s">
        <v>252</v>
      </c>
      <c r="E13" s="313" t="s">
        <v>352</v>
      </c>
      <c r="F13" s="313" t="s">
        <v>353</v>
      </c>
      <c r="G13" s="2388"/>
      <c r="H13" s="2380"/>
      <c r="I13" s="2380"/>
      <c r="J13" s="2391"/>
      <c r="L13" s="2375"/>
      <c r="M13" s="2375"/>
      <c r="N13" s="2378"/>
      <c r="O13" s="1776"/>
    </row>
    <row r="14" spans="1:15" ht="16.5" thickTop="1">
      <c r="A14" s="160" t="s">
        <v>460</v>
      </c>
      <c r="B14" s="32"/>
      <c r="C14" s="8"/>
      <c r="D14" s="8"/>
      <c r="E14" s="8"/>
      <c r="F14" s="8"/>
      <c r="G14" s="178"/>
      <c r="H14" s="23"/>
      <c r="I14" s="23"/>
      <c r="J14" s="179"/>
      <c r="L14" s="1776"/>
      <c r="M14" s="1776"/>
      <c r="N14" s="1776"/>
      <c r="O14" s="1776"/>
    </row>
    <row r="15" spans="1:15">
      <c r="A15" s="161"/>
      <c r="B15" s="73" t="s">
        <v>461</v>
      </c>
      <c r="C15" s="50"/>
      <c r="D15" s="50"/>
      <c r="E15" s="50"/>
      <c r="F15" s="50"/>
      <c r="G15" s="178"/>
      <c r="H15" s="23"/>
      <c r="I15" s="23"/>
      <c r="J15" s="179"/>
      <c r="L15" s="1776"/>
      <c r="M15" s="1776"/>
      <c r="N15" s="1776"/>
      <c r="O15" s="1776"/>
    </row>
    <row r="16" spans="1:15" ht="15" customHeight="1">
      <c r="A16" s="162"/>
      <c r="B16" s="47" t="s">
        <v>259</v>
      </c>
      <c r="C16" s="181" t="s">
        <v>72</v>
      </c>
      <c r="D16" s="181">
        <v>501</v>
      </c>
      <c r="E16" s="184" t="s">
        <v>397</v>
      </c>
      <c r="F16" s="184"/>
      <c r="G16" s="2236">
        <f>'320-323'!H6</f>
        <v>46052299</v>
      </c>
      <c r="H16" s="249">
        <f>VLOOKUP($E16,Ratio,2,FALSE)*$G16</f>
        <v>46052299</v>
      </c>
      <c r="I16" s="249">
        <f>VLOOKUP($E16,Ratio,3,FALSE)*$G16</f>
        <v>0</v>
      </c>
      <c r="J16" s="266">
        <f>VLOOKUP($E16,Ratio,4,FALSE)*$G16</f>
        <v>0</v>
      </c>
      <c r="L16" s="1776"/>
      <c r="M16" s="1776"/>
      <c r="N16" s="1776"/>
      <c r="O16" s="1776"/>
    </row>
    <row r="17" spans="1:16" ht="15" customHeight="1">
      <c r="A17" s="162"/>
      <c r="B17" s="47" t="s">
        <v>260</v>
      </c>
      <c r="C17" s="181" t="s">
        <v>72</v>
      </c>
      <c r="D17" s="181" t="s">
        <v>456</v>
      </c>
      <c r="E17" s="184" t="s">
        <v>397</v>
      </c>
      <c r="F17" s="184"/>
      <c r="G17" s="2236">
        <f>'320-323'!H14-G16</f>
        <v>12263177</v>
      </c>
      <c r="H17" s="249">
        <f>VLOOKUP($E17,Ratio,2,FALSE)*$G17</f>
        <v>12263177</v>
      </c>
      <c r="I17" s="249">
        <f>VLOOKUP($E17,Ratio,3,FALSE)*$G17</f>
        <v>0</v>
      </c>
      <c r="J17" s="266">
        <f>VLOOKUP($E17,Ratio,4,FALSE)*$G17</f>
        <v>0</v>
      </c>
      <c r="L17" s="2258"/>
      <c r="M17" s="1769"/>
      <c r="N17" s="1769"/>
      <c r="O17" s="2261"/>
      <c r="P17" s="1211"/>
    </row>
    <row r="18" spans="1:16" ht="15" customHeight="1">
      <c r="A18" s="162"/>
      <c r="B18" s="47" t="s">
        <v>261</v>
      </c>
      <c r="C18" s="181" t="s">
        <v>72</v>
      </c>
      <c r="D18" s="181" t="s">
        <v>262</v>
      </c>
      <c r="E18" s="184" t="s">
        <v>397</v>
      </c>
      <c r="F18" s="184"/>
      <c r="G18" s="2236">
        <f>'320-323'!H21</f>
        <v>10563065</v>
      </c>
      <c r="H18" s="249">
        <f>VLOOKUP($E18,Ratio,2,FALSE)*$G18</f>
        <v>10563065</v>
      </c>
      <c r="I18" s="249">
        <f>VLOOKUP($E18,Ratio,3,FALSE)*$G18</f>
        <v>0</v>
      </c>
      <c r="J18" s="266">
        <f>VLOOKUP($E18,Ratio,4,FALSE)*$G18</f>
        <v>0</v>
      </c>
      <c r="L18" s="2258"/>
      <c r="M18" s="1769"/>
      <c r="N18" s="1769"/>
    </row>
    <row r="19" spans="1:16">
      <c r="A19" s="162"/>
      <c r="B19" s="74" t="s">
        <v>462</v>
      </c>
      <c r="C19" s="50"/>
      <c r="D19" s="50"/>
      <c r="E19" s="48"/>
      <c r="F19" s="48"/>
      <c r="G19" s="1807"/>
      <c r="H19" s="476"/>
      <c r="I19" s="476"/>
      <c r="J19" s="477"/>
      <c r="L19" s="1769"/>
      <c r="M19" s="1769"/>
      <c r="N19" s="1769"/>
      <c r="O19" s="1769"/>
    </row>
    <row r="20" spans="1:16" ht="15" customHeight="1">
      <c r="A20" s="162"/>
      <c r="B20" s="47" t="s">
        <v>85</v>
      </c>
      <c r="C20" s="181" t="s">
        <v>72</v>
      </c>
      <c r="D20" s="181">
        <v>518</v>
      </c>
      <c r="E20" s="184" t="s">
        <v>397</v>
      </c>
      <c r="F20" s="184"/>
      <c r="G20" s="1796">
        <v>0</v>
      </c>
      <c r="H20" s="249">
        <f>VLOOKUP($E20,Ratio,2,FALSE)*$G20</f>
        <v>0</v>
      </c>
      <c r="I20" s="249">
        <f>VLOOKUP($E20,Ratio,3,FALSE)*$G20</f>
        <v>0</v>
      </c>
      <c r="J20" s="266">
        <f>VLOOKUP($E20,Ratio,4,FALSE)*$G20</f>
        <v>0</v>
      </c>
      <c r="L20" s="1769"/>
      <c r="M20" s="1769"/>
      <c r="N20" s="1769"/>
      <c r="O20" s="1769"/>
    </row>
    <row r="21" spans="1:16" ht="15" customHeight="1">
      <c r="A21" s="162"/>
      <c r="B21" s="49" t="s">
        <v>264</v>
      </c>
      <c r="C21" s="181" t="s">
        <v>72</v>
      </c>
      <c r="D21" s="181" t="s">
        <v>457</v>
      </c>
      <c r="E21" s="184" t="s">
        <v>397</v>
      </c>
      <c r="F21" s="184"/>
      <c r="G21" s="1796">
        <v>0</v>
      </c>
      <c r="H21" s="249">
        <f>VLOOKUP($E21,Ratio,2,FALSE)*$G21</f>
        <v>0</v>
      </c>
      <c r="I21" s="249">
        <f>VLOOKUP($E21,Ratio,3,FALSE)*$G21</f>
        <v>0</v>
      </c>
      <c r="J21" s="266">
        <f>VLOOKUP($E21,Ratio,4,FALSE)*$G21</f>
        <v>0</v>
      </c>
      <c r="L21" s="1769"/>
      <c r="M21" s="1769"/>
      <c r="N21" s="1769"/>
      <c r="O21" s="1769"/>
    </row>
    <row r="22" spans="1:16" ht="15" customHeight="1">
      <c r="A22" s="162"/>
      <c r="B22" s="46" t="s">
        <v>483</v>
      </c>
      <c r="C22" s="181" t="s">
        <v>72</v>
      </c>
      <c r="D22" s="181" t="s">
        <v>484</v>
      </c>
      <c r="E22" s="184" t="s">
        <v>397</v>
      </c>
      <c r="F22" s="184"/>
      <c r="G22" s="1796">
        <v>0</v>
      </c>
      <c r="H22" s="249">
        <f>VLOOKUP($E22,Ratio,2,FALSE)*$G22</f>
        <v>0</v>
      </c>
      <c r="I22" s="249">
        <f>VLOOKUP($E22,Ratio,3,FALSE)*$G22</f>
        <v>0</v>
      </c>
      <c r="J22" s="266">
        <f>VLOOKUP($E22,Ratio,4,FALSE)*$G22</f>
        <v>0</v>
      </c>
      <c r="L22" s="1769"/>
      <c r="M22" s="1769"/>
      <c r="N22" s="1769"/>
      <c r="O22" s="1769"/>
    </row>
    <row r="23" spans="1:16">
      <c r="A23" s="162"/>
      <c r="B23" s="74" t="s">
        <v>463</v>
      </c>
      <c r="C23" s="50"/>
      <c r="D23" s="50"/>
      <c r="E23" s="48"/>
      <c r="F23" s="48"/>
      <c r="G23" s="1807"/>
      <c r="H23" s="476"/>
      <c r="I23" s="476"/>
      <c r="J23" s="477"/>
      <c r="L23" s="1769"/>
      <c r="M23" s="1769"/>
      <c r="N23" s="1769"/>
      <c r="O23" s="1769"/>
    </row>
    <row r="24" spans="1:16" ht="15" customHeight="1">
      <c r="A24" s="162"/>
      <c r="B24" s="49" t="s">
        <v>86</v>
      </c>
      <c r="C24" s="181" t="s">
        <v>72</v>
      </c>
      <c r="D24" s="181" t="s">
        <v>214</v>
      </c>
      <c r="E24" s="184" t="s">
        <v>397</v>
      </c>
      <c r="F24" s="184"/>
      <c r="G24" s="2236">
        <f>'320-323'!H51</f>
        <v>29951984</v>
      </c>
      <c r="H24" s="249">
        <f>VLOOKUP($E24,Ratio,2,FALSE)*$G24</f>
        <v>29951984</v>
      </c>
      <c r="I24" s="249">
        <f>VLOOKUP($E24,Ratio,3,FALSE)*$G24</f>
        <v>0</v>
      </c>
      <c r="J24" s="266">
        <f>VLOOKUP($E24,Ratio,4,FALSE)*$G24</f>
        <v>0</v>
      </c>
      <c r="L24" s="1769"/>
      <c r="M24" s="1769"/>
      <c r="N24" s="1769"/>
      <c r="O24" s="1769"/>
    </row>
    <row r="25" spans="1:16" ht="15" customHeight="1">
      <c r="A25" s="162"/>
      <c r="B25" s="49" t="s">
        <v>87</v>
      </c>
      <c r="C25" s="181" t="s">
        <v>72</v>
      </c>
      <c r="D25" s="181" t="s">
        <v>215</v>
      </c>
      <c r="E25" s="184" t="s">
        <v>397</v>
      </c>
      <c r="F25" s="184"/>
      <c r="G25" s="2236">
        <f>'320-323'!H59</f>
        <v>5501093</v>
      </c>
      <c r="H25" s="249">
        <f>VLOOKUP($E25,Ratio,2,FALSE)*$G25</f>
        <v>5501093</v>
      </c>
      <c r="I25" s="249">
        <f>VLOOKUP($E25,Ratio,3,FALSE)*$G25</f>
        <v>0</v>
      </c>
      <c r="J25" s="266">
        <f>VLOOKUP($E25,Ratio,4,FALSE)*$G25</f>
        <v>0</v>
      </c>
      <c r="L25" s="1769"/>
      <c r="M25" s="1769"/>
      <c r="N25" s="1769"/>
      <c r="O25" s="1769"/>
    </row>
    <row r="26" spans="1:16">
      <c r="A26" s="162"/>
      <c r="B26" s="74" t="s">
        <v>464</v>
      </c>
      <c r="C26" s="50"/>
      <c r="D26" s="50"/>
      <c r="E26" s="48"/>
      <c r="F26" s="48"/>
      <c r="G26" s="1807"/>
      <c r="H26" s="476"/>
      <c r="I26" s="476"/>
      <c r="J26" s="477"/>
      <c r="L26" s="1769"/>
      <c r="M26" s="1769"/>
      <c r="N26" s="1769"/>
      <c r="O26" s="1769"/>
    </row>
    <row r="27" spans="1:16" ht="15" customHeight="1">
      <c r="A27" s="162"/>
      <c r="B27" s="47" t="s">
        <v>455</v>
      </c>
      <c r="C27" s="181" t="s">
        <v>72</v>
      </c>
      <c r="D27" s="181">
        <v>547</v>
      </c>
      <c r="E27" s="184" t="s">
        <v>397</v>
      </c>
      <c r="F27" s="184"/>
      <c r="G27" s="2236">
        <f>'320-323'!H64</f>
        <v>116227146</v>
      </c>
      <c r="H27" s="249">
        <f>VLOOKUP($E27,Ratio,2,FALSE)*$G27</f>
        <v>116227146</v>
      </c>
      <c r="I27" s="249">
        <f>VLOOKUP($E27,Ratio,3,FALSE)*$G27</f>
        <v>0</v>
      </c>
      <c r="J27" s="266">
        <f>VLOOKUP($E27,Ratio,4,FALSE)*$G27</f>
        <v>0</v>
      </c>
      <c r="K27"/>
      <c r="L27" s="1776"/>
      <c r="M27" s="1776"/>
      <c r="N27" s="1769"/>
      <c r="O27" s="1769"/>
    </row>
    <row r="28" spans="1:16" ht="15" customHeight="1">
      <c r="A28" s="162"/>
      <c r="B28" s="49" t="s">
        <v>263</v>
      </c>
      <c r="C28" s="181" t="s">
        <v>72</v>
      </c>
      <c r="D28" s="181" t="s">
        <v>216</v>
      </c>
      <c r="E28" s="184" t="s">
        <v>397</v>
      </c>
      <c r="F28" s="184"/>
      <c r="G28" s="2236">
        <f>'320-323'!H68-G27</f>
        <v>5842028</v>
      </c>
      <c r="H28" s="249">
        <f>VLOOKUP($E28,Ratio,2,FALSE)*$G28</f>
        <v>5842028</v>
      </c>
      <c r="I28" s="249">
        <f>VLOOKUP($E28,Ratio,3,FALSE)*$G28</f>
        <v>0</v>
      </c>
      <c r="J28" s="266">
        <f>VLOOKUP($E28,Ratio,4,FALSE)*$G28</f>
        <v>0</v>
      </c>
      <c r="K28"/>
      <c r="L28" s="1776"/>
      <c r="M28" s="1776"/>
      <c r="N28" s="1769"/>
      <c r="O28" s="1769"/>
    </row>
    <row r="29" spans="1:16" ht="15" customHeight="1">
      <c r="A29" s="162"/>
      <c r="B29" s="49" t="s">
        <v>265</v>
      </c>
      <c r="C29" s="181" t="s">
        <v>72</v>
      </c>
      <c r="D29" s="181" t="s">
        <v>217</v>
      </c>
      <c r="E29" s="184" t="s">
        <v>397</v>
      </c>
      <c r="F29" s="184"/>
      <c r="G29" s="2236">
        <f>'320-323'!H74</f>
        <v>3782274</v>
      </c>
      <c r="H29" s="249">
        <f>VLOOKUP($E29,Ratio,2,FALSE)*$G29</f>
        <v>3782274</v>
      </c>
      <c r="I29" s="249">
        <f>VLOOKUP($E29,Ratio,3,FALSE)*$G29</f>
        <v>0</v>
      </c>
      <c r="J29" s="266">
        <f>VLOOKUP($E29,Ratio,4,FALSE)*$G29</f>
        <v>0</v>
      </c>
      <c r="K29"/>
      <c r="L29" s="1776"/>
      <c r="M29" s="1776"/>
      <c r="N29" s="1769"/>
      <c r="O29" s="1769"/>
    </row>
    <row r="30" spans="1:16">
      <c r="A30" s="162"/>
      <c r="B30" s="74" t="s">
        <v>458</v>
      </c>
      <c r="C30" s="50"/>
      <c r="D30" s="50"/>
      <c r="E30" s="48"/>
      <c r="F30" s="48"/>
      <c r="G30" s="1807"/>
      <c r="H30" s="476"/>
      <c r="I30" s="476"/>
      <c r="J30" s="477"/>
      <c r="K30"/>
      <c r="L30" s="1776"/>
      <c r="M30" s="1776"/>
      <c r="N30" s="1769"/>
      <c r="O30" s="1769"/>
    </row>
    <row r="31" spans="1:16" ht="15" customHeight="1">
      <c r="A31" s="162"/>
      <c r="B31" s="47" t="s">
        <v>266</v>
      </c>
      <c r="C31" s="181" t="s">
        <v>72</v>
      </c>
      <c r="D31" s="181">
        <v>555</v>
      </c>
      <c r="E31" s="184" t="s">
        <v>397</v>
      </c>
      <c r="F31" s="184"/>
      <c r="G31" s="1214">
        <f>'3-YEAR PP &amp; OSS Worksheet'!D21</f>
        <v>216427715</v>
      </c>
      <c r="H31" s="1214">
        <f>VLOOKUP($E31,Ratio,2,FALSE)*$G31</f>
        <v>216427715</v>
      </c>
      <c r="I31" s="1214">
        <f>VLOOKUP($E31,Ratio,3,FALSE)*$G31</f>
        <v>0</v>
      </c>
      <c r="J31" s="1235">
        <f>VLOOKUP($E31,Ratio,4,FALSE)*$G31</f>
        <v>0</v>
      </c>
      <c r="L31" s="2258"/>
      <c r="M31" s="2212"/>
      <c r="N31" s="1769"/>
      <c r="O31" s="1769"/>
    </row>
    <row r="32" spans="1:16" ht="15" customHeight="1">
      <c r="A32" s="162"/>
      <c r="B32" s="49" t="s">
        <v>459</v>
      </c>
      <c r="C32" s="181" t="s">
        <v>72</v>
      </c>
      <c r="D32" s="181">
        <v>556</v>
      </c>
      <c r="E32" s="184" t="s">
        <v>397</v>
      </c>
      <c r="F32" s="184"/>
      <c r="G32" s="2236">
        <f>'320-323'!H79</f>
        <v>764664</v>
      </c>
      <c r="H32" s="249">
        <f>VLOOKUP($E32,Ratio,2,FALSE)*$G32</f>
        <v>764664</v>
      </c>
      <c r="I32" s="249">
        <f>VLOOKUP($E32,Ratio,3,FALSE)*$G32</f>
        <v>0</v>
      </c>
      <c r="J32" s="266">
        <f>VLOOKUP($E32,Ratio,4,FALSE)*$G32</f>
        <v>0</v>
      </c>
      <c r="L32" s="1769"/>
      <c r="M32" s="1769"/>
      <c r="N32" s="1769"/>
      <c r="O32" s="1769"/>
    </row>
    <row r="33" spans="1:15" ht="15" customHeight="1">
      <c r="A33" s="162"/>
      <c r="B33" s="49" t="s">
        <v>267</v>
      </c>
      <c r="C33" s="181" t="s">
        <v>72</v>
      </c>
      <c r="D33" s="181">
        <v>557</v>
      </c>
      <c r="E33" s="184" t="s">
        <v>397</v>
      </c>
      <c r="F33" s="184"/>
      <c r="G33" s="2236">
        <f>'320-323'!H80</f>
        <v>38247947</v>
      </c>
      <c r="H33" s="249">
        <f>VLOOKUP($E33,Ratio,2,FALSE)*$G33</f>
        <v>38247947</v>
      </c>
      <c r="I33" s="249">
        <f>VLOOKUP($E33,Ratio,3,FALSE)*$G33</f>
        <v>0</v>
      </c>
      <c r="J33" s="266">
        <f>VLOOKUP($E33,Ratio,4,FALSE)*$G33</f>
        <v>0</v>
      </c>
      <c r="L33" s="1769"/>
      <c r="M33" s="1769"/>
      <c r="N33" s="1769"/>
      <c r="O33" s="1769"/>
    </row>
    <row r="34" spans="1:15" ht="15" customHeight="1">
      <c r="A34" s="162"/>
      <c r="B34" s="47" t="s">
        <v>52</v>
      </c>
      <c r="C34" s="181" t="s">
        <v>199</v>
      </c>
      <c r="D34" s="181">
        <v>555</v>
      </c>
      <c r="E34" s="184" t="s">
        <v>397</v>
      </c>
      <c r="F34" s="184"/>
      <c r="G34" s="1796">
        <v>0</v>
      </c>
      <c r="H34" s="249">
        <f>VLOOKUP($E34,Ratio,2,FALSE)*$G34</f>
        <v>0</v>
      </c>
      <c r="I34" s="249">
        <f>VLOOKUP($E34,Ratio,3,FALSE)*$G34</f>
        <v>0</v>
      </c>
      <c r="J34" s="266">
        <f>VLOOKUP($E34,Ratio,4,FALSE)*$G34</f>
        <v>0</v>
      </c>
      <c r="L34" s="1769"/>
      <c r="M34" s="1769"/>
      <c r="N34" s="1769"/>
      <c r="O34" s="1769"/>
    </row>
    <row r="35" spans="1:15" ht="15" customHeight="1">
      <c r="A35" s="162"/>
      <c r="B35" s="49" t="s">
        <v>506</v>
      </c>
      <c r="C35" s="181"/>
      <c r="D35" s="184"/>
      <c r="E35" s="184" t="s">
        <v>90</v>
      </c>
      <c r="F35" s="1526" t="s">
        <v>395</v>
      </c>
      <c r="G35" s="1770"/>
      <c r="H35" s="249">
        <f>IF($E35="DIRECT",$L35,VLOOKUP($E35,Ratio,2,FALSE)*$G35)</f>
        <v>0</v>
      </c>
      <c r="I35" s="249">
        <f>IF($E35="DIRECT",$M35,VLOOKUP($E35,Ratio,3,FALSE)*$G35)</f>
        <v>0</v>
      </c>
      <c r="J35" s="266">
        <f>IF($E35="DIRECT",$N35,VLOOKUP($E35,Ratio,4,FALSE)*$G35)</f>
        <v>0</v>
      </c>
      <c r="L35" s="1796"/>
      <c r="M35" s="1770"/>
      <c r="N35" s="1770"/>
      <c r="O35" s="1769"/>
    </row>
    <row r="36" spans="1:15">
      <c r="A36" s="163" t="s">
        <v>485</v>
      </c>
      <c r="B36" s="46"/>
      <c r="C36" s="473"/>
      <c r="D36" s="473"/>
      <c r="E36" s="1820"/>
      <c r="F36" s="1820"/>
      <c r="G36" s="1808">
        <f>SUM(G16:G35)</f>
        <v>485623392</v>
      </c>
      <c r="H36" s="474">
        <f>SUM(H16:H35)</f>
        <v>485623392</v>
      </c>
      <c r="I36" s="482">
        <f>SUM(I16:I35)</f>
        <v>0</v>
      </c>
      <c r="J36" s="475">
        <f>SUM(J16:J35)</f>
        <v>0</v>
      </c>
      <c r="L36" s="1769"/>
      <c r="M36" s="1769"/>
      <c r="N36" s="1769"/>
      <c r="O36" s="1769"/>
    </row>
    <row r="37" spans="1:15" ht="15" customHeight="1">
      <c r="A37" s="164"/>
      <c r="B37" s="46"/>
      <c r="C37" s="50"/>
      <c r="D37" s="50"/>
      <c r="E37" s="46"/>
      <c r="F37" s="46"/>
      <c r="G37" s="377"/>
      <c r="H37" s="142"/>
      <c r="I37" s="142"/>
      <c r="J37" s="252"/>
      <c r="L37" s="1818"/>
      <c r="M37" s="1769"/>
      <c r="N37" s="1769"/>
      <c r="O37" s="1769"/>
    </row>
    <row r="38" spans="1:15">
      <c r="A38" s="160" t="s">
        <v>505</v>
      </c>
      <c r="B38" s="46"/>
      <c r="C38" s="50"/>
      <c r="D38" s="48"/>
      <c r="E38" s="46"/>
      <c r="F38" s="46"/>
      <c r="G38" s="377"/>
      <c r="H38" s="142"/>
      <c r="I38" s="142"/>
      <c r="J38" s="252"/>
      <c r="L38" s="1818"/>
      <c r="M38" s="1769"/>
      <c r="N38" s="1769"/>
      <c r="O38" s="1769"/>
    </row>
    <row r="39" spans="1:15" ht="15" customHeight="1">
      <c r="A39" s="162"/>
      <c r="B39" s="49" t="s">
        <v>402</v>
      </c>
      <c r="C39" s="181" t="s">
        <v>72</v>
      </c>
      <c r="D39" s="184" t="s">
        <v>486</v>
      </c>
      <c r="E39" s="184" t="s">
        <v>3228</v>
      </c>
      <c r="F39" s="184"/>
      <c r="G39" s="2236">
        <f>'320-323'!H98</f>
        <v>19063436</v>
      </c>
      <c r="H39" s="249">
        <f>VLOOKUP($E39,Ratio,2,FALSE)*$G39</f>
        <v>19063436</v>
      </c>
      <c r="I39" s="249">
        <f>VLOOKUP($E39,Ratio,3,FALSE)*$G39</f>
        <v>0</v>
      </c>
      <c r="J39" s="266">
        <f>VLOOKUP($E39,Ratio,4,FALSE)*$G39</f>
        <v>0</v>
      </c>
      <c r="L39" s="1769"/>
      <c r="M39" s="1769"/>
      <c r="N39" s="1769"/>
      <c r="O39" s="1769"/>
    </row>
    <row r="40" spans="1:15" ht="15" customHeight="1">
      <c r="A40" s="162"/>
      <c r="B40" s="49" t="s">
        <v>465</v>
      </c>
      <c r="C40" s="181" t="s">
        <v>72</v>
      </c>
      <c r="D40" s="184" t="s">
        <v>212</v>
      </c>
      <c r="E40" s="184" t="s">
        <v>396</v>
      </c>
      <c r="F40" s="184"/>
      <c r="G40" s="2236">
        <f>'320-323'!H101-G39</f>
        <v>10227273</v>
      </c>
      <c r="H40" s="249">
        <f>VLOOKUP($E40,Ratio,2,FALSE)*$G40</f>
        <v>0</v>
      </c>
      <c r="I40" s="249">
        <f>VLOOKUP($E40,Ratio,3,FALSE)*$G40</f>
        <v>0</v>
      </c>
      <c r="J40" s="266">
        <f>VLOOKUP($E40,Ratio,4,FALSE)*$G40</f>
        <v>10227273</v>
      </c>
      <c r="L40" s="1769"/>
      <c r="M40" s="1769"/>
      <c r="N40" s="1769"/>
      <c r="O40" s="1769"/>
    </row>
    <row r="41" spans="1:15" ht="15" customHeight="1">
      <c r="A41" s="162"/>
      <c r="B41" s="49" t="s">
        <v>466</v>
      </c>
      <c r="C41" s="181" t="s">
        <v>72</v>
      </c>
      <c r="D41" s="184" t="s">
        <v>213</v>
      </c>
      <c r="E41" s="184" t="s">
        <v>396</v>
      </c>
      <c r="F41" s="184"/>
      <c r="G41" s="2236">
        <f>'320-323'!H113</f>
        <v>4374909</v>
      </c>
      <c r="H41" s="249">
        <f>VLOOKUP($E41,Ratio,2,FALSE)*$G41</f>
        <v>0</v>
      </c>
      <c r="I41" s="249">
        <f>VLOOKUP($E41,Ratio,3,FALSE)*$G41</f>
        <v>0</v>
      </c>
      <c r="J41" s="266">
        <f>VLOOKUP($E41,Ratio,4,FALSE)*$G41</f>
        <v>4374909</v>
      </c>
      <c r="L41" s="1769"/>
      <c r="M41" s="1769"/>
      <c r="N41" s="1769"/>
      <c r="O41" s="1769"/>
    </row>
    <row r="42" spans="1:15">
      <c r="A42" s="163" t="s">
        <v>487</v>
      </c>
      <c r="B42" s="46"/>
      <c r="C42" s="473"/>
      <c r="D42" s="473"/>
      <c r="E42" s="1820"/>
      <c r="F42" s="1820"/>
      <c r="G42" s="1794">
        <f>SUM(G39:G41)</f>
        <v>33665618</v>
      </c>
      <c r="H42" s="474">
        <f>SUM(H39:H41)</f>
        <v>19063436</v>
      </c>
      <c r="I42" s="474">
        <f>SUM(I39:I41)</f>
        <v>0</v>
      </c>
      <c r="J42" s="475">
        <f>SUM(J39:J41)</f>
        <v>14602182</v>
      </c>
      <c r="L42" s="1769"/>
      <c r="M42" s="1769"/>
      <c r="N42" s="1769"/>
      <c r="O42" s="1769"/>
    </row>
    <row r="43" spans="1:15" ht="16.5" thickBot="1">
      <c r="A43" s="187"/>
      <c r="B43" s="188"/>
      <c r="C43" s="189"/>
      <c r="D43" s="189"/>
      <c r="E43" s="188"/>
      <c r="F43" s="188"/>
      <c r="G43" s="1798"/>
      <c r="H43" s="380"/>
      <c r="I43" s="380"/>
      <c r="J43" s="472"/>
      <c r="L43" s="1769"/>
      <c r="M43" s="1769"/>
      <c r="N43" s="1769"/>
      <c r="O43" s="1769"/>
    </row>
    <row r="44" spans="1:15" ht="15" customHeight="1" thickTop="1">
      <c r="A44" s="160" t="s">
        <v>488</v>
      </c>
      <c r="B44" s="46"/>
      <c r="C44" s="50"/>
      <c r="D44" s="48"/>
      <c r="E44" s="46"/>
      <c r="F44" s="46"/>
      <c r="G44" s="377"/>
      <c r="H44" s="142"/>
      <c r="I44" s="142"/>
      <c r="J44" s="252"/>
      <c r="L44" s="1769"/>
      <c r="M44" s="1769"/>
      <c r="N44" s="1769"/>
      <c r="O44" s="1769"/>
    </row>
    <row r="45" spans="1:15" ht="15" customHeight="1">
      <c r="A45" s="162"/>
      <c r="B45" s="49" t="s">
        <v>467</v>
      </c>
      <c r="C45" s="181" t="s">
        <v>72</v>
      </c>
      <c r="D45" s="184" t="s">
        <v>489</v>
      </c>
      <c r="E45" s="184" t="s">
        <v>395</v>
      </c>
      <c r="F45" s="184"/>
      <c r="G45" s="2236">
        <f>'320-323'!H146</f>
        <v>23429072</v>
      </c>
      <c r="H45" s="249">
        <f>VLOOKUP($E45,Ratio,2,FALSE)*$G45</f>
        <v>0</v>
      </c>
      <c r="I45" s="249">
        <f>VLOOKUP($E45,Ratio,3,FALSE)*$G45</f>
        <v>0</v>
      </c>
      <c r="J45" s="266">
        <f>VLOOKUP($E45,Ratio,4,FALSE)*$G45</f>
        <v>23429072</v>
      </c>
      <c r="L45" s="1769"/>
      <c r="M45" s="1769"/>
      <c r="N45" s="1769"/>
      <c r="O45" s="1769"/>
    </row>
    <row r="46" spans="1:15" ht="15" customHeight="1">
      <c r="A46" s="162"/>
      <c r="B46" s="49" t="s">
        <v>466</v>
      </c>
      <c r="C46" s="181" t="s">
        <v>72</v>
      </c>
      <c r="D46" s="184" t="s">
        <v>490</v>
      </c>
      <c r="E46" s="184" t="s">
        <v>395</v>
      </c>
      <c r="F46" s="184"/>
      <c r="G46" s="2236">
        <f>'320-323'!H157</f>
        <v>32595713.199999999</v>
      </c>
      <c r="H46" s="249">
        <f>VLOOKUP($E46,Ratio,2,FALSE)*$G46</f>
        <v>0</v>
      </c>
      <c r="I46" s="249">
        <f>VLOOKUP($E46,Ratio,3,FALSE)*$G46</f>
        <v>0</v>
      </c>
      <c r="J46" s="266">
        <f>VLOOKUP($E46,Ratio,4,FALSE)*$G46</f>
        <v>32595713.199999999</v>
      </c>
      <c r="L46" s="1769"/>
      <c r="M46" s="1769"/>
      <c r="N46" s="1769"/>
      <c r="O46" s="1769"/>
    </row>
    <row r="47" spans="1:15" ht="15" customHeight="1">
      <c r="A47" s="163" t="s">
        <v>491</v>
      </c>
      <c r="B47" s="46"/>
      <c r="C47" s="473"/>
      <c r="D47" s="473"/>
      <c r="E47" s="1820"/>
      <c r="F47" s="1820"/>
      <c r="G47" s="1794">
        <f>SUM(G45:G46)</f>
        <v>56024785.200000003</v>
      </c>
      <c r="H47" s="474">
        <f>SUM(H45:H46)</f>
        <v>0</v>
      </c>
      <c r="I47" s="474">
        <f>SUM(I45:I46)</f>
        <v>0</v>
      </c>
      <c r="J47" s="475">
        <f>SUM(J45:J46)</f>
        <v>56024785.200000003</v>
      </c>
      <c r="L47" s="1769"/>
      <c r="M47" s="1769"/>
      <c r="N47" s="1769"/>
      <c r="O47" s="1769"/>
    </row>
    <row r="48" spans="1:15" ht="9.9499999999999993" customHeight="1">
      <c r="A48" s="165"/>
      <c r="B48" s="46"/>
      <c r="C48" s="50"/>
      <c r="D48" s="50"/>
      <c r="E48" s="48"/>
      <c r="F48" s="48"/>
      <c r="G48" s="1797"/>
      <c r="H48" s="67"/>
      <c r="I48" s="67"/>
      <c r="J48" s="226"/>
      <c r="L48" s="1769"/>
      <c r="M48" s="1769"/>
      <c r="N48" s="1769"/>
      <c r="O48" s="1769"/>
    </row>
    <row r="49" spans="1:15" ht="15" customHeight="1">
      <c r="A49" s="160" t="s">
        <v>492</v>
      </c>
      <c r="B49" s="46"/>
      <c r="C49" s="50"/>
      <c r="D49" s="50"/>
      <c r="E49" s="48"/>
      <c r="F49" s="48"/>
      <c r="G49" s="1797"/>
      <c r="H49" s="67"/>
      <c r="I49" s="67"/>
      <c r="J49" s="226"/>
      <c r="L49" s="1769"/>
      <c r="M49" s="1769"/>
      <c r="N49" s="1769"/>
      <c r="O49" s="1769"/>
    </row>
    <row r="50" spans="1:15" ht="15" customHeight="1">
      <c r="A50" s="162"/>
      <c r="B50" s="49" t="s">
        <v>468</v>
      </c>
      <c r="C50" s="181" t="s">
        <v>72</v>
      </c>
      <c r="D50" s="181" t="s">
        <v>493</v>
      </c>
      <c r="E50" s="184" t="s">
        <v>395</v>
      </c>
      <c r="F50" s="184"/>
      <c r="G50" s="2236">
        <f>'320-323'!H166</f>
        <v>10411205</v>
      </c>
      <c r="H50" s="249">
        <f>VLOOKUP($E50,Ratio,2,FALSE)*$G50</f>
        <v>0</v>
      </c>
      <c r="I50" s="249">
        <f>VLOOKUP($E50,Ratio,3,FALSE)*$G50</f>
        <v>0</v>
      </c>
      <c r="J50" s="266">
        <f>VLOOKUP($E50,Ratio,4,FALSE)*$G50</f>
        <v>10411205</v>
      </c>
      <c r="L50" s="2258"/>
      <c r="M50" s="2212"/>
      <c r="N50" s="1769"/>
      <c r="O50" s="1769"/>
    </row>
    <row r="51" spans="1:15" ht="15" customHeight="1">
      <c r="A51" s="162"/>
      <c r="B51" s="49" t="s">
        <v>172</v>
      </c>
      <c r="C51" s="181" t="s">
        <v>72</v>
      </c>
      <c r="D51" s="181" t="s">
        <v>398</v>
      </c>
      <c r="E51" s="184" t="s">
        <v>395</v>
      </c>
      <c r="F51" s="1821"/>
      <c r="G51" s="2236">
        <f>'320-323'!H169</f>
        <v>0</v>
      </c>
      <c r="H51" s="249">
        <f>VLOOKUP($E51,Ratio,2,FALSE)*$G51</f>
        <v>0</v>
      </c>
      <c r="I51" s="249">
        <f>VLOOKUP($E51,Ratio,3,FALSE)*$G51</f>
        <v>0</v>
      </c>
      <c r="J51" s="266">
        <f>VLOOKUP($E51,Ratio,4,FALSE)*$G51</f>
        <v>0</v>
      </c>
      <c r="L51" s="1769"/>
      <c r="M51" s="1769"/>
      <c r="N51" s="1769"/>
      <c r="O51" s="1769"/>
    </row>
    <row r="52" spans="1:15" ht="15" customHeight="1">
      <c r="A52" s="1986"/>
      <c r="B52" s="2259" t="s">
        <v>583</v>
      </c>
      <c r="C52" s="1631" t="s">
        <v>72</v>
      </c>
      <c r="D52" s="1631">
        <v>908</v>
      </c>
      <c r="E52" s="1630" t="s">
        <v>2189</v>
      </c>
      <c r="F52" s="1630" t="s">
        <v>90</v>
      </c>
      <c r="G52" s="2235">
        <f>'320-323'!H170</f>
        <v>31870071.329999998</v>
      </c>
      <c r="H52" s="249"/>
      <c r="I52" s="249">
        <f>IF($E52="DIRECT",$M52,VLOOKUP($E52,Ratio,3,FALSE)*$G52)</f>
        <v>0</v>
      </c>
      <c r="J52" s="266">
        <f>G52</f>
        <v>31870071.329999998</v>
      </c>
      <c r="L52" s="1819"/>
      <c r="M52" s="1819"/>
      <c r="N52" s="1819"/>
      <c r="O52" s="2116"/>
    </row>
    <row r="53" spans="1:15" ht="15" customHeight="1">
      <c r="A53" s="162"/>
      <c r="B53" s="1527" t="s">
        <v>172</v>
      </c>
      <c r="C53" s="1528" t="s">
        <v>72</v>
      </c>
      <c r="D53" s="1631" t="s">
        <v>399</v>
      </c>
      <c r="E53" s="1630" t="s">
        <v>395</v>
      </c>
      <c r="F53" s="1630" t="s">
        <v>90</v>
      </c>
      <c r="G53" s="2235">
        <f>'320-323'!H171+'320-323'!H172</f>
        <v>1095949.52</v>
      </c>
      <c r="H53" s="1530">
        <f>IF($E53="DIRECT",$L53,VLOOKUP($E53,Ratio,2,FALSE)*$G53)</f>
        <v>0</v>
      </c>
      <c r="I53" s="1530">
        <f>IF($E53="DIRECT",$M53,VLOOKUP($E53,Ratio,3,FALSE)*$G53)</f>
        <v>0</v>
      </c>
      <c r="J53" s="1531">
        <f>IF($E53="DIRECT",$N53,VLOOKUP($E53,Ratio,4,FALSE)*$G53)</f>
        <v>1095949.52</v>
      </c>
      <c r="L53" s="1819"/>
      <c r="M53" s="1819"/>
      <c r="N53" s="1819"/>
      <c r="O53" s="1769"/>
    </row>
    <row r="54" spans="1:15" ht="15" customHeight="1">
      <c r="A54" s="162"/>
      <c r="B54" s="49" t="s">
        <v>400</v>
      </c>
      <c r="C54" s="181" t="s">
        <v>72</v>
      </c>
      <c r="D54" s="181" t="s">
        <v>401</v>
      </c>
      <c r="E54" s="184" t="s">
        <v>395</v>
      </c>
      <c r="F54" s="184"/>
      <c r="G54" s="2236">
        <f>'320-323'!H180</f>
        <v>43646</v>
      </c>
      <c r="H54" s="249">
        <f>VLOOKUP($E54,Ratio,2,FALSE)*$G54</f>
        <v>0</v>
      </c>
      <c r="I54" s="249">
        <f>VLOOKUP($E54,Ratio,3,FALSE)*$G54</f>
        <v>0</v>
      </c>
      <c r="J54" s="266">
        <f>VLOOKUP($E54,Ratio,4,FALSE)*$G54</f>
        <v>43646</v>
      </c>
      <c r="L54" s="2212"/>
      <c r="M54" s="1769"/>
      <c r="N54" s="1769"/>
      <c r="O54" s="1769"/>
    </row>
    <row r="55" spans="1:15" ht="15" customHeight="1">
      <c r="A55" s="163" t="s">
        <v>494</v>
      </c>
      <c r="B55" s="46"/>
      <c r="C55" s="473"/>
      <c r="D55" s="473"/>
      <c r="E55" s="1820"/>
      <c r="F55" s="1820"/>
      <c r="G55" s="1794">
        <f>SUM(G50:G54)</f>
        <v>43420871.850000001</v>
      </c>
      <c r="H55" s="474">
        <f>SUM(H50:H54)</f>
        <v>0</v>
      </c>
      <c r="I55" s="474">
        <f>SUM(I50:I54)</f>
        <v>0</v>
      </c>
      <c r="J55" s="475">
        <f>SUM(J50:J54)</f>
        <v>43420871.850000001</v>
      </c>
      <c r="L55" s="1769"/>
      <c r="M55" s="1769"/>
      <c r="N55" s="1769"/>
      <c r="O55" s="1769"/>
    </row>
    <row r="56" spans="1:15" ht="9.9499999999999993" customHeight="1">
      <c r="A56" s="164"/>
      <c r="B56" s="46"/>
      <c r="C56" s="50"/>
      <c r="D56" s="48"/>
      <c r="E56" s="48"/>
      <c r="F56" s="48"/>
      <c r="G56" s="1797"/>
      <c r="H56" s="67"/>
      <c r="I56" s="67"/>
      <c r="J56" s="226"/>
      <c r="L56" s="1769"/>
      <c r="M56" s="1769"/>
      <c r="N56" s="1769"/>
      <c r="O56" s="1769"/>
    </row>
    <row r="57" spans="1:15" ht="15" customHeight="1">
      <c r="A57" s="160" t="s">
        <v>495</v>
      </c>
      <c r="B57" s="46"/>
      <c r="C57" s="50"/>
      <c r="D57" s="48"/>
      <c r="E57" s="46"/>
      <c r="F57" s="46"/>
      <c r="G57" s="377"/>
      <c r="H57" s="142"/>
      <c r="I57" s="142"/>
      <c r="J57" s="252"/>
      <c r="L57" s="1769"/>
      <c r="M57" s="1769"/>
      <c r="N57" s="1769"/>
      <c r="O57" s="1769"/>
    </row>
    <row r="58" spans="1:15" ht="15" customHeight="1">
      <c r="A58" s="166"/>
      <c r="B58" s="74" t="s">
        <v>441</v>
      </c>
      <c r="C58" s="50"/>
      <c r="D58" s="48"/>
      <c r="E58" s="46"/>
      <c r="F58" s="46"/>
      <c r="G58" s="377"/>
      <c r="H58" s="142"/>
      <c r="I58" s="142"/>
      <c r="J58" s="252"/>
      <c r="L58" s="1769"/>
      <c r="M58" s="1769"/>
      <c r="N58" s="1769"/>
      <c r="O58" s="1769"/>
    </row>
    <row r="59" spans="1:15" ht="15" customHeight="1">
      <c r="A59" s="162"/>
      <c r="B59" s="49" t="s">
        <v>163</v>
      </c>
      <c r="C59" s="181" t="s">
        <v>72</v>
      </c>
      <c r="D59" s="181">
        <v>920</v>
      </c>
      <c r="E59" s="184" t="s">
        <v>95</v>
      </c>
      <c r="F59" s="184"/>
      <c r="G59" s="2236">
        <f>'320-323'!H183</f>
        <v>32491999.100000001</v>
      </c>
      <c r="H59" s="249">
        <f t="shared" ref="H59:H72" si="0">VLOOKUP($E59,Ratio,2,FALSE)*$G59</f>
        <v>11894366.986961963</v>
      </c>
      <c r="I59" s="249">
        <f t="shared" ref="I59:I72" si="1">VLOOKUP($E59,Ratio,3,FALSE)*$G59</f>
        <v>0</v>
      </c>
      <c r="J59" s="266">
        <f t="shared" ref="J59:J72" si="2">VLOOKUP($E59,Ratio,4,FALSE)*$G59</f>
        <v>20597632.113038037</v>
      </c>
      <c r="L59" s="1769"/>
      <c r="M59" s="1769"/>
      <c r="N59" s="1769"/>
      <c r="O59" s="1769"/>
    </row>
    <row r="60" spans="1:15" ht="15" customHeight="1">
      <c r="A60" s="162"/>
      <c r="B60" s="49" t="s">
        <v>164</v>
      </c>
      <c r="C60" s="181" t="s">
        <v>72</v>
      </c>
      <c r="D60" s="181">
        <v>921</v>
      </c>
      <c r="E60" s="184" t="s">
        <v>95</v>
      </c>
      <c r="F60" s="184"/>
      <c r="G60" s="2236">
        <f>'320-323'!H184</f>
        <v>3924957.88</v>
      </c>
      <c r="H60" s="249">
        <f t="shared" si="0"/>
        <v>1436811.8529551544</v>
      </c>
      <c r="I60" s="249">
        <f t="shared" si="1"/>
        <v>0</v>
      </c>
      <c r="J60" s="266">
        <f t="shared" si="2"/>
        <v>2488146.0270448453</v>
      </c>
      <c r="L60" s="1769"/>
      <c r="M60" s="1769"/>
      <c r="N60" s="1769"/>
      <c r="O60" s="1769"/>
    </row>
    <row r="61" spans="1:15" ht="15" customHeight="1">
      <c r="A61" s="162"/>
      <c r="B61" s="49" t="s">
        <v>165</v>
      </c>
      <c r="C61" s="181" t="s">
        <v>72</v>
      </c>
      <c r="D61" s="181">
        <v>922</v>
      </c>
      <c r="E61" s="184" t="s">
        <v>95</v>
      </c>
      <c r="F61" s="184"/>
      <c r="G61" s="2236">
        <f>'320-323'!H185*-1</f>
        <v>114021.94</v>
      </c>
      <c r="H61" s="249">
        <f t="shared" si="0"/>
        <v>41740.084836003756</v>
      </c>
      <c r="I61" s="249">
        <f t="shared" si="1"/>
        <v>0</v>
      </c>
      <c r="J61" s="266">
        <f t="shared" si="2"/>
        <v>72281.855163996253</v>
      </c>
      <c r="L61" s="1769"/>
      <c r="M61" s="1769"/>
      <c r="N61" s="1769"/>
      <c r="O61" s="1769"/>
    </row>
    <row r="62" spans="1:15" ht="15" customHeight="1">
      <c r="A62" s="162"/>
      <c r="B62" s="49" t="s">
        <v>166</v>
      </c>
      <c r="C62" s="181" t="s">
        <v>72</v>
      </c>
      <c r="D62" s="181">
        <v>923</v>
      </c>
      <c r="E62" s="184" t="s">
        <v>95</v>
      </c>
      <c r="F62" s="184"/>
      <c r="G62" s="2236">
        <f>'320-323'!H186</f>
        <v>14933868.609999999</v>
      </c>
      <c r="H62" s="249">
        <f t="shared" si="0"/>
        <v>5466850.8772183098</v>
      </c>
      <c r="I62" s="249">
        <f t="shared" si="1"/>
        <v>0</v>
      </c>
      <c r="J62" s="266">
        <f t="shared" si="2"/>
        <v>9467017.7327816896</v>
      </c>
      <c r="L62" s="1769"/>
      <c r="M62" s="1769"/>
      <c r="N62" s="1769"/>
      <c r="O62" s="1769"/>
    </row>
    <row r="63" spans="1:15" ht="15" customHeight="1">
      <c r="A63" s="162"/>
      <c r="B63" s="49" t="s">
        <v>167</v>
      </c>
      <c r="C63" s="181" t="s">
        <v>72</v>
      </c>
      <c r="D63" s="181">
        <v>924</v>
      </c>
      <c r="E63" s="184" t="s">
        <v>108</v>
      </c>
      <c r="F63" s="184"/>
      <c r="G63" s="2236">
        <f>'320-323'!H187</f>
        <v>2806700.76</v>
      </c>
      <c r="H63" s="249">
        <f t="shared" si="0"/>
        <v>893155.9014630107</v>
      </c>
      <c r="I63" s="249">
        <f t="shared" si="1"/>
        <v>0</v>
      </c>
      <c r="J63" s="266">
        <f t="shared" si="2"/>
        <v>1913544.8582485989</v>
      </c>
      <c r="L63" s="1769"/>
      <c r="M63" s="1769"/>
      <c r="N63" s="1769"/>
      <c r="O63" s="1769"/>
    </row>
    <row r="64" spans="1:15" ht="15" customHeight="1">
      <c r="A64" s="162"/>
      <c r="B64" s="49" t="s">
        <v>469</v>
      </c>
      <c r="C64" s="181" t="s">
        <v>72</v>
      </c>
      <c r="D64" s="181">
        <v>925</v>
      </c>
      <c r="E64" s="184" t="s">
        <v>3229</v>
      </c>
      <c r="F64" s="184"/>
      <c r="G64" s="2236">
        <f>'320-323'!H188</f>
        <v>10784298.52</v>
      </c>
      <c r="H64" s="249">
        <f t="shared" si="0"/>
        <v>3947815.0882329289</v>
      </c>
      <c r="I64" s="249">
        <f t="shared" si="1"/>
        <v>0</v>
      </c>
      <c r="J64" s="266">
        <f t="shared" si="2"/>
        <v>6836483.4317670707</v>
      </c>
      <c r="L64" s="1769"/>
      <c r="M64" s="1769"/>
      <c r="N64" s="1769"/>
      <c r="O64" s="1769"/>
    </row>
    <row r="65" spans="1:15" ht="15" customHeight="1">
      <c r="A65" s="162"/>
      <c r="B65" s="49" t="s">
        <v>470</v>
      </c>
      <c r="C65" s="181" t="s">
        <v>72</v>
      </c>
      <c r="D65" s="181">
        <v>926</v>
      </c>
      <c r="E65" s="184" t="s">
        <v>95</v>
      </c>
      <c r="F65" s="184"/>
      <c r="G65" s="2236">
        <f>'320-323'!H189</f>
        <v>28096653.760000002</v>
      </c>
      <c r="H65" s="249">
        <f t="shared" si="0"/>
        <v>10285360.094296098</v>
      </c>
      <c r="I65" s="249">
        <f t="shared" si="1"/>
        <v>0</v>
      </c>
      <c r="J65" s="266">
        <f t="shared" si="2"/>
        <v>17811293.665703904</v>
      </c>
      <c r="L65" s="1769"/>
      <c r="M65" s="1769"/>
      <c r="N65" s="1769"/>
      <c r="O65" s="1769"/>
    </row>
    <row r="66" spans="1:15" ht="15" customHeight="1">
      <c r="A66" s="162"/>
      <c r="B66" s="49" t="s">
        <v>471</v>
      </c>
      <c r="C66" s="181" t="s">
        <v>72</v>
      </c>
      <c r="D66" s="181">
        <v>927</v>
      </c>
      <c r="E66" s="184" t="s">
        <v>395</v>
      </c>
      <c r="F66" s="184"/>
      <c r="G66" s="2236">
        <f>'320-323'!H190</f>
        <v>1200</v>
      </c>
      <c r="H66" s="249">
        <f t="shared" si="0"/>
        <v>0</v>
      </c>
      <c r="I66" s="249">
        <f t="shared" si="1"/>
        <v>0</v>
      </c>
      <c r="J66" s="266">
        <f t="shared" si="2"/>
        <v>1200</v>
      </c>
      <c r="L66" s="1769"/>
      <c r="M66" s="1769"/>
      <c r="N66" s="1769"/>
      <c r="O66" s="1769"/>
    </row>
    <row r="67" spans="1:15" ht="15" customHeight="1">
      <c r="A67" s="162"/>
      <c r="B67" s="49" t="s">
        <v>473</v>
      </c>
      <c r="C67" s="181" t="s">
        <v>72</v>
      </c>
      <c r="D67" s="181">
        <v>928</v>
      </c>
      <c r="E67" s="184" t="s">
        <v>395</v>
      </c>
      <c r="F67" s="184"/>
      <c r="G67" s="2236">
        <f>'320-323'!H191</f>
        <v>8387545.0899999999</v>
      </c>
      <c r="H67" s="249">
        <f t="shared" si="0"/>
        <v>0</v>
      </c>
      <c r="I67" s="249">
        <f t="shared" si="1"/>
        <v>0</v>
      </c>
      <c r="J67" s="266">
        <f t="shared" si="2"/>
        <v>8387545.0899999999</v>
      </c>
      <c r="L67" s="1769"/>
      <c r="M67" s="1769"/>
      <c r="N67" s="1769"/>
      <c r="O67" s="1769"/>
    </row>
    <row r="68" spans="1:15" ht="15" customHeight="1">
      <c r="A68" s="162"/>
      <c r="B68" s="49" t="s">
        <v>168</v>
      </c>
      <c r="C68" s="181" t="s">
        <v>72</v>
      </c>
      <c r="D68" s="181">
        <v>929</v>
      </c>
      <c r="E68" s="184" t="s">
        <v>108</v>
      </c>
      <c r="F68" s="184"/>
      <c r="G68" s="2236">
        <f>'320-323'!H192</f>
        <v>0</v>
      </c>
      <c r="H68" s="249">
        <f t="shared" si="0"/>
        <v>0</v>
      </c>
      <c r="I68" s="249">
        <f t="shared" si="1"/>
        <v>0</v>
      </c>
      <c r="J68" s="266">
        <f t="shared" si="2"/>
        <v>0</v>
      </c>
      <c r="L68" s="1769"/>
      <c r="M68" s="1769"/>
      <c r="N68" s="1769"/>
      <c r="O68" s="1769"/>
    </row>
    <row r="69" spans="1:15" ht="15" customHeight="1">
      <c r="A69" s="162"/>
      <c r="B69" s="1527" t="s">
        <v>169</v>
      </c>
      <c r="C69" s="1528" t="s">
        <v>72</v>
      </c>
      <c r="D69" s="1528">
        <v>930.1</v>
      </c>
      <c r="E69" s="1630" t="s">
        <v>395</v>
      </c>
      <c r="F69" s="1630" t="s">
        <v>90</v>
      </c>
      <c r="G69" s="2235">
        <f>'320-323'!H193</f>
        <v>0</v>
      </c>
      <c r="H69" s="1530">
        <f>IF($E69="DIRECT",$L69,VLOOKUP($E69,Ratio,2,FALSE)*$G69)</f>
        <v>0</v>
      </c>
      <c r="I69" s="1530">
        <f>IF($E69="DIRECT",$M69,VLOOKUP($E69,Ratio,3,FALSE)*$G69)</f>
        <v>0</v>
      </c>
      <c r="J69" s="1531">
        <f>IF($E69="DIRECT",$N69,VLOOKUP($E69,Ratio,4,FALSE)*$G69)</f>
        <v>0</v>
      </c>
      <c r="L69" s="1819">
        <f>+'3.1 908 Detail'!J36</f>
        <v>21004287.498510573</v>
      </c>
      <c r="M69" s="1819"/>
      <c r="N69" s="1819">
        <f>+'3.1 908 Detail'!J37</f>
        <v>10865783.3424723</v>
      </c>
      <c r="O69" s="1769"/>
    </row>
    <row r="70" spans="1:15" ht="15" customHeight="1">
      <c r="A70" s="162"/>
      <c r="B70" s="1527" t="s">
        <v>472</v>
      </c>
      <c r="C70" s="1528" t="s">
        <v>72</v>
      </c>
      <c r="D70" s="1528">
        <v>930.2</v>
      </c>
      <c r="E70" s="1630" t="s">
        <v>395</v>
      </c>
      <c r="F70" s="1630" t="s">
        <v>90</v>
      </c>
      <c r="G70" s="2235">
        <f>'320-323'!H194</f>
        <v>5644866</v>
      </c>
      <c r="H70" s="1530">
        <f>IF($E70="DIRECT",$L70,VLOOKUP($E70,Ratio,2,FALSE)*$G70)</f>
        <v>0</v>
      </c>
      <c r="I70" s="1530">
        <f>IF($E70="DIRECT",$M70,VLOOKUP($E70,Ratio,3,FALSE)*$G70)</f>
        <v>0</v>
      </c>
      <c r="J70" s="1531">
        <f>IF($E70="DIRECT",$N70,VLOOKUP($E70,Ratio,4,FALSE)*$G70)</f>
        <v>5644866</v>
      </c>
      <c r="L70" s="1819"/>
      <c r="M70" s="1819"/>
      <c r="N70" s="1819"/>
      <c r="O70" s="1769"/>
    </row>
    <row r="71" spans="1:15" ht="15" customHeight="1">
      <c r="A71" s="162"/>
      <c r="B71" s="49" t="s">
        <v>496</v>
      </c>
      <c r="C71" s="181" t="s">
        <v>72</v>
      </c>
      <c r="D71" s="181">
        <v>931</v>
      </c>
      <c r="E71" s="184" t="s">
        <v>395</v>
      </c>
      <c r="F71" s="184"/>
      <c r="G71" s="2236">
        <f>'320-323'!H195</f>
        <v>938930</v>
      </c>
      <c r="H71" s="249">
        <f t="shared" si="0"/>
        <v>0</v>
      </c>
      <c r="I71" s="249">
        <f t="shared" si="1"/>
        <v>0</v>
      </c>
      <c r="J71" s="266">
        <f t="shared" si="2"/>
        <v>938930</v>
      </c>
      <c r="L71" s="1769"/>
      <c r="M71" s="1769"/>
      <c r="N71" s="1769"/>
      <c r="O71" s="1769"/>
    </row>
    <row r="72" spans="1:15" ht="15" customHeight="1">
      <c r="A72" s="162"/>
      <c r="B72" s="49" t="s">
        <v>269</v>
      </c>
      <c r="C72" s="181" t="s">
        <v>268</v>
      </c>
      <c r="D72" s="181">
        <v>933</v>
      </c>
      <c r="E72" s="184" t="s">
        <v>395</v>
      </c>
      <c r="F72" s="184"/>
      <c r="G72" s="1796">
        <f>'320-323'!H197</f>
        <v>0</v>
      </c>
      <c r="H72" s="249">
        <f t="shared" si="0"/>
        <v>0</v>
      </c>
      <c r="I72" s="249">
        <f t="shared" si="1"/>
        <v>0</v>
      </c>
      <c r="J72" s="266">
        <f t="shared" si="2"/>
        <v>0</v>
      </c>
      <c r="L72" s="1769"/>
      <c r="M72" s="1769"/>
      <c r="N72" s="1769"/>
      <c r="O72" s="1769"/>
    </row>
    <row r="73" spans="1:15" ht="15" customHeight="1">
      <c r="A73" s="162"/>
      <c r="B73" s="74" t="s">
        <v>442</v>
      </c>
      <c r="C73" s="50"/>
      <c r="D73" s="48"/>
      <c r="E73" s="48"/>
      <c r="F73" s="48"/>
      <c r="G73" s="1807"/>
      <c r="H73" s="476"/>
      <c r="I73" s="476"/>
      <c r="J73" s="477"/>
      <c r="L73" s="1769"/>
      <c r="M73" s="1769"/>
      <c r="N73" s="1769"/>
      <c r="O73" s="1769"/>
    </row>
    <row r="74" spans="1:15" ht="15" customHeight="1">
      <c r="A74" s="162"/>
      <c r="B74" s="49" t="s">
        <v>94</v>
      </c>
      <c r="C74" s="181" t="s">
        <v>72</v>
      </c>
      <c r="D74" s="181">
        <v>935</v>
      </c>
      <c r="E74" s="184" t="s">
        <v>93</v>
      </c>
      <c r="F74" s="184"/>
      <c r="G74" s="2236">
        <f>'320-323'!H198</f>
        <v>14630422</v>
      </c>
      <c r="H74" s="249">
        <f>VLOOKUP($E74,Ratio,2,FALSE)*$G74</f>
        <v>4690577.0284544546</v>
      </c>
      <c r="I74" s="249">
        <f>VLOOKUP($E74,Ratio,3,FALSE)*$G74</f>
        <v>0</v>
      </c>
      <c r="J74" s="266">
        <f>VLOOKUP($E74,Ratio,4,FALSE)*$G74</f>
        <v>9939844.9715455435</v>
      </c>
      <c r="L74" s="1769"/>
      <c r="M74" s="1769"/>
      <c r="N74" s="1769"/>
      <c r="O74" s="1769"/>
    </row>
    <row r="75" spans="1:15" ht="15" customHeight="1">
      <c r="A75" s="163" t="s">
        <v>497</v>
      </c>
      <c r="B75" s="31"/>
      <c r="C75" s="473"/>
      <c r="D75" s="473"/>
      <c r="E75" s="1820"/>
      <c r="F75" s="1820"/>
      <c r="G75" s="1809">
        <f>SUM(G59:G60,G62:G67,G69:G72,G74)-G61-G68</f>
        <v>122527419.78000002</v>
      </c>
      <c r="H75" s="474">
        <f>SUM(H59:H60,H62:H67,H69:H72,H74)-H61-H68</f>
        <v>38573197.74474591</v>
      </c>
      <c r="I75" s="474">
        <f>SUM(I59:I60,I62:I67,I69:I72,I74)-I61-I68</f>
        <v>0</v>
      </c>
      <c r="J75" s="475">
        <f>SUM(J59:J60,J62:J67,J69:J72,J74)-J61-J68</f>
        <v>83954222.034965694</v>
      </c>
      <c r="L75" s="1769"/>
      <c r="M75" s="1769"/>
      <c r="N75" s="1769"/>
      <c r="O75" s="1769"/>
    </row>
    <row r="76" spans="1:15" ht="9.75" customHeight="1" thickBot="1">
      <c r="A76" s="191"/>
      <c r="B76" s="192"/>
      <c r="C76" s="174"/>
      <c r="D76" s="193"/>
      <c r="E76" s="193"/>
      <c r="F76" s="193"/>
      <c r="G76" s="1810"/>
      <c r="H76" s="478"/>
      <c r="I76" s="478"/>
      <c r="J76" s="479"/>
      <c r="L76" s="1769"/>
      <c r="M76" s="1769"/>
      <c r="N76" s="1769"/>
      <c r="O76" s="1769"/>
    </row>
    <row r="77" spans="1:15" ht="16.5" thickTop="1">
      <c r="A77" s="163" t="s">
        <v>498</v>
      </c>
      <c r="B77" s="31"/>
      <c r="C77" s="483"/>
      <c r="D77" s="483"/>
      <c r="E77" s="1822"/>
      <c r="F77" s="1822"/>
      <c r="G77" s="1808">
        <f>G36+G42+G47+G55+G75</f>
        <v>741262086.83000004</v>
      </c>
      <c r="H77" s="487">
        <f>H36+H42+H47+H55+H75</f>
        <v>543260025.74474597</v>
      </c>
      <c r="I77" s="487">
        <f>I36+I42+I47+I55+I75</f>
        <v>0</v>
      </c>
      <c r="J77" s="488">
        <f>J36+J42+J47+J55+J75</f>
        <v>198002061.08496571</v>
      </c>
      <c r="L77" s="1769"/>
      <c r="M77" s="1769"/>
      <c r="N77" s="1769"/>
      <c r="O77" s="1769"/>
    </row>
    <row r="78" spans="1:15">
      <c r="A78" s="167" t="s">
        <v>433</v>
      </c>
      <c r="B78" s="84"/>
      <c r="C78" s="85"/>
      <c r="D78" s="86"/>
      <c r="E78" s="49"/>
      <c r="F78" s="49"/>
      <c r="G78" s="1811"/>
      <c r="H78" s="512"/>
      <c r="I78" s="512"/>
      <c r="J78" s="513"/>
      <c r="L78" s="1776"/>
      <c r="M78" s="1776"/>
      <c r="N78" s="1776"/>
      <c r="O78" s="1769"/>
    </row>
    <row r="79" spans="1:15">
      <c r="A79" s="168"/>
      <c r="B79" s="87"/>
      <c r="C79" s="85"/>
      <c r="D79" s="88"/>
      <c r="E79" s="1823"/>
      <c r="F79" s="1823"/>
      <c r="G79" s="1812"/>
      <c r="H79" s="480"/>
      <c r="I79" s="480"/>
      <c r="J79" s="481"/>
      <c r="L79" s="1776"/>
      <c r="M79" s="1776"/>
      <c r="N79" s="1776"/>
      <c r="O79" s="1769"/>
    </row>
    <row r="80" spans="1:15">
      <c r="A80" s="160" t="s">
        <v>40</v>
      </c>
      <c r="B80" s="68"/>
      <c r="C80" s="106"/>
      <c r="D80" s="106"/>
      <c r="E80" s="1824"/>
      <c r="F80" s="1824"/>
      <c r="G80" s="1813"/>
      <c r="H80" s="480"/>
      <c r="I80" s="480"/>
      <c r="J80" s="481"/>
      <c r="L80" s="1776"/>
      <c r="M80" s="1776"/>
      <c r="N80" s="1776"/>
      <c r="O80" s="1769"/>
    </row>
    <row r="81" spans="1:15">
      <c r="A81" s="162"/>
      <c r="B81" s="49" t="s">
        <v>373</v>
      </c>
      <c r="C81" s="181">
        <v>336</v>
      </c>
      <c r="D81" s="181">
        <v>404</v>
      </c>
      <c r="E81" s="184" t="s">
        <v>395</v>
      </c>
      <c r="F81" s="286" t="s">
        <v>97</v>
      </c>
      <c r="G81" s="1796"/>
      <c r="H81" s="249">
        <f>VLOOKUP($E81,Ratio,2,FALSE)*$G81</f>
        <v>0</v>
      </c>
      <c r="I81" s="249">
        <f>VLOOKUP($E81,Ratio,3,FALSE)*$G81</f>
        <v>0</v>
      </c>
      <c r="J81" s="266">
        <f>VLOOKUP($E81,Ratio,4,FALSE)*$G81</f>
        <v>0</v>
      </c>
      <c r="L81" s="1776"/>
      <c r="M81" s="1776"/>
      <c r="N81" s="1776"/>
      <c r="O81" s="1769"/>
    </row>
    <row r="82" spans="1:15">
      <c r="A82" s="162"/>
      <c r="B82" s="49" t="s">
        <v>374</v>
      </c>
      <c r="C82" s="181">
        <v>336</v>
      </c>
      <c r="D82" s="181">
        <v>404</v>
      </c>
      <c r="E82" s="184" t="s">
        <v>90</v>
      </c>
      <c r="F82" s="286" t="s">
        <v>99</v>
      </c>
      <c r="G82" s="1770">
        <v>2226233</v>
      </c>
      <c r="H82" s="249">
        <f>IF($E82="DIRECT",$L82,VLOOKUP($E82,Ratio,2,FALSE)*$G82)</f>
        <v>2010137.6126880527</v>
      </c>
      <c r="I82" s="249">
        <f>IF($E82="DIRECT",$M82,VLOOKUP($E82,Ratio,3,FALSE)*$G82)</f>
        <v>0</v>
      </c>
      <c r="J82" s="266">
        <f>IF($E82="DIRECT",$N82,VLOOKUP($E82,Ratio,4,FALSE)*$G82)</f>
        <v>216095.50131194707</v>
      </c>
      <c r="L82" s="1770">
        <f>'1.1 Intangible Assets Summary'!F30</f>
        <v>2010137.6126880527</v>
      </c>
      <c r="M82" s="1770">
        <f>0</f>
        <v>0</v>
      </c>
      <c r="N82" s="1770">
        <f>'1.1 Intangible Assets Summary'!H30+'1.1 Intangible Assets Summary'!G30</f>
        <v>216095.50131194707</v>
      </c>
      <c r="O82" s="1769"/>
    </row>
    <row r="83" spans="1:15">
      <c r="A83" s="162"/>
      <c r="B83" s="49" t="s">
        <v>403</v>
      </c>
      <c r="C83" s="181">
        <v>336</v>
      </c>
      <c r="D83" s="181">
        <v>404</v>
      </c>
      <c r="E83" s="184" t="s">
        <v>90</v>
      </c>
      <c r="F83" s="286" t="s">
        <v>395</v>
      </c>
      <c r="G83" s="1770">
        <v>7624356</v>
      </c>
      <c r="H83" s="1677">
        <f>IF($E83="DIRECT",$L83,VLOOKUP($E83,Ratio,2,FALSE)*$G83)</f>
        <v>5568168.3742585769</v>
      </c>
      <c r="I83" s="1677">
        <f>IF($E83="DIRECT",$M83,VLOOKUP($E83,Ratio,3,FALSE)*$G83)</f>
        <v>0</v>
      </c>
      <c r="J83" s="2260">
        <f>IF($E83="DIRECT",$N83,VLOOKUP($E83,Ratio,4,FALSE)*$G83)</f>
        <v>2056187.510306925</v>
      </c>
      <c r="L83" s="1770">
        <f>'1.1 Intangible Assets Summary'!F31</f>
        <v>5568168.3742585769</v>
      </c>
      <c r="M83" s="1770">
        <f>0</f>
        <v>0</v>
      </c>
      <c r="N83" s="1770">
        <f>'1.1 Intangible Assets Summary'!H31+'1.1 Intangible Assets Summary'!G31</f>
        <v>2056187.510306925</v>
      </c>
      <c r="O83" s="1769"/>
    </row>
    <row r="84" spans="1:15">
      <c r="A84" s="162"/>
      <c r="B84" s="49" t="s">
        <v>88</v>
      </c>
      <c r="C84" s="181">
        <v>336</v>
      </c>
      <c r="D84" s="181">
        <v>403</v>
      </c>
      <c r="E84" s="184" t="s">
        <v>397</v>
      </c>
      <c r="F84" s="184"/>
      <c r="G84" s="2236">
        <f>+'336'!G3</f>
        <v>17056563</v>
      </c>
      <c r="H84" s="249">
        <f t="shared" ref="H84:H91" si="3">VLOOKUP($E84,Ratio,2,FALSE)*$G84</f>
        <v>17056563</v>
      </c>
      <c r="I84" s="249">
        <f t="shared" ref="I84:I91" si="4">VLOOKUP($E84,Ratio,3,FALSE)*$G84</f>
        <v>0</v>
      </c>
      <c r="J84" s="266">
        <f t="shared" ref="J84:J91" si="5">VLOOKUP($E84,Ratio,4,FALSE)*$G84</f>
        <v>0</v>
      </c>
      <c r="L84" s="1776"/>
      <c r="M84" s="1776"/>
      <c r="N84" s="1776"/>
      <c r="O84" s="1769"/>
    </row>
    <row r="85" spans="1:15">
      <c r="A85" s="162"/>
      <c r="B85" s="49" t="s">
        <v>89</v>
      </c>
      <c r="C85" s="181">
        <v>336</v>
      </c>
      <c r="D85" s="181">
        <v>403</v>
      </c>
      <c r="E85" s="184" t="s">
        <v>397</v>
      </c>
      <c r="F85" s="184"/>
      <c r="G85" s="2236"/>
      <c r="H85" s="249">
        <f t="shared" si="3"/>
        <v>0</v>
      </c>
      <c r="I85" s="249">
        <f t="shared" si="4"/>
        <v>0</v>
      </c>
      <c r="J85" s="266">
        <f t="shared" si="5"/>
        <v>0</v>
      </c>
      <c r="L85" s="1769"/>
      <c r="M85" s="1769"/>
      <c r="N85" s="1769"/>
      <c r="O85" s="1769"/>
    </row>
    <row r="86" spans="1:15">
      <c r="A86" s="162"/>
      <c r="B86" s="49" t="s">
        <v>434</v>
      </c>
      <c r="C86" s="181">
        <v>336</v>
      </c>
      <c r="D86" s="181">
        <v>403</v>
      </c>
      <c r="E86" s="184" t="s">
        <v>397</v>
      </c>
      <c r="F86" s="184"/>
      <c r="G86" s="2236">
        <f>+'336'!G5</f>
        <v>16632247</v>
      </c>
      <c r="H86" s="249">
        <f t="shared" si="3"/>
        <v>16632247</v>
      </c>
      <c r="I86" s="249">
        <f t="shared" si="4"/>
        <v>0</v>
      </c>
      <c r="J86" s="266">
        <f t="shared" si="5"/>
        <v>0</v>
      </c>
      <c r="L86" s="1769"/>
      <c r="M86" s="1769"/>
      <c r="N86" s="1769"/>
      <c r="O86" s="1769"/>
    </row>
    <row r="87" spans="1:15">
      <c r="A87" s="162"/>
      <c r="B87" s="49" t="s">
        <v>435</v>
      </c>
      <c r="C87" s="181">
        <v>336</v>
      </c>
      <c r="D87" s="181">
        <v>403</v>
      </c>
      <c r="E87" s="184" t="s">
        <v>397</v>
      </c>
      <c r="F87" s="184"/>
      <c r="G87" s="2236"/>
      <c r="H87" s="249">
        <f t="shared" si="3"/>
        <v>0</v>
      </c>
      <c r="I87" s="249">
        <f t="shared" si="4"/>
        <v>0</v>
      </c>
      <c r="J87" s="266">
        <f t="shared" si="5"/>
        <v>0</v>
      </c>
      <c r="L87" s="1769"/>
      <c r="M87" s="1769"/>
      <c r="N87" s="1769"/>
      <c r="O87" s="1769"/>
    </row>
    <row r="88" spans="1:15">
      <c r="A88" s="162"/>
      <c r="B88" s="49" t="s">
        <v>137</v>
      </c>
      <c r="C88" s="181">
        <v>336</v>
      </c>
      <c r="D88" s="181">
        <v>403</v>
      </c>
      <c r="E88" s="184" t="s">
        <v>397</v>
      </c>
      <c r="F88" s="184"/>
      <c r="G88" s="2236">
        <f>+'336'!G7</f>
        <v>11041726</v>
      </c>
      <c r="H88" s="249">
        <f t="shared" si="3"/>
        <v>11041726</v>
      </c>
      <c r="I88" s="249">
        <f t="shared" si="4"/>
        <v>0</v>
      </c>
      <c r="J88" s="266">
        <f t="shared" si="5"/>
        <v>0</v>
      </c>
      <c r="L88" s="1769"/>
      <c r="M88" s="1769"/>
      <c r="N88" s="1769"/>
      <c r="O88" s="1769"/>
    </row>
    <row r="89" spans="1:15">
      <c r="A89" s="162"/>
      <c r="B89" s="49" t="s">
        <v>143</v>
      </c>
      <c r="C89" s="181">
        <v>336</v>
      </c>
      <c r="D89" s="181">
        <v>403</v>
      </c>
      <c r="E89" s="184" t="s">
        <v>396</v>
      </c>
      <c r="F89" s="184"/>
      <c r="G89" s="2236">
        <f>+'336'!G8</f>
        <v>21064671</v>
      </c>
      <c r="H89" s="249">
        <f t="shared" si="3"/>
        <v>0</v>
      </c>
      <c r="I89" s="249">
        <f t="shared" si="4"/>
        <v>0</v>
      </c>
      <c r="J89" s="266">
        <f t="shared" si="5"/>
        <v>21064671</v>
      </c>
      <c r="L89" s="1769"/>
      <c r="M89" s="1769"/>
      <c r="N89" s="1769"/>
      <c r="O89" s="1769"/>
    </row>
    <row r="90" spans="1:15">
      <c r="A90" s="162"/>
      <c r="B90" s="49" t="s">
        <v>474</v>
      </c>
      <c r="C90" s="181">
        <v>336</v>
      </c>
      <c r="D90" s="181">
        <v>403</v>
      </c>
      <c r="E90" s="184" t="s">
        <v>395</v>
      </c>
      <c r="F90" s="184"/>
      <c r="G90" s="2236">
        <f>+'336'!G9</f>
        <v>60509580</v>
      </c>
      <c r="H90" s="249">
        <f t="shared" si="3"/>
        <v>0</v>
      </c>
      <c r="I90" s="249">
        <f t="shared" si="4"/>
        <v>0</v>
      </c>
      <c r="J90" s="266">
        <f t="shared" si="5"/>
        <v>60509580</v>
      </c>
      <c r="L90" s="1769"/>
      <c r="M90" s="1769"/>
      <c r="N90" s="1769"/>
      <c r="O90" s="1769"/>
    </row>
    <row r="91" spans="1:15">
      <c r="A91" s="162"/>
      <c r="B91" s="49" t="s">
        <v>92</v>
      </c>
      <c r="C91" s="181">
        <v>336</v>
      </c>
      <c r="D91" s="181">
        <v>403</v>
      </c>
      <c r="E91" s="184" t="s">
        <v>91</v>
      </c>
      <c r="F91" s="184"/>
      <c r="G91" s="2236">
        <f>+'336'!G11</f>
        <v>5172455</v>
      </c>
      <c r="H91" s="249">
        <f t="shared" si="3"/>
        <v>796769.34241722547</v>
      </c>
      <c r="I91" s="249">
        <f t="shared" si="4"/>
        <v>0</v>
      </c>
      <c r="J91" s="266">
        <f t="shared" si="5"/>
        <v>4375685.6575827738</v>
      </c>
      <c r="L91" s="1769"/>
      <c r="M91" s="1769"/>
      <c r="N91" s="1769"/>
      <c r="O91" s="1769"/>
    </row>
    <row r="92" spans="1:15">
      <c r="A92" s="162"/>
      <c r="B92" s="49" t="s">
        <v>436</v>
      </c>
      <c r="C92" s="181">
        <v>336</v>
      </c>
      <c r="D92" s="186">
        <v>403</v>
      </c>
      <c r="E92" s="184" t="s">
        <v>90</v>
      </c>
      <c r="F92" s="184"/>
      <c r="G92" s="2236">
        <f>+'336'!C12</f>
        <v>18217879</v>
      </c>
      <c r="H92" s="249">
        <f>IF($E92="DIRECT",$L92,VLOOKUP($E92,Ratio,2,FALSE)*$G92)</f>
        <v>5101006.12</v>
      </c>
      <c r="I92" s="249">
        <f>IF($E92="DIRECT",$M92,VLOOKUP($E92,Ratio,3,FALSE)*$G92)</f>
        <v>0</v>
      </c>
      <c r="J92" s="266">
        <f>IF($E92="DIRECT",$N92,VLOOKUP($E92,Ratio,4,FALSE)*$G92)</f>
        <v>13116872.879999999</v>
      </c>
      <c r="L92" s="1770">
        <f>'1.3 Common Plt Summary'!G26</f>
        <v>5101006.12</v>
      </c>
      <c r="M92" s="1770">
        <f>0</f>
        <v>0</v>
      </c>
      <c r="N92" s="1770">
        <f>'1.3 Common Plt Summary'!I26+'1.3 Common Plt Summary'!H26</f>
        <v>13116872.879999999</v>
      </c>
      <c r="O92" s="2200"/>
    </row>
    <row r="93" spans="1:15">
      <c r="A93" s="162"/>
      <c r="B93" s="49" t="s">
        <v>436</v>
      </c>
      <c r="C93" s="181">
        <v>336</v>
      </c>
      <c r="D93" s="186">
        <v>404</v>
      </c>
      <c r="E93" s="184" t="s">
        <v>90</v>
      </c>
      <c r="F93" s="184"/>
      <c r="G93" s="2236">
        <f>+'336'!E12</f>
        <v>36465620</v>
      </c>
      <c r="H93" s="249">
        <f>IF($E93="DIRECT",$L93,VLOOKUP($E93,Ratio,2,FALSE)*$G93)</f>
        <v>10210373.600000001</v>
      </c>
      <c r="I93" s="249">
        <f>IF($E93="DIRECT",$M93,VLOOKUP($E93,Ratio,3,FALSE)*$G93)</f>
        <v>0</v>
      </c>
      <c r="J93" s="266">
        <f>IF($E93="DIRECT",$N93,VLOOKUP($E93,Ratio,4,FALSE)*$G93)</f>
        <v>26255246.399999999</v>
      </c>
      <c r="L93" s="1770">
        <f>'1.3 Common Plt Summary'!G27</f>
        <v>10210373.600000001</v>
      </c>
      <c r="M93" s="1770">
        <f>0</f>
        <v>0</v>
      </c>
      <c r="N93" s="1770">
        <f>'1.3 Common Plt Summary'!I27+'1.3 Common Plt Summary'!H27</f>
        <v>26255246.399999999</v>
      </c>
      <c r="O93" s="2200"/>
    </row>
    <row r="94" spans="1:15">
      <c r="A94" s="162"/>
      <c r="B94" s="49" t="s">
        <v>568</v>
      </c>
      <c r="C94" s="181">
        <v>336</v>
      </c>
      <c r="D94" s="603">
        <v>403.1</v>
      </c>
      <c r="E94" s="184" t="s">
        <v>90</v>
      </c>
      <c r="F94" s="184"/>
      <c r="G94" s="2236">
        <v>0</v>
      </c>
      <c r="H94" s="249">
        <f>IF($E94="DIRECT",$L94,VLOOKUP($E94,Ratio,2,FALSE)*$G94)</f>
        <v>0</v>
      </c>
      <c r="I94" s="249">
        <f>IF($E94="DIRECT",$M94,VLOOKUP($E94,Ratio,3,FALSE)*$G94)</f>
        <v>0</v>
      </c>
      <c r="J94" s="266">
        <f>IF($E94="DIRECT",$N94,VLOOKUP($E94,Ratio,4,FALSE)*$G94)</f>
        <v>0</v>
      </c>
      <c r="L94" s="1770"/>
      <c r="M94" s="1770"/>
      <c r="N94" s="1770"/>
      <c r="O94" s="1769"/>
    </row>
    <row r="95" spans="1:15">
      <c r="A95" s="162"/>
      <c r="B95" s="49" t="s">
        <v>569</v>
      </c>
      <c r="C95" s="181">
        <v>336</v>
      </c>
      <c r="D95" s="186">
        <v>404</v>
      </c>
      <c r="E95" s="184" t="s">
        <v>90</v>
      </c>
      <c r="F95" s="184"/>
      <c r="G95" s="2236">
        <v>0</v>
      </c>
      <c r="H95" s="249">
        <f>IF($E95="DIRECT",$L95,VLOOKUP($E95,Ratio,2,FALSE)*$G95)</f>
        <v>0</v>
      </c>
      <c r="I95" s="249">
        <f>IF($E95="DIRECT",$M95,VLOOKUP($E95,Ratio,3,FALSE)*$G95)</f>
        <v>0</v>
      </c>
      <c r="J95" s="266">
        <f>IF($E95="DIRECT",$N95,VLOOKUP($E95,Ratio,4,FALSE)*$G95)</f>
        <v>0</v>
      </c>
      <c r="L95" s="1770"/>
      <c r="M95" s="1770"/>
      <c r="N95" s="1770"/>
      <c r="O95" s="1769"/>
    </row>
    <row r="96" spans="1:15">
      <c r="A96" s="162"/>
      <c r="B96" s="49" t="s">
        <v>30</v>
      </c>
      <c r="C96" s="181" t="s">
        <v>69</v>
      </c>
      <c r="D96" s="186">
        <v>406</v>
      </c>
      <c r="E96" s="184" t="s">
        <v>90</v>
      </c>
      <c r="F96" s="184"/>
      <c r="G96" s="2236">
        <f>+'336'!G15</f>
        <v>0</v>
      </c>
      <c r="H96" s="249">
        <f>IF($E96="DIRECT",$L96,VLOOKUP($E96,Ratio,2,FALSE)*$G96)</f>
        <v>0</v>
      </c>
      <c r="I96" s="249">
        <f>IF($E96="DIRECT",$M96,VLOOKUP($E96,Ratio,3,FALSE)*$G96)</f>
        <v>0</v>
      </c>
      <c r="J96" s="266">
        <f>IF($E96="DIRECT",$N96,VLOOKUP($E96,Ratio,4,FALSE)*$G96)</f>
        <v>0</v>
      </c>
      <c r="L96" s="1770"/>
      <c r="M96" s="1770"/>
      <c r="N96" s="1770"/>
      <c r="O96" s="1769"/>
    </row>
    <row r="97" spans="1:15">
      <c r="A97" s="163" t="s">
        <v>475</v>
      </c>
      <c r="B97" s="31"/>
      <c r="C97" s="489"/>
      <c r="D97" s="489"/>
      <c r="E97" s="1825"/>
      <c r="F97" s="1825"/>
      <c r="G97" s="1794">
        <f>SUM(G81:G96)</f>
        <v>196011330</v>
      </c>
      <c r="H97" s="474">
        <f>SUM(H81:H96)</f>
        <v>68416991.049363852</v>
      </c>
      <c r="I97" s="474">
        <f>SUM(I81:I96)</f>
        <v>0</v>
      </c>
      <c r="J97" s="475">
        <f>SUM(J81:J96)</f>
        <v>127594338.94920164</v>
      </c>
      <c r="L97" s="1769"/>
      <c r="M97" s="1769"/>
      <c r="N97" s="1769"/>
      <c r="O97" s="1769"/>
    </row>
    <row r="98" spans="1:15">
      <c r="A98" s="169"/>
      <c r="B98" s="31"/>
      <c r="C98" s="8"/>
      <c r="D98" s="34"/>
      <c r="E98" s="46"/>
      <c r="F98" s="46"/>
      <c r="G98" s="1795"/>
      <c r="H98" s="338"/>
      <c r="I98" s="338"/>
      <c r="J98" s="339"/>
      <c r="L98" s="1769"/>
      <c r="M98" s="1769"/>
      <c r="N98" s="1769"/>
      <c r="O98" s="1769"/>
    </row>
    <row r="99" spans="1:15">
      <c r="A99" s="170"/>
      <c r="B99" s="79"/>
      <c r="C99" s="79"/>
      <c r="D99" s="79"/>
      <c r="E99" s="1826"/>
      <c r="F99" s="1826"/>
      <c r="G99" s="1814"/>
      <c r="H99" s="54"/>
      <c r="I99" s="54"/>
      <c r="J99" s="244"/>
      <c r="L99" s="1769"/>
      <c r="M99" s="1769"/>
      <c r="N99" s="1769"/>
      <c r="O99" s="1769"/>
    </row>
    <row r="100" spans="1:15">
      <c r="A100" s="163" t="s">
        <v>50</v>
      </c>
      <c r="B100" s="32"/>
      <c r="C100" s="489"/>
      <c r="D100" s="489"/>
      <c r="E100" s="1825"/>
      <c r="F100" s="1825"/>
      <c r="G100" s="1794">
        <f>G77+G97</f>
        <v>937273416.83000004</v>
      </c>
      <c r="H100" s="474">
        <f>H77+H97</f>
        <v>611677016.79410982</v>
      </c>
      <c r="I100" s="474">
        <f>I77+I97</f>
        <v>0</v>
      </c>
      <c r="J100" s="475">
        <f>J77+J97</f>
        <v>325596400.03416735</v>
      </c>
      <c r="L100" s="1769"/>
      <c r="M100" s="1769"/>
      <c r="N100" s="1769"/>
      <c r="O100" s="1769"/>
    </row>
    <row r="101" spans="1:15" ht="16.5" thickBot="1">
      <c r="A101" s="172" t="s">
        <v>205</v>
      </c>
      <c r="B101" s="173"/>
      <c r="C101" s="174"/>
      <c r="D101" s="174"/>
      <c r="E101" s="193"/>
      <c r="F101" s="193"/>
      <c r="G101" s="1815"/>
      <c r="H101" s="175"/>
      <c r="I101" s="175"/>
      <c r="J101" s="176"/>
      <c r="L101" s="1769"/>
      <c r="M101" s="1769"/>
      <c r="N101" s="1769"/>
      <c r="O101" s="1769"/>
    </row>
    <row r="102" spans="1:15" ht="16.5" thickTop="1">
      <c r="E102" s="1769"/>
      <c r="F102" s="1769"/>
      <c r="G102" s="1816"/>
      <c r="L102" s="1769"/>
      <c r="M102" s="1769"/>
      <c r="N102" s="1769"/>
      <c r="O102" s="1769"/>
    </row>
    <row r="103" spans="1:15">
      <c r="E103" s="1769"/>
      <c r="F103" s="1769"/>
      <c r="G103" s="1816"/>
      <c r="L103" s="1769"/>
      <c r="M103" s="1769"/>
      <c r="N103" s="1769"/>
      <c r="O103" s="1769"/>
    </row>
    <row r="104" spans="1:15">
      <c r="E104" s="1769"/>
      <c r="F104" s="1769"/>
      <c r="G104" s="1816"/>
      <c r="L104" s="1769"/>
      <c r="M104" s="1769"/>
      <c r="N104" s="1769"/>
      <c r="O104" s="1769"/>
    </row>
    <row r="105" spans="1:15">
      <c r="E105" s="1769"/>
      <c r="F105" s="1769"/>
      <c r="G105" s="1816"/>
      <c r="L105" s="1769"/>
      <c r="M105" s="1769"/>
      <c r="N105" s="1769"/>
      <c r="O105" s="1769"/>
    </row>
    <row r="106" spans="1:15">
      <c r="E106" s="1769"/>
      <c r="F106" s="1769"/>
      <c r="G106" s="1816"/>
      <c r="L106" s="1769"/>
      <c r="M106" s="1769"/>
      <c r="N106" s="1769"/>
      <c r="O106" s="1769"/>
    </row>
    <row r="107" spans="1:15">
      <c r="E107" s="1769"/>
      <c r="F107" s="1769"/>
      <c r="G107" s="1816"/>
      <c r="L107" s="1769"/>
      <c r="M107" s="1769"/>
      <c r="N107" s="1769"/>
      <c r="O107" s="1769"/>
    </row>
    <row r="108" spans="1:15">
      <c r="E108" s="1769"/>
      <c r="F108" s="1769"/>
      <c r="G108" s="1816"/>
      <c r="L108" s="1769"/>
      <c r="M108" s="1769"/>
      <c r="N108" s="1769"/>
      <c r="O108" s="1769"/>
    </row>
    <row r="109" spans="1:15">
      <c r="E109" s="1769"/>
      <c r="F109" s="1769"/>
      <c r="G109" s="1816"/>
      <c r="L109" s="1769"/>
      <c r="M109" s="1769"/>
      <c r="N109" s="1769"/>
      <c r="O109" s="1769"/>
    </row>
    <row r="110" spans="1:15">
      <c r="E110" s="1769"/>
      <c r="F110" s="1769"/>
      <c r="G110" s="1816"/>
      <c r="L110" s="1769"/>
      <c r="M110" s="1769"/>
      <c r="N110" s="1769"/>
      <c r="O110" s="1769"/>
    </row>
    <row r="111" spans="1:15">
      <c r="G111" s="1816"/>
      <c r="L111" s="1769"/>
      <c r="M111" s="1769"/>
      <c r="N111" s="1769"/>
      <c r="O111" s="1769"/>
    </row>
    <row r="112" spans="1:15">
      <c r="G112" s="1816"/>
      <c r="L112" s="1769"/>
      <c r="M112" s="1769"/>
      <c r="N112" s="1769"/>
      <c r="O112" s="1769"/>
    </row>
    <row r="113" spans="7:15">
      <c r="G113" s="1816"/>
      <c r="L113" s="1769"/>
      <c r="M113" s="1769"/>
      <c r="N113" s="1769"/>
      <c r="O113" s="1769"/>
    </row>
  </sheetData>
  <mergeCells count="14">
    <mergeCell ref="L11:L13"/>
    <mergeCell ref="M11:M13"/>
    <mergeCell ref="N11:N13"/>
    <mergeCell ref="A2:J2"/>
    <mergeCell ref="A1:J1"/>
    <mergeCell ref="H11:H13"/>
    <mergeCell ref="I11:I13"/>
    <mergeCell ref="A3:J3"/>
    <mergeCell ref="E5:G5"/>
    <mergeCell ref="E6:G6"/>
    <mergeCell ref="E7:G7"/>
    <mergeCell ref="A11:B13"/>
    <mergeCell ref="G11:G13"/>
    <mergeCell ref="J11:J13"/>
  </mergeCells>
  <phoneticPr fontId="0" type="noConversion"/>
  <conditionalFormatting sqref="G35">
    <cfRule type="expression" dxfId="11" priority="5">
      <formula>G35&lt;&gt;SUM(H35:J35)</formula>
    </cfRule>
  </conditionalFormatting>
  <conditionalFormatting sqref="G52:G53">
    <cfRule type="expression" dxfId="10" priority="4">
      <formula>G52&lt;&gt;SUM(H52:J52)</formula>
    </cfRule>
  </conditionalFormatting>
  <conditionalFormatting sqref="G69:G70">
    <cfRule type="expression" dxfId="9" priority="3">
      <formula>G69&lt;&gt;SUM(H69:J69)</formula>
    </cfRule>
  </conditionalFormatting>
  <conditionalFormatting sqref="G82:G83">
    <cfRule type="expression" dxfId="8" priority="2">
      <formula>G82&lt;&gt;SUM(H82:J82)</formula>
    </cfRule>
  </conditionalFormatting>
  <dataValidations count="2">
    <dataValidation type="list" allowBlank="1" showInputMessage="1" showErrorMessage="1" sqref="E69:E70 E35 E52:E53 E83" xr:uid="{00000000-0002-0000-0500-000000000000}">
      <formula1>DIST</formula1>
    </dataValidation>
    <dataValidation type="list" allowBlank="1" showInputMessage="1" showErrorMessage="1" sqref="E82" xr:uid="{00000000-0002-0000-0500-000001000000}">
      <formula1>PTD</formula1>
    </dataValidation>
  </dataValidations>
  <hyperlinks>
    <hyperlink ref="A5" location="TOC!A1" display="TOC" xr:uid="{00000000-0004-0000-0500-000000000000}"/>
    <hyperlink ref="A6" location="'Sch 3 - Expenses'!A14" display="é" xr:uid="{00000000-0004-0000-0500-000001000000}"/>
  </hyperlinks>
  <printOptions horizontalCentered="1" headings="1"/>
  <pageMargins left="0.5" right="0.5" top="0.75" bottom="0.55000000000000004" header="0.25" footer="0.25"/>
  <pageSetup scale="73" fitToHeight="3" orientation="landscape" r:id="rId1"/>
  <headerFooter alignWithMargins="0">
    <oddFooter>&amp;LFY 2026-2028 ASC Filing&amp;CPage &amp;P of &amp;N&amp;R&amp;A
&amp;D</oddFooter>
  </headerFooter>
  <rowBreaks count="2" manualBreakCount="2">
    <brk id="43" max="16383" man="1"/>
    <brk id="76" max="16383" man="1"/>
  </rowBreaks>
  <customProperties>
    <customPr name="xxe4aPID" r:id="rId2"/>
  </customProperties>
  <ignoredErrors>
    <ignoredError sqref="D39" numberStoredAsText="1"/>
    <ignoredError sqref="G16:G36 G39:G42 G50:G55 G45:G47 G59:G72 G74 L69:N69 L83 G84:G97 G100 L93 L82 L92" unlockedFormula="1"/>
  </ignoredErrors>
  <legacy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F2F3D-266B-4F0B-BB5A-0B3F64712DAD}">
  <sheetPr codeName="Sheet37"/>
  <dimension ref="A1:Q58"/>
  <sheetViews>
    <sheetView workbookViewId="0">
      <selection activeCell="L41" sqref="L41"/>
    </sheetView>
  </sheetViews>
  <sheetFormatPr defaultRowHeight="15.75"/>
  <cols>
    <col min="5" max="5" width="16.25" customWidth="1"/>
    <col min="6" max="6" width="16.375" customWidth="1"/>
    <col min="7" max="7" width="11.125" bestFit="1" customWidth="1"/>
    <col min="8" max="8" width="13.625" customWidth="1"/>
    <col min="9" max="9" width="10.75" bestFit="1" customWidth="1"/>
    <col min="10" max="10" width="10.5" customWidth="1"/>
    <col min="11" max="11" width="14.75" bestFit="1" customWidth="1"/>
    <col min="12" max="13" width="15.875" customWidth="1"/>
    <col min="14" max="15" width="10" bestFit="1" customWidth="1"/>
    <col min="17" max="17" width="10" bestFit="1" customWidth="1"/>
  </cols>
  <sheetData>
    <row r="1" spans="1:17">
      <c r="C1" t="s">
        <v>2409</v>
      </c>
      <c r="G1" t="s">
        <v>2408</v>
      </c>
      <c r="J1" t="s">
        <v>2407</v>
      </c>
    </row>
    <row r="2" spans="1:17">
      <c r="C2" t="s">
        <v>2648</v>
      </c>
      <c r="G2" t="s">
        <v>2647</v>
      </c>
    </row>
    <row r="3" spans="1:17">
      <c r="C3" t="s">
        <v>2404</v>
      </c>
    </row>
    <row r="4" spans="1:17">
      <c r="C4" t="s">
        <v>2402</v>
      </c>
      <c r="H4" t="s">
        <v>2646</v>
      </c>
      <c r="L4" t="s">
        <v>2645</v>
      </c>
      <c r="O4" t="s">
        <v>2644</v>
      </c>
    </row>
    <row r="5" spans="1:17">
      <c r="C5" t="s">
        <v>2398</v>
      </c>
      <c r="D5" t="s">
        <v>96</v>
      </c>
      <c r="E5" t="s">
        <v>231</v>
      </c>
      <c r="H5" t="s">
        <v>2189</v>
      </c>
      <c r="I5" t="s">
        <v>2394</v>
      </c>
      <c r="J5" t="s">
        <v>104</v>
      </c>
      <c r="L5" t="s">
        <v>2189</v>
      </c>
      <c r="M5" t="s">
        <v>2394</v>
      </c>
      <c r="N5" t="s">
        <v>104</v>
      </c>
      <c r="O5" t="s">
        <v>2189</v>
      </c>
      <c r="P5" t="s">
        <v>2394</v>
      </c>
      <c r="Q5" t="s">
        <v>104</v>
      </c>
    </row>
    <row r="6" spans="1:17">
      <c r="A6" t="s">
        <v>2189</v>
      </c>
      <c r="B6" t="s">
        <v>2394</v>
      </c>
      <c r="H6" s="584"/>
      <c r="I6" s="584"/>
      <c r="J6" s="584"/>
      <c r="K6" s="584"/>
      <c r="L6" s="584"/>
      <c r="M6" s="584"/>
      <c r="N6" s="584"/>
      <c r="O6" s="584"/>
      <c r="P6" s="584"/>
      <c r="Q6" s="584"/>
    </row>
    <row r="7" spans="1:17">
      <c r="A7">
        <v>35537</v>
      </c>
      <c r="B7">
        <v>35794</v>
      </c>
      <c r="C7">
        <v>2</v>
      </c>
      <c r="D7">
        <v>908000</v>
      </c>
      <c r="E7" t="s">
        <v>2643</v>
      </c>
      <c r="H7" s="584">
        <v>542335</v>
      </c>
      <c r="I7" s="584">
        <v>260995</v>
      </c>
      <c r="J7" s="584">
        <v>803330</v>
      </c>
      <c r="K7" s="2089" t="s">
        <v>2301</v>
      </c>
      <c r="L7" s="584">
        <v>456495</v>
      </c>
      <c r="M7" s="584">
        <v>169297</v>
      </c>
      <c r="N7" s="584">
        <v>625792</v>
      </c>
      <c r="O7" s="584">
        <v>85840</v>
      </c>
      <c r="P7" s="584">
        <v>91698</v>
      </c>
      <c r="Q7" s="584">
        <v>177538</v>
      </c>
    </row>
    <row r="8" spans="1:17">
      <c r="H8" s="584"/>
      <c r="I8" s="584"/>
      <c r="J8" s="584"/>
      <c r="K8" s="2089"/>
      <c r="L8" s="584"/>
      <c r="M8" s="584"/>
      <c r="N8" s="584"/>
      <c r="O8" s="584"/>
      <c r="P8" s="584"/>
      <c r="Q8" s="584"/>
    </row>
    <row r="9" spans="1:17">
      <c r="A9">
        <v>35538</v>
      </c>
      <c r="B9">
        <v>35795</v>
      </c>
      <c r="C9">
        <v>99</v>
      </c>
      <c r="D9">
        <v>908600</v>
      </c>
      <c r="E9" t="s">
        <v>2642</v>
      </c>
      <c r="H9" s="584">
        <v>31096236</v>
      </c>
      <c r="I9" s="584">
        <v>0</v>
      </c>
      <c r="J9" s="584">
        <v>31096236</v>
      </c>
      <c r="K9" s="2089" t="s">
        <v>2634</v>
      </c>
      <c r="L9" s="584">
        <v>24407992</v>
      </c>
      <c r="M9" s="584">
        <v>0</v>
      </c>
      <c r="N9" s="584">
        <v>24407992</v>
      </c>
      <c r="O9" s="584">
        <v>6688244</v>
      </c>
      <c r="P9" s="584">
        <v>0</v>
      </c>
      <c r="Q9" s="584">
        <v>6688244</v>
      </c>
    </row>
    <row r="10" spans="1:17">
      <c r="H10" s="584"/>
      <c r="I10" s="584"/>
      <c r="J10" s="584"/>
      <c r="K10" s="2089"/>
      <c r="L10" s="584"/>
      <c r="M10" s="584"/>
      <c r="N10" s="584"/>
      <c r="O10" s="584"/>
      <c r="P10" s="584"/>
      <c r="Q10" s="584"/>
    </row>
    <row r="11" spans="1:17">
      <c r="A11">
        <v>35539</v>
      </c>
      <c r="B11">
        <v>35796</v>
      </c>
      <c r="C11">
        <v>99</v>
      </c>
      <c r="D11">
        <v>908610</v>
      </c>
      <c r="E11" t="s">
        <v>2641</v>
      </c>
      <c r="H11" s="584">
        <v>161528</v>
      </c>
      <c r="I11" s="584">
        <v>0</v>
      </c>
      <c r="J11" s="584">
        <v>161528</v>
      </c>
      <c r="K11" s="2089" t="s">
        <v>2301</v>
      </c>
      <c r="L11" s="584">
        <v>161528</v>
      </c>
      <c r="M11" s="584">
        <v>0</v>
      </c>
      <c r="N11" s="584">
        <v>161528</v>
      </c>
      <c r="O11" s="584">
        <v>0</v>
      </c>
      <c r="P11" s="584">
        <v>0</v>
      </c>
      <c r="Q11" s="584">
        <v>0</v>
      </c>
    </row>
    <row r="12" spans="1:17">
      <c r="H12" s="584"/>
      <c r="I12" s="584"/>
      <c r="J12" s="584"/>
      <c r="K12" s="2089"/>
      <c r="L12" s="584"/>
      <c r="M12" s="584"/>
      <c r="N12" s="584"/>
      <c r="O12" s="584"/>
      <c r="P12" s="584"/>
      <c r="Q12" s="584"/>
    </row>
    <row r="13" spans="1:17">
      <c r="A13">
        <v>35540</v>
      </c>
      <c r="B13">
        <v>35797</v>
      </c>
      <c r="C13">
        <v>99</v>
      </c>
      <c r="D13">
        <v>908690</v>
      </c>
      <c r="E13" t="s">
        <v>2640</v>
      </c>
      <c r="H13" s="584">
        <v>-191022</v>
      </c>
      <c r="I13" s="584">
        <v>0</v>
      </c>
      <c r="J13" s="584">
        <v>-191022</v>
      </c>
      <c r="K13" s="2089" t="s">
        <v>2630</v>
      </c>
      <c r="L13" s="584">
        <v>38394</v>
      </c>
      <c r="M13" s="584">
        <v>0</v>
      </c>
      <c r="N13" s="584">
        <v>38394</v>
      </c>
      <c r="O13" s="584">
        <v>-229416</v>
      </c>
      <c r="P13" s="584">
        <v>0</v>
      </c>
      <c r="Q13" s="584">
        <v>-229416</v>
      </c>
    </row>
    <row r="14" spans="1:17">
      <c r="H14" s="584"/>
      <c r="I14" s="584"/>
      <c r="J14" s="584"/>
      <c r="K14" s="2089"/>
      <c r="L14" s="584"/>
      <c r="M14" s="584"/>
      <c r="N14" s="584"/>
      <c r="O14" s="584"/>
      <c r="P14" s="584"/>
      <c r="Q14" s="584"/>
    </row>
    <row r="15" spans="1:17">
      <c r="A15">
        <v>35541</v>
      </c>
      <c r="B15">
        <v>35798</v>
      </c>
      <c r="C15">
        <v>99</v>
      </c>
      <c r="D15">
        <v>908990</v>
      </c>
      <c r="E15" t="s">
        <v>2639</v>
      </c>
      <c r="H15" s="584">
        <v>0</v>
      </c>
      <c r="I15" s="584">
        <v>0</v>
      </c>
      <c r="J15" s="584">
        <v>0</v>
      </c>
      <c r="K15" s="2089" t="s">
        <v>2305</v>
      </c>
      <c r="L15" s="584">
        <v>0</v>
      </c>
      <c r="M15" s="584">
        <v>0</v>
      </c>
      <c r="N15" s="584">
        <v>0</v>
      </c>
      <c r="O15" s="584">
        <v>0</v>
      </c>
      <c r="P15" s="584">
        <v>0</v>
      </c>
      <c r="Q15" s="584">
        <v>0</v>
      </c>
    </row>
    <row r="16" spans="1:17">
      <c r="H16" s="584"/>
      <c r="I16" s="584"/>
      <c r="J16" s="584"/>
      <c r="K16" s="2089"/>
      <c r="L16" s="584"/>
      <c r="M16" s="584"/>
      <c r="N16" s="584"/>
      <c r="O16" s="584"/>
      <c r="P16" s="584"/>
      <c r="Q16" s="584"/>
    </row>
    <row r="17" spans="3:17">
      <c r="E17" t="s">
        <v>2638</v>
      </c>
      <c r="H17" s="584">
        <f>SUM(H7:H16)</f>
        <v>31609077</v>
      </c>
      <c r="I17" s="584">
        <f>SUM(I7:I16)</f>
        <v>260995</v>
      </c>
      <c r="J17" s="584">
        <f>SUM(J7:J16)</f>
        <v>31870072</v>
      </c>
      <c r="K17" s="584"/>
      <c r="L17" s="584">
        <f t="shared" ref="L17:Q17" si="0">SUM(L7:L16)</f>
        <v>25064409</v>
      </c>
      <c r="M17" s="584">
        <f t="shared" si="0"/>
        <v>169297</v>
      </c>
      <c r="N17" s="584">
        <f t="shared" si="0"/>
        <v>25233706</v>
      </c>
      <c r="O17" s="584">
        <f t="shared" si="0"/>
        <v>6544668</v>
      </c>
      <c r="P17" s="584">
        <f t="shared" si="0"/>
        <v>91698</v>
      </c>
      <c r="Q17" s="584">
        <f t="shared" si="0"/>
        <v>6636366</v>
      </c>
    </row>
    <row r="18" spans="3:17">
      <c r="Q18" t="s">
        <v>97</v>
      </c>
    </row>
    <row r="19" spans="3:17">
      <c r="H19" s="2088"/>
    </row>
    <row r="20" spans="3:17">
      <c r="H20" s="2087"/>
      <c r="I20" s="2087"/>
    </row>
    <row r="21" spans="3:17">
      <c r="C21" t="s">
        <v>2372</v>
      </c>
    </row>
    <row r="22" spans="3:17">
      <c r="C22" t="s">
        <v>2368</v>
      </c>
      <c r="D22">
        <v>2</v>
      </c>
      <c r="E22" t="s">
        <v>2637</v>
      </c>
      <c r="I22" s="1134">
        <v>1</v>
      </c>
      <c r="M22" s="1134">
        <v>0.64866000000000001</v>
      </c>
      <c r="P22" s="1134">
        <v>0.35133999999999999</v>
      </c>
    </row>
    <row r="23" spans="3:17">
      <c r="C23" t="s">
        <v>2368</v>
      </c>
      <c r="D23">
        <v>99</v>
      </c>
      <c r="E23" t="s">
        <v>2367</v>
      </c>
      <c r="I23" s="1134">
        <v>0</v>
      </c>
      <c r="M23" s="1134">
        <v>0</v>
      </c>
      <c r="P23" s="1134">
        <v>0</v>
      </c>
    </row>
    <row r="26" spans="3:17" ht="16.5" thickBot="1"/>
    <row r="27" spans="3:17">
      <c r="C27" s="2062" t="s">
        <v>2636</v>
      </c>
      <c r="D27" s="2061"/>
      <c r="E27" s="2061"/>
      <c r="F27" s="2061"/>
      <c r="G27" s="2061"/>
      <c r="H27" s="2061"/>
      <c r="I27" s="2061"/>
      <c r="J27" s="2061"/>
      <c r="K27" s="2061"/>
      <c r="L27" s="2061"/>
      <c r="M27" s="2061"/>
      <c r="N27" s="2060"/>
    </row>
    <row r="28" spans="3:17">
      <c r="C28" s="2054" t="s">
        <v>2635</v>
      </c>
      <c r="H28" t="s">
        <v>105</v>
      </c>
      <c r="I28" s="2085" t="s">
        <v>2305</v>
      </c>
      <c r="J28" s="584">
        <f>G46+G47</f>
        <v>21134113.880000003</v>
      </c>
      <c r="K28" s="584"/>
      <c r="N28" s="2086">
        <f>J28/J30</f>
        <v>0.6796357565590897</v>
      </c>
    </row>
    <row r="29" spans="3:17">
      <c r="C29" s="2054" t="s">
        <v>2631</v>
      </c>
      <c r="H29" t="s">
        <v>516</v>
      </c>
      <c r="I29" s="2085" t="s">
        <v>2301</v>
      </c>
      <c r="J29" s="584">
        <f>G48+G49</f>
        <v>9962121.9600000009</v>
      </c>
      <c r="K29" s="584"/>
      <c r="N29" s="2086">
        <f>J29/J30</f>
        <v>0.32036423829559313</v>
      </c>
    </row>
    <row r="30" spans="3:17">
      <c r="C30" s="2054"/>
      <c r="I30" s="2084" t="s">
        <v>2634</v>
      </c>
      <c r="J30" s="2024">
        <f>J9</f>
        <v>31096236</v>
      </c>
      <c r="K30" s="584"/>
      <c r="N30" s="2058"/>
    </row>
    <row r="31" spans="3:17">
      <c r="C31" s="2054" t="s">
        <v>2633</v>
      </c>
      <c r="I31" s="2085"/>
      <c r="N31" s="2058"/>
    </row>
    <row r="32" spans="3:17">
      <c r="C32" s="2054" t="s">
        <v>2632</v>
      </c>
      <c r="H32" t="s">
        <v>105</v>
      </c>
      <c r="I32" s="2085" t="s">
        <v>2305</v>
      </c>
      <c r="J32" s="584">
        <f>N28*J34</f>
        <v>-129825.38148943044</v>
      </c>
      <c r="K32" s="584"/>
      <c r="N32" s="2058"/>
    </row>
    <row r="33" spans="3:14">
      <c r="C33" s="2054" t="s">
        <v>2631</v>
      </c>
      <c r="H33" t="s">
        <v>516</v>
      </c>
      <c r="I33" s="2085" t="s">
        <v>2301</v>
      </c>
      <c r="J33" s="584">
        <f>N29*J34</f>
        <v>-61196.617527700793</v>
      </c>
      <c r="K33" s="584"/>
      <c r="N33" s="2058"/>
    </row>
    <row r="34" spans="3:14">
      <c r="C34" s="2054"/>
      <c r="I34" s="2084" t="s">
        <v>2630</v>
      </c>
      <c r="J34" s="2024">
        <f>J13</f>
        <v>-191022</v>
      </c>
      <c r="K34" s="584"/>
      <c r="N34" s="2058"/>
    </row>
    <row r="35" spans="3:14">
      <c r="C35" s="2054" t="s">
        <v>2629</v>
      </c>
      <c r="N35" s="2058"/>
    </row>
    <row r="36" spans="3:14">
      <c r="C36" s="2054" t="s">
        <v>105</v>
      </c>
      <c r="H36" t="s">
        <v>2628</v>
      </c>
      <c r="J36" s="584">
        <f>J28+J32-1</f>
        <v>21004287.498510573</v>
      </c>
      <c r="K36" s="584"/>
      <c r="N36" s="2058"/>
    </row>
    <row r="37" spans="3:14">
      <c r="C37" s="2054" t="s">
        <v>516</v>
      </c>
      <c r="H37" t="s">
        <v>2627</v>
      </c>
      <c r="J37" s="584">
        <f>J7+J11+J29+J33</f>
        <v>10865783.3424723</v>
      </c>
      <c r="K37" s="584"/>
      <c r="N37" s="2058"/>
    </row>
    <row r="38" spans="3:14">
      <c r="C38" s="2054"/>
      <c r="H38" t="s">
        <v>2626</v>
      </c>
      <c r="J38" t="s">
        <v>2224</v>
      </c>
      <c r="N38" s="2058"/>
    </row>
    <row r="39" spans="3:14">
      <c r="C39" s="2054"/>
      <c r="J39" s="2024">
        <f>SUM(J36:J38)</f>
        <v>31870070.840982873</v>
      </c>
      <c r="K39" s="584"/>
      <c r="N39" s="2058"/>
    </row>
    <row r="40" spans="3:14" ht="16.5" thickBot="1">
      <c r="C40" s="2052"/>
      <c r="D40" s="2051"/>
      <c r="E40" s="2051"/>
      <c r="F40" s="2051"/>
      <c r="G40" s="2051"/>
      <c r="H40" s="2051"/>
      <c r="I40" s="2051"/>
      <c r="J40" s="2083">
        <f>J39-J17</f>
        <v>-1.159017127007246</v>
      </c>
      <c r="K40" s="2051"/>
      <c r="L40" s="2051"/>
      <c r="M40" s="2051"/>
      <c r="N40" s="2080"/>
    </row>
    <row r="43" spans="3:14" ht="16.5" thickBot="1"/>
    <row r="44" spans="3:14">
      <c r="C44" s="2062" t="s">
        <v>2625</v>
      </c>
      <c r="D44" s="2061"/>
      <c r="E44" s="2061"/>
      <c r="F44" s="2061"/>
      <c r="G44" s="2061"/>
      <c r="H44" s="2060"/>
      <c r="K44" t="s">
        <v>2635</v>
      </c>
      <c r="L44" t="s">
        <v>2631</v>
      </c>
      <c r="M44" t="s">
        <v>3068</v>
      </c>
    </row>
    <row r="45" spans="3:14">
      <c r="C45" s="2054" t="s">
        <v>2624</v>
      </c>
      <c r="D45" t="s">
        <v>2320</v>
      </c>
      <c r="F45" t="s">
        <v>2623</v>
      </c>
      <c r="G45" t="s">
        <v>2553</v>
      </c>
      <c r="H45" s="2058"/>
      <c r="J45">
        <v>202301</v>
      </c>
      <c r="K45" s="2132">
        <v>1413339.14</v>
      </c>
      <c r="L45" s="2132">
        <v>935800.37</v>
      </c>
      <c r="M45" s="2132">
        <v>-47699.839999999997</v>
      </c>
    </row>
    <row r="46" spans="3:14" ht="15.75" customHeight="1">
      <c r="C46" s="2054">
        <v>908600</v>
      </c>
      <c r="D46" t="s">
        <v>2293</v>
      </c>
      <c r="F46" t="s">
        <v>2622</v>
      </c>
      <c r="G46" s="1994">
        <f>O9</f>
        <v>6688244</v>
      </c>
      <c r="H46" s="2058"/>
      <c r="I46" s="2082"/>
      <c r="J46">
        <v>202302</v>
      </c>
      <c r="K46" s="2132">
        <v>1244421.67</v>
      </c>
      <c r="L46" s="2132">
        <v>846072.55</v>
      </c>
      <c r="M46" s="2132">
        <v>-41837.71</v>
      </c>
    </row>
    <row r="47" spans="3:14">
      <c r="C47" s="2054"/>
      <c r="F47" t="s">
        <v>2621</v>
      </c>
      <c r="G47" s="1994">
        <v>14445869.880000001</v>
      </c>
      <c r="H47" s="2058"/>
      <c r="I47" s="2082"/>
      <c r="J47">
        <v>202303</v>
      </c>
      <c r="K47" s="2132">
        <v>1418540.8</v>
      </c>
      <c r="L47" s="2132">
        <v>971477.49</v>
      </c>
      <c r="M47" s="2132">
        <v>-45042.83</v>
      </c>
    </row>
    <row r="48" spans="3:14">
      <c r="C48" s="2054"/>
      <c r="F48" t="s">
        <v>2620</v>
      </c>
      <c r="G48" s="1994">
        <v>10235269</v>
      </c>
      <c r="H48" s="2058"/>
      <c r="I48" s="2082"/>
      <c r="J48">
        <v>202304</v>
      </c>
      <c r="K48" s="2132">
        <v>1053673.69</v>
      </c>
      <c r="L48" s="2132">
        <v>716870.77</v>
      </c>
      <c r="M48" s="2132">
        <v>-32245.16</v>
      </c>
    </row>
    <row r="49" spans="3:13">
      <c r="C49" s="2054"/>
      <c r="F49" t="s">
        <v>2619</v>
      </c>
      <c r="G49" s="1994">
        <v>-273147.03999999998</v>
      </c>
      <c r="H49" s="2058"/>
      <c r="I49" s="2082"/>
      <c r="J49">
        <v>202305</v>
      </c>
      <c r="K49" s="2132">
        <v>1077571.28</v>
      </c>
      <c r="L49" s="2132">
        <v>732544.92</v>
      </c>
      <c r="M49" s="2132">
        <v>-24040.61</v>
      </c>
    </row>
    <row r="50" spans="3:13">
      <c r="C50" s="2054"/>
      <c r="D50" t="s">
        <v>2618</v>
      </c>
      <c r="G50" s="2002">
        <f>SUM(G46:G49)</f>
        <v>31096235.840000004</v>
      </c>
      <c r="H50" s="2058"/>
      <c r="J50">
        <v>202306</v>
      </c>
      <c r="K50" s="2132">
        <v>1056025.0900000001</v>
      </c>
      <c r="L50" s="2132">
        <v>712776.52</v>
      </c>
      <c r="M50" s="2132">
        <v>-19520.830000000002</v>
      </c>
    </row>
    <row r="51" spans="3:13" ht="16.5" thickBot="1">
      <c r="C51" s="2052" t="s">
        <v>2617</v>
      </c>
      <c r="D51" s="2051"/>
      <c r="E51" s="2051"/>
      <c r="F51" s="2051"/>
      <c r="G51" s="2081"/>
      <c r="H51" s="2080"/>
      <c r="J51">
        <v>202307</v>
      </c>
      <c r="K51" s="2132">
        <v>1170813.49</v>
      </c>
      <c r="L51" s="2132">
        <v>789309.45</v>
      </c>
      <c r="M51" s="2132">
        <v>-21262.44</v>
      </c>
    </row>
    <row r="52" spans="3:13">
      <c r="J52">
        <v>202308</v>
      </c>
      <c r="K52" s="2132">
        <v>1266117.73</v>
      </c>
      <c r="L52" s="2132">
        <v>857463.91</v>
      </c>
      <c r="M52" s="2132">
        <v>-22522.23</v>
      </c>
    </row>
    <row r="53" spans="3:13">
      <c r="J53">
        <v>202309</v>
      </c>
      <c r="K53" s="2132">
        <v>1128289.6200000001</v>
      </c>
      <c r="L53" s="2132">
        <v>758207.27</v>
      </c>
      <c r="M53" s="2132">
        <v>-19192.71</v>
      </c>
    </row>
    <row r="54" spans="3:13">
      <c r="J54">
        <v>202310</v>
      </c>
      <c r="K54" s="2132">
        <v>988367.96</v>
      </c>
      <c r="L54" s="2132">
        <v>658319.32999999996</v>
      </c>
      <c r="M54" s="2132">
        <v>-28.98</v>
      </c>
    </row>
    <row r="55" spans="3:13">
      <c r="J55">
        <v>202311</v>
      </c>
      <c r="K55" s="2132">
        <v>1115812.49</v>
      </c>
      <c r="L55" s="2132">
        <v>992655.78</v>
      </c>
      <c r="M55" s="2132"/>
    </row>
    <row r="56" spans="3:13">
      <c r="J56">
        <v>202312</v>
      </c>
      <c r="K56" s="2132">
        <v>1512896.92</v>
      </c>
      <c r="L56" s="2132">
        <v>1263770.67</v>
      </c>
      <c r="M56" s="2132">
        <v>246.3</v>
      </c>
    </row>
    <row r="57" spans="3:13">
      <c r="K57" s="2132">
        <f>SUM(K45:K56)</f>
        <v>14445869.879999999</v>
      </c>
      <c r="L57" s="2132">
        <f>SUM(L45:L56)</f>
        <v>10235269.030000001</v>
      </c>
      <c r="M57" s="2132">
        <f>SUM(M45:M56)</f>
        <v>-273147.04000000004</v>
      </c>
    </row>
    <row r="58" spans="3:13">
      <c r="K58" s="584"/>
      <c r="L58" s="584"/>
      <c r="M58" s="584"/>
    </row>
  </sheetData>
  <pageMargins left="0.7" right="0.7" top="0.75" bottom="0.75" header="0.3" footer="0.3"/>
  <pageSetup orientation="portrait" r:id="rId1"/>
  <customProperties>
    <customPr name="xxe4aP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DF923-3F44-4193-9290-9FF8EBD11E21}">
  <sheetPr codeName="Sheet38"/>
  <dimension ref="A1:R42"/>
  <sheetViews>
    <sheetView topLeftCell="A10" zoomScale="110" zoomScaleNormal="110" workbookViewId="0">
      <selection activeCell="L41" sqref="L41"/>
    </sheetView>
  </sheetViews>
  <sheetFormatPr defaultRowHeight="15.75"/>
  <cols>
    <col min="7" max="7" width="20.625" customWidth="1"/>
    <col min="8" max="8" width="19.625" customWidth="1"/>
    <col min="9" max="10" width="11.25" bestFit="1" customWidth="1"/>
    <col min="11" max="11" width="11.25" customWidth="1"/>
    <col min="12" max="12" width="17" customWidth="1"/>
    <col min="13" max="13" width="11.125" bestFit="1" customWidth="1"/>
    <col min="14" max="14" width="10.5" bestFit="1" customWidth="1"/>
    <col min="15" max="15" width="10.25" bestFit="1" customWidth="1"/>
    <col min="16" max="17" width="10.5" bestFit="1" customWidth="1"/>
  </cols>
  <sheetData>
    <row r="1" spans="1:18">
      <c r="C1" t="s">
        <v>2409</v>
      </c>
      <c r="G1" t="s">
        <v>2408</v>
      </c>
      <c r="I1" t="s">
        <v>97</v>
      </c>
      <c r="J1" t="s">
        <v>2407</v>
      </c>
    </row>
    <row r="2" spans="1:18">
      <c r="C2" t="s">
        <v>2678</v>
      </c>
      <c r="G2" t="s">
        <v>2677</v>
      </c>
    </row>
    <row r="3" spans="1:18">
      <c r="C3" t="s">
        <v>2404</v>
      </c>
    </row>
    <row r="4" spans="1:18">
      <c r="C4" t="s">
        <v>2402</v>
      </c>
      <c r="H4" t="s">
        <v>2646</v>
      </c>
      <c r="L4" t="s">
        <v>2645</v>
      </c>
      <c r="O4" t="s">
        <v>2644</v>
      </c>
    </row>
    <row r="5" spans="1:18">
      <c r="A5" t="s">
        <v>2189</v>
      </c>
      <c r="B5" t="s">
        <v>2394</v>
      </c>
      <c r="C5" t="s">
        <v>2398</v>
      </c>
      <c r="D5" t="s">
        <v>96</v>
      </c>
      <c r="E5" t="s">
        <v>231</v>
      </c>
      <c r="H5" t="s">
        <v>2189</v>
      </c>
      <c r="I5" t="s">
        <v>2394</v>
      </c>
      <c r="J5" t="s">
        <v>104</v>
      </c>
      <c r="L5" t="s">
        <v>2189</v>
      </c>
      <c r="M5" t="s">
        <v>2394</v>
      </c>
      <c r="N5" t="s">
        <v>104</v>
      </c>
      <c r="O5" t="s">
        <v>2189</v>
      </c>
      <c r="P5" t="s">
        <v>2394</v>
      </c>
      <c r="Q5" t="s">
        <v>104</v>
      </c>
    </row>
    <row r="6" spans="1:18">
      <c r="A6">
        <v>35511</v>
      </c>
      <c r="B6">
        <v>35768</v>
      </c>
      <c r="C6">
        <v>1</v>
      </c>
      <c r="D6">
        <v>557000</v>
      </c>
      <c r="E6" t="s">
        <v>267</v>
      </c>
      <c r="H6" s="1994">
        <v>41162</v>
      </c>
      <c r="I6" s="1994">
        <v>5905064</v>
      </c>
      <c r="J6" s="1994">
        <v>5946226</v>
      </c>
      <c r="K6" s="1994"/>
      <c r="L6" s="1994">
        <v>3807585</v>
      </c>
      <c r="M6" s="1994">
        <v>3848747</v>
      </c>
      <c r="N6" s="1994">
        <v>0</v>
      </c>
      <c r="O6" s="1994">
        <v>2097479</v>
      </c>
      <c r="P6" s="1994">
        <v>2097479</v>
      </c>
      <c r="Q6" s="1994">
        <v>2400827</v>
      </c>
      <c r="R6" s="1994"/>
    </row>
    <row r="7" spans="1:18">
      <c r="A7">
        <v>35512</v>
      </c>
      <c r="B7">
        <v>35769</v>
      </c>
      <c r="C7">
        <v>1</v>
      </c>
      <c r="D7">
        <v>557010</v>
      </c>
      <c r="E7" t="s">
        <v>2676</v>
      </c>
      <c r="H7" s="1994">
        <v>0</v>
      </c>
      <c r="I7" s="1994">
        <v>-23206363</v>
      </c>
      <c r="J7" s="1994">
        <v>-23206363</v>
      </c>
      <c r="K7" s="2090" t="s">
        <v>2649</v>
      </c>
      <c r="L7" s="1994">
        <v>-14963463</v>
      </c>
      <c r="M7" s="1994">
        <v>-14963463</v>
      </c>
      <c r="N7" s="1994">
        <v>0</v>
      </c>
      <c r="O7" s="1994">
        <v>-8242900</v>
      </c>
      <c r="P7" s="1994">
        <v>-8242900</v>
      </c>
      <c r="Q7" s="1994">
        <v>-1179326</v>
      </c>
      <c r="R7" s="1994"/>
    </row>
    <row r="8" spans="1:18">
      <c r="A8">
        <v>429684</v>
      </c>
      <c r="B8">
        <v>429689</v>
      </c>
      <c r="C8">
        <v>1</v>
      </c>
      <c r="D8">
        <v>557018</v>
      </c>
      <c r="E8" t="s">
        <v>2675</v>
      </c>
      <c r="H8" s="1994">
        <v>0</v>
      </c>
      <c r="I8" s="1994">
        <v>50279</v>
      </c>
      <c r="J8" s="1994">
        <v>50279</v>
      </c>
      <c r="K8" s="2090"/>
      <c r="L8" s="1994">
        <v>32420</v>
      </c>
      <c r="M8" s="1994">
        <v>32420</v>
      </c>
      <c r="N8" s="1994">
        <v>0</v>
      </c>
      <c r="O8" s="1994">
        <v>17859</v>
      </c>
      <c r="P8" s="1994">
        <v>17859</v>
      </c>
      <c r="Q8" s="1994">
        <v>17226</v>
      </c>
      <c r="R8" s="1994"/>
    </row>
    <row r="9" spans="1:18">
      <c r="A9">
        <v>35513</v>
      </c>
      <c r="B9">
        <v>35770</v>
      </c>
      <c r="C9">
        <v>1</v>
      </c>
      <c r="D9">
        <v>557150</v>
      </c>
      <c r="E9" t="s">
        <v>2674</v>
      </c>
      <c r="H9" s="1994">
        <v>0</v>
      </c>
      <c r="I9" s="1994">
        <v>16124680</v>
      </c>
      <c r="J9" s="1994">
        <v>16124680</v>
      </c>
      <c r="K9" s="2090" t="s">
        <v>2649</v>
      </c>
      <c r="L9" s="1994">
        <v>10397194</v>
      </c>
      <c r="M9" s="1994">
        <v>10397194</v>
      </c>
      <c r="N9" s="1994">
        <v>0</v>
      </c>
      <c r="O9" s="1994">
        <v>5727486</v>
      </c>
      <c r="P9" s="1994">
        <v>5727486</v>
      </c>
      <c r="Q9" s="1994">
        <v>-4908444</v>
      </c>
      <c r="R9" s="1994"/>
    </row>
    <row r="10" spans="1:18">
      <c r="A10">
        <v>35514</v>
      </c>
      <c r="B10">
        <v>35771</v>
      </c>
      <c r="C10">
        <v>1</v>
      </c>
      <c r="D10">
        <v>557160</v>
      </c>
      <c r="E10" t="s">
        <v>2673</v>
      </c>
      <c r="H10" s="1994">
        <v>0</v>
      </c>
      <c r="I10" s="1994">
        <v>328862</v>
      </c>
      <c r="J10" s="1994">
        <v>328862</v>
      </c>
      <c r="K10" s="2090"/>
      <c r="L10" s="1994">
        <v>212050</v>
      </c>
      <c r="M10" s="1994">
        <v>212050</v>
      </c>
      <c r="N10" s="1994">
        <v>0</v>
      </c>
      <c r="O10" s="1994">
        <v>116812</v>
      </c>
      <c r="P10" s="1994">
        <v>116812</v>
      </c>
      <c r="Q10" s="1994">
        <v>499596</v>
      </c>
      <c r="R10" s="1994"/>
    </row>
    <row r="11" spans="1:18">
      <c r="A11">
        <v>35515</v>
      </c>
      <c r="B11">
        <v>35772</v>
      </c>
      <c r="C11">
        <v>99</v>
      </c>
      <c r="D11">
        <v>557161</v>
      </c>
      <c r="E11" t="s">
        <v>2672</v>
      </c>
      <c r="H11" s="1994">
        <v>996766</v>
      </c>
      <c r="I11" s="1994">
        <v>0</v>
      </c>
      <c r="J11" s="1994">
        <v>996766</v>
      </c>
      <c r="K11" s="2090" t="s">
        <v>2649</v>
      </c>
      <c r="L11" s="1994">
        <v>0</v>
      </c>
      <c r="M11" s="1994">
        <v>543037</v>
      </c>
      <c r="N11" s="1994">
        <v>453729</v>
      </c>
      <c r="O11" s="1994">
        <v>0</v>
      </c>
      <c r="P11" s="1994">
        <v>453729</v>
      </c>
      <c r="Q11" s="1994">
        <v>461272</v>
      </c>
      <c r="R11" s="1994"/>
    </row>
    <row r="12" spans="1:18">
      <c r="A12">
        <v>423877</v>
      </c>
      <c r="B12">
        <v>423882</v>
      </c>
      <c r="C12">
        <v>1</v>
      </c>
      <c r="D12">
        <v>557165</v>
      </c>
      <c r="E12" t="s">
        <v>2671</v>
      </c>
      <c r="H12" s="1994">
        <v>0</v>
      </c>
      <c r="I12" s="1994">
        <v>1006261</v>
      </c>
      <c r="J12" s="1994">
        <v>1006261</v>
      </c>
      <c r="K12" s="2090"/>
      <c r="L12" s="1994">
        <v>648837</v>
      </c>
      <c r="M12" s="1994">
        <v>648837</v>
      </c>
      <c r="N12" s="1994">
        <v>0</v>
      </c>
      <c r="O12" s="1994">
        <v>357424</v>
      </c>
      <c r="P12" s="1994">
        <v>357424</v>
      </c>
      <c r="Q12" s="1994">
        <v>78105</v>
      </c>
      <c r="R12" s="1994"/>
    </row>
    <row r="13" spans="1:18">
      <c r="A13">
        <v>476085</v>
      </c>
      <c r="B13">
        <v>476090</v>
      </c>
      <c r="C13">
        <v>1</v>
      </c>
      <c r="D13">
        <v>557167</v>
      </c>
      <c r="E13" t="s">
        <v>2670</v>
      </c>
      <c r="H13" s="1994">
        <v>0</v>
      </c>
      <c r="I13" s="1994">
        <v>319000</v>
      </c>
      <c r="J13" s="1994">
        <v>319000</v>
      </c>
      <c r="K13" s="2090"/>
      <c r="L13" s="1994">
        <v>205691</v>
      </c>
      <c r="M13" s="1994">
        <v>205691</v>
      </c>
      <c r="N13" s="1994">
        <v>0</v>
      </c>
      <c r="O13" s="1994">
        <v>113309</v>
      </c>
      <c r="P13" s="1994">
        <v>113309</v>
      </c>
      <c r="Q13" s="1994"/>
      <c r="R13" s="1994"/>
    </row>
    <row r="14" spans="1:18">
      <c r="A14">
        <v>35516</v>
      </c>
      <c r="B14">
        <v>35773</v>
      </c>
      <c r="C14">
        <v>1</v>
      </c>
      <c r="D14">
        <v>557170</v>
      </c>
      <c r="E14" t="s">
        <v>2669</v>
      </c>
      <c r="H14" s="1994">
        <v>1860</v>
      </c>
      <c r="I14" s="1994">
        <v>762432</v>
      </c>
      <c r="J14" s="1994">
        <v>764292</v>
      </c>
      <c r="K14" s="2090"/>
      <c r="L14" s="1994">
        <v>491616</v>
      </c>
      <c r="M14" s="1994">
        <v>491616</v>
      </c>
      <c r="N14" s="1994">
        <v>1860</v>
      </c>
      <c r="O14" s="1994">
        <v>270816</v>
      </c>
      <c r="P14" s="1994">
        <v>272676</v>
      </c>
      <c r="Q14" s="1994">
        <v>100658</v>
      </c>
      <c r="R14" s="1994"/>
    </row>
    <row r="15" spans="1:18">
      <c r="A15">
        <v>292276</v>
      </c>
      <c r="B15">
        <v>292281</v>
      </c>
      <c r="C15">
        <v>1</v>
      </c>
      <c r="D15">
        <v>557171</v>
      </c>
      <c r="E15" t="s">
        <v>2668</v>
      </c>
      <c r="H15" s="1994">
        <v>0</v>
      </c>
      <c r="I15" s="1994">
        <v>57243</v>
      </c>
      <c r="J15" s="1994">
        <v>57243</v>
      </c>
      <c r="K15" s="2090"/>
      <c r="L15" s="1994">
        <v>36910</v>
      </c>
      <c r="M15" s="1994">
        <v>36910</v>
      </c>
      <c r="N15" s="1994">
        <v>0</v>
      </c>
      <c r="O15" s="1994">
        <v>20333</v>
      </c>
      <c r="P15" s="1994">
        <v>20333</v>
      </c>
      <c r="Q15" s="1994">
        <v>16340</v>
      </c>
      <c r="R15" s="1994"/>
    </row>
    <row r="16" spans="1:18">
      <c r="A16">
        <v>404876</v>
      </c>
      <c r="B16">
        <v>404881</v>
      </c>
      <c r="C16">
        <v>1</v>
      </c>
      <c r="D16">
        <v>557172</v>
      </c>
      <c r="E16" t="s">
        <v>2667</v>
      </c>
      <c r="H16" s="1994">
        <v>0</v>
      </c>
      <c r="I16" s="1994">
        <v>0</v>
      </c>
      <c r="J16" s="1994">
        <v>0</v>
      </c>
      <c r="K16" s="2090"/>
      <c r="L16" s="1994">
        <v>0</v>
      </c>
      <c r="M16" s="1994">
        <v>0</v>
      </c>
      <c r="N16" s="1994">
        <v>0</v>
      </c>
      <c r="O16" s="1994">
        <v>0</v>
      </c>
      <c r="P16" s="1994">
        <v>0</v>
      </c>
      <c r="Q16" s="1994">
        <v>0</v>
      </c>
      <c r="R16" s="1994"/>
    </row>
    <row r="17" spans="1:18">
      <c r="A17">
        <v>455700</v>
      </c>
      <c r="B17">
        <v>455705</v>
      </c>
      <c r="C17">
        <v>1</v>
      </c>
      <c r="D17">
        <v>557175</v>
      </c>
      <c r="E17" t="s">
        <v>2666</v>
      </c>
      <c r="H17" s="1994">
        <v>1241395</v>
      </c>
      <c r="I17" s="1994">
        <v>0</v>
      </c>
      <c r="J17" s="1994">
        <v>1241395</v>
      </c>
      <c r="K17" s="2090"/>
      <c r="L17" s="1994">
        <v>0</v>
      </c>
      <c r="M17" s="1994">
        <v>1241395</v>
      </c>
      <c r="N17" s="1994">
        <v>0</v>
      </c>
      <c r="O17" s="1994">
        <v>0</v>
      </c>
      <c r="P17" s="1994">
        <v>0</v>
      </c>
      <c r="Q17" s="1994"/>
      <c r="R17" s="1994"/>
    </row>
    <row r="18" spans="1:18">
      <c r="A18">
        <v>35517</v>
      </c>
      <c r="B18">
        <v>35774</v>
      </c>
      <c r="C18">
        <v>1</v>
      </c>
      <c r="D18">
        <v>557200</v>
      </c>
      <c r="E18" t="s">
        <v>1662</v>
      </c>
      <c r="H18" s="1994">
        <v>818678</v>
      </c>
      <c r="I18" s="1994">
        <v>0</v>
      </c>
      <c r="J18" s="1994">
        <v>818678</v>
      </c>
      <c r="K18" s="2090" t="s">
        <v>2649</v>
      </c>
      <c r="L18" s="1994">
        <v>0</v>
      </c>
      <c r="M18" s="1994">
        <v>497498</v>
      </c>
      <c r="N18" s="1994">
        <v>321180</v>
      </c>
      <c r="O18" s="1994">
        <v>0</v>
      </c>
      <c r="P18" s="1994">
        <v>321180</v>
      </c>
      <c r="Q18" s="1994">
        <v>321180</v>
      </c>
      <c r="R18" s="1994"/>
    </row>
    <row r="19" spans="1:18">
      <c r="A19">
        <v>35518</v>
      </c>
      <c r="B19">
        <v>35775</v>
      </c>
      <c r="C19">
        <v>99</v>
      </c>
      <c r="D19">
        <v>557280</v>
      </c>
      <c r="E19" t="s">
        <v>2665</v>
      </c>
      <c r="H19" s="1994">
        <v>-15519489</v>
      </c>
      <c r="I19" s="1994">
        <v>0</v>
      </c>
      <c r="J19" s="1994">
        <v>-15519489</v>
      </c>
      <c r="K19" s="2090" t="s">
        <v>2649</v>
      </c>
      <c r="L19" s="1994">
        <v>0</v>
      </c>
      <c r="M19" s="1994">
        <v>-15519489</v>
      </c>
      <c r="N19" s="1994">
        <v>0</v>
      </c>
      <c r="O19" s="1994">
        <v>0</v>
      </c>
      <c r="P19" s="1994">
        <v>0</v>
      </c>
      <c r="Q19" s="1994">
        <v>0</v>
      </c>
      <c r="R19" s="1994"/>
    </row>
    <row r="20" spans="1:18">
      <c r="A20">
        <v>273875</v>
      </c>
      <c r="B20">
        <v>273880</v>
      </c>
      <c r="C20">
        <v>99</v>
      </c>
      <c r="D20">
        <v>557270</v>
      </c>
      <c r="E20" t="s">
        <v>2664</v>
      </c>
      <c r="H20" s="1994">
        <v>0</v>
      </c>
      <c r="I20" s="1994">
        <v>0</v>
      </c>
      <c r="J20" s="1994">
        <v>0</v>
      </c>
      <c r="K20" s="2090"/>
      <c r="L20" s="1994">
        <v>0</v>
      </c>
      <c r="M20" s="1994">
        <v>0</v>
      </c>
      <c r="N20" s="1994">
        <v>0</v>
      </c>
      <c r="O20" s="1994">
        <v>0</v>
      </c>
      <c r="P20" s="1994">
        <v>0</v>
      </c>
      <c r="Q20" s="1994">
        <v>0</v>
      </c>
      <c r="R20" s="1994"/>
    </row>
    <row r="21" spans="1:18">
      <c r="A21">
        <v>35519</v>
      </c>
      <c r="B21">
        <v>35776</v>
      </c>
      <c r="C21">
        <v>99</v>
      </c>
      <c r="D21">
        <v>557290</v>
      </c>
      <c r="E21" t="s">
        <v>2663</v>
      </c>
      <c r="H21" s="1994">
        <v>7568951</v>
      </c>
      <c r="I21" s="1994">
        <v>0</v>
      </c>
      <c r="J21" s="1994">
        <v>7568951</v>
      </c>
      <c r="K21" s="2090" t="s">
        <v>2649</v>
      </c>
      <c r="L21" s="1994">
        <v>0</v>
      </c>
      <c r="M21" s="1994">
        <v>7568951</v>
      </c>
      <c r="N21" s="1994">
        <v>0</v>
      </c>
      <c r="O21" s="1994">
        <v>0</v>
      </c>
      <c r="P21" s="1994">
        <v>0</v>
      </c>
      <c r="Q21" s="1994">
        <v>0</v>
      </c>
      <c r="R21" s="1994"/>
    </row>
    <row r="22" spans="1:18">
      <c r="A22">
        <v>81870</v>
      </c>
      <c r="B22">
        <v>81875</v>
      </c>
      <c r="C22">
        <v>1</v>
      </c>
      <c r="D22">
        <v>557312</v>
      </c>
      <c r="E22" t="s">
        <v>2662</v>
      </c>
      <c r="H22" s="1994">
        <v>0</v>
      </c>
      <c r="I22" s="1994">
        <v>0</v>
      </c>
      <c r="J22" s="1994">
        <v>0</v>
      </c>
      <c r="K22" s="2090"/>
      <c r="L22" s="1994">
        <v>0</v>
      </c>
      <c r="M22" s="1994">
        <v>0</v>
      </c>
      <c r="N22" s="1994">
        <v>0</v>
      </c>
      <c r="O22" s="1994">
        <v>0</v>
      </c>
      <c r="P22" s="1994">
        <v>0</v>
      </c>
      <c r="Q22" s="1994">
        <v>0</v>
      </c>
      <c r="R22" s="1994"/>
    </row>
    <row r="23" spans="1:18">
      <c r="A23">
        <v>281876</v>
      </c>
      <c r="B23">
        <v>281881</v>
      </c>
      <c r="C23">
        <v>1</v>
      </c>
      <c r="D23">
        <v>557322</v>
      </c>
      <c r="E23" t="s">
        <v>2661</v>
      </c>
      <c r="H23" s="1994">
        <v>1308033</v>
      </c>
      <c r="I23" s="1994">
        <v>0</v>
      </c>
      <c r="J23" s="1994">
        <v>1308033</v>
      </c>
      <c r="K23" s="2090"/>
      <c r="L23" s="1994">
        <v>0</v>
      </c>
      <c r="M23" s="1994">
        <v>1308033</v>
      </c>
      <c r="N23" s="1994">
        <v>0</v>
      </c>
      <c r="O23" s="1994">
        <v>0</v>
      </c>
      <c r="P23" s="1994">
        <v>0</v>
      </c>
      <c r="Q23" s="1994">
        <v>0</v>
      </c>
      <c r="R23" s="1994"/>
    </row>
    <row r="24" spans="1:18">
      <c r="A24">
        <v>401870</v>
      </c>
      <c r="B24">
        <v>401875</v>
      </c>
      <c r="C24">
        <v>99</v>
      </c>
      <c r="D24">
        <v>557324</v>
      </c>
      <c r="E24" t="s">
        <v>2660</v>
      </c>
      <c r="H24" s="1994">
        <v>-2580933</v>
      </c>
      <c r="I24" s="1994">
        <v>0</v>
      </c>
      <c r="J24" s="1994">
        <v>-2580933</v>
      </c>
      <c r="K24" s="2090"/>
      <c r="L24" s="1994">
        <v>0</v>
      </c>
      <c r="M24" s="1994">
        <v>-2580933</v>
      </c>
      <c r="N24" s="1994">
        <v>0</v>
      </c>
      <c r="O24" s="1994">
        <v>0</v>
      </c>
      <c r="P24" s="1994">
        <v>0</v>
      </c>
      <c r="Q24" s="1994">
        <v>0</v>
      </c>
      <c r="R24" s="1994"/>
    </row>
    <row r="25" spans="1:18">
      <c r="A25">
        <v>301670</v>
      </c>
      <c r="B25">
        <v>301675</v>
      </c>
      <c r="C25">
        <v>99</v>
      </c>
      <c r="D25">
        <v>557331</v>
      </c>
      <c r="E25" t="s">
        <v>2659</v>
      </c>
      <c r="H25" s="1994">
        <v>0</v>
      </c>
      <c r="I25" s="1994">
        <v>0</v>
      </c>
      <c r="J25" s="1994">
        <v>0</v>
      </c>
      <c r="K25" s="2090"/>
      <c r="L25" s="1994">
        <v>0</v>
      </c>
      <c r="M25" s="1994">
        <v>0</v>
      </c>
      <c r="N25" s="1994">
        <v>0</v>
      </c>
      <c r="O25" s="1994">
        <v>0</v>
      </c>
      <c r="P25" s="1994">
        <v>0</v>
      </c>
      <c r="Q25" s="1994">
        <v>0</v>
      </c>
      <c r="R25" s="1994"/>
    </row>
    <row r="26" spans="1:18">
      <c r="A26">
        <v>35520</v>
      </c>
      <c r="B26">
        <v>35777</v>
      </c>
      <c r="C26">
        <v>99</v>
      </c>
      <c r="D26">
        <v>557380</v>
      </c>
      <c r="E26" t="s">
        <v>2658</v>
      </c>
      <c r="H26" s="1994">
        <v>2743066</v>
      </c>
      <c r="I26" s="1994">
        <v>0</v>
      </c>
      <c r="J26" s="1994">
        <v>2743066</v>
      </c>
      <c r="K26" s="2090" t="s">
        <v>2649</v>
      </c>
      <c r="L26" s="1994">
        <v>0</v>
      </c>
      <c r="M26" s="1994">
        <v>0</v>
      </c>
      <c r="N26" s="1994">
        <v>2743066</v>
      </c>
      <c r="O26" s="1994">
        <v>0</v>
      </c>
      <c r="P26" s="1994">
        <v>2743066</v>
      </c>
      <c r="Q26" s="1994">
        <v>180994</v>
      </c>
      <c r="R26" s="1994"/>
    </row>
    <row r="27" spans="1:18">
      <c r="A27">
        <v>35521</v>
      </c>
      <c r="B27">
        <v>35778</v>
      </c>
      <c r="C27">
        <v>99</v>
      </c>
      <c r="D27">
        <v>557390</v>
      </c>
      <c r="E27" t="s">
        <v>2657</v>
      </c>
      <c r="H27" s="1994">
        <v>6864565</v>
      </c>
      <c r="I27" s="1994">
        <v>0</v>
      </c>
      <c r="J27" s="1994">
        <v>6864565</v>
      </c>
      <c r="K27" s="2090" t="s">
        <v>2649</v>
      </c>
      <c r="L27" s="1994">
        <v>0</v>
      </c>
      <c r="M27" s="1994">
        <v>0</v>
      </c>
      <c r="N27" s="1994">
        <v>6864565</v>
      </c>
      <c r="O27" s="1994">
        <v>0</v>
      </c>
      <c r="P27" s="1994">
        <v>6864565</v>
      </c>
      <c r="Q27" s="1994">
        <v>-8067117</v>
      </c>
      <c r="R27" s="1994"/>
    </row>
    <row r="28" spans="1:18">
      <c r="A28">
        <v>182270</v>
      </c>
      <c r="B28">
        <v>182275</v>
      </c>
      <c r="C28">
        <v>1</v>
      </c>
      <c r="D28">
        <v>557395</v>
      </c>
      <c r="E28" t="s">
        <v>2656</v>
      </c>
      <c r="H28" s="1994">
        <v>0</v>
      </c>
      <c r="I28" s="1994">
        <v>1619</v>
      </c>
      <c r="J28" s="1994">
        <v>1619</v>
      </c>
      <c r="K28" s="2090"/>
      <c r="L28" s="1994">
        <v>1044</v>
      </c>
      <c r="M28" s="1994">
        <v>1044</v>
      </c>
      <c r="N28" s="1994">
        <v>0</v>
      </c>
      <c r="O28" s="1994">
        <v>575</v>
      </c>
      <c r="P28" s="1994">
        <v>575</v>
      </c>
      <c r="Q28" s="1994">
        <v>206</v>
      </c>
      <c r="R28" s="1994"/>
    </row>
    <row r="29" spans="1:18">
      <c r="A29">
        <v>35522</v>
      </c>
      <c r="B29">
        <v>35779</v>
      </c>
      <c r="C29">
        <v>1</v>
      </c>
      <c r="D29">
        <v>557610</v>
      </c>
      <c r="E29" t="s">
        <v>2655</v>
      </c>
      <c r="H29" s="1994">
        <v>0</v>
      </c>
      <c r="I29" s="1994">
        <v>0</v>
      </c>
      <c r="J29" s="1994">
        <v>0</v>
      </c>
      <c r="K29" s="2090"/>
      <c r="L29" s="1994">
        <v>0</v>
      </c>
      <c r="M29" s="1994">
        <v>0</v>
      </c>
      <c r="N29" s="1994">
        <v>0</v>
      </c>
      <c r="O29" s="1994">
        <v>0</v>
      </c>
      <c r="P29" s="1994">
        <v>0</v>
      </c>
      <c r="Q29" s="1994">
        <v>0</v>
      </c>
      <c r="R29" s="1994"/>
    </row>
    <row r="30" spans="1:18">
      <c r="A30">
        <v>35523</v>
      </c>
      <c r="B30">
        <v>35780</v>
      </c>
      <c r="C30">
        <v>1</v>
      </c>
      <c r="D30">
        <v>557700</v>
      </c>
      <c r="E30" t="s">
        <v>2654</v>
      </c>
      <c r="H30" s="1994">
        <v>0</v>
      </c>
      <c r="I30" s="1994">
        <v>5779837</v>
      </c>
      <c r="J30" s="1994">
        <v>5779837</v>
      </c>
      <c r="K30" s="2090" t="s">
        <v>2649</v>
      </c>
      <c r="L30" s="1994">
        <v>3726839</v>
      </c>
      <c r="M30" s="1994">
        <v>3726839</v>
      </c>
      <c r="N30" s="1994">
        <v>0</v>
      </c>
      <c r="O30" s="1994">
        <v>2052998</v>
      </c>
      <c r="P30" s="1994">
        <v>2052998</v>
      </c>
      <c r="Q30" s="1994">
        <v>1640144</v>
      </c>
      <c r="R30" s="1994"/>
    </row>
    <row r="31" spans="1:18">
      <c r="A31">
        <v>205291</v>
      </c>
      <c r="B31">
        <v>205296</v>
      </c>
      <c r="C31">
        <v>1</v>
      </c>
      <c r="D31">
        <v>557711</v>
      </c>
      <c r="E31" t="s">
        <v>2653</v>
      </c>
      <c r="H31" s="1994">
        <v>0</v>
      </c>
      <c r="I31" s="1994">
        <v>-5779837</v>
      </c>
      <c r="J31" s="1994">
        <v>-5779837</v>
      </c>
      <c r="K31" s="2090" t="s">
        <v>2649</v>
      </c>
      <c r="L31" s="1994">
        <v>-3726839</v>
      </c>
      <c r="M31" s="1994">
        <v>-3726839</v>
      </c>
      <c r="N31" s="1994">
        <v>0</v>
      </c>
      <c r="O31" s="1994">
        <v>-2052998</v>
      </c>
      <c r="P31" s="1994">
        <v>-2052998</v>
      </c>
      <c r="Q31" s="1994">
        <v>-1640144</v>
      </c>
      <c r="R31" s="1994"/>
    </row>
    <row r="32" spans="1:18">
      <c r="A32">
        <v>205280</v>
      </c>
      <c r="B32">
        <v>205285</v>
      </c>
      <c r="C32">
        <v>1</v>
      </c>
      <c r="D32">
        <v>557730</v>
      </c>
      <c r="E32" t="s">
        <v>2652</v>
      </c>
      <c r="H32" s="1994">
        <v>0</v>
      </c>
      <c r="I32" s="1994">
        <v>33414817</v>
      </c>
      <c r="J32" s="1994">
        <v>33414817</v>
      </c>
      <c r="K32" s="2090" t="s">
        <v>2649</v>
      </c>
      <c r="L32" s="1994">
        <v>21545874</v>
      </c>
      <c r="M32" s="1994">
        <v>21545874</v>
      </c>
      <c r="N32" s="1994">
        <v>0</v>
      </c>
      <c r="O32" s="1994">
        <v>11868943</v>
      </c>
      <c r="P32" s="1994">
        <v>11868943</v>
      </c>
      <c r="Q32" s="1994">
        <v>22460610</v>
      </c>
      <c r="R32" s="1994"/>
    </row>
    <row r="33" spans="3:18">
      <c r="H33" s="1994"/>
      <c r="I33" s="1994"/>
      <c r="J33" s="1994"/>
      <c r="K33" s="1994"/>
      <c r="L33" s="1994"/>
      <c r="M33" s="1994"/>
      <c r="N33" s="1994"/>
      <c r="O33" s="1994"/>
      <c r="P33" s="1994"/>
      <c r="Q33" s="1994"/>
      <c r="R33" s="1994"/>
    </row>
    <row r="34" spans="3:18">
      <c r="E34" t="s">
        <v>2651</v>
      </c>
      <c r="H34" s="1994">
        <f>SUM(H6:H33)</f>
        <v>3484054</v>
      </c>
      <c r="I34" s="1994">
        <f>SUM(I6:I33)</f>
        <v>34763894</v>
      </c>
      <c r="J34" s="1994">
        <f>SUM(J6:J33)</f>
        <v>38247948</v>
      </c>
      <c r="K34" s="1994"/>
      <c r="L34" s="1994">
        <f>SUM(L6:L33)</f>
        <v>22415758</v>
      </c>
      <c r="M34" s="1994">
        <f>SUM(M6:M33)</f>
        <v>15515412</v>
      </c>
      <c r="N34" s="1994">
        <f>SUM(N6:N33)</f>
        <v>10384400</v>
      </c>
      <c r="O34" s="1994">
        <f>SUM(O6:O33)</f>
        <v>12348136</v>
      </c>
      <c r="P34" s="1994">
        <f>SUM(P6:P33)</f>
        <v>22732536</v>
      </c>
      <c r="Q34" s="1994">
        <v>12382127</v>
      </c>
      <c r="R34" s="1994"/>
    </row>
    <row r="35" spans="3:18">
      <c r="H35" s="1994"/>
      <c r="I35" s="1994"/>
      <c r="J35" s="1994"/>
      <c r="K35" s="1994"/>
      <c r="L35" s="1994"/>
      <c r="M35" s="1994"/>
      <c r="N35" s="1994"/>
      <c r="O35" s="1994"/>
      <c r="P35" s="1994"/>
      <c r="Q35" s="1994" t="s">
        <v>97</v>
      </c>
      <c r="R35" s="1994"/>
    </row>
    <row r="36" spans="3:18">
      <c r="H36" s="1994"/>
      <c r="I36" s="2092" t="s">
        <v>2650</v>
      </c>
      <c r="J36" s="2091">
        <f>SUMIF(K6:K32,K36,J6:J32)</f>
        <v>29805671</v>
      </c>
      <c r="K36" s="2090" t="s">
        <v>2649</v>
      </c>
      <c r="L36" s="1994"/>
      <c r="M36" s="1994"/>
      <c r="N36" s="1994"/>
      <c r="O36" s="1994"/>
      <c r="P36" s="1994"/>
      <c r="Q36" s="1994"/>
      <c r="R36" s="1994"/>
    </row>
    <row r="38" spans="3:18">
      <c r="C38" t="s">
        <v>2372</v>
      </c>
    </row>
    <row r="39" spans="3:18">
      <c r="C39" t="s">
        <v>2368</v>
      </c>
      <c r="D39">
        <v>1</v>
      </c>
      <c r="E39" t="s">
        <v>2430</v>
      </c>
      <c r="I39" s="1134">
        <v>1</v>
      </c>
      <c r="M39" s="1134"/>
      <c r="P39" s="1134"/>
    </row>
    <row r="40" spans="3:18">
      <c r="C40" t="s">
        <v>2368</v>
      </c>
      <c r="D40">
        <v>99</v>
      </c>
      <c r="E40" t="s">
        <v>2367</v>
      </c>
      <c r="I40" s="1134">
        <v>0</v>
      </c>
      <c r="M40" s="1134">
        <v>0.64480000000000004</v>
      </c>
      <c r="P40" s="1134">
        <v>0.35520000000000002</v>
      </c>
    </row>
    <row r="41" spans="3:18">
      <c r="M41">
        <v>0</v>
      </c>
      <c r="P41">
        <v>0</v>
      </c>
    </row>
    <row r="42" spans="3:18">
      <c r="J42" s="2003">
        <f>J34</f>
        <v>38247948</v>
      </c>
    </row>
  </sheetData>
  <autoFilter ref="A5:Q32" xr:uid="{00000000-0009-0000-0000-000016000000}"/>
  <pageMargins left="0.7" right="0.7" top="0.75" bottom="0.75" header="0.3" footer="0.3"/>
  <pageSetup orientation="portrait" r:id="rId1"/>
  <customProperties>
    <customPr name="xxe4aP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00B0F0"/>
  </sheetPr>
  <dimension ref="A1:K41"/>
  <sheetViews>
    <sheetView topLeftCell="A21" zoomScaleNormal="100" zoomScaleSheetLayoutView="100" zoomScalePageLayoutView="70" workbookViewId="0">
      <selection activeCell="C27" sqref="C27"/>
    </sheetView>
  </sheetViews>
  <sheetFormatPr defaultRowHeight="15.75"/>
  <cols>
    <col min="1" max="1" width="5.375" customWidth="1"/>
    <col min="2" max="2" width="30.625" customWidth="1"/>
    <col min="3" max="4" width="8.625" customWidth="1"/>
    <col min="5" max="5" width="10.625" customWidth="1"/>
    <col min="6" max="9" width="19.125" customWidth="1"/>
    <col min="10" max="10" width="10.5" customWidth="1"/>
  </cols>
  <sheetData>
    <row r="1" spans="1:9" ht="20.100000000000001" customHeight="1" thickTop="1">
      <c r="A1" s="2344" t="s">
        <v>54</v>
      </c>
      <c r="B1" s="2345"/>
      <c r="C1" s="2345"/>
      <c r="D1" s="2345"/>
      <c r="E1" s="2345"/>
      <c r="F1" s="2345"/>
      <c r="G1" s="2345"/>
      <c r="H1" s="2345"/>
      <c r="I1" s="2346"/>
    </row>
    <row r="2" spans="1:9" ht="20.100000000000001" customHeight="1">
      <c r="A2" s="2342" t="s">
        <v>56</v>
      </c>
      <c r="B2" s="2295"/>
      <c r="C2" s="2295"/>
      <c r="D2" s="2295"/>
      <c r="E2" s="2295"/>
      <c r="F2" s="2295"/>
      <c r="G2" s="2295"/>
      <c r="H2" s="2295"/>
      <c r="I2" s="2343"/>
    </row>
    <row r="3" spans="1:9" ht="20.100000000000001" customHeight="1">
      <c r="A3" s="2340" t="s">
        <v>723</v>
      </c>
      <c r="B3" s="2292"/>
      <c r="C3" s="2292"/>
      <c r="D3" s="2292"/>
      <c r="E3" s="2292"/>
      <c r="F3" s="2292"/>
      <c r="G3" s="2292"/>
      <c r="H3" s="2292"/>
      <c r="I3" s="2341"/>
    </row>
    <row r="4" spans="1:9" ht="12" customHeight="1" thickBot="1">
      <c r="A4" s="367"/>
      <c r="B4" s="180"/>
      <c r="C4" s="180"/>
      <c r="D4" s="180"/>
      <c r="E4" s="180"/>
      <c r="F4" s="180"/>
      <c r="G4" s="180"/>
      <c r="H4" s="180"/>
      <c r="I4" s="237"/>
    </row>
    <row r="5" spans="1:9" ht="15.75" customHeight="1">
      <c r="A5" s="1238" t="s">
        <v>699</v>
      </c>
      <c r="B5" s="180"/>
      <c r="C5" s="180"/>
      <c r="D5" s="502" t="s">
        <v>576</v>
      </c>
      <c r="E5" s="2355" t="str">
        <f>'Sch 1- Rate Base '!$E$5</f>
        <v>Utility Name</v>
      </c>
      <c r="F5" s="2356"/>
      <c r="G5" s="2363"/>
      <c r="H5" s="180"/>
      <c r="I5" s="1325" t="s">
        <v>721</v>
      </c>
    </row>
    <row r="6" spans="1:9" ht="15.75" customHeight="1">
      <c r="A6" s="367"/>
      <c r="B6" s="180"/>
      <c r="C6" s="180"/>
      <c r="D6" s="502" t="s">
        <v>578</v>
      </c>
      <c r="E6" s="2357">
        <f>'Sch 1- Rate Base '!$E$6</f>
        <v>2023</v>
      </c>
      <c r="F6" s="2358"/>
      <c r="G6" s="2364"/>
      <c r="H6" s="624"/>
      <c r="I6" s="1326" t="str">
        <f>'Sch 1- Rate Base '!I6</f>
        <v/>
      </c>
    </row>
    <row r="7" spans="1:9" ht="15.75" customHeight="1" thickBot="1">
      <c r="A7" s="367"/>
      <c r="B7" s="180"/>
      <c r="C7" s="180"/>
      <c r="D7" s="502" t="s">
        <v>579</v>
      </c>
      <c r="E7" s="2359">
        <f>'Sch 1- Rate Base '!$E$7</f>
        <v>45446</v>
      </c>
      <c r="F7" s="2361"/>
      <c r="G7" s="2362"/>
      <c r="H7" s="624"/>
      <c r="I7" s="1328" t="str">
        <f>'Sch 1- Rate Base '!I7</f>
        <v/>
      </c>
    </row>
    <row r="8" spans="1:9" ht="15.95" customHeight="1">
      <c r="A8" s="367"/>
      <c r="B8" s="180"/>
      <c r="C8" s="180"/>
      <c r="D8" s="502"/>
      <c r="E8" s="625"/>
      <c r="F8" s="180"/>
      <c r="G8" s="624"/>
      <c r="H8" s="624"/>
      <c r="I8" s="237"/>
    </row>
    <row r="9" spans="1:9" ht="20.100000000000001" customHeight="1">
      <c r="A9" s="2365" t="s">
        <v>148</v>
      </c>
      <c r="B9" s="2366"/>
      <c r="C9" s="2366"/>
      <c r="D9" s="2366"/>
      <c r="E9" s="2366"/>
      <c r="F9" s="2366"/>
      <c r="G9" s="2366"/>
      <c r="H9" s="2366"/>
      <c r="I9" s="2367"/>
    </row>
    <row r="10" spans="1:9" ht="9.75" customHeight="1" thickBot="1">
      <c r="A10" s="514"/>
      <c r="B10" s="376"/>
      <c r="C10" s="366"/>
      <c r="D10" s="366"/>
      <c r="E10" s="376"/>
      <c r="F10" s="376"/>
      <c r="G10" s="376"/>
      <c r="H10" s="376"/>
      <c r="I10" s="515"/>
    </row>
    <row r="11" spans="1:9" ht="16.5" thickBot="1">
      <c r="A11" s="2349" t="s">
        <v>100</v>
      </c>
      <c r="B11" s="2286"/>
      <c r="C11" s="321" t="s">
        <v>276</v>
      </c>
      <c r="D11" s="321"/>
      <c r="E11" s="2392" t="s">
        <v>209</v>
      </c>
      <c r="F11" s="2289" t="s">
        <v>104</v>
      </c>
      <c r="G11" s="2289" t="s">
        <v>105</v>
      </c>
      <c r="H11" s="2289" t="s">
        <v>106</v>
      </c>
      <c r="I11" s="2347" t="s">
        <v>733</v>
      </c>
    </row>
    <row r="12" spans="1:9">
      <c r="A12" s="2383"/>
      <c r="B12" s="2288"/>
      <c r="C12" s="322" t="s">
        <v>272</v>
      </c>
      <c r="D12" s="322" t="s">
        <v>96</v>
      </c>
      <c r="E12" s="2393"/>
      <c r="F12" s="2290"/>
      <c r="G12" s="2290"/>
      <c r="H12" s="2290"/>
      <c r="I12" s="2390"/>
    </row>
    <row r="13" spans="1:9" ht="16.5" thickBot="1">
      <c r="A13" s="2350"/>
      <c r="B13" s="2351"/>
      <c r="C13" s="323" t="s">
        <v>273</v>
      </c>
      <c r="D13" s="323" t="s">
        <v>252</v>
      </c>
      <c r="E13" s="2394"/>
      <c r="F13" s="2312"/>
      <c r="G13" s="2312"/>
      <c r="H13" s="2312"/>
      <c r="I13" s="2348"/>
    </row>
    <row r="14" spans="1:9">
      <c r="A14" s="207"/>
      <c r="B14" s="157"/>
      <c r="C14" s="180"/>
      <c r="D14" s="180"/>
      <c r="E14" s="180"/>
      <c r="F14" s="92"/>
      <c r="G14" s="92"/>
      <c r="H14" s="92"/>
      <c r="I14" s="208"/>
    </row>
    <row r="15" spans="1:9" ht="15.75" customHeight="1">
      <c r="A15" s="199" t="s">
        <v>149</v>
      </c>
      <c r="B15" s="194"/>
      <c r="C15" s="150"/>
      <c r="D15" s="195"/>
      <c r="E15" s="196"/>
      <c r="F15" s="197"/>
      <c r="G15" s="198"/>
      <c r="H15" s="198"/>
      <c r="I15" s="200"/>
    </row>
    <row r="16" spans="1:9" ht="15.75" customHeight="1">
      <c r="A16" s="170"/>
      <c r="B16" s="402" t="s">
        <v>35</v>
      </c>
      <c r="C16" s="516" t="s">
        <v>836</v>
      </c>
      <c r="D16" s="517">
        <v>409.1</v>
      </c>
      <c r="E16" s="184" t="s">
        <v>395</v>
      </c>
      <c r="F16" s="1796">
        <f>'262-263'!L90</f>
        <v>-2240752</v>
      </c>
      <c r="G16" s="249">
        <f>VLOOKUP($E16,Ratio,2,FALSE)*$F16</f>
        <v>0</v>
      </c>
      <c r="H16" s="249">
        <f>VLOOKUP($E16,Ratio,3,FALSE)*$F16</f>
        <v>0</v>
      </c>
      <c r="I16" s="266">
        <f>VLOOKUP($E16,Ratio,4,FALSE)*$F16</f>
        <v>-2240752</v>
      </c>
    </row>
    <row r="17" spans="1:11" ht="15.75" customHeight="1">
      <c r="A17" s="170"/>
      <c r="B17" s="402" t="s">
        <v>150</v>
      </c>
      <c r="C17" s="516" t="s">
        <v>836</v>
      </c>
      <c r="D17" s="517">
        <v>408.1</v>
      </c>
      <c r="E17" s="184" t="s">
        <v>95</v>
      </c>
      <c r="F17" s="1796">
        <f>'262-263'!L92</f>
        <v>17254667</v>
      </c>
      <c r="G17" s="249">
        <f>VLOOKUP($E17,Ratio,2,FALSE)*$F17</f>
        <v>6316427.0349811129</v>
      </c>
      <c r="H17" s="249">
        <f>VLOOKUP($E17,Ratio,3,FALSE)*$F17</f>
        <v>0</v>
      </c>
      <c r="I17" s="266">
        <f>VLOOKUP($E17,Ratio,4,FALSE)*$F17</f>
        <v>10938239.965018887</v>
      </c>
    </row>
    <row r="18" spans="1:11" ht="15.75" customHeight="1">
      <c r="A18" s="170"/>
      <c r="B18" s="402" t="s">
        <v>151</v>
      </c>
      <c r="C18" s="516" t="s">
        <v>836</v>
      </c>
      <c r="D18" s="517">
        <v>408.1</v>
      </c>
      <c r="E18" s="184" t="s">
        <v>395</v>
      </c>
      <c r="F18" s="1796"/>
      <c r="G18" s="249">
        <f>VLOOKUP($E18,Ratio,2,FALSE)*$F18</f>
        <v>0</v>
      </c>
      <c r="H18" s="249">
        <f>VLOOKUP($E18,Ratio,3,FALSE)*$F18</f>
        <v>0</v>
      </c>
      <c r="I18" s="266">
        <f>VLOOKUP($E18,Ratio,4,FALSE)*$F18</f>
        <v>0</v>
      </c>
    </row>
    <row r="19" spans="1:11" ht="15.75" customHeight="1">
      <c r="A19" s="201" t="s">
        <v>37</v>
      </c>
      <c r="B19" s="58"/>
      <c r="C19" s="547"/>
      <c r="D19" s="548"/>
      <c r="E19" s="549"/>
      <c r="F19" s="1794">
        <f>SUM(F16:F18)</f>
        <v>15013915</v>
      </c>
      <c r="G19" s="474">
        <f>SUM(G16:G18)</f>
        <v>6316427.0349811129</v>
      </c>
      <c r="H19" s="474">
        <f>SUM(H16:H18)</f>
        <v>0</v>
      </c>
      <c r="I19" s="475">
        <f>SUM(I16:I18)</f>
        <v>8697487.9650188871</v>
      </c>
    </row>
    <row r="20" spans="1:11" ht="15.75" customHeight="1">
      <c r="A20" s="201"/>
      <c r="B20" s="58"/>
      <c r="C20" s="150"/>
      <c r="D20" s="195"/>
      <c r="E20" s="196"/>
      <c r="F20" s="1827"/>
      <c r="G20" s="518"/>
      <c r="H20" s="518"/>
      <c r="I20" s="519"/>
    </row>
    <row r="21" spans="1:11" ht="15.75" customHeight="1">
      <c r="A21" s="202" t="s">
        <v>38</v>
      </c>
      <c r="B21" s="63"/>
      <c r="C21" s="150"/>
      <c r="D21" s="195"/>
      <c r="E21" s="196"/>
      <c r="F21" s="1827"/>
      <c r="G21" s="518"/>
      <c r="H21" s="518"/>
      <c r="I21" s="519"/>
      <c r="K21" s="522"/>
    </row>
    <row r="22" spans="1:11" ht="15.75" customHeight="1">
      <c r="A22" s="170"/>
      <c r="B22" s="402" t="s">
        <v>571</v>
      </c>
      <c r="C22" s="516" t="s">
        <v>836</v>
      </c>
      <c r="D22" s="517">
        <v>408.1</v>
      </c>
      <c r="E22" s="184" t="s">
        <v>108</v>
      </c>
      <c r="F22" s="1796">
        <f>'262-263'!L91</f>
        <v>37863278</v>
      </c>
      <c r="G22" s="249">
        <f>VLOOKUP($E22,Ratio,2,FALSE)*$F22</f>
        <v>12048954.657508478</v>
      </c>
      <c r="H22" s="249">
        <f>VLOOKUP($E22,Ratio,3,FALSE)*$F22</f>
        <v>0</v>
      </c>
      <c r="I22" s="266">
        <f>VLOOKUP($E22,Ratio,4,FALSE)*$F22</f>
        <v>25814323.338601049</v>
      </c>
    </row>
    <row r="23" spans="1:11" ht="15.75" customHeight="1">
      <c r="A23" s="170"/>
      <c r="B23" s="402" t="s">
        <v>152</v>
      </c>
      <c r="C23" s="516" t="s">
        <v>836</v>
      </c>
      <c r="D23" s="517">
        <v>408.1</v>
      </c>
      <c r="E23" s="184" t="s">
        <v>95</v>
      </c>
      <c r="F23" s="1796">
        <f>'262-263'!L98</f>
        <v>110882</v>
      </c>
      <c r="G23" s="249">
        <f t="shared" ref="G23:G28" si="0">VLOOKUP($E23,Ratio,2,FALSE)*$F23</f>
        <v>40590.644982761813</v>
      </c>
      <c r="H23" s="249">
        <f t="shared" ref="H23:H28" si="1">VLOOKUP($E23,Ratio,3,FALSE)*$F23</f>
        <v>0</v>
      </c>
      <c r="I23" s="266">
        <f t="shared" ref="I23:I28" si="2">VLOOKUP($E23,Ratio,4,FALSE)*$F23</f>
        <v>70291.355017238195</v>
      </c>
    </row>
    <row r="24" spans="1:11" ht="15.75" customHeight="1">
      <c r="A24" s="170"/>
      <c r="B24" s="402" t="s">
        <v>572</v>
      </c>
      <c r="C24" s="516" t="s">
        <v>836</v>
      </c>
      <c r="D24" s="517">
        <v>409.1</v>
      </c>
      <c r="E24" s="184" t="s">
        <v>395</v>
      </c>
      <c r="F24" s="1796">
        <f>'262-263'!L93</f>
        <v>43491448</v>
      </c>
      <c r="G24" s="249">
        <f>VLOOKUP($E24,Ratio,2,FALSE)*$F24</f>
        <v>0</v>
      </c>
      <c r="H24" s="249">
        <f>VLOOKUP($E24,Ratio,3,FALSE)*$F24</f>
        <v>0</v>
      </c>
      <c r="I24" s="266">
        <f>VLOOKUP($E24,Ratio,4,FALSE)*$F24</f>
        <v>43491448</v>
      </c>
    </row>
    <row r="25" spans="1:11" ht="15.75" customHeight="1">
      <c r="A25" s="170"/>
      <c r="B25" s="402" t="s">
        <v>573</v>
      </c>
      <c r="C25" s="516" t="s">
        <v>836</v>
      </c>
      <c r="D25" s="517">
        <v>408.1</v>
      </c>
      <c r="E25" s="184" t="s">
        <v>395</v>
      </c>
      <c r="F25" s="1796">
        <f>'262-263'!L94</f>
        <v>5991378</v>
      </c>
      <c r="G25" s="249">
        <f t="shared" si="0"/>
        <v>0</v>
      </c>
      <c r="H25" s="249">
        <f t="shared" si="1"/>
        <v>0</v>
      </c>
      <c r="I25" s="266">
        <f t="shared" si="2"/>
        <v>5991378</v>
      </c>
    </row>
    <row r="26" spans="1:11" ht="15.75" customHeight="1">
      <c r="A26" s="170"/>
      <c r="B26" s="402" t="s">
        <v>153</v>
      </c>
      <c r="C26" s="516" t="s">
        <v>836</v>
      </c>
      <c r="D26" s="517">
        <v>408.1</v>
      </c>
      <c r="E26" s="184" t="s">
        <v>395</v>
      </c>
      <c r="F26" s="1796">
        <f>'262-263'!L95</f>
        <v>207</v>
      </c>
      <c r="G26" s="249">
        <f t="shared" si="0"/>
        <v>0</v>
      </c>
      <c r="H26" s="249">
        <f t="shared" si="1"/>
        <v>0</v>
      </c>
      <c r="I26" s="266">
        <f t="shared" si="2"/>
        <v>207</v>
      </c>
    </row>
    <row r="27" spans="1:11" ht="15.75" customHeight="1">
      <c r="A27" s="170"/>
      <c r="B27" s="402" t="s">
        <v>574</v>
      </c>
      <c r="C27" s="516" t="s">
        <v>836</v>
      </c>
      <c r="D27" s="517">
        <v>408.1</v>
      </c>
      <c r="E27" s="184" t="s">
        <v>395</v>
      </c>
      <c r="F27" s="1796">
        <f>'262-263'!L96</f>
        <v>29955625</v>
      </c>
      <c r="G27" s="249">
        <f t="shared" si="0"/>
        <v>0</v>
      </c>
      <c r="H27" s="249">
        <f t="shared" si="1"/>
        <v>0</v>
      </c>
      <c r="I27" s="266">
        <f t="shared" si="2"/>
        <v>29955625</v>
      </c>
    </row>
    <row r="28" spans="1:11" ht="15.75" customHeight="1">
      <c r="A28" s="170"/>
      <c r="B28" s="402" t="s">
        <v>107</v>
      </c>
      <c r="C28" s="516" t="s">
        <v>836</v>
      </c>
      <c r="D28" s="517">
        <v>408.1</v>
      </c>
      <c r="E28" s="184" t="s">
        <v>395</v>
      </c>
      <c r="F28" s="1796">
        <f>'262-263'!L97</f>
        <v>3348499</v>
      </c>
      <c r="G28" s="249">
        <f t="shared" si="0"/>
        <v>0</v>
      </c>
      <c r="H28" s="249">
        <f t="shared" si="1"/>
        <v>0</v>
      </c>
      <c r="I28" s="266">
        <f t="shared" si="2"/>
        <v>3348499</v>
      </c>
    </row>
    <row r="29" spans="1:11" ht="15.75" customHeight="1">
      <c r="A29" s="201" t="s">
        <v>36</v>
      </c>
      <c r="B29" s="63"/>
      <c r="C29" s="547"/>
      <c r="D29" s="548"/>
      <c r="E29" s="549"/>
      <c r="F29" s="1794">
        <f>SUM(F22:F28)</f>
        <v>120761317</v>
      </c>
      <c r="G29" s="474">
        <f>SUM(G22:G28)</f>
        <v>12089545.30249124</v>
      </c>
      <c r="H29" s="474">
        <f>SUM(H22:H28)</f>
        <v>0</v>
      </c>
      <c r="I29" s="475">
        <f>SUM(I22:I28)</f>
        <v>108671771.69361828</v>
      </c>
    </row>
    <row r="30" spans="1:11" ht="15.75" customHeight="1">
      <c r="A30" s="201"/>
      <c r="B30" s="63"/>
      <c r="C30" s="150"/>
      <c r="D30" s="195"/>
      <c r="E30" s="196"/>
      <c r="F30" s="1828"/>
      <c r="G30" s="520"/>
      <c r="H30" s="520"/>
      <c r="I30" s="521"/>
    </row>
    <row r="31" spans="1:11" ht="15.75" customHeight="1">
      <c r="A31" s="201" t="s">
        <v>575</v>
      </c>
      <c r="B31" s="63"/>
      <c r="C31" s="547"/>
      <c r="D31" s="548"/>
      <c r="E31" s="549"/>
      <c r="F31" s="1794">
        <f>F29+F19</f>
        <v>135775232</v>
      </c>
      <c r="G31" s="474">
        <f>G29+G19</f>
        <v>18405972.337472353</v>
      </c>
      <c r="H31" s="474">
        <f>H29+H19</f>
        <v>0</v>
      </c>
      <c r="I31" s="475">
        <f>I29+I19</f>
        <v>117369259.65863717</v>
      </c>
    </row>
    <row r="32" spans="1:11" ht="15.75" customHeight="1">
      <c r="A32" s="201"/>
      <c r="B32" s="63"/>
      <c r="C32" s="150"/>
      <c r="D32" s="195"/>
      <c r="E32" s="196"/>
      <c r="F32" s="284"/>
      <c r="G32" s="284"/>
      <c r="H32" s="284"/>
      <c r="I32" s="285"/>
    </row>
    <row r="33" spans="1:11" ht="15.75" customHeight="1" thickBot="1">
      <c r="A33" s="191"/>
      <c r="B33" s="203"/>
      <c r="C33" s="203"/>
      <c r="D33" s="203"/>
      <c r="E33" s="203"/>
      <c r="F33" s="203"/>
      <c r="G33" s="203"/>
      <c r="H33" s="203"/>
      <c r="I33" s="204"/>
      <c r="K33" s="57"/>
    </row>
    <row r="34" spans="1:11" ht="16.5" thickTop="1">
      <c r="A34" s="57"/>
      <c r="B34" s="57"/>
      <c r="C34" s="57"/>
      <c r="D34" s="57"/>
      <c r="E34" s="57"/>
      <c r="F34" s="57"/>
      <c r="G34" s="57"/>
      <c r="H34" s="57"/>
      <c r="I34" s="57"/>
      <c r="K34" s="57"/>
    </row>
    <row r="35" spans="1:11">
      <c r="A35" s="57"/>
      <c r="B35" s="57"/>
      <c r="C35" s="57"/>
      <c r="D35" s="57"/>
      <c r="E35" s="57"/>
      <c r="F35" s="57"/>
      <c r="G35" s="57"/>
      <c r="H35" s="57"/>
      <c r="I35" s="57"/>
      <c r="K35" s="57"/>
    </row>
    <row r="36" spans="1:11">
      <c r="A36" s="57"/>
      <c r="B36" s="57"/>
      <c r="C36" s="57"/>
      <c r="D36" s="57"/>
      <c r="E36" s="57"/>
      <c r="F36" s="57"/>
      <c r="G36" s="57"/>
      <c r="H36" s="57"/>
      <c r="I36" s="57"/>
      <c r="K36" s="57"/>
    </row>
    <row r="37" spans="1:11">
      <c r="A37" s="57"/>
      <c r="B37" s="57"/>
      <c r="C37" s="57"/>
      <c r="D37" s="57"/>
      <c r="E37" s="57"/>
      <c r="F37" s="57"/>
      <c r="G37" s="57"/>
      <c r="H37" s="57"/>
      <c r="I37" s="57"/>
      <c r="K37" s="57"/>
    </row>
    <row r="38" spans="1:11">
      <c r="A38" s="57"/>
      <c r="B38" s="57"/>
      <c r="C38" s="57"/>
      <c r="D38" s="57"/>
      <c r="E38" s="57"/>
      <c r="F38" s="57"/>
      <c r="G38" s="57"/>
      <c r="H38" s="57"/>
      <c r="I38" s="57"/>
      <c r="K38" s="57"/>
    </row>
    <row r="39" spans="1:11">
      <c r="A39" s="57"/>
      <c r="B39" s="57"/>
      <c r="C39" s="57"/>
      <c r="D39" s="57"/>
      <c r="E39" s="57"/>
      <c r="F39" s="57"/>
      <c r="G39" s="57"/>
      <c r="H39" s="57"/>
      <c r="I39" s="57"/>
      <c r="K39" s="57"/>
    </row>
    <row r="40" spans="1:11">
      <c r="A40" s="57"/>
      <c r="B40" s="57"/>
      <c r="C40" s="57"/>
      <c r="D40" s="57"/>
      <c r="E40" s="57"/>
      <c r="F40" s="57"/>
      <c r="G40" s="57"/>
      <c r="H40" s="57"/>
      <c r="I40" s="57"/>
      <c r="K40" s="57"/>
    </row>
    <row r="41" spans="1:11">
      <c r="A41" s="57"/>
      <c r="B41" s="57"/>
      <c r="C41" s="57"/>
      <c r="D41" s="57"/>
      <c r="E41" s="57"/>
      <c r="F41" s="57"/>
      <c r="G41" s="57"/>
      <c r="H41" s="57"/>
      <c r="I41" s="57"/>
      <c r="K41" s="57"/>
    </row>
  </sheetData>
  <mergeCells count="13">
    <mergeCell ref="I11:I13"/>
    <mergeCell ref="H11:H13"/>
    <mergeCell ref="E11:E13"/>
    <mergeCell ref="A11:B13"/>
    <mergeCell ref="F11:F13"/>
    <mergeCell ref="G11:G13"/>
    <mergeCell ref="A1:I1"/>
    <mergeCell ref="A2:I2"/>
    <mergeCell ref="A3:I3"/>
    <mergeCell ref="A9:I9"/>
    <mergeCell ref="E5:G5"/>
    <mergeCell ref="E6:G6"/>
    <mergeCell ref="E7:G7"/>
  </mergeCells>
  <phoneticPr fontId="0" type="noConversion"/>
  <hyperlinks>
    <hyperlink ref="A5" location="TOC!A1" display="TOC" xr:uid="{00000000-0004-0000-0600-000000000000}"/>
  </hyperlinks>
  <printOptions horizontalCentered="1" headings="1"/>
  <pageMargins left="0.5" right="0.5" top="0.75" bottom="0.55000000000000004" header="0.25" footer="0.25"/>
  <pageSetup scale="73" fitToHeight="2" orientation="landscape" r:id="rId1"/>
  <headerFooter alignWithMargins="0">
    <oddFooter>&amp;LFY 2026-2028 ASC Filing&amp;CPage &amp;P of &amp;N&amp;R&amp;A
&amp;D</oddFooter>
  </headerFooter>
  <customProperties>
    <customPr name="xxe4aP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1773E-A304-4E37-8267-B4AC862DD70B}">
  <sheetPr codeName="Sheet40" filterMode="1"/>
  <dimension ref="A1:K55"/>
  <sheetViews>
    <sheetView zoomScale="120" zoomScaleNormal="120" workbookViewId="0">
      <pane ySplit="4" topLeftCell="A5" activePane="bottomLeft" state="frozen"/>
      <selection activeCell="G173" sqref="G173"/>
      <selection pane="bottomLeft" activeCell="G173" sqref="G173"/>
    </sheetView>
  </sheetViews>
  <sheetFormatPr defaultRowHeight="15.75"/>
  <cols>
    <col min="1" max="1" width="11.125" bestFit="1" customWidth="1"/>
    <col min="2" max="2" width="17.375" bestFit="1" customWidth="1"/>
    <col min="3" max="3" width="39.25" bestFit="1" customWidth="1"/>
    <col min="4" max="4" width="3.375" bestFit="1" customWidth="1"/>
    <col min="5" max="7" width="17.875" customWidth="1"/>
    <col min="8" max="8" width="18.25" customWidth="1"/>
    <col min="9" max="9" width="12" customWidth="1"/>
    <col min="10" max="10" width="11.625" bestFit="1" customWidth="1"/>
  </cols>
  <sheetData>
    <row r="1" spans="1:9">
      <c r="E1" t="s">
        <v>2903</v>
      </c>
      <c r="G1" t="s">
        <v>2902</v>
      </c>
    </row>
    <row r="2" spans="1:9">
      <c r="G2" t="s">
        <v>2901</v>
      </c>
    </row>
    <row r="3" spans="1:9">
      <c r="A3" s="1070"/>
      <c r="B3" s="1070"/>
      <c r="C3" s="1070"/>
      <c r="D3" s="1070"/>
      <c r="E3" s="1070" t="s">
        <v>2984</v>
      </c>
      <c r="F3" s="1070"/>
      <c r="G3" s="1070"/>
      <c r="H3" s="1070"/>
    </row>
    <row r="4" spans="1:9">
      <c r="A4" s="2101" t="s">
        <v>2900</v>
      </c>
      <c r="B4" s="2101"/>
      <c r="C4" s="2101"/>
      <c r="D4" s="2101"/>
      <c r="E4" s="1993" t="s">
        <v>2232</v>
      </c>
      <c r="F4" s="1993" t="s">
        <v>2235</v>
      </c>
      <c r="G4" s="1993" t="s">
        <v>2249</v>
      </c>
      <c r="H4" s="1993" t="s">
        <v>104</v>
      </c>
      <c r="I4" s="2108" t="s">
        <v>2899</v>
      </c>
    </row>
    <row r="5" spans="1:9">
      <c r="A5" s="2127">
        <v>456000</v>
      </c>
      <c r="B5" s="2130" t="s">
        <v>2974</v>
      </c>
      <c r="C5" s="2127" t="s">
        <v>2898</v>
      </c>
      <c r="D5" s="2127" t="s">
        <v>2293</v>
      </c>
      <c r="E5" s="2126"/>
      <c r="F5" s="2126">
        <v>114700</v>
      </c>
      <c r="G5" s="2128">
        <v>21300</v>
      </c>
      <c r="H5" s="2196">
        <f>SUM(E5:G5)</f>
        <v>136000</v>
      </c>
      <c r="I5" t="s">
        <v>105</v>
      </c>
    </row>
    <row r="6" spans="1:9" hidden="1">
      <c r="A6" s="2127">
        <v>456000</v>
      </c>
      <c r="B6" s="2127" t="s">
        <v>2884</v>
      </c>
      <c r="C6" s="2127" t="s">
        <v>2883</v>
      </c>
      <c r="D6" s="2127" t="s">
        <v>2293</v>
      </c>
      <c r="E6" s="2127">
        <v>5910.2</v>
      </c>
      <c r="F6" s="2127">
        <v>0</v>
      </c>
      <c r="G6" s="2128">
        <v>547785.09</v>
      </c>
      <c r="H6" s="2196">
        <f t="shared" ref="H6:H26" si="0">SUM(E6:G6)</f>
        <v>553695.28999999992</v>
      </c>
      <c r="I6" t="s">
        <v>516</v>
      </c>
    </row>
    <row r="7" spans="1:9" hidden="1">
      <c r="A7" s="2127">
        <v>456000</v>
      </c>
      <c r="B7" s="2127" t="s">
        <v>2884</v>
      </c>
      <c r="C7" s="2127" t="s">
        <v>2897</v>
      </c>
      <c r="D7" s="2127" t="s">
        <v>2293</v>
      </c>
      <c r="E7" s="2127"/>
      <c r="F7" s="2127"/>
      <c r="G7" s="2128">
        <v>172.95</v>
      </c>
      <c r="H7" s="2196">
        <f t="shared" si="0"/>
        <v>172.95</v>
      </c>
      <c r="I7" t="s">
        <v>516</v>
      </c>
    </row>
    <row r="8" spans="1:9" hidden="1">
      <c r="A8" s="2127">
        <v>456000</v>
      </c>
      <c r="B8" s="2127" t="s">
        <v>2884</v>
      </c>
      <c r="C8" s="2127" t="s">
        <v>2968</v>
      </c>
      <c r="D8" s="2127" t="s">
        <v>2293</v>
      </c>
      <c r="E8" s="2127"/>
      <c r="F8" s="2127"/>
      <c r="G8" s="2128">
        <v>60984.42</v>
      </c>
      <c r="H8" s="2196">
        <f t="shared" si="0"/>
        <v>60984.42</v>
      </c>
      <c r="I8" t="s">
        <v>516</v>
      </c>
    </row>
    <row r="9" spans="1:9" hidden="1">
      <c r="A9" s="2127">
        <v>456000</v>
      </c>
      <c r="B9" s="2127" t="s">
        <v>2884</v>
      </c>
      <c r="C9" s="2127" t="s">
        <v>2969</v>
      </c>
      <c r="D9" s="2127" t="s">
        <v>2293</v>
      </c>
      <c r="E9" s="2127"/>
      <c r="F9" s="2127">
        <v>16200.05</v>
      </c>
      <c r="G9" s="2128">
        <v>-1661.74</v>
      </c>
      <c r="H9" s="2196">
        <f t="shared" si="0"/>
        <v>14538.31</v>
      </c>
      <c r="I9" t="s">
        <v>516</v>
      </c>
    </row>
    <row r="10" spans="1:9" hidden="1">
      <c r="A10" s="2127">
        <v>456000</v>
      </c>
      <c r="B10" s="2127" t="s">
        <v>2884</v>
      </c>
      <c r="C10" s="2127" t="s">
        <v>2970</v>
      </c>
      <c r="D10" s="2127" t="s">
        <v>2293</v>
      </c>
      <c r="E10" s="2127"/>
      <c r="F10" s="2127"/>
      <c r="G10" s="2128">
        <v>476022.38</v>
      </c>
      <c r="H10" s="2196">
        <f t="shared" si="0"/>
        <v>476022.38</v>
      </c>
      <c r="I10" t="s">
        <v>516</v>
      </c>
    </row>
    <row r="11" spans="1:9" hidden="1">
      <c r="A11" s="2127">
        <v>456000</v>
      </c>
      <c r="B11" s="2127" t="s">
        <v>2884</v>
      </c>
      <c r="C11" s="2127" t="s">
        <v>2971</v>
      </c>
      <c r="D11" s="2127" t="s">
        <v>2293</v>
      </c>
      <c r="E11" s="2127"/>
      <c r="F11" s="2127"/>
      <c r="G11" s="2128">
        <v>112649.24</v>
      </c>
      <c r="H11" s="2196">
        <f t="shared" si="0"/>
        <v>112649.24</v>
      </c>
      <c r="I11" t="s">
        <v>516</v>
      </c>
    </row>
    <row r="12" spans="1:9" hidden="1">
      <c r="A12" s="2127">
        <v>456000</v>
      </c>
      <c r="B12" s="2127" t="s">
        <v>2884</v>
      </c>
      <c r="C12" s="2127" t="s">
        <v>2972</v>
      </c>
      <c r="D12" s="2127" t="s">
        <v>2293</v>
      </c>
      <c r="E12" s="2127"/>
      <c r="F12" s="2127"/>
      <c r="G12" s="2128">
        <v>65.7</v>
      </c>
      <c r="H12" s="2196">
        <f t="shared" si="0"/>
        <v>65.7</v>
      </c>
      <c r="I12" t="s">
        <v>516</v>
      </c>
    </row>
    <row r="13" spans="1:9" hidden="1">
      <c r="A13" s="2127">
        <v>456000</v>
      </c>
      <c r="B13" s="2127" t="s">
        <v>2884</v>
      </c>
      <c r="C13" s="2127" t="s">
        <v>2973</v>
      </c>
      <c r="D13" s="2127" t="s">
        <v>2293</v>
      </c>
      <c r="E13" s="2127"/>
      <c r="F13" s="2127"/>
      <c r="G13" s="2128">
        <v>6599.99</v>
      </c>
      <c r="H13" s="2196">
        <f t="shared" si="0"/>
        <v>6599.99</v>
      </c>
      <c r="I13" t="s">
        <v>516</v>
      </c>
    </row>
    <row r="14" spans="1:9" hidden="1">
      <c r="A14" s="2127">
        <v>456000</v>
      </c>
      <c r="B14" s="2127" t="s">
        <v>2895</v>
      </c>
      <c r="C14" s="2127" t="s">
        <v>2896</v>
      </c>
      <c r="D14" s="2127" t="s">
        <v>2293</v>
      </c>
      <c r="E14" s="2127"/>
      <c r="F14" s="2127"/>
      <c r="G14" s="2128">
        <v>25992.52</v>
      </c>
      <c r="H14" s="2196">
        <f t="shared" si="0"/>
        <v>25992.52</v>
      </c>
      <c r="I14" t="s">
        <v>516</v>
      </c>
    </row>
    <row r="15" spans="1:9" hidden="1">
      <c r="A15" s="2127">
        <v>456000</v>
      </c>
      <c r="B15" s="2127" t="s">
        <v>2895</v>
      </c>
      <c r="C15" s="2127" t="s">
        <v>2894</v>
      </c>
      <c r="D15" s="2127" t="s">
        <v>2293</v>
      </c>
      <c r="E15" s="2127"/>
      <c r="F15" s="2127"/>
      <c r="G15" s="2128">
        <v>6114.78</v>
      </c>
      <c r="H15" s="2196">
        <f t="shared" si="0"/>
        <v>6114.78</v>
      </c>
      <c r="I15" t="s">
        <v>516</v>
      </c>
    </row>
    <row r="16" spans="1:9" hidden="1">
      <c r="A16" s="2127">
        <v>456000</v>
      </c>
      <c r="B16" s="2127" t="s">
        <v>2892</v>
      </c>
      <c r="C16" s="2127" t="s">
        <v>2893</v>
      </c>
      <c r="D16" s="2127" t="s">
        <v>2293</v>
      </c>
      <c r="E16" s="2127"/>
      <c r="F16" s="2127"/>
      <c r="G16" s="2127">
        <v>1533.46</v>
      </c>
      <c r="H16" s="2196">
        <f t="shared" si="0"/>
        <v>1533.46</v>
      </c>
      <c r="I16" t="s">
        <v>516</v>
      </c>
    </row>
    <row r="17" spans="1:11" hidden="1">
      <c r="A17" s="2127">
        <v>456000</v>
      </c>
      <c r="B17" s="2127" t="s">
        <v>2892</v>
      </c>
      <c r="C17" s="2127" t="s">
        <v>2891</v>
      </c>
      <c r="D17" s="2127" t="s">
        <v>2293</v>
      </c>
      <c r="E17" s="2127"/>
      <c r="F17" s="2128">
        <v>16789.939999999999</v>
      </c>
      <c r="G17" s="2127"/>
      <c r="H17" s="2196">
        <f t="shared" si="0"/>
        <v>16789.939999999999</v>
      </c>
      <c r="I17" t="s">
        <v>516</v>
      </c>
    </row>
    <row r="18" spans="1:11" hidden="1">
      <c r="A18" s="2127">
        <v>456329</v>
      </c>
      <c r="B18" s="2127" t="s">
        <v>2868</v>
      </c>
      <c r="C18" s="2127" t="s">
        <v>2890</v>
      </c>
      <c r="D18" s="2127" t="s">
        <v>2293</v>
      </c>
      <c r="E18" s="2128">
        <v>5728556.54</v>
      </c>
      <c r="F18" s="2128">
        <v>10429885.789999999</v>
      </c>
      <c r="G18" s="2127"/>
      <c r="H18" s="2196">
        <f t="shared" si="0"/>
        <v>16158442.329999998</v>
      </c>
      <c r="I18" t="s">
        <v>516</v>
      </c>
    </row>
    <row r="19" spans="1:11" hidden="1">
      <c r="A19" s="2127">
        <v>456329</v>
      </c>
      <c r="B19" s="2127" t="s">
        <v>2868</v>
      </c>
      <c r="C19" s="2127" t="s">
        <v>2882</v>
      </c>
      <c r="D19" s="2127" t="s">
        <v>2293</v>
      </c>
      <c r="E19" s="2128">
        <v>764658.03</v>
      </c>
      <c r="F19" s="2128">
        <v>2543301.31</v>
      </c>
      <c r="G19" s="2127"/>
      <c r="H19" s="2196">
        <f t="shared" si="0"/>
        <v>3307959.34</v>
      </c>
      <c r="I19" t="s">
        <v>516</v>
      </c>
    </row>
    <row r="20" spans="1:11" hidden="1">
      <c r="A20" s="2127">
        <v>456339</v>
      </c>
      <c r="B20" s="2127" t="s">
        <v>2868</v>
      </c>
      <c r="C20" s="2127" t="s">
        <v>2889</v>
      </c>
      <c r="D20" s="2127" t="s">
        <v>2293</v>
      </c>
      <c r="E20" s="2128">
        <v>0</v>
      </c>
      <c r="F20" s="2128">
        <v>-1538664.82</v>
      </c>
      <c r="G20" s="2127"/>
      <c r="H20" s="2196">
        <f t="shared" si="0"/>
        <v>-1538664.82</v>
      </c>
      <c r="I20" t="s">
        <v>516</v>
      </c>
    </row>
    <row r="21" spans="1:11" hidden="1">
      <c r="A21" s="2131" t="s">
        <v>2976</v>
      </c>
      <c r="B21" s="2127" t="s">
        <v>2868</v>
      </c>
      <c r="C21" s="2127" t="s">
        <v>2975</v>
      </c>
      <c r="D21" s="2130" t="s">
        <v>2293</v>
      </c>
      <c r="E21" s="2128">
        <v>410166.89</v>
      </c>
      <c r="F21" s="2128">
        <v>667329.55000000005</v>
      </c>
      <c r="G21" s="2127"/>
      <c r="H21" s="2196">
        <f t="shared" si="0"/>
        <v>1077496.44</v>
      </c>
      <c r="I21" t="s">
        <v>516</v>
      </c>
    </row>
    <row r="22" spans="1:11">
      <c r="A22" s="2127">
        <v>456010</v>
      </c>
      <c r="B22" s="2005" t="s">
        <v>2873</v>
      </c>
      <c r="C22" s="2005" t="s">
        <v>2888</v>
      </c>
      <c r="D22" s="2005" t="s">
        <v>2293</v>
      </c>
      <c r="E22" s="2005"/>
      <c r="F22" s="2005"/>
      <c r="G22" s="2228">
        <v>-16804902.5</v>
      </c>
      <c r="H22" s="2230">
        <f t="shared" si="0"/>
        <v>-16804902.5</v>
      </c>
      <c r="I22" s="2005" t="s">
        <v>105</v>
      </c>
      <c r="J22" s="1641" t="s">
        <v>3226</v>
      </c>
    </row>
    <row r="23" spans="1:11">
      <c r="A23" s="2005">
        <v>456010</v>
      </c>
      <c r="B23" s="2005" t="s">
        <v>2873</v>
      </c>
      <c r="C23" s="2005" t="s">
        <v>2887</v>
      </c>
      <c r="D23" s="2005" t="s">
        <v>2293</v>
      </c>
      <c r="E23" s="2005"/>
      <c r="F23" s="2005"/>
      <c r="G23" s="2228">
        <v>-40373523.75</v>
      </c>
      <c r="H23" s="2230">
        <f t="shared" si="0"/>
        <v>-40373523.75</v>
      </c>
      <c r="I23" s="2005" t="s">
        <v>105</v>
      </c>
      <c r="J23" s="1641" t="s">
        <v>3225</v>
      </c>
    </row>
    <row r="24" spans="1:11" hidden="1">
      <c r="A24" s="2127">
        <v>456015</v>
      </c>
      <c r="B24" s="2127" t="s">
        <v>2873</v>
      </c>
      <c r="C24" s="2127" t="s">
        <v>2886</v>
      </c>
      <c r="D24" s="2127" t="s">
        <v>2293</v>
      </c>
      <c r="E24" s="2127"/>
      <c r="F24" s="2127"/>
      <c r="G24" s="2128">
        <v>30234642.550000001</v>
      </c>
      <c r="H24" s="2197">
        <f t="shared" si="0"/>
        <v>30234642.550000001</v>
      </c>
      <c r="I24" t="s">
        <v>516</v>
      </c>
      <c r="J24">
        <v>-30237833.690000001</v>
      </c>
      <c r="K24" s="2096">
        <f>SUM(H24,J24)</f>
        <v>-3191.140000000596</v>
      </c>
    </row>
    <row r="25" spans="1:11" hidden="1">
      <c r="A25" s="2127">
        <v>456015</v>
      </c>
      <c r="B25" s="2127" t="s">
        <v>2977</v>
      </c>
      <c r="C25" s="2127" t="s">
        <v>2978</v>
      </c>
      <c r="D25" s="2127" t="s">
        <v>2293</v>
      </c>
      <c r="E25" s="2127"/>
      <c r="F25" s="2127"/>
      <c r="G25" s="2128">
        <v>3191.14</v>
      </c>
      <c r="H25" s="2197">
        <f t="shared" si="0"/>
        <v>3191.14</v>
      </c>
      <c r="I25" t="s">
        <v>516</v>
      </c>
    </row>
    <row r="26" spans="1:11">
      <c r="A26" s="2127">
        <v>456016</v>
      </c>
      <c r="B26" s="2127" t="s">
        <v>2870</v>
      </c>
      <c r="C26" s="2127" t="s">
        <v>2869</v>
      </c>
      <c r="D26" s="2127" t="s">
        <v>2293</v>
      </c>
      <c r="E26" s="2127"/>
      <c r="F26" s="2127"/>
      <c r="G26" s="2128">
        <v>3667551.35</v>
      </c>
      <c r="H26" s="2197">
        <f t="shared" si="0"/>
        <v>3667551.35</v>
      </c>
      <c r="I26" t="s">
        <v>105</v>
      </c>
    </row>
    <row r="27" spans="1:11" hidden="1">
      <c r="A27" s="2127">
        <v>456017</v>
      </c>
      <c r="B27" s="2127" t="s">
        <v>2872</v>
      </c>
      <c r="C27" s="2127" t="s">
        <v>2881</v>
      </c>
      <c r="D27" s="2127" t="s">
        <v>2293</v>
      </c>
      <c r="E27" s="2127"/>
      <c r="F27" s="2127"/>
      <c r="G27" s="2128">
        <v>120758.64</v>
      </c>
      <c r="H27" s="2197">
        <f t="shared" ref="H27:H47" si="1">SUM(E27:G27)</f>
        <v>120758.64</v>
      </c>
      <c r="I27" t="s">
        <v>516</v>
      </c>
    </row>
    <row r="28" spans="1:11">
      <c r="A28" s="2127">
        <v>456018</v>
      </c>
      <c r="B28" s="2127" t="s">
        <v>2873</v>
      </c>
      <c r="C28" s="2127" t="s">
        <v>2875</v>
      </c>
      <c r="D28" s="2127" t="s">
        <v>2293</v>
      </c>
      <c r="E28" s="2127"/>
      <c r="F28" s="2127"/>
      <c r="G28" s="2128">
        <v>305591.64</v>
      </c>
      <c r="H28" s="2197">
        <f t="shared" si="1"/>
        <v>305591.64</v>
      </c>
      <c r="I28" t="s">
        <v>105</v>
      </c>
    </row>
    <row r="29" spans="1:11">
      <c r="A29" s="2127">
        <v>456030</v>
      </c>
      <c r="B29" s="2127" t="s">
        <v>2878</v>
      </c>
      <c r="C29" s="2127" t="s">
        <v>2877</v>
      </c>
      <c r="D29" s="2127" t="s">
        <v>2293</v>
      </c>
      <c r="E29" s="2126">
        <v>-165000</v>
      </c>
      <c r="F29" s="2127"/>
      <c r="G29" s="2127"/>
      <c r="H29" s="2196">
        <f t="shared" si="1"/>
        <v>-165000</v>
      </c>
      <c r="I29" t="s">
        <v>106</v>
      </c>
    </row>
    <row r="30" spans="1:11">
      <c r="A30" s="2127">
        <v>456030</v>
      </c>
      <c r="B30" s="2127" t="s">
        <v>2873</v>
      </c>
      <c r="C30" s="2127" t="s">
        <v>2876</v>
      </c>
      <c r="D30" s="2127" t="s">
        <v>2293</v>
      </c>
      <c r="E30" s="2127"/>
      <c r="F30" s="2127"/>
      <c r="G30" s="2128">
        <v>1650000</v>
      </c>
      <c r="H30" s="2196">
        <f t="shared" si="1"/>
        <v>1650000</v>
      </c>
      <c r="I30" t="s">
        <v>106</v>
      </c>
    </row>
    <row r="31" spans="1:11" hidden="1">
      <c r="A31" s="2127">
        <v>456050</v>
      </c>
      <c r="B31" s="2127" t="s">
        <v>2884</v>
      </c>
      <c r="C31" s="2127" t="s">
        <v>2979</v>
      </c>
      <c r="D31" s="2127" t="s">
        <v>2293</v>
      </c>
      <c r="E31" s="2128">
        <v>39526</v>
      </c>
      <c r="F31" s="2128">
        <v>188419.27</v>
      </c>
      <c r="G31" s="2128"/>
      <c r="H31" s="2196">
        <f t="shared" si="1"/>
        <v>227945.27</v>
      </c>
      <c r="I31" s="1211" t="s">
        <v>516</v>
      </c>
    </row>
    <row r="32" spans="1:11" hidden="1">
      <c r="A32" s="2127">
        <v>456050</v>
      </c>
      <c r="B32" s="2127" t="s">
        <v>2884</v>
      </c>
      <c r="C32" s="2127" t="s">
        <v>2972</v>
      </c>
      <c r="D32" s="2130" t="s">
        <v>2293</v>
      </c>
      <c r="E32" s="2128">
        <v>141182</v>
      </c>
      <c r="F32" s="2128">
        <v>527599</v>
      </c>
      <c r="G32" s="2128"/>
      <c r="H32" s="2196">
        <f t="shared" si="1"/>
        <v>668781</v>
      </c>
      <c r="I32" s="1211" t="s">
        <v>516</v>
      </c>
    </row>
    <row r="33" spans="1:9" hidden="1">
      <c r="A33" s="2127">
        <v>456050</v>
      </c>
      <c r="B33" s="2130" t="s">
        <v>2980</v>
      </c>
      <c r="C33" s="2130" t="s">
        <v>2972</v>
      </c>
      <c r="D33" s="2130" t="s">
        <v>2293</v>
      </c>
      <c r="E33" s="2127">
        <v>-166</v>
      </c>
      <c r="F33" s="2127">
        <v>24001</v>
      </c>
      <c r="G33" s="2128"/>
      <c r="H33" s="2196">
        <f t="shared" si="1"/>
        <v>23835</v>
      </c>
      <c r="I33" s="1211" t="s">
        <v>516</v>
      </c>
    </row>
    <row r="34" spans="1:9" hidden="1">
      <c r="A34" s="2127">
        <v>456050</v>
      </c>
      <c r="B34" s="2130" t="s">
        <v>2980</v>
      </c>
      <c r="C34" s="2130" t="s">
        <v>2979</v>
      </c>
      <c r="D34" s="2130" t="s">
        <v>2293</v>
      </c>
      <c r="E34" s="2127">
        <v>-2460</v>
      </c>
      <c r="F34" s="2127">
        <v>-465</v>
      </c>
      <c r="G34" s="2128"/>
      <c r="H34" s="2196">
        <f t="shared" si="1"/>
        <v>-2925</v>
      </c>
      <c r="I34" s="1211" t="s">
        <v>516</v>
      </c>
    </row>
    <row r="35" spans="1:9">
      <c r="A35" s="2127">
        <v>456100</v>
      </c>
      <c r="B35" s="2130" t="s">
        <v>2873</v>
      </c>
      <c r="C35" s="2130" t="s">
        <v>2981</v>
      </c>
      <c r="D35" s="2130" t="s">
        <v>2293</v>
      </c>
      <c r="E35" s="2127"/>
      <c r="F35" s="2127"/>
      <c r="G35" s="2128">
        <v>28749512.559999999</v>
      </c>
      <c r="H35" s="2129">
        <f t="shared" si="1"/>
        <v>28749512.559999999</v>
      </c>
      <c r="I35" s="1211"/>
    </row>
    <row r="36" spans="1:9">
      <c r="A36" s="2127">
        <v>456100</v>
      </c>
      <c r="B36" s="2130" t="s">
        <v>2872</v>
      </c>
      <c r="C36" s="2130" t="s">
        <v>2981</v>
      </c>
      <c r="D36" s="2130" t="s">
        <v>2293</v>
      </c>
      <c r="E36" s="2127"/>
      <c r="F36" s="2127"/>
      <c r="G36" s="2128">
        <v>0</v>
      </c>
      <c r="H36" s="2129">
        <f t="shared" si="1"/>
        <v>0</v>
      </c>
      <c r="I36" s="1211"/>
    </row>
    <row r="37" spans="1:9">
      <c r="A37" s="2127">
        <v>456100</v>
      </c>
      <c r="B37" s="2130" t="s">
        <v>2884</v>
      </c>
      <c r="C37" s="2130" t="s">
        <v>2981</v>
      </c>
      <c r="D37" s="2130" t="s">
        <v>2293</v>
      </c>
      <c r="E37" s="2127"/>
      <c r="F37" s="2127"/>
      <c r="G37" s="2128">
        <v>122873</v>
      </c>
      <c r="H37" s="2129">
        <f t="shared" si="1"/>
        <v>122873</v>
      </c>
      <c r="I37" s="1211"/>
    </row>
    <row r="38" spans="1:9">
      <c r="A38" s="2127">
        <v>456120</v>
      </c>
      <c r="B38" s="2130" t="s">
        <v>2873</v>
      </c>
      <c r="C38" s="2130" t="s">
        <v>2982</v>
      </c>
      <c r="D38" s="2130" t="s">
        <v>2293</v>
      </c>
      <c r="E38" s="2127"/>
      <c r="F38" s="2127"/>
      <c r="G38" s="2128">
        <v>924000</v>
      </c>
      <c r="H38" s="2129">
        <f t="shared" si="1"/>
        <v>924000</v>
      </c>
    </row>
    <row r="39" spans="1:9">
      <c r="A39" s="2127">
        <v>456130</v>
      </c>
      <c r="B39" s="2130" t="s">
        <v>2873</v>
      </c>
      <c r="C39" s="2130" t="s">
        <v>2983</v>
      </c>
      <c r="D39" s="2130" t="s">
        <v>2293</v>
      </c>
      <c r="E39" s="2127"/>
      <c r="F39" s="2127"/>
      <c r="G39" s="2128">
        <v>1173595.43</v>
      </c>
      <c r="H39" s="2129">
        <f t="shared" si="1"/>
        <v>1173595.43</v>
      </c>
      <c r="I39" s="1211"/>
    </row>
    <row r="40" spans="1:9" hidden="1">
      <c r="A40" s="2127">
        <v>456328</v>
      </c>
      <c r="B40" s="2130" t="s">
        <v>2868</v>
      </c>
      <c r="C40" s="2130" t="s">
        <v>2867</v>
      </c>
      <c r="D40" s="2130" t="s">
        <v>2293</v>
      </c>
      <c r="E40" s="2127">
        <v>-4799885.6399999997</v>
      </c>
      <c r="F40" s="2127">
        <v>-1786066.98</v>
      </c>
      <c r="G40" s="2128"/>
      <c r="H40" s="2196">
        <f t="shared" si="1"/>
        <v>-6585952.6199999992</v>
      </c>
      <c r="I40" t="s">
        <v>516</v>
      </c>
    </row>
    <row r="41" spans="1:9">
      <c r="A41" s="2127">
        <v>456380</v>
      </c>
      <c r="B41" s="2130" t="s">
        <v>2870</v>
      </c>
      <c r="C41" s="2130" t="s">
        <v>2874</v>
      </c>
      <c r="D41" s="2130" t="s">
        <v>2293</v>
      </c>
      <c r="E41" s="2127">
        <v>331018.06</v>
      </c>
      <c r="F41" s="2127"/>
      <c r="G41" s="2128"/>
      <c r="H41" s="2196">
        <f t="shared" si="1"/>
        <v>331018.06</v>
      </c>
      <c r="I41" t="s">
        <v>105</v>
      </c>
    </row>
    <row r="42" spans="1:9" hidden="1">
      <c r="A42" s="2127">
        <v>456700</v>
      </c>
      <c r="B42" s="2130" t="s">
        <v>2872</v>
      </c>
      <c r="C42" s="2130" t="s">
        <v>2885</v>
      </c>
      <c r="D42" s="2130" t="s">
        <v>2293</v>
      </c>
      <c r="E42" s="2127">
        <v>62790.84</v>
      </c>
      <c r="F42" s="2127">
        <v>128568.84</v>
      </c>
      <c r="G42" s="2128"/>
      <c r="H42" s="2196">
        <f t="shared" si="1"/>
        <v>191359.68</v>
      </c>
      <c r="I42" t="s">
        <v>516</v>
      </c>
    </row>
    <row r="43" spans="1:9" hidden="1">
      <c r="A43" s="2127">
        <v>456705</v>
      </c>
      <c r="B43" s="2130" t="s">
        <v>2872</v>
      </c>
      <c r="C43" s="2130" t="s">
        <v>2871</v>
      </c>
      <c r="D43" s="2130" t="s">
        <v>2293</v>
      </c>
      <c r="E43" s="2127"/>
      <c r="F43" s="2127"/>
      <c r="G43" s="2128">
        <v>1779528</v>
      </c>
      <c r="H43" s="2196">
        <f t="shared" si="1"/>
        <v>1779528</v>
      </c>
      <c r="I43" t="s">
        <v>516</v>
      </c>
    </row>
    <row r="44" spans="1:9" hidden="1">
      <c r="A44" s="2127">
        <v>456711</v>
      </c>
      <c r="B44" s="2127" t="s">
        <v>2873</v>
      </c>
      <c r="C44" s="2127" t="s">
        <v>2880</v>
      </c>
      <c r="D44" s="2127" t="s">
        <v>2293</v>
      </c>
      <c r="E44" s="2127"/>
      <c r="F44" s="2127"/>
      <c r="G44" s="2128">
        <v>-3028077.16</v>
      </c>
      <c r="H44" s="2196">
        <f t="shared" si="1"/>
        <v>-3028077.16</v>
      </c>
      <c r="I44" t="s">
        <v>516</v>
      </c>
    </row>
    <row r="45" spans="1:9" hidden="1">
      <c r="A45" s="2127">
        <v>456720</v>
      </c>
      <c r="B45" s="2127" t="s">
        <v>2873</v>
      </c>
      <c r="C45" s="2127" t="s">
        <v>2880</v>
      </c>
      <c r="D45" s="2127" t="s">
        <v>2293</v>
      </c>
      <c r="E45" s="2127"/>
      <c r="F45" s="2127"/>
      <c r="G45" s="2128">
        <v>3028077.16</v>
      </c>
      <c r="H45" s="2196">
        <f t="shared" si="1"/>
        <v>3028077.16</v>
      </c>
      <c r="I45" t="s">
        <v>516</v>
      </c>
    </row>
    <row r="46" spans="1:9" hidden="1">
      <c r="A46" s="2127">
        <v>456730</v>
      </c>
      <c r="B46" s="2127" t="s">
        <v>2873</v>
      </c>
      <c r="C46" s="2127" t="s">
        <v>2879</v>
      </c>
      <c r="D46" s="2127" t="s">
        <v>2293</v>
      </c>
      <c r="E46" s="2127"/>
      <c r="F46" s="2127"/>
      <c r="G46" s="2128">
        <v>6488484.29</v>
      </c>
      <c r="H46" s="2196">
        <f t="shared" si="1"/>
        <v>6488484.29</v>
      </c>
      <c r="I46" t="s">
        <v>516</v>
      </c>
    </row>
    <row r="47" spans="1:9" hidden="1">
      <c r="A47" s="2127" t="s">
        <v>2846</v>
      </c>
      <c r="B47" s="2127" t="s">
        <v>3221</v>
      </c>
      <c r="C47" s="2127"/>
      <c r="D47" s="2127" t="s">
        <v>2293</v>
      </c>
      <c r="E47" s="2127"/>
      <c r="F47" s="2127"/>
      <c r="G47" s="2128">
        <v>22152</v>
      </c>
      <c r="H47" s="2196">
        <f t="shared" si="1"/>
        <v>22152</v>
      </c>
      <c r="I47" t="s">
        <v>516</v>
      </c>
    </row>
    <row r="48" spans="1:9">
      <c r="E48" s="2098">
        <f>SUM(E5:E46)</f>
        <v>2516296.9200000004</v>
      </c>
      <c r="F48" s="2098">
        <f>SUM(F5:F46)</f>
        <v>11331597.949999999</v>
      </c>
      <c r="G48" s="2098">
        <f>SUM(G5:G47)</f>
        <v>19321013.140000001</v>
      </c>
      <c r="H48" s="2107">
        <f>SUM(H5:H47)</f>
        <v>33168908.009999994</v>
      </c>
    </row>
    <row r="50" spans="8:10">
      <c r="H50" s="584"/>
    </row>
    <row r="51" spans="8:10">
      <c r="H51" s="1070" t="s">
        <v>2866</v>
      </c>
    </row>
    <row r="52" spans="8:10">
      <c r="H52" s="2087">
        <f>SUMIFS($H$5:$H$46,$I$5:$I$46,I52)</f>
        <v>-52738265.199999996</v>
      </c>
      <c r="I52" t="s">
        <v>105</v>
      </c>
      <c r="J52" s="1991"/>
    </row>
    <row r="53" spans="8:10">
      <c r="H53" s="2087">
        <f>SUMIFS($H$5:$H$46,$I$5:$I$46,I53)</f>
        <v>1485000</v>
      </c>
      <c r="I53" t="s">
        <v>106</v>
      </c>
    </row>
    <row r="54" spans="8:10">
      <c r="H54" s="2106">
        <f>SUMIFS($H$5:$H$47,$I$5:$I$47,I54)</f>
        <v>53452192.220000006</v>
      </c>
      <c r="I54" t="s">
        <v>516</v>
      </c>
    </row>
    <row r="55" spans="8:10">
      <c r="H55" s="2105">
        <f>SUM(H52:H54)</f>
        <v>2198927.0200000107</v>
      </c>
    </row>
  </sheetData>
  <autoFilter ref="A4:I48" xr:uid="{00000000-0009-0000-0000-000018000000}">
    <filterColumn colId="8">
      <filters blank="1">
        <filter val="Production"/>
        <filter val="Transmission"/>
      </filters>
    </filterColumn>
  </autoFilter>
  <pageMargins left="0.7" right="0.7" top="0.75" bottom="0.75" header="0.3" footer="0.3"/>
  <pageSetup orientation="portrait" r:id="rId1"/>
  <customProperties>
    <customPr name="xxe4aPID" r:id="rId2"/>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1A20B-9E96-41AE-AF91-C97611285891}">
  <sheetPr codeName="Sheet39"/>
  <dimension ref="A1:N306"/>
  <sheetViews>
    <sheetView zoomScale="110" zoomScaleNormal="110" workbookViewId="0">
      <pane ySplit="5" topLeftCell="A154" activePane="bottomLeft" state="frozen"/>
      <selection activeCell="G173" sqref="G173"/>
      <selection pane="bottomLeft" activeCell="G173" sqref="G173"/>
    </sheetView>
  </sheetViews>
  <sheetFormatPr defaultRowHeight="15.75"/>
  <cols>
    <col min="1" max="1" width="10.875" customWidth="1"/>
    <col min="2" max="2" width="9.125" bestFit="1" customWidth="1"/>
    <col min="3" max="3" width="47.75" bestFit="1" customWidth="1"/>
    <col min="4" max="4" width="14.625" bestFit="1" customWidth="1"/>
    <col min="5" max="5" width="16.25" customWidth="1"/>
    <col min="6" max="12" width="14.625" bestFit="1" customWidth="1"/>
    <col min="13" max="14" width="11.125" bestFit="1" customWidth="1"/>
  </cols>
  <sheetData>
    <row r="1" spans="1:12">
      <c r="A1" s="1070" t="s">
        <v>2409</v>
      </c>
      <c r="D1" s="2104" t="s">
        <v>2408</v>
      </c>
      <c r="F1" t="s">
        <v>2407</v>
      </c>
    </row>
    <row r="2" spans="1:12">
      <c r="A2" s="1070" t="s">
        <v>2865</v>
      </c>
      <c r="D2" s="2103" t="s">
        <v>2864</v>
      </c>
    </row>
    <row r="3" spans="1:12">
      <c r="A3" t="s">
        <v>2404</v>
      </c>
    </row>
    <row r="4" spans="1:12">
      <c r="A4" t="s">
        <v>2402</v>
      </c>
      <c r="D4" t="s">
        <v>2646</v>
      </c>
      <c r="G4" t="s">
        <v>2645</v>
      </c>
      <c r="J4" t="s">
        <v>2644</v>
      </c>
    </row>
    <row r="5" spans="1:12">
      <c r="A5" s="2101" t="s">
        <v>2398</v>
      </c>
      <c r="B5" s="2101" t="s">
        <v>96</v>
      </c>
      <c r="C5" s="2101" t="s">
        <v>231</v>
      </c>
      <c r="D5" s="2101" t="s">
        <v>2189</v>
      </c>
      <c r="E5" s="2101" t="s">
        <v>2394</v>
      </c>
      <c r="F5" s="2102" t="s">
        <v>104</v>
      </c>
      <c r="G5" s="2101" t="s">
        <v>2189</v>
      </c>
      <c r="H5" s="2101" t="s">
        <v>2394</v>
      </c>
      <c r="I5" s="2101" t="s">
        <v>104</v>
      </c>
      <c r="J5" s="2101" t="s">
        <v>2189</v>
      </c>
      <c r="K5" s="2101" t="s">
        <v>2394</v>
      </c>
      <c r="L5" s="2101" t="s">
        <v>104</v>
      </c>
    </row>
    <row r="6" spans="1:12">
      <c r="C6" t="s">
        <v>2863</v>
      </c>
    </row>
    <row r="7" spans="1:12">
      <c r="C7" t="s">
        <v>2862</v>
      </c>
    </row>
    <row r="8" spans="1:12">
      <c r="A8">
        <v>99</v>
      </c>
      <c r="B8">
        <v>440000</v>
      </c>
      <c r="C8" t="s">
        <v>2861</v>
      </c>
      <c r="D8" s="2087">
        <v>429502955</v>
      </c>
      <c r="E8" s="2087">
        <v>0</v>
      </c>
      <c r="F8" s="2087">
        <v>429502955</v>
      </c>
      <c r="G8" s="2087">
        <v>290271441</v>
      </c>
      <c r="H8" s="2087">
        <v>0</v>
      </c>
      <c r="I8" s="2087">
        <f t="shared" ref="I8:I13" si="0">SUM(G8:H8)</f>
        <v>290271441</v>
      </c>
      <c r="J8" s="2087">
        <v>139231514</v>
      </c>
      <c r="K8" s="2087">
        <v>0</v>
      </c>
      <c r="L8" s="2087">
        <f t="shared" ref="L8:L13" si="1">SUM(J8:K8)</f>
        <v>139231514</v>
      </c>
    </row>
    <row r="9" spans="1:12">
      <c r="A9">
        <v>99</v>
      </c>
      <c r="B9">
        <v>442200</v>
      </c>
      <c r="C9" t="s">
        <v>2860</v>
      </c>
      <c r="D9" s="2087">
        <v>344903974</v>
      </c>
      <c r="E9" s="2087">
        <v>0</v>
      </c>
      <c r="F9" s="2087">
        <v>344903974</v>
      </c>
      <c r="G9" s="2087">
        <v>251219978</v>
      </c>
      <c r="H9" s="2087">
        <v>0</v>
      </c>
      <c r="I9" s="2087">
        <f t="shared" si="0"/>
        <v>251219978</v>
      </c>
      <c r="J9" s="2087">
        <v>93683996</v>
      </c>
      <c r="K9" s="2087">
        <v>0</v>
      </c>
      <c r="L9" s="2087">
        <f t="shared" si="1"/>
        <v>93683996</v>
      </c>
    </row>
    <row r="10" spans="1:12">
      <c r="A10">
        <v>1</v>
      </c>
      <c r="B10">
        <v>442300</v>
      </c>
      <c r="C10" t="s">
        <v>2859</v>
      </c>
      <c r="D10" s="2087">
        <v>120578441</v>
      </c>
      <c r="E10" s="2087">
        <v>0</v>
      </c>
      <c r="F10" s="2087">
        <v>120578441</v>
      </c>
      <c r="G10" s="2087">
        <v>65992912</v>
      </c>
      <c r="H10" s="2087">
        <v>0</v>
      </c>
      <c r="I10" s="2087">
        <f t="shared" si="0"/>
        <v>65992912</v>
      </c>
      <c r="J10" s="2087">
        <v>54585529</v>
      </c>
      <c r="K10" s="2087">
        <v>0</v>
      </c>
      <c r="L10" s="2087">
        <f t="shared" si="1"/>
        <v>54585529</v>
      </c>
    </row>
    <row r="11" spans="1:12">
      <c r="A11">
        <v>99</v>
      </c>
      <c r="B11">
        <v>444000</v>
      </c>
      <c r="C11" t="s">
        <v>2858</v>
      </c>
      <c r="D11" s="2087">
        <v>7975679</v>
      </c>
      <c r="E11" s="2087">
        <v>0</v>
      </c>
      <c r="F11" s="2087">
        <v>7975679</v>
      </c>
      <c r="G11" s="2087">
        <v>5130889</v>
      </c>
      <c r="H11" s="2087">
        <v>0</v>
      </c>
      <c r="I11" s="2087">
        <f t="shared" si="0"/>
        <v>5130889</v>
      </c>
      <c r="J11" s="2087">
        <v>2844790</v>
      </c>
      <c r="K11" s="2087">
        <v>0</v>
      </c>
      <c r="L11" s="2087">
        <f t="shared" si="1"/>
        <v>2844790</v>
      </c>
    </row>
    <row r="12" spans="1:12">
      <c r="A12">
        <v>99</v>
      </c>
      <c r="B12">
        <v>448000</v>
      </c>
      <c r="C12" t="s">
        <v>2857</v>
      </c>
      <c r="D12" s="2087">
        <v>1606948</v>
      </c>
      <c r="E12" s="2087">
        <v>0</v>
      </c>
      <c r="F12" s="2087">
        <v>1606948</v>
      </c>
      <c r="G12" s="2087">
        <v>1355015</v>
      </c>
      <c r="H12" s="2087">
        <v>0</v>
      </c>
      <c r="I12" s="2087">
        <f t="shared" si="0"/>
        <v>1355015</v>
      </c>
      <c r="J12" s="2087">
        <v>251933</v>
      </c>
      <c r="K12" s="2087">
        <v>0</v>
      </c>
      <c r="L12" s="2087">
        <f t="shared" si="1"/>
        <v>251933</v>
      </c>
    </row>
    <row r="13" spans="1:12">
      <c r="A13">
        <v>99</v>
      </c>
      <c r="B13" t="s">
        <v>2856</v>
      </c>
      <c r="C13" t="s">
        <v>1627</v>
      </c>
      <c r="D13" s="2087">
        <v>-6081121</v>
      </c>
      <c r="E13" s="2087">
        <v>0</v>
      </c>
      <c r="F13" s="2087">
        <v>-6081121</v>
      </c>
      <c r="G13" s="2087">
        <v>-3815617</v>
      </c>
      <c r="H13" s="2087">
        <v>0</v>
      </c>
      <c r="I13" s="2087">
        <f t="shared" si="0"/>
        <v>-3815617</v>
      </c>
      <c r="J13" s="2087">
        <v>-2265504</v>
      </c>
      <c r="K13" s="2087">
        <v>0</v>
      </c>
      <c r="L13" s="2087">
        <f t="shared" si="1"/>
        <v>-2265504</v>
      </c>
    </row>
    <row r="14" spans="1:12">
      <c r="C14" t="s">
        <v>2855</v>
      </c>
      <c r="D14" s="2087">
        <f t="shared" ref="D14:L14" si="2">SUM(D8:D13)</f>
        <v>898486876</v>
      </c>
      <c r="E14" s="2087">
        <f t="shared" si="2"/>
        <v>0</v>
      </c>
      <c r="F14" s="2087">
        <f t="shared" si="2"/>
        <v>898486876</v>
      </c>
      <c r="G14" s="2087">
        <f t="shared" si="2"/>
        <v>610154618</v>
      </c>
      <c r="H14" s="2087">
        <f t="shared" si="2"/>
        <v>0</v>
      </c>
      <c r="I14" s="2087">
        <f t="shared" si="2"/>
        <v>610154618</v>
      </c>
      <c r="J14" s="2087">
        <f t="shared" si="2"/>
        <v>288332258</v>
      </c>
      <c r="K14" s="2087">
        <f t="shared" si="2"/>
        <v>0</v>
      </c>
      <c r="L14" s="2087">
        <f t="shared" si="2"/>
        <v>288332258</v>
      </c>
    </row>
    <row r="15" spans="1:12">
      <c r="D15" s="2087"/>
      <c r="E15" s="2087"/>
      <c r="F15" s="2087"/>
      <c r="G15" s="2087"/>
      <c r="H15" s="2087"/>
      <c r="I15" s="2087"/>
      <c r="J15" s="2087"/>
      <c r="K15" s="2087"/>
      <c r="L15" s="2087"/>
    </row>
    <row r="16" spans="1:12">
      <c r="A16">
        <v>1</v>
      </c>
      <c r="B16" t="s">
        <v>2854</v>
      </c>
      <c r="C16" t="s">
        <v>64</v>
      </c>
      <c r="D16" s="2087">
        <v>0</v>
      </c>
      <c r="E16" s="2087">
        <v>253658001</v>
      </c>
      <c r="F16" s="2087">
        <v>253658001</v>
      </c>
      <c r="G16" s="2087">
        <v>0</v>
      </c>
      <c r="H16" s="2087">
        <v>163558679</v>
      </c>
      <c r="I16" s="2087">
        <v>163558679</v>
      </c>
      <c r="J16" s="2087">
        <v>0</v>
      </c>
      <c r="K16" s="2087">
        <v>90099322</v>
      </c>
      <c r="L16" s="2087">
        <v>90099322</v>
      </c>
    </row>
    <row r="17" spans="1:12">
      <c r="C17" t="s">
        <v>2853</v>
      </c>
      <c r="D17" s="2087">
        <f t="shared" ref="D17:L17" si="3">SUM(D14,D16)</f>
        <v>898486876</v>
      </c>
      <c r="E17" s="2087">
        <f t="shared" si="3"/>
        <v>253658001</v>
      </c>
      <c r="F17" s="2087">
        <f t="shared" si="3"/>
        <v>1152144877</v>
      </c>
      <c r="G17" s="2087">
        <f t="shared" si="3"/>
        <v>610154618</v>
      </c>
      <c r="H17" s="2087">
        <f t="shared" si="3"/>
        <v>163558679</v>
      </c>
      <c r="I17" s="2087">
        <f t="shared" si="3"/>
        <v>773713297</v>
      </c>
      <c r="J17" s="2087">
        <f t="shared" si="3"/>
        <v>288332258</v>
      </c>
      <c r="K17" s="2087">
        <f t="shared" si="3"/>
        <v>90099322</v>
      </c>
      <c r="L17" s="2087">
        <f t="shared" si="3"/>
        <v>378431580</v>
      </c>
    </row>
    <row r="18" spans="1:12">
      <c r="D18" s="2087"/>
      <c r="E18" s="2087"/>
      <c r="F18" s="2087"/>
      <c r="G18" s="2087"/>
      <c r="H18" s="2087"/>
      <c r="I18" s="2087"/>
      <c r="J18" s="2087"/>
      <c r="K18" s="2087"/>
      <c r="L18" s="2087"/>
    </row>
    <row r="19" spans="1:12">
      <c r="C19" t="s">
        <v>2852</v>
      </c>
      <c r="D19" s="2087"/>
      <c r="E19" s="2087"/>
      <c r="F19" s="2087"/>
      <c r="G19" s="2087"/>
      <c r="H19" s="2087"/>
      <c r="I19" s="2087"/>
      <c r="J19" s="2087"/>
      <c r="K19" s="2087"/>
      <c r="L19" s="2087"/>
    </row>
    <row r="20" spans="1:12">
      <c r="A20">
        <v>99</v>
      </c>
      <c r="B20">
        <v>449100</v>
      </c>
      <c r="C20" t="s">
        <v>2851</v>
      </c>
      <c r="D20" s="2087">
        <v>0</v>
      </c>
      <c r="E20" s="2087">
        <v>0</v>
      </c>
      <c r="F20" s="2087">
        <f t="shared" ref="F20:F27" si="4">SUM(D20:E20)</f>
        <v>0</v>
      </c>
      <c r="G20" s="2087">
        <v>0</v>
      </c>
      <c r="H20" s="2087">
        <v>0</v>
      </c>
      <c r="I20" s="2087">
        <f t="shared" ref="I20:I27" si="5">SUM(G20:H20)</f>
        <v>0</v>
      </c>
      <c r="J20" s="2087">
        <v>0</v>
      </c>
      <c r="K20" s="2087">
        <v>0</v>
      </c>
      <c r="L20" s="2087">
        <f t="shared" ref="L20:L27" si="6">SUM(J20:K20)</f>
        <v>0</v>
      </c>
    </row>
    <row r="21" spans="1:12">
      <c r="A21">
        <v>2</v>
      </c>
      <c r="B21">
        <v>449110</v>
      </c>
      <c r="C21" t="s">
        <v>2850</v>
      </c>
      <c r="D21" s="2087">
        <v>0</v>
      </c>
      <c r="E21" s="2087">
        <v>0</v>
      </c>
      <c r="F21" s="2087">
        <f t="shared" si="4"/>
        <v>0</v>
      </c>
      <c r="G21" s="2087">
        <v>0</v>
      </c>
      <c r="H21" s="2087">
        <v>0</v>
      </c>
      <c r="I21" s="2087">
        <f t="shared" si="5"/>
        <v>0</v>
      </c>
      <c r="J21" s="2087">
        <v>0</v>
      </c>
      <c r="K21" s="2087">
        <v>0</v>
      </c>
      <c r="L21" s="2087">
        <f t="shared" si="6"/>
        <v>0</v>
      </c>
    </row>
    <row r="22" spans="1:12">
      <c r="A22">
        <v>99</v>
      </c>
      <c r="B22">
        <v>451000</v>
      </c>
      <c r="C22" t="s">
        <v>2849</v>
      </c>
      <c r="D22" s="2087">
        <v>129396</v>
      </c>
      <c r="E22" s="2087">
        <v>0</v>
      </c>
      <c r="F22" s="2087">
        <f t="shared" si="4"/>
        <v>129396</v>
      </c>
      <c r="G22" s="2087">
        <v>44370</v>
      </c>
      <c r="H22" s="2087">
        <v>0</v>
      </c>
      <c r="I22" s="2087">
        <f t="shared" si="5"/>
        <v>44370</v>
      </c>
      <c r="J22" s="2087">
        <v>85026</v>
      </c>
      <c r="K22" s="2087">
        <v>0</v>
      </c>
      <c r="L22" s="2087">
        <f t="shared" si="6"/>
        <v>85026</v>
      </c>
    </row>
    <row r="23" spans="1:12">
      <c r="A23">
        <v>1</v>
      </c>
      <c r="B23">
        <v>453000</v>
      </c>
      <c r="C23" t="s">
        <v>2848</v>
      </c>
      <c r="D23" s="2087">
        <v>0</v>
      </c>
      <c r="E23" s="2087">
        <v>688332</v>
      </c>
      <c r="F23" s="2087">
        <f t="shared" si="4"/>
        <v>688332</v>
      </c>
      <c r="G23" s="2087">
        <v>0</v>
      </c>
      <c r="H23" s="2087">
        <v>443836</v>
      </c>
      <c r="I23" s="2087">
        <f t="shared" si="5"/>
        <v>443836</v>
      </c>
      <c r="J23" s="2087">
        <v>0</v>
      </c>
      <c r="K23" s="2087">
        <v>244496</v>
      </c>
      <c r="L23" s="2087">
        <f t="shared" si="6"/>
        <v>244496</v>
      </c>
    </row>
    <row r="24" spans="1:12">
      <c r="A24">
        <v>1</v>
      </c>
      <c r="B24">
        <v>454000</v>
      </c>
      <c r="C24" t="s">
        <v>548</v>
      </c>
      <c r="D24" s="2087">
        <v>7305530</v>
      </c>
      <c r="E24" s="2087">
        <v>189825</v>
      </c>
      <c r="F24" s="2087">
        <f t="shared" si="4"/>
        <v>7495355</v>
      </c>
      <c r="G24" s="2087">
        <v>4134648</v>
      </c>
      <c r="H24" s="2087">
        <v>122399</v>
      </c>
      <c r="I24" s="2087">
        <f t="shared" si="5"/>
        <v>4257047</v>
      </c>
      <c r="J24" s="2087">
        <v>3170882</v>
      </c>
      <c r="K24" s="2087">
        <v>67426</v>
      </c>
      <c r="L24" s="2087">
        <f t="shared" si="6"/>
        <v>3238308</v>
      </c>
    </row>
    <row r="25" spans="1:12">
      <c r="A25">
        <v>1</v>
      </c>
      <c r="B25">
        <v>454100</v>
      </c>
      <c r="C25" t="s">
        <v>2847</v>
      </c>
      <c r="D25" s="2087">
        <v>47499</v>
      </c>
      <c r="E25" s="2087">
        <v>0</v>
      </c>
      <c r="F25" s="2087">
        <f t="shared" si="4"/>
        <v>47499</v>
      </c>
      <c r="G25" s="2087">
        <v>18374</v>
      </c>
      <c r="H25" s="2087">
        <v>0</v>
      </c>
      <c r="I25" s="2087">
        <f t="shared" si="5"/>
        <v>18374</v>
      </c>
      <c r="J25" s="2087">
        <v>29125</v>
      </c>
      <c r="K25" s="2087">
        <v>0</v>
      </c>
      <c r="L25" s="2087">
        <f t="shared" si="6"/>
        <v>29125</v>
      </c>
    </row>
    <row r="26" spans="1:12">
      <c r="A26">
        <v>1</v>
      </c>
      <c r="B26" t="s">
        <v>2846</v>
      </c>
      <c r="C26" t="s">
        <v>328</v>
      </c>
      <c r="D26" s="2087">
        <v>13869195</v>
      </c>
      <c r="E26" s="2087">
        <v>19277561</v>
      </c>
      <c r="F26" s="2087">
        <f t="shared" si="4"/>
        <v>33146756</v>
      </c>
      <c r="G26" s="2087">
        <v>11331598</v>
      </c>
      <c r="H26" s="2087">
        <v>12430171</v>
      </c>
      <c r="I26" s="2087">
        <f t="shared" si="5"/>
        <v>23761769</v>
      </c>
      <c r="J26" s="2087">
        <v>2537597</v>
      </c>
      <c r="K26" s="2087">
        <v>6847390</v>
      </c>
      <c r="L26" s="2087">
        <f t="shared" si="6"/>
        <v>9384987</v>
      </c>
    </row>
    <row r="27" spans="1:12">
      <c r="C27" t="s">
        <v>2845</v>
      </c>
      <c r="D27" s="2087">
        <f>SUM(D20:D26)</f>
        <v>21351620</v>
      </c>
      <c r="E27" s="2087">
        <f>SUM(E20:E26)</f>
        <v>20155718</v>
      </c>
      <c r="F27" s="2087">
        <f t="shared" si="4"/>
        <v>41507338</v>
      </c>
      <c r="G27" s="2087">
        <f>SUM(G20:G26)</f>
        <v>15528990</v>
      </c>
      <c r="H27" s="2087">
        <f>SUM(H20:H26)</f>
        <v>12996406</v>
      </c>
      <c r="I27" s="2087">
        <f t="shared" si="5"/>
        <v>28525396</v>
      </c>
      <c r="J27" s="2087">
        <f>SUM(J20:J26)</f>
        <v>5822630</v>
      </c>
      <c r="K27" s="2087">
        <f>SUM(K20:K26)</f>
        <v>7159312</v>
      </c>
      <c r="L27" s="2087">
        <f t="shared" si="6"/>
        <v>12981942</v>
      </c>
    </row>
    <row r="28" spans="1:12">
      <c r="C28" t="s">
        <v>2844</v>
      </c>
      <c r="D28" s="2087">
        <f t="shared" ref="D28:L28" si="7">SUM(D17,D27)</f>
        <v>919838496</v>
      </c>
      <c r="E28" s="2087">
        <f t="shared" si="7"/>
        <v>273813719</v>
      </c>
      <c r="F28" s="2087">
        <f t="shared" si="7"/>
        <v>1193652215</v>
      </c>
      <c r="G28" s="2087">
        <f t="shared" si="7"/>
        <v>625683608</v>
      </c>
      <c r="H28" s="2087">
        <f t="shared" si="7"/>
        <v>176555085</v>
      </c>
      <c r="I28" s="2087">
        <f t="shared" si="7"/>
        <v>802238693</v>
      </c>
      <c r="J28" s="2087">
        <f t="shared" si="7"/>
        <v>294154888</v>
      </c>
      <c r="K28" s="2087">
        <f t="shared" si="7"/>
        <v>97258634</v>
      </c>
      <c r="L28" s="2087">
        <f t="shared" si="7"/>
        <v>391413522</v>
      </c>
    </row>
    <row r="29" spans="1:12">
      <c r="D29" s="2087"/>
      <c r="E29" s="2087"/>
      <c r="F29" s="2087"/>
      <c r="G29" s="2087"/>
      <c r="H29" s="2087"/>
      <c r="I29" s="2087"/>
      <c r="J29" s="2087"/>
      <c r="K29" s="2087"/>
      <c r="L29" s="2087"/>
    </row>
    <row r="30" spans="1:12">
      <c r="C30" t="s">
        <v>2843</v>
      </c>
      <c r="D30" s="2087"/>
      <c r="E30" s="2087"/>
      <c r="F30" s="2087"/>
      <c r="G30" s="2087"/>
      <c r="H30" s="2087"/>
      <c r="I30" s="2087"/>
      <c r="J30" s="2087"/>
      <c r="K30" s="2087"/>
      <c r="L30" s="2087"/>
    </row>
    <row r="31" spans="1:12">
      <c r="C31" t="s">
        <v>2842</v>
      </c>
      <c r="D31" s="2087"/>
      <c r="E31" s="2087"/>
      <c r="F31" s="2087"/>
      <c r="G31" s="2087"/>
      <c r="H31" s="2087"/>
      <c r="I31" s="2087"/>
      <c r="J31" s="2087"/>
      <c r="K31" s="2087"/>
      <c r="L31" s="2087"/>
    </row>
    <row r="32" spans="1:12">
      <c r="C32" t="s">
        <v>2806</v>
      </c>
      <c r="D32" s="2087"/>
      <c r="E32" s="2087"/>
      <c r="F32" s="2087"/>
      <c r="G32" s="2087"/>
      <c r="H32" s="2087"/>
      <c r="I32" s="2087"/>
      <c r="J32" s="2087"/>
      <c r="K32" s="2087"/>
      <c r="L32" s="2087"/>
    </row>
    <row r="33" spans="1:12">
      <c r="A33">
        <v>1</v>
      </c>
      <c r="B33">
        <v>500000</v>
      </c>
      <c r="C33" t="s">
        <v>2775</v>
      </c>
      <c r="D33" s="2087">
        <v>0</v>
      </c>
      <c r="E33" s="2087">
        <v>177149</v>
      </c>
      <c r="F33" s="2087">
        <v>177149</v>
      </c>
      <c r="G33" s="2087">
        <v>0</v>
      </c>
      <c r="H33" s="2087">
        <v>114226</v>
      </c>
      <c r="I33" s="2087">
        <v>114226</v>
      </c>
      <c r="J33" s="2087">
        <v>0</v>
      </c>
      <c r="K33" s="2087">
        <v>62923</v>
      </c>
      <c r="L33" s="2087">
        <v>62923</v>
      </c>
    </row>
    <row r="34" spans="1:12">
      <c r="A34">
        <v>1</v>
      </c>
      <c r="B34" t="s">
        <v>2841</v>
      </c>
      <c r="C34" t="s">
        <v>563</v>
      </c>
      <c r="D34" s="2087">
        <v>0</v>
      </c>
      <c r="E34" s="2087">
        <v>46052298</v>
      </c>
      <c r="F34" s="2087">
        <v>46052298</v>
      </c>
      <c r="G34" s="2087">
        <v>0</v>
      </c>
      <c r="H34" s="2087">
        <v>29694522</v>
      </c>
      <c r="I34" s="2087">
        <v>29694522</v>
      </c>
      <c r="J34" s="2087">
        <v>0</v>
      </c>
      <c r="K34" s="2087">
        <v>16357776</v>
      </c>
      <c r="L34" s="2087">
        <v>16357776</v>
      </c>
    </row>
    <row r="35" spans="1:12">
      <c r="A35">
        <v>1</v>
      </c>
      <c r="B35">
        <v>502000</v>
      </c>
      <c r="C35" t="s">
        <v>597</v>
      </c>
      <c r="D35" s="2087">
        <v>0</v>
      </c>
      <c r="E35" s="2087">
        <v>4221985</v>
      </c>
      <c r="F35" s="2087">
        <v>4221985</v>
      </c>
      <c r="G35" s="2087">
        <v>0</v>
      </c>
      <c r="H35" s="2087">
        <v>2722336</v>
      </c>
      <c r="I35" s="2087">
        <v>2722336</v>
      </c>
      <c r="J35" s="2087">
        <v>0</v>
      </c>
      <c r="K35" s="2087">
        <v>1499649</v>
      </c>
      <c r="L35" s="2087">
        <v>1499649</v>
      </c>
    </row>
    <row r="36" spans="1:12">
      <c r="A36">
        <v>1</v>
      </c>
      <c r="B36">
        <v>505000</v>
      </c>
      <c r="C36" t="s">
        <v>2830</v>
      </c>
      <c r="D36" s="2087">
        <v>0</v>
      </c>
      <c r="E36" s="2087">
        <v>754146</v>
      </c>
      <c r="F36" s="2087">
        <v>754146</v>
      </c>
      <c r="G36" s="2087">
        <v>0</v>
      </c>
      <c r="H36" s="2087">
        <v>486273</v>
      </c>
      <c r="I36" s="2087">
        <v>486273</v>
      </c>
      <c r="J36" s="2087">
        <v>0</v>
      </c>
      <c r="K36" s="2087">
        <v>267873</v>
      </c>
      <c r="L36" s="2087">
        <v>267873</v>
      </c>
    </row>
    <row r="37" spans="1:12">
      <c r="A37">
        <v>1</v>
      </c>
      <c r="B37" t="s">
        <v>2840</v>
      </c>
      <c r="C37" t="s">
        <v>2839</v>
      </c>
      <c r="D37" s="2087">
        <v>0</v>
      </c>
      <c r="E37" s="2087">
        <v>6447460</v>
      </c>
      <c r="F37" s="2087">
        <v>6447460</v>
      </c>
      <c r="G37" s="2087">
        <v>0</v>
      </c>
      <c r="H37" s="2087">
        <v>4157322</v>
      </c>
      <c r="I37" s="2087">
        <v>4157322</v>
      </c>
      <c r="J37" s="2087">
        <v>0</v>
      </c>
      <c r="K37" s="2087">
        <v>2290138</v>
      </c>
      <c r="L37" s="2087">
        <v>2290138</v>
      </c>
    </row>
    <row r="38" spans="1:12">
      <c r="A38">
        <v>1</v>
      </c>
      <c r="B38">
        <v>507000</v>
      </c>
      <c r="C38" t="s">
        <v>2777</v>
      </c>
      <c r="D38" s="2087">
        <v>0</v>
      </c>
      <c r="E38" s="2087">
        <v>0</v>
      </c>
      <c r="F38" s="2087">
        <v>0</v>
      </c>
      <c r="G38" s="2087">
        <v>0</v>
      </c>
      <c r="H38" s="2087">
        <v>0</v>
      </c>
      <c r="I38" s="2087">
        <v>0</v>
      </c>
      <c r="J38" s="2087">
        <v>0</v>
      </c>
      <c r="K38" s="2087">
        <v>0</v>
      </c>
      <c r="L38" s="2087">
        <v>0</v>
      </c>
    </row>
    <row r="39" spans="1:12">
      <c r="A39">
        <v>1</v>
      </c>
      <c r="B39">
        <v>509100</v>
      </c>
      <c r="C39" t="s">
        <v>2838</v>
      </c>
      <c r="D39" s="2087">
        <v>662437</v>
      </c>
      <c r="E39" s="2087">
        <v>0</v>
      </c>
      <c r="F39" s="2087">
        <v>662437</v>
      </c>
      <c r="G39" s="2087">
        <v>0</v>
      </c>
      <c r="H39" s="2087">
        <v>0</v>
      </c>
      <c r="I39" s="2087">
        <v>0</v>
      </c>
      <c r="J39" s="2087">
        <v>662437</v>
      </c>
      <c r="K39" s="2087">
        <v>0</v>
      </c>
      <c r="L39" s="2087">
        <v>662437</v>
      </c>
    </row>
    <row r="40" spans="1:12">
      <c r="D40" s="2087"/>
      <c r="E40" s="2087"/>
      <c r="F40" s="2087"/>
      <c r="G40" s="2087"/>
      <c r="H40" s="2087"/>
      <c r="I40" s="2087"/>
      <c r="J40" s="2087"/>
      <c r="K40" s="2087"/>
      <c r="L40" s="2087"/>
    </row>
    <row r="41" spans="1:12">
      <c r="C41" t="s">
        <v>2801</v>
      </c>
      <c r="D41" s="2087"/>
      <c r="E41" s="2087"/>
      <c r="F41" s="2087"/>
      <c r="G41" s="2087"/>
      <c r="H41" s="2087"/>
      <c r="I41" s="2087"/>
      <c r="J41" s="2087"/>
      <c r="K41" s="2087"/>
      <c r="L41" s="2087"/>
    </row>
    <row r="42" spans="1:12">
      <c r="A42">
        <v>1</v>
      </c>
      <c r="B42">
        <v>510000</v>
      </c>
      <c r="C42" t="s">
        <v>2775</v>
      </c>
      <c r="D42" s="2087">
        <v>0</v>
      </c>
      <c r="E42" s="2087">
        <v>408706</v>
      </c>
      <c r="F42" s="2087">
        <v>408706</v>
      </c>
      <c r="G42" s="2087">
        <v>0</v>
      </c>
      <c r="H42" s="2087">
        <v>263534</v>
      </c>
      <c r="I42" s="2087">
        <v>263534</v>
      </c>
      <c r="J42" s="2087">
        <v>0</v>
      </c>
      <c r="K42" s="2087">
        <v>145172</v>
      </c>
      <c r="L42" s="2087">
        <v>145172</v>
      </c>
    </row>
    <row r="43" spans="1:12">
      <c r="A43">
        <v>1</v>
      </c>
      <c r="B43">
        <v>511000</v>
      </c>
      <c r="C43" t="s">
        <v>2774</v>
      </c>
      <c r="D43" s="2087">
        <v>0</v>
      </c>
      <c r="E43" s="2087">
        <v>869388</v>
      </c>
      <c r="F43" s="2087">
        <v>869388</v>
      </c>
      <c r="G43" s="2087">
        <v>0</v>
      </c>
      <c r="H43" s="2087">
        <v>560581</v>
      </c>
      <c r="I43" s="2087">
        <v>560581</v>
      </c>
      <c r="J43" s="2087">
        <v>0</v>
      </c>
      <c r="K43" s="2087">
        <v>308807</v>
      </c>
      <c r="L43" s="2087">
        <v>308807</v>
      </c>
    </row>
    <row r="44" spans="1:12">
      <c r="A44">
        <v>1</v>
      </c>
      <c r="B44">
        <v>512000</v>
      </c>
      <c r="C44" t="s">
        <v>2837</v>
      </c>
      <c r="D44" s="2087">
        <v>0</v>
      </c>
      <c r="E44" s="2087">
        <v>7090053</v>
      </c>
      <c r="F44" s="2087">
        <v>7090053</v>
      </c>
      <c r="G44" s="2087">
        <v>0</v>
      </c>
      <c r="H44" s="2087">
        <v>4571666</v>
      </c>
      <c r="I44" s="2087">
        <v>4571666</v>
      </c>
      <c r="J44" s="2087">
        <v>0</v>
      </c>
      <c r="K44" s="2087">
        <v>2518387</v>
      </c>
      <c r="L44" s="2087">
        <v>2518387</v>
      </c>
    </row>
    <row r="45" spans="1:12">
      <c r="A45">
        <v>1</v>
      </c>
      <c r="B45">
        <v>513000</v>
      </c>
      <c r="C45" t="s">
        <v>2098</v>
      </c>
      <c r="D45" s="2087">
        <v>0</v>
      </c>
      <c r="E45" s="2087">
        <v>849384</v>
      </c>
      <c r="F45" s="2087">
        <v>849384</v>
      </c>
      <c r="G45" s="2087">
        <v>0</v>
      </c>
      <c r="H45" s="2087">
        <v>547683</v>
      </c>
      <c r="I45" s="2087">
        <v>547683</v>
      </c>
      <c r="J45" s="2087">
        <v>0</v>
      </c>
      <c r="K45" s="2087">
        <v>301701</v>
      </c>
      <c r="L45" s="2087">
        <v>301701</v>
      </c>
    </row>
    <row r="46" spans="1:12">
      <c r="A46">
        <v>1</v>
      </c>
      <c r="B46" t="s">
        <v>2836</v>
      </c>
      <c r="C46" t="s">
        <v>2835</v>
      </c>
      <c r="D46" s="2087">
        <v>0</v>
      </c>
      <c r="E46" s="2087">
        <v>1345535</v>
      </c>
      <c r="F46" s="2087">
        <v>1345535</v>
      </c>
      <c r="G46" s="2087">
        <v>0</v>
      </c>
      <c r="H46" s="2087">
        <v>867601</v>
      </c>
      <c r="I46" s="2087">
        <v>867601</v>
      </c>
      <c r="J46" s="2087">
        <v>0</v>
      </c>
      <c r="K46" s="2087">
        <v>477934</v>
      </c>
      <c r="L46" s="2087">
        <v>477934</v>
      </c>
    </row>
    <row r="47" spans="1:12">
      <c r="C47" t="s">
        <v>2834</v>
      </c>
      <c r="D47" s="2087">
        <f t="shared" ref="D47:L47" si="8">SUM(D33:D46)</f>
        <v>662437</v>
      </c>
      <c r="E47" s="2087">
        <f t="shared" si="8"/>
        <v>68216104</v>
      </c>
      <c r="F47" s="2087">
        <f t="shared" si="8"/>
        <v>68878541</v>
      </c>
      <c r="G47" s="2087">
        <f t="shared" si="8"/>
        <v>0</v>
      </c>
      <c r="H47" s="2087">
        <f t="shared" si="8"/>
        <v>43985744</v>
      </c>
      <c r="I47" s="2087">
        <f t="shared" si="8"/>
        <v>43985744</v>
      </c>
      <c r="J47" s="2087">
        <f t="shared" si="8"/>
        <v>662437</v>
      </c>
      <c r="K47" s="2087">
        <f t="shared" si="8"/>
        <v>24230360</v>
      </c>
      <c r="L47" s="2087">
        <f t="shared" si="8"/>
        <v>24892797</v>
      </c>
    </row>
    <row r="48" spans="1:12">
      <c r="D48" s="2087"/>
      <c r="E48" s="2087"/>
      <c r="F48" s="2087"/>
      <c r="G48" s="2087"/>
      <c r="H48" s="2087"/>
      <c r="I48" s="2087"/>
      <c r="J48" s="2087"/>
      <c r="K48" s="2087"/>
      <c r="L48" s="2087"/>
    </row>
    <row r="49" spans="1:12">
      <c r="C49" t="s">
        <v>2833</v>
      </c>
      <c r="D49" s="2087"/>
      <c r="E49" s="2087"/>
      <c r="F49" s="2087"/>
      <c r="G49" s="2087"/>
      <c r="H49" s="2087"/>
      <c r="I49" s="2087"/>
      <c r="J49" s="2087"/>
      <c r="K49" s="2087"/>
      <c r="L49" s="2087"/>
    </row>
    <row r="50" spans="1:12">
      <c r="C50" t="s">
        <v>2806</v>
      </c>
      <c r="D50" s="2087"/>
      <c r="E50" s="2087"/>
      <c r="F50" s="2087"/>
      <c r="G50" s="2087"/>
      <c r="H50" s="2087"/>
      <c r="I50" s="2087"/>
      <c r="J50" s="2087"/>
      <c r="K50" s="2087"/>
      <c r="L50" s="2087"/>
    </row>
    <row r="51" spans="1:12">
      <c r="A51">
        <v>1</v>
      </c>
      <c r="B51">
        <v>535000</v>
      </c>
      <c r="C51" t="s">
        <v>2775</v>
      </c>
      <c r="D51" s="2087">
        <v>0</v>
      </c>
      <c r="E51" s="2087">
        <v>2459290</v>
      </c>
      <c r="F51" s="2087">
        <v>2459290</v>
      </c>
      <c r="G51" s="2087">
        <v>0</v>
      </c>
      <c r="H51" s="2087">
        <v>1585750</v>
      </c>
      <c r="I51" s="2087">
        <v>1585750</v>
      </c>
      <c r="J51" s="2087">
        <v>0</v>
      </c>
      <c r="K51" s="2087">
        <v>873540</v>
      </c>
      <c r="L51" s="2087">
        <v>873540</v>
      </c>
    </row>
    <row r="52" spans="1:12">
      <c r="A52">
        <v>1</v>
      </c>
      <c r="B52">
        <v>536000</v>
      </c>
      <c r="C52" t="s">
        <v>2832</v>
      </c>
      <c r="D52" s="2087">
        <v>0</v>
      </c>
      <c r="E52" s="2087">
        <v>1184579</v>
      </c>
      <c r="F52" s="2087">
        <v>1184579</v>
      </c>
      <c r="G52" s="2087">
        <v>0</v>
      </c>
      <c r="H52" s="2087">
        <v>763817</v>
      </c>
      <c r="I52" s="2087">
        <v>763817</v>
      </c>
      <c r="J52" s="2087">
        <v>0</v>
      </c>
      <c r="K52" s="2087">
        <v>420762</v>
      </c>
      <c r="L52" s="2087">
        <v>420762</v>
      </c>
    </row>
    <row r="53" spans="1:12">
      <c r="A53">
        <v>1</v>
      </c>
      <c r="B53">
        <v>537000</v>
      </c>
      <c r="C53" t="s">
        <v>2831</v>
      </c>
      <c r="D53" s="2087">
        <v>6354212</v>
      </c>
      <c r="E53" s="2087">
        <v>3509705</v>
      </c>
      <c r="F53" s="2087">
        <v>9863917</v>
      </c>
      <c r="G53" s="2087">
        <v>4170269</v>
      </c>
      <c r="H53" s="2087">
        <v>2263058</v>
      </c>
      <c r="I53" s="2087">
        <v>6433327</v>
      </c>
      <c r="J53" s="2087">
        <v>2183943</v>
      </c>
      <c r="K53" s="2087">
        <v>1246647</v>
      </c>
      <c r="L53" s="2087">
        <v>3430590</v>
      </c>
    </row>
    <row r="54" spans="1:12">
      <c r="A54">
        <v>1</v>
      </c>
      <c r="B54">
        <v>538000</v>
      </c>
      <c r="C54" t="s">
        <v>2830</v>
      </c>
      <c r="D54" s="2087">
        <v>0</v>
      </c>
      <c r="E54" s="2087">
        <v>6629557</v>
      </c>
      <c r="F54" s="2087">
        <v>6629557</v>
      </c>
      <c r="G54" s="2087">
        <v>0</v>
      </c>
      <c r="H54" s="2087">
        <v>4274738</v>
      </c>
      <c r="I54" s="2087">
        <v>4274738</v>
      </c>
      <c r="J54" s="2087">
        <v>0</v>
      </c>
      <c r="K54" s="2087">
        <v>2354819</v>
      </c>
      <c r="L54" s="2087">
        <v>2354819</v>
      </c>
    </row>
    <row r="55" spans="1:12">
      <c r="A55">
        <v>1</v>
      </c>
      <c r="B55">
        <v>539000</v>
      </c>
      <c r="C55" t="s">
        <v>2829</v>
      </c>
      <c r="D55" s="2087">
        <v>0</v>
      </c>
      <c r="E55" s="2087">
        <v>2203306</v>
      </c>
      <c r="F55" s="2087">
        <v>2203306</v>
      </c>
      <c r="G55" s="2087">
        <v>0</v>
      </c>
      <c r="H55" s="2087">
        <v>1420692</v>
      </c>
      <c r="I55" s="2087">
        <v>1420692</v>
      </c>
      <c r="J55" s="2087">
        <v>0</v>
      </c>
      <c r="K55" s="2087">
        <v>782614</v>
      </c>
      <c r="L55" s="2087">
        <v>782614</v>
      </c>
    </row>
    <row r="56" spans="1:12">
      <c r="A56">
        <v>1</v>
      </c>
      <c r="B56">
        <v>540000</v>
      </c>
      <c r="C56" t="s">
        <v>2777</v>
      </c>
      <c r="D56" s="2087">
        <v>0</v>
      </c>
      <c r="E56" s="2087">
        <v>1699335</v>
      </c>
      <c r="F56" s="2087">
        <v>1699335</v>
      </c>
      <c r="G56" s="2087">
        <v>0</v>
      </c>
      <c r="H56" s="2087">
        <v>1095731</v>
      </c>
      <c r="I56" s="2087">
        <v>1095731</v>
      </c>
      <c r="J56" s="2087">
        <v>0</v>
      </c>
      <c r="K56" s="2087">
        <v>603604</v>
      </c>
      <c r="L56" s="2087">
        <v>603604</v>
      </c>
    </row>
    <row r="57" spans="1:12">
      <c r="A57">
        <v>1</v>
      </c>
      <c r="B57">
        <v>540100</v>
      </c>
      <c r="C57" t="s">
        <v>2828</v>
      </c>
      <c r="D57" s="2087">
        <v>5912000</v>
      </c>
      <c r="E57" s="2087">
        <v>0</v>
      </c>
      <c r="F57" s="2087">
        <v>5912000</v>
      </c>
      <c r="G57" s="2087">
        <v>3807328</v>
      </c>
      <c r="H57" s="2087">
        <v>0</v>
      </c>
      <c r="I57" s="2087">
        <v>3807328</v>
      </c>
      <c r="J57" s="2087">
        <v>2104672</v>
      </c>
      <c r="K57" s="2087">
        <v>0</v>
      </c>
      <c r="L57" s="2087">
        <v>2104672</v>
      </c>
    </row>
    <row r="58" spans="1:12">
      <c r="D58" s="2087"/>
      <c r="E58" s="2087"/>
      <c r="F58" s="2087"/>
      <c r="G58" s="2087"/>
      <c r="H58" s="2087"/>
      <c r="I58" s="2087"/>
      <c r="J58" s="2087"/>
      <c r="K58" s="2087"/>
      <c r="L58" s="2087"/>
    </row>
    <row r="59" spans="1:12">
      <c r="C59" t="s">
        <v>2801</v>
      </c>
      <c r="D59" s="2087"/>
      <c r="E59" s="2087"/>
      <c r="F59" s="2087"/>
      <c r="G59" s="2087"/>
      <c r="H59" s="2087"/>
      <c r="I59" s="2087"/>
      <c r="J59" s="2087"/>
      <c r="K59" s="2087"/>
      <c r="L59" s="2087"/>
    </row>
    <row r="60" spans="1:12">
      <c r="A60">
        <v>1</v>
      </c>
      <c r="B60">
        <v>541000</v>
      </c>
      <c r="C60" t="s">
        <v>2775</v>
      </c>
      <c r="D60" s="2087">
        <v>0</v>
      </c>
      <c r="E60" s="2087">
        <v>714032</v>
      </c>
      <c r="F60" s="2087">
        <v>714032</v>
      </c>
      <c r="G60" s="2087">
        <v>0</v>
      </c>
      <c r="H60" s="2087">
        <v>460408</v>
      </c>
      <c r="I60" s="2087">
        <v>460408</v>
      </c>
      <c r="J60" s="2087">
        <v>0</v>
      </c>
      <c r="K60" s="2087">
        <v>253624</v>
      </c>
      <c r="L60" s="2087">
        <v>253624</v>
      </c>
    </row>
    <row r="61" spans="1:12">
      <c r="A61">
        <v>1</v>
      </c>
      <c r="B61">
        <v>542000</v>
      </c>
      <c r="C61" t="s">
        <v>2774</v>
      </c>
      <c r="D61" s="2087">
        <v>0</v>
      </c>
      <c r="E61" s="2087">
        <v>498079</v>
      </c>
      <c r="F61" s="2087">
        <v>498079</v>
      </c>
      <c r="G61" s="2087">
        <v>0</v>
      </c>
      <c r="H61" s="2087">
        <v>321161</v>
      </c>
      <c r="I61" s="2087">
        <v>321161</v>
      </c>
      <c r="J61" s="2087">
        <v>0</v>
      </c>
      <c r="K61" s="2087">
        <v>176918</v>
      </c>
      <c r="L61" s="2087">
        <v>176918</v>
      </c>
    </row>
    <row r="62" spans="1:12">
      <c r="A62">
        <v>1</v>
      </c>
      <c r="B62">
        <v>543000</v>
      </c>
      <c r="C62" t="s">
        <v>2827</v>
      </c>
      <c r="D62" s="2087">
        <v>0</v>
      </c>
      <c r="E62" s="2087">
        <v>497534</v>
      </c>
      <c r="F62" s="2087">
        <v>497534</v>
      </c>
      <c r="G62" s="2087">
        <v>0</v>
      </c>
      <c r="H62" s="2087">
        <v>320810</v>
      </c>
      <c r="I62" s="2087">
        <v>320810</v>
      </c>
      <c r="J62" s="2087">
        <v>0</v>
      </c>
      <c r="K62" s="2087">
        <v>176724</v>
      </c>
      <c r="L62" s="2087">
        <v>176724</v>
      </c>
    </row>
    <row r="63" spans="1:12">
      <c r="A63">
        <v>1</v>
      </c>
      <c r="B63">
        <v>544000</v>
      </c>
      <c r="C63" t="s">
        <v>2098</v>
      </c>
      <c r="D63" s="2087">
        <v>0</v>
      </c>
      <c r="E63" s="2087">
        <v>3128062</v>
      </c>
      <c r="F63" s="2087">
        <v>3128062</v>
      </c>
      <c r="G63" s="2087">
        <v>0</v>
      </c>
      <c r="H63" s="2087">
        <v>2016974</v>
      </c>
      <c r="I63" s="2087">
        <v>2016974</v>
      </c>
      <c r="J63" s="2087">
        <v>0</v>
      </c>
      <c r="K63" s="2087">
        <v>1111088</v>
      </c>
      <c r="L63" s="2087">
        <v>1111088</v>
      </c>
    </row>
    <row r="64" spans="1:12">
      <c r="A64">
        <v>1</v>
      </c>
      <c r="B64">
        <v>545000</v>
      </c>
      <c r="C64" t="s">
        <v>2826</v>
      </c>
      <c r="D64" s="2087">
        <v>0</v>
      </c>
      <c r="E64" s="2087">
        <v>663386</v>
      </c>
      <c r="F64" s="2087">
        <v>663386</v>
      </c>
      <c r="G64" s="2087">
        <v>0</v>
      </c>
      <c r="H64" s="2087">
        <v>427751</v>
      </c>
      <c r="I64" s="2087">
        <v>427751</v>
      </c>
      <c r="J64" s="2087">
        <v>0</v>
      </c>
      <c r="K64" s="2087">
        <v>235635</v>
      </c>
      <c r="L64" s="2087">
        <v>235635</v>
      </c>
    </row>
    <row r="65" spans="1:12">
      <c r="C65" t="s">
        <v>2825</v>
      </c>
      <c r="D65" s="2087">
        <f t="shared" ref="D65:L65" si="9">SUM(D51:D64)</f>
        <v>12266212</v>
      </c>
      <c r="E65" s="2087">
        <f t="shared" si="9"/>
        <v>23186865</v>
      </c>
      <c r="F65" s="2087">
        <f t="shared" si="9"/>
        <v>35453077</v>
      </c>
      <c r="G65" s="2087">
        <f t="shared" si="9"/>
        <v>7977597</v>
      </c>
      <c r="H65" s="2087">
        <f t="shared" si="9"/>
        <v>14950890</v>
      </c>
      <c r="I65" s="2087">
        <f t="shared" si="9"/>
        <v>22928487</v>
      </c>
      <c r="J65" s="2087">
        <f t="shared" si="9"/>
        <v>4288615</v>
      </c>
      <c r="K65" s="2087">
        <f t="shared" si="9"/>
        <v>8235975</v>
      </c>
      <c r="L65" s="2087">
        <f t="shared" si="9"/>
        <v>12524590</v>
      </c>
    </row>
    <row r="66" spans="1:12">
      <c r="D66" s="2087"/>
      <c r="E66" s="2087"/>
      <c r="F66" s="2087"/>
      <c r="G66" s="2087"/>
      <c r="H66" s="2087"/>
      <c r="I66" s="2087"/>
      <c r="J66" s="2087"/>
      <c r="K66" s="2087"/>
      <c r="L66" s="2087"/>
    </row>
    <row r="67" spans="1:12">
      <c r="C67" t="s">
        <v>2824</v>
      </c>
      <c r="D67" s="2087"/>
      <c r="E67" s="2087"/>
      <c r="F67" s="2087"/>
      <c r="G67" s="2087"/>
      <c r="H67" s="2087"/>
      <c r="I67" s="2087"/>
      <c r="J67" s="2087"/>
      <c r="K67" s="2087"/>
      <c r="L67" s="2087"/>
    </row>
    <row r="68" spans="1:12">
      <c r="C68" t="s">
        <v>2806</v>
      </c>
      <c r="D68" s="2087"/>
      <c r="E68" s="2087"/>
      <c r="F68" s="2087"/>
      <c r="G68" s="2087"/>
      <c r="H68" s="2087"/>
      <c r="I68" s="2087"/>
      <c r="J68" s="2087"/>
      <c r="K68" s="2087"/>
      <c r="L68" s="2087"/>
    </row>
    <row r="69" spans="1:12">
      <c r="A69">
        <v>1</v>
      </c>
      <c r="B69">
        <v>546000</v>
      </c>
      <c r="C69" t="s">
        <v>2775</v>
      </c>
      <c r="D69" s="2087">
        <v>0</v>
      </c>
      <c r="E69" s="2087">
        <v>893882</v>
      </c>
      <c r="F69" s="2087">
        <v>893882</v>
      </c>
      <c r="G69" s="2087">
        <v>0</v>
      </c>
      <c r="H69" s="2087">
        <v>576375</v>
      </c>
      <c r="I69" s="2087">
        <v>576375</v>
      </c>
      <c r="J69" s="2087">
        <v>0</v>
      </c>
      <c r="K69" s="2087">
        <v>317507</v>
      </c>
      <c r="L69" s="2087">
        <v>317507</v>
      </c>
    </row>
    <row r="70" spans="1:12">
      <c r="A70">
        <v>1</v>
      </c>
      <c r="B70" t="s">
        <v>2823</v>
      </c>
      <c r="C70" t="s">
        <v>563</v>
      </c>
      <c r="D70" s="2087">
        <v>0</v>
      </c>
      <c r="E70" s="2087">
        <v>116227146</v>
      </c>
      <c r="F70" s="2087">
        <v>116227146</v>
      </c>
      <c r="G70" s="2087">
        <v>0</v>
      </c>
      <c r="H70" s="2087">
        <v>74943264</v>
      </c>
      <c r="I70" s="2087">
        <v>74943264</v>
      </c>
      <c r="J70" s="2087">
        <v>0</v>
      </c>
      <c r="K70" s="2087">
        <v>41283882</v>
      </c>
      <c r="L70" s="2087">
        <v>41283882</v>
      </c>
    </row>
    <row r="71" spans="1:12">
      <c r="A71">
        <v>1</v>
      </c>
      <c r="B71">
        <v>548000</v>
      </c>
      <c r="C71" t="s">
        <v>2822</v>
      </c>
      <c r="D71" s="2087">
        <v>0</v>
      </c>
      <c r="E71" s="2087">
        <v>3899766</v>
      </c>
      <c r="F71" s="2087">
        <v>3899766</v>
      </c>
      <c r="G71" s="2087">
        <v>0</v>
      </c>
      <c r="H71" s="2087">
        <v>2514569</v>
      </c>
      <c r="I71" s="2087">
        <v>2514569</v>
      </c>
      <c r="J71" s="2087">
        <v>0</v>
      </c>
      <c r="K71" s="2087">
        <v>1385197</v>
      </c>
      <c r="L71" s="2087">
        <v>1385197</v>
      </c>
    </row>
    <row r="72" spans="1:12">
      <c r="A72">
        <v>1</v>
      </c>
      <c r="B72" t="s">
        <v>2821</v>
      </c>
      <c r="C72" t="s">
        <v>2820</v>
      </c>
      <c r="D72" s="2087">
        <v>0</v>
      </c>
      <c r="E72" s="2087">
        <v>945276</v>
      </c>
      <c r="F72" s="2087">
        <v>945276</v>
      </c>
      <c r="G72" s="2087">
        <v>0</v>
      </c>
      <c r="H72" s="2087">
        <v>609514</v>
      </c>
      <c r="I72" s="2087">
        <v>609514</v>
      </c>
      <c r="J72" s="2087">
        <v>0</v>
      </c>
      <c r="K72" s="2087">
        <v>335762</v>
      </c>
      <c r="L72" s="2087">
        <v>335762</v>
      </c>
    </row>
    <row r="73" spans="1:12">
      <c r="A73">
        <v>1</v>
      </c>
      <c r="B73">
        <v>550000</v>
      </c>
      <c r="C73" t="s">
        <v>2777</v>
      </c>
      <c r="D73" s="2087">
        <v>0</v>
      </c>
      <c r="E73" s="2087">
        <v>103105</v>
      </c>
      <c r="F73" s="2087">
        <v>103105</v>
      </c>
      <c r="G73" s="2087">
        <v>0</v>
      </c>
      <c r="H73" s="2087">
        <v>66482</v>
      </c>
      <c r="I73" s="2087">
        <v>66482</v>
      </c>
      <c r="J73" s="2087">
        <v>0</v>
      </c>
      <c r="K73" s="2087">
        <v>36623</v>
      </c>
      <c r="L73" s="2087">
        <v>36623</v>
      </c>
    </row>
    <row r="74" spans="1:12">
      <c r="D74" s="2087"/>
      <c r="E74" s="2087"/>
      <c r="F74" s="2087"/>
      <c r="G74" s="2087"/>
      <c r="H74" s="2087"/>
      <c r="I74" s="2087"/>
      <c r="J74" s="2087"/>
      <c r="K74" s="2087"/>
      <c r="L74" s="2087"/>
    </row>
    <row r="75" spans="1:12">
      <c r="C75" t="s">
        <v>2801</v>
      </c>
      <c r="D75" s="2087"/>
      <c r="E75" s="2087"/>
      <c r="F75" s="2087"/>
      <c r="G75" s="2087"/>
      <c r="H75" s="2087"/>
      <c r="I75" s="2087"/>
      <c r="J75" s="2087"/>
      <c r="K75" s="2087"/>
      <c r="L75" s="2087"/>
    </row>
    <row r="76" spans="1:12">
      <c r="A76">
        <v>1</v>
      </c>
      <c r="B76">
        <v>551000</v>
      </c>
      <c r="C76" t="s">
        <v>2775</v>
      </c>
      <c r="D76" s="2087">
        <v>0</v>
      </c>
      <c r="E76" s="2087">
        <v>768609</v>
      </c>
      <c r="F76" s="2087">
        <v>768609</v>
      </c>
      <c r="G76" s="2087">
        <v>0</v>
      </c>
      <c r="H76" s="2087">
        <v>495599</v>
      </c>
      <c r="I76" s="2087">
        <v>495599</v>
      </c>
      <c r="J76" s="2087">
        <v>0</v>
      </c>
      <c r="K76" s="2087">
        <v>273010</v>
      </c>
      <c r="L76" s="2087">
        <v>273010</v>
      </c>
    </row>
    <row r="77" spans="1:12">
      <c r="A77">
        <v>1</v>
      </c>
      <c r="B77">
        <v>552000</v>
      </c>
      <c r="C77" t="s">
        <v>2774</v>
      </c>
      <c r="D77" s="2087">
        <v>0</v>
      </c>
      <c r="E77" s="2087">
        <v>138992</v>
      </c>
      <c r="F77" s="2087">
        <v>138992</v>
      </c>
      <c r="G77" s="2087">
        <v>0</v>
      </c>
      <c r="H77" s="2087">
        <v>89622</v>
      </c>
      <c r="I77" s="2087">
        <v>89622</v>
      </c>
      <c r="J77" s="2087">
        <v>0</v>
      </c>
      <c r="K77" s="2087">
        <v>49370</v>
      </c>
      <c r="L77" s="2087">
        <v>49370</v>
      </c>
    </row>
    <row r="78" spans="1:12">
      <c r="A78">
        <v>1</v>
      </c>
      <c r="B78">
        <v>553000</v>
      </c>
      <c r="C78" t="s">
        <v>2819</v>
      </c>
      <c r="D78" s="2087">
        <v>0</v>
      </c>
      <c r="E78" s="2087">
        <v>2012410</v>
      </c>
      <c r="F78" s="2087">
        <v>2012410</v>
      </c>
      <c r="G78" s="2087">
        <v>0</v>
      </c>
      <c r="H78" s="2087">
        <v>1297602</v>
      </c>
      <c r="I78" s="2087">
        <v>1297602</v>
      </c>
      <c r="J78" s="2087">
        <v>0</v>
      </c>
      <c r="K78" s="2087">
        <v>714808</v>
      </c>
      <c r="L78" s="2087">
        <v>714808</v>
      </c>
    </row>
    <row r="79" spans="1:12">
      <c r="A79">
        <v>1</v>
      </c>
      <c r="B79" t="s">
        <v>2818</v>
      </c>
      <c r="C79" t="s">
        <v>2817</v>
      </c>
      <c r="D79" s="2087">
        <v>0</v>
      </c>
      <c r="E79" s="2087">
        <v>862263</v>
      </c>
      <c r="F79" s="2087">
        <v>862263</v>
      </c>
      <c r="G79" s="2087">
        <v>0</v>
      </c>
      <c r="H79" s="2087">
        <v>555987</v>
      </c>
      <c r="I79" s="2087">
        <v>555987</v>
      </c>
      <c r="J79" s="2087">
        <v>0</v>
      </c>
      <c r="K79" s="2087">
        <v>306276</v>
      </c>
      <c r="L79" s="2087">
        <v>306276</v>
      </c>
    </row>
    <row r="80" spans="1:12">
      <c r="C80" t="s">
        <v>2816</v>
      </c>
      <c r="D80" s="2087">
        <f t="shared" ref="D80:L80" si="10">SUM(D69:D79)</f>
        <v>0</v>
      </c>
      <c r="E80" s="2087">
        <f t="shared" si="10"/>
        <v>125851449</v>
      </c>
      <c r="F80" s="2087">
        <f t="shared" si="10"/>
        <v>125851449</v>
      </c>
      <c r="G80" s="2087">
        <f t="shared" si="10"/>
        <v>0</v>
      </c>
      <c r="H80" s="2087">
        <f t="shared" si="10"/>
        <v>81149014</v>
      </c>
      <c r="I80" s="2087">
        <f t="shared" si="10"/>
        <v>81149014</v>
      </c>
      <c r="J80" s="2087">
        <f t="shared" si="10"/>
        <v>0</v>
      </c>
      <c r="K80" s="2087">
        <f t="shared" si="10"/>
        <v>44702435</v>
      </c>
      <c r="L80" s="2087">
        <f t="shared" si="10"/>
        <v>44702435</v>
      </c>
    </row>
    <row r="81" spans="1:12">
      <c r="D81" s="2087"/>
      <c r="E81" s="2087"/>
      <c r="F81" s="2087"/>
      <c r="G81" s="2087"/>
      <c r="H81" s="2087"/>
      <c r="I81" s="2087"/>
      <c r="J81" s="2087"/>
      <c r="K81" s="2087"/>
      <c r="L81" s="2087"/>
    </row>
    <row r="82" spans="1:12">
      <c r="C82" t="s">
        <v>2815</v>
      </c>
      <c r="D82" s="2087"/>
      <c r="E82" s="2087"/>
      <c r="F82" s="2087"/>
      <c r="G82" s="2087"/>
      <c r="H82" s="2087"/>
      <c r="I82" s="2087"/>
      <c r="J82" s="2087"/>
      <c r="K82" s="2087"/>
      <c r="L82" s="2087"/>
    </row>
    <row r="83" spans="1:12">
      <c r="A83" t="s">
        <v>2814</v>
      </c>
      <c r="B83" t="s">
        <v>2813</v>
      </c>
      <c r="C83" t="s">
        <v>200</v>
      </c>
      <c r="D83" s="2087">
        <v>10433987</v>
      </c>
      <c r="E83" s="2087">
        <v>205993729</v>
      </c>
      <c r="F83" s="2087">
        <v>216427716</v>
      </c>
      <c r="G83" s="2087">
        <v>0</v>
      </c>
      <c r="H83" s="2087">
        <v>132824757</v>
      </c>
      <c r="I83" s="2087">
        <v>132824757</v>
      </c>
      <c r="J83" s="2087">
        <v>10433987</v>
      </c>
      <c r="K83" s="2087">
        <v>73168972</v>
      </c>
      <c r="L83" s="2087">
        <v>83602959</v>
      </c>
    </row>
    <row r="84" spans="1:12">
      <c r="A84">
        <v>1</v>
      </c>
      <c r="B84">
        <v>556000</v>
      </c>
      <c r="C84" t="s">
        <v>2812</v>
      </c>
      <c r="D84" s="2087">
        <v>0</v>
      </c>
      <c r="E84" s="2087">
        <v>764665</v>
      </c>
      <c r="F84" s="2087">
        <v>764665</v>
      </c>
      <c r="G84" s="2087">
        <v>0</v>
      </c>
      <c r="H84" s="2087">
        <v>493056</v>
      </c>
      <c r="I84" s="2087">
        <v>493056</v>
      </c>
      <c r="J84" s="2087">
        <v>0</v>
      </c>
      <c r="K84" s="2087">
        <v>271609</v>
      </c>
      <c r="L84" s="2087">
        <v>271609</v>
      </c>
    </row>
    <row r="85" spans="1:12">
      <c r="A85" t="s">
        <v>2811</v>
      </c>
      <c r="B85" t="s">
        <v>2810</v>
      </c>
      <c r="C85" t="s">
        <v>614</v>
      </c>
      <c r="D85" s="2087">
        <v>3484054</v>
      </c>
      <c r="E85" s="2087">
        <v>34763894</v>
      </c>
      <c r="F85" s="2087">
        <v>38247948</v>
      </c>
      <c r="G85" s="2087">
        <v>-6900346</v>
      </c>
      <c r="H85" s="2087">
        <v>22415758</v>
      </c>
      <c r="I85" s="2087">
        <v>15515412</v>
      </c>
      <c r="J85" s="2087">
        <v>10384400</v>
      </c>
      <c r="K85" s="2087">
        <v>12348136</v>
      </c>
      <c r="L85" s="2087">
        <v>22732536</v>
      </c>
    </row>
    <row r="86" spans="1:12">
      <c r="C86" t="s">
        <v>2809</v>
      </c>
      <c r="D86" s="2087">
        <f t="shared" ref="D86:L86" si="11">SUM(D83:D85)</f>
        <v>13918041</v>
      </c>
      <c r="E86" s="2087">
        <f t="shared" si="11"/>
        <v>241522288</v>
      </c>
      <c r="F86" s="2087">
        <f t="shared" si="11"/>
        <v>255440329</v>
      </c>
      <c r="G86" s="2087">
        <f t="shared" si="11"/>
        <v>-6900346</v>
      </c>
      <c r="H86" s="2087">
        <f t="shared" si="11"/>
        <v>155733571</v>
      </c>
      <c r="I86" s="2087">
        <f t="shared" si="11"/>
        <v>148833225</v>
      </c>
      <c r="J86" s="2087">
        <f t="shared" si="11"/>
        <v>20818387</v>
      </c>
      <c r="K86" s="2087">
        <f t="shared" si="11"/>
        <v>85788717</v>
      </c>
      <c r="L86" s="2087">
        <f t="shared" si="11"/>
        <v>106607104</v>
      </c>
    </row>
    <row r="87" spans="1:12">
      <c r="C87" t="s">
        <v>2808</v>
      </c>
      <c r="D87" s="2087">
        <v>26846690</v>
      </c>
      <c r="E87" s="2087">
        <v>458776706</v>
      </c>
      <c r="F87" s="2087">
        <v>485623396</v>
      </c>
      <c r="G87" s="2087">
        <v>1077251</v>
      </c>
      <c r="H87" s="2087">
        <v>295819219</v>
      </c>
      <c r="I87" s="2087">
        <v>296896470</v>
      </c>
      <c r="J87" s="2087">
        <v>25769439</v>
      </c>
      <c r="K87" s="2087">
        <v>162957487</v>
      </c>
      <c r="L87" s="2087">
        <v>188726926</v>
      </c>
    </row>
    <row r="88" spans="1:12">
      <c r="D88" s="2087"/>
      <c r="E88" s="2087"/>
      <c r="F88" s="2087"/>
      <c r="G88" s="2087"/>
      <c r="H88" s="2087"/>
      <c r="I88" s="2087"/>
      <c r="J88" s="2087"/>
      <c r="K88" s="2087"/>
      <c r="L88" s="2087"/>
    </row>
    <row r="89" spans="1:12">
      <c r="C89" t="s">
        <v>2807</v>
      </c>
      <c r="D89" s="2087"/>
      <c r="E89" s="2087"/>
      <c r="F89" s="2087"/>
      <c r="G89" s="2087"/>
      <c r="H89" s="2087"/>
      <c r="I89" s="2087"/>
      <c r="J89" s="2087"/>
      <c r="K89" s="2087"/>
      <c r="L89" s="2087"/>
    </row>
    <row r="90" spans="1:12">
      <c r="C90" t="s">
        <v>2806</v>
      </c>
      <c r="D90" s="2087"/>
      <c r="E90" s="2087"/>
      <c r="F90" s="2087"/>
      <c r="G90" s="2087"/>
      <c r="H90" s="2087"/>
      <c r="I90" s="2087"/>
      <c r="J90" s="2087"/>
      <c r="K90" s="2087"/>
      <c r="L90" s="2087"/>
    </row>
    <row r="91" spans="1:12">
      <c r="A91">
        <v>1</v>
      </c>
      <c r="B91">
        <v>560000</v>
      </c>
      <c r="C91" t="s">
        <v>2775</v>
      </c>
      <c r="D91" s="2087">
        <v>0</v>
      </c>
      <c r="E91" s="2087">
        <v>2084569</v>
      </c>
      <c r="F91" s="2087">
        <v>2084569</v>
      </c>
      <c r="G91" s="2087">
        <v>0</v>
      </c>
      <c r="H91" s="2087">
        <v>1344130</v>
      </c>
      <c r="I91" s="2087">
        <v>1344130</v>
      </c>
      <c r="J91" s="2087">
        <v>0</v>
      </c>
      <c r="K91" s="2087">
        <v>740439</v>
      </c>
      <c r="L91" s="2087">
        <v>740439</v>
      </c>
    </row>
    <row r="92" spans="1:12">
      <c r="A92">
        <v>1</v>
      </c>
      <c r="B92">
        <v>561000</v>
      </c>
      <c r="C92" t="s">
        <v>2805</v>
      </c>
      <c r="D92" s="2087">
        <v>0</v>
      </c>
      <c r="E92" s="2087">
        <v>3080112</v>
      </c>
      <c r="F92" s="2087">
        <v>3080112</v>
      </c>
      <c r="G92" s="2087">
        <v>0</v>
      </c>
      <c r="H92" s="2087">
        <v>1986056</v>
      </c>
      <c r="I92" s="2087">
        <v>1986056</v>
      </c>
      <c r="J92" s="2087">
        <v>0</v>
      </c>
      <c r="K92" s="2087">
        <v>1094056</v>
      </c>
      <c r="L92" s="2087">
        <v>1094056</v>
      </c>
    </row>
    <row r="93" spans="1:12">
      <c r="A93">
        <v>1</v>
      </c>
      <c r="B93">
        <v>562000</v>
      </c>
      <c r="C93" t="s">
        <v>2783</v>
      </c>
      <c r="D93" s="2087">
        <v>0</v>
      </c>
      <c r="E93" s="2087">
        <v>397216</v>
      </c>
      <c r="F93" s="2087">
        <v>397216</v>
      </c>
      <c r="G93" s="2087">
        <v>0</v>
      </c>
      <c r="H93" s="2087">
        <v>256125</v>
      </c>
      <c r="I93" s="2087">
        <v>256125</v>
      </c>
      <c r="J93" s="2087">
        <v>0</v>
      </c>
      <c r="K93" s="2087">
        <v>141091</v>
      </c>
      <c r="L93" s="2087">
        <v>141091</v>
      </c>
    </row>
    <row r="94" spans="1:12">
      <c r="A94">
        <v>1</v>
      </c>
      <c r="B94">
        <v>562100</v>
      </c>
      <c r="C94" t="s">
        <v>2772</v>
      </c>
      <c r="D94" s="2087">
        <v>0</v>
      </c>
      <c r="E94" s="2087">
        <v>0</v>
      </c>
      <c r="F94" s="2087">
        <v>0</v>
      </c>
      <c r="G94" s="2087">
        <v>0</v>
      </c>
      <c r="H94" s="2087">
        <v>0</v>
      </c>
      <c r="I94" s="2087">
        <v>0</v>
      </c>
      <c r="J94" s="2087">
        <v>0</v>
      </c>
      <c r="K94" s="2087">
        <v>0</v>
      </c>
      <c r="L94" s="2087">
        <v>0</v>
      </c>
    </row>
    <row r="95" spans="1:12">
      <c r="A95">
        <v>1</v>
      </c>
      <c r="B95">
        <v>563000</v>
      </c>
      <c r="C95" t="s">
        <v>2782</v>
      </c>
      <c r="D95" s="2087">
        <v>0</v>
      </c>
      <c r="E95" s="2087">
        <v>324854</v>
      </c>
      <c r="F95" s="2087">
        <v>324854</v>
      </c>
      <c r="G95" s="2087">
        <v>0</v>
      </c>
      <c r="H95" s="2087">
        <v>209466</v>
      </c>
      <c r="I95" s="2087">
        <v>209466</v>
      </c>
      <c r="J95" s="2087">
        <v>0</v>
      </c>
      <c r="K95" s="2087">
        <v>115388</v>
      </c>
      <c r="L95" s="2087">
        <v>115388</v>
      </c>
    </row>
    <row r="96" spans="1:12">
      <c r="A96">
        <v>1</v>
      </c>
      <c r="B96" t="s">
        <v>2804</v>
      </c>
      <c r="C96" t="s">
        <v>2803</v>
      </c>
      <c r="D96" s="2087">
        <v>0</v>
      </c>
      <c r="E96" s="2087">
        <v>19063437</v>
      </c>
      <c r="F96" s="2087">
        <v>19063437</v>
      </c>
      <c r="G96" s="2087">
        <v>0</v>
      </c>
      <c r="H96" s="2087">
        <v>12292104</v>
      </c>
      <c r="I96" s="2087">
        <v>12292104</v>
      </c>
      <c r="J96" s="2087">
        <v>0</v>
      </c>
      <c r="K96" s="2087">
        <v>6771333</v>
      </c>
      <c r="L96" s="2087">
        <v>6771333</v>
      </c>
    </row>
    <row r="97" spans="1:12">
      <c r="A97">
        <v>1</v>
      </c>
      <c r="B97">
        <v>566000</v>
      </c>
      <c r="C97" t="s">
        <v>2802</v>
      </c>
      <c r="D97" s="2087">
        <v>0</v>
      </c>
      <c r="E97" s="2087">
        <v>4242692</v>
      </c>
      <c r="F97" s="2087">
        <v>4242692</v>
      </c>
      <c r="G97" s="2087">
        <v>0</v>
      </c>
      <c r="H97" s="2087">
        <v>2735688</v>
      </c>
      <c r="I97" s="2087">
        <v>2735688</v>
      </c>
      <c r="J97" s="2087">
        <v>0</v>
      </c>
      <c r="K97" s="2087">
        <v>1507004</v>
      </c>
      <c r="L97" s="2087">
        <v>1507004</v>
      </c>
    </row>
    <row r="98" spans="1:12">
      <c r="A98">
        <v>1</v>
      </c>
      <c r="B98">
        <v>567000</v>
      </c>
      <c r="C98" t="s">
        <v>2777</v>
      </c>
      <c r="D98" s="2087">
        <v>0</v>
      </c>
      <c r="E98" s="2087">
        <v>97829</v>
      </c>
      <c r="F98" s="2087">
        <v>97829</v>
      </c>
      <c r="G98" s="2087">
        <v>0</v>
      </c>
      <c r="H98" s="2087">
        <v>63080</v>
      </c>
      <c r="I98" s="2087">
        <v>63080</v>
      </c>
      <c r="J98" s="2087">
        <v>0</v>
      </c>
      <c r="K98" s="2087">
        <v>34749</v>
      </c>
      <c r="L98" s="2087">
        <v>34749</v>
      </c>
    </row>
    <row r="99" spans="1:12">
      <c r="D99" s="2087"/>
      <c r="E99" s="2087"/>
      <c r="F99" s="2087"/>
      <c r="G99" s="2087"/>
      <c r="H99" s="2087"/>
      <c r="I99" s="2087"/>
      <c r="J99" s="2087"/>
      <c r="K99" s="2087"/>
      <c r="L99" s="2087"/>
    </row>
    <row r="100" spans="1:12">
      <c r="C100" t="s">
        <v>2801</v>
      </c>
      <c r="D100" s="2087"/>
      <c r="E100" s="2087"/>
      <c r="F100" s="2087"/>
      <c r="G100" s="2087"/>
      <c r="H100" s="2087"/>
      <c r="I100" s="2087"/>
      <c r="J100" s="2087"/>
      <c r="K100" s="2087"/>
      <c r="L100" s="2087"/>
    </row>
    <row r="101" spans="1:12">
      <c r="A101">
        <v>1</v>
      </c>
      <c r="B101">
        <v>568000</v>
      </c>
      <c r="C101" t="s">
        <v>2775</v>
      </c>
      <c r="D101" s="2087">
        <v>1461</v>
      </c>
      <c r="E101" s="2087">
        <v>367914</v>
      </c>
      <c r="F101" s="2087">
        <v>369375</v>
      </c>
      <c r="G101" s="2087">
        <v>0</v>
      </c>
      <c r="H101" s="2087">
        <v>237231</v>
      </c>
      <c r="I101" s="2087">
        <v>237231</v>
      </c>
      <c r="J101" s="2087">
        <v>1461</v>
      </c>
      <c r="K101" s="2087">
        <v>130683</v>
      </c>
      <c r="L101" s="2087">
        <v>132144</v>
      </c>
    </row>
    <row r="102" spans="1:12">
      <c r="A102">
        <v>1</v>
      </c>
      <c r="B102">
        <v>569000</v>
      </c>
      <c r="C102" t="s">
        <v>2774</v>
      </c>
      <c r="D102" s="2087">
        <v>26799</v>
      </c>
      <c r="E102" s="2087">
        <v>546065</v>
      </c>
      <c r="F102" s="2087">
        <v>572864</v>
      </c>
      <c r="G102" s="2087">
        <v>-380</v>
      </c>
      <c r="H102" s="2087">
        <v>352103</v>
      </c>
      <c r="I102" s="2087">
        <v>351723</v>
      </c>
      <c r="J102" s="2087">
        <v>27179</v>
      </c>
      <c r="K102" s="2087">
        <v>193962</v>
      </c>
      <c r="L102" s="2087">
        <v>221141</v>
      </c>
    </row>
    <row r="103" spans="1:12">
      <c r="A103">
        <v>1</v>
      </c>
      <c r="B103">
        <v>570000</v>
      </c>
      <c r="C103" t="s">
        <v>2773</v>
      </c>
      <c r="D103" s="2087">
        <v>0</v>
      </c>
      <c r="E103" s="2087">
        <v>1160838</v>
      </c>
      <c r="F103" s="2087">
        <v>1160838</v>
      </c>
      <c r="G103" s="2087">
        <v>0</v>
      </c>
      <c r="H103" s="2087">
        <v>748508</v>
      </c>
      <c r="I103" s="2087">
        <v>748508</v>
      </c>
      <c r="J103" s="2087">
        <v>0</v>
      </c>
      <c r="K103" s="2087">
        <v>412330</v>
      </c>
      <c r="L103" s="2087">
        <v>412330</v>
      </c>
    </row>
    <row r="104" spans="1:12">
      <c r="A104">
        <v>1</v>
      </c>
      <c r="B104">
        <v>570100</v>
      </c>
      <c r="C104" t="s">
        <v>2772</v>
      </c>
      <c r="D104" s="2087">
        <v>0</v>
      </c>
      <c r="E104" s="2087">
        <v>0</v>
      </c>
      <c r="F104" s="2087">
        <v>0</v>
      </c>
      <c r="G104" s="2087">
        <v>0</v>
      </c>
      <c r="H104" s="2087">
        <v>0</v>
      </c>
      <c r="I104" s="2087">
        <v>0</v>
      </c>
      <c r="J104" s="2087">
        <v>0</v>
      </c>
      <c r="K104" s="2087">
        <v>0</v>
      </c>
      <c r="L104" s="2087">
        <v>0</v>
      </c>
    </row>
    <row r="105" spans="1:12">
      <c r="A105">
        <v>1</v>
      </c>
      <c r="B105">
        <v>571000</v>
      </c>
      <c r="C105" t="s">
        <v>2771</v>
      </c>
      <c r="D105" s="2087">
        <v>6302</v>
      </c>
      <c r="E105" s="2087">
        <v>2192438</v>
      </c>
      <c r="F105" s="2087">
        <v>2198740</v>
      </c>
      <c r="G105" s="2087">
        <v>957</v>
      </c>
      <c r="H105" s="2087">
        <v>1413684</v>
      </c>
      <c r="I105" s="2087">
        <v>1414641</v>
      </c>
      <c r="J105" s="2087">
        <v>5345</v>
      </c>
      <c r="K105" s="2087">
        <v>778754</v>
      </c>
      <c r="L105" s="2087">
        <v>784099</v>
      </c>
    </row>
    <row r="106" spans="1:12">
      <c r="A106">
        <v>1</v>
      </c>
      <c r="B106">
        <v>572000</v>
      </c>
      <c r="C106" t="s">
        <v>2770</v>
      </c>
      <c r="D106" s="2087">
        <v>0</v>
      </c>
      <c r="E106" s="2087">
        <v>965</v>
      </c>
      <c r="F106" s="2087">
        <v>965</v>
      </c>
      <c r="G106" s="2087">
        <v>0</v>
      </c>
      <c r="H106" s="2087">
        <v>622</v>
      </c>
      <c r="I106" s="2087">
        <v>622</v>
      </c>
      <c r="J106" s="2087">
        <v>0</v>
      </c>
      <c r="K106" s="2087">
        <v>343</v>
      </c>
      <c r="L106" s="2087">
        <v>343</v>
      </c>
    </row>
    <row r="107" spans="1:12">
      <c r="A107">
        <v>1</v>
      </c>
      <c r="B107">
        <v>573000</v>
      </c>
      <c r="C107" t="s">
        <v>2800</v>
      </c>
      <c r="D107" s="2087">
        <v>4869</v>
      </c>
      <c r="E107" s="2087">
        <v>67259</v>
      </c>
      <c r="F107" s="2087">
        <v>72128</v>
      </c>
      <c r="G107" s="2087">
        <v>4869</v>
      </c>
      <c r="H107" s="2087">
        <v>43369</v>
      </c>
      <c r="I107" s="2087">
        <v>48238</v>
      </c>
      <c r="J107" s="2087">
        <v>0</v>
      </c>
      <c r="K107" s="2087">
        <v>23890</v>
      </c>
      <c r="L107" s="2087">
        <v>23890</v>
      </c>
    </row>
    <row r="108" spans="1:12">
      <c r="C108" t="s">
        <v>2799</v>
      </c>
      <c r="D108" s="2087">
        <f t="shared" ref="D108:L108" si="12">SUM(D91:D107)</f>
        <v>39431</v>
      </c>
      <c r="E108" s="2087">
        <f t="shared" si="12"/>
        <v>33626188</v>
      </c>
      <c r="F108" s="2087">
        <f t="shared" si="12"/>
        <v>33665619</v>
      </c>
      <c r="G108" s="2087">
        <f t="shared" si="12"/>
        <v>5446</v>
      </c>
      <c r="H108" s="2087">
        <f t="shared" si="12"/>
        <v>21682166</v>
      </c>
      <c r="I108" s="2087">
        <f t="shared" si="12"/>
        <v>21687612</v>
      </c>
      <c r="J108" s="2087">
        <f t="shared" si="12"/>
        <v>33985</v>
      </c>
      <c r="K108" s="2087">
        <f t="shared" si="12"/>
        <v>11944022</v>
      </c>
      <c r="L108" s="2087">
        <f t="shared" si="12"/>
        <v>11978007</v>
      </c>
    </row>
    <row r="109" spans="1:12">
      <c r="D109" s="2087"/>
      <c r="E109" s="2087"/>
      <c r="F109" s="2087"/>
      <c r="G109" s="2087"/>
      <c r="H109" s="2087"/>
      <c r="I109" s="2087"/>
      <c r="J109" s="2087"/>
      <c r="K109" s="2087"/>
      <c r="L109" s="2087"/>
    </row>
    <row r="110" spans="1:12">
      <c r="A110" t="s">
        <v>2733</v>
      </c>
      <c r="C110" t="s">
        <v>2798</v>
      </c>
      <c r="D110" s="2087">
        <v>15604909</v>
      </c>
      <c r="E110" s="2087">
        <v>31881641</v>
      </c>
      <c r="F110" s="2087">
        <v>47486550</v>
      </c>
      <c r="G110" s="2087">
        <v>11235468</v>
      </c>
      <c r="H110" s="2087">
        <v>20557282</v>
      </c>
      <c r="I110" s="2087">
        <v>31792750</v>
      </c>
      <c r="J110" s="2087">
        <v>4369441</v>
      </c>
      <c r="K110" s="2087">
        <v>11324359</v>
      </c>
      <c r="L110" s="2087">
        <v>15693800</v>
      </c>
    </row>
    <row r="111" spans="1:12">
      <c r="A111" t="s">
        <v>2733</v>
      </c>
      <c r="C111" t="s">
        <v>2797</v>
      </c>
      <c r="D111" s="2087">
        <v>794749</v>
      </c>
      <c r="E111" s="2087">
        <v>20269922</v>
      </c>
      <c r="F111" s="2087">
        <v>21064671</v>
      </c>
      <c r="G111" s="2087">
        <v>522026</v>
      </c>
      <c r="H111" s="2087">
        <v>13070046</v>
      </c>
      <c r="I111" s="2087">
        <v>13592072</v>
      </c>
      <c r="J111" s="2087">
        <v>272723</v>
      </c>
      <c r="K111" s="2087">
        <v>7199876</v>
      </c>
      <c r="L111" s="2087">
        <v>7472599</v>
      </c>
    </row>
    <row r="112" spans="1:12">
      <c r="A112" t="s">
        <v>2729</v>
      </c>
      <c r="C112" t="s">
        <v>2763</v>
      </c>
      <c r="D112" s="2087">
        <v>0</v>
      </c>
      <c r="E112" s="2087">
        <v>1181154</v>
      </c>
      <c r="F112" s="2087">
        <v>1181154</v>
      </c>
      <c r="G112" s="2087">
        <v>0</v>
      </c>
      <c r="H112" s="2087">
        <v>761608</v>
      </c>
      <c r="I112" s="2087">
        <v>761608</v>
      </c>
      <c r="J112" s="2087">
        <v>0</v>
      </c>
      <c r="K112" s="2087">
        <v>419546</v>
      </c>
      <c r="L112" s="2087">
        <v>419546</v>
      </c>
    </row>
    <row r="113" spans="1:12">
      <c r="A113">
        <v>99</v>
      </c>
      <c r="B113">
        <v>403027</v>
      </c>
      <c r="C113" t="s">
        <v>2796</v>
      </c>
      <c r="D113" s="2087">
        <v>-2776051</v>
      </c>
      <c r="E113" s="2087">
        <v>0</v>
      </c>
      <c r="F113" s="2087">
        <v>-2776051</v>
      </c>
      <c r="G113" s="2087">
        <v>-2038974</v>
      </c>
      <c r="H113" s="2087">
        <v>0</v>
      </c>
      <c r="I113" s="2087">
        <v>-2038974</v>
      </c>
      <c r="J113" s="2087">
        <v>-737077</v>
      </c>
      <c r="K113" s="2087">
        <v>0</v>
      </c>
      <c r="L113" s="2087">
        <v>-737077</v>
      </c>
    </row>
    <row r="114" spans="1:12">
      <c r="A114">
        <v>99</v>
      </c>
      <c r="B114">
        <v>406100</v>
      </c>
      <c r="C114" t="s">
        <v>2795</v>
      </c>
      <c r="D114" s="2087">
        <v>0</v>
      </c>
      <c r="E114" s="2087">
        <v>0</v>
      </c>
      <c r="F114" s="2087">
        <v>0</v>
      </c>
      <c r="G114" s="2087">
        <v>0</v>
      </c>
      <c r="H114" s="2087">
        <v>0</v>
      </c>
      <c r="I114" s="2087">
        <v>0</v>
      </c>
      <c r="J114" s="2087">
        <v>0</v>
      </c>
      <c r="K114" s="2087">
        <v>0</v>
      </c>
      <c r="L114" s="2087">
        <v>0</v>
      </c>
    </row>
    <row r="115" spans="1:12">
      <c r="A115">
        <v>99</v>
      </c>
      <c r="B115" s="2046">
        <v>407303</v>
      </c>
      <c r="C115" s="2046" t="s">
        <v>2794</v>
      </c>
      <c r="D115" s="2046">
        <v>0</v>
      </c>
      <c r="E115" s="2046">
        <v>0</v>
      </c>
      <c r="F115" s="2046">
        <v>0</v>
      </c>
      <c r="G115" s="2087">
        <v>0</v>
      </c>
      <c r="H115" s="2087">
        <v>0</v>
      </c>
      <c r="I115" s="2087">
        <v>0</v>
      </c>
      <c r="J115" s="2087">
        <v>0</v>
      </c>
      <c r="K115" s="2087">
        <v>0</v>
      </c>
      <c r="L115" s="2087">
        <v>0</v>
      </c>
    </row>
    <row r="116" spans="1:12">
      <c r="A116">
        <v>1</v>
      </c>
      <c r="B116" s="2046">
        <v>407324</v>
      </c>
      <c r="C116" s="2046" t="s">
        <v>2683</v>
      </c>
      <c r="D116" s="2046">
        <v>0</v>
      </c>
      <c r="E116" s="2046">
        <v>200000</v>
      </c>
      <c r="F116" s="2046">
        <v>200000</v>
      </c>
      <c r="G116" s="2087">
        <v>0</v>
      </c>
      <c r="H116" s="2087">
        <v>128960</v>
      </c>
      <c r="I116" s="2087">
        <v>128960</v>
      </c>
      <c r="J116" s="2087">
        <v>0</v>
      </c>
      <c r="K116" s="2087">
        <v>71040</v>
      </c>
      <c r="L116" s="2087">
        <v>71040</v>
      </c>
    </row>
    <row r="117" spans="1:12">
      <c r="A117">
        <v>99</v>
      </c>
      <c r="B117" s="2046">
        <v>407327</v>
      </c>
      <c r="C117" s="2046" t="s">
        <v>2793</v>
      </c>
      <c r="D117" s="2046">
        <v>1970385</v>
      </c>
      <c r="E117" s="2046">
        <v>0</v>
      </c>
      <c r="F117" s="2046">
        <v>1970385</v>
      </c>
      <c r="G117" s="2087">
        <v>1076325</v>
      </c>
      <c r="H117" s="2087">
        <v>0</v>
      </c>
      <c r="I117" s="2087">
        <v>1076325</v>
      </c>
      <c r="J117" s="2087">
        <v>894060</v>
      </c>
      <c r="K117" s="2087">
        <v>0</v>
      </c>
      <c r="L117" s="2087">
        <v>894060</v>
      </c>
    </row>
    <row r="118" spans="1:12">
      <c r="A118">
        <v>1</v>
      </c>
      <c r="B118" s="2046">
        <v>407333</v>
      </c>
      <c r="C118" s="2046" t="s">
        <v>2682</v>
      </c>
      <c r="D118" s="2046">
        <v>0</v>
      </c>
      <c r="E118" s="2046">
        <v>32719</v>
      </c>
      <c r="F118" s="2046">
        <v>32719</v>
      </c>
      <c r="G118" s="2087">
        <v>0</v>
      </c>
      <c r="H118" s="2087">
        <v>21097</v>
      </c>
      <c r="I118" s="2087">
        <v>21097</v>
      </c>
      <c r="J118" s="2087">
        <v>0</v>
      </c>
      <c r="K118" s="2087">
        <v>11622</v>
      </c>
      <c r="L118" s="2087">
        <v>11622</v>
      </c>
    </row>
    <row r="119" spans="1:12">
      <c r="A119">
        <v>1</v>
      </c>
      <c r="B119" s="2046">
        <v>407334</v>
      </c>
      <c r="C119" s="2046" t="s">
        <v>2792</v>
      </c>
      <c r="D119" s="2046">
        <v>116520</v>
      </c>
      <c r="E119" s="2046">
        <v>0</v>
      </c>
      <c r="F119" s="2046">
        <v>116520</v>
      </c>
      <c r="G119" s="2087">
        <v>0</v>
      </c>
      <c r="H119" s="2087">
        <v>0</v>
      </c>
      <c r="I119" s="2087">
        <v>0</v>
      </c>
      <c r="J119" s="2087">
        <v>116520</v>
      </c>
      <c r="K119" s="2087">
        <v>0</v>
      </c>
      <c r="L119" s="2087">
        <v>116520</v>
      </c>
    </row>
    <row r="120" spans="1:12">
      <c r="A120">
        <v>99</v>
      </c>
      <c r="B120" s="2046">
        <v>407360</v>
      </c>
      <c r="C120" s="2046" t="s">
        <v>2681</v>
      </c>
      <c r="D120" s="2046">
        <v>1005852</v>
      </c>
      <c r="E120" s="2046">
        <v>0</v>
      </c>
      <c r="F120" s="2046">
        <v>1005852</v>
      </c>
      <c r="G120" s="2087">
        <v>0</v>
      </c>
      <c r="H120" s="2087">
        <v>0</v>
      </c>
      <c r="I120" s="2087">
        <v>0</v>
      </c>
      <c r="J120" s="2087">
        <v>1005852</v>
      </c>
      <c r="K120" s="2087">
        <v>0</v>
      </c>
      <c r="L120" s="2087">
        <v>1005852</v>
      </c>
    </row>
    <row r="121" spans="1:12">
      <c r="A121">
        <v>1</v>
      </c>
      <c r="B121" s="2046">
        <v>407382</v>
      </c>
      <c r="C121" s="2046" t="s">
        <v>2680</v>
      </c>
      <c r="D121" s="2046">
        <v>0</v>
      </c>
      <c r="E121" s="2046">
        <v>884085</v>
      </c>
      <c r="F121" s="2046">
        <v>884085</v>
      </c>
      <c r="G121" s="2087">
        <v>0</v>
      </c>
      <c r="H121" s="2087">
        <v>570058</v>
      </c>
      <c r="I121" s="2087">
        <v>570058</v>
      </c>
      <c r="J121" s="2087">
        <v>0</v>
      </c>
      <c r="K121" s="2087">
        <v>314027</v>
      </c>
      <c r="L121" s="2087">
        <v>314027</v>
      </c>
    </row>
    <row r="122" spans="1:12">
      <c r="A122">
        <v>99</v>
      </c>
      <c r="B122" s="2046">
        <v>407395</v>
      </c>
      <c r="C122" s="2046" t="s">
        <v>2679</v>
      </c>
      <c r="D122" s="2046">
        <v>359146</v>
      </c>
      <c r="E122" s="2046">
        <v>0</v>
      </c>
      <c r="F122" s="2046">
        <v>359146</v>
      </c>
      <c r="G122" s="2087">
        <v>286072</v>
      </c>
      <c r="H122" s="2087">
        <v>0</v>
      </c>
      <c r="I122" s="2087">
        <v>286072</v>
      </c>
      <c r="J122" s="2087">
        <v>73074</v>
      </c>
      <c r="K122" s="2087">
        <v>0</v>
      </c>
      <c r="L122" s="2087">
        <v>73074</v>
      </c>
    </row>
    <row r="123" spans="1:12">
      <c r="A123">
        <v>99</v>
      </c>
      <c r="B123" s="2046">
        <v>407405</v>
      </c>
      <c r="C123" s="2046" t="s">
        <v>2693</v>
      </c>
      <c r="D123" s="2046">
        <v>-112280</v>
      </c>
      <c r="E123" s="2046">
        <v>0</v>
      </c>
      <c r="F123" s="2046">
        <v>-112280</v>
      </c>
      <c r="G123" s="2087">
        <v>0</v>
      </c>
      <c r="H123" s="2087">
        <v>0</v>
      </c>
      <c r="I123" s="2087">
        <v>0</v>
      </c>
      <c r="J123" s="2087">
        <v>-112280</v>
      </c>
      <c r="K123" s="2087">
        <v>0</v>
      </c>
      <c r="L123" s="2087">
        <v>-112280</v>
      </c>
    </row>
    <row r="124" spans="1:12">
      <c r="A124">
        <v>99</v>
      </c>
      <c r="B124" s="2046">
        <v>407427</v>
      </c>
      <c r="C124" s="2046" t="s">
        <v>2692</v>
      </c>
      <c r="D124" s="2046">
        <v>-2905657</v>
      </c>
      <c r="E124" s="2046">
        <v>0</v>
      </c>
      <c r="F124" s="2046">
        <v>-2905657</v>
      </c>
      <c r="G124" s="2087">
        <v>-1474013</v>
      </c>
      <c r="H124" s="2087">
        <v>0</v>
      </c>
      <c r="I124" s="2087">
        <v>-1474013</v>
      </c>
      <c r="J124" s="2087">
        <v>-1431644</v>
      </c>
      <c r="K124" s="2087">
        <v>0</v>
      </c>
      <c r="L124" s="2087">
        <v>-1431644</v>
      </c>
    </row>
    <row r="125" spans="1:12">
      <c r="A125">
        <v>99</v>
      </c>
      <c r="B125" s="2046">
        <v>407434</v>
      </c>
      <c r="C125" s="2046" t="s">
        <v>2791</v>
      </c>
      <c r="D125" s="2046">
        <v>-561622</v>
      </c>
      <c r="E125" s="2046">
        <v>0</v>
      </c>
      <c r="F125" s="2046">
        <v>-561622</v>
      </c>
      <c r="G125" s="2087">
        <v>0</v>
      </c>
      <c r="H125" s="2087">
        <v>0</v>
      </c>
      <c r="I125" s="2087">
        <v>0</v>
      </c>
      <c r="J125" s="2087">
        <v>-561622</v>
      </c>
      <c r="K125" s="2087">
        <v>0</v>
      </c>
      <c r="L125" s="2087">
        <v>-561622</v>
      </c>
    </row>
    <row r="126" spans="1:12">
      <c r="A126">
        <v>99</v>
      </c>
      <c r="B126" s="2046" t="s">
        <v>2690</v>
      </c>
      <c r="C126" s="2046" t="s">
        <v>2689</v>
      </c>
      <c r="D126" s="2046">
        <v>-15756311</v>
      </c>
      <c r="E126" s="2046">
        <v>0</v>
      </c>
      <c r="F126" s="2046">
        <v>-15756311</v>
      </c>
      <c r="G126" s="2087">
        <v>-10667360</v>
      </c>
      <c r="H126" s="2087">
        <v>0</v>
      </c>
      <c r="I126" s="2087">
        <v>-10667360</v>
      </c>
      <c r="J126" s="2087">
        <v>-5088951</v>
      </c>
      <c r="K126" s="2087">
        <v>0</v>
      </c>
      <c r="L126" s="2087">
        <v>-5088951</v>
      </c>
    </row>
    <row r="127" spans="1:12">
      <c r="A127">
        <v>99</v>
      </c>
      <c r="B127" s="2046">
        <v>407451</v>
      </c>
      <c r="C127" s="2046" t="s">
        <v>2790</v>
      </c>
      <c r="D127" s="2046">
        <v>-928693</v>
      </c>
      <c r="E127" s="2046">
        <v>0</v>
      </c>
      <c r="F127" s="2046">
        <v>-928693</v>
      </c>
      <c r="G127" s="2087">
        <v>-928693</v>
      </c>
      <c r="H127" s="2087">
        <v>0</v>
      </c>
      <c r="I127" s="2087">
        <v>-928693</v>
      </c>
      <c r="J127" s="2087">
        <v>0</v>
      </c>
      <c r="K127" s="2087">
        <v>0</v>
      </c>
      <c r="L127" s="2087">
        <v>0</v>
      </c>
    </row>
    <row r="128" spans="1:12">
      <c r="A128">
        <v>99</v>
      </c>
      <c r="B128" s="2046">
        <v>407460</v>
      </c>
      <c r="C128" s="2046" t="s">
        <v>2688</v>
      </c>
      <c r="D128" s="2046">
        <v>-1377648</v>
      </c>
      <c r="E128" s="2046">
        <v>0</v>
      </c>
      <c r="F128" s="2046">
        <v>-1377648</v>
      </c>
      <c r="G128" s="2087">
        <v>0</v>
      </c>
      <c r="H128" s="2087">
        <v>0</v>
      </c>
      <c r="I128" s="2087">
        <v>0</v>
      </c>
      <c r="J128" s="2087">
        <v>-1377648</v>
      </c>
      <c r="K128" s="2087">
        <v>0</v>
      </c>
      <c r="L128" s="2087">
        <v>-1377648</v>
      </c>
    </row>
    <row r="129" spans="1:14">
      <c r="A129">
        <v>99</v>
      </c>
      <c r="B129" s="2046">
        <v>407494</v>
      </c>
      <c r="C129" s="2046" t="s">
        <v>2687</v>
      </c>
      <c r="D129" s="2046">
        <v>165290</v>
      </c>
      <c r="E129" s="2046">
        <v>0</v>
      </c>
      <c r="F129" s="2046">
        <v>165290</v>
      </c>
      <c r="G129" s="2087">
        <v>165290</v>
      </c>
      <c r="H129" s="2087">
        <v>0</v>
      </c>
      <c r="I129" s="2087">
        <v>165290</v>
      </c>
      <c r="J129" s="2087">
        <v>0</v>
      </c>
      <c r="K129" s="2087">
        <v>0</v>
      </c>
      <c r="L129" s="2087">
        <v>0</v>
      </c>
    </row>
    <row r="130" spans="1:14">
      <c r="A130" t="s">
        <v>2789</v>
      </c>
      <c r="B130" s="2046">
        <v>407495</v>
      </c>
      <c r="C130" s="2046" t="s">
        <v>2686</v>
      </c>
      <c r="D130" s="2046">
        <v>0</v>
      </c>
      <c r="E130" s="2046">
        <v>-8415</v>
      </c>
      <c r="F130" s="2046">
        <v>-8415</v>
      </c>
      <c r="G130" s="2087">
        <v>0</v>
      </c>
      <c r="H130" s="2087">
        <v>-5426</v>
      </c>
      <c r="I130" s="2087">
        <v>-5426</v>
      </c>
      <c r="J130" s="2087">
        <v>0</v>
      </c>
      <c r="K130" s="2087">
        <v>-2989</v>
      </c>
      <c r="L130" s="2087">
        <v>-2989</v>
      </c>
    </row>
    <row r="131" spans="1:14">
      <c r="A131" t="s">
        <v>2705</v>
      </c>
      <c r="C131" t="s">
        <v>2788</v>
      </c>
      <c r="D131" s="2087">
        <v>0</v>
      </c>
      <c r="E131" s="2087">
        <v>17747256</v>
      </c>
      <c r="F131" s="2087">
        <v>17747256</v>
      </c>
      <c r="G131" s="2087">
        <v>0</v>
      </c>
      <c r="H131" s="2087">
        <v>11443431</v>
      </c>
      <c r="I131" s="2087">
        <v>11443431</v>
      </c>
      <c r="J131" s="2087">
        <v>0</v>
      </c>
      <c r="K131" s="2087">
        <v>6303825</v>
      </c>
      <c r="L131" s="2087">
        <v>6303825</v>
      </c>
    </row>
    <row r="132" spans="1:14">
      <c r="C132" t="s">
        <v>2787</v>
      </c>
      <c r="D132" s="2087">
        <f t="shared" ref="D132:L132" si="13">SUM(D110:D131)</f>
        <v>-4401411</v>
      </c>
      <c r="E132" s="2087">
        <f t="shared" si="13"/>
        <v>72188362</v>
      </c>
      <c r="F132" s="2087">
        <f>SUM(F110:F131)</f>
        <v>67786951</v>
      </c>
      <c r="G132" s="2087">
        <f t="shared" si="13"/>
        <v>-1823859</v>
      </c>
      <c r="H132" s="2087">
        <f t="shared" si="13"/>
        <v>46547056</v>
      </c>
      <c r="I132" s="2087">
        <f t="shared" si="13"/>
        <v>44723197</v>
      </c>
      <c r="J132" s="2087">
        <f t="shared" si="13"/>
        <v>-2577552</v>
      </c>
      <c r="K132" s="2087">
        <f t="shared" si="13"/>
        <v>25641306</v>
      </c>
      <c r="L132" s="2087">
        <f t="shared" si="13"/>
        <v>23063754</v>
      </c>
      <c r="M132" s="2087"/>
      <c r="N132" s="2087"/>
    </row>
    <row r="133" spans="1:14">
      <c r="D133" s="2087"/>
      <c r="E133" s="2087"/>
      <c r="F133" s="2087"/>
      <c r="G133" s="2087"/>
      <c r="H133" s="2087"/>
      <c r="I133" s="2087"/>
      <c r="J133" s="2087"/>
      <c r="K133" s="2087"/>
      <c r="L133" s="2087"/>
    </row>
    <row r="134" spans="1:14">
      <c r="C134" t="s">
        <v>2786</v>
      </c>
      <c r="D134">
        <f t="shared" ref="D134:L134" si="14">D87+D108+D132</f>
        <v>22484710</v>
      </c>
      <c r="E134">
        <f t="shared" si="14"/>
        <v>564591256</v>
      </c>
      <c r="F134">
        <f t="shared" si="14"/>
        <v>587075966</v>
      </c>
      <c r="G134">
        <f t="shared" si="14"/>
        <v>-741162</v>
      </c>
      <c r="H134">
        <f t="shared" si="14"/>
        <v>364048441</v>
      </c>
      <c r="I134">
        <f t="shared" si="14"/>
        <v>363307279</v>
      </c>
      <c r="J134">
        <f t="shared" si="14"/>
        <v>23225872</v>
      </c>
      <c r="K134">
        <f t="shared" si="14"/>
        <v>200542815</v>
      </c>
      <c r="L134">
        <f t="shared" si="14"/>
        <v>223768687</v>
      </c>
    </row>
    <row r="135" spans="1:14">
      <c r="D135" s="2087"/>
      <c r="E135" s="2087"/>
      <c r="F135" s="2087"/>
      <c r="G135" s="2087"/>
      <c r="H135" s="2087"/>
      <c r="I135" s="2087"/>
      <c r="J135" s="2087"/>
      <c r="K135" s="2087"/>
      <c r="L135" s="2087"/>
    </row>
    <row r="136" spans="1:14">
      <c r="C136" t="s">
        <v>2785</v>
      </c>
      <c r="D136" s="2087"/>
      <c r="E136" s="2087"/>
      <c r="F136" s="2087"/>
      <c r="G136" s="2087"/>
      <c r="H136" s="2087"/>
      <c r="I136" s="2087"/>
      <c r="J136" s="2087"/>
      <c r="K136" s="2087"/>
      <c r="L136" s="2087"/>
    </row>
    <row r="137" spans="1:14">
      <c r="C137" t="s">
        <v>2784</v>
      </c>
      <c r="D137" s="2087"/>
      <c r="E137" s="2087"/>
      <c r="F137" s="2087"/>
      <c r="G137" s="2087"/>
      <c r="H137" s="2087"/>
      <c r="I137" s="2087"/>
      <c r="J137" s="2087"/>
      <c r="K137" s="2087"/>
      <c r="L137" s="2087"/>
    </row>
    <row r="138" spans="1:14">
      <c r="A138">
        <v>3</v>
      </c>
      <c r="B138">
        <v>580000</v>
      </c>
      <c r="C138" t="s">
        <v>2775</v>
      </c>
      <c r="D138" s="2087">
        <v>1202573</v>
      </c>
      <c r="E138" s="2087">
        <v>2980540</v>
      </c>
      <c r="F138" s="2087">
        <v>4183113</v>
      </c>
      <c r="G138" s="2087">
        <v>876145</v>
      </c>
      <c r="H138" s="2087">
        <v>2074873</v>
      </c>
      <c r="I138" s="2087">
        <v>2951018</v>
      </c>
      <c r="J138" s="2087">
        <v>326428</v>
      </c>
      <c r="K138" s="2087">
        <v>905667</v>
      </c>
      <c r="L138" s="2087">
        <v>1232095</v>
      </c>
    </row>
    <row r="139" spans="1:14">
      <c r="A139">
        <v>3</v>
      </c>
      <c r="B139">
        <v>582000</v>
      </c>
      <c r="C139" t="s">
        <v>2783</v>
      </c>
      <c r="D139" s="2087">
        <v>806302</v>
      </c>
      <c r="E139" s="2087">
        <v>139301</v>
      </c>
      <c r="F139" s="2087">
        <v>945603</v>
      </c>
      <c r="G139" s="2087">
        <v>532565</v>
      </c>
      <c r="H139" s="2087">
        <v>96973</v>
      </c>
      <c r="I139" s="2087">
        <v>629538</v>
      </c>
      <c r="J139" s="2087">
        <v>273737</v>
      </c>
      <c r="K139" s="2087">
        <v>42328</v>
      </c>
      <c r="L139" s="2087">
        <v>316065</v>
      </c>
    </row>
    <row r="140" spans="1:14">
      <c r="A140">
        <v>3</v>
      </c>
      <c r="B140">
        <v>583000</v>
      </c>
      <c r="C140" t="s">
        <v>2782</v>
      </c>
      <c r="D140" s="2087">
        <v>1990301</v>
      </c>
      <c r="E140" s="2087">
        <v>1161404</v>
      </c>
      <c r="F140" s="2087">
        <v>3151705</v>
      </c>
      <c r="G140" s="2087">
        <v>1291500</v>
      </c>
      <c r="H140" s="2087">
        <v>808500</v>
      </c>
      <c r="I140" s="2087">
        <v>2100000</v>
      </c>
      <c r="J140" s="2087">
        <v>698801</v>
      </c>
      <c r="K140" s="2087">
        <v>352904</v>
      </c>
      <c r="L140" s="2087">
        <v>1051705</v>
      </c>
    </row>
    <row r="141" spans="1:14">
      <c r="A141">
        <v>3</v>
      </c>
      <c r="B141">
        <v>584000</v>
      </c>
      <c r="C141" t="s">
        <v>2781</v>
      </c>
      <c r="D141" s="2087">
        <v>2546406</v>
      </c>
      <c r="E141" s="2087">
        <v>0</v>
      </c>
      <c r="F141" s="2087">
        <v>2546406</v>
      </c>
      <c r="G141" s="2087">
        <v>1516473</v>
      </c>
      <c r="H141" s="2087">
        <v>0</v>
      </c>
      <c r="I141" s="2087">
        <v>1516473</v>
      </c>
      <c r="J141" s="2087">
        <v>1029933</v>
      </c>
      <c r="K141" s="2087">
        <v>0</v>
      </c>
      <c r="L141" s="2087">
        <v>1029933</v>
      </c>
    </row>
    <row r="142" spans="1:14">
      <c r="A142">
        <v>3</v>
      </c>
      <c r="B142">
        <v>584100</v>
      </c>
      <c r="C142" t="s">
        <v>2772</v>
      </c>
      <c r="D142" s="2087">
        <v>0</v>
      </c>
      <c r="E142" s="2087">
        <v>0</v>
      </c>
      <c r="F142" s="2087">
        <v>0</v>
      </c>
      <c r="G142" s="2087">
        <v>0</v>
      </c>
      <c r="H142" s="2087">
        <v>0</v>
      </c>
      <c r="I142" s="2087">
        <v>0</v>
      </c>
      <c r="J142" s="2087">
        <v>0</v>
      </c>
      <c r="K142" s="2087">
        <v>0</v>
      </c>
      <c r="L142" s="2087">
        <v>0</v>
      </c>
    </row>
    <row r="143" spans="1:14">
      <c r="A143">
        <v>3</v>
      </c>
      <c r="B143">
        <v>585000</v>
      </c>
      <c r="C143" t="s">
        <v>2780</v>
      </c>
      <c r="D143" s="2087">
        <v>6949</v>
      </c>
      <c r="E143" s="2087">
        <v>0</v>
      </c>
      <c r="F143" s="2087">
        <v>6949</v>
      </c>
      <c r="G143" s="2087">
        <v>6727</v>
      </c>
      <c r="H143" s="2087">
        <v>0</v>
      </c>
      <c r="I143" s="2087">
        <v>6727</v>
      </c>
      <c r="J143" s="2087">
        <v>222</v>
      </c>
      <c r="K143" s="2087">
        <v>0</v>
      </c>
      <c r="L143" s="2087">
        <v>222</v>
      </c>
    </row>
    <row r="144" spans="1:14">
      <c r="A144">
        <v>3</v>
      </c>
      <c r="B144">
        <v>586000</v>
      </c>
      <c r="C144" t="s">
        <v>2779</v>
      </c>
      <c r="D144" s="2087">
        <v>2110154</v>
      </c>
      <c r="E144" s="2087">
        <v>23104</v>
      </c>
      <c r="F144" s="2087">
        <v>2133258</v>
      </c>
      <c r="G144" s="2087">
        <v>1785133</v>
      </c>
      <c r="H144" s="2087">
        <v>16084</v>
      </c>
      <c r="I144" s="2087">
        <v>1801217</v>
      </c>
      <c r="J144" s="2087">
        <v>325021</v>
      </c>
      <c r="K144" s="2087">
        <v>7020</v>
      </c>
      <c r="L144" s="2087">
        <v>332041</v>
      </c>
    </row>
    <row r="145" spans="1:12">
      <c r="A145">
        <v>3</v>
      </c>
      <c r="B145">
        <v>587000</v>
      </c>
      <c r="C145" t="s">
        <v>2778</v>
      </c>
      <c r="D145" s="2087">
        <v>731732</v>
      </c>
      <c r="E145" s="2087">
        <v>69717</v>
      </c>
      <c r="F145" s="2087">
        <v>801449</v>
      </c>
      <c r="G145" s="2087">
        <v>460534</v>
      </c>
      <c r="H145" s="2087">
        <v>48533</v>
      </c>
      <c r="I145" s="2087">
        <v>509067</v>
      </c>
      <c r="J145" s="2087">
        <v>271198</v>
      </c>
      <c r="K145" s="2087">
        <v>21184</v>
      </c>
      <c r="L145" s="2087">
        <v>292382</v>
      </c>
    </row>
    <row r="146" spans="1:12">
      <c r="A146">
        <v>3</v>
      </c>
      <c r="B146">
        <v>588000</v>
      </c>
      <c r="C146" t="s">
        <v>2766</v>
      </c>
      <c r="D146" s="2087">
        <v>5309163</v>
      </c>
      <c r="E146" s="2087">
        <v>4092614</v>
      </c>
      <c r="F146" s="2087">
        <v>9401777</v>
      </c>
      <c r="G146" s="2087">
        <v>4075359</v>
      </c>
      <c r="H146" s="2087">
        <v>2849032</v>
      </c>
      <c r="I146" s="2087">
        <v>6924391</v>
      </c>
      <c r="J146" s="2087">
        <v>1233804</v>
      </c>
      <c r="K146" s="2087">
        <v>1243582</v>
      </c>
      <c r="L146" s="2087">
        <v>2477386</v>
      </c>
    </row>
    <row r="147" spans="1:12">
      <c r="A147">
        <v>3</v>
      </c>
      <c r="B147">
        <v>589000</v>
      </c>
      <c r="C147" t="s">
        <v>2777</v>
      </c>
      <c r="D147" s="2087">
        <v>0</v>
      </c>
      <c r="E147" s="2087">
        <v>258811</v>
      </c>
      <c r="F147" s="2087">
        <v>258811</v>
      </c>
      <c r="G147" s="2087">
        <v>0</v>
      </c>
      <c r="H147" s="2087">
        <v>180169</v>
      </c>
      <c r="I147" s="2087">
        <v>180169</v>
      </c>
      <c r="J147" s="2087">
        <v>0</v>
      </c>
      <c r="K147" s="2087">
        <v>78642</v>
      </c>
      <c r="L147" s="2087">
        <v>78642</v>
      </c>
    </row>
    <row r="148" spans="1:12">
      <c r="D148" s="2087"/>
      <c r="E148" s="2087"/>
      <c r="F148" s="2087"/>
      <c r="G148" s="2087"/>
      <c r="H148" s="2087"/>
      <c r="I148" s="2087"/>
      <c r="J148" s="2087"/>
      <c r="K148" s="2087"/>
      <c r="L148" s="2087"/>
    </row>
    <row r="149" spans="1:12">
      <c r="C149" t="s">
        <v>2776</v>
      </c>
      <c r="D149" s="2087"/>
      <c r="E149" s="2087"/>
      <c r="F149" s="2087"/>
      <c r="G149" s="2087"/>
      <c r="H149" s="2087"/>
      <c r="I149" s="2087"/>
      <c r="J149" s="2087"/>
      <c r="K149" s="2087"/>
      <c r="L149" s="2087"/>
    </row>
    <row r="150" spans="1:12">
      <c r="A150">
        <v>3</v>
      </c>
      <c r="B150">
        <v>590000</v>
      </c>
      <c r="C150" t="s">
        <v>2775</v>
      </c>
      <c r="D150" s="2087">
        <v>289764</v>
      </c>
      <c r="E150" s="2087">
        <v>1071292</v>
      </c>
      <c r="F150" s="2087">
        <v>1361056</v>
      </c>
      <c r="G150" s="2087">
        <v>195141</v>
      </c>
      <c r="H150" s="2087">
        <v>745769</v>
      </c>
      <c r="I150" s="2087">
        <v>940910</v>
      </c>
      <c r="J150" s="2087">
        <v>94623</v>
      </c>
      <c r="K150" s="2087">
        <v>325523</v>
      </c>
      <c r="L150" s="2087">
        <v>420146</v>
      </c>
    </row>
    <row r="151" spans="1:12">
      <c r="A151">
        <v>3</v>
      </c>
      <c r="B151">
        <v>591000</v>
      </c>
      <c r="C151" t="s">
        <v>2774</v>
      </c>
      <c r="D151" s="2087">
        <v>394982</v>
      </c>
      <c r="E151" s="2087">
        <v>16675</v>
      </c>
      <c r="F151" s="2087">
        <v>411657</v>
      </c>
      <c r="G151" s="2087">
        <v>253635</v>
      </c>
      <c r="H151" s="2087">
        <v>11608</v>
      </c>
      <c r="I151" s="2087">
        <v>265243</v>
      </c>
      <c r="J151" s="2087">
        <v>141347</v>
      </c>
      <c r="K151" s="2087">
        <v>5067</v>
      </c>
      <c r="L151" s="2087">
        <v>146414</v>
      </c>
    </row>
    <row r="152" spans="1:12">
      <c r="A152">
        <v>3</v>
      </c>
      <c r="B152">
        <v>592000</v>
      </c>
      <c r="C152" t="s">
        <v>2773</v>
      </c>
      <c r="D152" s="2087">
        <v>714840</v>
      </c>
      <c r="E152" s="2087">
        <v>64832</v>
      </c>
      <c r="F152" s="2087">
        <v>779672</v>
      </c>
      <c r="G152" s="2087">
        <v>450866</v>
      </c>
      <c r="H152" s="2087">
        <v>45132</v>
      </c>
      <c r="I152" s="2087">
        <v>495998</v>
      </c>
      <c r="J152" s="2087">
        <v>263974</v>
      </c>
      <c r="K152" s="2087">
        <v>19700</v>
      </c>
      <c r="L152" s="2087">
        <v>283674</v>
      </c>
    </row>
    <row r="153" spans="1:12">
      <c r="A153">
        <v>3</v>
      </c>
      <c r="B153">
        <v>592200</v>
      </c>
      <c r="C153" t="s">
        <v>2772</v>
      </c>
      <c r="D153" s="2087">
        <v>0</v>
      </c>
      <c r="E153" s="2087">
        <v>0</v>
      </c>
      <c r="F153" s="2087">
        <v>0</v>
      </c>
      <c r="G153" s="2087">
        <v>0</v>
      </c>
      <c r="H153" s="2087">
        <v>0</v>
      </c>
      <c r="I153" s="2087">
        <v>0</v>
      </c>
      <c r="J153" s="2087">
        <v>0</v>
      </c>
      <c r="K153" s="2087">
        <v>0</v>
      </c>
      <c r="L153" s="2087">
        <v>0</v>
      </c>
    </row>
    <row r="154" spans="1:12">
      <c r="A154">
        <v>3</v>
      </c>
      <c r="B154">
        <v>593000</v>
      </c>
      <c r="C154" t="s">
        <v>2771</v>
      </c>
      <c r="D154" s="2087">
        <v>27485978</v>
      </c>
      <c r="E154" s="2087">
        <v>714</v>
      </c>
      <c r="F154" s="2087">
        <v>27486692</v>
      </c>
      <c r="G154" s="2087">
        <v>18773082</v>
      </c>
      <c r="H154" s="2087">
        <v>497</v>
      </c>
      <c r="I154" s="2087">
        <v>18773579</v>
      </c>
      <c r="J154" s="2087">
        <v>8712896</v>
      </c>
      <c r="K154" s="2087">
        <v>217</v>
      </c>
      <c r="L154" s="2087">
        <v>8713113</v>
      </c>
    </row>
    <row r="155" spans="1:12">
      <c r="A155">
        <v>3</v>
      </c>
      <c r="B155">
        <v>594000</v>
      </c>
      <c r="C155" t="s">
        <v>2770</v>
      </c>
      <c r="D155" s="2087">
        <v>861884</v>
      </c>
      <c r="E155" s="2087">
        <v>0</v>
      </c>
      <c r="F155" s="2087">
        <v>861884</v>
      </c>
      <c r="G155" s="2087">
        <v>625318</v>
      </c>
      <c r="H155" s="2087">
        <v>0</v>
      </c>
      <c r="I155" s="2087">
        <v>625318</v>
      </c>
      <c r="J155" s="2087">
        <v>236566</v>
      </c>
      <c r="K155" s="2087">
        <v>0</v>
      </c>
      <c r="L155" s="2087">
        <v>236566</v>
      </c>
    </row>
    <row r="156" spans="1:12">
      <c r="A156">
        <v>3</v>
      </c>
      <c r="B156">
        <v>595000</v>
      </c>
      <c r="C156" t="s">
        <v>2769</v>
      </c>
      <c r="D156" s="2087">
        <v>443256</v>
      </c>
      <c r="E156" s="2087">
        <v>0</v>
      </c>
      <c r="F156" s="2087">
        <v>443256</v>
      </c>
      <c r="G156" s="2087">
        <v>350989</v>
      </c>
      <c r="H156" s="2087">
        <v>0</v>
      </c>
      <c r="I156" s="2087">
        <v>350989</v>
      </c>
      <c r="J156" s="2087">
        <v>92267</v>
      </c>
      <c r="K156" s="2087">
        <v>0</v>
      </c>
      <c r="L156" s="2087">
        <v>92267</v>
      </c>
    </row>
    <row r="157" spans="1:12">
      <c r="A157">
        <v>3</v>
      </c>
      <c r="B157">
        <v>596000</v>
      </c>
      <c r="C157" t="s">
        <v>2768</v>
      </c>
      <c r="D157" s="2087">
        <v>91567</v>
      </c>
      <c r="E157" s="2087">
        <v>0</v>
      </c>
      <c r="F157" s="2087">
        <v>91567</v>
      </c>
      <c r="G157" s="2087">
        <v>80217</v>
      </c>
      <c r="H157" s="2087">
        <v>0</v>
      </c>
      <c r="I157" s="2087">
        <v>80217</v>
      </c>
      <c r="J157" s="2087">
        <v>11350</v>
      </c>
      <c r="K157" s="2087">
        <v>0</v>
      </c>
      <c r="L157" s="2087">
        <v>11350</v>
      </c>
    </row>
    <row r="158" spans="1:12">
      <c r="A158">
        <v>3</v>
      </c>
      <c r="B158">
        <v>597000</v>
      </c>
      <c r="C158" t="s">
        <v>2767</v>
      </c>
      <c r="D158" s="2087">
        <v>60469</v>
      </c>
      <c r="E158" s="2087">
        <v>0</v>
      </c>
      <c r="F158" s="2087">
        <v>60469</v>
      </c>
      <c r="G158" s="2087">
        <v>53744</v>
      </c>
      <c r="H158" s="2087">
        <v>0</v>
      </c>
      <c r="I158" s="2087">
        <v>53744</v>
      </c>
      <c r="J158" s="2087">
        <v>6725</v>
      </c>
      <c r="K158" s="2087">
        <v>0</v>
      </c>
      <c r="L158" s="2087">
        <v>6725</v>
      </c>
    </row>
    <row r="159" spans="1:12">
      <c r="A159">
        <v>3</v>
      </c>
      <c r="B159">
        <v>598000</v>
      </c>
      <c r="C159" t="s">
        <v>2766</v>
      </c>
      <c r="D159" s="2087">
        <v>345981</v>
      </c>
      <c r="E159" s="2087">
        <v>753479</v>
      </c>
      <c r="F159" s="2087">
        <v>1099460</v>
      </c>
      <c r="G159" s="2087">
        <v>271925</v>
      </c>
      <c r="H159" s="2087">
        <v>524527</v>
      </c>
      <c r="I159" s="2087">
        <v>796452</v>
      </c>
      <c r="J159" s="2087">
        <v>74056</v>
      </c>
      <c r="K159" s="2087">
        <v>228952</v>
      </c>
      <c r="L159" s="2087">
        <v>303008</v>
      </c>
    </row>
    <row r="160" spans="1:12">
      <c r="C160" t="s">
        <v>2765</v>
      </c>
      <c r="D160" s="2087">
        <f t="shared" ref="D160:L160" si="15">SUM(D138:D159)</f>
        <v>45392301</v>
      </c>
      <c r="E160" s="2087">
        <f t="shared" si="15"/>
        <v>10632483</v>
      </c>
      <c r="F160" s="2087">
        <f t="shared" si="15"/>
        <v>56024784</v>
      </c>
      <c r="G160" s="2087">
        <f t="shared" si="15"/>
        <v>31599353</v>
      </c>
      <c r="H160" s="2087">
        <f t="shared" si="15"/>
        <v>7401697</v>
      </c>
      <c r="I160" s="2087">
        <f t="shared" si="15"/>
        <v>39001050</v>
      </c>
      <c r="J160" s="2087">
        <f t="shared" si="15"/>
        <v>13792948</v>
      </c>
      <c r="K160" s="2087">
        <f t="shared" si="15"/>
        <v>3230786</v>
      </c>
      <c r="L160" s="2087">
        <f t="shared" si="15"/>
        <v>17023734</v>
      </c>
    </row>
    <row r="161" spans="1:12">
      <c r="D161" s="2087"/>
      <c r="E161" s="2087"/>
      <c r="F161" s="2087"/>
      <c r="G161" s="2087"/>
      <c r="H161" s="2087"/>
      <c r="I161" s="2087"/>
      <c r="J161" s="2087"/>
      <c r="K161" s="2087"/>
      <c r="L161" s="2087"/>
    </row>
    <row r="162" spans="1:12">
      <c r="A162" t="s">
        <v>2733</v>
      </c>
      <c r="C162" t="s">
        <v>2764</v>
      </c>
      <c r="D162" s="2087">
        <v>60422910</v>
      </c>
      <c r="E162" s="2087">
        <v>86671</v>
      </c>
      <c r="F162" s="2087">
        <v>60509581</v>
      </c>
      <c r="G162" s="2087">
        <v>39835680</v>
      </c>
      <c r="H162" s="2087">
        <v>60335</v>
      </c>
      <c r="I162" s="2087">
        <v>39896015</v>
      </c>
      <c r="J162" s="2087">
        <v>20587230</v>
      </c>
      <c r="K162" s="2087">
        <v>26336</v>
      </c>
      <c r="L162" s="2087">
        <v>20613566</v>
      </c>
    </row>
    <row r="163" spans="1:12">
      <c r="A163" t="s">
        <v>2729</v>
      </c>
      <c r="C163" t="s">
        <v>2763</v>
      </c>
      <c r="D163" s="2087">
        <v>115753</v>
      </c>
      <c r="E163" s="2087">
        <v>0</v>
      </c>
      <c r="F163" s="2087">
        <v>115753</v>
      </c>
      <c r="G163" s="2087">
        <v>115753</v>
      </c>
      <c r="H163" s="2087">
        <v>0</v>
      </c>
      <c r="I163" s="2087">
        <v>115753</v>
      </c>
      <c r="J163" s="2087">
        <v>0</v>
      </c>
      <c r="K163" s="2087">
        <v>0</v>
      </c>
      <c r="L163" s="2087">
        <v>0</v>
      </c>
    </row>
    <row r="164" spans="1:12">
      <c r="A164" t="s">
        <v>2705</v>
      </c>
      <c r="C164" t="s">
        <v>2762</v>
      </c>
      <c r="D164" s="2087">
        <v>55629806</v>
      </c>
      <c r="E164" s="2087">
        <v>0</v>
      </c>
      <c r="F164" s="2087">
        <v>55629806</v>
      </c>
      <c r="G164" s="2087">
        <v>50174895</v>
      </c>
      <c r="H164" s="2087">
        <v>0</v>
      </c>
      <c r="I164" s="2087">
        <v>50174895</v>
      </c>
      <c r="J164" s="2087">
        <v>5454911</v>
      </c>
      <c r="K164" s="2087">
        <v>0</v>
      </c>
      <c r="L164" s="2087">
        <v>5454911</v>
      </c>
    </row>
    <row r="165" spans="1:12">
      <c r="C165" t="s">
        <v>2761</v>
      </c>
      <c r="D165" s="2087">
        <v>116168469</v>
      </c>
      <c r="E165" s="2087">
        <v>86671</v>
      </c>
      <c r="F165" s="2087">
        <v>116255140</v>
      </c>
      <c r="G165" s="2087">
        <v>90126328</v>
      </c>
      <c r="H165" s="2087">
        <v>60335</v>
      </c>
      <c r="I165" s="2087">
        <v>90186663</v>
      </c>
      <c r="J165" s="2087">
        <v>26042141</v>
      </c>
      <c r="K165" s="2087">
        <v>26336</v>
      </c>
      <c r="L165" s="2087">
        <v>26068477</v>
      </c>
    </row>
    <row r="166" spans="1:12">
      <c r="D166" s="2087"/>
      <c r="E166" s="2087"/>
      <c r="F166" s="2087"/>
      <c r="G166" s="2087"/>
      <c r="H166" s="2087"/>
      <c r="I166" s="2087"/>
      <c r="J166" s="2087"/>
      <c r="K166" s="2087"/>
      <c r="L166" s="2087"/>
    </row>
    <row r="167" spans="1:12">
      <c r="C167" t="s">
        <v>2760</v>
      </c>
      <c r="D167" s="2087">
        <f t="shared" ref="D167:L167" si="16">SUM(D160+D165)</f>
        <v>161560770</v>
      </c>
      <c r="E167" s="2087">
        <f t="shared" si="16"/>
        <v>10719154</v>
      </c>
      <c r="F167" s="2087">
        <f t="shared" si="16"/>
        <v>172279924</v>
      </c>
      <c r="G167" s="2087">
        <f t="shared" si="16"/>
        <v>121725681</v>
      </c>
      <c r="H167" s="2087">
        <f t="shared" si="16"/>
        <v>7462032</v>
      </c>
      <c r="I167" s="2087">
        <f t="shared" si="16"/>
        <v>129187713</v>
      </c>
      <c r="J167" s="2087">
        <f t="shared" si="16"/>
        <v>39835089</v>
      </c>
      <c r="K167" s="2087">
        <f t="shared" si="16"/>
        <v>3257122</v>
      </c>
      <c r="L167" s="2087">
        <f t="shared" si="16"/>
        <v>43092211</v>
      </c>
    </row>
    <row r="168" spans="1:12">
      <c r="D168" s="2087"/>
      <c r="E168" s="2087"/>
      <c r="F168" s="2087"/>
      <c r="G168" s="2087"/>
      <c r="H168" s="2087"/>
      <c r="I168" s="2087"/>
      <c r="J168" s="2087"/>
      <c r="K168" s="2087"/>
      <c r="L168" s="2087"/>
    </row>
    <row r="169" spans="1:12">
      <c r="C169" t="s">
        <v>2759</v>
      </c>
      <c r="D169" s="2087"/>
      <c r="E169" s="2087"/>
      <c r="F169" s="2087"/>
      <c r="G169" s="2087"/>
      <c r="H169" s="2087"/>
      <c r="I169" s="2087"/>
      <c r="J169" s="2087"/>
      <c r="K169" s="2087"/>
      <c r="L169" s="2087"/>
    </row>
    <row r="170" spans="1:12">
      <c r="A170">
        <v>2</v>
      </c>
      <c r="B170">
        <v>901000</v>
      </c>
      <c r="C170" t="s">
        <v>2758</v>
      </c>
      <c r="D170" s="2087">
        <v>0</v>
      </c>
      <c r="E170" s="2087">
        <v>135418</v>
      </c>
      <c r="F170" s="2087">
        <v>135418</v>
      </c>
      <c r="G170" s="2087">
        <v>0</v>
      </c>
      <c r="H170" s="2087">
        <v>87840</v>
      </c>
      <c r="I170" s="2087">
        <v>87840</v>
      </c>
      <c r="J170" s="2087">
        <v>0</v>
      </c>
      <c r="K170" s="2087">
        <v>47578</v>
      </c>
      <c r="L170" s="2087">
        <v>47578</v>
      </c>
    </row>
    <row r="171" spans="1:12">
      <c r="A171">
        <v>2</v>
      </c>
      <c r="B171">
        <v>902000</v>
      </c>
      <c r="C171" t="s">
        <v>2757</v>
      </c>
      <c r="D171" s="2087">
        <v>523321</v>
      </c>
      <c r="E171" s="2087">
        <v>120108</v>
      </c>
      <c r="F171" s="2087">
        <v>643429</v>
      </c>
      <c r="G171" s="2087">
        <v>353406</v>
      </c>
      <c r="H171" s="2087">
        <v>77909</v>
      </c>
      <c r="I171" s="2087">
        <v>431315</v>
      </c>
      <c r="J171" s="2087">
        <v>169915</v>
      </c>
      <c r="K171" s="2087">
        <v>42199</v>
      </c>
      <c r="L171" s="2087">
        <v>212114</v>
      </c>
    </row>
    <row r="172" spans="1:12">
      <c r="A172">
        <v>2</v>
      </c>
      <c r="B172" t="s">
        <v>2756</v>
      </c>
      <c r="C172" t="s">
        <v>2755</v>
      </c>
      <c r="D172" s="2087">
        <v>922331</v>
      </c>
      <c r="E172" s="2087">
        <v>7542255</v>
      </c>
      <c r="F172" s="2087">
        <v>8464586</v>
      </c>
      <c r="G172" s="2087">
        <v>487339</v>
      </c>
      <c r="H172" s="2087">
        <v>4892359</v>
      </c>
      <c r="I172" s="2087">
        <v>5379698</v>
      </c>
      <c r="J172" s="2087">
        <v>434992</v>
      </c>
      <c r="K172" s="2087">
        <v>2649896</v>
      </c>
      <c r="L172" s="2087">
        <v>3084888</v>
      </c>
    </row>
    <row r="173" spans="1:12">
      <c r="A173">
        <v>2</v>
      </c>
      <c r="B173">
        <v>904000</v>
      </c>
      <c r="C173" t="s">
        <v>2754</v>
      </c>
      <c r="D173" s="2087">
        <v>5016888</v>
      </c>
      <c r="E173" s="2087">
        <v>85300</v>
      </c>
      <c r="F173" s="2087">
        <v>5102188</v>
      </c>
      <c r="G173" s="2087">
        <v>4411006</v>
      </c>
      <c r="H173" s="2087">
        <v>55331</v>
      </c>
      <c r="I173" s="2087">
        <v>4466337</v>
      </c>
      <c r="J173" s="2087">
        <v>605882</v>
      </c>
      <c r="K173" s="2087">
        <v>29969</v>
      </c>
      <c r="L173" s="2087">
        <v>635851</v>
      </c>
    </row>
    <row r="174" spans="1:12">
      <c r="A174">
        <v>2</v>
      </c>
      <c r="B174">
        <v>905000</v>
      </c>
      <c r="C174" t="s">
        <v>2753</v>
      </c>
      <c r="D174" s="2087">
        <v>0</v>
      </c>
      <c r="E174" s="2087">
        <v>277722</v>
      </c>
      <c r="F174" s="2087">
        <v>277722</v>
      </c>
      <c r="G174" s="2087">
        <v>0</v>
      </c>
      <c r="H174" s="2087">
        <v>180147</v>
      </c>
      <c r="I174" s="2087">
        <v>180147</v>
      </c>
      <c r="J174" s="2087">
        <v>0</v>
      </c>
      <c r="K174" s="2087">
        <v>97575</v>
      </c>
      <c r="L174" s="2087">
        <v>97575</v>
      </c>
    </row>
    <row r="175" spans="1:12">
      <c r="C175" t="s">
        <v>2752</v>
      </c>
      <c r="D175" s="2087">
        <f t="shared" ref="D175:L175" si="17">SUM(D170:D174)</f>
        <v>6462540</v>
      </c>
      <c r="E175" s="2087">
        <f t="shared" si="17"/>
        <v>8160803</v>
      </c>
      <c r="F175" s="2087">
        <f t="shared" si="17"/>
        <v>14623343</v>
      </c>
      <c r="G175" s="2087">
        <f t="shared" si="17"/>
        <v>5251751</v>
      </c>
      <c r="H175" s="2087">
        <f t="shared" si="17"/>
        <v>5293586</v>
      </c>
      <c r="I175" s="2087">
        <f t="shared" si="17"/>
        <v>10545337</v>
      </c>
      <c r="J175" s="2087">
        <f t="shared" si="17"/>
        <v>1210789</v>
      </c>
      <c r="K175" s="2087">
        <f t="shared" si="17"/>
        <v>2867217</v>
      </c>
      <c r="L175" s="2087">
        <f t="shared" si="17"/>
        <v>4078006</v>
      </c>
    </row>
    <row r="176" spans="1:12">
      <c r="D176" s="2087"/>
      <c r="E176" s="2087"/>
      <c r="F176" s="2087"/>
      <c r="G176" s="2087"/>
      <c r="H176" s="2087"/>
      <c r="I176" s="2087"/>
      <c r="J176" s="2087"/>
      <c r="K176" s="2087"/>
      <c r="L176" s="2087"/>
    </row>
    <row r="177" spans="1:12">
      <c r="C177" t="s">
        <v>2751</v>
      </c>
      <c r="D177" s="2087"/>
      <c r="E177" s="2087"/>
      <c r="F177" s="2087"/>
      <c r="G177" s="2087"/>
      <c r="H177" s="2087"/>
      <c r="I177" s="2087"/>
      <c r="J177" s="2087"/>
      <c r="K177" s="2087"/>
      <c r="L177" s="2087"/>
    </row>
    <row r="178" spans="1:12">
      <c r="A178" t="s">
        <v>2750</v>
      </c>
      <c r="B178" t="s">
        <v>2749</v>
      </c>
      <c r="C178" t="s">
        <v>2748</v>
      </c>
      <c r="D178" s="2087">
        <v>31609077</v>
      </c>
      <c r="E178" s="2087">
        <v>260995</v>
      </c>
      <c r="F178" s="2087">
        <v>31870072</v>
      </c>
      <c r="G178" s="2087">
        <v>25064409</v>
      </c>
      <c r="H178" s="2087">
        <v>169297</v>
      </c>
      <c r="I178" s="2087">
        <v>25233706</v>
      </c>
      <c r="J178" s="2087">
        <v>6544668</v>
      </c>
      <c r="K178" s="2087">
        <v>91698</v>
      </c>
      <c r="L178" s="2087">
        <v>6636366</v>
      </c>
    </row>
    <row r="179" spans="1:12">
      <c r="A179">
        <v>2</v>
      </c>
      <c r="B179">
        <v>909000</v>
      </c>
      <c r="C179" t="s">
        <v>2743</v>
      </c>
      <c r="D179" s="2087">
        <v>135897</v>
      </c>
      <c r="E179" s="2087">
        <v>730981</v>
      </c>
      <c r="F179" s="2087">
        <v>866878</v>
      </c>
      <c r="G179" s="2087">
        <v>118538</v>
      </c>
      <c r="H179" s="2087">
        <v>474158</v>
      </c>
      <c r="I179" s="2087">
        <v>592696</v>
      </c>
      <c r="J179" s="2087">
        <v>17359</v>
      </c>
      <c r="K179" s="2087">
        <v>256823</v>
      </c>
      <c r="L179" s="2087">
        <v>274182</v>
      </c>
    </row>
    <row r="180" spans="1:12">
      <c r="A180">
        <v>2</v>
      </c>
      <c r="B180">
        <v>910000</v>
      </c>
      <c r="C180" t="s">
        <v>2747</v>
      </c>
      <c r="D180" s="2087">
        <v>0</v>
      </c>
      <c r="E180" s="2087">
        <v>229071</v>
      </c>
      <c r="F180" s="2087">
        <v>229071</v>
      </c>
      <c r="G180" s="2087">
        <v>0</v>
      </c>
      <c r="H180" s="2087">
        <v>148589</v>
      </c>
      <c r="I180" s="2087">
        <v>148589</v>
      </c>
      <c r="J180" s="2087">
        <v>0</v>
      </c>
      <c r="K180" s="2087">
        <v>80482</v>
      </c>
      <c r="L180" s="2087">
        <v>80482</v>
      </c>
    </row>
    <row r="181" spans="1:12">
      <c r="C181" t="s">
        <v>2746</v>
      </c>
      <c r="D181">
        <f t="shared" ref="D181:L181" si="18">SUM(D178:D180)</f>
        <v>31744974</v>
      </c>
      <c r="E181">
        <f t="shared" si="18"/>
        <v>1221047</v>
      </c>
      <c r="F181">
        <f t="shared" si="18"/>
        <v>32966021</v>
      </c>
      <c r="G181">
        <f t="shared" si="18"/>
        <v>25182947</v>
      </c>
      <c r="H181">
        <f t="shared" si="18"/>
        <v>792044</v>
      </c>
      <c r="I181">
        <f t="shared" si="18"/>
        <v>25974991</v>
      </c>
      <c r="J181">
        <f t="shared" si="18"/>
        <v>6562027</v>
      </c>
      <c r="K181">
        <f t="shared" si="18"/>
        <v>429003</v>
      </c>
      <c r="L181">
        <f t="shared" si="18"/>
        <v>6991030</v>
      </c>
    </row>
    <row r="182" spans="1:12">
      <c r="D182" s="2087"/>
      <c r="E182" s="2087"/>
      <c r="F182" s="2087"/>
      <c r="G182" s="2087"/>
      <c r="H182" s="2087"/>
      <c r="I182" s="2087"/>
      <c r="J182" s="2087"/>
      <c r="K182" s="2087"/>
      <c r="L182" s="2087"/>
    </row>
    <row r="183" spans="1:12">
      <c r="C183" t="s">
        <v>2745</v>
      </c>
      <c r="D183" s="2087"/>
      <c r="E183" s="2087"/>
      <c r="F183" s="2087"/>
      <c r="G183" s="2087"/>
      <c r="H183" s="2087"/>
      <c r="I183" s="2087"/>
      <c r="J183" s="2087"/>
      <c r="K183" s="2087"/>
      <c r="L183" s="2087"/>
    </row>
    <row r="184" spans="1:12">
      <c r="A184">
        <v>2</v>
      </c>
      <c r="B184">
        <v>912000</v>
      </c>
      <c r="C184" t="s">
        <v>2744</v>
      </c>
      <c r="D184" s="2087">
        <v>43646</v>
      </c>
      <c r="E184" s="2087">
        <v>0</v>
      </c>
      <c r="F184" s="2087">
        <v>43646</v>
      </c>
      <c r="G184" s="2087">
        <v>43646</v>
      </c>
      <c r="H184" s="2087">
        <v>0</v>
      </c>
      <c r="I184" s="2087">
        <v>43646</v>
      </c>
      <c r="J184" s="2087">
        <v>0</v>
      </c>
      <c r="K184" s="2087">
        <v>0</v>
      </c>
      <c r="L184" s="2087">
        <v>0</v>
      </c>
    </row>
    <row r="185" spans="1:12">
      <c r="A185">
        <v>2</v>
      </c>
      <c r="B185">
        <v>913000</v>
      </c>
      <c r="C185" t="s">
        <v>2743</v>
      </c>
      <c r="D185" s="2087">
        <v>0</v>
      </c>
      <c r="E185" s="2087">
        <v>0</v>
      </c>
      <c r="F185" s="2087">
        <v>0</v>
      </c>
      <c r="G185" s="2087">
        <v>0</v>
      </c>
      <c r="H185" s="2087">
        <v>0</v>
      </c>
      <c r="I185" s="2087">
        <v>0</v>
      </c>
      <c r="J185" s="2087">
        <v>0</v>
      </c>
      <c r="K185" s="2087">
        <v>0</v>
      </c>
      <c r="L185" s="2087">
        <v>0</v>
      </c>
    </row>
    <row r="186" spans="1:12">
      <c r="A186">
        <v>2</v>
      </c>
      <c r="B186">
        <v>916000</v>
      </c>
      <c r="C186" t="s">
        <v>2742</v>
      </c>
      <c r="D186" s="2087">
        <v>0</v>
      </c>
      <c r="E186" s="2087">
        <v>0</v>
      </c>
      <c r="F186" s="2087">
        <v>0</v>
      </c>
      <c r="G186" s="2087">
        <v>0</v>
      </c>
      <c r="H186" s="2087">
        <v>0</v>
      </c>
      <c r="I186" s="2087">
        <v>0</v>
      </c>
      <c r="J186" s="2087">
        <v>0</v>
      </c>
      <c r="K186" s="2087">
        <v>0</v>
      </c>
      <c r="L186" s="2087">
        <v>0</v>
      </c>
    </row>
    <row r="187" spans="1:12">
      <c r="C187" t="s">
        <v>2741</v>
      </c>
      <c r="D187" s="2087">
        <f t="shared" ref="D187:L187" si="19">SUM(D184:D186)</f>
        <v>43646</v>
      </c>
      <c r="E187" s="2087">
        <f t="shared" si="19"/>
        <v>0</v>
      </c>
      <c r="F187" s="2087">
        <f t="shared" si="19"/>
        <v>43646</v>
      </c>
      <c r="G187" s="2087">
        <f t="shared" si="19"/>
        <v>43646</v>
      </c>
      <c r="H187" s="2087">
        <f t="shared" si="19"/>
        <v>0</v>
      </c>
      <c r="I187" s="2087">
        <f t="shared" si="19"/>
        <v>43646</v>
      </c>
      <c r="J187" s="2087">
        <f t="shared" si="19"/>
        <v>0</v>
      </c>
      <c r="K187" s="2087">
        <f t="shared" si="19"/>
        <v>0</v>
      </c>
      <c r="L187" s="2087">
        <f t="shared" si="19"/>
        <v>0</v>
      </c>
    </row>
    <row r="188" spans="1:12">
      <c r="D188" s="2087"/>
      <c r="E188" s="2087"/>
      <c r="F188" s="2087"/>
      <c r="G188" s="2087"/>
      <c r="H188" s="2087"/>
      <c r="I188" s="2087"/>
      <c r="J188" s="2087"/>
      <c r="K188" s="2087"/>
      <c r="L188" s="2087"/>
    </row>
    <row r="189" spans="1:12">
      <c r="C189" t="s">
        <v>2740</v>
      </c>
      <c r="D189" s="2087"/>
      <c r="E189" s="2087"/>
      <c r="F189" s="2087"/>
      <c r="G189" s="2087"/>
      <c r="H189" s="2087"/>
      <c r="I189" s="2087"/>
      <c r="J189" s="2087"/>
      <c r="K189" s="2087"/>
      <c r="L189" s="2087"/>
    </row>
    <row r="190" spans="1:12">
      <c r="A190">
        <v>4</v>
      </c>
      <c r="B190">
        <v>920000</v>
      </c>
      <c r="C190" t="s">
        <v>710</v>
      </c>
      <c r="D190" s="2087">
        <v>1370546</v>
      </c>
      <c r="E190" s="2087">
        <v>31121454</v>
      </c>
      <c r="F190" s="2087">
        <v>32492000</v>
      </c>
      <c r="G190" s="2087">
        <v>608618</v>
      </c>
      <c r="H190" s="2087">
        <v>21381373</v>
      </c>
      <c r="I190" s="2087">
        <v>21989991</v>
      </c>
      <c r="J190" s="2087">
        <v>761928</v>
      </c>
      <c r="K190" s="2087">
        <v>9740081</v>
      </c>
      <c r="L190" s="2087">
        <v>10502009</v>
      </c>
    </row>
    <row r="191" spans="1:12">
      <c r="A191">
        <v>4</v>
      </c>
      <c r="B191">
        <v>921000</v>
      </c>
      <c r="C191" t="s">
        <v>164</v>
      </c>
      <c r="D191" s="2087">
        <v>96</v>
      </c>
      <c r="E191" s="2087">
        <v>3924861</v>
      </c>
      <c r="F191" s="2087">
        <v>3924957</v>
      </c>
      <c r="G191" s="2087">
        <v>-871</v>
      </c>
      <c r="H191" s="2087">
        <v>2696497</v>
      </c>
      <c r="I191" s="2087">
        <v>2695626</v>
      </c>
      <c r="J191" s="2087">
        <v>967</v>
      </c>
      <c r="K191" s="2087">
        <v>1228364</v>
      </c>
      <c r="L191" s="2087">
        <v>1229331</v>
      </c>
    </row>
    <row r="192" spans="1:12">
      <c r="A192">
        <v>4</v>
      </c>
      <c r="B192">
        <v>922000</v>
      </c>
      <c r="C192" t="s">
        <v>2739</v>
      </c>
      <c r="D192" s="2087">
        <v>0</v>
      </c>
      <c r="E192" s="2087">
        <v>-114021</v>
      </c>
      <c r="F192" s="2087">
        <v>-114021</v>
      </c>
      <c r="G192" s="2087">
        <v>0</v>
      </c>
      <c r="H192" s="2087">
        <v>-78336</v>
      </c>
      <c r="I192" s="2087">
        <v>-78336</v>
      </c>
      <c r="J192" s="2087">
        <v>0</v>
      </c>
      <c r="K192" s="2087">
        <v>-35685</v>
      </c>
      <c r="L192" s="2087">
        <v>-35685</v>
      </c>
    </row>
    <row r="193" spans="1:12">
      <c r="A193">
        <v>4</v>
      </c>
      <c r="B193">
        <v>923000</v>
      </c>
      <c r="C193" t="s">
        <v>166</v>
      </c>
      <c r="D193" s="2087">
        <v>1681749</v>
      </c>
      <c r="E193" s="2087">
        <v>13252120</v>
      </c>
      <c r="F193" s="2087">
        <v>14933869</v>
      </c>
      <c r="G193" s="2087">
        <v>1649378</v>
      </c>
      <c r="H193" s="2087">
        <v>9104604</v>
      </c>
      <c r="I193" s="2087">
        <v>10753982</v>
      </c>
      <c r="J193" s="2087">
        <v>32371</v>
      </c>
      <c r="K193" s="2087">
        <v>4147516</v>
      </c>
      <c r="L193" s="2087">
        <v>4179887</v>
      </c>
    </row>
    <row r="194" spans="1:12">
      <c r="A194">
        <v>4</v>
      </c>
      <c r="B194">
        <v>924000</v>
      </c>
      <c r="C194" t="s">
        <v>2738</v>
      </c>
      <c r="D194" s="2087">
        <v>0</v>
      </c>
      <c r="E194" s="2087">
        <v>2806701</v>
      </c>
      <c r="F194" s="2087">
        <v>2806701</v>
      </c>
      <c r="G194" s="2087">
        <v>0</v>
      </c>
      <c r="H194" s="2087">
        <v>1928288</v>
      </c>
      <c r="I194" s="2087">
        <v>1928288</v>
      </c>
      <c r="J194" s="2087">
        <v>0</v>
      </c>
      <c r="K194" s="2087">
        <v>878413</v>
      </c>
      <c r="L194" s="2087">
        <v>878413</v>
      </c>
    </row>
    <row r="195" spans="1:12">
      <c r="A195">
        <v>4</v>
      </c>
      <c r="B195" t="s">
        <v>2737</v>
      </c>
      <c r="C195" t="s">
        <v>469</v>
      </c>
      <c r="D195" s="2087">
        <v>3660511</v>
      </c>
      <c r="E195" s="2087">
        <v>7123788</v>
      </c>
      <c r="F195" s="2087">
        <v>10784299</v>
      </c>
      <c r="G195" s="2087">
        <v>2438230</v>
      </c>
      <c r="H195" s="2087">
        <v>4894256</v>
      </c>
      <c r="I195" s="2087">
        <v>7332486</v>
      </c>
      <c r="J195" s="2087">
        <v>1222281</v>
      </c>
      <c r="K195" s="2087">
        <v>2229532</v>
      </c>
      <c r="L195" s="2087">
        <v>3451813</v>
      </c>
    </row>
    <row r="196" spans="1:12">
      <c r="A196">
        <v>4</v>
      </c>
      <c r="B196" t="s">
        <v>2736</v>
      </c>
      <c r="C196" t="s">
        <v>2735</v>
      </c>
      <c r="D196" s="2087">
        <v>3360636</v>
      </c>
      <c r="E196" s="2087">
        <v>24736019</v>
      </c>
      <c r="F196" s="2087">
        <v>28096655</v>
      </c>
      <c r="G196" s="2087">
        <v>2429503</v>
      </c>
      <c r="H196" s="2087">
        <v>16994387</v>
      </c>
      <c r="I196" s="2087">
        <v>19423890</v>
      </c>
      <c r="J196" s="2087">
        <v>931133</v>
      </c>
      <c r="K196" s="2087">
        <v>7741632</v>
      </c>
      <c r="L196" s="2087">
        <v>8672765</v>
      </c>
    </row>
    <row r="197" spans="1:12">
      <c r="A197">
        <v>4</v>
      </c>
      <c r="B197">
        <v>927000</v>
      </c>
      <c r="C197" t="s">
        <v>471</v>
      </c>
      <c r="D197" s="2087">
        <v>1200</v>
      </c>
      <c r="E197" s="2087">
        <v>0</v>
      </c>
      <c r="F197" s="2087">
        <v>1200</v>
      </c>
      <c r="G197" s="2087">
        <v>0</v>
      </c>
      <c r="H197" s="2087">
        <v>0</v>
      </c>
      <c r="I197" s="2087">
        <v>0</v>
      </c>
      <c r="J197" s="2087">
        <v>1200</v>
      </c>
      <c r="K197" s="2087">
        <v>0</v>
      </c>
      <c r="L197" s="2087">
        <v>1200</v>
      </c>
    </row>
    <row r="198" spans="1:12">
      <c r="A198">
        <v>1</v>
      </c>
      <c r="B198">
        <v>928000</v>
      </c>
      <c r="C198" t="s">
        <v>473</v>
      </c>
      <c r="D198" s="2087">
        <v>3756448</v>
      </c>
      <c r="E198" s="2087">
        <v>4631098</v>
      </c>
      <c r="F198" s="2087">
        <v>8387546</v>
      </c>
      <c r="G198" s="2087">
        <v>2865895</v>
      </c>
      <c r="H198" s="2087">
        <v>2986132</v>
      </c>
      <c r="I198" s="2087">
        <v>5852027</v>
      </c>
      <c r="J198" s="2087">
        <v>890553</v>
      </c>
      <c r="K198" s="2087">
        <v>1644966</v>
      </c>
      <c r="L198" s="2087">
        <v>2535519</v>
      </c>
    </row>
    <row r="199" spans="1:12">
      <c r="A199">
        <v>4</v>
      </c>
      <c r="B199">
        <v>930000</v>
      </c>
      <c r="C199" t="s">
        <v>472</v>
      </c>
      <c r="D199" s="2087">
        <v>200148</v>
      </c>
      <c r="E199" s="2087">
        <v>5444718</v>
      </c>
      <c r="F199" s="2087">
        <v>5644866</v>
      </c>
      <c r="G199" s="2087">
        <v>169839</v>
      </c>
      <c r="H199" s="2087">
        <v>3740685</v>
      </c>
      <c r="I199" s="2087">
        <v>3910524</v>
      </c>
      <c r="J199" s="2087">
        <v>30309</v>
      </c>
      <c r="K199" s="2087">
        <v>1704033</v>
      </c>
      <c r="L199" s="2087">
        <v>1734342</v>
      </c>
    </row>
    <row r="200" spans="1:12">
      <c r="A200">
        <v>4</v>
      </c>
      <c r="B200">
        <v>931000</v>
      </c>
      <c r="C200" t="s">
        <v>496</v>
      </c>
      <c r="D200" s="2087">
        <v>15820</v>
      </c>
      <c r="E200" s="2087">
        <v>923110</v>
      </c>
      <c r="F200" s="2087">
        <v>938930</v>
      </c>
      <c r="G200" s="2087">
        <v>0</v>
      </c>
      <c r="H200" s="2087">
        <v>634204</v>
      </c>
      <c r="I200" s="2087">
        <v>634204</v>
      </c>
      <c r="J200" s="2087">
        <v>15820</v>
      </c>
      <c r="K200" s="2087">
        <v>288906</v>
      </c>
      <c r="L200" s="2087">
        <v>304726</v>
      </c>
    </row>
    <row r="201" spans="1:12">
      <c r="A201">
        <v>4</v>
      </c>
      <c r="B201">
        <v>935000</v>
      </c>
      <c r="C201" t="s">
        <v>94</v>
      </c>
      <c r="D201" s="2087">
        <v>2008031</v>
      </c>
      <c r="E201" s="2087">
        <v>12622390</v>
      </c>
      <c r="F201" s="2087">
        <v>14630421</v>
      </c>
      <c r="G201" s="2087">
        <v>1478219</v>
      </c>
      <c r="H201" s="2087">
        <v>8671961</v>
      </c>
      <c r="I201" s="2087">
        <v>10150180</v>
      </c>
      <c r="J201" s="2087">
        <v>529812</v>
      </c>
      <c r="K201" s="2087">
        <v>3950429</v>
      </c>
      <c r="L201" s="2087">
        <v>4480241</v>
      </c>
    </row>
    <row r="202" spans="1:12">
      <c r="C202" t="s">
        <v>2734</v>
      </c>
      <c r="D202" s="2087">
        <f t="shared" ref="D202:L202" si="20">SUM(D190:D201)</f>
        <v>16055185</v>
      </c>
      <c r="E202" s="2087">
        <f t="shared" si="20"/>
        <v>106472238</v>
      </c>
      <c r="F202" s="2087">
        <f t="shared" si="20"/>
        <v>122527423</v>
      </c>
      <c r="G202" s="2087">
        <f t="shared" si="20"/>
        <v>11638811</v>
      </c>
      <c r="H202" s="2087">
        <f t="shared" si="20"/>
        <v>72954051</v>
      </c>
      <c r="I202" s="2087">
        <f t="shared" si="20"/>
        <v>84592862</v>
      </c>
      <c r="J202" s="2087">
        <f t="shared" si="20"/>
        <v>4416374</v>
      </c>
      <c r="K202" s="2087">
        <f t="shared" si="20"/>
        <v>33518187</v>
      </c>
      <c r="L202" s="2087">
        <f t="shared" si="20"/>
        <v>37934561</v>
      </c>
    </row>
    <row r="203" spans="1:12">
      <c r="D203" s="2087"/>
      <c r="E203" s="2087"/>
      <c r="F203" s="2087"/>
      <c r="G203" s="2087"/>
      <c r="H203" s="2087"/>
      <c r="I203" s="2087"/>
      <c r="J203" s="2087"/>
      <c r="K203" s="2087"/>
      <c r="L203" s="2087"/>
    </row>
    <row r="204" spans="1:12">
      <c r="A204" t="s">
        <v>2733</v>
      </c>
      <c r="C204" t="s">
        <v>2732</v>
      </c>
      <c r="D204" s="2087">
        <v>3860510</v>
      </c>
      <c r="E204" s="2087">
        <v>19107359</v>
      </c>
      <c r="F204" s="2087">
        <v>22967869</v>
      </c>
      <c r="G204" s="2087">
        <v>2973498</v>
      </c>
      <c r="H204" s="2087">
        <v>13127329</v>
      </c>
      <c r="I204" s="2087">
        <v>16100827</v>
      </c>
      <c r="J204" s="2087">
        <v>887012</v>
      </c>
      <c r="K204" s="2087">
        <v>5980030</v>
      </c>
      <c r="L204" s="2087">
        <v>6867042</v>
      </c>
    </row>
    <row r="205" spans="1:12">
      <c r="A205" t="s">
        <v>2729</v>
      </c>
      <c r="C205" t="s">
        <v>2731</v>
      </c>
      <c r="D205" s="2087">
        <v>0</v>
      </c>
      <c r="E205" s="2087">
        <v>298353</v>
      </c>
      <c r="F205" s="2087">
        <v>298353</v>
      </c>
      <c r="G205" s="2087">
        <v>0</v>
      </c>
      <c r="H205" s="2087">
        <v>204660</v>
      </c>
      <c r="I205" s="2087">
        <v>204660</v>
      </c>
      <c r="J205" s="2087">
        <v>0</v>
      </c>
      <c r="K205" s="2087">
        <v>93693</v>
      </c>
      <c r="L205" s="2087">
        <v>93693</v>
      </c>
    </row>
    <row r="206" spans="1:12">
      <c r="A206" t="s">
        <v>2729</v>
      </c>
      <c r="C206" t="s">
        <v>2730</v>
      </c>
      <c r="D206" s="2087">
        <v>3484909</v>
      </c>
      <c r="E206" s="2087">
        <v>41236011</v>
      </c>
      <c r="F206" s="2087">
        <v>44720920</v>
      </c>
      <c r="G206" s="2087">
        <v>3484909</v>
      </c>
      <c r="H206" s="2087">
        <v>28330377</v>
      </c>
      <c r="I206" s="2087">
        <v>31815286</v>
      </c>
      <c r="J206" s="2087">
        <v>0</v>
      </c>
      <c r="K206" s="2087">
        <v>12905634</v>
      </c>
      <c r="L206" s="2087">
        <v>12905634</v>
      </c>
    </row>
    <row r="207" spans="1:12">
      <c r="A207" t="s">
        <v>2729</v>
      </c>
      <c r="C207" t="s">
        <v>2728</v>
      </c>
      <c r="D207" s="2087">
        <v>0</v>
      </c>
      <c r="E207" s="2087">
        <v>422431</v>
      </c>
      <c r="F207" s="2087">
        <v>422431</v>
      </c>
      <c r="G207" s="2087">
        <v>0</v>
      </c>
      <c r="H207" s="2087">
        <v>290223</v>
      </c>
      <c r="I207" s="2087">
        <v>290223</v>
      </c>
      <c r="J207" s="2087">
        <v>0</v>
      </c>
      <c r="K207" s="2087">
        <v>132208</v>
      </c>
      <c r="L207" s="2087">
        <v>132208</v>
      </c>
    </row>
    <row r="208" spans="1:12">
      <c r="A208">
        <v>99</v>
      </c>
      <c r="B208">
        <v>407229</v>
      </c>
      <c r="C208" t="s">
        <v>2727</v>
      </c>
      <c r="D208" s="2087">
        <v>-114495</v>
      </c>
      <c r="E208" s="2087">
        <v>0</v>
      </c>
      <c r="F208" s="2087">
        <v>-114495</v>
      </c>
      <c r="G208" s="2087">
        <v>0</v>
      </c>
      <c r="H208" s="2087">
        <v>0</v>
      </c>
      <c r="I208" s="2087">
        <v>0</v>
      </c>
      <c r="J208" s="2087">
        <v>-114495</v>
      </c>
      <c r="K208" s="2087">
        <v>0</v>
      </c>
      <c r="L208" s="2087">
        <v>-114495</v>
      </c>
    </row>
    <row r="209" spans="1:12">
      <c r="A209">
        <v>99</v>
      </c>
      <c r="B209">
        <v>407230</v>
      </c>
      <c r="C209" t="s">
        <v>2726</v>
      </c>
      <c r="D209" s="2087">
        <v>-22151</v>
      </c>
      <c r="E209" s="2087">
        <v>0</v>
      </c>
      <c r="F209" s="2087">
        <v>-22151</v>
      </c>
      <c r="G209" s="2087">
        <v>0</v>
      </c>
      <c r="H209" s="2087">
        <v>0</v>
      </c>
      <c r="I209" s="2087">
        <v>0</v>
      </c>
      <c r="J209" s="2087">
        <v>-22151</v>
      </c>
      <c r="K209" s="2087">
        <v>0</v>
      </c>
      <c r="L209" s="2087">
        <v>-22151</v>
      </c>
    </row>
    <row r="210" spans="1:12">
      <c r="A210">
        <v>99</v>
      </c>
      <c r="B210" s="2046">
        <v>407306</v>
      </c>
      <c r="C210" s="2046" t="s">
        <v>2725</v>
      </c>
      <c r="D210" s="2087">
        <v>2280858</v>
      </c>
      <c r="E210" s="2087">
        <v>0</v>
      </c>
      <c r="F210" s="2100">
        <v>2280858</v>
      </c>
      <c r="G210" s="2087">
        <v>2280858</v>
      </c>
      <c r="H210" s="2087">
        <v>0</v>
      </c>
      <c r="I210" s="2087">
        <v>2280858</v>
      </c>
      <c r="J210" s="2087">
        <v>0</v>
      </c>
      <c r="K210" s="2087">
        <v>0</v>
      </c>
      <c r="L210" s="2087">
        <v>0</v>
      </c>
    </row>
    <row r="211" spans="1:12">
      <c r="A211">
        <v>99</v>
      </c>
      <c r="B211" s="2046">
        <v>407307</v>
      </c>
      <c r="C211" s="2046" t="s">
        <v>2724</v>
      </c>
      <c r="D211" s="2087">
        <v>1506272</v>
      </c>
      <c r="E211" s="2087">
        <v>0</v>
      </c>
      <c r="F211" s="2100">
        <v>1506272</v>
      </c>
      <c r="G211" s="2087">
        <v>1506272</v>
      </c>
      <c r="H211" s="2087">
        <v>0</v>
      </c>
      <c r="I211" s="2087">
        <v>1506272</v>
      </c>
      <c r="J211" s="2087">
        <v>0</v>
      </c>
      <c r="K211" s="2087">
        <v>0</v>
      </c>
      <c r="L211" s="2087">
        <v>0</v>
      </c>
    </row>
    <row r="212" spans="1:12">
      <c r="A212">
        <v>99</v>
      </c>
      <c r="B212" s="2046">
        <v>407311</v>
      </c>
      <c r="C212" s="2046" t="s">
        <v>2684</v>
      </c>
      <c r="D212" s="2087">
        <v>332501</v>
      </c>
      <c r="E212" s="2087">
        <v>1788016</v>
      </c>
      <c r="F212" s="2100">
        <v>2120517</v>
      </c>
      <c r="G212" s="2087">
        <v>271627</v>
      </c>
      <c r="H212" s="2087">
        <v>1195485</v>
      </c>
      <c r="I212" s="2087">
        <v>1467112</v>
      </c>
      <c r="J212" s="2087">
        <v>60874</v>
      </c>
      <c r="K212" s="2087">
        <v>592531</v>
      </c>
      <c r="L212" s="2087">
        <v>653405</v>
      </c>
    </row>
    <row r="213" spans="1:12">
      <c r="A213">
        <v>99</v>
      </c>
      <c r="B213" s="2046">
        <v>407314</v>
      </c>
      <c r="C213" s="2046" t="s">
        <v>2723</v>
      </c>
      <c r="D213" s="2087">
        <v>77798</v>
      </c>
      <c r="E213" s="2087">
        <v>0</v>
      </c>
      <c r="F213" s="2100">
        <v>77798</v>
      </c>
      <c r="G213" s="2087">
        <v>0</v>
      </c>
      <c r="H213" s="2087">
        <v>0</v>
      </c>
      <c r="I213" s="2087">
        <v>0</v>
      </c>
      <c r="J213" s="2087">
        <v>77798</v>
      </c>
      <c r="K213" s="2087">
        <v>0</v>
      </c>
      <c r="L213" s="2087">
        <v>77798</v>
      </c>
    </row>
    <row r="214" spans="1:12">
      <c r="A214">
        <v>99</v>
      </c>
      <c r="B214" s="2046">
        <v>407332</v>
      </c>
      <c r="C214" s="2046" t="s">
        <v>2722</v>
      </c>
      <c r="D214" s="2087">
        <v>0</v>
      </c>
      <c r="E214" s="2087">
        <v>0</v>
      </c>
      <c r="F214" s="2100">
        <v>0</v>
      </c>
      <c r="G214" s="2087">
        <v>0</v>
      </c>
      <c r="H214" s="2087">
        <v>0</v>
      </c>
      <c r="I214" s="2087">
        <v>0</v>
      </c>
      <c r="J214" s="2087">
        <v>0</v>
      </c>
      <c r="K214" s="2087">
        <v>0</v>
      </c>
      <c r="L214" s="2087">
        <v>0</v>
      </c>
    </row>
    <row r="215" spans="1:12">
      <c r="A215">
        <v>99</v>
      </c>
      <c r="B215" s="2046">
        <v>407344</v>
      </c>
      <c r="C215" s="2046" t="s">
        <v>2721</v>
      </c>
      <c r="D215" s="2087">
        <v>5581666</v>
      </c>
      <c r="E215" s="2087">
        <v>0</v>
      </c>
      <c r="F215" s="2100">
        <v>5581666</v>
      </c>
      <c r="G215" s="2087">
        <v>4896926</v>
      </c>
      <c r="H215" s="2087">
        <v>0</v>
      </c>
      <c r="I215" s="2087">
        <v>4896926</v>
      </c>
      <c r="J215" s="2087">
        <v>684740</v>
      </c>
      <c r="K215" s="2087">
        <v>0</v>
      </c>
      <c r="L215" s="2087">
        <v>684740</v>
      </c>
    </row>
    <row r="216" spans="1:12">
      <c r="A216">
        <v>99</v>
      </c>
      <c r="B216" s="2046">
        <v>407347</v>
      </c>
      <c r="C216" s="2046" t="s">
        <v>2720</v>
      </c>
      <c r="D216" s="2087">
        <v>-89301</v>
      </c>
      <c r="E216" s="2087">
        <v>0</v>
      </c>
      <c r="F216" s="2100">
        <v>-89301</v>
      </c>
      <c r="G216" s="2087">
        <v>0</v>
      </c>
      <c r="H216" s="2087">
        <v>0</v>
      </c>
      <c r="I216" s="2087">
        <v>0</v>
      </c>
      <c r="J216" s="2087">
        <v>-89301</v>
      </c>
      <c r="K216" s="2087">
        <v>0</v>
      </c>
      <c r="L216" s="2087">
        <v>-89301</v>
      </c>
    </row>
    <row r="217" spans="1:12">
      <c r="A217">
        <v>99</v>
      </c>
      <c r="B217" s="2046">
        <v>407357</v>
      </c>
      <c r="C217" s="2046" t="s">
        <v>2719</v>
      </c>
      <c r="D217" s="2087">
        <v>46713</v>
      </c>
      <c r="E217" s="2087">
        <v>0</v>
      </c>
      <c r="F217" s="2100">
        <v>46713</v>
      </c>
      <c r="G217" s="2087">
        <v>46713</v>
      </c>
      <c r="H217" s="2087">
        <v>0</v>
      </c>
      <c r="I217" s="2087">
        <v>46713</v>
      </c>
      <c r="J217" s="2087">
        <v>0</v>
      </c>
      <c r="K217" s="2087">
        <v>0</v>
      </c>
      <c r="L217" s="2087">
        <v>0</v>
      </c>
    </row>
    <row r="218" spans="1:12">
      <c r="A218">
        <v>99</v>
      </c>
      <c r="B218" s="2046">
        <v>407359</v>
      </c>
      <c r="C218" s="2046" t="s">
        <v>2718</v>
      </c>
      <c r="D218" s="2087">
        <v>10723</v>
      </c>
      <c r="E218" s="2087">
        <v>0</v>
      </c>
      <c r="F218" s="2100">
        <v>10723</v>
      </c>
      <c r="G218" s="2087">
        <v>10723</v>
      </c>
      <c r="H218" s="2087">
        <v>0</v>
      </c>
      <c r="I218" s="2087">
        <v>10723</v>
      </c>
      <c r="J218" s="2087">
        <v>0</v>
      </c>
      <c r="K218" s="2087">
        <v>0</v>
      </c>
      <c r="L218" s="2087">
        <v>0</v>
      </c>
    </row>
    <row r="219" spans="1:12">
      <c r="A219">
        <v>99</v>
      </c>
      <c r="B219" s="2046">
        <v>407372</v>
      </c>
      <c r="C219" s="2046" t="s">
        <v>2717</v>
      </c>
      <c r="D219" s="2087">
        <v>750000</v>
      </c>
      <c r="E219" s="2087">
        <v>0</v>
      </c>
      <c r="F219" s="2100">
        <v>750000</v>
      </c>
      <c r="G219" s="2087">
        <v>750000</v>
      </c>
      <c r="H219" s="2087">
        <v>0</v>
      </c>
      <c r="I219" s="2087">
        <v>750000</v>
      </c>
      <c r="J219" s="2087">
        <v>0</v>
      </c>
      <c r="K219" s="2087">
        <v>0</v>
      </c>
      <c r="L219" s="2087">
        <v>0</v>
      </c>
    </row>
    <row r="220" spans="1:12">
      <c r="A220">
        <v>99</v>
      </c>
      <c r="B220" s="2046">
        <v>407419</v>
      </c>
      <c r="C220" s="2046" t="s">
        <v>2716</v>
      </c>
      <c r="D220" s="2087">
        <v>0</v>
      </c>
      <c r="E220" s="2087">
        <v>0</v>
      </c>
      <c r="F220" s="2100">
        <v>0</v>
      </c>
      <c r="G220" s="2087">
        <v>0</v>
      </c>
      <c r="H220" s="2087">
        <v>0</v>
      </c>
      <c r="I220" s="2087">
        <v>0</v>
      </c>
      <c r="J220" s="2087">
        <v>0</v>
      </c>
      <c r="K220" s="2087">
        <v>0</v>
      </c>
      <c r="L220" s="2087">
        <v>0</v>
      </c>
    </row>
    <row r="221" spans="1:12">
      <c r="A221">
        <v>99</v>
      </c>
      <c r="B221" s="2046">
        <v>407436</v>
      </c>
      <c r="C221" s="2046" t="s">
        <v>2691</v>
      </c>
      <c r="D221" s="2087">
        <v>0</v>
      </c>
      <c r="E221" s="2087">
        <v>0</v>
      </c>
      <c r="F221" s="2100">
        <v>0</v>
      </c>
      <c r="G221" s="2087">
        <v>0</v>
      </c>
      <c r="H221" s="2087">
        <v>0</v>
      </c>
      <c r="I221" s="2087">
        <v>0</v>
      </c>
      <c r="J221" s="2087">
        <v>0</v>
      </c>
      <c r="K221" s="2087">
        <v>0</v>
      </c>
      <c r="L221" s="2087">
        <v>0</v>
      </c>
    </row>
    <row r="222" spans="1:12">
      <c r="A222">
        <v>99</v>
      </c>
      <c r="B222" s="2046">
        <v>407437</v>
      </c>
      <c r="C222" s="2046" t="s">
        <v>2715</v>
      </c>
      <c r="D222" s="2087">
        <v>-424336</v>
      </c>
      <c r="E222" s="2087">
        <v>0</v>
      </c>
      <c r="F222" s="2100">
        <v>-424336</v>
      </c>
      <c r="G222" s="2087">
        <v>0</v>
      </c>
      <c r="H222" s="2087">
        <v>0</v>
      </c>
      <c r="I222" s="2087">
        <v>0</v>
      </c>
      <c r="J222" s="2087">
        <v>-424336</v>
      </c>
      <c r="K222" s="2087">
        <v>0</v>
      </c>
      <c r="L222" s="2087">
        <v>-424336</v>
      </c>
    </row>
    <row r="223" spans="1:12">
      <c r="A223">
        <v>99</v>
      </c>
      <c r="B223" s="2046">
        <v>407442</v>
      </c>
      <c r="C223" s="2046" t="s">
        <v>2714</v>
      </c>
      <c r="D223" s="2087">
        <v>0</v>
      </c>
      <c r="E223" s="2087">
        <v>0</v>
      </c>
      <c r="F223" s="2100">
        <v>0</v>
      </c>
      <c r="G223" s="2087">
        <v>0</v>
      </c>
      <c r="H223" s="2087">
        <v>0</v>
      </c>
      <c r="I223" s="2087">
        <v>0</v>
      </c>
      <c r="J223" s="2087">
        <v>0</v>
      </c>
      <c r="K223" s="2087">
        <v>0</v>
      </c>
      <c r="L223" s="2087">
        <v>0</v>
      </c>
    </row>
    <row r="224" spans="1:12">
      <c r="A224">
        <v>99</v>
      </c>
      <c r="B224" s="2046">
        <v>407443</v>
      </c>
      <c r="C224" s="2046" t="s">
        <v>2713</v>
      </c>
      <c r="D224" s="2087">
        <v>-1233566</v>
      </c>
      <c r="E224" s="2087">
        <v>0</v>
      </c>
      <c r="F224" s="2100">
        <v>-1233566</v>
      </c>
      <c r="G224" s="2087">
        <v>-1233566</v>
      </c>
      <c r="H224" s="2087">
        <v>0</v>
      </c>
      <c r="I224" s="2087">
        <v>-1233566</v>
      </c>
      <c r="J224" s="2087">
        <v>0</v>
      </c>
      <c r="K224" s="2087">
        <v>0</v>
      </c>
      <c r="L224" s="2087">
        <v>0</v>
      </c>
    </row>
    <row r="225" spans="1:12">
      <c r="A225">
        <v>99</v>
      </c>
      <c r="B225" s="2046">
        <v>407444</v>
      </c>
      <c r="C225" s="2046" t="s">
        <v>2712</v>
      </c>
      <c r="D225" s="2087">
        <v>0</v>
      </c>
      <c r="E225" s="2087">
        <v>0</v>
      </c>
      <c r="F225" s="2100">
        <v>0</v>
      </c>
      <c r="G225" s="2087">
        <v>0</v>
      </c>
      <c r="H225" s="2087">
        <v>0</v>
      </c>
      <c r="I225" s="2087">
        <v>0</v>
      </c>
      <c r="J225" s="2087">
        <v>0</v>
      </c>
      <c r="K225" s="2087">
        <v>0</v>
      </c>
      <c r="L225" s="2087">
        <v>0</v>
      </c>
    </row>
    <row r="226" spans="1:12">
      <c r="A226">
        <v>99</v>
      </c>
      <c r="B226" s="2046">
        <v>407447</v>
      </c>
      <c r="C226" s="2046" t="s">
        <v>2711</v>
      </c>
      <c r="D226" s="2087">
        <v>-2344990</v>
      </c>
      <c r="E226" s="2087">
        <v>0</v>
      </c>
      <c r="F226" s="2100">
        <v>-2344990</v>
      </c>
      <c r="G226" s="2087">
        <v>-2344990</v>
      </c>
      <c r="H226" s="2087">
        <v>0</v>
      </c>
      <c r="I226" s="2087">
        <v>-2344990</v>
      </c>
      <c r="J226" s="2087">
        <v>0</v>
      </c>
      <c r="K226" s="2087">
        <v>0</v>
      </c>
      <c r="L226" s="2087">
        <v>0</v>
      </c>
    </row>
    <row r="227" spans="1:12">
      <c r="A227">
        <v>99</v>
      </c>
      <c r="B227" s="2046">
        <v>407452</v>
      </c>
      <c r="C227" s="2046" t="s">
        <v>2710</v>
      </c>
      <c r="D227" s="2087">
        <v>-111712</v>
      </c>
      <c r="E227" s="2087">
        <v>0</v>
      </c>
      <c r="F227" s="2100">
        <v>-111712</v>
      </c>
      <c r="G227" s="2087">
        <v>-111712</v>
      </c>
      <c r="H227" s="2087">
        <v>0</v>
      </c>
      <c r="I227" s="2087">
        <v>-111712</v>
      </c>
      <c r="J227" s="2087">
        <v>0</v>
      </c>
      <c r="K227" s="2087">
        <v>0</v>
      </c>
      <c r="L227" s="2087">
        <v>0</v>
      </c>
    </row>
    <row r="228" spans="1:12">
      <c r="A228">
        <v>99</v>
      </c>
      <c r="B228" s="2046">
        <v>407453</v>
      </c>
      <c r="C228" s="2046" t="s">
        <v>2709</v>
      </c>
      <c r="D228" s="2087">
        <v>-11202345</v>
      </c>
      <c r="E228" s="2087">
        <v>0</v>
      </c>
      <c r="F228" s="2100">
        <v>-11202345</v>
      </c>
      <c r="G228" s="2087">
        <v>-7712341</v>
      </c>
      <c r="H228" s="2087">
        <v>0</v>
      </c>
      <c r="I228" s="2087">
        <v>-7712341</v>
      </c>
      <c r="J228" s="2087">
        <v>-3490004</v>
      </c>
      <c r="K228" s="2087">
        <v>0</v>
      </c>
      <c r="L228" s="2087">
        <v>-3490004</v>
      </c>
    </row>
    <row r="229" spans="1:12">
      <c r="A229">
        <v>99</v>
      </c>
      <c r="B229" s="2046">
        <v>407454</v>
      </c>
      <c r="C229" s="2046" t="s">
        <v>2708</v>
      </c>
      <c r="D229" s="2087">
        <v>0</v>
      </c>
      <c r="E229" s="2087">
        <v>0</v>
      </c>
      <c r="F229" s="2100">
        <v>0</v>
      </c>
      <c r="G229" s="2087">
        <v>0</v>
      </c>
      <c r="H229" s="2087">
        <v>0</v>
      </c>
      <c r="I229" s="2087">
        <v>0</v>
      </c>
      <c r="J229" s="2087">
        <v>0</v>
      </c>
      <c r="K229" s="2087">
        <v>0</v>
      </c>
      <c r="L229" s="2087">
        <v>0</v>
      </c>
    </row>
    <row r="230" spans="1:12">
      <c r="A230">
        <v>99</v>
      </c>
      <c r="B230" s="2046">
        <v>407459</v>
      </c>
      <c r="C230" s="2046" t="s">
        <v>2707</v>
      </c>
      <c r="D230" s="2087">
        <v>-295620</v>
      </c>
      <c r="E230" s="2087">
        <v>0</v>
      </c>
      <c r="F230" s="2100">
        <v>-295620</v>
      </c>
      <c r="G230" s="2087">
        <v>-202059</v>
      </c>
      <c r="H230" s="2087">
        <v>0</v>
      </c>
      <c r="I230" s="2087">
        <v>-202059</v>
      </c>
      <c r="J230" s="2087">
        <v>-93561</v>
      </c>
      <c r="K230" s="2087">
        <v>0</v>
      </c>
      <c r="L230" s="2087">
        <v>-93561</v>
      </c>
    </row>
    <row r="231" spans="1:12">
      <c r="A231">
        <v>99</v>
      </c>
      <c r="B231" s="2046">
        <v>407493</v>
      </c>
      <c r="C231" s="2046" t="s">
        <v>2706</v>
      </c>
      <c r="D231" s="2087">
        <v>-127601</v>
      </c>
      <c r="E231" s="2087">
        <v>0</v>
      </c>
      <c r="F231" s="2100">
        <v>-127601</v>
      </c>
      <c r="G231" s="2087">
        <v>-127601</v>
      </c>
      <c r="H231" s="2087">
        <v>0</v>
      </c>
      <c r="I231" s="2087">
        <v>-127601</v>
      </c>
      <c r="J231" s="2087">
        <v>0</v>
      </c>
      <c r="K231" s="2087">
        <v>0</v>
      </c>
      <c r="L231" s="2087">
        <v>0</v>
      </c>
    </row>
    <row r="232" spans="1:12">
      <c r="A232" t="s">
        <v>2705</v>
      </c>
      <c r="C232" t="s">
        <v>2704</v>
      </c>
      <c r="D232" s="2087">
        <v>1115583</v>
      </c>
      <c r="E232" s="2087">
        <v>5383896</v>
      </c>
      <c r="F232" s="2087">
        <v>6499479</v>
      </c>
      <c r="G232" s="2087">
        <v>793608</v>
      </c>
      <c r="H232" s="2087">
        <v>3698898</v>
      </c>
      <c r="I232" s="2087">
        <v>4492506</v>
      </c>
      <c r="J232" s="2087">
        <v>321975</v>
      </c>
      <c r="K232" s="2087">
        <v>1684998</v>
      </c>
      <c r="L232" s="2087">
        <v>2006973</v>
      </c>
    </row>
    <row r="233" spans="1:12">
      <c r="C233" t="s">
        <v>2703</v>
      </c>
      <c r="D233" s="2087">
        <f t="shared" ref="D233:L233" si="21">SUM(D204:D232)</f>
        <v>3081416</v>
      </c>
      <c r="E233" s="2087">
        <f t="shared" si="21"/>
        <v>68236066</v>
      </c>
      <c r="F233" s="2087">
        <f t="shared" si="21"/>
        <v>71317482</v>
      </c>
      <c r="G233" s="2087">
        <f t="shared" si="21"/>
        <v>5282865</v>
      </c>
      <c r="H233" s="2087">
        <f t="shared" si="21"/>
        <v>46846972</v>
      </c>
      <c r="I233" s="2087">
        <f t="shared" si="21"/>
        <v>52129837</v>
      </c>
      <c r="J233" s="2087">
        <f t="shared" si="21"/>
        <v>-2201449</v>
      </c>
      <c r="K233" s="2087">
        <f t="shared" si="21"/>
        <v>21389094</v>
      </c>
      <c r="L233" s="2087">
        <f t="shared" si="21"/>
        <v>19187645</v>
      </c>
    </row>
    <row r="234" spans="1:12">
      <c r="D234" s="2087"/>
      <c r="E234" s="2087"/>
      <c r="F234" s="2087"/>
      <c r="G234" s="2087"/>
      <c r="H234" s="2087"/>
      <c r="I234" s="2087"/>
      <c r="J234" s="2087"/>
      <c r="K234" s="2087"/>
      <c r="L234" s="2087"/>
    </row>
    <row r="235" spans="1:12">
      <c r="C235" t="s">
        <v>2702</v>
      </c>
      <c r="D235" s="2087">
        <f t="shared" ref="D235:L235" si="22">SUM(D202:D232)</f>
        <v>19136601</v>
      </c>
      <c r="E235" s="2087">
        <f t="shared" si="22"/>
        <v>174708304</v>
      </c>
      <c r="F235" s="2087">
        <f t="shared" si="22"/>
        <v>193844905</v>
      </c>
      <c r="G235" s="2087">
        <f t="shared" si="22"/>
        <v>16921676</v>
      </c>
      <c r="H235" s="2087">
        <f t="shared" si="22"/>
        <v>119801023</v>
      </c>
      <c r="I235" s="2087">
        <f t="shared" si="22"/>
        <v>136722699</v>
      </c>
      <c r="J235" s="2087">
        <f t="shared" si="22"/>
        <v>2214925</v>
      </c>
      <c r="K235" s="2087">
        <f t="shared" si="22"/>
        <v>54907281</v>
      </c>
      <c r="L235" s="2087">
        <f t="shared" si="22"/>
        <v>57122206</v>
      </c>
    </row>
    <row r="236" spans="1:12">
      <c r="D236" s="2087"/>
      <c r="E236" s="2087"/>
      <c r="F236" s="2087"/>
      <c r="G236" s="2087"/>
      <c r="H236" s="2087"/>
      <c r="I236" s="2087"/>
      <c r="J236" s="2087"/>
      <c r="K236" s="2087"/>
      <c r="L236" s="2087"/>
    </row>
    <row r="237" spans="1:12">
      <c r="C237" t="s">
        <v>2701</v>
      </c>
      <c r="D237" s="2087">
        <f t="shared" ref="D237:L237" si="23">D134+D167+D175+D181+D187+D235</f>
        <v>241433241</v>
      </c>
      <c r="E237" s="2087">
        <f t="shared" si="23"/>
        <v>759400564</v>
      </c>
      <c r="F237" s="2087">
        <f t="shared" si="23"/>
        <v>1000833805</v>
      </c>
      <c r="G237" s="2087">
        <f t="shared" si="23"/>
        <v>168384539</v>
      </c>
      <c r="H237" s="2087">
        <f t="shared" si="23"/>
        <v>497397126</v>
      </c>
      <c r="I237" s="2087">
        <f t="shared" si="23"/>
        <v>665781665</v>
      </c>
      <c r="J237" s="2087">
        <f t="shared" si="23"/>
        <v>73048702</v>
      </c>
      <c r="K237" s="2087">
        <f t="shared" si="23"/>
        <v>262003438</v>
      </c>
      <c r="L237" s="2087">
        <f t="shared" si="23"/>
        <v>335052140</v>
      </c>
    </row>
    <row r="238" spans="1:12">
      <c r="D238" s="2099"/>
      <c r="E238" s="2087"/>
      <c r="F238" s="2087"/>
      <c r="G238" s="2087"/>
      <c r="H238" s="2087"/>
      <c r="I238" s="2087"/>
      <c r="J238" s="2087"/>
      <c r="K238" s="2087"/>
      <c r="L238" s="2087"/>
    </row>
    <row r="239" spans="1:12">
      <c r="C239" t="s">
        <v>2700</v>
      </c>
      <c r="D239" s="2099"/>
      <c r="E239" s="2087"/>
      <c r="F239" s="2087">
        <f>F28-F237</f>
        <v>192818410</v>
      </c>
      <c r="G239" s="2087"/>
      <c r="H239" s="2087"/>
      <c r="I239" s="2087">
        <f>I28-I237</f>
        <v>136457028</v>
      </c>
      <c r="J239" s="2087"/>
      <c r="K239" s="2087"/>
      <c r="L239" s="2087">
        <f>L28-L237</f>
        <v>56361382</v>
      </c>
    </row>
    <row r="240" spans="1:12">
      <c r="D240" s="2087"/>
      <c r="E240" s="2087"/>
      <c r="F240" s="2087"/>
      <c r="G240" s="2087"/>
      <c r="H240" s="2087"/>
      <c r="I240" s="2087"/>
      <c r="J240" s="2087"/>
      <c r="K240" s="2087"/>
      <c r="L240" s="2087"/>
    </row>
    <row r="241" spans="1:12">
      <c r="A241" t="s">
        <v>2697</v>
      </c>
      <c r="C241" t="s">
        <v>2699</v>
      </c>
      <c r="D241" s="2087"/>
      <c r="E241" s="2087"/>
      <c r="F241" s="2087">
        <v>-4088339</v>
      </c>
      <c r="G241" s="2087"/>
      <c r="H241" s="2087"/>
      <c r="I241" s="2087">
        <v>-3494101</v>
      </c>
      <c r="J241" s="2087"/>
      <c r="K241" s="2087"/>
      <c r="L241" s="2087">
        <v>-594238</v>
      </c>
    </row>
    <row r="242" spans="1:12">
      <c r="A242" t="s">
        <v>2697</v>
      </c>
      <c r="C242" t="s">
        <v>2698</v>
      </c>
      <c r="D242" s="2087"/>
      <c r="E242" s="2087"/>
      <c r="F242" s="2087">
        <v>-15931430</v>
      </c>
      <c r="G242" s="2087"/>
      <c r="H242" s="2087"/>
      <c r="I242" s="2087">
        <v>-7185827</v>
      </c>
      <c r="J242" s="2087"/>
      <c r="K242" s="2087"/>
      <c r="L242" s="2087">
        <v>-8745603</v>
      </c>
    </row>
    <row r="243" spans="1:12">
      <c r="A243" t="s">
        <v>2697</v>
      </c>
      <c r="C243" t="s">
        <v>2696</v>
      </c>
      <c r="D243" s="2087"/>
      <c r="E243" s="2087"/>
      <c r="F243" s="2087">
        <v>-484788</v>
      </c>
      <c r="G243" s="2087"/>
      <c r="H243" s="2087"/>
      <c r="I243" s="2087">
        <v>-312591</v>
      </c>
      <c r="J243" s="2087"/>
      <c r="K243" s="2087"/>
      <c r="L243" s="2087">
        <v>-172197</v>
      </c>
    </row>
    <row r="244" spans="1:12">
      <c r="C244" t="s">
        <v>2695</v>
      </c>
      <c r="D244" s="2087"/>
      <c r="E244" s="2087"/>
      <c r="F244" s="2087">
        <v>213322967</v>
      </c>
      <c r="G244" s="2087"/>
      <c r="H244" s="2087"/>
      <c r="I244" s="2087">
        <v>147449547</v>
      </c>
      <c r="J244" s="2087"/>
      <c r="K244" s="2087"/>
      <c r="L244" s="2087">
        <v>65873420</v>
      </c>
    </row>
    <row r="245" spans="1:12">
      <c r="L245" t="s">
        <v>97</v>
      </c>
    </row>
    <row r="246" spans="1:12">
      <c r="A246" t="s">
        <v>2372</v>
      </c>
    </row>
    <row r="247" spans="1:12">
      <c r="A247" t="s">
        <v>2368</v>
      </c>
      <c r="B247">
        <v>1</v>
      </c>
      <c r="C247" t="s">
        <v>2430</v>
      </c>
      <c r="E247" s="1134">
        <v>1</v>
      </c>
      <c r="H247" s="1134">
        <v>0.65639999999999998</v>
      </c>
      <c r="K247" s="1134">
        <v>0.34360000000000002</v>
      </c>
    </row>
    <row r="248" spans="1:12">
      <c r="A248" t="s">
        <v>2368</v>
      </c>
      <c r="B248">
        <v>2</v>
      </c>
      <c r="C248" t="s">
        <v>2637</v>
      </c>
      <c r="E248" s="1134">
        <v>1</v>
      </c>
      <c r="H248" s="1134">
        <v>0.65497000000000005</v>
      </c>
      <c r="K248" s="1134">
        <v>0.34503</v>
      </c>
    </row>
    <row r="249" spans="1:12">
      <c r="A249" t="s">
        <v>2368</v>
      </c>
      <c r="B249">
        <v>3</v>
      </c>
      <c r="C249" t="s">
        <v>2476</v>
      </c>
      <c r="E249" s="1134">
        <v>1</v>
      </c>
      <c r="H249" s="1134">
        <v>0.69381999999999999</v>
      </c>
      <c r="K249" s="1134">
        <v>0.30618000000000001</v>
      </c>
    </row>
    <row r="250" spans="1:12">
      <c r="A250" t="s">
        <v>2368</v>
      </c>
      <c r="B250">
        <v>4</v>
      </c>
      <c r="C250" t="s">
        <v>2429</v>
      </c>
      <c r="E250" s="1134">
        <v>1</v>
      </c>
      <c r="H250" s="1134">
        <v>0.69189000000000001</v>
      </c>
      <c r="K250" s="1134">
        <v>0.30810999999999999</v>
      </c>
    </row>
    <row r="251" spans="1:12">
      <c r="A251" t="s">
        <v>2368</v>
      </c>
      <c r="B251">
        <v>99</v>
      </c>
      <c r="C251" t="s">
        <v>2367</v>
      </c>
      <c r="E251" s="1134">
        <v>0</v>
      </c>
      <c r="H251" s="1134">
        <v>0</v>
      </c>
      <c r="K251" s="1134">
        <v>0</v>
      </c>
    </row>
    <row r="254" spans="1:12">
      <c r="E254" s="1993" t="s">
        <v>2305</v>
      </c>
      <c r="F254" s="1993" t="s">
        <v>2291</v>
      </c>
      <c r="G254" s="1993" t="s">
        <v>2315</v>
      </c>
      <c r="H254" s="1993" t="s">
        <v>286</v>
      </c>
    </row>
    <row r="255" spans="1:12">
      <c r="C255" s="2097" t="s">
        <v>2694</v>
      </c>
      <c r="D255" s="2085"/>
    </row>
    <row r="256" spans="1:12">
      <c r="A256" s="2046">
        <v>407405</v>
      </c>
      <c r="B256" s="2046" t="s">
        <v>2693</v>
      </c>
      <c r="D256" s="2117" t="s">
        <v>2305</v>
      </c>
      <c r="E256" s="584">
        <f>H256</f>
        <v>-112280</v>
      </c>
      <c r="H256" s="584">
        <v>-112280</v>
      </c>
      <c r="I256" s="1641"/>
      <c r="J256" s="584"/>
    </row>
    <row r="257" spans="1:10">
      <c r="A257" s="2046">
        <v>407412</v>
      </c>
      <c r="B257" s="2194" t="s">
        <v>3215</v>
      </c>
      <c r="D257" s="2117"/>
      <c r="E257" s="584"/>
      <c r="F257" s="584"/>
      <c r="G257" s="584">
        <f>H257</f>
        <v>-5708247</v>
      </c>
      <c r="H257" s="584">
        <v>-5708247</v>
      </c>
      <c r="I257" s="1641"/>
      <c r="J257" s="584"/>
    </row>
    <row r="258" spans="1:10">
      <c r="A258" s="2046">
        <v>407419</v>
      </c>
      <c r="B258" s="2046" t="s">
        <v>2716</v>
      </c>
      <c r="D258" s="2117" t="s">
        <v>2301</v>
      </c>
      <c r="E258" s="584"/>
      <c r="G258" s="584">
        <f>H258</f>
        <v>0</v>
      </c>
      <c r="H258" s="584">
        <v>0</v>
      </c>
      <c r="I258" s="1641"/>
      <c r="J258" s="584"/>
    </row>
    <row r="259" spans="1:10">
      <c r="A259" s="2046">
        <v>407427</v>
      </c>
      <c r="B259" s="2046" t="s">
        <v>2692</v>
      </c>
      <c r="D259" s="2117" t="s">
        <v>2305</v>
      </c>
      <c r="E259" s="584">
        <f>H259</f>
        <v>-2905657</v>
      </c>
      <c r="G259" s="2087"/>
      <c r="H259" s="584">
        <v>-2905657</v>
      </c>
      <c r="I259" s="1641"/>
      <c r="J259" s="584"/>
    </row>
    <row r="260" spans="1:10">
      <c r="A260" s="2046">
        <v>407434</v>
      </c>
      <c r="B260" s="2046" t="s">
        <v>2791</v>
      </c>
      <c r="D260" s="2117" t="s">
        <v>2305</v>
      </c>
      <c r="E260" s="584">
        <f>H260</f>
        <v>-561622</v>
      </c>
      <c r="G260" s="2087"/>
      <c r="H260" s="584">
        <v>-561622</v>
      </c>
      <c r="J260" s="584"/>
    </row>
    <row r="261" spans="1:10">
      <c r="A261" s="2046">
        <v>407436</v>
      </c>
      <c r="B261" s="2046" t="s">
        <v>2691</v>
      </c>
      <c r="D261" s="2117" t="s">
        <v>2301</v>
      </c>
      <c r="E261" s="2087"/>
      <c r="G261" s="2087">
        <f>H261</f>
        <v>0</v>
      </c>
      <c r="H261" s="584">
        <v>0</v>
      </c>
      <c r="I261" s="1991"/>
      <c r="J261" s="584"/>
    </row>
    <row r="262" spans="1:10">
      <c r="A262" s="2046">
        <v>407437</v>
      </c>
      <c r="B262" s="2046" t="s">
        <v>2715</v>
      </c>
      <c r="D262" s="2117" t="s">
        <v>99</v>
      </c>
      <c r="E262" s="2087">
        <f>+$I$262*Ratios!E50</f>
        <v>-134837.35469917289</v>
      </c>
      <c r="F262" s="2087">
        <f>+$I$262*Ratios!F50</f>
        <v>0</v>
      </c>
      <c r="G262" s="2087">
        <f>+$I$262*Ratios!G50</f>
        <v>-289498.64530082711</v>
      </c>
      <c r="H262" s="584">
        <v>-424336</v>
      </c>
      <c r="I262" s="2132">
        <f>H262</f>
        <v>-424336</v>
      </c>
      <c r="J262" s="584"/>
    </row>
    <row r="263" spans="1:10">
      <c r="A263" s="2046">
        <v>407442</v>
      </c>
      <c r="B263" s="2046" t="s">
        <v>2714</v>
      </c>
      <c r="D263" s="2117" t="s">
        <v>2985</v>
      </c>
      <c r="G263" s="584"/>
      <c r="H263" s="584">
        <v>0</v>
      </c>
      <c r="J263" s="584"/>
    </row>
    <row r="264" spans="1:10">
      <c r="A264" s="2046">
        <v>407443</v>
      </c>
      <c r="B264" s="2046" t="s">
        <v>2713</v>
      </c>
      <c r="D264" s="2117" t="s">
        <v>99</v>
      </c>
      <c r="E264" s="2087">
        <f>+$I$264*Ratios!E50</f>
        <v>-391978.94189236814</v>
      </c>
      <c r="F264" s="2087">
        <f>+$I$264*Ratios!F50</f>
        <v>0</v>
      </c>
      <c r="G264" s="2087">
        <f>+$I$264*Ratios!G50</f>
        <v>-841587.05810763186</v>
      </c>
      <c r="H264" s="584">
        <v>-1233566</v>
      </c>
      <c r="I264" s="584">
        <f>H264</f>
        <v>-1233566</v>
      </c>
      <c r="J264" s="584"/>
    </row>
    <row r="265" spans="1:10">
      <c r="A265" s="2046">
        <v>407444</v>
      </c>
      <c r="B265" s="2046" t="s">
        <v>2712</v>
      </c>
      <c r="D265" s="2117" t="s">
        <v>2985</v>
      </c>
      <c r="E265" s="584"/>
      <c r="H265" s="584">
        <v>0</v>
      </c>
      <c r="J265" s="584"/>
    </row>
    <row r="266" spans="1:10">
      <c r="A266" s="2046">
        <v>407447</v>
      </c>
      <c r="B266" s="2046" t="s">
        <v>2711</v>
      </c>
      <c r="D266" s="2117" t="s">
        <v>99</v>
      </c>
      <c r="E266" s="2087">
        <f>+$I$266*Ratios!E50</f>
        <v>-745145.9418857072</v>
      </c>
      <c r="F266" s="2087">
        <f>+$I$266*Ratios!F50</f>
        <v>0</v>
      </c>
      <c r="G266" s="2087">
        <f>+$I$266*Ratios!G50</f>
        <v>-1599844.0581142926</v>
      </c>
      <c r="H266" s="584">
        <v>-2344990</v>
      </c>
      <c r="I266" s="584">
        <f>H266</f>
        <v>-2344990</v>
      </c>
      <c r="J266" s="584"/>
    </row>
    <row r="267" spans="1:10">
      <c r="A267" s="2046">
        <v>407451</v>
      </c>
      <c r="B267" s="2046" t="s">
        <v>2790</v>
      </c>
      <c r="D267" s="2117" t="s">
        <v>99</v>
      </c>
      <c r="E267" s="2087">
        <f>+$I$267*Ratios!E50</f>
        <v>-295102.24785933545</v>
      </c>
      <c r="F267" s="2087">
        <f>+$I$267*Ratios!F50</f>
        <v>0</v>
      </c>
      <c r="G267" s="2087">
        <f>+$I$267*Ratios!G50</f>
        <v>-633590.7521406645</v>
      </c>
      <c r="H267" s="584">
        <v>-928693</v>
      </c>
      <c r="I267" s="584">
        <f>H267</f>
        <v>-928693</v>
      </c>
      <c r="J267" s="584"/>
    </row>
    <row r="268" spans="1:10">
      <c r="A268" s="2046">
        <v>407452</v>
      </c>
      <c r="B268" s="2046" t="s">
        <v>2710</v>
      </c>
      <c r="D268" s="2117" t="s">
        <v>99</v>
      </c>
      <c r="E268" s="2087">
        <f>+$I$268*Ratios!E50</f>
        <v>-35497.696561578567</v>
      </c>
      <c r="F268" s="2087">
        <f>+$I$268*Ratios!F50</f>
        <v>0</v>
      </c>
      <c r="G268" s="2087">
        <f>+$I$268*Ratios!G50</f>
        <v>-76214.303438421426</v>
      </c>
      <c r="H268" s="584">
        <v>-111712</v>
      </c>
      <c r="I268" s="584">
        <f>H268</f>
        <v>-111712</v>
      </c>
      <c r="J268" s="584"/>
    </row>
    <row r="269" spans="1:10">
      <c r="A269" s="2046">
        <v>407453</v>
      </c>
      <c r="B269" s="2046" t="s">
        <v>2709</v>
      </c>
      <c r="D269" s="2117" t="s">
        <v>2985</v>
      </c>
      <c r="F269" s="2087">
        <f>+$H$269*Ratios!F65</f>
        <v>0</v>
      </c>
      <c r="G269" s="2087">
        <f>+$H$269*Ratios!G65</f>
        <v>-11202345</v>
      </c>
      <c r="H269" s="584">
        <v>-11202345</v>
      </c>
      <c r="I269" s="584"/>
      <c r="J269" s="584"/>
    </row>
    <row r="270" spans="1:10">
      <c r="A270" s="2046">
        <v>407454</v>
      </c>
      <c r="B270" s="2046" t="s">
        <v>2708</v>
      </c>
      <c r="D270" s="2117"/>
      <c r="E270" s="2087"/>
      <c r="H270" s="584">
        <v>0</v>
      </c>
      <c r="J270" s="584"/>
    </row>
    <row r="271" spans="1:10">
      <c r="A271" s="2046">
        <v>407459</v>
      </c>
      <c r="B271" s="2046" t="s">
        <v>2707</v>
      </c>
      <c r="D271" s="2117" t="s">
        <v>99</v>
      </c>
      <c r="E271" s="2087">
        <f>+$I$271*Ratios!E50</f>
        <v>-93936.453179012606</v>
      </c>
      <c r="F271" s="2087">
        <f>+$I$271*Ratios!F50</f>
        <v>0</v>
      </c>
      <c r="G271" s="2087">
        <f>+$I$271*Ratios!G50</f>
        <v>-201683.54682098739</v>
      </c>
      <c r="H271" s="584">
        <v>-295620</v>
      </c>
      <c r="I271" s="584">
        <f>H271</f>
        <v>-295620</v>
      </c>
      <c r="J271" s="584"/>
    </row>
    <row r="272" spans="1:10">
      <c r="A272" s="2046">
        <v>407460</v>
      </c>
      <c r="B272" s="2046" t="s">
        <v>2688</v>
      </c>
      <c r="D272" s="2117" t="s">
        <v>2305</v>
      </c>
      <c r="E272" s="2087">
        <f>H272</f>
        <v>-1377648</v>
      </c>
      <c r="H272" s="584">
        <v>-1377648</v>
      </c>
      <c r="J272" s="584"/>
    </row>
    <row r="273" spans="1:11">
      <c r="A273" s="2046">
        <v>407493</v>
      </c>
      <c r="B273" s="2046" t="s">
        <v>2706</v>
      </c>
      <c r="D273" s="2117" t="s">
        <v>99</v>
      </c>
      <c r="E273" s="2087">
        <f>+$I$273*Ratios!E50</f>
        <v>-40546.59820747983</v>
      </c>
      <c r="F273" s="2087">
        <f>+$I$273*Ratios!F50</f>
        <v>0</v>
      </c>
      <c r="G273" s="2087">
        <f>+$I$273*Ratios!G50</f>
        <v>-87054.401792520162</v>
      </c>
      <c r="H273" s="584">
        <v>-127601</v>
      </c>
      <c r="I273" s="584">
        <f>H273</f>
        <v>-127601</v>
      </c>
      <c r="J273" s="584"/>
    </row>
    <row r="274" spans="1:11">
      <c r="A274" s="2046">
        <v>407494</v>
      </c>
      <c r="B274" s="2046" t="s">
        <v>2687</v>
      </c>
      <c r="D274" s="2117" t="s">
        <v>2305</v>
      </c>
      <c r="E274" s="584">
        <f>H274</f>
        <v>165290</v>
      </c>
      <c r="G274" s="584"/>
      <c r="H274" s="584">
        <v>165290</v>
      </c>
      <c r="J274" s="584"/>
    </row>
    <row r="275" spans="1:11">
      <c r="A275" s="2046">
        <v>407495</v>
      </c>
      <c r="B275" s="2046" t="s">
        <v>2686</v>
      </c>
      <c r="D275" s="2117" t="s">
        <v>2301</v>
      </c>
      <c r="G275" s="584">
        <f>H275</f>
        <v>-8415</v>
      </c>
      <c r="H275" s="584">
        <v>-8415</v>
      </c>
      <c r="J275" s="584"/>
    </row>
    <row r="276" spans="1:11">
      <c r="A276" s="2046" t="s">
        <v>2690</v>
      </c>
      <c r="B276" s="2046" t="s">
        <v>2689</v>
      </c>
      <c r="D276" s="2117" t="s">
        <v>2301</v>
      </c>
      <c r="G276" s="584">
        <f>H276</f>
        <v>-15756311</v>
      </c>
      <c r="H276" s="584">
        <v>-15756311</v>
      </c>
      <c r="J276" s="584"/>
    </row>
    <row r="277" spans="1:11">
      <c r="A277" s="2193" t="s">
        <v>3213</v>
      </c>
      <c r="B277" s="2046" t="s">
        <v>3214</v>
      </c>
      <c r="D277" s="2117" t="s">
        <v>2301</v>
      </c>
      <c r="G277" s="584">
        <f>H277</f>
        <v>-114495</v>
      </c>
      <c r="H277" s="584">
        <v>-114495</v>
      </c>
    </row>
    <row r="278" spans="1:11">
      <c r="D278" s="2085"/>
      <c r="G278" s="584"/>
      <c r="H278" s="584"/>
    </row>
    <row r="279" spans="1:11" ht="16.5" thickBot="1">
      <c r="D279" s="2085"/>
      <c r="E279" s="2079">
        <f>SUM(E256:E278)</f>
        <v>-6528962.2342846561</v>
      </c>
      <c r="F279" s="2079">
        <f>SUM(F256:F278)</f>
        <v>0</v>
      </c>
      <c r="G279" s="2079">
        <f>SUM(G256:G278)</f>
        <v>-36519285.765715346</v>
      </c>
      <c r="H279" s="2079">
        <f>SUM(H256:H278)</f>
        <v>-43048248</v>
      </c>
      <c r="I279" s="2094"/>
      <c r="J279" s="2094"/>
      <c r="K279" s="2087"/>
    </row>
    <row r="280" spans="1:11" ht="16.5" thickTop="1">
      <c r="D280" s="2085"/>
      <c r="E280" s="2098"/>
      <c r="F280" s="2098"/>
      <c r="G280" s="2098"/>
      <c r="H280" s="2098"/>
      <c r="I280" s="2094"/>
      <c r="K280" s="2087"/>
    </row>
    <row r="281" spans="1:11">
      <c r="C281" s="2097" t="s">
        <v>2685</v>
      </c>
      <c r="D281" s="2085"/>
      <c r="H281" s="584"/>
    </row>
    <row r="282" spans="1:11">
      <c r="A282">
        <v>407303</v>
      </c>
      <c r="B282" s="2046" t="s">
        <v>2794</v>
      </c>
      <c r="C282" s="2046"/>
      <c r="D282" s="2117" t="s">
        <v>2305</v>
      </c>
      <c r="G282" s="2087">
        <v>0</v>
      </c>
      <c r="H282" s="584">
        <v>0</v>
      </c>
      <c r="I282" s="1641"/>
      <c r="J282" s="584"/>
    </row>
    <row r="283" spans="1:11">
      <c r="A283">
        <v>407306</v>
      </c>
      <c r="B283" s="2046" t="s">
        <v>2725</v>
      </c>
      <c r="C283" s="2046"/>
      <c r="D283" s="2117" t="s">
        <v>2301</v>
      </c>
      <c r="E283" s="2087"/>
      <c r="G283" s="584">
        <f>H283</f>
        <v>2280858</v>
      </c>
      <c r="H283" s="584">
        <v>2280858</v>
      </c>
      <c r="J283" s="584"/>
    </row>
    <row r="284" spans="1:11">
      <c r="A284">
        <v>407307</v>
      </c>
      <c r="B284" s="2046" t="s">
        <v>2724</v>
      </c>
      <c r="C284" s="2046"/>
      <c r="D284" s="2117" t="s">
        <v>2301</v>
      </c>
      <c r="E284" s="2087"/>
      <c r="G284" s="2087">
        <f>H284</f>
        <v>1506272</v>
      </c>
      <c r="H284" s="584">
        <v>1506272</v>
      </c>
      <c r="I284" s="1641"/>
      <c r="J284" s="584"/>
    </row>
    <row r="285" spans="1:11">
      <c r="A285">
        <v>407311</v>
      </c>
      <c r="B285" s="2046" t="s">
        <v>2684</v>
      </c>
      <c r="C285" s="2046"/>
      <c r="D285" s="2117" t="s">
        <v>2301</v>
      </c>
      <c r="E285" s="2087"/>
      <c r="G285" s="584">
        <f>H285</f>
        <v>2120517</v>
      </c>
      <c r="H285" s="584">
        <v>2120517</v>
      </c>
      <c r="J285" s="584"/>
    </row>
    <row r="286" spans="1:11">
      <c r="A286">
        <v>407313</v>
      </c>
      <c r="B286" s="2194" t="s">
        <v>3216</v>
      </c>
      <c r="C286" s="2046"/>
      <c r="D286" s="2117" t="s">
        <v>2301</v>
      </c>
      <c r="E286" s="2087"/>
      <c r="G286" s="584">
        <f>H286</f>
        <v>4897068</v>
      </c>
      <c r="H286" s="584">
        <v>4897068</v>
      </c>
      <c r="J286" s="584"/>
    </row>
    <row r="287" spans="1:11">
      <c r="A287">
        <v>407314</v>
      </c>
      <c r="B287" s="2194" t="s">
        <v>2723</v>
      </c>
      <c r="C287" s="2046"/>
      <c r="D287" s="2117" t="s">
        <v>2301</v>
      </c>
      <c r="E287" s="2096">
        <f>H287</f>
        <v>77798</v>
      </c>
      <c r="H287" s="584">
        <v>77798</v>
      </c>
      <c r="I287" s="1641"/>
      <c r="J287" s="584"/>
    </row>
    <row r="288" spans="1:11">
      <c r="A288">
        <v>407324</v>
      </c>
      <c r="B288" s="2046" t="s">
        <v>2683</v>
      </c>
      <c r="C288" s="2046"/>
      <c r="D288" s="2117" t="s">
        <v>2305</v>
      </c>
      <c r="E288" s="2096">
        <f>H288</f>
        <v>200000</v>
      </c>
      <c r="H288" s="584">
        <v>200000</v>
      </c>
      <c r="J288" s="584"/>
    </row>
    <row r="289" spans="1:10">
      <c r="A289">
        <v>407327</v>
      </c>
      <c r="B289" s="2046" t="s">
        <v>2793</v>
      </c>
      <c r="C289" s="2046"/>
      <c r="D289" s="2117" t="s">
        <v>2305</v>
      </c>
      <c r="E289" s="2096">
        <f>H289</f>
        <v>1970385</v>
      </c>
      <c r="H289" s="584">
        <v>1970385</v>
      </c>
      <c r="I289" s="1641"/>
      <c r="J289" s="584"/>
    </row>
    <row r="290" spans="1:10">
      <c r="A290">
        <v>407332</v>
      </c>
      <c r="B290" s="2046" t="s">
        <v>2722</v>
      </c>
      <c r="C290" s="2046"/>
      <c r="D290" s="2117" t="s">
        <v>2301</v>
      </c>
      <c r="E290" s="2096"/>
      <c r="G290" s="584">
        <f>H290</f>
        <v>0</v>
      </c>
      <c r="H290" s="584">
        <v>0</v>
      </c>
      <c r="I290" s="1991"/>
      <c r="J290" s="584"/>
    </row>
    <row r="291" spans="1:10">
      <c r="A291">
        <v>407333</v>
      </c>
      <c r="B291" s="2046" t="s">
        <v>2682</v>
      </c>
      <c r="C291" s="2046"/>
      <c r="D291" s="2117" t="s">
        <v>2305</v>
      </c>
      <c r="E291" s="584">
        <f>H291</f>
        <v>32719</v>
      </c>
      <c r="G291" s="2087"/>
      <c r="H291" s="584">
        <v>32719</v>
      </c>
      <c r="I291" s="1211"/>
      <c r="J291" s="584"/>
    </row>
    <row r="292" spans="1:10">
      <c r="A292">
        <v>407334</v>
      </c>
      <c r="B292" s="2046" t="s">
        <v>2792</v>
      </c>
      <c r="C292" s="2046"/>
      <c r="D292" s="2117" t="s">
        <v>2305</v>
      </c>
      <c r="E292" s="584">
        <f>H292</f>
        <v>116520</v>
      </c>
      <c r="G292" s="2087"/>
      <c r="H292" s="584">
        <v>116520</v>
      </c>
      <c r="I292" s="1991"/>
      <c r="J292" s="584"/>
    </row>
    <row r="293" spans="1:10">
      <c r="A293">
        <v>407344</v>
      </c>
      <c r="B293" s="2046" t="s">
        <v>2721</v>
      </c>
      <c r="C293" s="2046"/>
      <c r="D293" s="2117" t="s">
        <v>2301</v>
      </c>
      <c r="E293" s="2087">
        <f>+$I$293*Ratios!E50</f>
        <v>563591.70940449904</v>
      </c>
      <c r="F293" s="2087"/>
      <c r="G293" s="2087"/>
      <c r="H293" s="584">
        <v>1773635</v>
      </c>
      <c r="I293" s="584">
        <f>H293</f>
        <v>1773635</v>
      </c>
      <c r="J293" s="2229"/>
    </row>
    <row r="294" spans="1:10">
      <c r="A294">
        <v>407347</v>
      </c>
      <c r="B294" s="2046" t="s">
        <v>2720</v>
      </c>
      <c r="C294" s="2046"/>
      <c r="D294" s="2117" t="s">
        <v>2301</v>
      </c>
      <c r="E294" s="2087">
        <f>+$I$294*Ratios!E50</f>
        <v>-9016.7809871039226</v>
      </c>
      <c r="F294" s="2087"/>
      <c r="G294" s="2087"/>
      <c r="H294" s="584">
        <v>-28376</v>
      </c>
      <c r="I294" s="584">
        <f>H294</f>
        <v>-28376</v>
      </c>
      <c r="J294" s="2229"/>
    </row>
    <row r="295" spans="1:10">
      <c r="A295">
        <v>407357</v>
      </c>
      <c r="B295" s="2046" t="s">
        <v>2719</v>
      </c>
      <c r="C295" s="2046"/>
      <c r="D295" s="2117" t="s">
        <v>2301</v>
      </c>
      <c r="E295" s="2087">
        <f>+$I$295*Ratios!E50</f>
        <v>4716.8415905191232</v>
      </c>
      <c r="F295" s="2087"/>
      <c r="G295" s="2087"/>
      <c r="H295" s="584">
        <v>14844</v>
      </c>
      <c r="I295" s="584">
        <f>H295</f>
        <v>14844</v>
      </c>
      <c r="J295" s="2229"/>
    </row>
    <row r="296" spans="1:10">
      <c r="A296">
        <v>407359</v>
      </c>
      <c r="B296" s="2046" t="s">
        <v>2718</v>
      </c>
      <c r="C296" s="2046"/>
      <c r="D296" s="2117" t="s">
        <v>2301</v>
      </c>
      <c r="E296" s="2087">
        <f>+$I$296*Ratios!E50</f>
        <v>1082.61110879134</v>
      </c>
      <c r="F296" s="2087"/>
      <c r="G296" s="2087"/>
      <c r="H296" s="584">
        <v>3407</v>
      </c>
      <c r="I296" s="584">
        <f>H296</f>
        <v>3407</v>
      </c>
      <c r="J296" s="2229"/>
    </row>
    <row r="297" spans="1:10">
      <c r="A297">
        <v>407360</v>
      </c>
      <c r="B297" s="2046" t="s">
        <v>2681</v>
      </c>
      <c r="C297" s="2046"/>
      <c r="D297" s="2117" t="s">
        <v>2305</v>
      </c>
      <c r="E297" s="2087">
        <f>H297</f>
        <v>1005852</v>
      </c>
      <c r="F297" s="2087"/>
      <c r="G297" s="2087"/>
      <c r="H297" s="584">
        <v>1005852</v>
      </c>
      <c r="J297" s="584"/>
    </row>
    <row r="298" spans="1:10">
      <c r="A298">
        <v>407372</v>
      </c>
      <c r="B298" s="2046" t="s">
        <v>2717</v>
      </c>
      <c r="C298" s="2046"/>
      <c r="D298" s="2117" t="s">
        <v>2305</v>
      </c>
      <c r="E298" s="2096">
        <f>H298</f>
        <v>750000</v>
      </c>
      <c r="F298" s="2096"/>
      <c r="G298" s="2096"/>
      <c r="H298" s="584">
        <v>750000</v>
      </c>
      <c r="J298" s="584"/>
    </row>
    <row r="299" spans="1:10">
      <c r="A299">
        <v>407382</v>
      </c>
      <c r="B299" s="2046" t="s">
        <v>2680</v>
      </c>
      <c r="C299" s="2046"/>
      <c r="D299" s="2117" t="s">
        <v>2305</v>
      </c>
      <c r="E299" s="2096">
        <f>H299</f>
        <v>884085</v>
      </c>
      <c r="F299" s="2096"/>
      <c r="G299" s="2096"/>
      <c r="H299" s="584">
        <v>884085</v>
      </c>
      <c r="J299" s="584"/>
    </row>
    <row r="300" spans="1:10">
      <c r="A300">
        <v>407395</v>
      </c>
      <c r="B300" s="2046" t="s">
        <v>2679</v>
      </c>
      <c r="C300" s="2046"/>
      <c r="D300" s="2117" t="s">
        <v>2301</v>
      </c>
      <c r="E300" s="2096"/>
      <c r="F300" s="2096"/>
      <c r="G300" s="2096">
        <f>H300</f>
        <v>359146</v>
      </c>
      <c r="H300" s="584">
        <v>359146</v>
      </c>
      <c r="J300" s="584"/>
    </row>
    <row r="301" spans="1:10">
      <c r="D301" s="2085"/>
      <c r="G301" s="2095"/>
      <c r="H301" s="584"/>
    </row>
    <row r="302" spans="1:10" ht="16.5" thickBot="1">
      <c r="D302" s="2085"/>
      <c r="E302" s="2079">
        <f>SUM(E282:E300)</f>
        <v>5597733.3811167059</v>
      </c>
      <c r="F302" s="2079">
        <f>SUM(F282:F300)</f>
        <v>0</v>
      </c>
      <c r="G302" s="2079">
        <f>SUM(G282:G300)</f>
        <v>11163861</v>
      </c>
      <c r="H302" s="2079">
        <f>SUM(H282:H300)</f>
        <v>17964730</v>
      </c>
      <c r="I302" s="2094">
        <f>'[1]Sch 3B - Other Items'!G16</f>
        <v>21751021.41</v>
      </c>
      <c r="J302" s="584">
        <f>H302-I302</f>
        <v>-3786291.41</v>
      </c>
    </row>
    <row r="303" spans="1:10" ht="16.5" thickTop="1">
      <c r="D303" s="2085"/>
      <c r="I303" s="2093">
        <f>I302-H302</f>
        <v>3786291.41</v>
      </c>
    </row>
    <row r="304" spans="1:10">
      <c r="D304" s="2085"/>
    </row>
    <row r="305" spans="4:4">
      <c r="D305" s="2085"/>
    </row>
    <row r="306" spans="4:4">
      <c r="D306" s="2085"/>
    </row>
  </sheetData>
  <pageMargins left="0.7" right="0.7" top="0.75" bottom="0.75" header="0.3" footer="0.3"/>
  <pageSetup orientation="portrait" horizontalDpi="90" verticalDpi="90" r:id="rId1"/>
  <customProperties>
    <customPr name="xxe4aPID" r:id="rId2"/>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90AC0-C0B5-4430-BC45-22886C9E4A06}">
  <sheetPr codeName="Sheet41"/>
  <dimension ref="B2:M64"/>
  <sheetViews>
    <sheetView workbookViewId="0">
      <pane ySplit="10" topLeftCell="A48" activePane="bottomLeft" state="frozen"/>
      <selection activeCell="H68" sqref="H68"/>
      <selection pane="bottomLeft" activeCell="F73" sqref="F73"/>
    </sheetView>
  </sheetViews>
  <sheetFormatPr defaultRowHeight="15.75"/>
  <cols>
    <col min="1" max="1" width="9" style="2264"/>
    <col min="2" max="15" width="14.625" style="2264" customWidth="1"/>
    <col min="16" max="18" width="9" style="2264"/>
    <col min="19" max="19" width="12.625" style="2264" customWidth="1"/>
    <col min="20" max="16384" width="9" style="2264"/>
  </cols>
  <sheetData>
    <row r="2" spans="2:13">
      <c r="B2" s="2264" t="s">
        <v>2930</v>
      </c>
    </row>
    <row r="3" spans="2:13">
      <c r="B3" s="2264" t="s">
        <v>2936</v>
      </c>
    </row>
    <row r="5" spans="2:13">
      <c r="B5" s="2395" t="s">
        <v>2929</v>
      </c>
      <c r="C5" s="2396"/>
      <c r="D5" s="2396"/>
      <c r="G5" s="2264" t="s">
        <v>2928</v>
      </c>
      <c r="H5" s="2264" t="s">
        <v>2935</v>
      </c>
    </row>
    <row r="7" spans="2:13">
      <c r="B7" s="2264">
        <v>0</v>
      </c>
      <c r="C7" s="2264" t="s">
        <v>2927</v>
      </c>
    </row>
    <row r="8" spans="2:13">
      <c r="D8" s="2265"/>
    </row>
    <row r="9" spans="2:13">
      <c r="B9" s="2266" t="s">
        <v>2649</v>
      </c>
      <c r="C9" s="2266" t="s">
        <v>2926</v>
      </c>
      <c r="D9" s="2266" t="s">
        <v>2925</v>
      </c>
      <c r="E9" s="2266" t="s">
        <v>2301</v>
      </c>
      <c r="F9" s="2266" t="s">
        <v>2924</v>
      </c>
      <c r="G9" s="2266" t="s">
        <v>2923</v>
      </c>
      <c r="H9" s="2266"/>
      <c r="I9" s="2266" t="s">
        <v>2922</v>
      </c>
      <c r="J9" s="2266" t="s">
        <v>2921</v>
      </c>
      <c r="K9" s="2266" t="s">
        <v>2920</v>
      </c>
      <c r="L9" s="2266" t="s">
        <v>2919</v>
      </c>
    </row>
    <row r="10" spans="2:13">
      <c r="B10" s="2267" t="s">
        <v>2918</v>
      </c>
      <c r="C10" s="2267" t="s">
        <v>2917</v>
      </c>
      <c r="D10" s="2267" t="s">
        <v>2916</v>
      </c>
      <c r="E10" s="2267" t="s">
        <v>2915</v>
      </c>
      <c r="F10" s="2267" t="s">
        <v>2914</v>
      </c>
      <c r="G10" s="2267" t="s">
        <v>2913</v>
      </c>
      <c r="H10" s="2267" t="s">
        <v>2934</v>
      </c>
      <c r="I10" s="2267" t="s">
        <v>2912</v>
      </c>
      <c r="J10" s="2267" t="s">
        <v>2911</v>
      </c>
      <c r="K10" s="2267" t="s">
        <v>2910</v>
      </c>
      <c r="L10" s="2267" t="s">
        <v>2909</v>
      </c>
    </row>
    <row r="12" spans="2:13">
      <c r="B12" s="2264">
        <v>1978</v>
      </c>
      <c r="C12" s="2264">
        <v>8760</v>
      </c>
      <c r="D12" s="2264">
        <v>0</v>
      </c>
      <c r="E12" s="2264">
        <v>0</v>
      </c>
      <c r="F12" s="2264">
        <v>0</v>
      </c>
      <c r="G12" s="2264">
        <v>0</v>
      </c>
      <c r="H12" s="2264" t="s">
        <v>2362</v>
      </c>
      <c r="I12" s="2264" t="s">
        <v>2907</v>
      </c>
      <c r="J12" s="2264" t="s">
        <v>2224</v>
      </c>
      <c r="M12" s="2264" t="s">
        <v>2908</v>
      </c>
    </row>
    <row r="13" spans="2:13">
      <c r="B13" s="2264">
        <v>1979</v>
      </c>
      <c r="C13" s="2264">
        <v>8760</v>
      </c>
      <c r="D13" s="2265">
        <v>76656000</v>
      </c>
      <c r="E13" s="2264">
        <v>8.7509999999999994</v>
      </c>
      <c r="F13" s="2264">
        <v>0</v>
      </c>
      <c r="G13" s="2264">
        <v>0</v>
      </c>
      <c r="H13" s="2264" t="s">
        <v>2362</v>
      </c>
      <c r="I13" s="2264" t="s">
        <v>2907</v>
      </c>
      <c r="J13" s="2264">
        <v>8.7509999999999994</v>
      </c>
      <c r="K13" s="2264" t="s">
        <v>2224</v>
      </c>
    </row>
    <row r="14" spans="2:13">
      <c r="B14" s="2264">
        <v>1980</v>
      </c>
      <c r="C14" s="2264">
        <v>8784</v>
      </c>
      <c r="D14" s="2265">
        <v>880710000</v>
      </c>
      <c r="E14" s="2264">
        <v>10.215999999999999</v>
      </c>
      <c r="F14" s="2264">
        <v>1.4650000000000001</v>
      </c>
      <c r="G14" s="2264">
        <v>1.4650000000000001</v>
      </c>
      <c r="H14" s="2264" t="s">
        <v>2362</v>
      </c>
      <c r="I14" s="2264" t="s">
        <v>2907</v>
      </c>
      <c r="J14" s="2264">
        <v>10.215999999999999</v>
      </c>
      <c r="K14" s="2264" t="s">
        <v>2224</v>
      </c>
    </row>
    <row r="15" spans="2:13">
      <c r="B15" s="2264">
        <v>1981</v>
      </c>
      <c r="C15" s="2264">
        <v>8760</v>
      </c>
      <c r="D15" s="2265">
        <v>116496000</v>
      </c>
      <c r="E15" s="2264">
        <v>13.298999999999999</v>
      </c>
      <c r="F15" s="2264">
        <v>3.0830000000000002</v>
      </c>
      <c r="G15" s="2264">
        <v>3.0830000000000002</v>
      </c>
      <c r="H15" s="2264" t="s">
        <v>2362</v>
      </c>
      <c r="I15" s="2264" t="s">
        <v>2907</v>
      </c>
      <c r="J15" s="2264">
        <v>13.298999999999999</v>
      </c>
      <c r="K15" s="2264" t="s">
        <v>2224</v>
      </c>
    </row>
    <row r="16" spans="2:13">
      <c r="B16" s="2264">
        <v>1982</v>
      </c>
      <c r="C16" s="2264">
        <v>8760</v>
      </c>
      <c r="D16" s="2265">
        <v>101380000</v>
      </c>
      <c r="E16" s="2264">
        <v>11.573</v>
      </c>
      <c r="F16" s="2264">
        <v>-1.726</v>
      </c>
      <c r="G16" s="2264">
        <v>0</v>
      </c>
      <c r="H16" s="2264" t="s">
        <v>2362</v>
      </c>
      <c r="I16" s="2264" t="s">
        <v>2907</v>
      </c>
      <c r="J16" s="2264">
        <v>11.573</v>
      </c>
      <c r="K16" s="2264" t="s">
        <v>2224</v>
      </c>
    </row>
    <row r="17" spans="2:13">
      <c r="B17" s="2264">
        <v>1983</v>
      </c>
      <c r="C17" s="2264">
        <v>8760</v>
      </c>
      <c r="D17" s="2265">
        <v>124704000</v>
      </c>
      <c r="E17" s="2264">
        <v>14.236000000000001</v>
      </c>
      <c r="F17" s="2264">
        <v>2.6629999999999998</v>
      </c>
      <c r="G17" s="2264">
        <v>2.6629999999999998</v>
      </c>
      <c r="H17" s="2264" t="s">
        <v>2362</v>
      </c>
      <c r="I17" s="2264" t="s">
        <v>2907</v>
      </c>
      <c r="J17" s="2264">
        <v>14.236000000000001</v>
      </c>
      <c r="K17" s="2264" t="s">
        <v>2224</v>
      </c>
    </row>
    <row r="18" spans="2:13">
      <c r="B18" s="2264">
        <v>1984</v>
      </c>
      <c r="C18" s="2264">
        <v>8784</v>
      </c>
      <c r="D18" s="2265">
        <v>145128000</v>
      </c>
      <c r="E18" s="2264">
        <v>16.521999999999998</v>
      </c>
      <c r="F18" s="2264">
        <v>2.286</v>
      </c>
      <c r="G18" s="2264">
        <v>2.286</v>
      </c>
      <c r="H18" s="2264" t="s">
        <v>2362</v>
      </c>
      <c r="I18" s="2264" t="s">
        <v>2907</v>
      </c>
      <c r="J18" s="2264">
        <v>16.521999999999998</v>
      </c>
      <c r="K18" s="2264" t="s">
        <v>2224</v>
      </c>
    </row>
    <row r="19" spans="2:13">
      <c r="B19" s="2264">
        <v>1985</v>
      </c>
      <c r="C19" s="2264">
        <v>8760</v>
      </c>
      <c r="D19" s="2265">
        <v>144408000</v>
      </c>
      <c r="E19" s="2264">
        <v>16.484999999999999</v>
      </c>
      <c r="F19" s="2264">
        <v>-3.6999999999999998E-2</v>
      </c>
      <c r="G19" s="2264">
        <v>0</v>
      </c>
      <c r="H19" s="2264" t="s">
        <v>2362</v>
      </c>
      <c r="I19" s="2264" t="s">
        <v>2907</v>
      </c>
      <c r="J19" s="2264">
        <v>16.484999999999999</v>
      </c>
      <c r="K19" s="2264" t="s">
        <v>2224</v>
      </c>
    </row>
    <row r="20" spans="2:13">
      <c r="B20" s="2264">
        <v>1986</v>
      </c>
      <c r="C20" s="2264">
        <v>8760</v>
      </c>
      <c r="D20" s="2265">
        <v>153583333</v>
      </c>
      <c r="E20" s="2264">
        <v>17.532</v>
      </c>
      <c r="F20" s="2264">
        <v>1.0469999999999999</v>
      </c>
      <c r="G20" s="2264">
        <v>1.0469999999999999</v>
      </c>
      <c r="H20" s="2264" t="s">
        <v>2362</v>
      </c>
      <c r="I20" s="2264" t="s">
        <v>2907</v>
      </c>
      <c r="J20" s="2264">
        <v>17.532</v>
      </c>
      <c r="K20" s="2264" t="s">
        <v>2224</v>
      </c>
    </row>
    <row r="21" spans="2:13">
      <c r="B21" s="2264">
        <v>1987</v>
      </c>
      <c r="C21" s="2264">
        <v>8760</v>
      </c>
      <c r="D21" s="2265">
        <v>168288000</v>
      </c>
      <c r="E21" s="2264">
        <v>19.210999999999999</v>
      </c>
      <c r="F21" s="2264">
        <v>1.679</v>
      </c>
      <c r="G21" s="2264">
        <v>1.679</v>
      </c>
      <c r="H21" s="2264" t="s">
        <v>2362</v>
      </c>
      <c r="I21" s="2264" t="s">
        <v>2907</v>
      </c>
      <c r="J21" s="2264">
        <v>19.210999999999999</v>
      </c>
      <c r="K21" s="2264" t="s">
        <v>2224</v>
      </c>
    </row>
    <row r="22" spans="2:13">
      <c r="B22" s="2264">
        <v>1988</v>
      </c>
      <c r="C22" s="2264">
        <v>8784</v>
      </c>
      <c r="D22" s="2265">
        <v>182256530</v>
      </c>
      <c r="E22" s="2264">
        <v>20.748999999999999</v>
      </c>
      <c r="F22" s="2264">
        <v>1.538</v>
      </c>
      <c r="G22" s="2264">
        <v>1.538</v>
      </c>
      <c r="H22" s="2264" t="s">
        <v>2362</v>
      </c>
      <c r="I22" s="2264" t="s">
        <v>2907</v>
      </c>
      <c r="J22" s="2264">
        <v>20.748999999999999</v>
      </c>
      <c r="K22" s="2264" t="s">
        <v>2224</v>
      </c>
    </row>
    <row r="23" spans="2:13">
      <c r="B23" s="2264">
        <v>1989</v>
      </c>
      <c r="C23" s="2264">
        <v>8760</v>
      </c>
      <c r="D23" s="2265">
        <v>175062875</v>
      </c>
      <c r="E23" s="2264">
        <v>19.984000000000002</v>
      </c>
      <c r="F23" s="2264">
        <v>-0.76400000000000001</v>
      </c>
      <c r="G23" s="2264">
        <v>0</v>
      </c>
      <c r="H23" s="2264" t="s">
        <v>2362</v>
      </c>
      <c r="I23" s="2264" t="s">
        <v>2907</v>
      </c>
      <c r="J23" s="2264">
        <v>19.984000000000002</v>
      </c>
      <c r="K23" s="2264" t="s">
        <v>2224</v>
      </c>
    </row>
    <row r="24" spans="2:13">
      <c r="B24" s="2264">
        <v>1990</v>
      </c>
      <c r="C24" s="2264">
        <v>8760</v>
      </c>
      <c r="D24" s="2265">
        <v>186118490</v>
      </c>
      <c r="E24" s="2264">
        <v>21.245999999999999</v>
      </c>
      <c r="F24" s="2264">
        <v>1.262</v>
      </c>
      <c r="G24" s="2264">
        <v>1.262</v>
      </c>
      <c r="H24" s="2264" t="s">
        <v>2362</v>
      </c>
      <c r="I24" s="2264" t="s">
        <v>2907</v>
      </c>
      <c r="J24" s="2264">
        <v>21.245999999999999</v>
      </c>
      <c r="K24" s="2264" t="s">
        <v>2224</v>
      </c>
    </row>
    <row r="25" spans="2:13">
      <c r="B25" s="2264">
        <v>1991</v>
      </c>
      <c r="C25" s="2264">
        <v>8760</v>
      </c>
      <c r="D25" s="2265">
        <v>184264840</v>
      </c>
      <c r="E25" s="2264">
        <v>21.035</v>
      </c>
      <c r="F25" s="2264">
        <v>-0.21199999999999999</v>
      </c>
      <c r="G25" s="2264">
        <v>0</v>
      </c>
      <c r="H25" s="2264" t="s">
        <v>2362</v>
      </c>
      <c r="I25" s="2264" t="s">
        <v>2907</v>
      </c>
      <c r="J25" s="2264">
        <v>21.035</v>
      </c>
      <c r="K25" s="2264" t="s">
        <v>2224</v>
      </c>
    </row>
    <row r="26" spans="2:13">
      <c r="B26" s="2264">
        <v>1992</v>
      </c>
      <c r="C26" s="2264">
        <v>8784</v>
      </c>
      <c r="D26" s="2265">
        <v>152663085</v>
      </c>
      <c r="E26" s="2264">
        <v>17.38</v>
      </c>
      <c r="F26" s="2264">
        <v>-3.6549999999999998</v>
      </c>
      <c r="G26" s="2264">
        <v>0</v>
      </c>
      <c r="H26" s="2264" t="s">
        <v>2362</v>
      </c>
      <c r="I26" s="2264" t="s">
        <v>2907</v>
      </c>
      <c r="J26" s="2264">
        <v>17.38</v>
      </c>
      <c r="K26" s="2264" t="s">
        <v>2224</v>
      </c>
    </row>
    <row r="27" spans="2:13">
      <c r="B27" s="2264">
        <v>1993</v>
      </c>
      <c r="C27" s="2264">
        <v>8760</v>
      </c>
      <c r="D27" s="2265">
        <v>159744313</v>
      </c>
      <c r="E27" s="2264">
        <v>18.236000000000001</v>
      </c>
      <c r="F27" s="2264">
        <v>0.85599999999999998</v>
      </c>
      <c r="G27" s="2264">
        <v>0.85599999999999998</v>
      </c>
      <c r="H27" s="2264" t="s">
        <v>2362</v>
      </c>
      <c r="I27" s="2264" t="s">
        <v>2907</v>
      </c>
      <c r="J27" s="2264">
        <v>18.236000000000001</v>
      </c>
      <c r="K27" s="2264" t="s">
        <v>2224</v>
      </c>
    </row>
    <row r="28" spans="2:13">
      <c r="B28" s="2264">
        <v>1994</v>
      </c>
      <c r="C28" s="2264">
        <v>8760</v>
      </c>
      <c r="D28" s="2265">
        <v>159674408</v>
      </c>
      <c r="E28" s="2264">
        <v>18.228000000000002</v>
      </c>
      <c r="F28" s="2264">
        <v>-8.0000000000000002E-3</v>
      </c>
      <c r="G28" s="2264">
        <v>0</v>
      </c>
      <c r="H28" s="2264" t="s">
        <v>2362</v>
      </c>
      <c r="I28" s="2264" t="s">
        <v>2907</v>
      </c>
      <c r="J28" s="2264">
        <v>18.228000000000002</v>
      </c>
      <c r="K28" s="2264" t="s">
        <v>2224</v>
      </c>
    </row>
    <row r="29" spans="2:13">
      <c r="B29" s="2264">
        <v>1995</v>
      </c>
      <c r="C29" s="2264">
        <v>8760</v>
      </c>
      <c r="D29" s="2265">
        <v>173246488</v>
      </c>
      <c r="E29" s="2268">
        <v>19.776996347031965</v>
      </c>
      <c r="F29" s="2268">
        <v>1.5493242009132402</v>
      </c>
      <c r="G29" s="2268">
        <v>1.5493242009132402</v>
      </c>
      <c r="H29" s="2264" t="s">
        <v>2362</v>
      </c>
      <c r="I29" s="2264" t="s">
        <v>2362</v>
      </c>
      <c r="J29" s="2268">
        <v>19.776996347031965</v>
      </c>
      <c r="K29" s="2264">
        <v>0</v>
      </c>
    </row>
    <row r="30" spans="2:13">
      <c r="B30" s="2264">
        <v>1996</v>
      </c>
      <c r="C30" s="2264">
        <v>8784</v>
      </c>
      <c r="D30" s="2265">
        <v>193810653</v>
      </c>
      <c r="E30" s="2268">
        <v>22.064054303278688</v>
      </c>
      <c r="F30" s="2268">
        <v>2.2870579562467235</v>
      </c>
      <c r="G30" s="2268">
        <v>2.2870579562467235</v>
      </c>
      <c r="H30" s="2264" t="s">
        <v>2362</v>
      </c>
      <c r="I30" s="2264" t="s">
        <v>2362</v>
      </c>
      <c r="J30" s="2268">
        <v>22.064054303278688</v>
      </c>
      <c r="K30" s="2264">
        <v>0</v>
      </c>
      <c r="M30" s="2264" t="s">
        <v>2906</v>
      </c>
    </row>
    <row r="31" spans="2:13">
      <c r="B31" s="2264">
        <v>1997</v>
      </c>
      <c r="C31" s="2264">
        <v>8760</v>
      </c>
      <c r="D31" s="2265">
        <v>208578992</v>
      </c>
      <c r="E31" s="2268">
        <v>23.810387214611875</v>
      </c>
      <c r="F31" s="2268">
        <v>1.7463329113331874</v>
      </c>
      <c r="G31" s="2268">
        <v>1.7463329113331874</v>
      </c>
      <c r="H31" s="2264" t="s">
        <v>2362</v>
      </c>
      <c r="I31" s="2264" t="s">
        <v>2362</v>
      </c>
      <c r="J31" s="2268">
        <v>23.810387214611875</v>
      </c>
      <c r="K31" s="2264">
        <v>0</v>
      </c>
    </row>
    <row r="32" spans="2:13">
      <c r="B32" s="2264">
        <v>1998</v>
      </c>
      <c r="C32" s="2264">
        <v>8760</v>
      </c>
      <c r="D32" s="2265">
        <v>219236074</v>
      </c>
      <c r="E32" s="2268">
        <v>25.026949086757991</v>
      </c>
      <c r="F32" s="2268">
        <v>1.2165618721461158</v>
      </c>
      <c r="G32" s="2268">
        <v>1.2165618721461158</v>
      </c>
      <c r="H32" s="2264" t="s">
        <v>2362</v>
      </c>
      <c r="I32" s="2264" t="s">
        <v>2362</v>
      </c>
      <c r="J32" s="2268">
        <v>25.026949086757991</v>
      </c>
      <c r="K32" s="2264">
        <v>0</v>
      </c>
    </row>
    <row r="33" spans="2:11">
      <c r="B33" s="2264">
        <v>1999</v>
      </c>
      <c r="C33" s="2264">
        <v>8760</v>
      </c>
      <c r="D33" s="2265">
        <v>234641514</v>
      </c>
      <c r="E33" s="2268">
        <v>26.78556095890411</v>
      </c>
      <c r="F33" s="2268">
        <v>1.758611872146119</v>
      </c>
      <c r="G33" s="2268">
        <v>1.758611872146119</v>
      </c>
      <c r="H33" s="2264" t="s">
        <v>2362</v>
      </c>
      <c r="I33" s="2264" t="s">
        <v>2362</v>
      </c>
      <c r="J33" s="2268">
        <v>26.78556095890411</v>
      </c>
      <c r="K33" s="2264">
        <v>0</v>
      </c>
    </row>
    <row r="34" spans="2:11">
      <c r="B34" s="2264">
        <v>2000</v>
      </c>
      <c r="C34" s="2264">
        <v>8784</v>
      </c>
      <c r="D34" s="2265">
        <v>247130960</v>
      </c>
      <c r="E34" s="2268">
        <v>28.134216757741349</v>
      </c>
      <c r="F34" s="2268">
        <v>1.348655798837239</v>
      </c>
      <c r="G34" s="2268">
        <v>1.348655798837239</v>
      </c>
      <c r="H34" s="2264" t="s">
        <v>2362</v>
      </c>
      <c r="I34" s="2264" t="s">
        <v>2362</v>
      </c>
      <c r="J34" s="2268">
        <v>28.134216757741349</v>
      </c>
      <c r="K34" s="2264">
        <v>0</v>
      </c>
    </row>
    <row r="35" spans="2:11">
      <c r="B35" s="2264">
        <v>2001</v>
      </c>
      <c r="C35" s="2264">
        <v>8760</v>
      </c>
      <c r="D35" s="2265">
        <v>259033838</v>
      </c>
      <c r="E35" s="2268">
        <v>29.570072831050226</v>
      </c>
      <c r="F35" s="2268">
        <v>1.4358560733088765</v>
      </c>
      <c r="G35" s="2268">
        <v>1.4358560733088765</v>
      </c>
      <c r="H35" s="2264" t="s">
        <v>2362</v>
      </c>
      <c r="I35" s="2264" t="s">
        <v>2362</v>
      </c>
      <c r="J35" s="2268">
        <v>29.570072831050226</v>
      </c>
      <c r="K35" s="2264">
        <v>0</v>
      </c>
    </row>
    <row r="36" spans="2:11">
      <c r="B36" s="2264">
        <v>2002</v>
      </c>
      <c r="C36" s="2264">
        <v>8760</v>
      </c>
      <c r="D36" s="2265">
        <v>323796934</v>
      </c>
      <c r="E36" s="2264">
        <v>36.963000000000001</v>
      </c>
      <c r="F36" s="2264">
        <v>7.3929999999999998</v>
      </c>
      <c r="G36" s="2264">
        <v>7.3929999999999998</v>
      </c>
      <c r="H36" s="2264" t="s">
        <v>2362</v>
      </c>
      <c r="I36" s="2264" t="s">
        <v>2907</v>
      </c>
      <c r="J36" s="2264">
        <v>36.963000000000001</v>
      </c>
      <c r="K36" s="2264" t="s">
        <v>2224</v>
      </c>
    </row>
    <row r="37" spans="2:11">
      <c r="B37" s="2264">
        <v>2003</v>
      </c>
      <c r="C37" s="2264">
        <v>8760</v>
      </c>
      <c r="D37" s="2265">
        <v>334444614</v>
      </c>
      <c r="E37" s="2264">
        <v>38.179000000000002</v>
      </c>
      <c r="F37" s="2264">
        <v>1.2150000000000001</v>
      </c>
      <c r="G37" s="2264">
        <v>1.2150000000000001</v>
      </c>
      <c r="H37" s="2264" t="s">
        <v>2362</v>
      </c>
      <c r="I37" s="2264" t="s">
        <v>2907</v>
      </c>
      <c r="J37" s="2264">
        <v>38.179000000000002</v>
      </c>
      <c r="K37" s="2264" t="s">
        <v>2224</v>
      </c>
    </row>
    <row r="38" spans="2:11">
      <c r="B38" s="2264">
        <v>2004</v>
      </c>
      <c r="C38" s="2264">
        <v>8784</v>
      </c>
      <c r="D38" s="2265">
        <v>343930412</v>
      </c>
      <c r="E38" s="2264">
        <v>39.154000000000003</v>
      </c>
      <c r="F38" s="2264">
        <v>0.97599999999999998</v>
      </c>
      <c r="G38" s="2264">
        <v>0.97599999999999998</v>
      </c>
      <c r="H38" s="2264" t="s">
        <v>2362</v>
      </c>
      <c r="I38" s="2264" t="s">
        <v>2907</v>
      </c>
      <c r="J38" s="2264">
        <v>39.154000000000003</v>
      </c>
      <c r="K38" s="2264" t="s">
        <v>2224</v>
      </c>
    </row>
    <row r="39" spans="2:11">
      <c r="B39" s="2264">
        <v>2005</v>
      </c>
      <c r="C39" s="2264">
        <v>8760</v>
      </c>
      <c r="D39" s="2265">
        <v>355022212</v>
      </c>
      <c r="E39" s="2264">
        <v>40.527999999999999</v>
      </c>
      <c r="F39" s="2264">
        <v>1.373</v>
      </c>
      <c r="G39" s="2264">
        <v>1.373</v>
      </c>
      <c r="H39" s="2264" t="s">
        <v>2362</v>
      </c>
      <c r="I39" s="2264" t="s">
        <v>2907</v>
      </c>
      <c r="J39" s="2264">
        <v>40.527999999999999</v>
      </c>
      <c r="K39" s="2264" t="s">
        <v>2224</v>
      </c>
    </row>
    <row r="40" spans="2:11">
      <c r="B40" s="2264">
        <v>2006</v>
      </c>
      <c r="C40" s="2264">
        <v>8760</v>
      </c>
      <c r="D40" s="2265">
        <v>354373413</v>
      </c>
      <c r="E40" s="2264">
        <v>40.454000000000001</v>
      </c>
      <c r="F40" s="2264">
        <v>-7.3999999999999996E-2</v>
      </c>
      <c r="G40" s="2264">
        <v>0</v>
      </c>
      <c r="H40" s="2264" t="s">
        <v>2362</v>
      </c>
      <c r="I40" s="2264" t="s">
        <v>2907</v>
      </c>
      <c r="J40" s="2264">
        <v>40.454000000000001</v>
      </c>
      <c r="K40" s="2264" t="s">
        <v>2224</v>
      </c>
    </row>
    <row r="41" spans="2:11">
      <c r="B41" s="2264">
        <v>2007</v>
      </c>
      <c r="C41" s="2264">
        <v>8760</v>
      </c>
      <c r="D41" s="2265">
        <v>354605446</v>
      </c>
      <c r="E41" s="2264">
        <v>40.479999999999997</v>
      </c>
      <c r="F41" s="2264">
        <v>2.5999999999999999E-2</v>
      </c>
      <c r="G41" s="2264">
        <v>2.5999999999999999E-2</v>
      </c>
      <c r="H41" s="2264" t="s">
        <v>2362</v>
      </c>
      <c r="I41" s="2264" t="s">
        <v>2907</v>
      </c>
      <c r="J41" s="2264">
        <v>40.479999999999997</v>
      </c>
      <c r="K41" s="2264" t="s">
        <v>2224</v>
      </c>
    </row>
    <row r="42" spans="2:11">
      <c r="B42" s="2264">
        <v>2008</v>
      </c>
      <c r="C42" s="2264">
        <v>8784</v>
      </c>
      <c r="D42" s="2265">
        <v>344955830</v>
      </c>
      <c r="E42" s="2264">
        <v>39.271000000000001</v>
      </c>
      <c r="F42" s="2264">
        <v>-1.2090000000000001</v>
      </c>
      <c r="G42" s="2264">
        <v>0</v>
      </c>
      <c r="H42" s="2264" t="s">
        <v>2362</v>
      </c>
      <c r="I42" s="2264" t="s">
        <v>2907</v>
      </c>
      <c r="J42" s="2264">
        <v>39.271000000000001</v>
      </c>
      <c r="K42" s="2264" t="s">
        <v>2224</v>
      </c>
    </row>
    <row r="43" spans="2:11">
      <c r="B43" s="2264">
        <v>2009</v>
      </c>
      <c r="C43" s="2264">
        <v>8760</v>
      </c>
      <c r="D43" s="2265">
        <v>318249766</v>
      </c>
      <c r="E43" s="2264">
        <v>36.33</v>
      </c>
      <c r="F43" s="2264">
        <v>-2.9409999999999998</v>
      </c>
      <c r="G43" s="2264">
        <v>0</v>
      </c>
      <c r="H43" s="2264" t="s">
        <v>2362</v>
      </c>
      <c r="I43" s="2264" t="s">
        <v>2907</v>
      </c>
      <c r="J43" s="2264">
        <v>36.33</v>
      </c>
      <c r="K43" s="2264" t="s">
        <v>2224</v>
      </c>
    </row>
    <row r="44" spans="2:11">
      <c r="B44" s="2264">
        <v>2010</v>
      </c>
      <c r="C44" s="2264">
        <v>8760</v>
      </c>
      <c r="D44" s="2265">
        <v>419454898</v>
      </c>
      <c r="E44" s="2264">
        <v>47.883000000000003</v>
      </c>
      <c r="F44" s="2264">
        <v>11.553000000000001</v>
      </c>
      <c r="G44" s="2264">
        <v>11.553000000000001</v>
      </c>
      <c r="H44" s="2264" t="s">
        <v>243</v>
      </c>
      <c r="I44" s="2264">
        <v>36.33</v>
      </c>
      <c r="J44" s="2264">
        <v>36.33</v>
      </c>
      <c r="K44" s="2264">
        <v>11.553000000000001</v>
      </c>
    </row>
    <row r="45" spans="2:11">
      <c r="B45" s="2264">
        <v>2011</v>
      </c>
      <c r="C45" s="2264">
        <v>8760</v>
      </c>
      <c r="D45" s="2265">
        <v>471529824</v>
      </c>
      <c r="E45" s="2264">
        <v>53.828000000000003</v>
      </c>
      <c r="F45" s="2264">
        <v>5.9450000000000003</v>
      </c>
      <c r="G45" s="2264">
        <v>5.9450000000000003</v>
      </c>
      <c r="H45" s="2264" t="s">
        <v>243</v>
      </c>
      <c r="I45" s="2264">
        <v>36.33</v>
      </c>
      <c r="J45" s="2264">
        <v>36.33</v>
      </c>
      <c r="K45" s="2264">
        <v>17.498000000000001</v>
      </c>
    </row>
    <row r="46" spans="2:11">
      <c r="B46" s="2264">
        <v>2012</v>
      </c>
      <c r="C46" s="2264">
        <v>8784</v>
      </c>
      <c r="D46" s="2265">
        <v>422021496</v>
      </c>
      <c r="E46" s="2264">
        <v>48.043999999999997</v>
      </c>
      <c r="F46" s="2264">
        <v>-5.7830000000000004</v>
      </c>
      <c r="G46" s="2264">
        <v>0</v>
      </c>
      <c r="H46" s="2264" t="s">
        <v>243</v>
      </c>
      <c r="I46" s="2264">
        <v>36.33</v>
      </c>
      <c r="J46" s="2264">
        <v>36.33</v>
      </c>
      <c r="K46" s="2264">
        <v>11.714</v>
      </c>
    </row>
    <row r="47" spans="2:11">
      <c r="B47" s="2264">
        <v>2013</v>
      </c>
      <c r="C47" s="2264">
        <v>8760</v>
      </c>
      <c r="D47" s="2265">
        <v>476653144</v>
      </c>
      <c r="E47" s="2264">
        <v>54.411999999999999</v>
      </c>
      <c r="F47" s="2264">
        <v>6.3680000000000003</v>
      </c>
      <c r="G47" s="2264">
        <v>6.3680000000000003</v>
      </c>
      <c r="H47" s="2264" t="s">
        <v>243</v>
      </c>
      <c r="I47" s="2264">
        <v>36.33</v>
      </c>
      <c r="J47" s="2264">
        <v>36.33</v>
      </c>
      <c r="K47" s="2264">
        <v>18.082999999999998</v>
      </c>
    </row>
    <row r="48" spans="2:11">
      <c r="B48" s="2264">
        <v>2014</v>
      </c>
      <c r="C48" s="2264">
        <v>8760</v>
      </c>
      <c r="D48" s="2265">
        <v>491146080</v>
      </c>
      <c r="E48" s="2264">
        <v>56.067</v>
      </c>
      <c r="F48" s="2264">
        <v>1.6539999999999999</v>
      </c>
      <c r="G48" s="2264">
        <v>1.6539999999999999</v>
      </c>
      <c r="H48" s="2264" t="s">
        <v>243</v>
      </c>
      <c r="I48" s="2264">
        <v>36.33</v>
      </c>
      <c r="J48" s="2264">
        <v>36.33</v>
      </c>
      <c r="K48" s="2264">
        <v>19.736999999999998</v>
      </c>
    </row>
    <row r="49" spans="2:13">
      <c r="B49" s="2264">
        <v>2015</v>
      </c>
      <c r="C49" s="2264">
        <v>8760</v>
      </c>
      <c r="D49" s="2265">
        <v>489189748</v>
      </c>
      <c r="E49" s="2264">
        <v>55.844000000000001</v>
      </c>
      <c r="F49" s="2264">
        <v>-0.223</v>
      </c>
      <c r="G49" s="2264">
        <v>0</v>
      </c>
      <c r="H49" s="2264" t="s">
        <v>243</v>
      </c>
      <c r="I49" s="2264">
        <v>36.33</v>
      </c>
      <c r="J49" s="2264">
        <v>36.33</v>
      </c>
      <c r="K49" s="2264">
        <v>19.513999999999999</v>
      </c>
    </row>
    <row r="50" spans="2:13">
      <c r="B50" s="2264">
        <v>2016</v>
      </c>
      <c r="C50" s="2264">
        <v>8784</v>
      </c>
      <c r="D50" s="2265">
        <v>486221058</v>
      </c>
      <c r="E50" s="2264">
        <v>55.353000000000002</v>
      </c>
      <c r="F50" s="2264">
        <v>-0.49099999999999999</v>
      </c>
      <c r="G50" s="2264">
        <v>0</v>
      </c>
      <c r="H50" s="2264" t="s">
        <v>243</v>
      </c>
      <c r="I50" s="2264">
        <v>36.33</v>
      </c>
      <c r="J50" s="2264">
        <v>36.33</v>
      </c>
      <c r="K50" s="2264">
        <v>19.023</v>
      </c>
    </row>
    <row r="51" spans="2:13">
      <c r="B51" s="2264">
        <v>2017</v>
      </c>
      <c r="C51" s="2264">
        <v>8760</v>
      </c>
      <c r="D51" s="2265">
        <v>490646056</v>
      </c>
      <c r="E51" s="2264">
        <v>56.01</v>
      </c>
      <c r="F51" s="2264">
        <v>0.65700000000000003</v>
      </c>
      <c r="G51" s="2264">
        <v>0.65700000000000003</v>
      </c>
      <c r="H51" s="2264" t="s">
        <v>243</v>
      </c>
      <c r="I51" s="2264">
        <v>36.33</v>
      </c>
      <c r="J51" s="2264">
        <v>36.33</v>
      </c>
      <c r="K51" s="2264">
        <v>19.68</v>
      </c>
    </row>
    <row r="52" spans="2:13">
      <c r="B52" s="2264">
        <v>2018</v>
      </c>
      <c r="C52" s="2264">
        <v>8760</v>
      </c>
      <c r="D52" s="2265">
        <v>488960166</v>
      </c>
      <c r="E52" s="2264">
        <v>55.817</v>
      </c>
      <c r="F52" s="2264">
        <v>-0.192</v>
      </c>
      <c r="G52" s="2264">
        <v>0</v>
      </c>
      <c r="H52" s="2264" t="s">
        <v>243</v>
      </c>
      <c r="I52" s="2264">
        <v>36.33</v>
      </c>
      <c r="J52" s="2264">
        <v>36.33</v>
      </c>
      <c r="K52" s="2264">
        <v>19.486999999999998</v>
      </c>
    </row>
    <row r="53" spans="2:13">
      <c r="B53" s="2264">
        <v>2019</v>
      </c>
      <c r="C53" s="2264">
        <v>8760</v>
      </c>
      <c r="D53" s="2265">
        <v>458365684</v>
      </c>
      <c r="E53" s="2264">
        <v>52.325000000000003</v>
      </c>
      <c r="F53" s="2264">
        <v>-3.4929999999999999</v>
      </c>
      <c r="G53" s="2264">
        <v>0</v>
      </c>
      <c r="H53" s="2264" t="s">
        <v>243</v>
      </c>
      <c r="I53" s="2264">
        <v>36.33</v>
      </c>
      <c r="J53" s="2264">
        <v>36.33</v>
      </c>
      <c r="K53" s="2264">
        <v>15.994999999999999</v>
      </c>
    </row>
    <row r="54" spans="2:13">
      <c r="B54" s="2264">
        <v>2020</v>
      </c>
      <c r="C54" s="2264">
        <v>8784</v>
      </c>
      <c r="D54" s="2265">
        <v>416767664</v>
      </c>
      <c r="E54" s="2268">
        <v>47.446227686703097</v>
      </c>
      <c r="F54" s="2268">
        <v>-4.8786220849864037</v>
      </c>
      <c r="G54" s="2264">
        <v>0</v>
      </c>
      <c r="H54" s="2264" t="s">
        <v>243</v>
      </c>
      <c r="I54" s="2269">
        <v>36.329881963470321</v>
      </c>
      <c r="J54" s="2269">
        <v>36.329881963470321</v>
      </c>
      <c r="K54" s="2268">
        <v>11.116345723232776</v>
      </c>
    </row>
    <row r="55" spans="2:13">
      <c r="B55" s="2264">
        <v>2021</v>
      </c>
      <c r="C55" s="2264">
        <v>8760</v>
      </c>
      <c r="D55" s="2265">
        <v>460919478</v>
      </c>
      <c r="E55" s="2268">
        <v>52.616378767123287</v>
      </c>
      <c r="F55" s="2268">
        <v>5.1701510804201902</v>
      </c>
      <c r="G55" s="2268">
        <v>5.1701510804201902</v>
      </c>
      <c r="H55" s="2264" t="s">
        <v>243</v>
      </c>
      <c r="I55" s="2269">
        <v>36.329881963470321</v>
      </c>
      <c r="J55" s="2269">
        <v>36.329881963470321</v>
      </c>
      <c r="K55" s="2268">
        <v>16.286496803652966</v>
      </c>
    </row>
    <row r="56" spans="2:13">
      <c r="B56" s="2264">
        <v>2022</v>
      </c>
      <c r="C56" s="2265">
        <f>8760</f>
        <v>8760</v>
      </c>
      <c r="D56" s="2265">
        <f>'[8]Pivot_Lg WA 1'!F48</f>
        <v>448381610</v>
      </c>
      <c r="E56" s="2270">
        <f>D56/C56/1000</f>
        <v>51.185115296803652</v>
      </c>
      <c r="F56" s="2268">
        <f>E56-E55</f>
        <v>-1.4312634703196352</v>
      </c>
      <c r="G56" s="2271">
        <f>MAX(0,MIN(E56-E55,E56-$B$7))</f>
        <v>0</v>
      </c>
      <c r="H56" s="2264" t="str">
        <f>IF(H55="NLSL",H55,IF(G56&gt;=10,'[8]Sheet 1'!$A$2,'[8]Sheet 1'!$A$3))</f>
        <v>NLSL</v>
      </c>
      <c r="I56" s="2272">
        <f>IF(ISNUMBER(I55),I55,IF(G56&gt;=10,E55,"N/A"))</f>
        <v>36.329881963470321</v>
      </c>
      <c r="J56" s="2273">
        <f>MIN(E56,I56)</f>
        <v>36.329881963470321</v>
      </c>
      <c r="K56" s="2273">
        <f>E56-J56</f>
        <v>14.855233333333331</v>
      </c>
    </row>
    <row r="57" spans="2:13">
      <c r="B57" s="2264">
        <v>2023</v>
      </c>
      <c r="C57" s="2265">
        <f>8760</f>
        <v>8760</v>
      </c>
      <c r="D57" s="2265">
        <f>'[8]Pivot_Lg WA 1'!F49</f>
        <v>429865176</v>
      </c>
      <c r="E57" s="2270">
        <f>D57/C57/1000</f>
        <v>49.071367123287672</v>
      </c>
      <c r="F57" s="2268">
        <f>E57-E56</f>
        <v>-2.1137481735159795</v>
      </c>
      <c r="G57" s="2271">
        <f>MAX(0,MIN(E57-E56,E57-$B$7))</f>
        <v>0</v>
      </c>
      <c r="H57" s="2264" t="str">
        <f>IF(H56="NLSL",H56,IF(G57&gt;=10,'[8]Sheet 1'!$A$2,'[8]Sheet 1'!$A$3))</f>
        <v>NLSL</v>
      </c>
      <c r="I57" s="2272">
        <f>IF(ISNUMBER(I56),I56,IF(G57&gt;=10,E56,"N/A"))</f>
        <v>36.329881963470321</v>
      </c>
      <c r="J57" s="2273">
        <f>MIN(E57,I57)</f>
        <v>36.329881963470321</v>
      </c>
      <c r="K57" s="2273">
        <f>E57-J57</f>
        <v>12.741485159817351</v>
      </c>
    </row>
    <row r="59" spans="2:13">
      <c r="B59" s="2274" t="s">
        <v>3065</v>
      </c>
      <c r="C59" s="2275">
        <v>8760</v>
      </c>
      <c r="D59" s="2276">
        <v>428041270</v>
      </c>
      <c r="E59" s="2275">
        <v>48.863</v>
      </c>
      <c r="F59" s="2275"/>
      <c r="G59" s="2275"/>
      <c r="H59" s="2275" t="s">
        <v>243</v>
      </c>
      <c r="I59" s="2275">
        <v>36.33</v>
      </c>
      <c r="J59" s="2275">
        <v>36.33</v>
      </c>
      <c r="K59" s="2275">
        <v>12.532999999999999</v>
      </c>
      <c r="L59" s="2277">
        <v>109791.504</v>
      </c>
      <c r="M59" s="2278" t="s">
        <v>2906</v>
      </c>
    </row>
    <row r="61" spans="2:13">
      <c r="B61" s="2264" t="s">
        <v>3067</v>
      </c>
    </row>
    <row r="63" spans="2:13">
      <c r="B63" s="2264" t="s">
        <v>2905</v>
      </c>
    </row>
    <row r="64" spans="2:13">
      <c r="B64" s="2264" t="s">
        <v>2904</v>
      </c>
    </row>
  </sheetData>
  <sheetProtection algorithmName="SHA-512" hashValue="5hh6P5oXdhMB2/rmlfny6pFbVj3CjgbCy/WdymvLVnNiprc3NJmi2IhfwDc5ZwDRWGUx92FOTdPKksDJnS1xIA==" saltValue="sGNAaHdtAbJNKY4uogBLPQ==" spinCount="100000" sheet="1" objects="1" scenarios="1" selectLockedCells="1" selectUnlockedCells="1"/>
  <mergeCells count="1">
    <mergeCell ref="B5:D5"/>
  </mergeCells>
  <pageMargins left="0.7" right="0.7" top="0.75" bottom="0.75" header="0.3" footer="0.3"/>
  <pageSetup orientation="portrait" r:id="rId1"/>
  <customProperties>
    <customPr name="xxe4aPID" r:id="rId2"/>
  </customProperties>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7D702-7CD3-42FC-9A22-507A1C14CF46}">
  <sheetPr codeName="Sheet42"/>
  <dimension ref="B2:Q44"/>
  <sheetViews>
    <sheetView workbookViewId="0">
      <selection activeCell="J28" sqref="J28"/>
    </sheetView>
  </sheetViews>
  <sheetFormatPr defaultRowHeight="15.75"/>
  <cols>
    <col min="2" max="15" width="14.625" customWidth="1"/>
    <col min="19" max="19" width="12.625" customWidth="1"/>
    <col min="20" max="20" width="10.875" bestFit="1" customWidth="1"/>
  </cols>
  <sheetData>
    <row r="2" spans="2:14">
      <c r="B2" t="s">
        <v>2930</v>
      </c>
    </row>
    <row r="3" spans="2:14">
      <c r="B3" t="s">
        <v>2936</v>
      </c>
    </row>
    <row r="5" spans="2:14">
      <c r="B5" s="2338" t="s">
        <v>2929</v>
      </c>
      <c r="C5" s="2279"/>
      <c r="D5" s="2279"/>
      <c r="H5" t="s">
        <v>2935</v>
      </c>
    </row>
    <row r="7" spans="2:14">
      <c r="B7">
        <v>100</v>
      </c>
      <c r="C7" t="s">
        <v>2927</v>
      </c>
    </row>
    <row r="9" spans="2:14">
      <c r="B9" s="15" t="s">
        <v>2649</v>
      </c>
      <c r="C9" s="15" t="s">
        <v>2926</v>
      </c>
      <c r="D9" s="15" t="s">
        <v>2925</v>
      </c>
      <c r="E9" s="15" t="s">
        <v>2301</v>
      </c>
      <c r="F9" s="15" t="s">
        <v>2924</v>
      </c>
      <c r="G9" s="15" t="s">
        <v>2923</v>
      </c>
      <c r="H9" s="15"/>
      <c r="I9" s="15" t="s">
        <v>2922</v>
      </c>
      <c r="J9" s="15" t="s">
        <v>2921</v>
      </c>
      <c r="K9" s="15" t="s">
        <v>2920</v>
      </c>
      <c r="L9" s="15" t="s">
        <v>2919</v>
      </c>
      <c r="M9" s="1070"/>
      <c r="N9" s="1070"/>
    </row>
    <row r="10" spans="2:14">
      <c r="B10" s="2101" t="s">
        <v>2918</v>
      </c>
      <c r="C10" s="2101" t="s">
        <v>2917</v>
      </c>
      <c r="D10" s="2101" t="s">
        <v>2916</v>
      </c>
      <c r="E10" s="2101" t="s">
        <v>2915</v>
      </c>
      <c r="F10" s="2101" t="s">
        <v>2914</v>
      </c>
      <c r="G10" s="2101" t="s">
        <v>2913</v>
      </c>
      <c r="H10" s="2101" t="s">
        <v>2934</v>
      </c>
      <c r="I10" s="2101" t="s">
        <v>2912</v>
      </c>
      <c r="J10" s="2101" t="s">
        <v>2911</v>
      </c>
      <c r="K10" s="2101" t="s">
        <v>2910</v>
      </c>
      <c r="L10" s="2101" t="s">
        <v>2909</v>
      </c>
      <c r="M10" s="2101"/>
      <c r="N10" s="2101"/>
    </row>
    <row r="12" spans="2:14">
      <c r="B12" t="s">
        <v>97</v>
      </c>
      <c r="C12" t="s">
        <v>97</v>
      </c>
      <c r="D12" t="s">
        <v>97</v>
      </c>
      <c r="E12" t="s">
        <v>97</v>
      </c>
      <c r="F12" t="s">
        <v>97</v>
      </c>
      <c r="G12" t="s">
        <v>97</v>
      </c>
      <c r="H12" t="s">
        <v>97</v>
      </c>
      <c r="I12" t="s">
        <v>97</v>
      </c>
      <c r="J12" t="s">
        <v>97</v>
      </c>
      <c r="K12" t="s">
        <v>97</v>
      </c>
      <c r="M12" t="s">
        <v>2933</v>
      </c>
    </row>
    <row r="13" spans="2:14">
      <c r="B13">
        <v>2008</v>
      </c>
      <c r="C13">
        <v>8760</v>
      </c>
      <c r="D13">
        <v>0</v>
      </c>
      <c r="E13">
        <v>0</v>
      </c>
      <c r="F13">
        <v>0</v>
      </c>
      <c r="G13">
        <v>0</v>
      </c>
      <c r="H13" t="s">
        <v>2362</v>
      </c>
      <c r="I13" t="s">
        <v>2907</v>
      </c>
      <c r="J13" t="s">
        <v>2224</v>
      </c>
      <c r="K13" t="s">
        <v>2224</v>
      </c>
      <c r="M13" t="s">
        <v>2932</v>
      </c>
    </row>
    <row r="14" spans="2:14">
      <c r="B14">
        <v>2009</v>
      </c>
      <c r="C14">
        <v>8760</v>
      </c>
      <c r="D14" s="584">
        <v>880710000</v>
      </c>
      <c r="E14">
        <v>100.538</v>
      </c>
      <c r="F14">
        <v>100.538</v>
      </c>
      <c r="G14">
        <v>0.53800000000000003</v>
      </c>
      <c r="H14" t="s">
        <v>2362</v>
      </c>
      <c r="I14" t="s">
        <v>2907</v>
      </c>
      <c r="J14">
        <v>100.538</v>
      </c>
      <c r="K14" t="s">
        <v>2224</v>
      </c>
    </row>
    <row r="15" spans="2:14">
      <c r="B15">
        <v>2010</v>
      </c>
      <c r="C15">
        <v>8760</v>
      </c>
      <c r="D15" s="584">
        <v>888640740</v>
      </c>
      <c r="E15">
        <v>101.443</v>
      </c>
      <c r="F15">
        <v>0.90500000000000003</v>
      </c>
      <c r="G15">
        <v>0.90500000000000003</v>
      </c>
      <c r="H15" t="s">
        <v>2362</v>
      </c>
      <c r="I15" t="s">
        <v>2907</v>
      </c>
      <c r="J15">
        <v>101.443</v>
      </c>
      <c r="K15" t="s">
        <v>2224</v>
      </c>
    </row>
    <row r="16" spans="2:14">
      <c r="B16">
        <v>2011</v>
      </c>
      <c r="C16">
        <v>8760</v>
      </c>
      <c r="D16" s="584">
        <v>902802400</v>
      </c>
      <c r="E16">
        <v>103.06</v>
      </c>
      <c r="F16">
        <v>1.617</v>
      </c>
      <c r="G16">
        <v>1.617</v>
      </c>
      <c r="H16" t="s">
        <v>2362</v>
      </c>
      <c r="I16" t="s">
        <v>2907</v>
      </c>
      <c r="J16">
        <v>103.06</v>
      </c>
      <c r="K16" t="s">
        <v>2224</v>
      </c>
    </row>
    <row r="17" spans="2:17">
      <c r="B17">
        <v>2012</v>
      </c>
      <c r="C17">
        <v>8784</v>
      </c>
      <c r="D17" s="584">
        <v>865451570</v>
      </c>
      <c r="E17">
        <v>98.525999999999996</v>
      </c>
      <c r="F17">
        <v>-4.5339999999999998</v>
      </c>
      <c r="G17">
        <v>0</v>
      </c>
      <c r="H17" t="s">
        <v>2362</v>
      </c>
      <c r="I17" t="s">
        <v>2907</v>
      </c>
      <c r="J17">
        <v>98.525999999999996</v>
      </c>
      <c r="K17" t="s">
        <v>2224</v>
      </c>
    </row>
    <row r="18" spans="2:17">
      <c r="B18">
        <v>2013</v>
      </c>
      <c r="C18">
        <v>8760</v>
      </c>
      <c r="D18" s="584">
        <v>803278510</v>
      </c>
      <c r="E18">
        <v>91.697999999999993</v>
      </c>
      <c r="F18">
        <v>-6.827</v>
      </c>
      <c r="G18">
        <v>0</v>
      </c>
      <c r="H18" t="s">
        <v>2362</v>
      </c>
      <c r="I18" t="s">
        <v>2907</v>
      </c>
      <c r="J18">
        <v>91.697999999999993</v>
      </c>
      <c r="K18" t="s">
        <v>2224</v>
      </c>
    </row>
    <row r="19" spans="2:17">
      <c r="B19">
        <v>2014</v>
      </c>
      <c r="C19">
        <v>8760</v>
      </c>
      <c r="D19" s="584">
        <v>438297380</v>
      </c>
      <c r="E19">
        <v>50.033999999999999</v>
      </c>
      <c r="F19">
        <v>-41.664999999999999</v>
      </c>
      <c r="G19">
        <v>0</v>
      </c>
      <c r="H19" t="s">
        <v>2362</v>
      </c>
      <c r="I19" t="s">
        <v>2907</v>
      </c>
      <c r="J19">
        <v>50.033999999999999</v>
      </c>
      <c r="K19" t="s">
        <v>2224</v>
      </c>
    </row>
    <row r="20" spans="2:17">
      <c r="B20">
        <v>2015</v>
      </c>
      <c r="C20">
        <v>8760</v>
      </c>
      <c r="D20" s="584">
        <v>460578020</v>
      </c>
      <c r="E20">
        <v>52.576999999999998</v>
      </c>
      <c r="F20">
        <v>2.5430000000000001</v>
      </c>
      <c r="G20">
        <v>0</v>
      </c>
      <c r="H20" t="s">
        <v>2362</v>
      </c>
      <c r="I20" t="s">
        <v>2907</v>
      </c>
      <c r="J20">
        <v>52.576999999999998</v>
      </c>
      <c r="K20" t="s">
        <v>2224</v>
      </c>
    </row>
    <row r="21" spans="2:17">
      <c r="B21">
        <v>2016</v>
      </c>
      <c r="C21">
        <v>8784</v>
      </c>
      <c r="D21" s="584">
        <v>377218450</v>
      </c>
      <c r="E21">
        <v>42.944000000000003</v>
      </c>
      <c r="F21">
        <v>-9.6340000000000003</v>
      </c>
      <c r="G21">
        <v>0</v>
      </c>
      <c r="H21" t="s">
        <v>2362</v>
      </c>
      <c r="I21" t="s">
        <v>2907</v>
      </c>
      <c r="J21">
        <v>42.944000000000003</v>
      </c>
      <c r="K21" t="s">
        <v>2224</v>
      </c>
    </row>
    <row r="22" spans="2:17">
      <c r="B22">
        <v>2017</v>
      </c>
      <c r="C22">
        <v>8760</v>
      </c>
      <c r="D22" s="584">
        <v>408286020</v>
      </c>
      <c r="E22">
        <v>46.607999999999997</v>
      </c>
      <c r="F22">
        <v>3.6640000000000001</v>
      </c>
      <c r="G22">
        <v>0</v>
      </c>
      <c r="H22" t="s">
        <v>2362</v>
      </c>
      <c r="I22" t="s">
        <v>2907</v>
      </c>
      <c r="J22">
        <v>46.607999999999997</v>
      </c>
      <c r="K22" t="s">
        <v>2224</v>
      </c>
    </row>
    <row r="23" spans="2:17">
      <c r="B23">
        <v>2018</v>
      </c>
      <c r="C23">
        <v>8760</v>
      </c>
      <c r="D23" s="584">
        <v>472968870</v>
      </c>
      <c r="E23">
        <v>53.991999999999997</v>
      </c>
      <c r="F23">
        <v>7.3840000000000003</v>
      </c>
      <c r="G23">
        <v>0</v>
      </c>
      <c r="H23" t="s">
        <v>2362</v>
      </c>
      <c r="I23" t="s">
        <v>2907</v>
      </c>
      <c r="J23">
        <v>53.991999999999997</v>
      </c>
      <c r="K23" t="s">
        <v>2224</v>
      </c>
    </row>
    <row r="24" spans="2:17">
      <c r="B24">
        <v>2019</v>
      </c>
      <c r="C24">
        <v>8760</v>
      </c>
      <c r="D24" s="584">
        <v>662126520</v>
      </c>
      <c r="E24">
        <v>75.584999999999994</v>
      </c>
      <c r="F24">
        <v>21.593</v>
      </c>
      <c r="G24">
        <v>0</v>
      </c>
      <c r="H24" t="s">
        <v>2362</v>
      </c>
      <c r="I24" t="s">
        <v>2907</v>
      </c>
      <c r="J24">
        <v>75.584999999999994</v>
      </c>
      <c r="K24" t="s">
        <v>2224</v>
      </c>
    </row>
    <row r="25" spans="2:17">
      <c r="B25">
        <v>2020</v>
      </c>
      <c r="C25">
        <v>8784</v>
      </c>
      <c r="D25" s="584">
        <v>806591310</v>
      </c>
      <c r="E25" s="2118">
        <v>91.825058060109299</v>
      </c>
      <c r="F25" s="2118">
        <v>16.239838882027115</v>
      </c>
      <c r="G25">
        <v>0</v>
      </c>
      <c r="H25" t="s">
        <v>2362</v>
      </c>
      <c r="I25" t="s">
        <v>2362</v>
      </c>
      <c r="J25" s="2118">
        <v>91.825058060109299</v>
      </c>
      <c r="K25">
        <v>0</v>
      </c>
    </row>
    <row r="26" spans="2:17">
      <c r="B26">
        <v>2021</v>
      </c>
      <c r="C26">
        <v>8760</v>
      </c>
      <c r="D26" s="584">
        <v>790007139</v>
      </c>
      <c r="E26" s="2118">
        <v>90.183463356164381</v>
      </c>
      <c r="F26" s="2118">
        <v>-1.6415947039449179</v>
      </c>
      <c r="G26">
        <v>0</v>
      </c>
      <c r="H26" t="s">
        <v>2362</v>
      </c>
      <c r="I26" t="s">
        <v>2362</v>
      </c>
      <c r="J26" s="2118">
        <v>90.183463356164381</v>
      </c>
      <c r="K26">
        <v>0</v>
      </c>
    </row>
    <row r="27" spans="2:17">
      <c r="B27">
        <v>2022</v>
      </c>
      <c r="C27">
        <v>8760</v>
      </c>
      <c r="D27" s="584">
        <v>827444787.60000002</v>
      </c>
      <c r="E27" s="2118">
        <v>94.45716753424658</v>
      </c>
      <c r="F27" s="2118">
        <v>4.2737041780821983</v>
      </c>
      <c r="G27">
        <v>0</v>
      </c>
      <c r="H27" t="s">
        <v>2362</v>
      </c>
      <c r="I27" t="s">
        <v>2362</v>
      </c>
      <c r="J27" s="2118">
        <v>94.45716753424658</v>
      </c>
      <c r="K27">
        <v>0</v>
      </c>
    </row>
    <row r="28" spans="2:17">
      <c r="B28">
        <v>2023</v>
      </c>
      <c r="C28">
        <v>8760</v>
      </c>
      <c r="D28" s="584">
        <v>814453666.16000009</v>
      </c>
      <c r="E28" s="2118">
        <v>92.974162803652973</v>
      </c>
      <c r="F28" s="2118">
        <v>-1.4830047305936063</v>
      </c>
      <c r="G28">
        <v>0</v>
      </c>
      <c r="H28" t="s">
        <v>2362</v>
      </c>
      <c r="I28" t="s">
        <v>2362</v>
      </c>
      <c r="J28" s="2118">
        <v>92.974162803652973</v>
      </c>
      <c r="K28">
        <v>0</v>
      </c>
    </row>
    <row r="30" spans="2:17">
      <c r="B30" s="2144" t="s">
        <v>3066</v>
      </c>
      <c r="C30" s="2111">
        <v>8760</v>
      </c>
      <c r="D30" s="2112">
        <v>811437774</v>
      </c>
      <c r="E30" s="2111">
        <v>92.63</v>
      </c>
      <c r="F30" s="2111"/>
      <c r="G30" s="2111"/>
      <c r="H30" s="2111" t="s">
        <v>2362</v>
      </c>
      <c r="I30" s="2111" t="s">
        <v>2907</v>
      </c>
      <c r="J30" s="2111">
        <v>92.63</v>
      </c>
      <c r="K30" s="2111">
        <f>E30-J30</f>
        <v>0</v>
      </c>
      <c r="L30" s="2109">
        <f>C30*K30</f>
        <v>0</v>
      </c>
      <c r="M30" s="2145" t="s">
        <v>2906</v>
      </c>
      <c r="N30" s="2111"/>
      <c r="O30" s="2111"/>
      <c r="P30" s="2111"/>
      <c r="Q30" s="2110"/>
    </row>
    <row r="32" spans="2:17">
      <c r="B32" s="1211" t="s">
        <v>3067</v>
      </c>
    </row>
    <row r="34" spans="2:3">
      <c r="B34" s="1211" t="s">
        <v>2905</v>
      </c>
    </row>
    <row r="35" spans="2:3">
      <c r="B35" s="1211" t="s">
        <v>2931</v>
      </c>
    </row>
    <row r="44" spans="2:3">
      <c r="C44" s="1211" t="s">
        <v>3063</v>
      </c>
    </row>
  </sheetData>
  <mergeCells count="1">
    <mergeCell ref="B5:D5"/>
  </mergeCells>
  <pageMargins left="0.7" right="0.7" top="0.75" bottom="0.75" header="0.3" footer="0.3"/>
  <pageSetup orientation="portrait" r:id="rId1"/>
  <customProperties>
    <customPr name="xxe4aPID" r:id="rId2"/>
  </customPropertie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dimension ref="A1:S89"/>
  <sheetViews>
    <sheetView topLeftCell="A54" zoomScale="90" zoomScaleNormal="90" zoomScaleSheetLayoutView="75" workbookViewId="0">
      <selection activeCell="H49" sqref="H49"/>
    </sheetView>
  </sheetViews>
  <sheetFormatPr defaultColWidth="8" defaultRowHeight="12.75"/>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c r="A1" s="100" t="s">
        <v>54</v>
      </c>
      <c r="B1" s="101"/>
      <c r="C1" s="102"/>
      <c r="D1" s="103"/>
      <c r="E1" s="102"/>
      <c r="F1" s="118"/>
      <c r="G1" s="119"/>
      <c r="M1" s="838" t="s">
        <v>742</v>
      </c>
      <c r="R1" s="839">
        <f>R46</f>
        <v>0</v>
      </c>
    </row>
    <row r="2" spans="1:19" ht="15.75" customHeight="1">
      <c r="A2" s="104" t="s">
        <v>56</v>
      </c>
      <c r="B2" s="83"/>
      <c r="C2" s="94"/>
      <c r="D2" s="97"/>
      <c r="E2" s="94"/>
      <c r="F2" s="120"/>
      <c r="G2" s="121"/>
      <c r="M2" s="838" t="s">
        <v>119</v>
      </c>
      <c r="R2" s="839">
        <f>E46</f>
        <v>1613875938</v>
      </c>
    </row>
    <row r="3" spans="1:19" ht="15.75" customHeight="1">
      <c r="A3" s="2340" t="s">
        <v>723</v>
      </c>
      <c r="B3" s="2292"/>
      <c r="C3" s="2292"/>
      <c r="D3" s="2292"/>
      <c r="E3" s="2292"/>
      <c r="F3" s="2292"/>
      <c r="G3" s="2293"/>
      <c r="M3" s="838" t="s">
        <v>743</v>
      </c>
      <c r="R3" s="840">
        <f>IF(R2=0,0,R1/R2)</f>
        <v>0</v>
      </c>
    </row>
    <row r="4" spans="1:19" ht="15.75" customHeight="1" thickBot="1">
      <c r="A4" s="1268"/>
      <c r="B4" s="3"/>
      <c r="C4" s="94"/>
      <c r="D4" s="97"/>
      <c r="E4" s="94"/>
      <c r="F4" s="120"/>
      <c r="G4" s="121"/>
      <c r="M4" s="838" t="s">
        <v>246</v>
      </c>
      <c r="R4" s="840">
        <f>IF(R2=0,0,(R2-R1)/R2)</f>
        <v>1</v>
      </c>
    </row>
    <row r="5" spans="1:19" ht="15.75" customHeight="1">
      <c r="A5" s="1381" t="s">
        <v>699</v>
      </c>
      <c r="B5" s="502" t="s">
        <v>576</v>
      </c>
      <c r="C5" s="2355" t="str">
        <f>'Sch 1- Rate Base '!$E$5</f>
        <v>Utility Name</v>
      </c>
      <c r="D5" s="2356"/>
      <c r="E5" s="2363"/>
      <c r="F5" s="120"/>
      <c r="G5" s="121"/>
      <c r="M5" s="838"/>
    </row>
    <row r="6" spans="1:19" ht="15.75" customHeight="1">
      <c r="A6" s="1382" t="s">
        <v>700</v>
      </c>
      <c r="B6" s="502" t="s">
        <v>578</v>
      </c>
      <c r="C6" s="2357">
        <f>'Sch 1- Rate Base '!$E$6</f>
        <v>2023</v>
      </c>
      <c r="D6" s="2358"/>
      <c r="E6" s="2364"/>
      <c r="F6" s="624"/>
      <c r="G6" s="121"/>
      <c r="M6" s="838" t="s">
        <v>744</v>
      </c>
      <c r="R6" s="1546">
        <f>'Above-RHWM_Base_Calc'!AA33+'Above-RHWM_Base_Calc'!AA34</f>
        <v>0</v>
      </c>
    </row>
    <row r="7" spans="1:19" ht="15.75" customHeight="1" thickBot="1">
      <c r="A7" s="105"/>
      <c r="B7" s="502" t="s">
        <v>579</v>
      </c>
      <c r="C7" s="2359">
        <f>'Sch 1- Rate Base '!$E$7</f>
        <v>45446</v>
      </c>
      <c r="D7" s="2361"/>
      <c r="E7" s="2362"/>
      <c r="F7" s="624"/>
      <c r="G7" s="121"/>
      <c r="M7" s="838" t="s">
        <v>248</v>
      </c>
      <c r="R7" s="839">
        <f>'Sch 3 - Expenses'!H17+'Sch 3 - Expenses'!H18+'Sch 3 - Expenses'!H21+'Sch 3 - Expenses'!H22+'Sch 3 - Expenses'!H24+'Sch 3 - Expenses'!H25+'Sch 3 - Expenses'!H28+'Sch 3 - Expenses'!H29</f>
        <v>67903621</v>
      </c>
    </row>
    <row r="8" spans="1:19" ht="15.75" customHeight="1">
      <c r="A8" s="105"/>
      <c r="B8" s="3"/>
      <c r="C8" s="94"/>
      <c r="D8" s="97"/>
      <c r="E8" s="94"/>
      <c r="F8" s="120"/>
      <c r="G8" s="121"/>
      <c r="M8" s="838" t="s">
        <v>745</v>
      </c>
      <c r="R8" s="840">
        <f>IF(R7=0,0,R6/R7)</f>
        <v>0</v>
      </c>
    </row>
    <row r="9" spans="1:19" ht="19.5">
      <c r="A9" s="538" t="s">
        <v>335</v>
      </c>
      <c r="B9" s="537"/>
      <c r="C9" s="94"/>
      <c r="D9" s="97"/>
      <c r="E9" s="94"/>
      <c r="F9" s="120"/>
      <c r="G9" s="121"/>
      <c r="M9" s="838" t="s">
        <v>250</v>
      </c>
      <c r="R9" s="840">
        <f>IF(R7=0,0,(R7-R6)/R7)</f>
        <v>1</v>
      </c>
    </row>
    <row r="10" spans="1:19" ht="5.25" customHeight="1" thickBot="1">
      <c r="A10" s="133"/>
      <c r="B10" s="134"/>
      <c r="C10" s="135"/>
      <c r="D10" s="136"/>
      <c r="E10" s="135"/>
      <c r="F10" s="137"/>
      <c r="G10" s="138"/>
    </row>
    <row r="11" spans="1:19" ht="15.75">
      <c r="A11" s="107"/>
      <c r="B11" s="108"/>
      <c r="D11" s="109"/>
      <c r="E11" s="109"/>
      <c r="F11" s="109"/>
      <c r="G11" s="110"/>
      <c r="Q11" s="2399" t="s">
        <v>105</v>
      </c>
      <c r="R11" s="2399"/>
      <c r="S11" s="2399"/>
    </row>
    <row r="12" spans="1:19" ht="18.75">
      <c r="A12" s="122" t="s">
        <v>521</v>
      </c>
      <c r="B12" s="128"/>
      <c r="C12" s="302" t="s">
        <v>525</v>
      </c>
      <c r="D12" s="303" t="s">
        <v>104</v>
      </c>
      <c r="E12" s="303" t="s">
        <v>105</v>
      </c>
      <c r="F12" s="303" t="s">
        <v>106</v>
      </c>
      <c r="G12" s="304" t="s">
        <v>516</v>
      </c>
      <c r="Q12" s="837" t="s">
        <v>242</v>
      </c>
      <c r="R12" s="834" t="s">
        <v>243</v>
      </c>
      <c r="S12" s="834" t="s">
        <v>104</v>
      </c>
    </row>
    <row r="13" spans="1:19" ht="15.75">
      <c r="A13" s="107"/>
      <c r="B13" s="108" t="s">
        <v>105</v>
      </c>
      <c r="C13" s="124" t="s">
        <v>397</v>
      </c>
      <c r="D13" s="125">
        <f>Salaries!D33</f>
        <v>19893844</v>
      </c>
      <c r="E13" s="125">
        <f t="shared" ref="E13:E19" si="0">VLOOKUP($C13,Ratio,2,FALSE)*$D13</f>
        <v>19893844</v>
      </c>
      <c r="F13" s="125">
        <f t="shared" ref="F13:F19" si="1">VLOOKUP($C13,Ratio,3,FALSE)*$D13</f>
        <v>0</v>
      </c>
      <c r="G13" s="130">
        <f t="shared" ref="G13:G19" si="2">VLOOKUP($C13,Ratio,4,FALSE)*$D13</f>
        <v>0</v>
      </c>
      <c r="Q13" s="125">
        <f>E13*R9</f>
        <v>19893844</v>
      </c>
      <c r="R13" s="125">
        <f>E13*R8</f>
        <v>0</v>
      </c>
      <c r="S13" s="835">
        <f>SUM(Q13:R13)</f>
        <v>19893844</v>
      </c>
    </row>
    <row r="14" spans="1:19" ht="15.75">
      <c r="A14" s="107"/>
      <c r="B14" s="108" t="s">
        <v>106</v>
      </c>
      <c r="C14" s="124" t="s">
        <v>396</v>
      </c>
      <c r="D14" s="126">
        <f>Salaries!D34</f>
        <v>6611795</v>
      </c>
      <c r="E14" s="126">
        <f t="shared" si="0"/>
        <v>0</v>
      </c>
      <c r="F14" s="126">
        <f t="shared" si="1"/>
        <v>6611795</v>
      </c>
      <c r="G14" s="127">
        <f t="shared" si="2"/>
        <v>0</v>
      </c>
      <c r="Q14" s="845">
        <v>0</v>
      </c>
      <c r="R14" s="845">
        <v>0</v>
      </c>
    </row>
    <row r="15" spans="1:19" ht="15.75">
      <c r="A15" s="107"/>
      <c r="B15" s="108" t="s">
        <v>516</v>
      </c>
      <c r="C15" s="124" t="s">
        <v>395</v>
      </c>
      <c r="D15" s="126">
        <f>Salaries!D35</f>
        <v>17025418</v>
      </c>
      <c r="E15" s="126">
        <f t="shared" si="0"/>
        <v>0</v>
      </c>
      <c r="F15" s="126">
        <f t="shared" si="1"/>
        <v>0</v>
      </c>
      <c r="G15" s="127">
        <f t="shared" si="2"/>
        <v>17025418</v>
      </c>
      <c r="Q15" s="845">
        <v>0</v>
      </c>
      <c r="R15" s="845">
        <v>0</v>
      </c>
    </row>
    <row r="16" spans="1:19" ht="15.75">
      <c r="A16" s="107"/>
      <c r="B16" s="108" t="s">
        <v>517</v>
      </c>
      <c r="C16" s="124" t="s">
        <v>395</v>
      </c>
      <c r="D16" s="126">
        <f>Salaries!D36</f>
        <v>6507117</v>
      </c>
      <c r="E16" s="126">
        <f t="shared" si="0"/>
        <v>0</v>
      </c>
      <c r="F16" s="126">
        <f t="shared" si="1"/>
        <v>0</v>
      </c>
      <c r="G16" s="127">
        <f t="shared" si="2"/>
        <v>6507117</v>
      </c>
      <c r="I16" s="626" t="s">
        <v>101</v>
      </c>
      <c r="J16" s="626" t="s">
        <v>102</v>
      </c>
      <c r="K16" s="626" t="s">
        <v>103</v>
      </c>
      <c r="Q16" s="845">
        <v>0</v>
      </c>
      <c r="R16" s="845">
        <v>0</v>
      </c>
    </row>
    <row r="17" spans="1:19" ht="15.75">
      <c r="A17" s="107"/>
      <c r="B17" s="1532" t="s">
        <v>518</v>
      </c>
      <c r="C17" s="1637" t="s">
        <v>395</v>
      </c>
      <c r="D17" s="1533">
        <f>Salaries!D37</f>
        <v>422600</v>
      </c>
      <c r="E17" s="1530">
        <f>IF($C17="DIRECT",I17,VLOOKUP($C17,Ratio,2,FALSE)*$D17)</f>
        <v>0</v>
      </c>
      <c r="F17" s="1530">
        <f>IF($C17="DIRECT",J17,VLOOKUP($C17,Ratio,3,FALSE)*$D17)</f>
        <v>0</v>
      </c>
      <c r="G17" s="1534">
        <f>IF($C17="DIRECT",K17,VLOOKUP($C17,Ratio,4,FALSE)*$D17)</f>
        <v>422600</v>
      </c>
      <c r="I17" s="126"/>
      <c r="J17" s="126"/>
      <c r="K17" s="126"/>
      <c r="N17" s="838"/>
      <c r="Q17" s="845">
        <f>E17</f>
        <v>0</v>
      </c>
      <c r="R17" s="845">
        <v>0</v>
      </c>
      <c r="S17" s="835">
        <f>SUM(Q17:R17)</f>
        <v>0</v>
      </c>
    </row>
    <row r="18" spans="1:19" ht="15.75">
      <c r="A18" s="107"/>
      <c r="B18" s="108" t="s">
        <v>519</v>
      </c>
      <c r="C18" s="124" t="s">
        <v>395</v>
      </c>
      <c r="D18" s="126">
        <f>Salaries!D38</f>
        <v>0</v>
      </c>
      <c r="E18" s="126">
        <f t="shared" si="0"/>
        <v>0</v>
      </c>
      <c r="F18" s="126">
        <f t="shared" si="1"/>
        <v>0</v>
      </c>
      <c r="G18" s="127">
        <f t="shared" si="2"/>
        <v>0</v>
      </c>
      <c r="Q18" s="845">
        <v>0</v>
      </c>
      <c r="R18" s="845">
        <v>0</v>
      </c>
    </row>
    <row r="19" spans="1:19" ht="15.75">
      <c r="A19" s="107"/>
      <c r="B19" s="108" t="s">
        <v>522</v>
      </c>
      <c r="C19" s="124" t="s">
        <v>99</v>
      </c>
      <c r="D19" s="126">
        <f>Salaries!D39</f>
        <v>29427473</v>
      </c>
      <c r="E19" s="126">
        <f t="shared" si="0"/>
        <v>9350897.9082645196</v>
      </c>
      <c r="F19" s="126">
        <f t="shared" si="1"/>
        <v>0</v>
      </c>
      <c r="G19" s="127">
        <f t="shared" si="2"/>
        <v>20076575.091735478</v>
      </c>
      <c r="Q19" s="126">
        <f>D19*Q50</f>
        <v>9350897.9082645196</v>
      </c>
      <c r="R19" s="126">
        <f>D19*R50</f>
        <v>0</v>
      </c>
      <c r="S19" s="835">
        <f>SUM(Q19:R19)</f>
        <v>9350897.9082645196</v>
      </c>
    </row>
    <row r="20" spans="1:19" ht="15.75">
      <c r="A20" s="107"/>
      <c r="B20" s="108"/>
      <c r="C20" s="108"/>
      <c r="D20" s="111"/>
      <c r="E20" s="111"/>
      <c r="F20" s="111"/>
      <c r="G20" s="112"/>
      <c r="Q20" s="573"/>
      <c r="R20" s="573"/>
    </row>
    <row r="21" spans="1:19" ht="18.75">
      <c r="A21" s="122" t="s">
        <v>523</v>
      </c>
      <c r="B21" s="108"/>
      <c r="C21" s="557"/>
      <c r="D21" s="558">
        <f>SUM(D13:D20)</f>
        <v>79888247</v>
      </c>
      <c r="E21" s="558">
        <f>SUM(E13:E20)</f>
        <v>29244741.908264518</v>
      </c>
      <c r="F21" s="558">
        <f>SUM(F13:F20)</f>
        <v>6611795</v>
      </c>
      <c r="G21" s="559">
        <f>SUM(G13:G20)</f>
        <v>44031710.091735482</v>
      </c>
      <c r="Q21" s="558">
        <f>SUM(Q13:Q19)</f>
        <v>29244741.908264518</v>
      </c>
      <c r="R21" s="558">
        <f>SUM(R13:R19)</f>
        <v>0</v>
      </c>
      <c r="S21" s="835">
        <f>SUM(Q21:R21)</f>
        <v>29244741.908264518</v>
      </c>
    </row>
    <row r="22" spans="1:19" ht="15.75">
      <c r="A22" s="107"/>
      <c r="B22" s="123" t="s">
        <v>336</v>
      </c>
      <c r="C22" s="557"/>
      <c r="D22" s="560">
        <f>IF($D21=0,0,D21/$D21)</f>
        <v>1</v>
      </c>
      <c r="E22" s="618">
        <f>IF($D21=0,0,E21/$D21)</f>
        <v>0.36607064250971133</v>
      </c>
      <c r="F22" s="618">
        <f>IF($D21=0,0,F21/$D21)</f>
        <v>8.2763050239417574E-2</v>
      </c>
      <c r="G22" s="619">
        <f>IF($D21=0,0,G21/$D21)</f>
        <v>0.55116630725087112</v>
      </c>
      <c r="O22" s="123" t="s">
        <v>336</v>
      </c>
      <c r="Q22" s="618">
        <f>IF(D21=0,0,Q21/D21)</f>
        <v>0.36607064250971133</v>
      </c>
      <c r="R22" s="618">
        <f>IF(D21=0,0,R21/D21)</f>
        <v>0</v>
      </c>
      <c r="S22" s="836">
        <f>SUM(Q22:R22)</f>
        <v>0.36607064250971133</v>
      </c>
    </row>
    <row r="23" spans="1:19" ht="15.75">
      <c r="A23" s="107"/>
      <c r="B23" s="108"/>
      <c r="C23" s="108"/>
      <c r="D23" s="111"/>
      <c r="E23" s="111"/>
      <c r="F23" s="111"/>
      <c r="G23" s="112"/>
      <c r="Q23" s="111"/>
      <c r="R23" s="111"/>
    </row>
    <row r="24" spans="1:19" ht="18.75">
      <c r="A24" s="122" t="s">
        <v>91</v>
      </c>
      <c r="B24" s="129" t="s">
        <v>337</v>
      </c>
      <c r="C24" s="302" t="s">
        <v>525</v>
      </c>
      <c r="D24" s="303" t="s">
        <v>104</v>
      </c>
      <c r="E24" s="303" t="s">
        <v>105</v>
      </c>
      <c r="F24" s="303" t="s">
        <v>106</v>
      </c>
      <c r="G24" s="304" t="s">
        <v>516</v>
      </c>
      <c r="Q24" s="837" t="s">
        <v>242</v>
      </c>
      <c r="R24" s="834" t="s">
        <v>243</v>
      </c>
      <c r="S24" s="834" t="s">
        <v>104</v>
      </c>
    </row>
    <row r="25" spans="1:19" ht="15.75">
      <c r="A25" s="107"/>
      <c r="B25" s="108" t="s">
        <v>125</v>
      </c>
      <c r="C25" s="124" t="s">
        <v>99</v>
      </c>
      <c r="D25" s="125">
        <f>'Sch 1- Rate Base '!G37</f>
        <v>1083006</v>
      </c>
      <c r="E25" s="1632">
        <f>'Sch 1- Rate Base '!H37</f>
        <v>344136.87305185618</v>
      </c>
      <c r="F25" s="1632">
        <f>'Sch 1- Rate Base '!I37</f>
        <v>0</v>
      </c>
      <c r="G25" s="1633">
        <f>'Sch 1- Rate Base '!J37</f>
        <v>738869.1269481437</v>
      </c>
      <c r="Q25" s="125">
        <f>D25*Q$50</f>
        <v>344136.87305185618</v>
      </c>
      <c r="R25" s="125">
        <f>D25*R$50</f>
        <v>0</v>
      </c>
      <c r="S25" s="835">
        <f>SUM(Q25:R25)</f>
        <v>344136.87305185618</v>
      </c>
    </row>
    <row r="26" spans="1:19" ht="15.75">
      <c r="A26" s="107"/>
      <c r="B26" s="108" t="s">
        <v>126</v>
      </c>
      <c r="C26" s="124" t="s">
        <v>99</v>
      </c>
      <c r="D26" s="126">
        <f>'Sch 1- Rate Base '!G38</f>
        <v>21045508</v>
      </c>
      <c r="E26" s="1634">
        <f>'Sch 1- Rate Base '!H38</f>
        <v>6687437.8488280065</v>
      </c>
      <c r="F26" s="1634">
        <f>'Sch 1- Rate Base '!I38</f>
        <v>0</v>
      </c>
      <c r="G26" s="1635">
        <f>'Sch 1- Rate Base '!J38</f>
        <v>14358070.151171993</v>
      </c>
      <c r="Q26" s="125">
        <f>D26*Q$50</f>
        <v>6687437.8488280065</v>
      </c>
      <c r="R26" s="125">
        <f>D26*R$50</f>
        <v>0</v>
      </c>
      <c r="S26" s="835">
        <f>SUM(Q26:R26)</f>
        <v>6687437.8488280065</v>
      </c>
    </row>
    <row r="27" spans="1:19" ht="15.75">
      <c r="A27" s="107"/>
      <c r="B27" s="108" t="s">
        <v>127</v>
      </c>
      <c r="C27" s="124" t="s">
        <v>95</v>
      </c>
      <c r="D27" s="126">
        <f>'Sch 1- Rate Base '!G39</f>
        <v>3976622</v>
      </c>
      <c r="E27" s="1634">
        <f>'Sch 1- Rate Base '!H39</f>
        <v>1455724.5705582532</v>
      </c>
      <c r="F27" s="1634">
        <f>'Sch 1- Rate Base '!I39</f>
        <v>0</v>
      </c>
      <c r="G27" s="1635">
        <f>'Sch 1- Rate Base '!J39</f>
        <v>2520897.4294417468</v>
      </c>
      <c r="Q27" s="125">
        <f>D27*Q$22</f>
        <v>1455724.5705582532</v>
      </c>
      <c r="R27" s="125">
        <f>D27*R$22</f>
        <v>0</v>
      </c>
      <c r="S27" s="835">
        <f>SUM(Q27:R27)</f>
        <v>1455724.5705582532</v>
      </c>
    </row>
    <row r="28" spans="1:19" ht="15.75">
      <c r="A28" s="107"/>
      <c r="B28" s="108" t="s">
        <v>128</v>
      </c>
      <c r="C28" s="124" t="s">
        <v>109</v>
      </c>
      <c r="D28" s="126">
        <f>'Sch 1- Rate Base '!G40</f>
        <v>62357831</v>
      </c>
      <c r="E28" s="1634">
        <f>'Sch 1- Rate Base '!H40</f>
        <v>0</v>
      </c>
      <c r="F28" s="1634">
        <f>'Sch 1- Rate Base '!I40</f>
        <v>0</v>
      </c>
      <c r="G28" s="1635">
        <f>'Sch 1- Rate Base '!J40</f>
        <v>62357831</v>
      </c>
      <c r="Q28" s="841">
        <v>0</v>
      </c>
      <c r="R28" s="841">
        <v>0</v>
      </c>
    </row>
    <row r="29" spans="1:19" ht="15.75">
      <c r="A29" s="107"/>
      <c r="B29" s="108" t="s">
        <v>129</v>
      </c>
      <c r="C29" s="124" t="s">
        <v>99</v>
      </c>
      <c r="D29" s="126">
        <f>'Sch 1- Rate Base '!G41</f>
        <v>472784</v>
      </c>
      <c r="E29" s="1634">
        <f>'Sch 1- Rate Base '!H41</f>
        <v>150232.23083616229</v>
      </c>
      <c r="F29" s="1634">
        <f>'Sch 1- Rate Base '!I41</f>
        <v>0</v>
      </c>
      <c r="G29" s="1635">
        <f>'Sch 1- Rate Base '!J41</f>
        <v>322551.76916383771</v>
      </c>
      <c r="Q29" s="125">
        <f>D29*Q$50</f>
        <v>150232.23083616229</v>
      </c>
      <c r="R29" s="125">
        <f>D29*R$50</f>
        <v>0</v>
      </c>
      <c r="S29" s="835">
        <f>SUM(Q29:R29)</f>
        <v>150232.23083616229</v>
      </c>
    </row>
    <row r="30" spans="1:19" ht="15.75">
      <c r="A30" s="107"/>
      <c r="B30" s="108" t="s">
        <v>130</v>
      </c>
      <c r="C30" s="124" t="s">
        <v>99</v>
      </c>
      <c r="D30" s="126">
        <f>'Sch 1- Rate Base '!G42</f>
        <v>9005539</v>
      </c>
      <c r="E30" s="1634">
        <f>'Sch 1- Rate Base '!H42</f>
        <v>2861607.4441014547</v>
      </c>
      <c r="F30" s="1634">
        <f>'Sch 1- Rate Base '!I42</f>
        <v>0</v>
      </c>
      <c r="G30" s="1635">
        <f>'Sch 1- Rate Base '!J42</f>
        <v>6143931.5558985453</v>
      </c>
      <c r="Q30" s="125">
        <f>D30*Q$50</f>
        <v>2861607.4441014547</v>
      </c>
      <c r="R30" s="125">
        <f>D30*R$50</f>
        <v>0</v>
      </c>
      <c r="S30" s="835">
        <f>SUM(Q30:R30)</f>
        <v>2861607.4441014547</v>
      </c>
    </row>
    <row r="31" spans="1:19" ht="15.75">
      <c r="A31" s="107"/>
      <c r="B31" s="108" t="s">
        <v>131</v>
      </c>
      <c r="C31" s="124" t="s">
        <v>99</v>
      </c>
      <c r="D31" s="126">
        <f>'Sch 1- Rate Base '!G43</f>
        <v>3305287</v>
      </c>
      <c r="E31" s="1634">
        <f>'Sch 1- Rate Base '!H43</f>
        <v>1050290.7026544178</v>
      </c>
      <c r="F31" s="1634">
        <f>'Sch 1- Rate Base '!I43</f>
        <v>0</v>
      </c>
      <c r="G31" s="1635">
        <f>'Sch 1- Rate Base '!J43</f>
        <v>2254996.2973455819</v>
      </c>
      <c r="Q31" s="125">
        <f>D31*Q$50</f>
        <v>1050290.7026544178</v>
      </c>
      <c r="R31" s="125">
        <f>D31*R$50</f>
        <v>0</v>
      </c>
      <c r="S31" s="835">
        <f>SUM(Q31:R31)</f>
        <v>1050290.7026544178</v>
      </c>
    </row>
    <row r="32" spans="1:19" ht="15.75">
      <c r="A32" s="107"/>
      <c r="B32" s="108" t="s">
        <v>132</v>
      </c>
      <c r="C32" s="124" t="s">
        <v>109</v>
      </c>
      <c r="D32" s="126">
        <f>'Sch 1- Rate Base '!G44</f>
        <v>25432532</v>
      </c>
      <c r="E32" s="1634">
        <f>'Sch 1- Rate Base '!H44</f>
        <v>0</v>
      </c>
      <c r="F32" s="1634">
        <f>'Sch 1- Rate Base '!I44</f>
        <v>0</v>
      </c>
      <c r="G32" s="1635">
        <f>'Sch 1- Rate Base '!J44</f>
        <v>25432532</v>
      </c>
      <c r="Q32" s="841">
        <v>0</v>
      </c>
      <c r="R32" s="841">
        <v>0</v>
      </c>
    </row>
    <row r="33" spans="1:19" ht="15.75">
      <c r="A33" s="107"/>
      <c r="B33" s="108" t="s">
        <v>133</v>
      </c>
      <c r="C33" s="124" t="s">
        <v>99</v>
      </c>
      <c r="D33" s="126">
        <f>'Sch 1- Rate Base '!G45</f>
        <v>42279271</v>
      </c>
      <c r="E33" s="1634">
        <f>'Sch 1- Rate Base '!H45</f>
        <v>13434695.760551672</v>
      </c>
      <c r="F33" s="1634">
        <f>'Sch 1- Rate Base '!I45</f>
        <v>0</v>
      </c>
      <c r="G33" s="1635">
        <f>'Sch 1- Rate Base '!J45</f>
        <v>28844575.239448324</v>
      </c>
      <c r="Q33" s="125">
        <f>D33*Q$50</f>
        <v>13434695.760551672</v>
      </c>
      <c r="R33" s="125">
        <f>D33*R$50</f>
        <v>0</v>
      </c>
      <c r="S33" s="835">
        <f>SUM(Q33:R33)</f>
        <v>13434695.760551672</v>
      </c>
    </row>
    <row r="34" spans="1:19" ht="15.75">
      <c r="A34" s="107"/>
      <c r="B34" s="108" t="s">
        <v>134</v>
      </c>
      <c r="C34" s="124" t="s">
        <v>99</v>
      </c>
      <c r="D34" s="126">
        <f>'Sch 1- Rate Base '!G46</f>
        <v>258773</v>
      </c>
      <c r="E34" s="1634">
        <f>'Sch 1- Rate Base '!H46</f>
        <v>82227.920297992794</v>
      </c>
      <c r="F34" s="1634">
        <f>'Sch 1- Rate Base '!I46</f>
        <v>0</v>
      </c>
      <c r="G34" s="1635">
        <f>'Sch 1- Rate Base '!J46</f>
        <v>176545.07970200721</v>
      </c>
      <c r="Q34" s="125">
        <f>D34*Q$50</f>
        <v>82227.920297992794</v>
      </c>
      <c r="R34" s="125">
        <f>D34*R$50</f>
        <v>0</v>
      </c>
      <c r="S34" s="835">
        <f>SUM(Q34:R34)</f>
        <v>82227.920297992794</v>
      </c>
    </row>
    <row r="35" spans="1:19" ht="15.75">
      <c r="A35" s="107"/>
      <c r="B35" s="108" t="s">
        <v>256</v>
      </c>
      <c r="C35" s="124" t="str">
        <f>'Sch 1- Rate Base '!E47</f>
        <v>DIRECT</v>
      </c>
      <c r="D35" s="126">
        <f>'Sch 1- Rate Base '!G47</f>
        <v>0</v>
      </c>
      <c r="E35" s="1634">
        <f>'Sch 1- Rate Base '!H47</f>
        <v>0</v>
      </c>
      <c r="F35" s="1634">
        <f>'Sch 1- Rate Base '!I47</f>
        <v>0</v>
      </c>
      <c r="G35" s="1635">
        <f>'Sch 1- Rate Base '!J47</f>
        <v>0</v>
      </c>
      <c r="Q35" s="841">
        <f>E35*R4</f>
        <v>0</v>
      </c>
      <c r="R35" s="841">
        <f>E35*R3</f>
        <v>0</v>
      </c>
    </row>
    <row r="36" spans="1:19" ht="15.75">
      <c r="A36" s="107"/>
      <c r="B36" s="108" t="s">
        <v>446</v>
      </c>
      <c r="C36" s="124" t="s">
        <v>99</v>
      </c>
      <c r="D36" s="126">
        <f>'Sch 1- Rate Base '!G48</f>
        <v>0</v>
      </c>
      <c r="E36" s="1634">
        <f>'Sch 1- Rate Base '!H48</f>
        <v>0</v>
      </c>
      <c r="F36" s="1634">
        <f>'Sch 1- Rate Base '!I48</f>
        <v>0</v>
      </c>
      <c r="G36" s="1635">
        <f>'Sch 1- Rate Base '!J48</f>
        <v>0</v>
      </c>
      <c r="Q36" s="125">
        <f>D36*Q$50</f>
        <v>0</v>
      </c>
      <c r="R36" s="125">
        <f>D36*R$50</f>
        <v>0</v>
      </c>
      <c r="S36" s="835">
        <f>SUM(Q36:R36)</f>
        <v>0</v>
      </c>
    </row>
    <row r="37" spans="1:19" ht="15.75">
      <c r="A37" s="107"/>
      <c r="B37" s="108" t="s">
        <v>527</v>
      </c>
      <c r="C37" s="561"/>
      <c r="D37" s="562">
        <f>SUM(D25:D36)</f>
        <v>169217153</v>
      </c>
      <c r="E37" s="562">
        <f>SUM(E25:E36)</f>
        <v>26066353.350879814</v>
      </c>
      <c r="F37" s="562">
        <f>SUM(F25:F36)</f>
        <v>0</v>
      </c>
      <c r="G37" s="563">
        <f>SUM(G25:G36)</f>
        <v>143150799.64912018</v>
      </c>
      <c r="Q37" s="562">
        <f>SUM(Q25:Q36)</f>
        <v>26066353.350879814</v>
      </c>
      <c r="R37" s="562">
        <f>SUM(R25:R36)</f>
        <v>0</v>
      </c>
      <c r="S37" s="835">
        <f>SUM(Q37:R37)</f>
        <v>26066353.350879814</v>
      </c>
    </row>
    <row r="38" spans="1:19" ht="15.75">
      <c r="A38" s="107"/>
      <c r="B38" s="123" t="s">
        <v>528</v>
      </c>
      <c r="C38" s="561"/>
      <c r="D38" s="564">
        <f>IF($D37=0,0,D37/$D37)</f>
        <v>1</v>
      </c>
      <c r="E38" s="568">
        <f>IF($D37=0,0,E37/$D37)</f>
        <v>0.15404084567525972</v>
      </c>
      <c r="F38" s="568">
        <f>IF($D37=0,0,F37/$D37)</f>
        <v>0</v>
      </c>
      <c r="G38" s="569">
        <f>IF($D37=0,0,G37/$D37)</f>
        <v>0.84595915432474023</v>
      </c>
      <c r="O38" s="123" t="s">
        <v>450</v>
      </c>
      <c r="Q38" s="568">
        <f>IF(D37=0,0,Q37/D37)</f>
        <v>0.15404084567525972</v>
      </c>
      <c r="R38" s="568">
        <f>IF(D37=0,0,R37/D37)</f>
        <v>0</v>
      </c>
      <c r="S38" s="568">
        <f>SUM(Q38:R38)</f>
        <v>0.15404084567525972</v>
      </c>
    </row>
    <row r="39" spans="1:19" ht="16.5" thickBot="1">
      <c r="A39" s="114"/>
      <c r="B39" s="115"/>
      <c r="C39" s="617"/>
      <c r="D39" s="139"/>
      <c r="E39" s="139"/>
      <c r="F39" s="139"/>
      <c r="G39" s="140"/>
      <c r="Q39" s="139"/>
      <c r="R39" s="139"/>
    </row>
    <row r="40" spans="1:19" ht="16.5" thickTop="1">
      <c r="A40" s="107"/>
      <c r="B40" s="108"/>
      <c r="C40" s="108"/>
      <c r="D40" s="111"/>
      <c r="E40" s="111"/>
      <c r="F40" s="111"/>
      <c r="G40" s="112"/>
      <c r="Q40" s="111"/>
      <c r="R40" s="111"/>
    </row>
    <row r="41" spans="1:19" ht="15.75">
      <c r="A41" s="107" t="s">
        <v>99</v>
      </c>
      <c r="B41" s="113" t="s">
        <v>338</v>
      </c>
      <c r="C41" s="302" t="s">
        <v>525</v>
      </c>
      <c r="D41" s="303" t="s">
        <v>104</v>
      </c>
      <c r="E41" s="303" t="s">
        <v>105</v>
      </c>
      <c r="F41" s="303" t="s">
        <v>106</v>
      </c>
      <c r="G41" s="304" t="s">
        <v>516</v>
      </c>
      <c r="Q41" s="837" t="s">
        <v>242</v>
      </c>
      <c r="R41" s="834" t="s">
        <v>243</v>
      </c>
      <c r="S41" s="834" t="s">
        <v>104</v>
      </c>
    </row>
    <row r="42" spans="1:19" ht="15.75">
      <c r="A42" s="107"/>
      <c r="B42" s="108" t="s">
        <v>111</v>
      </c>
      <c r="C42" s="124" t="s">
        <v>397</v>
      </c>
      <c r="D42" s="125">
        <f>'Sch 1- Rate Base '!G22</f>
        <v>494693042</v>
      </c>
      <c r="E42" s="1632">
        <f>'Sch 1- Rate Base '!H22</f>
        <v>494693042</v>
      </c>
      <c r="F42" s="1632">
        <f>'Sch 1- Rate Base '!I22</f>
        <v>0</v>
      </c>
      <c r="G42" s="1633">
        <f>'Sch 1- Rate Base '!J22</f>
        <v>0</v>
      </c>
      <c r="Q42" s="125">
        <f>D42-R42</f>
        <v>494693042</v>
      </c>
      <c r="R42" s="1547">
        <f>SUMIF('Above-RHWM_Base_Calc'!B$11:Z$11,1,'Above-RHWM_Base_Calc'!B$17:Z$17)</f>
        <v>0</v>
      </c>
    </row>
    <row r="43" spans="1:19" ht="15.75">
      <c r="A43" s="107"/>
      <c r="B43" s="108" t="s">
        <v>113</v>
      </c>
      <c r="C43" s="124" t="s">
        <v>397</v>
      </c>
      <c r="D43" s="126">
        <f>'Sch 1- Rate Base '!G23</f>
        <v>0</v>
      </c>
      <c r="E43" s="1634">
        <f>'Sch 1- Rate Base '!H23</f>
        <v>0</v>
      </c>
      <c r="F43" s="1634">
        <f>'Sch 1- Rate Base '!I23</f>
        <v>0</v>
      </c>
      <c r="G43" s="1635">
        <f>'Sch 1- Rate Base '!J23</f>
        <v>0</v>
      </c>
      <c r="Q43" s="125">
        <f>D43-R43</f>
        <v>0</v>
      </c>
      <c r="R43" s="126"/>
    </row>
    <row r="44" spans="1:19" ht="15.75">
      <c r="A44" s="107"/>
      <c r="B44" s="108" t="s">
        <v>115</v>
      </c>
      <c r="C44" s="124" t="s">
        <v>397</v>
      </c>
      <c r="D44" s="126">
        <f>'Sch 1- Rate Base '!G24</f>
        <v>791656686</v>
      </c>
      <c r="E44" s="1634">
        <f>'Sch 1- Rate Base '!H24</f>
        <v>791656686</v>
      </c>
      <c r="F44" s="1634">
        <f>'Sch 1- Rate Base '!I24</f>
        <v>0</v>
      </c>
      <c r="G44" s="1635">
        <f>'Sch 1- Rate Base '!J24</f>
        <v>0</v>
      </c>
      <c r="Q44" s="125">
        <f>D44-R44</f>
        <v>791656686</v>
      </c>
      <c r="R44" s="1547">
        <f>SUMIF('Above-RHWM_Base_Calc'!B$11:Z$11,2,'Above-RHWM_Base_Calc'!B$17:Z$17)</f>
        <v>0</v>
      </c>
    </row>
    <row r="45" spans="1:19" ht="15.75">
      <c r="A45" s="107"/>
      <c r="B45" s="108" t="s">
        <v>117</v>
      </c>
      <c r="C45" s="124" t="s">
        <v>397</v>
      </c>
      <c r="D45" s="126">
        <f>'Sch 1- Rate Base '!G25</f>
        <v>327526210</v>
      </c>
      <c r="E45" s="1634">
        <f>'Sch 1- Rate Base '!H25</f>
        <v>327526210</v>
      </c>
      <c r="F45" s="1634">
        <f>'Sch 1- Rate Base '!I25</f>
        <v>0</v>
      </c>
      <c r="G45" s="1635">
        <f>'Sch 1- Rate Base '!J25</f>
        <v>0</v>
      </c>
      <c r="Q45" s="125">
        <f>D45-R45</f>
        <v>327526210</v>
      </c>
      <c r="R45" s="1547">
        <f>SUMIF('Above-RHWM_Base_Calc'!B$11:Z$11,3,'Above-RHWM_Base_Calc'!B$17:Z$17)</f>
        <v>0</v>
      </c>
    </row>
    <row r="46" spans="1:19" ht="15.75">
      <c r="A46" s="107"/>
      <c r="B46" s="108" t="s">
        <v>119</v>
      </c>
      <c r="C46" s="124"/>
      <c r="D46" s="126">
        <f>SUM(D42:D45)</f>
        <v>1613875938</v>
      </c>
      <c r="E46" s="126">
        <f>SUM(E42:E45)</f>
        <v>1613875938</v>
      </c>
      <c r="F46" s="126">
        <f>SUM(F42:F45)</f>
        <v>0</v>
      </c>
      <c r="G46" s="127">
        <f>SUM(G42:G45)</f>
        <v>0</v>
      </c>
      <c r="Q46" s="126">
        <f>SUM(Q42:Q45)</f>
        <v>1613875938</v>
      </c>
      <c r="R46" s="126">
        <f>SUM(R42:R45)</f>
        <v>0</v>
      </c>
      <c r="S46" s="125">
        <f>Q46+R46</f>
        <v>1613875938</v>
      </c>
    </row>
    <row r="47" spans="1:19" ht="15.75">
      <c r="A47" s="107"/>
      <c r="B47" s="108" t="s">
        <v>530</v>
      </c>
      <c r="C47" s="124" t="s">
        <v>396</v>
      </c>
      <c r="D47" s="126">
        <f>'Sch 1- Rate Base '!G30</f>
        <v>1057719030</v>
      </c>
      <c r="E47" s="1634">
        <f>'Sch 1- Rate Base '!H30</f>
        <v>0</v>
      </c>
      <c r="F47" s="1634">
        <f>'Sch 1- Rate Base '!I30</f>
        <v>0</v>
      </c>
      <c r="G47" s="1635">
        <f>'Sch 1- Rate Base '!J30</f>
        <v>1057719030</v>
      </c>
      <c r="Q47" s="126"/>
      <c r="R47" s="126"/>
    </row>
    <row r="48" spans="1:19" ht="15.75">
      <c r="A48" s="107"/>
      <c r="B48" s="108" t="s">
        <v>122</v>
      </c>
      <c r="C48" s="124" t="s">
        <v>395</v>
      </c>
      <c r="D48" s="126">
        <f>'Sch 1- Rate Base '!G34</f>
        <v>2407306658</v>
      </c>
      <c r="E48" s="1634">
        <f>'Sch 1- Rate Base '!H34</f>
        <v>0</v>
      </c>
      <c r="F48" s="1634">
        <f>'Sch 1- Rate Base '!I34</f>
        <v>0</v>
      </c>
      <c r="G48" s="1635">
        <f>'Sch 1- Rate Base '!J34</f>
        <v>2407306658</v>
      </c>
      <c r="Q48" s="126"/>
      <c r="R48" s="126"/>
    </row>
    <row r="49" spans="1:19" ht="15.75">
      <c r="A49" s="107"/>
      <c r="B49" s="108" t="s">
        <v>527</v>
      </c>
      <c r="C49" s="124"/>
      <c r="D49" s="125">
        <f>D46+D47+D48</f>
        <v>5078901626</v>
      </c>
      <c r="E49" s="125">
        <f>E46+E47+E48</f>
        <v>1613875938</v>
      </c>
      <c r="F49" s="125">
        <f>F46+F47+F48</f>
        <v>0</v>
      </c>
      <c r="G49" s="130">
        <f>G46+G47+G48</f>
        <v>3465025688</v>
      </c>
      <c r="Q49" s="125">
        <f>Q46</f>
        <v>1613875938</v>
      </c>
      <c r="R49" s="125">
        <f>R46</f>
        <v>0</v>
      </c>
      <c r="S49" s="125">
        <f>Q49+R49</f>
        <v>1613875938</v>
      </c>
    </row>
    <row r="50" spans="1:19" ht="15.75">
      <c r="A50" s="107"/>
      <c r="B50" s="123" t="s">
        <v>339</v>
      </c>
      <c r="C50" s="561"/>
      <c r="D50" s="564">
        <f>IF($D49=0,0,D49/$D49)</f>
        <v>1</v>
      </c>
      <c r="E50" s="568">
        <f>IF($D49=0,0,E49/$D49)</f>
        <v>0.31776081854750221</v>
      </c>
      <c r="F50" s="568">
        <f>IF($D49=0,0,F49/$D49)</f>
        <v>0</v>
      </c>
      <c r="G50" s="569">
        <f>IF($D49=0,0,G49/$D49)</f>
        <v>0.68223918145249773</v>
      </c>
      <c r="O50" s="123" t="s">
        <v>339</v>
      </c>
      <c r="Q50" s="568">
        <f>IF(D49=0,0,Q46/D49)</f>
        <v>0.31776081854750221</v>
      </c>
      <c r="R50" s="568">
        <f>IF(D49=0,0,R46/D49)</f>
        <v>0</v>
      </c>
      <c r="S50" s="568">
        <f>Q50+R50</f>
        <v>0.31776081854750221</v>
      </c>
    </row>
    <row r="51" spans="1:19" ht="15.75">
      <c r="A51" s="107"/>
      <c r="B51" s="108"/>
      <c r="C51" s="108"/>
      <c r="D51" s="111"/>
      <c r="E51" s="111"/>
      <c r="F51" s="111"/>
      <c r="G51" s="112"/>
      <c r="Q51" s="111"/>
      <c r="R51" s="111"/>
    </row>
    <row r="52" spans="1:19" ht="15.75">
      <c r="A52" s="107" t="s">
        <v>108</v>
      </c>
      <c r="B52" s="113" t="s">
        <v>340</v>
      </c>
      <c r="C52" s="302" t="s">
        <v>525</v>
      </c>
      <c r="D52" s="303" t="s">
        <v>104</v>
      </c>
      <c r="E52" s="303" t="s">
        <v>105</v>
      </c>
      <c r="F52" s="303" t="s">
        <v>106</v>
      </c>
      <c r="G52" s="304" t="s">
        <v>516</v>
      </c>
      <c r="Q52" s="837" t="s">
        <v>242</v>
      </c>
      <c r="R52" s="834" t="s">
        <v>243</v>
      </c>
      <c r="S52" s="834" t="s">
        <v>104</v>
      </c>
    </row>
    <row r="53" spans="1:19" ht="15.75">
      <c r="A53" s="107"/>
      <c r="B53" s="108" t="s">
        <v>531</v>
      </c>
      <c r="C53" s="124"/>
      <c r="D53" s="125">
        <f>D49</f>
        <v>5078901626</v>
      </c>
      <c r="E53" s="125">
        <f>E49</f>
        <v>1613875938</v>
      </c>
      <c r="F53" s="125">
        <f>F49</f>
        <v>0</v>
      </c>
      <c r="G53" s="130">
        <f>G49</f>
        <v>3465025688</v>
      </c>
      <c r="Q53" s="125">
        <f>Q49</f>
        <v>1613875938</v>
      </c>
      <c r="R53" s="125">
        <f>R49</f>
        <v>0</v>
      </c>
      <c r="S53" s="125">
        <f>Q53+R53</f>
        <v>1613875938</v>
      </c>
    </row>
    <row r="54" spans="1:19" ht="15.75">
      <c r="A54" s="107"/>
      <c r="B54" s="108" t="s">
        <v>532</v>
      </c>
      <c r="C54" s="124" t="s">
        <v>395</v>
      </c>
      <c r="D54" s="126">
        <f>'Sch 1- Rate Base '!G16</f>
        <v>0</v>
      </c>
      <c r="E54" s="1634">
        <f>'Sch 1- Rate Base '!H16</f>
        <v>0</v>
      </c>
      <c r="F54" s="1634">
        <f>'Sch 1- Rate Base '!I16</f>
        <v>0</v>
      </c>
      <c r="G54" s="1635">
        <f>'Sch 1- Rate Base '!J16</f>
        <v>0</v>
      </c>
      <c r="Q54" s="126"/>
      <c r="R54" s="126"/>
    </row>
    <row r="55" spans="1:19" ht="15.75">
      <c r="A55" s="107"/>
      <c r="B55" s="108" t="s">
        <v>533</v>
      </c>
      <c r="C55" s="124" t="str">
        <f>'Sch 1- Rate Base '!E17</f>
        <v>DIRECT</v>
      </c>
      <c r="D55" s="126">
        <f>'Sch 1- Rate Base '!G17</f>
        <v>46804271</v>
      </c>
      <c r="E55" s="1634">
        <f>'Sch 1- Rate Base '!H17</f>
        <v>42107007.580000006</v>
      </c>
      <c r="F55" s="1634">
        <f>'Sch 1- Rate Base '!I17</f>
        <v>0</v>
      </c>
      <c r="G55" s="1635">
        <f>'Sch 1- Rate Base '!J17</f>
        <v>4697263.32</v>
      </c>
      <c r="Q55" s="126">
        <f>E55*R$4</f>
        <v>42107007.580000006</v>
      </c>
      <c r="R55" s="126">
        <f>E55*R$3</f>
        <v>0</v>
      </c>
      <c r="S55" s="125">
        <f>Q55+R55</f>
        <v>42107007.580000006</v>
      </c>
    </row>
    <row r="56" spans="1:19" ht="15.75">
      <c r="A56" s="107"/>
      <c r="B56" s="108" t="s">
        <v>547</v>
      </c>
      <c r="C56" s="124" t="str">
        <f>'Sch 1- Rate Base '!E18</f>
        <v>DIRECT</v>
      </c>
      <c r="D56" s="126">
        <f>'Sch 1- Rate Base '!G18</f>
        <v>57840902</v>
      </c>
      <c r="E56" s="1634">
        <f>'Sch 1- Rate Base '!H18</f>
        <v>21321712.686072055</v>
      </c>
      <c r="F56" s="1634">
        <f>'Sch 1- Rate Base '!I18</f>
        <v>0</v>
      </c>
      <c r="G56" s="1635">
        <f>'Sch 1- Rate Base '!J18</f>
        <v>36519188.863927945</v>
      </c>
      <c r="Q56" s="126">
        <f>E56*R$4</f>
        <v>21321712.686072055</v>
      </c>
      <c r="R56" s="126">
        <f>E56*R$3</f>
        <v>0</v>
      </c>
      <c r="S56" s="125">
        <f>Q56+R56</f>
        <v>21321712.686072055</v>
      </c>
    </row>
    <row r="57" spans="1:19" ht="15.75">
      <c r="A57" s="107"/>
      <c r="B57" s="108" t="s">
        <v>341</v>
      </c>
      <c r="C57" s="124"/>
      <c r="D57" s="126">
        <f>D37</f>
        <v>169217153</v>
      </c>
      <c r="E57" s="126">
        <f>E37</f>
        <v>26066353.350879814</v>
      </c>
      <c r="F57" s="126">
        <f>F37</f>
        <v>0</v>
      </c>
      <c r="G57" s="127">
        <f>G37</f>
        <v>143150799.64912018</v>
      </c>
      <c r="Q57" s="126">
        <f>Q37</f>
        <v>26066353.350879814</v>
      </c>
      <c r="R57" s="126">
        <f>R37</f>
        <v>0</v>
      </c>
      <c r="S57" s="125">
        <f>Q57+R57</f>
        <v>26066353.350879814</v>
      </c>
    </row>
    <row r="58" spans="1:19" ht="15.75">
      <c r="A58" s="107"/>
      <c r="B58" s="108" t="s">
        <v>527</v>
      </c>
      <c r="C58" s="124"/>
      <c r="D58" s="125">
        <f>SUM(D53:D57)</f>
        <v>5352763952</v>
      </c>
      <c r="E58" s="125">
        <f>SUM(E53:E57)</f>
        <v>1703371011.6169519</v>
      </c>
      <c r="F58" s="125">
        <f>SUM(F53:F57)</f>
        <v>0</v>
      </c>
      <c r="G58" s="130">
        <f>SUM(G53:G57)</f>
        <v>3649392939.8330483</v>
      </c>
      <c r="Q58" s="125">
        <f>SUM(Q53:Q57)</f>
        <v>1703371011.6169519</v>
      </c>
      <c r="R58" s="125">
        <f>SUM(R53:R57)</f>
        <v>0</v>
      </c>
      <c r="S58" s="125">
        <f>Q58+R58</f>
        <v>1703371011.6169519</v>
      </c>
    </row>
    <row r="59" spans="1:19" ht="15.75">
      <c r="A59" s="107"/>
      <c r="B59" s="123" t="s">
        <v>342</v>
      </c>
      <c r="C59" s="561"/>
      <c r="D59" s="564">
        <f>IF($D58=0,0,D58/$D58)</f>
        <v>1</v>
      </c>
      <c r="E59" s="568">
        <f>IF($D58=0,0,E58/$D58)</f>
        <v>0.31822270268064157</v>
      </c>
      <c r="F59" s="568">
        <f>IF($D58=0,0,F58/$D58)</f>
        <v>0</v>
      </c>
      <c r="G59" s="569">
        <f>IF($D58=0,0,G58/$D58)</f>
        <v>0.68177729721660785</v>
      </c>
      <c r="O59" s="123" t="s">
        <v>451</v>
      </c>
      <c r="Q59" s="568">
        <f>IF(D58=0,0,Q58/D58)</f>
        <v>0.31822270268064157</v>
      </c>
      <c r="R59" s="568">
        <f>IF(D58=0,0,R58/D58)</f>
        <v>0</v>
      </c>
      <c r="S59" s="568">
        <f>Q59+R59</f>
        <v>0.31822270268064157</v>
      </c>
    </row>
    <row r="60" spans="1:19" ht="15.75">
      <c r="A60" s="107"/>
      <c r="B60" s="108"/>
      <c r="C60" s="108"/>
      <c r="D60" s="111"/>
      <c r="E60" s="111"/>
      <c r="F60" s="111"/>
      <c r="G60" s="112"/>
      <c r="Q60" s="111"/>
      <c r="R60" s="111"/>
    </row>
    <row r="61" spans="1:19" ht="15.75">
      <c r="A61" s="107" t="s">
        <v>109</v>
      </c>
      <c r="B61" s="113" t="s">
        <v>343</v>
      </c>
      <c r="C61" s="302" t="s">
        <v>525</v>
      </c>
      <c r="D61" s="303" t="s">
        <v>104</v>
      </c>
      <c r="E61" s="303" t="s">
        <v>105</v>
      </c>
      <c r="F61" s="303" t="s">
        <v>106</v>
      </c>
      <c r="G61" s="304" t="s">
        <v>516</v>
      </c>
      <c r="Q61" s="837" t="s">
        <v>242</v>
      </c>
      <c r="R61" s="834" t="s">
        <v>243</v>
      </c>
      <c r="S61" s="834" t="s">
        <v>104</v>
      </c>
    </row>
    <row r="62" spans="1:19" ht="15.75">
      <c r="A62" s="107"/>
      <c r="B62" s="108" t="s">
        <v>121</v>
      </c>
      <c r="C62" s="124" t="s">
        <v>396</v>
      </c>
      <c r="D62" s="125">
        <f t="shared" ref="D62:G63" si="3">D47</f>
        <v>1057719030</v>
      </c>
      <c r="E62" s="1632">
        <f t="shared" si="3"/>
        <v>0</v>
      </c>
      <c r="F62" s="1632">
        <f t="shared" si="3"/>
        <v>0</v>
      </c>
      <c r="G62" s="1633">
        <f t="shared" si="3"/>
        <v>1057719030</v>
      </c>
      <c r="Q62" s="125"/>
      <c r="R62" s="125"/>
    </row>
    <row r="63" spans="1:19" ht="15.75">
      <c r="A63" s="107"/>
      <c r="B63" s="108" t="s">
        <v>122</v>
      </c>
      <c r="C63" s="124" t="s">
        <v>395</v>
      </c>
      <c r="D63" s="126">
        <f t="shared" si="3"/>
        <v>2407306658</v>
      </c>
      <c r="E63" s="1634">
        <f t="shared" si="3"/>
        <v>0</v>
      </c>
      <c r="F63" s="1634">
        <f t="shared" si="3"/>
        <v>0</v>
      </c>
      <c r="G63" s="1635">
        <f t="shared" si="3"/>
        <v>2407306658</v>
      </c>
      <c r="Q63" s="126"/>
      <c r="R63" s="126"/>
    </row>
    <row r="64" spans="1:19" ht="15.75">
      <c r="A64" s="107"/>
      <c r="B64" s="108" t="s">
        <v>527</v>
      </c>
      <c r="C64" s="124"/>
      <c r="D64" s="125">
        <f>SUM(D62:D63)</f>
        <v>3465025688</v>
      </c>
      <c r="E64" s="125">
        <f>SUM(E62:E63)</f>
        <v>0</v>
      </c>
      <c r="F64" s="125">
        <f>SUM(F62:F63)</f>
        <v>0</v>
      </c>
      <c r="G64" s="130">
        <f>SUM(G62:G63)</f>
        <v>3465025688</v>
      </c>
      <c r="Q64" s="842">
        <f>SUM(Q62:Q63)</f>
        <v>0</v>
      </c>
      <c r="R64" s="842">
        <f>SUM(R62:R63)</f>
        <v>0</v>
      </c>
      <c r="S64" s="842">
        <f>Q64+R64</f>
        <v>0</v>
      </c>
    </row>
    <row r="65" spans="1:19" ht="15.75">
      <c r="A65" s="107"/>
      <c r="B65" s="123" t="s">
        <v>344</v>
      </c>
      <c r="C65" s="616"/>
      <c r="D65" s="565">
        <f>IF($D64=0,0,D64/$D64)</f>
        <v>1</v>
      </c>
      <c r="E65" s="620">
        <f>IF($D64=0,0,E64/$D64)</f>
        <v>0</v>
      </c>
      <c r="F65" s="620">
        <f>IF($D64=0,0,F64/$D64)</f>
        <v>0</v>
      </c>
      <c r="G65" s="621">
        <f>IF($D64=0,0,G64/$D64)</f>
        <v>1</v>
      </c>
      <c r="O65" s="123" t="s">
        <v>452</v>
      </c>
      <c r="Q65" s="620">
        <f>IF(D64=0,0,Q64/D64)</f>
        <v>0</v>
      </c>
      <c r="R65" s="620">
        <f>IF(D64=0,0,R64/D64)</f>
        <v>0</v>
      </c>
      <c r="S65" s="568">
        <f>Q65+R65</f>
        <v>0</v>
      </c>
    </row>
    <row r="66" spans="1:19" ht="16.5" thickBot="1">
      <c r="A66" s="114"/>
      <c r="B66" s="115"/>
      <c r="C66" s="115"/>
      <c r="D66" s="116"/>
      <c r="E66" s="116"/>
      <c r="F66" s="116"/>
      <c r="G66" s="117"/>
      <c r="Q66" s="116"/>
      <c r="R66" s="116"/>
    </row>
    <row r="67" spans="1:19" ht="16.5" thickTop="1">
      <c r="A67" s="107"/>
      <c r="B67" s="108"/>
      <c r="C67" s="108"/>
      <c r="D67" s="111"/>
      <c r="E67" s="111"/>
      <c r="F67" s="111"/>
      <c r="G67" s="112"/>
      <c r="Q67" s="111"/>
      <c r="R67" s="111"/>
    </row>
    <row r="68" spans="1:19" ht="15.75">
      <c r="A68" s="107" t="s">
        <v>93</v>
      </c>
      <c r="B68" s="113" t="s">
        <v>345</v>
      </c>
      <c r="C68" s="302" t="s">
        <v>525</v>
      </c>
      <c r="D68" s="303" t="s">
        <v>104</v>
      </c>
      <c r="E68" s="303" t="s">
        <v>105</v>
      </c>
      <c r="F68" s="303" t="s">
        <v>106</v>
      </c>
      <c r="G68" s="304" t="s">
        <v>516</v>
      </c>
      <c r="Q68" s="837" t="s">
        <v>242</v>
      </c>
      <c r="R68" s="834" t="s">
        <v>243</v>
      </c>
      <c r="S68" s="834" t="s">
        <v>104</v>
      </c>
    </row>
    <row r="69" spans="1:19" ht="15.75">
      <c r="A69" s="107"/>
      <c r="B69" s="108" t="s">
        <v>126</v>
      </c>
      <c r="C69" s="124" t="str">
        <f t="shared" ref="C69:G70" si="4">C26</f>
        <v>PTD</v>
      </c>
      <c r="D69" s="125">
        <f t="shared" si="4"/>
        <v>21045508</v>
      </c>
      <c r="E69" s="125">
        <f t="shared" si="4"/>
        <v>6687437.8488280065</v>
      </c>
      <c r="F69" s="125">
        <f t="shared" si="4"/>
        <v>0</v>
      </c>
      <c r="G69" s="130">
        <f t="shared" si="4"/>
        <v>14358070.151171993</v>
      </c>
      <c r="Q69" s="125">
        <f>D69*Q$50</f>
        <v>6687437.8488280065</v>
      </c>
      <c r="R69" s="125">
        <f>D69*R$50</f>
        <v>0</v>
      </c>
      <c r="S69" s="125">
        <f t="shared" ref="S69:S74" si="5">Q69+R69</f>
        <v>6687437.8488280065</v>
      </c>
    </row>
    <row r="70" spans="1:19" ht="15.75">
      <c r="A70" s="107"/>
      <c r="B70" s="108" t="s">
        <v>127</v>
      </c>
      <c r="C70" s="124" t="str">
        <f t="shared" si="4"/>
        <v>LABOR</v>
      </c>
      <c r="D70" s="126">
        <f t="shared" si="4"/>
        <v>3976622</v>
      </c>
      <c r="E70" s="126">
        <f t="shared" si="4"/>
        <v>1455724.5705582532</v>
      </c>
      <c r="F70" s="126">
        <f t="shared" si="4"/>
        <v>0</v>
      </c>
      <c r="G70" s="127">
        <f t="shared" si="4"/>
        <v>2520897.4294417468</v>
      </c>
      <c r="Q70" s="125">
        <f>D70*Q$22</f>
        <v>1455724.5705582532</v>
      </c>
      <c r="R70" s="125">
        <f>D70*R$22</f>
        <v>0</v>
      </c>
      <c r="S70" s="125">
        <f t="shared" si="5"/>
        <v>1455724.5705582532</v>
      </c>
    </row>
    <row r="71" spans="1:19" ht="15.75">
      <c r="A71" s="107"/>
      <c r="B71" s="108" t="s">
        <v>133</v>
      </c>
      <c r="C71" s="124" t="str">
        <f t="shared" ref="C71:G72" si="6">C33</f>
        <v>PTD</v>
      </c>
      <c r="D71" s="126">
        <f t="shared" si="6"/>
        <v>42279271</v>
      </c>
      <c r="E71" s="126">
        <f t="shared" si="6"/>
        <v>13434695.760551672</v>
      </c>
      <c r="F71" s="126">
        <f t="shared" si="6"/>
        <v>0</v>
      </c>
      <c r="G71" s="127">
        <f t="shared" si="6"/>
        <v>28844575.239448324</v>
      </c>
      <c r="Q71" s="125">
        <f>D71*Q$50</f>
        <v>13434695.760551672</v>
      </c>
      <c r="R71" s="125">
        <f>D71*R$50</f>
        <v>0</v>
      </c>
      <c r="S71" s="125">
        <f t="shared" si="5"/>
        <v>13434695.760551672</v>
      </c>
    </row>
    <row r="72" spans="1:19" ht="15.75">
      <c r="A72" s="107"/>
      <c r="B72" s="108" t="s">
        <v>134</v>
      </c>
      <c r="C72" s="124" t="str">
        <f t="shared" si="6"/>
        <v>PTD</v>
      </c>
      <c r="D72" s="126">
        <f t="shared" si="6"/>
        <v>258773</v>
      </c>
      <c r="E72" s="126">
        <f t="shared" si="6"/>
        <v>82227.920297992794</v>
      </c>
      <c r="F72" s="126">
        <f t="shared" si="6"/>
        <v>0</v>
      </c>
      <c r="G72" s="127">
        <f t="shared" si="6"/>
        <v>176545.07970200721</v>
      </c>
      <c r="Q72" s="125">
        <f>D72*Q$50</f>
        <v>82227.920297992794</v>
      </c>
      <c r="R72" s="125">
        <f>D72*R$50</f>
        <v>0</v>
      </c>
      <c r="S72" s="125">
        <f t="shared" si="5"/>
        <v>82227.920297992794</v>
      </c>
    </row>
    <row r="73" spans="1:19" ht="15.75">
      <c r="A73" s="107"/>
      <c r="B73" s="108" t="s">
        <v>527</v>
      </c>
      <c r="C73" s="124"/>
      <c r="D73" s="125">
        <f>SUM(D69:D72)</f>
        <v>67560174</v>
      </c>
      <c r="E73" s="125">
        <f>SUM(E69:E72)</f>
        <v>21660086.100235924</v>
      </c>
      <c r="F73" s="125">
        <f>SUM(F69:F72)</f>
        <v>0</v>
      </c>
      <c r="G73" s="130">
        <f>SUM(G69:G72)</f>
        <v>45900087.899764068</v>
      </c>
      <c r="Q73" s="125">
        <f>SUM(Q69:Q72)</f>
        <v>21660086.100235924</v>
      </c>
      <c r="R73" s="125">
        <f>SUM(R69:R72)</f>
        <v>0</v>
      </c>
      <c r="S73" s="125">
        <f t="shared" si="5"/>
        <v>21660086.100235924</v>
      </c>
    </row>
    <row r="74" spans="1:19" ht="15.75">
      <c r="A74" s="107"/>
      <c r="B74" s="123" t="s">
        <v>346</v>
      </c>
      <c r="C74" s="561"/>
      <c r="D74" s="564">
        <f>IF($D73=0,0,D73/$D73)</f>
        <v>1</v>
      </c>
      <c r="E74" s="568">
        <f>IF($D73=0,0,E73/$D73)</f>
        <v>0.32060435635106455</v>
      </c>
      <c r="F74" s="568">
        <f>IF($D73=0,0,F73/$D73)</f>
        <v>0</v>
      </c>
      <c r="G74" s="569">
        <f>IF($D73=0,0,G73/$D73)</f>
        <v>0.67939564364893534</v>
      </c>
      <c r="O74" s="123" t="s">
        <v>453</v>
      </c>
      <c r="Q74" s="568">
        <f>IF(D73=0,0,Q73/D73)</f>
        <v>0.32060435635106455</v>
      </c>
      <c r="R74" s="568">
        <f>IF(D73=0,0,R73/D73)</f>
        <v>0</v>
      </c>
      <c r="S74" s="568">
        <f t="shared" si="5"/>
        <v>0.32060435635106455</v>
      </c>
    </row>
    <row r="75" spans="1:19" ht="15.75">
      <c r="A75" s="107"/>
      <c r="B75" s="123"/>
      <c r="C75" s="108"/>
      <c r="D75" s="131"/>
      <c r="E75" s="131"/>
      <c r="F75" s="131"/>
      <c r="G75" s="132"/>
      <c r="Q75" s="131"/>
      <c r="R75" s="131"/>
    </row>
    <row r="76" spans="1:19" ht="16.5" thickBot="1">
      <c r="A76" s="107"/>
      <c r="B76" s="123" t="s">
        <v>347</v>
      </c>
      <c r="C76" s="108"/>
      <c r="D76" s="573"/>
      <c r="E76" s="573"/>
      <c r="F76" s="573"/>
      <c r="G76" s="574"/>
      <c r="Q76" s="837" t="s">
        <v>242</v>
      </c>
      <c r="R76" s="834" t="s">
        <v>243</v>
      </c>
      <c r="S76" s="834" t="s">
        <v>104</v>
      </c>
    </row>
    <row r="77" spans="1:19" ht="16.5" thickBot="1">
      <c r="A77" s="107"/>
      <c r="B77" s="113"/>
      <c r="C77" s="108"/>
      <c r="D77" s="1540"/>
      <c r="E77" s="1540"/>
      <c r="F77" s="1540"/>
      <c r="G77" s="1541"/>
      <c r="P77" s="566" t="s">
        <v>180</v>
      </c>
      <c r="Q77" s="2400"/>
      <c r="R77" s="2401"/>
      <c r="S77" s="843"/>
    </row>
    <row r="78" spans="1:19" ht="15.75">
      <c r="A78" s="107"/>
      <c r="B78" s="113" t="s">
        <v>536</v>
      </c>
      <c r="C78" s="108"/>
      <c r="D78" s="1537" t="s">
        <v>395</v>
      </c>
      <c r="E78" s="1538">
        <v>0</v>
      </c>
      <c r="F78" s="1538">
        <v>0</v>
      </c>
      <c r="G78" s="1539">
        <v>1</v>
      </c>
      <c r="H78" s="65">
        <f>ROW()</f>
        <v>78</v>
      </c>
      <c r="J78" s="1262" t="s">
        <v>395</v>
      </c>
      <c r="K78" s="65">
        <f>VLOOKUP(J78,$D$78:$H$87,5,FALSE)</f>
        <v>78</v>
      </c>
      <c r="P78" s="567" t="s">
        <v>395</v>
      </c>
      <c r="Q78" s="2397">
        <v>0</v>
      </c>
      <c r="R78" s="2398"/>
      <c r="S78" s="844"/>
    </row>
    <row r="79" spans="1:19" ht="15.75">
      <c r="A79" s="107"/>
      <c r="B79" s="113" t="s">
        <v>537</v>
      </c>
      <c r="C79" s="108"/>
      <c r="D79" s="567" t="s">
        <v>397</v>
      </c>
      <c r="E79" s="568">
        <v>1</v>
      </c>
      <c r="F79" s="568">
        <v>0</v>
      </c>
      <c r="G79" s="569">
        <v>0</v>
      </c>
      <c r="H79" s="65">
        <f>ROW()</f>
        <v>79</v>
      </c>
      <c r="J79" s="1263" t="s">
        <v>397</v>
      </c>
      <c r="K79" s="65">
        <f t="shared" ref="K79:K87" si="7">VLOOKUP(J79,$D$78:$H$87,5,FALSE)</f>
        <v>79</v>
      </c>
      <c r="P79" s="567" t="s">
        <v>397</v>
      </c>
      <c r="Q79" s="2397"/>
      <c r="R79" s="2398"/>
      <c r="S79" s="844"/>
    </row>
    <row r="80" spans="1:19" ht="15.75">
      <c r="A80" s="107"/>
      <c r="B80" s="113" t="s">
        <v>538</v>
      </c>
      <c r="C80" s="108"/>
      <c r="D80" s="567" t="s">
        <v>396</v>
      </c>
      <c r="E80" s="568">
        <v>0</v>
      </c>
      <c r="F80" s="568">
        <v>1</v>
      </c>
      <c r="G80" s="569">
        <v>0</v>
      </c>
      <c r="H80" s="65">
        <f>ROW()</f>
        <v>80</v>
      </c>
      <c r="J80" s="1263" t="s">
        <v>396</v>
      </c>
      <c r="K80" s="65">
        <f t="shared" si="7"/>
        <v>80</v>
      </c>
      <c r="P80" s="567" t="s">
        <v>396</v>
      </c>
      <c r="Q80" s="2397">
        <v>0</v>
      </c>
      <c r="R80" s="2398"/>
      <c r="S80" s="844"/>
    </row>
    <row r="81" spans="1:19" ht="15.75">
      <c r="A81" s="107"/>
      <c r="B81" s="113" t="s">
        <v>539</v>
      </c>
      <c r="C81" s="108"/>
      <c r="D81" s="567" t="s">
        <v>90</v>
      </c>
      <c r="E81" s="568">
        <v>0</v>
      </c>
      <c r="F81" s="568">
        <v>0</v>
      </c>
      <c r="G81" s="569">
        <v>0</v>
      </c>
      <c r="H81" s="65">
        <f>ROW()</f>
        <v>81</v>
      </c>
      <c r="J81" s="1263" t="s">
        <v>90</v>
      </c>
      <c r="K81" s="65">
        <f t="shared" si="7"/>
        <v>81</v>
      </c>
      <c r="P81" s="567" t="s">
        <v>90</v>
      </c>
      <c r="Q81" s="2397"/>
      <c r="R81" s="2398"/>
      <c r="S81" s="844"/>
    </row>
    <row r="82" spans="1:19" ht="15.75">
      <c r="A82" s="107"/>
      <c r="B82" s="113" t="s">
        <v>92</v>
      </c>
      <c r="C82" s="108"/>
      <c r="D82" s="567" t="s">
        <v>91</v>
      </c>
      <c r="E82" s="568">
        <f>E38</f>
        <v>0.15404084567525972</v>
      </c>
      <c r="F82" s="568">
        <f>F38</f>
        <v>0</v>
      </c>
      <c r="G82" s="569">
        <f>G38</f>
        <v>0.84595915432474023</v>
      </c>
      <c r="H82" s="65">
        <f>ROW()</f>
        <v>82</v>
      </c>
      <c r="J82" s="1263" t="s">
        <v>91</v>
      </c>
      <c r="K82" s="65">
        <f t="shared" si="7"/>
        <v>82</v>
      </c>
      <c r="P82" s="567" t="s">
        <v>91</v>
      </c>
      <c r="Q82" s="568">
        <f>Q38</f>
        <v>0.15404084567525972</v>
      </c>
      <c r="R82" s="568">
        <f>R38</f>
        <v>0</v>
      </c>
      <c r="S82" s="568">
        <f t="shared" ref="S82:S87" si="8">Q82+R82</f>
        <v>0.15404084567525972</v>
      </c>
    </row>
    <row r="83" spans="1:19" ht="15.75">
      <c r="A83" s="107"/>
      <c r="B83" s="113" t="s">
        <v>94</v>
      </c>
      <c r="C83" s="108"/>
      <c r="D83" s="567" t="s">
        <v>93</v>
      </c>
      <c r="E83" s="568">
        <f>E74</f>
        <v>0.32060435635106455</v>
      </c>
      <c r="F83" s="568">
        <f>F74</f>
        <v>0</v>
      </c>
      <c r="G83" s="569">
        <f>G74</f>
        <v>0.67939564364893534</v>
      </c>
      <c r="H83" s="65">
        <f>ROW()</f>
        <v>83</v>
      </c>
      <c r="J83" s="1263" t="s">
        <v>93</v>
      </c>
      <c r="K83" s="65">
        <f t="shared" si="7"/>
        <v>83</v>
      </c>
      <c r="P83" s="567" t="s">
        <v>93</v>
      </c>
      <c r="Q83" s="568">
        <f>Q74</f>
        <v>0.32060435635106455</v>
      </c>
      <c r="R83" s="568">
        <f>R74</f>
        <v>0</v>
      </c>
      <c r="S83" s="568">
        <f t="shared" si="8"/>
        <v>0.32060435635106455</v>
      </c>
    </row>
    <row r="84" spans="1:19" ht="15.75">
      <c r="A84" s="107"/>
      <c r="B84" s="113" t="s">
        <v>535</v>
      </c>
      <c r="C84" s="108"/>
      <c r="D84" s="567" t="s">
        <v>95</v>
      </c>
      <c r="E84" s="568">
        <f>E22</f>
        <v>0.36607064250971133</v>
      </c>
      <c r="F84" s="568">
        <f>F22</f>
        <v>8.2763050239417574E-2</v>
      </c>
      <c r="G84" s="569">
        <f>G22</f>
        <v>0.55116630725087112</v>
      </c>
      <c r="H84" s="65">
        <f>ROW()</f>
        <v>84</v>
      </c>
      <c r="J84" s="1263" t="s">
        <v>95</v>
      </c>
      <c r="K84" s="65">
        <f t="shared" si="7"/>
        <v>84</v>
      </c>
      <c r="P84" s="567" t="s">
        <v>95</v>
      </c>
      <c r="Q84" s="568">
        <f>Q22</f>
        <v>0.36607064250971133</v>
      </c>
      <c r="R84" s="568">
        <f>R22</f>
        <v>0</v>
      </c>
      <c r="S84" s="568">
        <f t="shared" si="8"/>
        <v>0.36607064250971133</v>
      </c>
    </row>
    <row r="85" spans="1:19" ht="15.75">
      <c r="A85" s="107"/>
      <c r="B85" s="113" t="s">
        <v>529</v>
      </c>
      <c r="C85" s="108"/>
      <c r="D85" s="567" t="s">
        <v>99</v>
      </c>
      <c r="E85" s="568">
        <f>E50</f>
        <v>0.31776081854750221</v>
      </c>
      <c r="F85" s="568">
        <f>F50</f>
        <v>0</v>
      </c>
      <c r="G85" s="569">
        <f>G50</f>
        <v>0.68223918145249773</v>
      </c>
      <c r="H85" s="65">
        <f>ROW()</f>
        <v>85</v>
      </c>
      <c r="J85" s="1263" t="s">
        <v>99</v>
      </c>
      <c r="K85" s="65">
        <f t="shared" si="7"/>
        <v>85</v>
      </c>
      <c r="P85" s="567" t="s">
        <v>99</v>
      </c>
      <c r="Q85" s="568">
        <f>Q50</f>
        <v>0.31776081854750221</v>
      </c>
      <c r="R85" s="568">
        <f>R50</f>
        <v>0</v>
      </c>
      <c r="S85" s="568">
        <f t="shared" si="8"/>
        <v>0.31776081854750221</v>
      </c>
    </row>
    <row r="86" spans="1:19" ht="15.75">
      <c r="A86" s="107"/>
      <c r="B86" s="113" t="s">
        <v>540</v>
      </c>
      <c r="C86" s="108"/>
      <c r="D86" s="567" t="s">
        <v>108</v>
      </c>
      <c r="E86" s="568">
        <f>E59</f>
        <v>0.31822270268064157</v>
      </c>
      <c r="F86" s="568">
        <f>F59</f>
        <v>0</v>
      </c>
      <c r="G86" s="569">
        <f>G59</f>
        <v>0.68177729721660785</v>
      </c>
      <c r="H86" s="65">
        <f>ROW()</f>
        <v>86</v>
      </c>
      <c r="J86" s="1263" t="s">
        <v>108</v>
      </c>
      <c r="K86" s="65">
        <f t="shared" si="7"/>
        <v>86</v>
      </c>
      <c r="P86" s="567" t="s">
        <v>108</v>
      </c>
      <c r="Q86" s="568">
        <f>Q59</f>
        <v>0.31822270268064157</v>
      </c>
      <c r="R86" s="568">
        <f>R59</f>
        <v>0</v>
      </c>
      <c r="S86" s="568">
        <f t="shared" si="8"/>
        <v>0.31822270268064157</v>
      </c>
    </row>
    <row r="87" spans="1:19" ht="16.5" thickBot="1">
      <c r="A87" s="107"/>
      <c r="B87" s="113" t="s">
        <v>534</v>
      </c>
      <c r="C87" s="108"/>
      <c r="D87" s="570" t="s">
        <v>109</v>
      </c>
      <c r="E87" s="571">
        <f>E65</f>
        <v>0</v>
      </c>
      <c r="F87" s="571">
        <f>F65</f>
        <v>0</v>
      </c>
      <c r="G87" s="572">
        <f>G65</f>
        <v>1</v>
      </c>
      <c r="H87" s="65">
        <f>ROW()</f>
        <v>87</v>
      </c>
      <c r="J87" s="1264" t="s">
        <v>109</v>
      </c>
      <c r="K87" s="65">
        <f t="shared" si="7"/>
        <v>87</v>
      </c>
      <c r="P87" s="570" t="s">
        <v>109</v>
      </c>
      <c r="Q87" s="571">
        <f>Q65</f>
        <v>0</v>
      </c>
      <c r="R87" s="571">
        <f>R65</f>
        <v>0</v>
      </c>
      <c r="S87" s="571">
        <f t="shared" si="8"/>
        <v>0</v>
      </c>
    </row>
    <row r="88" spans="1:19" ht="16.5" thickBot="1">
      <c r="A88" s="114"/>
      <c r="B88" s="115"/>
      <c r="C88" s="115"/>
      <c r="D88" s="116"/>
      <c r="E88" s="116"/>
      <c r="F88" s="116"/>
      <c r="G88" s="117"/>
      <c r="Q88" s="111"/>
      <c r="R88" s="111"/>
    </row>
    <row r="89" spans="1:19" ht="13.5" thickTop="1"/>
  </sheetData>
  <mergeCells count="10">
    <mergeCell ref="A3:G3"/>
    <mergeCell ref="Q79:R79"/>
    <mergeCell ref="Q80:R80"/>
    <mergeCell ref="Q81:R81"/>
    <mergeCell ref="C5:E5"/>
    <mergeCell ref="C6:E6"/>
    <mergeCell ref="C7:E7"/>
    <mergeCell ref="Q11:S11"/>
    <mergeCell ref="Q77:R77"/>
    <mergeCell ref="Q78:R78"/>
  </mergeCells>
  <dataValidations disablePrompts="1" count="1">
    <dataValidation type="list" allowBlank="1" showInputMessage="1" showErrorMessage="1" sqref="C17" xr:uid="{00000000-0002-0000-0E00-000000000000}">
      <formula1>DIST</formula1>
    </dataValidation>
  </dataValidations>
  <hyperlinks>
    <hyperlink ref="A5" location="TOC!A1" display="TOC" xr:uid="{00000000-0004-0000-0E00-000000000000}"/>
    <hyperlink ref="A6" location="Ratios!A11" display="é" xr:uid="{00000000-0004-0000-0E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xxe4aPID" r:id="rId2"/>
  </customProperties>
  <legacy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00B0F0"/>
  </sheetPr>
  <dimension ref="A1:O71"/>
  <sheetViews>
    <sheetView topLeftCell="C1" zoomScale="120" zoomScaleNormal="120" zoomScalePageLayoutView="90" workbookViewId="0">
      <selection activeCell="J20" sqref="J20"/>
    </sheetView>
  </sheetViews>
  <sheetFormatPr defaultColWidth="9" defaultRowHeight="15.75"/>
  <cols>
    <col min="1" max="1" width="5.375" style="1" customWidth="1"/>
    <col min="2" max="2" width="46.125" style="1" customWidth="1"/>
    <col min="3" max="4" width="10.625" style="1" customWidth="1"/>
    <col min="5" max="5" width="10" style="1" customWidth="1"/>
    <col min="6" max="6" width="9.375" style="1" customWidth="1"/>
    <col min="7" max="7" width="16.125" style="1" customWidth="1"/>
    <col min="8" max="8" width="15.625" style="1" customWidth="1"/>
    <col min="9" max="9" width="14.5" style="1" customWidth="1"/>
    <col min="10" max="10" width="17.375" style="1" customWidth="1"/>
    <col min="11" max="11" width="9" style="1"/>
    <col min="12" max="14" width="14.75" style="1" customWidth="1"/>
    <col min="15" max="16384" width="9" style="1"/>
  </cols>
  <sheetData>
    <row r="1" spans="1:14" ht="19.5" thickTop="1">
      <c r="A1" s="2344" t="s">
        <v>54</v>
      </c>
      <c r="B1" s="2345"/>
      <c r="C1" s="2345"/>
      <c r="D1" s="2345"/>
      <c r="E1" s="2345"/>
      <c r="F1" s="2345"/>
      <c r="G1" s="2345"/>
      <c r="H1" s="2345"/>
      <c r="I1" s="2345"/>
      <c r="J1" s="2346"/>
    </row>
    <row r="2" spans="1:14">
      <c r="A2" s="2342" t="s">
        <v>56</v>
      </c>
      <c r="B2" s="2295"/>
      <c r="C2" s="2295"/>
      <c r="D2" s="2295"/>
      <c r="E2" s="2295"/>
      <c r="F2" s="2295"/>
      <c r="G2" s="2295"/>
      <c r="H2" s="2295"/>
      <c r="I2" s="2295"/>
      <c r="J2" s="2343"/>
    </row>
    <row r="3" spans="1:14">
      <c r="A3" s="2340" t="s">
        <v>723</v>
      </c>
      <c r="B3" s="2292"/>
      <c r="C3" s="2292"/>
      <c r="D3" s="2292"/>
      <c r="E3" s="2292"/>
      <c r="F3" s="2292"/>
      <c r="G3" s="2292"/>
      <c r="H3" s="2292"/>
      <c r="I3" s="2292"/>
      <c r="J3" s="2341"/>
    </row>
    <row r="4" spans="1:14" ht="13.5" customHeight="1" thickBot="1">
      <c r="A4" s="158"/>
      <c r="B4" s="3"/>
      <c r="C4" s="2"/>
      <c r="D4" s="2"/>
      <c r="E4" s="3"/>
      <c r="F4" s="3"/>
      <c r="G4" s="4"/>
      <c r="H4" s="5"/>
      <c r="I4" s="5"/>
      <c r="J4" s="159"/>
    </row>
    <row r="5" spans="1:14" ht="15.75" customHeight="1">
      <c r="A5" s="1238" t="s">
        <v>699</v>
      </c>
      <c r="B5" s="3"/>
      <c r="C5" s="2"/>
      <c r="D5" s="502" t="s">
        <v>576</v>
      </c>
      <c r="E5" s="2355" t="str">
        <f>'Sch 1- Rate Base '!$E$5</f>
        <v>Utility Name</v>
      </c>
      <c r="F5" s="2356"/>
      <c r="G5" s="2363"/>
      <c r="H5" s="5"/>
      <c r="I5" s="1197" t="s">
        <v>721</v>
      </c>
      <c r="J5" s="159"/>
    </row>
    <row r="6" spans="1:14" ht="15.75" customHeight="1">
      <c r="A6" s="1233"/>
      <c r="B6" s="3"/>
      <c r="C6" s="2"/>
      <c r="D6" s="502" t="s">
        <v>578</v>
      </c>
      <c r="E6" s="2357">
        <f>'Sch 1- Rate Base '!$E$6</f>
        <v>2023</v>
      </c>
      <c r="F6" s="2358"/>
      <c r="G6" s="2364"/>
      <c r="H6" s="624"/>
      <c r="I6" s="1324" t="str">
        <f>'Sch 1- Rate Base '!I6</f>
        <v/>
      </c>
      <c r="J6" s="159"/>
    </row>
    <row r="7" spans="1:14" ht="15.75" customHeight="1" thickBot="1">
      <c r="A7" s="158"/>
      <c r="B7" s="3"/>
      <c r="C7" s="2"/>
      <c r="D7" s="502" t="s">
        <v>579</v>
      </c>
      <c r="E7" s="2359">
        <f>'Sch 1- Rate Base '!$E$7</f>
        <v>45446</v>
      </c>
      <c r="F7" s="2361"/>
      <c r="G7" s="2362"/>
      <c r="H7" s="624"/>
      <c r="I7" s="1323" t="str">
        <f>'Sch 1- Rate Base '!I7</f>
        <v/>
      </c>
      <c r="J7" s="2211" t="s">
        <v>3222</v>
      </c>
    </row>
    <row r="8" spans="1:14" ht="9.75" customHeight="1">
      <c r="A8" s="158"/>
      <c r="B8" s="3"/>
      <c r="C8" s="2"/>
      <c r="D8" s="2"/>
      <c r="E8" s="3"/>
      <c r="F8" s="3"/>
      <c r="G8" s="4"/>
      <c r="H8" s="5"/>
      <c r="I8" s="5"/>
      <c r="J8" s="159"/>
    </row>
    <row r="9" spans="1:14">
      <c r="A9" s="332" t="s">
        <v>160</v>
      </c>
      <c r="B9" s="3"/>
      <c r="C9" s="2"/>
      <c r="D9" s="2"/>
      <c r="E9" s="3"/>
      <c r="F9" s="3"/>
      <c r="G9" s="4"/>
      <c r="H9" s="5"/>
      <c r="I9" s="5"/>
      <c r="J9" s="159"/>
      <c r="L9"/>
      <c r="M9"/>
      <c r="N9"/>
    </row>
    <row r="10" spans="1:14" ht="9" customHeight="1" thickBot="1">
      <c r="A10" s="177"/>
      <c r="B10" s="3"/>
      <c r="C10" s="2"/>
      <c r="D10" s="2"/>
      <c r="E10" s="3"/>
      <c r="F10" s="3"/>
      <c r="G10" s="4"/>
      <c r="H10" s="5"/>
      <c r="I10" s="5"/>
      <c r="J10" s="159"/>
      <c r="L10"/>
      <c r="M10"/>
      <c r="N10"/>
    </row>
    <row r="11" spans="1:14" ht="16.5" thickBot="1">
      <c r="A11" s="2349" t="s">
        <v>100</v>
      </c>
      <c r="B11" s="2286"/>
      <c r="C11" s="315" t="s">
        <v>276</v>
      </c>
      <c r="D11" s="316"/>
      <c r="E11" s="317" t="s">
        <v>354</v>
      </c>
      <c r="F11" s="318"/>
      <c r="G11" s="2289" t="s">
        <v>286</v>
      </c>
      <c r="H11" s="2289" t="s">
        <v>105</v>
      </c>
      <c r="I11" s="2289" t="s">
        <v>106</v>
      </c>
      <c r="J11" s="2347" t="s">
        <v>734</v>
      </c>
      <c r="L11" s="2289" t="s">
        <v>105</v>
      </c>
      <c r="M11" s="2289" t="s">
        <v>106</v>
      </c>
      <c r="N11" s="2347" t="s">
        <v>732</v>
      </c>
    </row>
    <row r="12" spans="1:14" ht="16.5" thickBot="1">
      <c r="A12" s="2383"/>
      <c r="B12" s="2288"/>
      <c r="C12" s="308" t="s">
        <v>272</v>
      </c>
      <c r="D12" s="309" t="s">
        <v>96</v>
      </c>
      <c r="E12" s="319" t="s">
        <v>454</v>
      </c>
      <c r="F12" s="320"/>
      <c r="G12" s="2290"/>
      <c r="H12" s="2290"/>
      <c r="I12" s="2290"/>
      <c r="J12" s="2390"/>
      <c r="L12" s="2290"/>
      <c r="M12" s="2290"/>
      <c r="N12" s="2390"/>
    </row>
    <row r="13" spans="1:14" ht="16.5" thickBot="1">
      <c r="A13" s="2384"/>
      <c r="B13" s="2385"/>
      <c r="C13" s="311" t="s">
        <v>273</v>
      </c>
      <c r="D13" s="312" t="s">
        <v>252</v>
      </c>
      <c r="E13" s="313" t="s">
        <v>352</v>
      </c>
      <c r="F13" s="313" t="s">
        <v>353</v>
      </c>
      <c r="G13" s="2380"/>
      <c r="H13" s="2380"/>
      <c r="I13" s="2380"/>
      <c r="J13" s="2391"/>
      <c r="L13" s="2312"/>
      <c r="M13" s="2312"/>
      <c r="N13" s="2348"/>
    </row>
    <row r="14" spans="1:14" ht="16.5" thickTop="1">
      <c r="A14" s="199" t="s">
        <v>41</v>
      </c>
      <c r="B14" s="31"/>
      <c r="C14" s="18"/>
      <c r="D14" s="27"/>
      <c r="E14" s="8"/>
      <c r="F14" s="8"/>
      <c r="G14" s="9"/>
      <c r="H14" s="9"/>
      <c r="I14" s="9"/>
      <c r="J14" s="1522"/>
      <c r="L14"/>
      <c r="M14"/>
      <c r="N14"/>
    </row>
    <row r="15" spans="1:14" s="57" customFormat="1" ht="12.75">
      <c r="A15" s="211"/>
      <c r="B15" s="46" t="s">
        <v>570</v>
      </c>
      <c r="C15" s="181" t="s">
        <v>837</v>
      </c>
      <c r="D15" s="184">
        <v>407.4</v>
      </c>
      <c r="E15" s="184" t="s">
        <v>90</v>
      </c>
      <c r="F15" s="184" t="s">
        <v>397</v>
      </c>
      <c r="G15" s="1770">
        <f>'FERC 114-117'!L14</f>
        <v>43048247.780000001</v>
      </c>
      <c r="H15" s="2213">
        <f>IF($E15="DIRECT",$L15,VLOOKUP($E15,Ratio,2,FALSE)*$G15)</f>
        <v>6528962.2342846561</v>
      </c>
      <c r="I15" s="2213">
        <f>IF($E15="DIRECT",$M15,VLOOKUP($E15,Ratio,3,FALSE)*$G15)</f>
        <v>0</v>
      </c>
      <c r="J15" s="2214">
        <f>IF($E15="DIRECT",$N15,VLOOKUP($E15,Ratio,4,FALSE)*$G15)</f>
        <v>36519285.765715346</v>
      </c>
      <c r="L15" s="1770">
        <f>'3b.1 Other Exp. Support'!E279*-1</f>
        <v>6528962.2342846561</v>
      </c>
      <c r="M15" s="1770">
        <f>'3b.1 Other Exp. Support'!F279*-1</f>
        <v>0</v>
      </c>
      <c r="N15" s="1770">
        <f>'3b.1 Other Exp. Support'!G279*-1</f>
        <v>36519285.765715346</v>
      </c>
    </row>
    <row r="16" spans="1:14" s="57" customFormat="1" ht="13.5">
      <c r="A16" s="211"/>
      <c r="B16" s="529" t="s">
        <v>581</v>
      </c>
      <c r="C16" s="181" t="s">
        <v>837</v>
      </c>
      <c r="D16" s="184">
        <v>407.3</v>
      </c>
      <c r="E16" s="184" t="s">
        <v>90</v>
      </c>
      <c r="F16" s="184" t="s">
        <v>395</v>
      </c>
      <c r="G16" s="1770">
        <f>'FERC 114-117'!L13</f>
        <v>21751021.41</v>
      </c>
      <c r="H16" s="2213">
        <f>IF($E16="DIRECT",$L16,VLOOKUP($E16,Ratio,2,FALSE)*$G16)</f>
        <v>5597733.3811167059</v>
      </c>
      <c r="I16" s="2213">
        <f>IF($E16="DIRECT",$M16,VLOOKUP($E16,Ratio,3,FALSE)*$G16)</f>
        <v>0</v>
      </c>
      <c r="J16" s="2214">
        <f>IF($E16="DIRECT",$N16,VLOOKUP($E16,Ratio,4,FALSE)*$G16)</f>
        <v>11163861</v>
      </c>
      <c r="L16" s="1770">
        <f>'3b.1 Other Exp. Support'!E302</f>
        <v>5597733.3811167059</v>
      </c>
      <c r="M16" s="1770">
        <f>'3b.1 Other Exp. Support'!F302</f>
        <v>0</v>
      </c>
      <c r="N16" s="1770">
        <f>'3b.1 Other Exp. Support'!G302</f>
        <v>11163861</v>
      </c>
    </row>
    <row r="17" spans="1:14" s="57" customFormat="1" ht="12.75">
      <c r="A17" s="161"/>
      <c r="B17" s="49" t="s">
        <v>393</v>
      </c>
      <c r="C17" s="181" t="s">
        <v>837</v>
      </c>
      <c r="D17" s="184">
        <v>411.6</v>
      </c>
      <c r="E17" s="184" t="s">
        <v>90</v>
      </c>
      <c r="F17" s="184" t="s">
        <v>397</v>
      </c>
      <c r="G17" s="2209">
        <f>'FERC 114-117'!L21</f>
        <v>0</v>
      </c>
      <c r="H17" s="249">
        <f>IF($E17="DIRECT",$L17,VLOOKUP($E17,Ratio,2,FALSE)*$G17)</f>
        <v>0</v>
      </c>
      <c r="I17" s="249">
        <f>IF($E17="DIRECT",$M17,VLOOKUP($E17,Ratio,3,FALSE)*$G17)</f>
        <v>0</v>
      </c>
      <c r="J17" s="266">
        <f>IF($E17="DIRECT",$N17,VLOOKUP($E17,Ratio,4,FALSE)*$G17)</f>
        <v>0</v>
      </c>
      <c r="L17" s="1770"/>
      <c r="M17" s="1770"/>
      <c r="N17" s="1770"/>
    </row>
    <row r="18" spans="1:14" s="57" customFormat="1" ht="13.5">
      <c r="A18" s="161"/>
      <c r="B18" s="530" t="s">
        <v>582</v>
      </c>
      <c r="C18" s="181" t="s">
        <v>837</v>
      </c>
      <c r="D18" s="184" t="s">
        <v>42</v>
      </c>
      <c r="E18" s="184" t="s">
        <v>90</v>
      </c>
      <c r="F18" s="184" t="s">
        <v>395</v>
      </c>
      <c r="G18" s="2209">
        <f>'FERC 114-117'!L22</f>
        <v>0</v>
      </c>
      <c r="H18" s="249">
        <f>IF($E18="DIRECT",$L18,VLOOKUP($E18,Ratio,2,FALSE)*$G18)</f>
        <v>0</v>
      </c>
      <c r="I18" s="249">
        <f>IF($E18="DIRECT",$M18,VLOOKUP($E18,Ratio,3,FALSE)*$G18)</f>
        <v>0</v>
      </c>
      <c r="J18" s="266">
        <f>IF($E18="DIRECT",$N18,VLOOKUP($E18,Ratio,4,FALSE)*$G18)</f>
        <v>0</v>
      </c>
      <c r="L18" s="1770"/>
      <c r="M18" s="1770"/>
      <c r="N18" s="1770"/>
    </row>
    <row r="19" spans="1:14" s="57" customFormat="1" ht="12.75">
      <c r="A19" s="161"/>
      <c r="B19" s="49" t="s">
        <v>394</v>
      </c>
      <c r="C19" s="181" t="s">
        <v>837</v>
      </c>
      <c r="D19" s="184">
        <v>411.8</v>
      </c>
      <c r="E19" s="184" t="s">
        <v>397</v>
      </c>
      <c r="F19" s="184"/>
      <c r="G19" s="2209">
        <f>'FERC 114-117'!L23</f>
        <v>0</v>
      </c>
      <c r="H19" s="523">
        <f>VLOOKUP($E19,Ratio,2,FALSE)*$G19</f>
        <v>0</v>
      </c>
      <c r="I19" s="523">
        <f>VLOOKUP($E19,Ratio,3,FALSE)*$G19</f>
        <v>0</v>
      </c>
      <c r="J19" s="1255">
        <f>VLOOKUP($E19,Ratio,4,FALSE)*$G19</f>
        <v>0</v>
      </c>
      <c r="L19" s="1834"/>
      <c r="M19" s="1834"/>
      <c r="N19" s="1834"/>
    </row>
    <row r="20" spans="1:14" s="57" customFormat="1" ht="13.5">
      <c r="A20" s="161"/>
      <c r="B20" s="530" t="s">
        <v>580</v>
      </c>
      <c r="C20" s="181" t="s">
        <v>837</v>
      </c>
      <c r="D20" s="184">
        <v>411.9</v>
      </c>
      <c r="E20" s="184" t="s">
        <v>397</v>
      </c>
      <c r="F20" s="184"/>
      <c r="G20" s="2209">
        <f>'FERC 114-117'!L24</f>
        <v>0</v>
      </c>
      <c r="H20" s="523">
        <f>VLOOKUP($E20,Ratio,2,FALSE)*$G20</f>
        <v>0</v>
      </c>
      <c r="I20" s="523">
        <f>VLOOKUP($E20,Ratio,3,FALSE)*$G20</f>
        <v>0</v>
      </c>
      <c r="J20" s="1255">
        <f>VLOOKUP($E20,Ratio,4,FALSE)*$G20</f>
        <v>0</v>
      </c>
      <c r="L20" s="1834"/>
      <c r="M20" s="1834"/>
      <c r="N20" s="1834"/>
    </row>
    <row r="21" spans="1:14" s="57" customFormat="1" ht="12.75">
      <c r="A21" s="161"/>
      <c r="B21" s="49" t="s">
        <v>181</v>
      </c>
      <c r="C21" s="181" t="s">
        <v>837</v>
      </c>
      <c r="D21" s="184">
        <v>421</v>
      </c>
      <c r="E21" s="184" t="s">
        <v>90</v>
      </c>
      <c r="F21" s="184" t="s">
        <v>397</v>
      </c>
      <c r="G21" s="2209">
        <f>'FERC 114-117'!L40</f>
        <v>0</v>
      </c>
      <c r="H21" s="249">
        <f>IF($E21="DIRECT",$L21,VLOOKUP($E21,Ratio,2,FALSE)*$G21)</f>
        <v>0</v>
      </c>
      <c r="I21" s="249">
        <f>IF($E21="DIRECT",$M21,VLOOKUP($E21,Ratio,3,FALSE)*$G21)</f>
        <v>0</v>
      </c>
      <c r="J21" s="266">
        <f>IF($E21="DIRECT",$N21,VLOOKUP($E21,Ratio,4,FALSE)*$G21)</f>
        <v>0</v>
      </c>
      <c r="L21" s="1770"/>
      <c r="M21" s="1770"/>
      <c r="N21" s="1770"/>
    </row>
    <row r="22" spans="1:14">
      <c r="A22" s="209" t="s">
        <v>49</v>
      </c>
      <c r="B22" s="220"/>
      <c r="C22" s="524"/>
      <c r="D22" s="525"/>
      <c r="E22" s="549"/>
      <c r="F22" s="549"/>
      <c r="G22" s="1831">
        <f>G15-G16+G17-G18+G19-G20+G21</f>
        <v>21297226.370000001</v>
      </c>
      <c r="H22" s="526">
        <f>H15-H16+H17-H18+H19-H20+H21</f>
        <v>931228.85316795018</v>
      </c>
      <c r="I22" s="526">
        <f>I15-I16+I17-I18+I19-I20+I21</f>
        <v>0</v>
      </c>
      <c r="J22" s="1256">
        <f>J15-J16+J17-J18+J19-J20+J21</f>
        <v>25355424.765715346</v>
      </c>
      <c r="L22" s="1776"/>
      <c r="M22" s="1776"/>
      <c r="N22" s="1776"/>
    </row>
    <row r="23" spans="1:14">
      <c r="A23" s="210"/>
      <c r="B23" s="220"/>
      <c r="C23" s="55"/>
      <c r="D23" s="55"/>
      <c r="E23" s="196"/>
      <c r="F23" s="196"/>
      <c r="G23" s="591"/>
      <c r="H23" s="221"/>
      <c r="I23" s="221"/>
      <c r="J23" s="222"/>
      <c r="L23" s="1778"/>
      <c r="M23" s="1776"/>
      <c r="N23" s="1776"/>
    </row>
    <row r="24" spans="1:14">
      <c r="A24" s="199" t="s">
        <v>278</v>
      </c>
      <c r="B24" s="220"/>
      <c r="C24" s="55"/>
      <c r="D24" s="55"/>
      <c r="E24" s="196"/>
      <c r="F24" s="196"/>
      <c r="G24" s="591"/>
      <c r="H24" s="221"/>
      <c r="I24" s="221"/>
      <c r="J24" s="222"/>
      <c r="L24" s="1776"/>
      <c r="M24" s="1776"/>
      <c r="N24" s="1776"/>
    </row>
    <row r="25" spans="1:14" s="57" customFormat="1" ht="12.75">
      <c r="A25" s="211"/>
      <c r="B25" s="49" t="s">
        <v>64</v>
      </c>
      <c r="C25" s="181">
        <v>310</v>
      </c>
      <c r="D25" s="184">
        <v>447</v>
      </c>
      <c r="E25" s="184" t="s">
        <v>397</v>
      </c>
      <c r="F25" s="184"/>
      <c r="G25" s="1832">
        <f>'3-YEAR PP &amp; OSS Worksheet'!D36</f>
        <v>253658001</v>
      </c>
      <c r="H25" s="1237">
        <f>VLOOKUP($E25,Ratio,2,FALSE)*$G25</f>
        <v>253658001</v>
      </c>
      <c r="I25" s="1237">
        <f>VLOOKUP($E25,Ratio,3,FALSE)*$G25</f>
        <v>0</v>
      </c>
      <c r="J25" s="1257">
        <f>VLOOKUP($E25,Ratio,4,FALSE)*$G25</f>
        <v>0</v>
      </c>
      <c r="L25" s="1834"/>
      <c r="M25" s="1834"/>
      <c r="N25" s="1834"/>
    </row>
    <row r="26" spans="1:14">
      <c r="A26" s="163" t="s">
        <v>65</v>
      </c>
      <c r="B26" s="64"/>
      <c r="C26" s="524"/>
      <c r="D26" s="525"/>
      <c r="E26" s="549"/>
      <c r="F26" s="549"/>
      <c r="G26" s="1831">
        <f>SUM(G25)</f>
        <v>253658001</v>
      </c>
      <c r="H26" s="526">
        <f>SUM(H25)</f>
        <v>253658001</v>
      </c>
      <c r="I26" s="526">
        <f>SUM(I25)</f>
        <v>0</v>
      </c>
      <c r="J26" s="1256">
        <f>SUM(J25)</f>
        <v>0</v>
      </c>
      <c r="L26" s="1776"/>
      <c r="M26" s="1776"/>
      <c r="N26" s="1776"/>
    </row>
    <row r="27" spans="1:14">
      <c r="A27" s="164"/>
      <c r="B27" s="64"/>
      <c r="C27" s="55"/>
      <c r="D27" s="55"/>
      <c r="E27" s="196"/>
      <c r="F27" s="196"/>
      <c r="G27" s="591"/>
      <c r="H27" s="221"/>
      <c r="I27" s="221"/>
      <c r="J27" s="222"/>
      <c r="L27" s="1776"/>
      <c r="M27" s="1776"/>
      <c r="N27" s="1776"/>
    </row>
    <row r="28" spans="1:14">
      <c r="A28" s="160" t="s">
        <v>43</v>
      </c>
      <c r="B28" s="64"/>
      <c r="C28" s="55"/>
      <c r="D28" s="55"/>
      <c r="E28" s="196"/>
      <c r="F28" s="196"/>
      <c r="G28" s="591"/>
      <c r="H28" s="221"/>
      <c r="I28" s="221"/>
      <c r="J28" s="222"/>
      <c r="L28" s="1776"/>
      <c r="M28" s="1776"/>
      <c r="N28" s="1776"/>
    </row>
    <row r="29" spans="1:14" s="57" customFormat="1" ht="12.75">
      <c r="A29" s="161"/>
      <c r="B29" s="54" t="s">
        <v>327</v>
      </c>
      <c r="C29" s="181">
        <v>300</v>
      </c>
      <c r="D29" s="184">
        <v>450</v>
      </c>
      <c r="E29" s="184" t="s">
        <v>395</v>
      </c>
      <c r="F29" s="184"/>
      <c r="G29" s="2210">
        <f>'FERC 300b Op Revenues'!I17</f>
        <v>0</v>
      </c>
      <c r="H29" s="523">
        <f t="shared" ref="H29:H35" si="0">VLOOKUP($E29,Ratio,2,FALSE)*$G29</f>
        <v>0</v>
      </c>
      <c r="I29" s="523">
        <f t="shared" ref="I29:I35" si="1">VLOOKUP($E29,Ratio,3,FALSE)*$G29</f>
        <v>0</v>
      </c>
      <c r="J29" s="1255">
        <f t="shared" ref="J29:J35" si="2">VLOOKUP($E29,Ratio,4,FALSE)*$G29</f>
        <v>0</v>
      </c>
      <c r="L29" s="1834"/>
      <c r="M29" s="1834"/>
      <c r="N29" s="1834"/>
    </row>
    <row r="30" spans="1:14" s="57" customFormat="1" ht="12.75">
      <c r="A30" s="161"/>
      <c r="B30" s="54" t="s">
        <v>550</v>
      </c>
      <c r="C30" s="181">
        <v>300</v>
      </c>
      <c r="D30" s="184" t="s">
        <v>44</v>
      </c>
      <c r="E30" s="184" t="s">
        <v>395</v>
      </c>
      <c r="F30" s="184"/>
      <c r="G30" s="2210">
        <f>'FERC 300b Op Revenues'!I18</f>
        <v>129396</v>
      </c>
      <c r="H30" s="523">
        <f t="shared" si="0"/>
        <v>0</v>
      </c>
      <c r="I30" s="523">
        <f t="shared" si="1"/>
        <v>0</v>
      </c>
      <c r="J30" s="1255">
        <f t="shared" si="2"/>
        <v>129396</v>
      </c>
      <c r="L30" s="1834"/>
      <c r="M30" s="1834"/>
      <c r="N30" s="1834"/>
    </row>
    <row r="31" spans="1:14" s="57" customFormat="1" ht="12.75">
      <c r="A31" s="161"/>
      <c r="B31" s="54" t="s">
        <v>549</v>
      </c>
      <c r="C31" s="181">
        <v>300</v>
      </c>
      <c r="D31" s="184" t="s">
        <v>45</v>
      </c>
      <c r="E31" s="184" t="s">
        <v>397</v>
      </c>
      <c r="F31" s="184"/>
      <c r="G31" s="2210">
        <f>'FERC 300b Op Revenues'!I19</f>
        <v>688332</v>
      </c>
      <c r="H31" s="523">
        <f t="shared" si="0"/>
        <v>688332</v>
      </c>
      <c r="I31" s="523">
        <f t="shared" si="1"/>
        <v>0</v>
      </c>
      <c r="J31" s="1255">
        <f t="shared" si="2"/>
        <v>0</v>
      </c>
      <c r="L31" s="1834"/>
      <c r="M31" s="1834"/>
      <c r="N31" s="1834"/>
    </row>
    <row r="32" spans="1:14" s="57" customFormat="1" ht="12.75">
      <c r="A32" s="161"/>
      <c r="B32" s="54" t="s">
        <v>548</v>
      </c>
      <c r="C32" s="181">
        <v>300</v>
      </c>
      <c r="D32" s="184" t="s">
        <v>46</v>
      </c>
      <c r="E32" s="184" t="s">
        <v>109</v>
      </c>
      <c r="F32" s="184"/>
      <c r="G32" s="2210">
        <f>'FERC 300b Op Revenues'!I20</f>
        <v>7542853</v>
      </c>
      <c r="H32" s="523">
        <f t="shared" si="0"/>
        <v>0</v>
      </c>
      <c r="I32" s="523">
        <f t="shared" si="1"/>
        <v>0</v>
      </c>
      <c r="J32" s="1255">
        <f t="shared" si="2"/>
        <v>7542853</v>
      </c>
      <c r="L32" s="1834"/>
      <c r="M32" s="1834"/>
      <c r="N32" s="1834"/>
    </row>
    <row r="33" spans="1:15" s="57" customFormat="1" ht="12.75">
      <c r="A33" s="161"/>
      <c r="B33" s="54" t="s">
        <v>329</v>
      </c>
      <c r="C33" s="181">
        <v>300</v>
      </c>
      <c r="D33" s="184">
        <v>455</v>
      </c>
      <c r="E33" s="184" t="s">
        <v>395</v>
      </c>
      <c r="F33" s="184"/>
      <c r="G33" s="2210">
        <f>'FERC 300b Op Revenues'!I21</f>
        <v>0</v>
      </c>
      <c r="H33" s="523">
        <f t="shared" si="0"/>
        <v>0</v>
      </c>
      <c r="I33" s="523">
        <f t="shared" si="1"/>
        <v>0</v>
      </c>
      <c r="J33" s="1255">
        <f t="shared" si="2"/>
        <v>0</v>
      </c>
      <c r="L33" s="1834"/>
      <c r="M33" s="1834"/>
      <c r="N33" s="1834"/>
    </row>
    <row r="34" spans="1:15" s="57" customFormat="1" ht="12.75">
      <c r="A34" s="161"/>
      <c r="B34" s="54" t="s">
        <v>328</v>
      </c>
      <c r="C34" s="181">
        <v>300</v>
      </c>
      <c r="D34" s="184" t="s">
        <v>47</v>
      </c>
      <c r="E34" s="184" t="s">
        <v>90</v>
      </c>
      <c r="F34" s="184" t="s">
        <v>397</v>
      </c>
      <c r="G34" s="2210">
        <f>'FERC 300b Op Revenues'!I22</f>
        <v>2198927</v>
      </c>
      <c r="H34" s="249">
        <f>IF($E34="DIRECT",$L34,VLOOKUP($E34,Ratio,2,FALSE)*$G34)</f>
        <v>-52738265.199999996</v>
      </c>
      <c r="I34" s="249">
        <f>IF($E34="DIRECT",$M34,VLOOKUP($E34,Ratio,3,FALSE)*$G34)</f>
        <v>0</v>
      </c>
      <c r="J34" s="266">
        <f>IF($E34="DIRECT",$N34,VLOOKUP($E34,Ratio,4,FALSE)*$G34)</f>
        <v>54937192.220000006</v>
      </c>
      <c r="L34" s="1770">
        <f>'3B.2 Revenue'!H52</f>
        <v>-52738265.199999996</v>
      </c>
      <c r="M34" s="1770">
        <f>0</f>
        <v>0</v>
      </c>
      <c r="N34" s="1770">
        <f>'3B.2 Revenue'!H54+'3B.2 Revenue'!H53</f>
        <v>54937192.220000006</v>
      </c>
      <c r="O34" s="2208"/>
    </row>
    <row r="35" spans="1:15" s="57" customFormat="1" ht="12.75">
      <c r="A35" s="161"/>
      <c r="B35" s="54" t="s">
        <v>507</v>
      </c>
      <c r="C35" s="181">
        <v>330</v>
      </c>
      <c r="D35" s="181">
        <v>456.1</v>
      </c>
      <c r="E35" s="184" t="s">
        <v>396</v>
      </c>
      <c r="F35" s="184"/>
      <c r="G35" s="2210">
        <f>'FERC 300b Op Revenues'!I23</f>
        <v>30969981</v>
      </c>
      <c r="H35" s="523">
        <f t="shared" si="0"/>
        <v>0</v>
      </c>
      <c r="I35" s="523">
        <f t="shared" si="1"/>
        <v>0</v>
      </c>
      <c r="J35" s="1255">
        <f t="shared" si="2"/>
        <v>30969981</v>
      </c>
      <c r="L35" s="1834"/>
      <c r="M35" s="1834"/>
      <c r="N35" s="1834"/>
    </row>
    <row r="36" spans="1:15" s="57" customFormat="1">
      <c r="A36" s="211"/>
      <c r="B36" s="54"/>
      <c r="C36" s="50"/>
      <c r="D36" s="48"/>
      <c r="E36" s="48"/>
      <c r="F36" s="48"/>
      <c r="G36" s="1797"/>
      <c r="H36" s="67"/>
      <c r="I36" s="67"/>
      <c r="J36" s="226"/>
      <c r="L36" s="1778"/>
      <c r="M36" s="1834"/>
      <c r="N36" s="1834"/>
    </row>
    <row r="37" spans="1:15">
      <c r="A37" s="163" t="s">
        <v>48</v>
      </c>
      <c r="B37" s="64"/>
      <c r="C37" s="527"/>
      <c r="D37" s="528"/>
      <c r="E37" s="1829"/>
      <c r="F37" s="1830"/>
      <c r="G37" s="1831">
        <f>SUM(G29:G36)</f>
        <v>41529489</v>
      </c>
      <c r="H37" s="526">
        <f>SUM(H29:H36)</f>
        <v>-52049933.199999996</v>
      </c>
      <c r="I37" s="526">
        <f>SUM(I29:I36)</f>
        <v>0</v>
      </c>
      <c r="J37" s="1256">
        <f>SUM(J29:J36)</f>
        <v>93579422.219999999</v>
      </c>
      <c r="L37" s="1769"/>
      <c r="M37" s="1769"/>
      <c r="N37" s="1769"/>
    </row>
    <row r="38" spans="1:15">
      <c r="A38" s="212"/>
      <c r="B38" s="64"/>
      <c r="C38" s="55"/>
      <c r="D38" s="55"/>
      <c r="E38" s="196"/>
      <c r="F38" s="196"/>
      <c r="G38" s="591"/>
      <c r="H38" s="221"/>
      <c r="I38" s="221"/>
      <c r="J38" s="222"/>
      <c r="L38" s="1769"/>
      <c r="M38" s="1769"/>
      <c r="N38" s="1769"/>
    </row>
    <row r="39" spans="1:15">
      <c r="A39" s="163" t="s">
        <v>49</v>
      </c>
      <c r="B39" s="64"/>
      <c r="C39" s="527"/>
      <c r="D39" s="528"/>
      <c r="E39" s="1829"/>
      <c r="F39" s="1829"/>
      <c r="G39" s="1833">
        <f>+G37+G26+G22</f>
        <v>316484716.37</v>
      </c>
      <c r="H39" s="526">
        <f>+H37+H26+H22</f>
        <v>202539296.65316796</v>
      </c>
      <c r="I39" s="526">
        <f>+I37+I26+I22</f>
        <v>0</v>
      </c>
      <c r="J39" s="1256">
        <f>+J37+J26+J22</f>
        <v>118934846.98571534</v>
      </c>
      <c r="L39" s="1769"/>
      <c r="M39" s="1769"/>
      <c r="N39" s="1769"/>
    </row>
    <row r="40" spans="1:15" s="57" customFormat="1" ht="12.75">
      <c r="A40" s="213" t="s">
        <v>67</v>
      </c>
      <c r="B40" s="33"/>
      <c r="C40" s="54"/>
      <c r="D40" s="54"/>
      <c r="E40" s="54"/>
      <c r="F40" s="54"/>
      <c r="G40" s="54"/>
      <c r="H40" s="54"/>
      <c r="I40" s="54"/>
      <c r="J40" s="244"/>
      <c r="L40" s="1834"/>
      <c r="M40" s="1834"/>
      <c r="N40" s="1834"/>
    </row>
    <row r="41" spans="1:15">
      <c r="A41" s="214"/>
      <c r="J41" s="171"/>
      <c r="L41" s="1769"/>
      <c r="M41" s="1769"/>
      <c r="N41" s="1769"/>
    </row>
    <row r="42" spans="1:15" ht="16.5" thickBot="1">
      <c r="A42" s="215"/>
      <c r="B42" s="216"/>
      <c r="C42" s="216"/>
      <c r="D42" s="216"/>
      <c r="E42" s="216"/>
      <c r="F42" s="216"/>
      <c r="G42" s="216"/>
      <c r="H42" s="216"/>
      <c r="I42" s="216"/>
      <c r="J42" s="217"/>
      <c r="L42" s="1769"/>
      <c r="M42" s="1769"/>
      <c r="N42" s="1769"/>
    </row>
    <row r="43" spans="1:15" ht="16.5" thickTop="1">
      <c r="L43" s="1769"/>
      <c r="M43" s="1769"/>
      <c r="N43" s="1769"/>
    </row>
    <row r="60" spans="1:7">
      <c r="A60"/>
      <c r="B60"/>
      <c r="C60"/>
      <c r="D60"/>
      <c r="E60"/>
      <c r="F60"/>
      <c r="G60"/>
    </row>
    <row r="61" spans="1:7">
      <c r="A61"/>
      <c r="B61"/>
      <c r="C61"/>
      <c r="D61"/>
      <c r="E61"/>
      <c r="F61"/>
      <c r="G61"/>
    </row>
    <row r="62" spans="1:7">
      <c r="A62"/>
      <c r="B62"/>
      <c r="C62"/>
      <c r="D62"/>
      <c r="E62"/>
      <c r="F62"/>
      <c r="G62"/>
    </row>
    <row r="63" spans="1:7">
      <c r="A63"/>
      <c r="B63"/>
      <c r="C63"/>
      <c r="D63"/>
      <c r="E63"/>
      <c r="F63"/>
      <c r="G63"/>
    </row>
    <row r="64" spans="1:7">
      <c r="A64"/>
      <c r="B64"/>
      <c r="C64"/>
      <c r="D64"/>
      <c r="E64"/>
      <c r="F64"/>
      <c r="G64"/>
    </row>
    <row r="65" spans="1:7">
      <c r="A65"/>
      <c r="B65"/>
      <c r="C65"/>
      <c r="D65"/>
      <c r="E65"/>
      <c r="F65"/>
      <c r="G65"/>
    </row>
    <row r="66" spans="1:7">
      <c r="A66"/>
      <c r="B66"/>
      <c r="C66"/>
      <c r="D66"/>
      <c r="E66"/>
      <c r="F66"/>
      <c r="G66"/>
    </row>
    <row r="67" spans="1:7">
      <c r="A67"/>
      <c r="B67"/>
      <c r="C67"/>
      <c r="D67"/>
      <c r="E67"/>
      <c r="F67"/>
      <c r="G67"/>
    </row>
    <row r="68" spans="1:7">
      <c r="A68"/>
      <c r="B68"/>
      <c r="C68"/>
      <c r="D68"/>
      <c r="E68"/>
      <c r="F68"/>
      <c r="G68"/>
    </row>
    <row r="69" spans="1:7">
      <c r="A69"/>
      <c r="B69"/>
      <c r="C69"/>
      <c r="D69"/>
      <c r="E69"/>
      <c r="F69"/>
      <c r="G69"/>
    </row>
    <row r="70" spans="1:7">
      <c r="A70"/>
      <c r="B70"/>
      <c r="C70"/>
      <c r="D70"/>
      <c r="E70"/>
      <c r="F70"/>
      <c r="G70"/>
    </row>
    <row r="71" spans="1:7">
      <c r="A71"/>
      <c r="B71"/>
      <c r="C71"/>
      <c r="D71"/>
      <c r="E71"/>
      <c r="F71"/>
      <c r="G71"/>
    </row>
  </sheetData>
  <mergeCells count="14">
    <mergeCell ref="L11:L13"/>
    <mergeCell ref="M11:M13"/>
    <mergeCell ref="J11:J13"/>
    <mergeCell ref="N11:N13"/>
    <mergeCell ref="A1:J1"/>
    <mergeCell ref="A11:B13"/>
    <mergeCell ref="E5:G5"/>
    <mergeCell ref="E6:G6"/>
    <mergeCell ref="E7:G7"/>
    <mergeCell ref="G11:G13"/>
    <mergeCell ref="H11:H13"/>
    <mergeCell ref="I11:I13"/>
    <mergeCell ref="A3:J3"/>
    <mergeCell ref="A2:J2"/>
  </mergeCells>
  <phoneticPr fontId="0" type="noConversion"/>
  <conditionalFormatting sqref="G15:G21">
    <cfRule type="expression" dxfId="7" priority="3">
      <formula>G15&lt;&gt;SUM(H15:J15)</formula>
    </cfRule>
  </conditionalFormatting>
  <dataValidations count="2">
    <dataValidation type="list" allowBlank="1" showInputMessage="1" showErrorMessage="1" sqref="E16 E18" xr:uid="{00000000-0002-0000-0700-000000000000}">
      <formula1>DIST</formula1>
    </dataValidation>
    <dataValidation type="list" allowBlank="1" showInputMessage="1" showErrorMessage="1" sqref="E21 E17 E15 E34" xr:uid="{00000000-0002-0000-0700-000001000000}">
      <formula1>PROD</formula1>
    </dataValidation>
  </dataValidations>
  <hyperlinks>
    <hyperlink ref="A5" location="TOC!A1" display="TOC" xr:uid="{00000000-0004-0000-0700-000000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customProperties>
    <customPr name="xxe4aPID" r:id="rId2"/>
  </customProperties>
  <ignoredErrors>
    <ignoredError sqref="D18 D30:D32 D34"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rgb="FF00B0F0"/>
  </sheetPr>
  <dimension ref="A1:Q79"/>
  <sheetViews>
    <sheetView zoomScaleNormal="100" zoomScalePageLayoutView="70" workbookViewId="0">
      <selection activeCell="A6" sqref="A1:XFD1048576"/>
    </sheetView>
  </sheetViews>
  <sheetFormatPr defaultRowHeight="15.75"/>
  <cols>
    <col min="1" max="1" width="34.25" style="1" customWidth="1"/>
    <col min="2" max="2" width="15.875" customWidth="1"/>
    <col min="3" max="3" width="19.625" customWidth="1"/>
    <col min="4" max="4" width="24.875" customWidth="1"/>
    <col min="5" max="5" width="19.625" customWidth="1"/>
    <col min="6" max="6" width="20.5" customWidth="1"/>
    <col min="7" max="7" width="10.75" customWidth="1"/>
    <col min="8" max="9" width="21.625" customWidth="1"/>
    <col min="10" max="10" width="19.25" customWidth="1"/>
    <col min="11" max="11" width="19.875" customWidth="1"/>
  </cols>
  <sheetData>
    <row r="1" spans="1:17" s="1" customFormat="1" ht="20.100000000000001" customHeight="1" thickTop="1">
      <c r="A1" s="2344" t="s">
        <v>54</v>
      </c>
      <c r="B1" s="2345"/>
      <c r="C1" s="2345"/>
      <c r="D1" s="2345"/>
      <c r="E1" s="2345"/>
      <c r="F1" s="2346"/>
      <c r="G1"/>
      <c r="H1"/>
      <c r="I1"/>
      <c r="J1"/>
      <c r="K1"/>
      <c r="L1"/>
      <c r="M1"/>
      <c r="N1"/>
      <c r="O1"/>
      <c r="P1"/>
      <c r="Q1"/>
    </row>
    <row r="2" spans="1:17" s="1" customFormat="1" ht="20.100000000000001" customHeight="1">
      <c r="A2" s="2342" t="s">
        <v>56</v>
      </c>
      <c r="B2" s="2295"/>
      <c r="C2" s="2295"/>
      <c r="D2" s="2295"/>
      <c r="E2" s="2295"/>
      <c r="F2" s="2343"/>
      <c r="G2"/>
      <c r="H2"/>
      <c r="I2"/>
      <c r="J2"/>
      <c r="K2"/>
      <c r="L2"/>
      <c r="M2"/>
      <c r="N2"/>
      <c r="O2"/>
      <c r="P2"/>
      <c r="Q2"/>
    </row>
    <row r="3" spans="1:17" s="1" customFormat="1" ht="20.100000000000001" customHeight="1">
      <c r="A3" s="2340" t="s">
        <v>723</v>
      </c>
      <c r="B3" s="2292"/>
      <c r="C3" s="2292"/>
      <c r="D3" s="2292"/>
      <c r="E3" s="2292"/>
      <c r="F3" s="2341"/>
      <c r="G3"/>
      <c r="H3"/>
      <c r="I3"/>
      <c r="J3"/>
      <c r="K3"/>
      <c r="L3"/>
      <c r="M3"/>
      <c r="N3"/>
      <c r="O3"/>
      <c r="P3"/>
      <c r="Q3"/>
    </row>
    <row r="4" spans="1:17" s="1" customFormat="1" ht="15.75" customHeight="1" thickBot="1">
      <c r="A4" s="367"/>
      <c r="B4" s="180"/>
      <c r="C4" s="180"/>
      <c r="D4" s="180"/>
      <c r="E4" s="180"/>
      <c r="F4" s="237"/>
      <c r="G4"/>
      <c r="H4"/>
      <c r="I4"/>
      <c r="J4"/>
      <c r="K4"/>
      <c r="L4"/>
      <c r="M4"/>
      <c r="N4"/>
      <c r="O4"/>
      <c r="P4"/>
      <c r="Q4"/>
    </row>
    <row r="5" spans="1:17" s="1" customFormat="1" ht="15.75" customHeight="1">
      <c r="A5" s="1238" t="s">
        <v>699</v>
      </c>
      <c r="B5" s="502" t="s">
        <v>576</v>
      </c>
      <c r="C5" s="2355" t="str">
        <f>'Sch 1- Rate Base '!$E$5</f>
        <v>Utility Name</v>
      </c>
      <c r="D5" s="2356"/>
      <c r="E5" s="1313"/>
      <c r="F5" s="1325" t="s">
        <v>721</v>
      </c>
      <c r="G5"/>
      <c r="H5"/>
      <c r="I5"/>
      <c r="J5"/>
      <c r="K5"/>
      <c r="L5"/>
      <c r="M5"/>
      <c r="N5"/>
      <c r="O5"/>
      <c r="P5"/>
      <c r="Q5"/>
    </row>
    <row r="6" spans="1:17" s="1" customFormat="1" ht="15.75" customHeight="1">
      <c r="A6" s="1233"/>
      <c r="B6" s="502" t="s">
        <v>578</v>
      </c>
      <c r="C6" s="2357">
        <f>'Sch 1- Rate Base '!$E$6</f>
        <v>2023</v>
      </c>
      <c r="D6" s="2358"/>
      <c r="E6" s="1313"/>
      <c r="F6" s="1326" t="str">
        <f>'Sch 1- Rate Base '!I6</f>
        <v/>
      </c>
      <c r="G6"/>
      <c r="H6"/>
      <c r="I6"/>
      <c r="J6"/>
      <c r="K6"/>
      <c r="L6"/>
      <c r="M6"/>
      <c r="N6"/>
      <c r="O6"/>
      <c r="P6"/>
      <c r="Q6"/>
    </row>
    <row r="7" spans="1:17" s="1" customFormat="1" ht="15.75" customHeight="1" thickBot="1">
      <c r="A7" s="367"/>
      <c r="B7" s="502" t="s">
        <v>579</v>
      </c>
      <c r="C7" s="2359">
        <f>'Sch 1- Rate Base '!$E$7</f>
        <v>45446</v>
      </c>
      <c r="D7" s="2360"/>
      <c r="E7" s="1313"/>
      <c r="F7" s="1328" t="str">
        <f>'Sch 1- Rate Base '!I7</f>
        <v/>
      </c>
      <c r="G7"/>
      <c r="H7"/>
      <c r="I7"/>
      <c r="J7"/>
      <c r="K7"/>
      <c r="L7"/>
      <c r="M7"/>
      <c r="N7"/>
      <c r="O7"/>
      <c r="P7"/>
      <c r="Q7"/>
    </row>
    <row r="8" spans="1:17" s="1" customFormat="1" ht="15.75" customHeight="1">
      <c r="A8" s="367"/>
      <c r="B8" s="502"/>
      <c r="C8" s="625"/>
      <c r="D8" s="180"/>
      <c r="F8" s="171"/>
      <c r="G8"/>
      <c r="H8"/>
      <c r="I8"/>
      <c r="J8"/>
      <c r="K8"/>
      <c r="L8"/>
      <c r="M8"/>
      <c r="N8"/>
      <c r="O8"/>
      <c r="P8"/>
      <c r="Q8"/>
    </row>
    <row r="9" spans="1:17" s="1" customFormat="1" ht="19.5" customHeight="1">
      <c r="A9" s="2404" t="s">
        <v>66</v>
      </c>
      <c r="B9" s="2405"/>
      <c r="C9" s="2405"/>
      <c r="D9" s="2405"/>
      <c r="E9" s="2405"/>
      <c r="F9" s="2406"/>
      <c r="G9"/>
      <c r="H9"/>
      <c r="I9"/>
      <c r="J9"/>
      <c r="K9"/>
      <c r="L9"/>
      <c r="M9"/>
      <c r="N9"/>
      <c r="O9"/>
      <c r="P9"/>
      <c r="Q9"/>
    </row>
    <row r="10" spans="1:17" s="1" customFormat="1" ht="15.75" customHeight="1" thickBot="1">
      <c r="A10" s="368"/>
      <c r="B10" s="369"/>
      <c r="C10" s="369"/>
      <c r="D10" s="369"/>
      <c r="E10" s="369"/>
      <c r="F10" s="370"/>
      <c r="G10"/>
      <c r="H10"/>
      <c r="I10"/>
      <c r="J10"/>
      <c r="K10"/>
      <c r="L10"/>
      <c r="M10"/>
      <c r="N10"/>
      <c r="O10"/>
      <c r="P10"/>
      <c r="Q10"/>
    </row>
    <row r="11" spans="1:17" s="1" customFormat="1" ht="16.5" thickBot="1">
      <c r="A11" s="224"/>
      <c r="B11" s="90"/>
      <c r="C11" s="90"/>
      <c r="D11" s="90"/>
      <c r="E11" s="90"/>
      <c r="F11" s="223"/>
      <c r="G11"/>
      <c r="H11"/>
      <c r="I11"/>
      <c r="J11"/>
      <c r="K11"/>
      <c r="L11"/>
      <c r="M11"/>
      <c r="N11"/>
      <c r="O11"/>
      <c r="P11"/>
      <c r="Q11"/>
    </row>
    <row r="12" spans="1:17" s="1" customFormat="1" ht="16.5" thickBot="1">
      <c r="A12" s="170"/>
      <c r="C12" s="305" t="s">
        <v>104</v>
      </c>
      <c r="D12" s="305" t="s">
        <v>105</v>
      </c>
      <c r="E12" s="305" t="s">
        <v>106</v>
      </c>
      <c r="F12" s="306" t="s">
        <v>351</v>
      </c>
    </row>
    <row r="13" spans="1:17" s="1" customFormat="1" ht="16.5" thickBot="1">
      <c r="A13" s="163" t="s">
        <v>50</v>
      </c>
      <c r="B13" s="18"/>
      <c r="C13" s="550">
        <f>'Sch 3 - Expenses'!G100</f>
        <v>937273416.83000004</v>
      </c>
      <c r="D13" s="550">
        <f>'Sch 3 - Expenses'!H100</f>
        <v>611677016.79410982</v>
      </c>
      <c r="E13" s="550">
        <f>'Sch 3 - Expenses'!I100</f>
        <v>0</v>
      </c>
      <c r="F13" s="551">
        <f>'Sch 3 - Expenses'!J100</f>
        <v>325596400.03416735</v>
      </c>
      <c r="H13" s="2195"/>
    </row>
    <row r="14" spans="1:17" s="1" customFormat="1">
      <c r="A14" s="213" t="s">
        <v>68</v>
      </c>
      <c r="B14" s="18"/>
      <c r="C14" s="67"/>
      <c r="D14" s="67"/>
      <c r="E14" s="67"/>
      <c r="F14" s="226"/>
      <c r="H14" s="2195"/>
    </row>
    <row r="15" spans="1:17" s="1" customFormat="1" ht="16.5" thickBot="1">
      <c r="A15" s="227"/>
      <c r="B15" s="18"/>
      <c r="C15" s="67"/>
      <c r="D15" s="67"/>
      <c r="E15" s="67"/>
      <c r="F15" s="226"/>
      <c r="H15" s="2195"/>
    </row>
    <row r="16" spans="1:17" s="1" customFormat="1" ht="16.5" thickBot="1">
      <c r="A16" s="163" t="s">
        <v>141</v>
      </c>
      <c r="B16" s="18"/>
      <c r="C16" s="550">
        <f>IF('Sch 2 -Rate of Return'!E42&gt;0,'Sch 2 -Rate of Return'!E42,IF('Sch 2 -Rate of Return'!E98&gt;0,'Sch 2 -Rate of Return'!E98,IF('Sch 2 -Rate of Return'!E125&gt;0,'Sch 2 -Rate of Return'!E125,0)))</f>
        <v>318560839.00773537</v>
      </c>
      <c r="D16" s="550">
        <f>IF('Sch 2 -Rate of Return'!F42&gt;0,'Sch 2 -Rate of Return'!F42,IF('Sch 2 -Rate of Return'!F98&gt;0,'Sch 2 -Rate of Return'!F98,IF('Sch 2 -Rate of Return'!F125&gt;0,'Sch 2 -Rate of Return'!F125,0)))</f>
        <v>91289873.635046005</v>
      </c>
      <c r="E16" s="550">
        <f>IF('Sch 2 -Rate of Return'!G42&gt;0,'Sch 2 -Rate of Return'!G42,IF('Sch 2 -Rate of Return'!G98&gt;0,'Sch 2 -Rate of Return'!G98,IF('Sch 2 -Rate of Return'!G125&gt;0,'Sch 2 -Rate of Return'!G125,0)))</f>
        <v>0</v>
      </c>
      <c r="F16" s="551">
        <f>IF('Sch 2 -Rate of Return'!H42&gt;0,'Sch 2 -Rate of Return'!H42,IF('Sch 2 -Rate of Return'!H98&gt;0,'Sch 2 -Rate of Return'!H98,IF('Sch 2 -Rate of Return'!H125&gt;0,'Sch 2 -Rate of Return'!H125,0)))</f>
        <v>227270965.2772226</v>
      </c>
    </row>
    <row r="17" spans="1:11" s="1" customFormat="1">
      <c r="A17" s="213" t="s">
        <v>254</v>
      </c>
      <c r="B17" s="18"/>
      <c r="C17" s="67"/>
      <c r="D17" s="67"/>
      <c r="E17" s="67"/>
      <c r="F17" s="226"/>
    </row>
    <row r="18" spans="1:11" s="1" customFormat="1" ht="16.5" thickBot="1">
      <c r="A18" s="227"/>
      <c r="B18" s="18"/>
      <c r="C18" s="67"/>
      <c r="D18" s="67"/>
      <c r="E18" s="67"/>
      <c r="F18" s="226"/>
    </row>
    <row r="19" spans="1:11" s="1" customFormat="1" ht="16.5" thickBot="1">
      <c r="A19" s="163" t="s">
        <v>39</v>
      </c>
      <c r="B19" s="18"/>
      <c r="C19" s="550">
        <f>'Sch 3A - Taxes'!F31</f>
        <v>135775232</v>
      </c>
      <c r="D19" s="550">
        <f>'Sch 3A - Taxes'!G31</f>
        <v>18405972.337472353</v>
      </c>
      <c r="E19" s="550">
        <f>'Sch 3A - Taxes'!H31</f>
        <v>0</v>
      </c>
      <c r="F19" s="551">
        <f>'Sch 3A - Taxes'!I31</f>
        <v>117369259.65863717</v>
      </c>
    </row>
    <row r="20" spans="1:11" s="1" customFormat="1">
      <c r="A20" s="213" t="s">
        <v>161</v>
      </c>
      <c r="B20" s="18"/>
      <c r="C20" s="67"/>
      <c r="D20" s="67"/>
      <c r="E20" s="67"/>
      <c r="F20" s="226"/>
    </row>
    <row r="21" spans="1:11" s="1" customFormat="1" ht="16.5" thickBot="1">
      <c r="A21" s="227"/>
      <c r="B21" s="18"/>
      <c r="C21" s="67"/>
      <c r="D21" s="67"/>
      <c r="E21" s="67"/>
      <c r="F21" s="226"/>
    </row>
    <row r="22" spans="1:11" s="1" customFormat="1" ht="16.5" thickBot="1">
      <c r="A22" s="163" t="s">
        <v>49</v>
      </c>
      <c r="B22" s="18"/>
      <c r="C22" s="550">
        <f>'Sch 3B - Other Items'!G39</f>
        <v>316484716.37</v>
      </c>
      <c r="D22" s="550">
        <f>'Sch 3B - Other Items'!H39</f>
        <v>202539296.65316796</v>
      </c>
      <c r="E22" s="550">
        <f>'Sch 3B - Other Items'!I39</f>
        <v>0</v>
      </c>
      <c r="F22" s="551">
        <f>'Sch 3B - Other Items'!J39</f>
        <v>118934846.98571534</v>
      </c>
      <c r="H22" s="2195"/>
    </row>
    <row r="23" spans="1:11" s="1" customFormat="1">
      <c r="A23" s="213" t="s">
        <v>508</v>
      </c>
      <c r="B23" s="18"/>
      <c r="C23" s="67"/>
      <c r="D23" s="67"/>
      <c r="E23" s="67"/>
      <c r="F23" s="226"/>
    </row>
    <row r="24" spans="1:11" s="1" customFormat="1" ht="16.5" thickBot="1">
      <c r="A24" s="227"/>
      <c r="B24" s="18"/>
      <c r="C24" s="67"/>
      <c r="D24" s="67"/>
      <c r="E24" s="67"/>
      <c r="F24" s="226"/>
    </row>
    <row r="25" spans="1:11" s="1" customFormat="1" ht="16.5" thickBot="1">
      <c r="A25" s="163" t="s">
        <v>51</v>
      </c>
      <c r="B25" s="18"/>
      <c r="C25" s="552">
        <f>C13+C16+C19-C22</f>
        <v>1075124771.4677353</v>
      </c>
      <c r="D25" s="552">
        <f>D13+D16+D19-D22</f>
        <v>518833566.11346018</v>
      </c>
      <c r="E25" s="552">
        <f>E13+E16+E19-E22</f>
        <v>0</v>
      </c>
      <c r="F25" s="553">
        <f>F13+F16+F19-F22</f>
        <v>551301777.9843117</v>
      </c>
    </row>
    <row r="26" spans="1:11" s="1" customFormat="1" ht="15.75" customHeight="1">
      <c r="A26" s="213" t="s">
        <v>251</v>
      </c>
      <c r="B26" s="32"/>
      <c r="C26" s="51"/>
      <c r="D26" s="51"/>
      <c r="E26" s="576"/>
      <c r="F26" s="222"/>
      <c r="G26" s="9"/>
      <c r="H26" s="9"/>
      <c r="I26" s="9"/>
    </row>
    <row r="27" spans="1:11" s="1" customFormat="1" ht="15.75" customHeight="1">
      <c r="A27" s="170"/>
      <c r="E27" s="577"/>
      <c r="F27" s="578"/>
    </row>
    <row r="28" spans="1:11" s="1" customFormat="1" ht="15.75" customHeight="1" thickBot="1">
      <c r="A28" s="191"/>
      <c r="B28" s="216"/>
      <c r="C28" s="216"/>
      <c r="E28" s="216"/>
      <c r="F28" s="217"/>
    </row>
    <row r="29" spans="1:11" s="1" customFormat="1" ht="15.75" customHeight="1" thickTop="1">
      <c r="A29" s="232"/>
      <c r="B29" s="233"/>
      <c r="C29" s="233"/>
      <c r="D29" s="233"/>
      <c r="E29" s="233"/>
      <c r="F29" s="234"/>
      <c r="H29" s="15" t="s">
        <v>138</v>
      </c>
      <c r="J29" s="15" t="s">
        <v>748</v>
      </c>
      <c r="K29" s="15" t="s">
        <v>749</v>
      </c>
    </row>
    <row r="30" spans="1:11" s="1" customFormat="1" ht="15.75" customHeight="1" thickBot="1">
      <c r="A30" s="170"/>
      <c r="E30" s="579"/>
      <c r="F30" s="171"/>
      <c r="H30" s="1070" t="s">
        <v>750</v>
      </c>
      <c r="I30" s="15" t="s">
        <v>139</v>
      </c>
      <c r="J30" s="15" t="s">
        <v>751</v>
      </c>
      <c r="K30" s="1070" t="s">
        <v>751</v>
      </c>
    </row>
    <row r="31" spans="1:11" s="1" customFormat="1" ht="15.75" customHeight="1" thickBot="1">
      <c r="A31" s="554" t="s">
        <v>509</v>
      </c>
      <c r="B31" s="18"/>
      <c r="C31" s="51"/>
      <c r="D31" s="52"/>
      <c r="E31" s="52"/>
      <c r="F31" s="171"/>
      <c r="H31" s="15" t="s">
        <v>752</v>
      </c>
      <c r="I31" s="15" t="s">
        <v>752</v>
      </c>
      <c r="J31" s="15" t="s">
        <v>752</v>
      </c>
      <c r="K31" s="15" t="s">
        <v>752</v>
      </c>
    </row>
    <row r="32" spans="1:11" s="1" customFormat="1" ht="15.75" customHeight="1">
      <c r="A32" s="228" t="s">
        <v>319</v>
      </c>
      <c r="B32" s="18"/>
      <c r="C32" s="51"/>
      <c r="D32" s="531">
        <f>D25</f>
        <v>518833566.11346018</v>
      </c>
      <c r="E32" s="52"/>
      <c r="F32" s="2402" t="s">
        <v>718</v>
      </c>
      <c r="G32" s="19"/>
      <c r="H32" s="531">
        <f>$D$25</f>
        <v>518833566.11346018</v>
      </c>
      <c r="I32" s="531">
        <f>$D$25</f>
        <v>518833566.11346018</v>
      </c>
      <c r="J32" s="531">
        <f>$D$25</f>
        <v>518833566.11346018</v>
      </c>
      <c r="K32" s="531">
        <f>$D$25</f>
        <v>518833566.11346018</v>
      </c>
    </row>
    <row r="33" spans="1:11" s="1" customFormat="1" ht="16.5" thickBot="1">
      <c r="A33" s="228" t="s">
        <v>106</v>
      </c>
      <c r="B33" s="18"/>
      <c r="C33" s="51"/>
      <c r="D33" s="532">
        <f>E25</f>
        <v>0</v>
      </c>
      <c r="E33" s="52"/>
      <c r="F33" s="2403"/>
      <c r="G33"/>
      <c r="H33" s="532">
        <f>$E$25</f>
        <v>0</v>
      </c>
      <c r="I33" s="532">
        <f>$E$25</f>
        <v>0</v>
      </c>
      <c r="J33" s="532">
        <f>$E$25</f>
        <v>0</v>
      </c>
      <c r="K33" s="532">
        <f>$E$25</f>
        <v>0</v>
      </c>
    </row>
    <row r="34" spans="1:11" s="1" customFormat="1" ht="16.5" thickBot="1">
      <c r="A34" s="228" t="s">
        <v>513</v>
      </c>
      <c r="B34" s="18"/>
      <c r="C34" s="51"/>
      <c r="D34" s="1548">
        <f>F34*D40</f>
        <v>0</v>
      </c>
      <c r="E34" s="1550" t="s">
        <v>243</v>
      </c>
      <c r="F34" s="1551">
        <f>'NLSL_Base_New-Calc'!J43+'NLSL_Base_New-Calc'!J46</f>
        <v>50.138359101211165</v>
      </c>
      <c r="G34"/>
      <c r="H34" s="532">
        <v>0</v>
      </c>
      <c r="I34" s="532">
        <f>F34*F45</f>
        <v>5504765.8538140617</v>
      </c>
      <c r="J34" s="532">
        <v>0</v>
      </c>
      <c r="K34" s="532">
        <f>F34*K40</f>
        <v>5504765.8538140617</v>
      </c>
    </row>
    <row r="35" spans="1:11" s="1" customFormat="1" ht="16.5" thickBot="1">
      <c r="A35" s="228" t="s">
        <v>746</v>
      </c>
      <c r="B35" s="18"/>
      <c r="C35" s="51"/>
      <c r="D35" s="533">
        <f>F35*D43</f>
        <v>0</v>
      </c>
      <c r="E35" s="1550" t="s">
        <v>753</v>
      </c>
      <c r="F35" s="1551">
        <f>'Above-RHWM_Base_Calc'!AA43+'Above-RHWM_Base_Calc'!AA46</f>
        <v>0</v>
      </c>
      <c r="G35"/>
      <c r="H35" s="532">
        <v>0</v>
      </c>
      <c r="I35" s="532">
        <v>0</v>
      </c>
      <c r="J35" s="532">
        <f>F35*F48</f>
        <v>0</v>
      </c>
      <c r="K35" s="532">
        <f>F35*K43</f>
        <v>0</v>
      </c>
    </row>
    <row r="36" spans="1:11" s="1" customFormat="1" ht="16.5" thickBot="1">
      <c r="A36" s="160" t="s">
        <v>510</v>
      </c>
      <c r="B36" s="18"/>
      <c r="C36" s="51"/>
      <c r="D36" s="552">
        <f>D32+D33-D34-D35</f>
        <v>518833566.11346018</v>
      </c>
      <c r="E36" s="613"/>
      <c r="F36" s="909"/>
      <c r="G36"/>
      <c r="H36" s="552">
        <f>H32+H33-H34-H35</f>
        <v>518833566.11346018</v>
      </c>
      <c r="I36" s="552">
        <f>I32+I33-I34-I35</f>
        <v>513328800.25964612</v>
      </c>
      <c r="J36" s="552">
        <f>J32+J33-J34-J35</f>
        <v>518833566.11346018</v>
      </c>
      <c r="K36" s="552">
        <f>K32+K33-K34-K35</f>
        <v>513328800.25964612</v>
      </c>
    </row>
    <row r="37" spans="1:11" s="1" customFormat="1" ht="15.75" customHeight="1" thickBot="1">
      <c r="A37" s="228"/>
      <c r="B37" s="18"/>
      <c r="C37" s="51"/>
      <c r="D37" s="72"/>
      <c r="E37" s="52"/>
      <c r="F37" s="909"/>
      <c r="G37"/>
      <c r="H37" s="72"/>
      <c r="I37" s="39"/>
      <c r="J37" s="39"/>
      <c r="K37" s="39"/>
    </row>
    <row r="38" spans="1:11" s="1" customFormat="1" ht="16.5" thickBot="1">
      <c r="A38" s="554" t="s">
        <v>511</v>
      </c>
      <c r="B38" s="18"/>
      <c r="C38" s="51"/>
      <c r="D38" s="92"/>
      <c r="E38" s="92"/>
      <c r="F38" s="909"/>
      <c r="G38"/>
      <c r="H38" s="92"/>
      <c r="I38" s="39"/>
      <c r="J38" s="39"/>
      <c r="K38" s="39"/>
    </row>
    <row r="39" spans="1:11" s="1" customFormat="1">
      <c r="A39" s="228" t="s">
        <v>320</v>
      </c>
      <c r="B39" s="18"/>
      <c r="C39" s="51"/>
      <c r="D39" s="2262">
        <f>+'FERC 401a Elec Energy Acct'!H23</f>
        <v>9307869</v>
      </c>
      <c r="E39" s="591"/>
      <c r="F39" s="1835"/>
      <c r="G39"/>
      <c r="H39" s="230">
        <f>D39</f>
        <v>9307869</v>
      </c>
      <c r="I39" s="230">
        <f>D39</f>
        <v>9307869</v>
      </c>
      <c r="J39" s="230">
        <f>D39</f>
        <v>9307869</v>
      </c>
      <c r="K39" s="230">
        <f>D39</f>
        <v>9307869</v>
      </c>
    </row>
    <row r="40" spans="1:11" s="1" customFormat="1" ht="16.5" thickBot="1">
      <c r="A40" s="228" t="s">
        <v>321</v>
      </c>
      <c r="B40" s="18"/>
      <c r="C40" s="51"/>
      <c r="D40" s="229">
        <f>IF(F34&gt;MIN(H46,J46),F45,0)</f>
        <v>0</v>
      </c>
      <c r="E40" s="591"/>
      <c r="F40" s="1835"/>
      <c r="G40"/>
      <c r="H40" s="229">
        <v>0</v>
      </c>
      <c r="I40" s="229">
        <f>F45</f>
        <v>109791.504</v>
      </c>
      <c r="J40" s="229">
        <v>0</v>
      </c>
      <c r="K40" s="229">
        <f>F45</f>
        <v>109791.504</v>
      </c>
    </row>
    <row r="41" spans="1:11" s="1" customFormat="1" ht="16.5" thickBot="1">
      <c r="A41" s="228" t="s">
        <v>514</v>
      </c>
      <c r="B41" s="18"/>
      <c r="C41" s="51"/>
      <c r="D41" s="229">
        <f>D39-D40</f>
        <v>9307869</v>
      </c>
      <c r="E41" s="591"/>
      <c r="F41" s="1836" t="s">
        <v>719</v>
      </c>
      <c r="G41"/>
      <c r="H41" s="229">
        <f>H39-H40</f>
        <v>9307869</v>
      </c>
      <c r="I41" s="229">
        <f>I39-I40</f>
        <v>9198077.4959999993</v>
      </c>
      <c r="J41" s="229">
        <f>J39-J40</f>
        <v>9307869</v>
      </c>
      <c r="K41" s="229">
        <f>K39-K40</f>
        <v>9198077.4959999993</v>
      </c>
    </row>
    <row r="42" spans="1:11" s="1" customFormat="1" ht="16.5" thickBot="1">
      <c r="A42" s="228" t="s">
        <v>176</v>
      </c>
      <c r="B42" s="18"/>
      <c r="C42" s="51"/>
      <c r="D42" s="1549">
        <f>D39*F42</f>
        <v>298050.91444673057</v>
      </c>
      <c r="E42" s="591"/>
      <c r="F42" s="1837">
        <f>+'4.2 Dist Losses'!G22</f>
        <v>3.2021391195635712E-2</v>
      </c>
      <c r="G42"/>
      <c r="H42" s="229">
        <f>H39*F42</f>
        <v>298050.91444673057</v>
      </c>
      <c r="I42" s="1549">
        <f>I39*F42</f>
        <v>298050.91444673057</v>
      </c>
      <c r="J42" s="1549">
        <f>J39*F42</f>
        <v>298050.91444673057</v>
      </c>
      <c r="K42" s="1549">
        <f>K39*F42</f>
        <v>298050.91444673057</v>
      </c>
    </row>
    <row r="43" spans="1:11" s="1" customFormat="1" ht="16.5" thickBot="1">
      <c r="A43" s="228" t="s">
        <v>747</v>
      </c>
      <c r="B43" s="18"/>
      <c r="C43" s="580"/>
      <c r="D43" s="231">
        <f>IF(F35&gt;MIN(H46,I46),F48,0)</f>
        <v>0</v>
      </c>
      <c r="E43" s="856"/>
      <c r="F43" s="1835"/>
      <c r="G43"/>
      <c r="H43" s="229">
        <v>0</v>
      </c>
      <c r="I43" s="231">
        <v>0</v>
      </c>
      <c r="J43" s="231">
        <f>F48</f>
        <v>0</v>
      </c>
      <c r="K43" s="231">
        <f>F48</f>
        <v>0</v>
      </c>
    </row>
    <row r="44" spans="1:11" s="1" customFormat="1" ht="16.5" thickBot="1">
      <c r="A44" s="160" t="s">
        <v>512</v>
      </c>
      <c r="B44" s="18"/>
      <c r="C44" s="51"/>
      <c r="D44" s="556">
        <f>D41+D42-D43</f>
        <v>9605919.9144467302</v>
      </c>
      <c r="E44" s="612"/>
      <c r="F44" s="1836" t="s">
        <v>754</v>
      </c>
      <c r="G44"/>
      <c r="H44" s="556">
        <f>H41+H42</f>
        <v>9605919.9144467302</v>
      </c>
      <c r="I44" s="556">
        <f>I41+I42-I43</f>
        <v>9496128.4104467295</v>
      </c>
      <c r="J44" s="556">
        <f>J41+J42-J43</f>
        <v>9605919.9144467302</v>
      </c>
      <c r="K44" s="556">
        <f>K41+K42-K43</f>
        <v>9496128.4104467295</v>
      </c>
    </row>
    <row r="45" spans="1:11" s="1" customFormat="1" ht="15.75" customHeight="1" thickBot="1">
      <c r="A45" s="165"/>
      <c r="B45" s="18"/>
      <c r="C45" s="51"/>
      <c r="D45" s="56"/>
      <c r="E45" s="592"/>
      <c r="F45" s="1838">
        <f>'4.1 NLSL SUMMARY - Lg WA 1'!L59</f>
        <v>109791.504</v>
      </c>
      <c r="H45" s="56"/>
    </row>
    <row r="46" spans="1:11" s="1" customFormat="1" ht="19.5" thickBot="1">
      <c r="A46" s="555" t="s">
        <v>322</v>
      </c>
      <c r="B46" s="93"/>
      <c r="C46" s="93"/>
      <c r="D46" s="857">
        <f>IF(D44=0,"$0",D36/D44)</f>
        <v>54.011856306772394</v>
      </c>
      <c r="E46" s="813"/>
      <c r="F46" s="1839"/>
      <c r="H46" s="812">
        <f>IF(H44=0,"$0",H36/H44)</f>
        <v>54.011856306772394</v>
      </c>
      <c r="I46" s="812">
        <f>IF(I44=0,"$0",I36/I44)</f>
        <v>54.056640566794677</v>
      </c>
      <c r="J46" s="812">
        <f>IF(J44=0,"$0",J36/J44)</f>
        <v>54.011856306772394</v>
      </c>
      <c r="K46" s="812">
        <f>IF(K44=0,"$0",K36/K44)</f>
        <v>54.056640566794677</v>
      </c>
    </row>
    <row r="47" spans="1:11" s="1" customFormat="1" ht="15.75" customHeight="1" thickBot="1">
      <c r="A47" s="582"/>
      <c r="B47" s="93"/>
      <c r="C47" s="93"/>
      <c r="D47" s="583"/>
      <c r="E47" s="52"/>
      <c r="F47" s="1836" t="s">
        <v>755</v>
      </c>
    </row>
    <row r="48" spans="1:11" s="1" customFormat="1" ht="16.5" thickBot="1">
      <c r="A48" s="160"/>
      <c r="B48" s="51"/>
      <c r="C48" s="51"/>
      <c r="D48" s="586"/>
      <c r="E48" s="52"/>
      <c r="F48" s="1838"/>
    </row>
    <row r="49" spans="1:6" s="1" customFormat="1" ht="19.5" thickBot="1">
      <c r="A49" s="588"/>
      <c r="B49" s="589"/>
      <c r="C49" s="589"/>
      <c r="D49" s="590"/>
      <c r="E49" s="602"/>
      <c r="F49" s="217"/>
    </row>
    <row r="50" spans="1:6" s="1" customFormat="1" ht="19.5" thickTop="1">
      <c r="A50" s="600"/>
      <c r="B50" s="93"/>
      <c r="C50" s="93"/>
      <c r="D50" s="587"/>
      <c r="E50" s="52"/>
    </row>
    <row r="51" spans="1:6" s="1" customFormat="1" ht="18.75">
      <c r="A51" s="601"/>
      <c r="B51" s="93"/>
      <c r="C51" s="93"/>
      <c r="D51" s="2233"/>
      <c r="E51" s="52"/>
    </row>
    <row r="52" spans="1:6" s="1" customFormat="1" ht="18.75">
      <c r="A52" s="600"/>
      <c r="B52" s="93"/>
      <c r="C52" s="93"/>
      <c r="D52" s="2233"/>
      <c r="E52" s="2234"/>
    </row>
    <row r="53" spans="1:6" s="1" customFormat="1">
      <c r="A53"/>
      <c r="B53"/>
      <c r="C53"/>
      <c r="D53"/>
      <c r="E53"/>
      <c r="F53"/>
    </row>
    <row r="54" spans="1:6">
      <c r="A54" s="79"/>
    </row>
    <row r="55" spans="1:6">
      <c r="A55" s="79"/>
    </row>
    <row r="56" spans="1:6">
      <c r="A56" s="79"/>
    </row>
    <row r="57" spans="1:6">
      <c r="A57" s="79"/>
    </row>
    <row r="67" spans="1:1">
      <c r="A67"/>
    </row>
    <row r="68" spans="1:1">
      <c r="A68"/>
    </row>
    <row r="69" spans="1:1">
      <c r="A69"/>
    </row>
    <row r="70" spans="1:1">
      <c r="A70"/>
    </row>
    <row r="71" spans="1:1">
      <c r="A71"/>
    </row>
    <row r="72" spans="1:1">
      <c r="A72"/>
    </row>
    <row r="73" spans="1:1">
      <c r="A73"/>
    </row>
    <row r="74" spans="1:1">
      <c r="A74"/>
    </row>
    <row r="75" spans="1:1">
      <c r="A75"/>
    </row>
    <row r="76" spans="1:1">
      <c r="A76"/>
    </row>
    <row r="77" spans="1:1">
      <c r="A77"/>
    </row>
    <row r="78" spans="1:1">
      <c r="A78"/>
    </row>
    <row r="79" spans="1:1">
      <c r="A79"/>
    </row>
  </sheetData>
  <mergeCells count="8">
    <mergeCell ref="F32:F33"/>
    <mergeCell ref="A1:F1"/>
    <mergeCell ref="A2:F2"/>
    <mergeCell ref="A3:F3"/>
    <mergeCell ref="A9:F9"/>
    <mergeCell ref="C5:D5"/>
    <mergeCell ref="C6:D6"/>
    <mergeCell ref="C7:D7"/>
  </mergeCells>
  <phoneticPr fontId="0" type="noConversion"/>
  <hyperlinks>
    <hyperlink ref="A5" location="TOC!A1" display="TOC" xr:uid="{00000000-0004-0000-08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1" manualBreakCount="1">
    <brk id="28" max="5" man="1"/>
  </rowBreaks>
  <customProperties>
    <customPr name="xxe4aPID" r:id="rId2"/>
  </customPropertie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EE7B5-723F-4D74-A5E6-A61BBE2A5599}">
  <sheetPr codeName="Sheet43"/>
  <dimension ref="A1:O24"/>
  <sheetViews>
    <sheetView workbookViewId="0">
      <selection activeCell="A6" sqref="A1:XFD1048576"/>
    </sheetView>
  </sheetViews>
  <sheetFormatPr defaultRowHeight="15.75"/>
  <cols>
    <col min="1" max="1" width="40" bestFit="1" customWidth="1"/>
    <col min="2" max="7" width="10" bestFit="1" customWidth="1"/>
  </cols>
  <sheetData>
    <row r="1" spans="1:15">
      <c r="A1" s="1070" t="s">
        <v>2217</v>
      </c>
    </row>
    <row r="2" spans="1:15">
      <c r="A2" s="1070" t="s">
        <v>2950</v>
      </c>
    </row>
    <row r="3" spans="1:15">
      <c r="A3" s="1070" t="s">
        <v>2949</v>
      </c>
    </row>
    <row r="4" spans="1:15">
      <c r="A4" s="1070" t="s">
        <v>3064</v>
      </c>
      <c r="B4" s="1070"/>
      <c r="C4" s="1070"/>
      <c r="D4" s="1070"/>
      <c r="E4" s="1070"/>
      <c r="F4" s="1070"/>
      <c r="G4" s="15" t="s">
        <v>2948</v>
      </c>
    </row>
    <row r="5" spans="1:15">
      <c r="B5" s="2101">
        <v>2019</v>
      </c>
      <c r="C5" s="2101">
        <v>2020</v>
      </c>
      <c r="D5" s="2101">
        <v>2021</v>
      </c>
      <c r="E5" s="2101">
        <v>2022</v>
      </c>
      <c r="F5" s="2101">
        <v>2023</v>
      </c>
      <c r="G5" s="1993" t="s">
        <v>2947</v>
      </c>
      <c r="I5" s="1070"/>
      <c r="J5" s="1070"/>
      <c r="K5" s="1070"/>
      <c r="M5" s="1070"/>
      <c r="N5" s="1070"/>
      <c r="O5" s="1070"/>
    </row>
    <row r="6" spans="1:15">
      <c r="A6" t="s">
        <v>2946</v>
      </c>
      <c r="B6" s="584">
        <v>12497786</v>
      </c>
      <c r="C6" s="584">
        <v>12168816</v>
      </c>
      <c r="D6" s="584">
        <v>12257982</v>
      </c>
      <c r="E6" s="584">
        <v>13120814</v>
      </c>
      <c r="F6" s="584">
        <v>13299746</v>
      </c>
      <c r="G6" s="584">
        <f>AVERAGE(B6:F6)</f>
        <v>12669028.800000001</v>
      </c>
      <c r="M6" s="584"/>
      <c r="N6" s="584"/>
      <c r="O6" s="584"/>
    </row>
    <row r="7" spans="1:15">
      <c r="A7" t="s">
        <v>2945</v>
      </c>
      <c r="G7" s="584"/>
      <c r="M7" s="584"/>
      <c r="N7" s="584"/>
      <c r="O7" s="584"/>
    </row>
    <row r="8" spans="1:15">
      <c r="A8" t="s">
        <v>2944</v>
      </c>
      <c r="B8" s="584">
        <v>2942248</v>
      </c>
      <c r="C8" s="584">
        <v>2796393</v>
      </c>
      <c r="D8" s="584">
        <v>2519288</v>
      </c>
      <c r="E8" s="584">
        <v>3144486</v>
      </c>
      <c r="F8" s="584">
        <v>3521491</v>
      </c>
      <c r="G8" s="584">
        <f>AVERAGE(B8:F8)</f>
        <v>2984781.2</v>
      </c>
      <c r="M8" s="584"/>
      <c r="N8" s="584"/>
      <c r="O8" s="584"/>
    </row>
    <row r="9" spans="1:15">
      <c r="A9" t="s">
        <v>2943</v>
      </c>
      <c r="B9" s="584">
        <v>86149</v>
      </c>
      <c r="C9" s="584">
        <v>44593</v>
      </c>
      <c r="D9" s="584">
        <v>11101</v>
      </c>
      <c r="E9" s="584">
        <v>11465</v>
      </c>
      <c r="F9" s="584">
        <v>13342</v>
      </c>
      <c r="G9" s="584">
        <f>AVERAGE(B9:F9)</f>
        <v>33330</v>
      </c>
      <c r="M9" s="584"/>
      <c r="N9" s="584"/>
      <c r="O9" s="584"/>
    </row>
    <row r="10" spans="1:15">
      <c r="G10" s="584"/>
      <c r="M10" s="584"/>
      <c r="N10" s="584"/>
      <c r="O10" s="584"/>
    </row>
    <row r="11" spans="1:15">
      <c r="A11" t="s">
        <v>2942</v>
      </c>
      <c r="B11" s="584">
        <f>B6-B8-B9</f>
        <v>9469389</v>
      </c>
      <c r="C11" s="584">
        <f>C6-C8-C9</f>
        <v>9327830</v>
      </c>
      <c r="D11" s="584">
        <f>D6-D8-D9</f>
        <v>9727593</v>
      </c>
      <c r="E11" s="584">
        <v>9964863</v>
      </c>
      <c r="F11" s="584">
        <v>9764913</v>
      </c>
      <c r="G11" s="584">
        <f>AVERAGE(B11:F11)</f>
        <v>9650917.5999999996</v>
      </c>
      <c r="M11" s="584"/>
      <c r="N11" s="584"/>
      <c r="O11" s="584"/>
    </row>
    <row r="12" spans="1:15">
      <c r="G12" s="584"/>
      <c r="M12" s="584"/>
      <c r="N12" s="584"/>
      <c r="O12" s="584"/>
    </row>
    <row r="13" spans="1:15">
      <c r="A13" t="s">
        <v>2140</v>
      </c>
      <c r="B13" s="584">
        <v>453401</v>
      </c>
      <c r="C13" s="584">
        <v>452787</v>
      </c>
      <c r="D13" s="584">
        <v>492745</v>
      </c>
      <c r="E13" s="584">
        <v>447173</v>
      </c>
      <c r="F13" s="584">
        <v>457044</v>
      </c>
      <c r="G13" s="584">
        <f>AVERAGE(B13:F13)</f>
        <v>460630</v>
      </c>
      <c r="M13" s="584"/>
      <c r="N13" s="584"/>
      <c r="O13" s="584"/>
    </row>
    <row r="14" spans="1:15">
      <c r="M14" s="584"/>
      <c r="N14" s="584"/>
      <c r="O14" s="584"/>
    </row>
    <row r="15" spans="1:15">
      <c r="A15" t="s">
        <v>2941</v>
      </c>
      <c r="B15" s="584">
        <v>9015988</v>
      </c>
      <c r="C15" s="584">
        <v>8875043</v>
      </c>
      <c r="D15" s="584">
        <v>9234848</v>
      </c>
      <c r="E15" s="584">
        <v>9517690</v>
      </c>
      <c r="F15" s="584">
        <v>9307869</v>
      </c>
      <c r="G15" s="584">
        <f>AVERAGE(B15:F15)</f>
        <v>9190287.5999999996</v>
      </c>
      <c r="M15" s="584"/>
      <c r="N15" s="584"/>
      <c r="O15" s="584"/>
    </row>
    <row r="16" spans="1:15">
      <c r="M16" s="584"/>
      <c r="N16" s="584"/>
      <c r="O16" s="584"/>
    </row>
    <row r="17" spans="1:15">
      <c r="A17" t="s">
        <v>2940</v>
      </c>
      <c r="B17" s="1134">
        <f t="shared" ref="B17:F17" si="0">B13/B15</f>
        <v>5.028855406639849E-2</v>
      </c>
      <c r="C17" s="1134">
        <f t="shared" si="0"/>
        <v>5.1018006335293249E-2</v>
      </c>
      <c r="D17" s="1134">
        <f t="shared" si="0"/>
        <v>5.3357131595452356E-2</v>
      </c>
      <c r="E17" s="1134">
        <f t="shared" si="0"/>
        <v>4.6983354154211787E-2</v>
      </c>
      <c r="F17" s="1134">
        <f t="shared" si="0"/>
        <v>4.9102968681660648E-2</v>
      </c>
      <c r="G17" s="1134">
        <f>G13/G15</f>
        <v>5.012139119563571E-2</v>
      </c>
      <c r="I17" s="1134">
        <f>AVERAGE(B17:F17)</f>
        <v>5.0150002966603303E-2</v>
      </c>
      <c r="M17" s="584"/>
      <c r="N17" s="584"/>
      <c r="O17" s="584"/>
    </row>
    <row r="19" spans="1:15">
      <c r="A19" t="s">
        <v>2939</v>
      </c>
    </row>
    <row r="20" spans="1:15">
      <c r="G20" s="2263">
        <v>1.8100000000000002E-2</v>
      </c>
      <c r="H20" s="1211" t="s">
        <v>2938</v>
      </c>
    </row>
    <row r="21" spans="1:15">
      <c r="A21" t="s">
        <v>2937</v>
      </c>
    </row>
    <row r="22" spans="1:15">
      <c r="G22" s="2114">
        <f>G17-G20</f>
        <v>3.2021391195635712E-2</v>
      </c>
      <c r="H22" s="2113"/>
    </row>
    <row r="24" spans="1:15">
      <c r="F24" s="584"/>
    </row>
  </sheetData>
  <pageMargins left="0.7" right="0.7" top="0.75" bottom="0.75" header="0.3" footer="0.3"/>
  <pageSetup orientation="portrait" r:id="rId1"/>
  <customProperties>
    <customPr name="xxe4aPID" r:id="rId2"/>
  </customPropertie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rgb="FF00B0F0"/>
  </sheetPr>
  <dimension ref="A1:W88"/>
  <sheetViews>
    <sheetView topLeftCell="A78" zoomScale="110" zoomScaleNormal="110" workbookViewId="0">
      <selection activeCell="A6" sqref="A1:XFD1048576"/>
    </sheetView>
  </sheetViews>
  <sheetFormatPr defaultRowHeight="15.75"/>
  <cols>
    <col min="1" max="1" width="3" customWidth="1"/>
    <col min="2" max="2" width="13.75" customWidth="1"/>
    <col min="4" max="4" width="18.75" customWidth="1"/>
    <col min="5" max="5" width="18.625" customWidth="1"/>
    <col min="6" max="6" width="9.5" customWidth="1"/>
    <col min="7" max="8" width="18.625" customWidth="1"/>
    <col min="9" max="9" width="8.25" customWidth="1"/>
    <col min="10" max="10" width="18.625" customWidth="1"/>
    <col min="11" max="11" width="18.75" customWidth="1"/>
    <col min="13" max="13" width="19.75" customWidth="1"/>
    <col min="14" max="14" width="6" customWidth="1"/>
    <col min="15" max="15" width="16.25" customWidth="1"/>
    <col min="16" max="16" width="14.5" customWidth="1"/>
    <col min="17" max="17" width="9.125" customWidth="1"/>
    <col min="18" max="18" width="16.25" bestFit="1" customWidth="1"/>
    <col min="19" max="19" width="13.625" bestFit="1" customWidth="1"/>
    <col min="20" max="20" width="12.5" customWidth="1"/>
    <col min="21" max="21" width="13.625" bestFit="1" customWidth="1"/>
    <col min="22" max="22" width="11.5" customWidth="1"/>
    <col min="23" max="23" width="11.125" customWidth="1"/>
  </cols>
  <sheetData>
    <row r="1" spans="1:23" ht="19.5" thickTop="1">
      <c r="A1" s="2344" t="s">
        <v>54</v>
      </c>
      <c r="B1" s="2345"/>
      <c r="C1" s="2345"/>
      <c r="D1" s="2345"/>
      <c r="E1" s="2345"/>
      <c r="F1" s="2345"/>
      <c r="G1" s="2345"/>
      <c r="H1" s="2345"/>
      <c r="I1" s="2345"/>
      <c r="J1" s="2345"/>
      <c r="K1" s="2346"/>
    </row>
    <row r="2" spans="1:23">
      <c r="A2" s="2342" t="s">
        <v>56</v>
      </c>
      <c r="B2" s="2295"/>
      <c r="C2" s="2295"/>
      <c r="D2" s="2295"/>
      <c r="E2" s="2295"/>
      <c r="F2" s="2295"/>
      <c r="G2" s="2295"/>
      <c r="H2" s="2295"/>
      <c r="I2" s="2295"/>
      <c r="J2" s="2295"/>
      <c r="K2" s="2343"/>
    </row>
    <row r="3" spans="1:23" ht="20.25" customHeight="1" thickBot="1">
      <c r="A3" s="2340" t="s">
        <v>723</v>
      </c>
      <c r="B3" s="2292"/>
      <c r="C3" s="2292"/>
      <c r="D3" s="2292"/>
      <c r="E3" s="2292"/>
      <c r="F3" s="2292"/>
      <c r="G3" s="2292"/>
      <c r="H3" s="2292"/>
      <c r="I3" s="2292"/>
      <c r="J3" s="2292"/>
      <c r="K3" s="2341"/>
    </row>
    <row r="4" spans="1:23">
      <c r="A4" s="367"/>
      <c r="B4" s="180"/>
      <c r="F4" s="502" t="s">
        <v>576</v>
      </c>
      <c r="G4" s="2355" t="str">
        <f>'Sch 1- Rate Base '!$E$5</f>
        <v>Utility Name</v>
      </c>
      <c r="H4" s="2356"/>
      <c r="I4" s="2363"/>
      <c r="K4" s="1325" t="s">
        <v>721</v>
      </c>
      <c r="M4" s="194"/>
      <c r="N4" s="194"/>
      <c r="O4" s="194"/>
      <c r="P4" s="194"/>
      <c r="Q4" s="194"/>
      <c r="R4" s="194"/>
      <c r="S4" s="194"/>
      <c r="T4" s="194"/>
      <c r="U4" s="194"/>
      <c r="V4" s="194"/>
      <c r="W4" s="194"/>
    </row>
    <row r="5" spans="1:23">
      <c r="A5" s="340"/>
      <c r="B5" s="1236" t="s">
        <v>699</v>
      </c>
      <c r="F5" s="502" t="s">
        <v>578</v>
      </c>
      <c r="G5" s="2357">
        <f>'Sch 1- Rate Base '!$E$6</f>
        <v>2023</v>
      </c>
      <c r="H5" s="2358"/>
      <c r="I5" s="2364"/>
      <c r="J5" s="624"/>
      <c r="K5" s="1326" t="str">
        <f>'Sch 1- Rate Base '!I6</f>
        <v/>
      </c>
      <c r="M5" s="1162"/>
      <c r="N5" s="776"/>
      <c r="O5" s="776"/>
      <c r="P5" s="776"/>
      <c r="Q5" s="776"/>
      <c r="R5" s="776"/>
      <c r="S5" s="776"/>
      <c r="T5" s="776"/>
      <c r="U5" s="776"/>
      <c r="V5" s="776"/>
      <c r="W5" s="194"/>
    </row>
    <row r="6" spans="1:23" ht="16.5" thickBot="1">
      <c r="A6" s="340"/>
      <c r="F6" s="502" t="s">
        <v>579</v>
      </c>
      <c r="G6" s="2359">
        <f>'Sch 1- Rate Base '!$E$7</f>
        <v>45446</v>
      </c>
      <c r="H6" s="2361"/>
      <c r="I6" s="2362"/>
      <c r="J6" s="624"/>
      <c r="K6" s="1328" t="str">
        <f>'Sch 1- Rate Base '!I7</f>
        <v/>
      </c>
      <c r="M6" s="1162"/>
      <c r="N6" s="776"/>
      <c r="O6" s="776"/>
      <c r="P6" s="776"/>
      <c r="Q6" s="776"/>
      <c r="R6" s="776"/>
      <c r="S6" s="776"/>
      <c r="T6" s="776"/>
      <c r="U6" s="776"/>
    </row>
    <row r="7" spans="1:23" ht="16.5" thickBot="1">
      <c r="A7" s="2404" t="s">
        <v>222</v>
      </c>
      <c r="B7" s="2405"/>
      <c r="C7" s="2405"/>
      <c r="D7" s="2405"/>
      <c r="E7" s="2405"/>
      <c r="F7" s="2405"/>
      <c r="G7" s="2405"/>
      <c r="H7" s="2405"/>
      <c r="I7" s="2405"/>
      <c r="J7" s="2405"/>
      <c r="K7" s="2406"/>
      <c r="M7" s="194"/>
      <c r="N7" s="194"/>
      <c r="O7" s="194"/>
      <c r="P7" s="194"/>
      <c r="Q7" s="194"/>
      <c r="R7" s="194"/>
      <c r="S7" s="194"/>
      <c r="T7" s="194"/>
      <c r="U7" s="194"/>
    </row>
    <row r="8" spans="1:23" ht="16.5" customHeight="1" thickBot="1">
      <c r="A8" s="342"/>
      <c r="B8" s="327" t="s">
        <v>276</v>
      </c>
      <c r="C8" s="315"/>
      <c r="D8" s="2415" t="s">
        <v>200</v>
      </c>
      <c r="E8" s="2416"/>
      <c r="F8" s="2436"/>
      <c r="G8" s="2437" t="s">
        <v>218</v>
      </c>
      <c r="H8" s="2438"/>
      <c r="I8" s="2436"/>
      <c r="J8" s="2439" t="s">
        <v>219</v>
      </c>
      <c r="K8" s="2440"/>
      <c r="M8" s="1163"/>
      <c r="N8" s="1164"/>
      <c r="O8" s="1164"/>
      <c r="R8" s="1165"/>
      <c r="S8" s="1164"/>
      <c r="T8" s="1164"/>
      <c r="U8" s="1164"/>
    </row>
    <row r="9" spans="1:23" ht="16.5" thickBot="1">
      <c r="A9" s="340"/>
      <c r="B9" s="322" t="s">
        <v>553</v>
      </c>
      <c r="C9" s="1186" t="s">
        <v>272</v>
      </c>
      <c r="D9" s="2413"/>
      <c r="E9" s="2414"/>
      <c r="F9" s="2431"/>
      <c r="G9" s="2429"/>
      <c r="H9" s="2434"/>
      <c r="I9" s="2431"/>
      <c r="J9" s="2441"/>
      <c r="K9" s="2442"/>
      <c r="M9" s="1163"/>
      <c r="O9" s="1166"/>
      <c r="R9" s="1166"/>
      <c r="S9" s="1166"/>
      <c r="T9" s="1165"/>
      <c r="U9" s="1166"/>
    </row>
    <row r="10" spans="1:23" ht="16.5" thickBot="1">
      <c r="A10" s="343"/>
      <c r="B10" s="323" t="s">
        <v>552</v>
      </c>
      <c r="C10" s="344" t="s">
        <v>273</v>
      </c>
      <c r="D10" s="1189" t="s">
        <v>185</v>
      </c>
      <c r="E10" s="345" t="s">
        <v>186</v>
      </c>
      <c r="F10" s="2431"/>
      <c r="G10" s="345" t="s">
        <v>185</v>
      </c>
      <c r="H10" s="345" t="s">
        <v>186</v>
      </c>
      <c r="I10" s="2431"/>
      <c r="J10" s="345" t="s">
        <v>185</v>
      </c>
      <c r="K10" s="1217" t="s">
        <v>186</v>
      </c>
      <c r="M10" s="1163"/>
      <c r="N10" s="1164"/>
      <c r="O10" s="1164"/>
      <c r="R10" s="1164"/>
      <c r="S10" s="1166"/>
      <c r="T10" s="1164"/>
      <c r="U10" s="1164"/>
    </row>
    <row r="11" spans="1:23">
      <c r="A11" s="340"/>
      <c r="B11" s="490" t="s">
        <v>187</v>
      </c>
      <c r="C11" s="1187" t="s">
        <v>199</v>
      </c>
      <c r="D11" s="1190">
        <f>GETPIVOTDATA("Sum of settlement_tot",'326-327 Pivot'!$A$3,"sttstcl_clssfctn","RQ")</f>
        <v>10565</v>
      </c>
      <c r="E11" s="609">
        <f>GETPIVOTDATA("Sum of mwh_purchased",'326-327 Pivot'!$A$3,"sttstcl_clssfctn","RQ")</f>
        <v>155</v>
      </c>
      <c r="F11" s="608"/>
      <c r="G11" s="1190">
        <v>16435.89</v>
      </c>
      <c r="H11" s="609">
        <v>228</v>
      </c>
      <c r="I11" s="629"/>
      <c r="J11" s="604">
        <v>28323</v>
      </c>
      <c r="K11" s="1218">
        <v>353</v>
      </c>
      <c r="M11" s="1163"/>
      <c r="N11" s="1163"/>
      <c r="O11" s="1167"/>
      <c r="P11" s="1167"/>
      <c r="R11" s="1167"/>
      <c r="S11" s="1167"/>
      <c r="U11" s="1167"/>
    </row>
    <row r="12" spans="1:23">
      <c r="A12" s="340"/>
      <c r="B12" s="491" t="s">
        <v>188</v>
      </c>
      <c r="C12" s="1188" t="s">
        <v>199</v>
      </c>
      <c r="D12" s="1190">
        <f>GETPIVOTDATA("Sum of settlement_tot",'326-327 Pivot'!$A$3,"sttstcl_clssfctn","LF")</f>
        <v>1210852</v>
      </c>
      <c r="E12" s="1215">
        <f>GETPIVOTDATA("Sum of mwh_purchased",'326-327 Pivot'!$A$3,"sttstcl_clssfctn","LF")</f>
        <v>19124</v>
      </c>
      <c r="F12" s="608"/>
      <c r="G12" s="1190">
        <v>1585286</v>
      </c>
      <c r="H12" s="1215">
        <v>25517</v>
      </c>
      <c r="I12" s="629"/>
      <c r="J12" s="1190">
        <v>1828714</v>
      </c>
      <c r="K12" s="266">
        <v>46243</v>
      </c>
      <c r="M12" s="1163"/>
      <c r="N12" s="1163"/>
      <c r="O12" s="1168"/>
      <c r="P12" s="1169"/>
      <c r="R12" s="1168"/>
      <c r="S12" s="1169"/>
      <c r="U12" s="1168"/>
    </row>
    <row r="13" spans="1:23">
      <c r="A13" s="340"/>
      <c r="B13" s="491" t="s">
        <v>189</v>
      </c>
      <c r="C13" s="1188" t="s">
        <v>199</v>
      </c>
      <c r="D13" s="1190">
        <f>GETPIVOTDATA("Sum of settlement_tot",'326-327 Pivot'!$A$3,"sttstcl_clssfctn","IF")</f>
        <v>1616351</v>
      </c>
      <c r="E13" s="1215">
        <f>GETPIVOTDATA("Sum of mwh_purchased",'326-327 Pivot'!$A$3,"sttstcl_clssfctn","IF")</f>
        <v>798653</v>
      </c>
      <c r="F13" s="608"/>
      <c r="G13" s="1190">
        <v>256537</v>
      </c>
      <c r="H13" s="1215">
        <v>599579</v>
      </c>
      <c r="I13" s="629"/>
      <c r="J13" s="1190">
        <v>211030</v>
      </c>
      <c r="K13" s="266">
        <v>4475</v>
      </c>
      <c r="M13" s="1163"/>
      <c r="N13" s="1163"/>
      <c r="O13" s="1168"/>
      <c r="P13" s="1169"/>
      <c r="R13" s="1168"/>
      <c r="S13" s="1169"/>
      <c r="U13" s="1168"/>
    </row>
    <row r="14" spans="1:23">
      <c r="A14" s="340"/>
      <c r="B14" s="491" t="s">
        <v>190</v>
      </c>
      <c r="C14" s="1188" t="s">
        <v>199</v>
      </c>
      <c r="D14" s="1190">
        <f>GETPIVOTDATA("Sum of settlement_tot",'326-327 Pivot'!$A$3,"sttstcl_clssfctn","SF")</f>
        <v>44956587</v>
      </c>
      <c r="E14" s="1215">
        <f>GETPIVOTDATA("Sum of mwh_purchased",'326-327 Pivot'!$A$3,"sttstcl_clssfctn","SF")</f>
        <v>674216</v>
      </c>
      <c r="F14" s="608"/>
      <c r="G14" s="1190">
        <v>59601717</v>
      </c>
      <c r="H14" s="1215">
        <v>612892</v>
      </c>
      <c r="I14" s="629"/>
      <c r="J14" s="1190">
        <v>39304466</v>
      </c>
      <c r="K14" s="266">
        <v>894917</v>
      </c>
      <c r="M14" s="1163"/>
      <c r="N14" s="1163"/>
      <c r="O14" s="1168"/>
      <c r="P14" s="1169"/>
      <c r="R14" s="1168"/>
      <c r="S14" s="1169"/>
      <c r="U14" s="1168"/>
    </row>
    <row r="15" spans="1:23">
      <c r="A15" s="340"/>
      <c r="B15" s="491" t="s">
        <v>191</v>
      </c>
      <c r="C15" s="1188" t="s">
        <v>199</v>
      </c>
      <c r="D15" s="1190">
        <f>GETPIVOTDATA("Sum of settlement_tot",'326-327 Pivot'!$A$3,"sttstcl_clssfctn","LU")</f>
        <v>100965410</v>
      </c>
      <c r="E15" s="1215">
        <f>GETPIVOTDATA("Sum of mwh_purchased",'326-327 Pivot'!$A$3,"sttstcl_clssfctn","LU")</f>
        <v>3145933</v>
      </c>
      <c r="F15" s="608"/>
      <c r="G15" s="1190">
        <v>83637887</v>
      </c>
      <c r="H15" s="1215">
        <v>3239955</v>
      </c>
      <c r="I15" s="629"/>
      <c r="J15" s="1190">
        <v>81609010</v>
      </c>
      <c r="K15" s="266">
        <v>3443505</v>
      </c>
      <c r="M15" s="1163"/>
      <c r="N15" s="1163"/>
      <c r="O15" s="1168"/>
      <c r="P15" s="1169"/>
      <c r="R15" s="1168"/>
      <c r="S15" s="1169"/>
      <c r="U15" s="1168"/>
    </row>
    <row r="16" spans="1:23">
      <c r="A16" s="340"/>
      <c r="B16" s="491" t="s">
        <v>192</v>
      </c>
      <c r="C16" s="1188" t="s">
        <v>199</v>
      </c>
      <c r="D16" s="1190">
        <f>GETPIVOTDATA("Sum of settlement_tot",'326-327 Pivot'!$A$3,"sttstcl_clssfctn","IU")</f>
        <v>34695656</v>
      </c>
      <c r="E16" s="1215">
        <f>GETPIVOTDATA("Sum of mwh_purchased",'326-327 Pivot'!$A$3,"sttstcl_clssfctn","IU")</f>
        <v>962969</v>
      </c>
      <c r="F16" s="608"/>
      <c r="G16" s="1190">
        <v>33673884</v>
      </c>
      <c r="H16" s="1215">
        <v>1070655</v>
      </c>
      <c r="I16" s="629"/>
      <c r="J16" s="1190">
        <v>34384845</v>
      </c>
      <c r="K16" s="266">
        <v>1047686</v>
      </c>
      <c r="M16" s="1163"/>
      <c r="N16" s="1163"/>
      <c r="O16" s="1168"/>
      <c r="P16" s="1169"/>
      <c r="R16" s="1168"/>
      <c r="S16" s="1169"/>
      <c r="U16" s="1168"/>
    </row>
    <row r="17" spans="1:21">
      <c r="A17" s="340"/>
      <c r="B17" s="491" t="s">
        <v>193</v>
      </c>
      <c r="C17" s="1188" t="s">
        <v>199</v>
      </c>
      <c r="D17" s="1190">
        <f>GETPIVOTDATA("Sum of settlement_tot",'326-327 Pivot'!$A$3,"sttstcl_clssfctn","OS")</f>
        <v>32877966</v>
      </c>
      <c r="E17" s="1215">
        <f>GETPIVOTDATA("Sum of mwh_purchased",'326-327 Pivot'!$A$3,"sttstcl_clssfctn","OS")</f>
        <v>0</v>
      </c>
      <c r="F17" s="608"/>
      <c r="G17" s="1190">
        <v>12929955</v>
      </c>
      <c r="H17" s="1215">
        <v>0</v>
      </c>
      <c r="I17" s="629"/>
      <c r="J17" s="1190">
        <v>-907321</v>
      </c>
      <c r="K17" s="266">
        <v>0</v>
      </c>
      <c r="M17" s="1163"/>
      <c r="N17" s="1163"/>
      <c r="O17" s="1168"/>
      <c r="P17" s="1169"/>
      <c r="R17" s="1168"/>
      <c r="S17" s="1169"/>
      <c r="U17" s="1168"/>
    </row>
    <row r="18" spans="1:21">
      <c r="A18" s="340"/>
      <c r="B18" s="491" t="s">
        <v>194</v>
      </c>
      <c r="C18" s="1188" t="s">
        <v>199</v>
      </c>
      <c r="D18" s="1190">
        <f>GETPIVOTDATA("Sum of settlement_tot",'326-327 Pivot'!$A$3,"sttstcl_clssfctn","EX")</f>
        <v>94328</v>
      </c>
      <c r="E18" s="1215">
        <f>GETPIVOTDATA("Sum of mwh_purchased",'326-327 Pivot'!$A$3,"sttstcl_clssfctn","EX")</f>
        <v>0</v>
      </c>
      <c r="F18" s="608"/>
      <c r="G18" s="1190">
        <v>-36518</v>
      </c>
      <c r="H18" s="1215">
        <v>0</v>
      </c>
      <c r="I18" s="629"/>
      <c r="J18" s="1190">
        <v>-58028</v>
      </c>
      <c r="K18" s="266">
        <v>0</v>
      </c>
      <c r="M18" s="1163"/>
      <c r="N18" s="1163"/>
      <c r="O18" s="1168"/>
      <c r="P18" s="1169"/>
      <c r="R18" s="1168"/>
      <c r="S18" s="1169"/>
      <c r="U18" s="1168"/>
    </row>
    <row r="19" spans="1:21">
      <c r="A19" s="340"/>
      <c r="B19" s="491" t="s">
        <v>195</v>
      </c>
      <c r="C19" s="1188" t="s">
        <v>199</v>
      </c>
      <c r="D19" s="1190">
        <v>0</v>
      </c>
      <c r="E19" s="1215">
        <v>0</v>
      </c>
      <c r="F19" s="608"/>
      <c r="G19" s="1190"/>
      <c r="H19" s="1215"/>
      <c r="I19" s="629"/>
      <c r="J19" s="1190"/>
      <c r="K19" s="266"/>
      <c r="M19" s="1163"/>
      <c r="N19" s="1163"/>
      <c r="O19" s="1168"/>
      <c r="P19" s="1169"/>
      <c r="R19" s="1168"/>
      <c r="S19" s="1169"/>
      <c r="U19" s="1168"/>
    </row>
    <row r="20" spans="1:21">
      <c r="A20" s="340"/>
      <c r="B20" s="491" t="s">
        <v>196</v>
      </c>
      <c r="C20" s="1188" t="s">
        <v>199</v>
      </c>
      <c r="D20" s="1190">
        <v>0</v>
      </c>
      <c r="E20" s="1215">
        <v>0</v>
      </c>
      <c r="F20" s="608"/>
      <c r="G20" s="1190"/>
      <c r="H20" s="1215"/>
      <c r="I20" s="629"/>
      <c r="J20" s="1190"/>
      <c r="K20" s="266"/>
      <c r="M20" s="1163"/>
      <c r="N20" s="1163"/>
      <c r="O20" s="1168"/>
      <c r="P20" s="1169"/>
      <c r="R20" s="1168"/>
      <c r="S20" s="1169"/>
      <c r="U20" s="1168"/>
    </row>
    <row r="21" spans="1:21">
      <c r="A21" s="340"/>
      <c r="B21" s="2417" t="s">
        <v>197</v>
      </c>
      <c r="C21" s="2418"/>
      <c r="D21" s="1535">
        <f>SUM(D11:D20)</f>
        <v>216427715</v>
      </c>
      <c r="E21" s="611">
        <f>SUM(E11:E20)</f>
        <v>5601050</v>
      </c>
      <c r="F21" s="608"/>
      <c r="G21" s="1535">
        <f>SUM(G11:G20)</f>
        <v>191665183.88999999</v>
      </c>
      <c r="H21" s="611">
        <f>SUM(H11:H20)</f>
        <v>5548826</v>
      </c>
      <c r="I21" s="608"/>
      <c r="J21" s="1535">
        <f>SUM(J11:J20)</f>
        <v>156401039</v>
      </c>
      <c r="K21" s="1219">
        <f>SUM(K11:K20)</f>
        <v>5437179</v>
      </c>
      <c r="M21" s="1163"/>
      <c r="N21" s="1163"/>
      <c r="O21" s="1168"/>
      <c r="R21" s="1168"/>
      <c r="S21" s="1169"/>
      <c r="T21" s="1167"/>
      <c r="U21" s="1168"/>
    </row>
    <row r="22" spans="1:21" ht="16.5" thickBot="1">
      <c r="A22" s="340"/>
      <c r="C22" s="1"/>
      <c r="D22" s="1191"/>
      <c r="E22" s="606"/>
      <c r="F22" s="608"/>
      <c r="G22" s="605"/>
      <c r="H22" s="606"/>
      <c r="I22" s="608"/>
      <c r="J22" s="605"/>
      <c r="K22" s="219"/>
      <c r="M22" s="1163"/>
      <c r="N22" s="1163"/>
      <c r="O22" s="1168"/>
      <c r="R22" s="1168"/>
      <c r="S22" s="1169"/>
      <c r="T22" s="1167"/>
      <c r="U22" s="1168"/>
    </row>
    <row r="23" spans="1:21" ht="16.5" thickBot="1">
      <c r="A23" s="342"/>
      <c r="B23" s="327" t="s">
        <v>276</v>
      </c>
      <c r="C23" s="315"/>
      <c r="D23" s="2411" t="s">
        <v>64</v>
      </c>
      <c r="E23" s="2412"/>
      <c r="F23" s="2431"/>
      <c r="G23" s="2432" t="s">
        <v>220</v>
      </c>
      <c r="H23" s="2433"/>
      <c r="I23" s="2431"/>
      <c r="J23" s="2432" t="s">
        <v>221</v>
      </c>
      <c r="K23" s="2435"/>
      <c r="M23" s="1163"/>
      <c r="N23" s="1163"/>
      <c r="O23" s="1168"/>
      <c r="R23" s="1168"/>
      <c r="S23" s="1169"/>
      <c r="T23" s="1167"/>
      <c r="U23" s="1168"/>
    </row>
    <row r="24" spans="1:21" ht="16.5" thickBot="1">
      <c r="A24" s="340"/>
      <c r="B24" s="322" t="s">
        <v>553</v>
      </c>
      <c r="C24" s="1186" t="s">
        <v>272</v>
      </c>
      <c r="D24" s="2413"/>
      <c r="E24" s="2414"/>
      <c r="F24" s="2431"/>
      <c r="G24" s="2429"/>
      <c r="H24" s="2434"/>
      <c r="I24" s="2431"/>
      <c r="J24" s="2429"/>
      <c r="K24" s="2430"/>
      <c r="M24" s="1163"/>
      <c r="N24" s="1163"/>
      <c r="O24" s="1168"/>
      <c r="R24" s="1168"/>
      <c r="S24" s="1169"/>
      <c r="T24" s="1167"/>
      <c r="U24" s="1168"/>
    </row>
    <row r="25" spans="1:21" ht="16.5" thickBot="1">
      <c r="A25" s="343"/>
      <c r="B25" s="323" t="s">
        <v>552</v>
      </c>
      <c r="C25" s="344" t="s">
        <v>273</v>
      </c>
      <c r="D25" s="1189" t="s">
        <v>185</v>
      </c>
      <c r="E25" s="345" t="s">
        <v>526</v>
      </c>
      <c r="F25" s="2431"/>
      <c r="G25" s="345" t="s">
        <v>185</v>
      </c>
      <c r="H25" s="345" t="s">
        <v>526</v>
      </c>
      <c r="I25" s="2431"/>
      <c r="J25" s="345" t="s">
        <v>185</v>
      </c>
      <c r="K25" s="1217" t="s">
        <v>526</v>
      </c>
      <c r="M25" s="1163"/>
      <c r="N25" s="1163"/>
      <c r="O25" s="1168"/>
      <c r="R25" s="1168"/>
      <c r="S25" s="1169"/>
      <c r="T25" s="1167"/>
      <c r="U25" s="1168"/>
    </row>
    <row r="26" spans="1:21">
      <c r="A26" s="340"/>
      <c r="B26" s="490" t="s">
        <v>187</v>
      </c>
      <c r="C26" s="1187" t="s">
        <v>198</v>
      </c>
      <c r="D26" s="1190">
        <v>0</v>
      </c>
      <c r="E26" s="609">
        <v>0</v>
      </c>
      <c r="F26" s="608"/>
      <c r="G26" s="1190"/>
      <c r="H26" s="609"/>
      <c r="I26" s="629"/>
      <c r="J26" s="604"/>
      <c r="K26" s="1220"/>
      <c r="M26" s="1163"/>
      <c r="N26" s="1163"/>
      <c r="O26" s="1168"/>
      <c r="P26" s="1169"/>
      <c r="R26" s="1168"/>
      <c r="S26" s="1169"/>
      <c r="U26" s="1168"/>
    </row>
    <row r="27" spans="1:21">
      <c r="A27" s="340"/>
      <c r="B27" s="491" t="s">
        <v>188</v>
      </c>
      <c r="C27" s="1188" t="s">
        <v>198</v>
      </c>
      <c r="D27" s="1190">
        <f>GETPIVOTDATA("Sum of tot_revenue_chgs",'310-311 Pivot'!$A$3,"sttstcl_clssfctn","LF")</f>
        <v>9130599</v>
      </c>
      <c r="E27" s="610">
        <f>GETPIVOTDATA("Sum of mwh_sold",'310-311 Pivot'!$A$3,"sttstcl_clssfctn","LF")</f>
        <v>102340</v>
      </c>
      <c r="G27" s="1190">
        <v>12054948</v>
      </c>
      <c r="H27" s="610">
        <v>157529</v>
      </c>
      <c r="I27" s="630"/>
      <c r="J27" s="421">
        <v>8626881</v>
      </c>
      <c r="K27" s="266">
        <v>126562</v>
      </c>
      <c r="M27" s="1163"/>
      <c r="N27" s="1163"/>
      <c r="O27" s="1168"/>
      <c r="P27" s="1169"/>
      <c r="R27" s="1168"/>
      <c r="S27" s="1169"/>
      <c r="U27" s="1168"/>
    </row>
    <row r="28" spans="1:21">
      <c r="A28" s="340"/>
      <c r="B28" s="491" t="s">
        <v>189</v>
      </c>
      <c r="C28" s="1188" t="s">
        <v>198</v>
      </c>
      <c r="D28" s="1190">
        <f>GETPIVOTDATA("Sum of tot_revenue_chgs",'310-311 Pivot'!$A$3,"sttstcl_clssfctn","IF")</f>
        <v>30896738</v>
      </c>
      <c r="E28" s="610">
        <f>GETPIVOTDATA("Sum of mwh_sold",'310-311 Pivot'!$A$3,"sttstcl_clssfctn","IF")</f>
        <v>923331</v>
      </c>
      <c r="G28" s="1190">
        <v>31785240</v>
      </c>
      <c r="H28" s="610">
        <v>778569</v>
      </c>
      <c r="I28" s="630"/>
      <c r="J28" s="421">
        <v>17990246</v>
      </c>
      <c r="K28" s="266">
        <v>418223</v>
      </c>
      <c r="M28" s="1163"/>
      <c r="N28" s="1163"/>
      <c r="O28" s="1168"/>
      <c r="P28" s="1169"/>
      <c r="R28" s="1168"/>
      <c r="S28" s="1169"/>
      <c r="U28" s="1168"/>
    </row>
    <row r="29" spans="1:21">
      <c r="A29" s="340"/>
      <c r="B29" s="491" t="s">
        <v>190</v>
      </c>
      <c r="C29" s="1188" t="s">
        <v>198</v>
      </c>
      <c r="D29" s="1190">
        <f>GETPIVOTDATA("Sum of tot_revenue_chgs",'310-311 Pivot'!$A$3,"sttstcl_clssfctn","SF")</f>
        <v>173753991</v>
      </c>
      <c r="E29" s="610">
        <f>GETPIVOTDATA("Sum of mwh_sold",'310-311 Pivot'!$A$3,"sttstcl_clssfctn","SF")</f>
        <v>2495820</v>
      </c>
      <c r="G29" s="1190">
        <v>147978973</v>
      </c>
      <c r="H29" s="610">
        <v>2208388</v>
      </c>
      <c r="I29" s="630"/>
      <c r="J29" s="421">
        <v>91581314</v>
      </c>
      <c r="K29" s="266">
        <v>1974503</v>
      </c>
      <c r="M29" s="1163"/>
      <c r="N29" s="1163"/>
      <c r="O29" s="1168"/>
      <c r="P29" s="1169"/>
      <c r="R29" s="1168"/>
      <c r="S29" s="1169"/>
      <c r="U29" s="1168"/>
    </row>
    <row r="30" spans="1:21">
      <c r="A30" s="340"/>
      <c r="B30" s="491" t="s">
        <v>191</v>
      </c>
      <c r="C30" s="1188" t="s">
        <v>198</v>
      </c>
      <c r="D30" s="1190"/>
      <c r="E30" s="610"/>
      <c r="G30" s="1190"/>
      <c r="H30" s="610"/>
      <c r="I30" s="630"/>
      <c r="J30" s="421"/>
      <c r="K30" s="266"/>
      <c r="M30" s="1163"/>
      <c r="N30" s="1163"/>
      <c r="O30" s="1168"/>
      <c r="P30" s="1169"/>
      <c r="R30" s="1168"/>
      <c r="S30" s="1169"/>
      <c r="U30" s="1168"/>
    </row>
    <row r="31" spans="1:21">
      <c r="A31" s="340"/>
      <c r="B31" s="491" t="s">
        <v>192</v>
      </c>
      <c r="C31" s="1188" t="s">
        <v>198</v>
      </c>
      <c r="D31" s="1190"/>
      <c r="E31" s="610"/>
      <c r="G31" s="1190"/>
      <c r="H31" s="610"/>
      <c r="I31" s="630"/>
      <c r="J31" s="421"/>
      <c r="K31" s="266"/>
      <c r="M31" s="1163"/>
      <c r="N31" s="1163"/>
      <c r="O31" s="1168"/>
      <c r="P31" s="1169"/>
      <c r="R31" s="1168"/>
      <c r="S31" s="1169"/>
      <c r="U31" s="1168"/>
    </row>
    <row r="32" spans="1:21">
      <c r="A32" s="340"/>
      <c r="B32" s="491" t="s">
        <v>193</v>
      </c>
      <c r="C32" s="1188" t="s">
        <v>198</v>
      </c>
      <c r="D32" s="1190">
        <f>GETPIVOTDATA("Sum of tot_revenue_chgs",'310-311 Pivot'!$A$3,"sttstcl_clssfctn","OS")</f>
        <v>39876673</v>
      </c>
      <c r="E32" s="610">
        <f>GETPIVOTDATA("Sum of mwh_sold",'310-311 Pivot'!$A$3,"sttstcl_clssfctn","OS")</f>
        <v>0</v>
      </c>
      <c r="G32" s="1190">
        <v>-7231717</v>
      </c>
      <c r="H32" s="610">
        <v>0</v>
      </c>
      <c r="I32" s="630"/>
      <c r="J32" s="421">
        <v>-24882640</v>
      </c>
      <c r="K32" s="266"/>
      <c r="M32" s="1163"/>
      <c r="N32" s="1163"/>
      <c r="O32" s="1168"/>
      <c r="P32" s="1169"/>
      <c r="R32" s="1168"/>
      <c r="S32" s="1169"/>
      <c r="U32" s="1168"/>
    </row>
    <row r="33" spans="1:23">
      <c r="A33" s="340"/>
      <c r="B33" s="491" t="s">
        <v>194</v>
      </c>
      <c r="C33" s="1188" t="s">
        <v>198</v>
      </c>
      <c r="D33" s="1190"/>
      <c r="E33" s="610"/>
      <c r="G33" s="1190"/>
      <c r="H33" s="610"/>
      <c r="I33" s="630"/>
      <c r="J33" s="421"/>
      <c r="K33" s="266"/>
      <c r="M33" s="1163"/>
      <c r="N33" s="1163"/>
      <c r="O33" s="1168"/>
      <c r="P33" s="1169"/>
      <c r="R33" s="1168"/>
      <c r="S33" s="1169"/>
      <c r="U33" s="1168"/>
    </row>
    <row r="34" spans="1:23">
      <c r="A34" s="340"/>
      <c r="B34" s="491" t="s">
        <v>195</v>
      </c>
      <c r="C34" s="1188" t="s">
        <v>198</v>
      </c>
      <c r="D34" s="1190"/>
      <c r="E34" s="610"/>
      <c r="G34" s="1190"/>
      <c r="H34" s="610"/>
      <c r="I34" s="630"/>
      <c r="J34" s="421"/>
      <c r="K34" s="266"/>
      <c r="M34" s="1163"/>
      <c r="N34" s="1163"/>
      <c r="O34" s="1169"/>
      <c r="R34" s="1169"/>
      <c r="S34" s="1169"/>
      <c r="T34" s="1167"/>
      <c r="U34" s="1170"/>
    </row>
    <row r="35" spans="1:23">
      <c r="A35" s="340"/>
      <c r="B35" s="491" t="s">
        <v>196</v>
      </c>
      <c r="C35" s="1188" t="s">
        <v>198</v>
      </c>
      <c r="D35" s="1190"/>
      <c r="E35" s="610"/>
      <c r="G35" s="1190"/>
      <c r="H35" s="610"/>
      <c r="I35" s="630"/>
      <c r="J35" s="421"/>
      <c r="K35" s="266"/>
      <c r="T35" s="1167"/>
      <c r="U35" s="1169"/>
    </row>
    <row r="36" spans="1:23" ht="16.5" thickBot="1">
      <c r="A36" s="341"/>
      <c r="B36" s="2409" t="s">
        <v>197</v>
      </c>
      <c r="C36" s="2410"/>
      <c r="D36" s="1221">
        <f>SUM(D26:D35)</f>
        <v>253658001</v>
      </c>
      <c r="E36" s="1222">
        <f>SUM(E26:E35)</f>
        <v>3521491</v>
      </c>
      <c r="F36" s="596"/>
      <c r="G36" s="1221">
        <f>SUM(G26:G35)</f>
        <v>184587444</v>
      </c>
      <c r="H36" s="1222">
        <f>SUM(H26:H35)</f>
        <v>3144486</v>
      </c>
      <c r="I36" s="596"/>
      <c r="J36" s="1221">
        <f>SUM(J26:J35)</f>
        <v>93315801</v>
      </c>
      <c r="K36" s="1223">
        <f>SUM(K26:K35)</f>
        <v>2519288</v>
      </c>
      <c r="R36" s="1167"/>
      <c r="S36" s="1169"/>
      <c r="T36" s="1169"/>
      <c r="U36" s="1169"/>
    </row>
    <row r="37" spans="1:23" ht="16.5" thickTop="1">
      <c r="R37" s="1167"/>
      <c r="S37" s="1169"/>
      <c r="T37" s="1169"/>
      <c r="U37" s="1169"/>
      <c r="V37" s="1169"/>
      <c r="W37" s="194"/>
    </row>
    <row r="38" spans="1:23" hidden="1">
      <c r="R38" s="1167"/>
      <c r="S38" s="1169"/>
      <c r="T38" s="1169"/>
      <c r="U38" s="1169"/>
      <c r="V38" s="1169"/>
      <c r="W38" s="194"/>
    </row>
    <row r="39" spans="1:23" hidden="1">
      <c r="E39" s="584"/>
      <c r="R39" s="1167"/>
      <c r="S39" s="1169"/>
      <c r="T39" s="1169"/>
      <c r="U39" s="1169"/>
      <c r="V39" s="1169"/>
      <c r="W39" s="194"/>
    </row>
    <row r="40" spans="1:23" hidden="1">
      <c r="D40" s="585"/>
      <c r="G40" s="1168"/>
      <c r="H40" s="1169"/>
      <c r="J40" s="1168"/>
      <c r="K40" s="1169"/>
      <c r="R40" s="1167"/>
      <c r="S40" s="1169"/>
      <c r="T40" s="1169"/>
      <c r="U40" s="1169"/>
      <c r="V40" s="1169"/>
      <c r="W40" s="194"/>
    </row>
    <row r="41" spans="1:23" hidden="1">
      <c r="G41" s="1168"/>
      <c r="H41" s="1169"/>
      <c r="J41" s="1168"/>
      <c r="K41" s="1169"/>
      <c r="R41" s="1167"/>
      <c r="S41" s="1169"/>
      <c r="T41" s="1169"/>
      <c r="U41" s="1169"/>
      <c r="V41" s="1169"/>
      <c r="W41" s="194"/>
    </row>
    <row r="42" spans="1:23" hidden="1">
      <c r="B42" s="1163"/>
      <c r="C42" s="1169"/>
      <c r="D42" s="1169"/>
      <c r="E42" s="1169"/>
      <c r="G42" s="1168"/>
      <c r="H42" s="1169"/>
      <c r="J42" s="1168"/>
      <c r="K42" s="1169"/>
      <c r="M42" s="1163"/>
      <c r="N42" s="1164"/>
      <c r="O42" s="1164"/>
      <c r="P42" s="1164"/>
      <c r="Q42" s="1164"/>
      <c r="R42" s="1164"/>
      <c r="S42" s="1164"/>
      <c r="T42" s="1164"/>
      <c r="U42" s="1164"/>
      <c r="V42" s="1164"/>
      <c r="W42" s="194"/>
    </row>
    <row r="43" spans="1:23" hidden="1">
      <c r="B43" s="1163"/>
      <c r="C43" s="1169"/>
      <c r="D43" s="1169"/>
      <c r="E43" s="1169"/>
    </row>
    <row r="44" spans="1:23" hidden="1">
      <c r="B44" s="1171"/>
      <c r="C44" s="1172"/>
      <c r="D44" s="1172"/>
      <c r="E44" s="1172"/>
    </row>
    <row r="45" spans="1:23" hidden="1">
      <c r="B45" s="1163"/>
      <c r="C45" s="1163"/>
      <c r="D45" s="1169"/>
      <c r="E45" s="1169"/>
      <c r="F45" s="1169"/>
    </row>
    <row r="46" spans="1:23" hidden="1">
      <c r="C46" s="1163"/>
      <c r="D46" s="1169"/>
      <c r="E46" s="1169"/>
      <c r="F46" s="1169"/>
    </row>
    <row r="47" spans="1:23" hidden="1">
      <c r="C47" s="1171"/>
      <c r="D47" s="1172"/>
      <c r="E47" s="1172"/>
      <c r="F47" s="1172"/>
    </row>
    <row r="48" spans="1:23" hidden="1">
      <c r="G48" s="1174"/>
      <c r="M48" s="1163"/>
      <c r="N48" s="1163"/>
      <c r="O48" s="1169"/>
      <c r="P48" s="1169"/>
      <c r="Q48" s="1169"/>
    </row>
    <row r="49" spans="4:17" hidden="1">
      <c r="G49" s="1174"/>
      <c r="M49" s="1164"/>
      <c r="N49" s="1163"/>
      <c r="O49" s="1169"/>
      <c r="P49" s="1169"/>
      <c r="Q49" s="1169"/>
    </row>
    <row r="50" spans="4:17" hidden="1">
      <c r="G50" s="1174"/>
      <c r="M50" s="1164"/>
      <c r="N50" s="1171"/>
      <c r="O50" s="1172"/>
      <c r="P50" s="1172"/>
      <c r="Q50" s="1172"/>
    </row>
    <row r="51" spans="4:17" hidden="1">
      <c r="G51" s="1174"/>
      <c r="M51" s="1164"/>
      <c r="N51" s="1163"/>
      <c r="O51" s="1176"/>
      <c r="P51" s="1176"/>
      <c r="Q51" s="1176"/>
    </row>
    <row r="52" spans="4:17" hidden="1">
      <c r="G52" s="1174"/>
      <c r="M52" s="1164"/>
      <c r="N52" s="1163"/>
      <c r="O52" s="1178"/>
      <c r="P52" s="1178"/>
      <c r="Q52" s="1178"/>
    </row>
    <row r="53" spans="4:17" hidden="1">
      <c r="G53" s="1174"/>
      <c r="M53" s="1164"/>
      <c r="N53" s="1163"/>
      <c r="O53" s="1180"/>
      <c r="P53" s="1180"/>
      <c r="Q53" s="1180"/>
    </row>
    <row r="54" spans="4:17" hidden="1">
      <c r="G54" s="1174"/>
      <c r="M54" s="1164"/>
      <c r="N54" s="1163"/>
      <c r="O54" s="1183"/>
      <c r="P54" s="1184"/>
      <c r="Q54" s="1185"/>
    </row>
    <row r="55" spans="4:17" hidden="1">
      <c r="D55" s="1174"/>
      <c r="E55" s="1174"/>
      <c r="F55" s="1174"/>
      <c r="G55" s="1174"/>
    </row>
    <row r="56" spans="4:17" hidden="1"/>
    <row r="57" spans="4:17" hidden="1"/>
    <row r="58" spans="4:17" hidden="1"/>
    <row r="59" spans="4:17" hidden="1"/>
    <row r="60" spans="4:17" hidden="1"/>
    <row r="61" spans="4:17" hidden="1"/>
    <row r="62" spans="4:17" hidden="1"/>
    <row r="63" spans="4:17" hidden="1"/>
    <row r="64" spans="4:17" hidden="1"/>
    <row r="65" spans="1:7" hidden="1"/>
    <row r="66" spans="1:7" hidden="1"/>
    <row r="67" spans="1:7" hidden="1"/>
    <row r="68" spans="1:7" hidden="1"/>
    <row r="69" spans="1:7">
      <c r="D69" s="1163" t="s">
        <v>1</v>
      </c>
      <c r="E69" s="1173">
        <f>IF((E14+E17+E18)=0,0,(D14+D17+D18)/(E14+E17+E18))</f>
        <v>115.58444326447311</v>
      </c>
      <c r="F69" s="1173">
        <f>IF((H14+H17+H18)=0,0,(G14+G17+G18)/(H14+H17+H18))</f>
        <v>118.28373351259276</v>
      </c>
      <c r="G69" s="1173">
        <f>IF((K14+K17+K18)=0,0,(J14+J17+J18)/(K14+K17+K18))</f>
        <v>42.840975196582477</v>
      </c>
    </row>
    <row r="70" spans="1:7">
      <c r="D70" s="1163" t="s">
        <v>2</v>
      </c>
      <c r="E70" s="1173">
        <f>IF((E29+E32+E33)=0,0,(D29+D32+D33)/(E29+E32+E33))</f>
        <v>85.595381077161008</v>
      </c>
      <c r="F70" s="1173">
        <f>IF((H29+H32+H33)=0,0,(G29+G32+G33)/(H29+H32+H33))</f>
        <v>63.733028797475804</v>
      </c>
      <c r="G70" s="1173">
        <f>IF((K29+K32+K33)=0,0,(J29+J32+J33)/(K29+K32+K33))</f>
        <v>33.779981088911995</v>
      </c>
    </row>
    <row r="71" spans="1:7">
      <c r="D71" s="1171" t="s">
        <v>3</v>
      </c>
      <c r="E71" s="1175">
        <f>(E69-E70)/2</f>
        <v>14.99453109365605</v>
      </c>
      <c r="F71" s="1175">
        <f>(F69-F70)/2</f>
        <v>27.275352357558479</v>
      </c>
      <c r="G71" s="1175">
        <f>(G69-G70)/2</f>
        <v>4.5304970538352407</v>
      </c>
    </row>
    <row r="72" spans="1:7">
      <c r="D72" s="1163" t="s">
        <v>4</v>
      </c>
      <c r="E72" s="1175">
        <f>AVERAGE(E69:E70)</f>
        <v>100.58991217081706</v>
      </c>
      <c r="F72" s="1175">
        <f>AVERAGE(F69:F70)</f>
        <v>91.008381155034286</v>
      </c>
      <c r="G72" s="1175">
        <f>AVERAGE(G69:G70)</f>
        <v>38.310478142747236</v>
      </c>
    </row>
    <row r="73" spans="1:7" ht="16.5" thickBot="1">
      <c r="D73" s="1163"/>
      <c r="E73" s="1177">
        <f>IF(E72=0,0,((E72+E71)/E72)-1)</f>
        <v>0.14906595273880985</v>
      </c>
      <c r="F73" s="1177">
        <f>IF(F72=0,0,((F72+F71)/F72)-1)</f>
        <v>0.29970154409289473</v>
      </c>
      <c r="G73" s="1177">
        <f>IF(G72=0,0,((G72+G71)/G72)-1)</f>
        <v>0.11825738736421743</v>
      </c>
    </row>
    <row r="74" spans="1:7" ht="16.5" thickTop="1">
      <c r="D74" s="1163"/>
      <c r="E74" s="1179"/>
      <c r="F74" s="1179"/>
      <c r="G74" s="1179"/>
    </row>
    <row r="75" spans="1:7" ht="16.5" thickBot="1">
      <c r="D75" s="1163" t="s">
        <v>5</v>
      </c>
      <c r="E75" s="1536">
        <f>(E73*3+F73*2+G73*1)/6</f>
        <v>0.1941430556277394</v>
      </c>
      <c r="F75" s="1181"/>
      <c r="G75" s="1182"/>
    </row>
    <row r="78" spans="1:7" ht="16.5" thickBot="1"/>
    <row r="79" spans="1:7" ht="16.5" thickTop="1">
      <c r="A79" s="2419"/>
      <c r="B79" s="2420"/>
      <c r="C79" s="2421"/>
      <c r="D79" s="2427" t="s">
        <v>694</v>
      </c>
      <c r="E79" s="2428"/>
    </row>
    <row r="80" spans="1:7" ht="16.5" thickBot="1">
      <c r="A80" s="2422"/>
      <c r="B80" s="2279"/>
      <c r="C80" s="2423"/>
      <c r="D80" s="2429"/>
      <c r="E80" s="2430"/>
    </row>
    <row r="81" spans="1:5" ht="16.5" thickBot="1">
      <c r="A81" s="2424"/>
      <c r="B81" s="2425"/>
      <c r="C81" s="2426"/>
      <c r="D81" s="345" t="s">
        <v>695</v>
      </c>
      <c r="E81" s="1217" t="s">
        <v>186</v>
      </c>
    </row>
    <row r="82" spans="1:5">
      <c r="A82" s="340"/>
      <c r="B82" s="1226" t="s">
        <v>696</v>
      </c>
      <c r="C82" s="1227"/>
      <c r="D82" s="607"/>
      <c r="E82" s="1218"/>
    </row>
    <row r="83" spans="1:5">
      <c r="A83" s="340"/>
      <c r="B83" s="1228" t="s">
        <v>697</v>
      </c>
      <c r="C83" s="1229"/>
      <c r="D83" s="182"/>
      <c r="E83" s="266"/>
    </row>
    <row r="84" spans="1:5">
      <c r="A84" s="340"/>
      <c r="B84" s="1230" t="s">
        <v>763</v>
      </c>
      <c r="C84" s="1229"/>
      <c r="D84" s="182"/>
      <c r="E84" s="266"/>
    </row>
    <row r="85" spans="1:5">
      <c r="A85" s="340"/>
      <c r="B85" s="1230" t="s">
        <v>764</v>
      </c>
      <c r="C85" s="1229"/>
      <c r="D85" s="182"/>
      <c r="E85" s="266"/>
    </row>
    <row r="86" spans="1:5">
      <c r="A86" s="340"/>
      <c r="B86" s="1230" t="s">
        <v>765</v>
      </c>
      <c r="C86" s="1229"/>
      <c r="D86" s="182"/>
      <c r="E86" s="266"/>
    </row>
    <row r="87" spans="1:5" ht="16.5" thickBot="1">
      <c r="A87" s="341"/>
      <c r="B87" s="2407" t="s">
        <v>197</v>
      </c>
      <c r="C87" s="2408"/>
      <c r="D87" s="1224">
        <f>SUM(D82:D86)</f>
        <v>0</v>
      </c>
      <c r="E87" s="1225">
        <f>SUM(E82:E86)</f>
        <v>0</v>
      </c>
    </row>
    <row r="88" spans="1:5" ht="16.5" thickTop="1"/>
  </sheetData>
  <mergeCells count="22">
    <mergeCell ref="J23:K24"/>
    <mergeCell ref="I8:I10"/>
    <mergeCell ref="A1:K1"/>
    <mergeCell ref="A7:K7"/>
    <mergeCell ref="F8:F10"/>
    <mergeCell ref="G8:H9"/>
    <mergeCell ref="A3:K3"/>
    <mergeCell ref="A2:K2"/>
    <mergeCell ref="J8:K9"/>
    <mergeCell ref="B87:C87"/>
    <mergeCell ref="G4:I4"/>
    <mergeCell ref="G5:I5"/>
    <mergeCell ref="G6:I6"/>
    <mergeCell ref="B36:C36"/>
    <mergeCell ref="D23:E24"/>
    <mergeCell ref="D8:E9"/>
    <mergeCell ref="B21:C21"/>
    <mergeCell ref="A79:C81"/>
    <mergeCell ref="D79:E80"/>
    <mergeCell ref="F23:F25"/>
    <mergeCell ref="G23:H24"/>
    <mergeCell ref="I23:I25"/>
  </mergeCells>
  <phoneticPr fontId="0" type="noConversion"/>
  <hyperlinks>
    <hyperlink ref="B5" location="TOC!A1" display="TOC" xr:uid="{00000000-0004-0000-0900-000000000000}"/>
  </hyperlinks>
  <printOptions horizontalCentered="1" headings="1"/>
  <pageMargins left="0.5" right="0.5" top="1" bottom="0.8" header="0.25" footer="0.25"/>
  <pageSetup scale="75" orientation="landscape" r:id="rId1"/>
  <headerFooter alignWithMargins="0">
    <oddHeader xml:space="preserve">&amp;LCheryl Kettner
</oddHeader>
    <oddFooter>&amp;LFY 2026-2028 ASC Filing&amp;CPage &amp;P of &amp;N&amp;R&amp;A
&amp;D</oddFooter>
  </headerFooter>
  <colBreaks count="1" manualBreakCount="1">
    <brk id="11" max="36" man="1"/>
  </colBreaks>
  <customProperties>
    <customPr name="xxe4aPID" r:id="rId2"/>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K28"/>
  <sheetViews>
    <sheetView zoomScaleNormal="100" zoomScaleSheetLayoutView="75" workbookViewId="0">
      <selection activeCell="A6" sqref="A1:XFD1048576"/>
    </sheetView>
  </sheetViews>
  <sheetFormatPr defaultRowHeight="15.75"/>
  <cols>
    <col min="1" max="1" width="38.375" customWidth="1"/>
    <col min="2" max="2" width="13.625" customWidth="1"/>
    <col min="3" max="6" width="12.75" customWidth="1"/>
    <col min="7" max="7" width="15.5" customWidth="1"/>
    <col min="8" max="11" width="12.625" customWidth="1"/>
  </cols>
  <sheetData>
    <row r="1" spans="1:11" ht="24" thickTop="1" thickBot="1">
      <c r="A1" s="2443" t="s">
        <v>724</v>
      </c>
      <c r="B1" s="2444"/>
      <c r="C1" s="2444"/>
      <c r="D1" s="2444"/>
      <c r="E1" s="2444"/>
      <c r="F1" s="2444"/>
      <c r="G1" s="2445"/>
      <c r="K1" s="144"/>
    </row>
    <row r="2" spans="1:11" ht="39.75" customHeight="1" thickBot="1">
      <c r="A2" s="1902" t="s">
        <v>741</v>
      </c>
      <c r="B2" s="1903" t="s">
        <v>806</v>
      </c>
      <c r="C2" s="2448" t="s">
        <v>807</v>
      </c>
      <c r="D2" s="2449"/>
      <c r="E2" s="2449"/>
      <c r="F2" s="2449"/>
      <c r="G2" s="2450"/>
    </row>
    <row r="3" spans="1:11" ht="16.5" thickBot="1">
      <c r="A3" s="1904" t="s">
        <v>585</v>
      </c>
      <c r="B3" s="1905">
        <f>'Sch 1- Rate Base '!E6</f>
        <v>2023</v>
      </c>
      <c r="C3" s="1906">
        <f>B3+1</f>
        <v>2024</v>
      </c>
      <c r="D3" s="1907">
        <f>C3+1</f>
        <v>2025</v>
      </c>
      <c r="E3" s="1907">
        <f>D3+1</f>
        <v>2026</v>
      </c>
      <c r="F3" s="1907">
        <f>E3+1</f>
        <v>2027</v>
      </c>
      <c r="G3" s="1908">
        <f>F3+1</f>
        <v>2028</v>
      </c>
    </row>
    <row r="4" spans="1:11">
      <c r="A4" s="1884" t="s">
        <v>693</v>
      </c>
      <c r="B4" s="1885">
        <f>'Sch 4 - Average System Cost'!D39</f>
        <v>9307869</v>
      </c>
      <c r="C4" s="1886">
        <v>9378659</v>
      </c>
      <c r="D4" s="1887">
        <v>9381201</v>
      </c>
      <c r="E4" s="1887">
        <v>9397375</v>
      </c>
      <c r="F4" s="1887">
        <v>9417600</v>
      </c>
      <c r="G4" s="1888">
        <v>9434813</v>
      </c>
    </row>
    <row r="5" spans="1:11">
      <c r="A5" s="1889" t="s">
        <v>586</v>
      </c>
      <c r="B5" s="1640">
        <f>'Sch 4 - Average System Cost'!D42</f>
        <v>298050.91444673057</v>
      </c>
      <c r="C5" s="1639">
        <v>286380.71639999998</v>
      </c>
      <c r="D5" s="1232">
        <f>D4*B16</f>
        <v>300198.43200000003</v>
      </c>
      <c r="E5" s="1232">
        <f>E4*B16</f>
        <v>300716</v>
      </c>
      <c r="F5" s="1232">
        <f>F4*B16</f>
        <v>301363.20000000001</v>
      </c>
      <c r="G5" s="1890">
        <f>G4*B16</f>
        <v>301914.016</v>
      </c>
    </row>
    <row r="6" spans="1:11">
      <c r="A6" s="1891" t="s">
        <v>587</v>
      </c>
      <c r="B6" s="782">
        <f>B4+B5</f>
        <v>9605919.9144467302</v>
      </c>
      <c r="C6" s="1232">
        <v>9125291.7163999993</v>
      </c>
      <c r="D6" s="1232">
        <v>9163988.1331999991</v>
      </c>
      <c r="E6" s="1232">
        <f>SUM(E4:E5)</f>
        <v>9698091</v>
      </c>
      <c r="F6" s="1232">
        <f t="shared" ref="F6:G6" si="0">SUM(F4:F5)</f>
        <v>9718963.1999999993</v>
      </c>
      <c r="G6" s="1232">
        <f t="shared" si="0"/>
        <v>9736727.0160000008</v>
      </c>
    </row>
    <row r="7" spans="1:11">
      <c r="A7" s="1892" t="s">
        <v>757</v>
      </c>
      <c r="B7" s="782">
        <f>B6</f>
        <v>9605919.9144467302</v>
      </c>
      <c r="C7" s="781">
        <v>9534467.7852131967</v>
      </c>
      <c r="D7" s="1232">
        <v>9534467.7852131967</v>
      </c>
      <c r="E7" s="1232">
        <f>E6</f>
        <v>9698091</v>
      </c>
      <c r="F7" s="1232">
        <f t="shared" ref="F7:G7" si="1">F6</f>
        <v>9718963.1999999993</v>
      </c>
      <c r="G7" s="1232">
        <f t="shared" si="1"/>
        <v>9736727.0160000008</v>
      </c>
    </row>
    <row r="8" spans="1:11">
      <c r="A8" s="1893"/>
      <c r="B8" s="783"/>
      <c r="C8" s="783"/>
      <c r="D8" s="783"/>
      <c r="E8" s="783"/>
      <c r="F8" s="783"/>
      <c r="G8" s="1890"/>
    </row>
    <row r="9" spans="1:11">
      <c r="A9" s="1892" t="s">
        <v>758</v>
      </c>
      <c r="B9" s="782">
        <f>'Sch 4 - Average System Cost'!F45</f>
        <v>109791.504</v>
      </c>
      <c r="C9" s="1232"/>
      <c r="D9" s="1232"/>
      <c r="E9" s="1232"/>
      <c r="F9" s="1232"/>
      <c r="G9" s="1890"/>
    </row>
    <row r="10" spans="1:11">
      <c r="A10" s="1892" t="s">
        <v>759</v>
      </c>
      <c r="B10" s="782"/>
      <c r="C10" s="1232"/>
      <c r="D10" s="1232"/>
      <c r="E10" s="1232"/>
      <c r="F10" s="1232"/>
      <c r="G10" s="1890"/>
    </row>
    <row r="11" spans="1:11">
      <c r="A11" s="1892" t="s">
        <v>760</v>
      </c>
      <c r="B11" s="782">
        <f>B9</f>
        <v>109791.504</v>
      </c>
      <c r="C11" s="781">
        <f>B11</f>
        <v>109791.504</v>
      </c>
      <c r="D11" s="1232">
        <f>B9</f>
        <v>109791.504</v>
      </c>
      <c r="E11" s="1232">
        <f>B9</f>
        <v>109791.504</v>
      </c>
      <c r="F11" s="1232">
        <f>B9</f>
        <v>109791.504</v>
      </c>
      <c r="G11" s="1890">
        <f>B9</f>
        <v>109791.504</v>
      </c>
    </row>
    <row r="12" spans="1:11">
      <c r="A12" s="1891"/>
      <c r="B12" s="782"/>
      <c r="C12" s="781"/>
      <c r="D12" s="1232"/>
      <c r="E12" s="1232"/>
      <c r="F12" s="1232"/>
      <c r="G12" s="1890"/>
    </row>
    <row r="13" spans="1:11">
      <c r="A13" s="1893"/>
      <c r="B13" s="783"/>
      <c r="C13" s="783"/>
      <c r="D13" s="783"/>
      <c r="E13" s="783"/>
      <c r="F13" s="783"/>
      <c r="G13" s="1890"/>
    </row>
    <row r="14" spans="1:11">
      <c r="A14" s="1894" t="s">
        <v>588</v>
      </c>
      <c r="B14" s="1321"/>
      <c r="C14" s="1322">
        <v>55776.442399999127</v>
      </c>
      <c r="D14" s="1322">
        <v>38696.416799999774</v>
      </c>
      <c r="E14" s="1322">
        <f>E6-D6</f>
        <v>534102.86680000089</v>
      </c>
      <c r="F14" s="1322">
        <f>F6-E6</f>
        <v>20872.199999999255</v>
      </c>
      <c r="G14" s="1895">
        <f>G6-F6</f>
        <v>17763.816000001505</v>
      </c>
    </row>
    <row r="15" spans="1:11">
      <c r="A15" s="1891"/>
      <c r="B15" s="783"/>
      <c r="C15" s="1555"/>
      <c r="D15" s="1555"/>
      <c r="E15" s="1555"/>
      <c r="F15" s="1881"/>
      <c r="G15" s="1896"/>
    </row>
    <row r="16" spans="1:11">
      <c r="A16" s="1893" t="s">
        <v>768</v>
      </c>
      <c r="B16" s="1592">
        <f>ROUND('Sch 4 - Average System Cost'!F42,4)</f>
        <v>3.2000000000000001E-2</v>
      </c>
      <c r="C16" s="783"/>
      <c r="D16" s="783"/>
      <c r="E16" s="783"/>
      <c r="F16" s="1880"/>
      <c r="G16" s="1897"/>
    </row>
    <row r="17" spans="1:7" ht="16.5" thickBot="1">
      <c r="A17" s="1898"/>
      <c r="B17" s="1899"/>
      <c r="C17" s="1899"/>
      <c r="D17" s="1899"/>
      <c r="E17" s="1899"/>
      <c r="F17" s="1900"/>
      <c r="G17" s="1901"/>
    </row>
    <row r="19" spans="1:7" ht="16.5" thickBot="1"/>
    <row r="20" spans="1:7">
      <c r="A20" s="1236" t="s">
        <v>699</v>
      </c>
      <c r="D20" s="2355" t="str">
        <f>'Sch 1- Rate Base '!E5</f>
        <v>Utility Name</v>
      </c>
      <c r="E20" s="2363"/>
      <c r="F20" s="1882"/>
    </row>
    <row r="21" spans="1:7" ht="18.75">
      <c r="A21" s="1216"/>
      <c r="D21" s="2357">
        <f>'Sch 1- Rate Base '!E6</f>
        <v>2023</v>
      </c>
      <c r="E21" s="2364"/>
      <c r="F21" s="1882"/>
    </row>
    <row r="22" spans="1:7" ht="16.5" thickBot="1">
      <c r="D22" s="2359">
        <f>'Sch 1- Rate Base '!E7</f>
        <v>45446</v>
      </c>
      <c r="E22" s="2447"/>
      <c r="F22" s="1883"/>
    </row>
    <row r="25" spans="1:7" ht="18.75">
      <c r="C25" s="2446" t="s">
        <v>54</v>
      </c>
      <c r="D25" s="2446"/>
      <c r="E25" s="2446"/>
      <c r="F25" s="2446"/>
      <c r="G25" s="2446"/>
    </row>
    <row r="26" spans="1:7" ht="18.75">
      <c r="B26" s="1239"/>
      <c r="C26" s="2295" t="s">
        <v>56</v>
      </c>
      <c r="D26" s="2295"/>
      <c r="E26" s="2295"/>
      <c r="F26" s="2295"/>
      <c r="G26" s="2295"/>
    </row>
    <row r="27" spans="1:7">
      <c r="B27" s="145"/>
      <c r="C27" s="2292" t="s">
        <v>723</v>
      </c>
      <c r="D27" s="2292"/>
      <c r="E27" s="2292"/>
      <c r="F27" s="2292"/>
      <c r="G27" s="2292"/>
    </row>
    <row r="28" spans="1:7">
      <c r="B28" s="600"/>
      <c r="C28" s="600"/>
      <c r="D28" s="600"/>
      <c r="E28" s="600"/>
      <c r="F28" s="600"/>
      <c r="G28" s="600"/>
    </row>
  </sheetData>
  <mergeCells count="8">
    <mergeCell ref="C26:G26"/>
    <mergeCell ref="C27:G27"/>
    <mergeCell ref="A1:G1"/>
    <mergeCell ref="C25:G25"/>
    <mergeCell ref="D20:E20"/>
    <mergeCell ref="D21:E21"/>
    <mergeCell ref="D22:E22"/>
    <mergeCell ref="C2:G2"/>
  </mergeCells>
  <phoneticPr fontId="0" type="noConversion"/>
  <hyperlinks>
    <hyperlink ref="A20" location="TOC!A1" display="TOC" xr:uid="{00000000-0004-0000-0A00-000000000000}"/>
  </hyperlinks>
  <printOptions horizontalCentered="1" headings="1"/>
  <pageMargins left="0.5" right="0.5" top="1" bottom="0.8" header="0.25" footer="0.25"/>
  <pageSetup scale="75" orientation="landscape" r:id="rId1"/>
  <headerFooter alignWithMargins="0">
    <oddHeader xml:space="preserve">&amp;LJenn Hossack
</oddHeader>
    <oddFooter>&amp;LFY 2026-2028 ASC Filing&amp;CPage &amp;P of &amp;N&amp;R&amp;A
&amp;D</oddFooter>
  </headerFooter>
  <customProperties>
    <customPr name="xxe4aPID" r:id="rId2"/>
  </customPropertie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theme="0" tint="-0.34998626667073579"/>
  </sheetPr>
  <dimension ref="A1:H24"/>
  <sheetViews>
    <sheetView view="pageLayout" zoomScaleNormal="100" workbookViewId="0">
      <selection activeCell="A6" sqref="A1:XFD1048576"/>
    </sheetView>
  </sheetViews>
  <sheetFormatPr defaultRowHeight="15.75"/>
  <cols>
    <col min="1" max="1" width="9.125" customWidth="1"/>
    <col min="2" max="2" width="5.125" customWidth="1"/>
    <col min="3" max="3" width="14.625" customWidth="1"/>
    <col min="4" max="4" width="15.625" customWidth="1"/>
    <col min="5" max="5" width="18.625" customWidth="1"/>
    <col min="6" max="6" width="13.5" customWidth="1"/>
    <col min="7" max="7" width="9.875" hidden="1" customWidth="1"/>
    <col min="8" max="8" width="10.75" customWidth="1"/>
  </cols>
  <sheetData>
    <row r="1" spans="1:8" ht="19.5" thickTop="1">
      <c r="A1" s="2344" t="s">
        <v>54</v>
      </c>
      <c r="B1" s="2345"/>
      <c r="C1" s="2345"/>
      <c r="D1" s="2345"/>
      <c r="E1" s="2345"/>
      <c r="F1" s="2345"/>
      <c r="G1" s="2345"/>
      <c r="H1" s="2346"/>
    </row>
    <row r="2" spans="1:8">
      <c r="A2" s="2342" t="s">
        <v>56</v>
      </c>
      <c r="B2" s="2295"/>
      <c r="C2" s="2295"/>
      <c r="D2" s="2295"/>
      <c r="E2" s="2295"/>
      <c r="F2" s="2295"/>
      <c r="G2" s="2295"/>
      <c r="H2" s="2343"/>
    </row>
    <row r="3" spans="1:8">
      <c r="A3" s="2340" t="s">
        <v>725</v>
      </c>
      <c r="B3" s="2292"/>
      <c r="C3" s="2292"/>
      <c r="D3" s="2292"/>
      <c r="E3" s="2292"/>
      <c r="F3" s="2292"/>
      <c r="G3" s="2292"/>
      <c r="H3" s="2341"/>
    </row>
    <row r="4" spans="1:8" ht="16.5" thickBot="1">
      <c r="A4" s="367"/>
      <c r="B4" s="3"/>
      <c r="C4" s="3"/>
      <c r="D4" s="3"/>
      <c r="E4" s="3"/>
      <c r="F4" s="3"/>
      <c r="G4" s="90"/>
      <c r="H4" s="223"/>
    </row>
    <row r="5" spans="1:8">
      <c r="A5" s="1379" t="s">
        <v>699</v>
      </c>
      <c r="C5" s="502" t="s">
        <v>576</v>
      </c>
      <c r="D5" s="2355" t="str">
        <f>'Sch 1- Rate Base '!$E$5</f>
        <v>Utility Name</v>
      </c>
      <c r="E5" s="2363"/>
      <c r="F5" s="600"/>
      <c r="G5" s="90"/>
      <c r="H5" s="223"/>
    </row>
    <row r="6" spans="1:8">
      <c r="A6" s="158"/>
      <c r="C6" s="502" t="s">
        <v>578</v>
      </c>
      <c r="D6" s="2357">
        <f>'Sch 1- Rate Base '!$E$6</f>
        <v>2023</v>
      </c>
      <c r="E6" s="2364"/>
      <c r="F6" s="600"/>
      <c r="G6" s="90"/>
      <c r="H6" s="223"/>
    </row>
    <row r="7" spans="1:8" ht="16.5" thickBot="1">
      <c r="A7" s="158"/>
      <c r="C7" s="502" t="s">
        <v>579</v>
      </c>
      <c r="D7" s="2359">
        <f>'Sch 1- Rate Base '!$E$7</f>
        <v>45446</v>
      </c>
      <c r="E7" s="2447"/>
      <c r="F7" s="600"/>
      <c r="G7" s="90"/>
      <c r="H7" s="223"/>
    </row>
    <row r="8" spans="1:8">
      <c r="A8" s="158"/>
      <c r="C8" s="502"/>
      <c r="D8" s="625"/>
      <c r="E8" s="622"/>
      <c r="F8" s="624"/>
      <c r="G8" s="90"/>
      <c r="H8" s="223"/>
    </row>
    <row r="9" spans="1:8">
      <c r="A9" s="158"/>
      <c r="B9" s="593"/>
      <c r="C9" s="3"/>
      <c r="D9" s="3"/>
      <c r="E9" s="3"/>
      <c r="F9" s="624"/>
      <c r="G9" s="90"/>
      <c r="H9" s="223"/>
    </row>
    <row r="10" spans="1:8">
      <c r="A10" s="594" t="s">
        <v>584</v>
      </c>
      <c r="B10" s="595"/>
      <c r="C10" s="595"/>
      <c r="D10" s="595"/>
      <c r="E10" s="595"/>
      <c r="F10" s="595"/>
      <c r="G10" s="90"/>
      <c r="H10" s="223"/>
    </row>
    <row r="11" spans="1:8" ht="16.5" thickBot="1">
      <c r="A11" s="598"/>
      <c r="B11" s="599"/>
      <c r="C11" s="599"/>
      <c r="D11" s="599"/>
      <c r="E11" s="599"/>
      <c r="F11" s="599"/>
      <c r="G11" s="235"/>
      <c r="H11" s="236"/>
    </row>
    <row r="12" spans="1:8">
      <c r="A12" s="342"/>
      <c r="H12" s="355"/>
    </row>
    <row r="13" spans="1:8">
      <c r="A13" s="1380"/>
      <c r="B13" s="847"/>
      <c r="C13" s="847"/>
      <c r="D13" s="847"/>
      <c r="E13" s="847"/>
      <c r="F13" s="847"/>
      <c r="H13" s="355"/>
    </row>
    <row r="14" spans="1:8">
      <c r="A14" s="1380"/>
      <c r="B14" s="847"/>
      <c r="C14" s="847"/>
      <c r="D14" s="847"/>
      <c r="E14" s="847"/>
      <c r="F14" s="847"/>
      <c r="H14" s="355"/>
    </row>
    <row r="15" spans="1:8">
      <c r="A15" s="170"/>
      <c r="B15" s="1311"/>
      <c r="C15" s="79"/>
      <c r="D15" s="1311"/>
      <c r="E15" s="1017"/>
      <c r="F15" s="1524"/>
      <c r="H15" s="355"/>
    </row>
    <row r="16" spans="1:8">
      <c r="A16" s="170"/>
      <c r="B16" s="1311"/>
      <c r="C16" s="79"/>
      <c r="D16" s="1311"/>
      <c r="E16" s="1017"/>
      <c r="F16" s="1524"/>
      <c r="H16" s="355"/>
    </row>
    <row r="17" spans="1:8">
      <c r="A17" s="170"/>
      <c r="B17" s="1311"/>
      <c r="C17" s="79"/>
      <c r="D17" s="1311"/>
      <c r="E17" s="1017"/>
      <c r="F17" s="1524"/>
      <c r="H17" s="355"/>
    </row>
    <row r="18" spans="1:8">
      <c r="A18" s="170"/>
      <c r="B18" s="1311"/>
      <c r="C18" s="79"/>
      <c r="D18" s="1311"/>
      <c r="E18" s="1017"/>
      <c r="F18" s="1524"/>
      <c r="H18" s="355"/>
    </row>
    <row r="19" spans="1:8">
      <c r="A19" s="170"/>
      <c r="B19" s="1311"/>
      <c r="C19" s="79"/>
      <c r="D19" s="1311"/>
      <c r="E19" s="1523"/>
      <c r="F19" s="1524"/>
      <c r="H19" s="355"/>
    </row>
    <row r="20" spans="1:8">
      <c r="A20" s="170"/>
      <c r="B20" s="79"/>
      <c r="C20" s="79"/>
      <c r="D20" s="79"/>
      <c r="E20" s="79"/>
      <c r="H20" s="355"/>
    </row>
    <row r="21" spans="1:8">
      <c r="A21" s="1380"/>
      <c r="B21" s="1312"/>
      <c r="C21" s="847"/>
      <c r="D21" s="1312"/>
      <c r="E21" s="1312"/>
      <c r="F21" s="1525"/>
      <c r="H21" s="355"/>
    </row>
    <row r="22" spans="1:8">
      <c r="A22" s="340"/>
      <c r="H22" s="355"/>
    </row>
    <row r="23" spans="1:8" ht="16.5" thickBot="1">
      <c r="A23" s="341"/>
      <c r="B23" s="596"/>
      <c r="C23" s="596"/>
      <c r="D23" s="596"/>
      <c r="E23" s="596"/>
      <c r="F23" s="596"/>
      <c r="G23" s="596"/>
      <c r="H23" s="597"/>
    </row>
    <row r="24" spans="1:8" ht="16.5" thickTop="1"/>
  </sheetData>
  <sheetProtection algorithmName="SHA-512" hashValue="wXNKCi0iBvRUvpa1e+wQuBNE1i4nEbgDItLGMwf0pJS8NEBfUSadbbRLjXu6KUR4syyY+hvwnLN+DhPKZ/S9xQ==" saltValue="czMXXEo9T5ZHsc5+vqMIPw==" spinCount="100000" sheet="1" objects="1" scenarios="1" selectLockedCells="1" selectUnlockedCells="1"/>
  <mergeCells count="6">
    <mergeCell ref="D6:E6"/>
    <mergeCell ref="D7:E7"/>
    <mergeCell ref="A1:H1"/>
    <mergeCell ref="A2:H2"/>
    <mergeCell ref="A3:H3"/>
    <mergeCell ref="D5:E5"/>
  </mergeCells>
  <phoneticPr fontId="0" type="noConversion"/>
  <hyperlinks>
    <hyperlink ref="A5" location="TOC!A1" display="TOC" xr:uid="{00000000-0004-0000-0B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xxe4aPID" r:id="rId2"/>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92D050"/>
  </sheetPr>
  <dimension ref="A1:M42"/>
  <sheetViews>
    <sheetView topLeftCell="A6" zoomScaleNormal="100" zoomScaleSheetLayoutView="100" zoomScalePageLayoutView="120" workbookViewId="0">
      <selection activeCell="A6" sqref="A1:XFD1048576"/>
    </sheetView>
  </sheetViews>
  <sheetFormatPr defaultColWidth="9" defaultRowHeight="12.75"/>
  <cols>
    <col min="1" max="1" width="7.125" style="57" customWidth="1"/>
    <col min="2" max="2" width="48.125" style="57" customWidth="1"/>
    <col min="3" max="3" width="22.125" style="71" customWidth="1"/>
    <col min="4" max="4" width="24.375" style="57" customWidth="1"/>
    <col min="5" max="5" width="0.125" style="57" customWidth="1"/>
    <col min="6" max="16384" width="9" style="57"/>
  </cols>
  <sheetData>
    <row r="1" spans="1:13" ht="19.5" thickTop="1">
      <c r="A1" s="2344" t="s">
        <v>54</v>
      </c>
      <c r="B1" s="2345"/>
      <c r="C1" s="2345"/>
      <c r="D1" s="2346"/>
    </row>
    <row r="2" spans="1:13" ht="15.75">
      <c r="A2" s="2342" t="s">
        <v>56</v>
      </c>
      <c r="B2" s="2295"/>
      <c r="C2" s="2295"/>
      <c r="D2" s="2343"/>
      <c r="H2"/>
      <c r="I2"/>
      <c r="J2"/>
      <c r="K2"/>
      <c r="L2"/>
      <c r="M2"/>
    </row>
    <row r="3" spans="1:13" ht="15.75">
      <c r="A3" s="2340" t="s">
        <v>723</v>
      </c>
      <c r="B3" s="2292"/>
      <c r="C3" s="2292"/>
      <c r="D3" s="2341"/>
      <c r="H3"/>
      <c r="I3"/>
      <c r="J3"/>
      <c r="K3"/>
      <c r="L3"/>
      <c r="M3"/>
    </row>
    <row r="4" spans="1:13" ht="12.75" customHeight="1" thickBot="1">
      <c r="A4" s="367"/>
      <c r="B4" s="180"/>
      <c r="C4" s="180"/>
      <c r="D4" s="237"/>
      <c r="H4"/>
      <c r="I4"/>
      <c r="J4"/>
      <c r="K4"/>
      <c r="L4"/>
      <c r="M4"/>
    </row>
    <row r="5" spans="1:13" ht="15.75">
      <c r="A5" s="1238" t="s">
        <v>699</v>
      </c>
      <c r="B5" s="502" t="s">
        <v>576</v>
      </c>
      <c r="C5" s="1197" t="str">
        <f>'Sch 1- Rate Base '!$E$5</f>
        <v>Utility Name</v>
      </c>
      <c r="D5" s="355"/>
      <c r="E5"/>
      <c r="H5" s="600"/>
      <c r="I5" s="600"/>
      <c r="J5" s="600"/>
    </row>
    <row r="6" spans="1:13" ht="15.75">
      <c r="A6" s="1298"/>
      <c r="B6" s="502" t="s">
        <v>578</v>
      </c>
      <c r="C6" s="1198">
        <f>'Sch 1- Rate Base '!$E$6</f>
        <v>2023</v>
      </c>
      <c r="D6" s="355"/>
      <c r="E6"/>
      <c r="H6" s="600"/>
      <c r="I6" s="600"/>
      <c r="J6" s="600"/>
    </row>
    <row r="7" spans="1:13" ht="16.5" thickBot="1">
      <c r="A7" s="340" t="s">
        <v>726</v>
      </c>
      <c r="B7" s="502" t="s">
        <v>579</v>
      </c>
      <c r="C7" s="1199">
        <f>'Sch 1- Rate Base '!$E$7</f>
        <v>45446</v>
      </c>
      <c r="D7" s="355"/>
      <c r="E7"/>
      <c r="H7" s="1310"/>
      <c r="I7" s="600"/>
      <c r="J7" s="600"/>
    </row>
    <row r="8" spans="1:13" ht="15.75" hidden="1" customHeight="1">
      <c r="A8" s="628"/>
      <c r="B8" s="623"/>
      <c r="C8" s="624"/>
      <c r="D8" s="627"/>
      <c r="E8"/>
    </row>
    <row r="9" spans="1:13" ht="16.5" hidden="1" customHeight="1" thickBot="1">
      <c r="A9" s="367"/>
      <c r="B9" s="180"/>
      <c r="C9" s="624"/>
      <c r="D9" s="237"/>
    </row>
    <row r="10" spans="1:13" ht="16.5" thickBot="1">
      <c r="A10" s="2404" t="s">
        <v>330</v>
      </c>
      <c r="B10" s="2405"/>
      <c r="C10" s="2405"/>
      <c r="D10" s="2406"/>
      <c r="E10"/>
    </row>
    <row r="11" spans="1:13" ht="15.75">
      <c r="A11" s="2454" t="s">
        <v>231</v>
      </c>
      <c r="B11" s="2455"/>
      <c r="C11" s="242" t="s">
        <v>323</v>
      </c>
      <c r="D11" s="2451" t="s">
        <v>445</v>
      </c>
      <c r="E11"/>
    </row>
    <row r="12" spans="1:13" ht="15.75">
      <c r="A12" s="2456"/>
      <c r="B12" s="2457"/>
      <c r="C12" s="218" t="s">
        <v>272</v>
      </c>
      <c r="D12" s="2452"/>
      <c r="E12"/>
    </row>
    <row r="13" spans="1:13" ht="16.5" thickBot="1">
      <c r="A13" s="2458"/>
      <c r="B13" s="2459"/>
      <c r="C13" s="243" t="s">
        <v>273</v>
      </c>
      <c r="D13" s="2453"/>
      <c r="E13"/>
    </row>
    <row r="14" spans="1:13" ht="15.75">
      <c r="A14" s="373" t="s">
        <v>515</v>
      </c>
      <c r="B14" s="95"/>
      <c r="C14" s="180"/>
      <c r="D14" s="237"/>
      <c r="E14"/>
    </row>
    <row r="15" spans="1:13" ht="15.75">
      <c r="A15" s="373" t="s">
        <v>441</v>
      </c>
      <c r="B15" s="95"/>
      <c r="C15" s="245"/>
      <c r="D15" s="238"/>
    </row>
    <row r="16" spans="1:13">
      <c r="A16" s="374">
        <v>1</v>
      </c>
      <c r="B16" s="534" t="s">
        <v>105</v>
      </c>
      <c r="C16" s="246" t="s">
        <v>331</v>
      </c>
      <c r="D16" s="247">
        <f>+'354'!I4</f>
        <v>15180372</v>
      </c>
    </row>
    <row r="17" spans="1:4">
      <c r="A17" s="374">
        <v>2</v>
      </c>
      <c r="B17" s="534" t="s">
        <v>106</v>
      </c>
      <c r="C17" s="246" t="s">
        <v>331</v>
      </c>
      <c r="D17" s="247">
        <f>+'354'!I5</f>
        <v>5610502</v>
      </c>
    </row>
    <row r="18" spans="1:4">
      <c r="A18" s="374">
        <v>3</v>
      </c>
      <c r="B18" s="534" t="s">
        <v>516</v>
      </c>
      <c r="C18" s="246" t="s">
        <v>331</v>
      </c>
      <c r="D18" s="247">
        <f>+'354'!I7</f>
        <v>12299941</v>
      </c>
    </row>
    <row r="19" spans="1:4">
      <c r="A19" s="374">
        <v>4</v>
      </c>
      <c r="B19" s="534" t="s">
        <v>517</v>
      </c>
      <c r="C19" s="246" t="s">
        <v>331</v>
      </c>
      <c r="D19" s="247">
        <f>+'354'!I8</f>
        <v>6507117</v>
      </c>
    </row>
    <row r="20" spans="1:4">
      <c r="A20" s="374">
        <v>5</v>
      </c>
      <c r="B20" s="534" t="s">
        <v>172</v>
      </c>
      <c r="C20" s="246" t="s">
        <v>331</v>
      </c>
      <c r="D20" s="247">
        <f>+'354'!I9</f>
        <v>422600</v>
      </c>
    </row>
    <row r="21" spans="1:4">
      <c r="A21" s="374">
        <v>6</v>
      </c>
      <c r="B21" s="534" t="s">
        <v>519</v>
      </c>
      <c r="C21" s="246" t="s">
        <v>331</v>
      </c>
      <c r="D21" s="247">
        <f>+'354'!I10</f>
        <v>0</v>
      </c>
    </row>
    <row r="22" spans="1:4">
      <c r="A22" s="374">
        <v>7</v>
      </c>
      <c r="B22" s="534" t="s">
        <v>520</v>
      </c>
      <c r="C22" s="246" t="s">
        <v>331</v>
      </c>
      <c r="D22" s="247">
        <f>+'354'!I11</f>
        <v>29427473</v>
      </c>
    </row>
    <row r="23" spans="1:4" ht="15.75">
      <c r="A23" s="373" t="s">
        <v>206</v>
      </c>
      <c r="B23" s="96"/>
      <c r="C23" s="535"/>
      <c r="D23" s="536">
        <f>SUM(D16:D22)</f>
        <v>69448005</v>
      </c>
    </row>
    <row r="24" spans="1:4" ht="15.75">
      <c r="A24" s="374"/>
      <c r="B24" s="96"/>
      <c r="C24" s="98"/>
      <c r="D24" s="244"/>
    </row>
    <row r="25" spans="1:4" ht="15.75">
      <c r="A25" s="373" t="s">
        <v>442</v>
      </c>
      <c r="B25" s="95"/>
      <c r="C25" s="99"/>
      <c r="D25" s="244"/>
    </row>
    <row r="26" spans="1:4">
      <c r="A26" s="374">
        <v>9</v>
      </c>
      <c r="B26" s="534" t="s">
        <v>105</v>
      </c>
      <c r="C26" s="246" t="s">
        <v>331</v>
      </c>
      <c r="D26" s="247">
        <f>+'354'!I14</f>
        <v>4713472</v>
      </c>
    </row>
    <row r="27" spans="1:4">
      <c r="A27" s="374">
        <v>10</v>
      </c>
      <c r="B27" s="534" t="s">
        <v>106</v>
      </c>
      <c r="C27" s="246" t="s">
        <v>331</v>
      </c>
      <c r="D27" s="247">
        <f>+'354'!I15</f>
        <v>1001293</v>
      </c>
    </row>
    <row r="28" spans="1:4">
      <c r="A28" s="374">
        <v>11</v>
      </c>
      <c r="B28" s="534" t="s">
        <v>516</v>
      </c>
      <c r="C28" s="246" t="s">
        <v>331</v>
      </c>
      <c r="D28" s="247">
        <f>+'354'!I17</f>
        <v>4725477</v>
      </c>
    </row>
    <row r="29" spans="1:4">
      <c r="A29" s="374">
        <v>12</v>
      </c>
      <c r="B29" s="534" t="s">
        <v>520</v>
      </c>
      <c r="C29" s="246" t="s">
        <v>331</v>
      </c>
      <c r="D29" s="247">
        <f>+'354'!I18</f>
        <v>0</v>
      </c>
    </row>
    <row r="30" spans="1:4" ht="15.75">
      <c r="A30" s="373" t="s">
        <v>207</v>
      </c>
      <c r="B30" s="95"/>
      <c r="C30" s="535"/>
      <c r="D30" s="536">
        <f>SUM(D26:D29)</f>
        <v>10440242</v>
      </c>
    </row>
    <row r="31" spans="1:4" ht="15.75">
      <c r="A31" s="373"/>
      <c r="B31" s="95"/>
      <c r="C31" s="99"/>
      <c r="D31" s="244"/>
    </row>
    <row r="32" spans="1:4" ht="15.75">
      <c r="A32" s="373" t="s">
        <v>279</v>
      </c>
      <c r="B32" s="95"/>
      <c r="C32" s="99"/>
      <c r="D32" s="244"/>
    </row>
    <row r="33" spans="1:4">
      <c r="A33" s="374"/>
      <c r="B33" s="534" t="s">
        <v>280</v>
      </c>
      <c r="C33" s="246" t="s">
        <v>331</v>
      </c>
      <c r="D33" s="247">
        <f>+D16+D26</f>
        <v>19893844</v>
      </c>
    </row>
    <row r="34" spans="1:4">
      <c r="A34" s="374"/>
      <c r="B34" s="534" t="s">
        <v>281</v>
      </c>
      <c r="C34" s="246" t="s">
        <v>331</v>
      </c>
      <c r="D34" s="247">
        <f>+D17+D27</f>
        <v>6611795</v>
      </c>
    </row>
    <row r="35" spans="1:4">
      <c r="A35" s="374"/>
      <c r="B35" s="534" t="s">
        <v>170</v>
      </c>
      <c r="C35" s="246" t="s">
        <v>331</v>
      </c>
      <c r="D35" s="247">
        <f>+D18+D28</f>
        <v>17025418</v>
      </c>
    </row>
    <row r="36" spans="1:4">
      <c r="A36" s="374"/>
      <c r="B36" s="534" t="s">
        <v>171</v>
      </c>
      <c r="C36" s="246" t="s">
        <v>331</v>
      </c>
      <c r="D36" s="247">
        <f>+D19</f>
        <v>6507117</v>
      </c>
    </row>
    <row r="37" spans="1:4">
      <c r="A37" s="374"/>
      <c r="B37" s="534" t="s">
        <v>173</v>
      </c>
      <c r="C37" s="246" t="s">
        <v>331</v>
      </c>
      <c r="D37" s="247">
        <f>+D20</f>
        <v>422600</v>
      </c>
    </row>
    <row r="38" spans="1:4">
      <c r="A38" s="374"/>
      <c r="B38" s="534" t="s">
        <v>174</v>
      </c>
      <c r="C38" s="246" t="s">
        <v>331</v>
      </c>
      <c r="D38" s="247">
        <f>+D21</f>
        <v>0</v>
      </c>
    </row>
    <row r="39" spans="1:4">
      <c r="A39" s="374"/>
      <c r="B39" s="534" t="s">
        <v>175</v>
      </c>
      <c r="C39" s="246" t="s">
        <v>331</v>
      </c>
      <c r="D39" s="247">
        <f>+D22+D29</f>
        <v>29427473</v>
      </c>
    </row>
    <row r="40" spans="1:4" ht="15.75">
      <c r="A40" s="373" t="s">
        <v>208</v>
      </c>
      <c r="B40" s="96"/>
      <c r="C40" s="535"/>
      <c r="D40" s="536">
        <f>SUM(D33:D39)</f>
        <v>79888247</v>
      </c>
    </row>
    <row r="41" spans="1:4" ht="13.5" thickBot="1">
      <c r="A41" s="375"/>
      <c r="B41" s="239"/>
      <c r="C41" s="240"/>
      <c r="D41" s="241"/>
    </row>
    <row r="42" spans="1:4" ht="13.5" thickTop="1"/>
  </sheetData>
  <mergeCells count="6">
    <mergeCell ref="D11:D13"/>
    <mergeCell ref="A11:B13"/>
    <mergeCell ref="A1:D1"/>
    <mergeCell ref="A2:D2"/>
    <mergeCell ref="A3:D3"/>
    <mergeCell ref="A10:D10"/>
  </mergeCells>
  <phoneticPr fontId="0" type="noConversion"/>
  <hyperlinks>
    <hyperlink ref="A5" location="TOC!A1" display="TOC" xr:uid="{00000000-0004-0000-0C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xxe4aPID" r:id="rId2"/>
  </customProperties>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dimension ref="A1:S89"/>
  <sheetViews>
    <sheetView topLeftCell="B67" zoomScale="75" zoomScaleNormal="75" zoomScaleSheetLayoutView="75" workbookViewId="0">
      <selection activeCell="G100" sqref="G100"/>
    </sheetView>
  </sheetViews>
  <sheetFormatPr defaultColWidth="8" defaultRowHeight="12.75"/>
  <cols>
    <col min="1" max="1" width="10.375" style="70" customWidth="1"/>
    <col min="2" max="2" width="54.625" style="65" customWidth="1"/>
    <col min="3" max="3" width="15.5" style="65" customWidth="1"/>
    <col min="4" max="4" width="17.125" style="66" bestFit="1" customWidth="1"/>
    <col min="5" max="5" width="15.875" style="66" bestFit="1" customWidth="1"/>
    <col min="6" max="6" width="15.375" style="66" bestFit="1" customWidth="1"/>
    <col min="7" max="7" width="17.375" style="66" customWidth="1"/>
    <col min="8" max="8" width="8.25" style="65" bestFit="1" customWidth="1"/>
    <col min="9" max="9" width="12.375" style="65" customWidth="1"/>
    <col min="10" max="11" width="12.625" style="65" customWidth="1"/>
    <col min="12" max="12" width="16.25" style="65" customWidth="1"/>
    <col min="13" max="14" width="10" style="65" customWidth="1"/>
    <col min="15" max="16" width="12.625" style="65" customWidth="1"/>
    <col min="17" max="19" width="18.625" style="65" customWidth="1"/>
    <col min="20" max="16384" width="8" style="65"/>
  </cols>
  <sheetData>
    <row r="1" spans="1:19" ht="15.75" customHeight="1" thickTop="1">
      <c r="A1" s="100" t="s">
        <v>54</v>
      </c>
      <c r="B1" s="101"/>
      <c r="C1" s="102"/>
      <c r="D1" s="103"/>
      <c r="E1" s="102"/>
      <c r="F1" s="118"/>
      <c r="G1" s="119"/>
      <c r="M1" s="838" t="s">
        <v>244</v>
      </c>
      <c r="R1" s="839">
        <f>R46</f>
        <v>816039362</v>
      </c>
    </row>
    <row r="2" spans="1:19" ht="15.75" customHeight="1">
      <c r="A2" s="104" t="s">
        <v>56</v>
      </c>
      <c r="B2" s="83"/>
      <c r="C2" s="94"/>
      <c r="D2" s="97"/>
      <c r="E2" s="94"/>
      <c r="F2" s="120"/>
      <c r="G2" s="121"/>
      <c r="M2" s="838" t="s">
        <v>119</v>
      </c>
      <c r="R2" s="839">
        <f>E46</f>
        <v>1613875938</v>
      </c>
    </row>
    <row r="3" spans="1:19" ht="15.75" customHeight="1">
      <c r="A3" s="2291" t="s">
        <v>723</v>
      </c>
      <c r="B3" s="2292"/>
      <c r="C3" s="2292"/>
      <c r="D3" s="2292"/>
      <c r="E3" s="2292"/>
      <c r="F3" s="2292"/>
      <c r="G3" s="2293"/>
      <c r="M3" s="838" t="s">
        <v>245</v>
      </c>
      <c r="R3" s="840">
        <f>IF(R2=0,0,R1/R2)</f>
        <v>0.5056394626040952</v>
      </c>
    </row>
    <row r="4" spans="1:19" ht="15.75" customHeight="1" thickBot="1">
      <c r="A4" s="1268"/>
      <c r="B4" s="3"/>
      <c r="C4" s="94"/>
      <c r="D4" s="97"/>
      <c r="E4" s="94"/>
      <c r="F4" s="120"/>
      <c r="G4" s="121"/>
      <c r="M4" s="838" t="s">
        <v>246</v>
      </c>
      <c r="R4" s="840">
        <f>IF(R2=0,0,(R2-R1)/R2)</f>
        <v>0.49436053739590485</v>
      </c>
    </row>
    <row r="5" spans="1:19" ht="15.75" customHeight="1">
      <c r="A5" s="1381" t="s">
        <v>699</v>
      </c>
      <c r="B5" s="502" t="s">
        <v>576</v>
      </c>
      <c r="C5" s="2355" t="str">
        <f>'Sch 1- Rate Base '!$E$5</f>
        <v>Utility Name</v>
      </c>
      <c r="D5" s="2356"/>
      <c r="E5" s="2363"/>
      <c r="F5" s="120"/>
      <c r="G5" s="121"/>
      <c r="M5" s="838"/>
    </row>
    <row r="6" spans="1:19" ht="15.75" customHeight="1">
      <c r="A6" s="1382" t="s">
        <v>700</v>
      </c>
      <c r="B6" s="502" t="s">
        <v>578</v>
      </c>
      <c r="C6" s="2357">
        <f>'Sch 1- Rate Base '!$E$6</f>
        <v>2023</v>
      </c>
      <c r="D6" s="2358"/>
      <c r="E6" s="2364"/>
      <c r="F6" s="624"/>
      <c r="G6" s="121"/>
      <c r="M6" s="838" t="s">
        <v>247</v>
      </c>
      <c r="R6" s="839">
        <f>'NLSL_Base_New-Calc'!J33+'NLSL_Base_New-Calc'!J34</f>
        <v>28245884</v>
      </c>
    </row>
    <row r="7" spans="1:19" ht="15.75" customHeight="1" thickBot="1">
      <c r="A7" s="105"/>
      <c r="B7" s="502" t="s">
        <v>579</v>
      </c>
      <c r="C7" s="2359">
        <f>'Sch 1- Rate Base '!$E$7</f>
        <v>45446</v>
      </c>
      <c r="D7" s="2361"/>
      <c r="E7" s="2362"/>
      <c r="F7" s="624"/>
      <c r="G7" s="121"/>
      <c r="M7" s="838" t="s">
        <v>248</v>
      </c>
      <c r="R7" s="839">
        <f>'Sch 3 - Expenses'!H17+'Sch 3 - Expenses'!H18+'Sch 3 - Expenses'!H21+'Sch 3 - Expenses'!H22+'Sch 3 - Expenses'!H24+'Sch 3 - Expenses'!H25+'Sch 3 - Expenses'!H28+'Sch 3 - Expenses'!H29</f>
        <v>67903621</v>
      </c>
    </row>
    <row r="8" spans="1:19" ht="15.75" customHeight="1">
      <c r="A8" s="105"/>
      <c r="B8" s="3"/>
      <c r="C8" s="94"/>
      <c r="D8" s="97"/>
      <c r="E8" s="94"/>
      <c r="F8" s="120"/>
      <c r="G8" s="121"/>
      <c r="M8" s="838" t="s">
        <v>249</v>
      </c>
      <c r="R8" s="840">
        <f>IF(R7=0,0,R6/R7)</f>
        <v>0.41597021755290486</v>
      </c>
    </row>
    <row r="9" spans="1:19" ht="19.5">
      <c r="A9" s="538" t="s">
        <v>335</v>
      </c>
      <c r="B9" s="537"/>
      <c r="C9" s="94"/>
      <c r="D9" s="97"/>
      <c r="E9" s="94"/>
      <c r="F9" s="120"/>
      <c r="G9" s="121"/>
      <c r="M9" s="838" t="s">
        <v>250</v>
      </c>
      <c r="R9" s="840">
        <f>IF(R7=0,0,(R7-R6)/R7)</f>
        <v>0.58402978244709514</v>
      </c>
    </row>
    <row r="10" spans="1:19" ht="5.25" customHeight="1" thickBot="1">
      <c r="A10" s="133"/>
      <c r="B10" s="134"/>
      <c r="C10" s="135"/>
      <c r="D10" s="136"/>
      <c r="E10" s="135"/>
      <c r="F10" s="137"/>
      <c r="G10" s="138"/>
    </row>
    <row r="11" spans="1:19" ht="15.75">
      <c r="A11" s="107"/>
      <c r="B11" s="108"/>
      <c r="D11" s="109"/>
      <c r="E11" s="109"/>
      <c r="F11" s="109"/>
      <c r="G11" s="110"/>
      <c r="Q11" s="2399" t="s">
        <v>105</v>
      </c>
      <c r="R11" s="2399"/>
      <c r="S11" s="2399"/>
    </row>
    <row r="12" spans="1:19" ht="18.75">
      <c r="A12" s="122" t="s">
        <v>521</v>
      </c>
      <c r="B12" s="128"/>
      <c r="C12" s="302" t="s">
        <v>525</v>
      </c>
      <c r="D12" s="303" t="s">
        <v>104</v>
      </c>
      <c r="E12" s="303" t="s">
        <v>105</v>
      </c>
      <c r="F12" s="303" t="s">
        <v>106</v>
      </c>
      <c r="G12" s="304" t="s">
        <v>516</v>
      </c>
      <c r="Q12" s="837" t="s">
        <v>242</v>
      </c>
      <c r="R12" s="834" t="s">
        <v>243</v>
      </c>
      <c r="S12" s="834" t="s">
        <v>104</v>
      </c>
    </row>
    <row r="13" spans="1:19" ht="15.75">
      <c r="A13" s="107"/>
      <c r="B13" s="108" t="s">
        <v>105</v>
      </c>
      <c r="C13" s="124" t="s">
        <v>397</v>
      </c>
      <c r="D13" s="125">
        <f>Salaries!D33</f>
        <v>19893844</v>
      </c>
      <c r="E13" s="125">
        <f t="shared" ref="E13:E19" si="0">VLOOKUP($C13,Ratio,2,FALSE)*$D13</f>
        <v>19893844</v>
      </c>
      <c r="F13" s="125">
        <f t="shared" ref="F13:F19" si="1">VLOOKUP($C13,Ratio,3,FALSE)*$D13</f>
        <v>0</v>
      </c>
      <c r="G13" s="130">
        <f t="shared" ref="G13:G19" si="2">VLOOKUP($C13,Ratio,4,FALSE)*$D13</f>
        <v>0</v>
      </c>
      <c r="Q13" s="125">
        <f>E13*R9</f>
        <v>11618597.383356448</v>
      </c>
      <c r="R13" s="125">
        <f>E13*R8</f>
        <v>8275246.6166435508</v>
      </c>
      <c r="S13" s="835">
        <f>SUM(Q13:R13)</f>
        <v>19893844</v>
      </c>
    </row>
    <row r="14" spans="1:19" ht="15.75">
      <c r="A14" s="107"/>
      <c r="B14" s="108" t="s">
        <v>106</v>
      </c>
      <c r="C14" s="124" t="s">
        <v>396</v>
      </c>
      <c r="D14" s="126">
        <f>Salaries!D34</f>
        <v>6611795</v>
      </c>
      <c r="E14" s="126">
        <f t="shared" si="0"/>
        <v>0</v>
      </c>
      <c r="F14" s="126">
        <f t="shared" si="1"/>
        <v>0</v>
      </c>
      <c r="G14" s="127">
        <f t="shared" si="2"/>
        <v>6611795</v>
      </c>
      <c r="Q14" s="845">
        <v>0</v>
      </c>
      <c r="R14" s="845">
        <v>0</v>
      </c>
    </row>
    <row r="15" spans="1:19" ht="15.75">
      <c r="A15" s="107"/>
      <c r="B15" s="108" t="s">
        <v>516</v>
      </c>
      <c r="C15" s="124" t="s">
        <v>395</v>
      </c>
      <c r="D15" s="126">
        <f>Salaries!D35</f>
        <v>17025418</v>
      </c>
      <c r="E15" s="126">
        <f t="shared" si="0"/>
        <v>0</v>
      </c>
      <c r="F15" s="126">
        <f t="shared" si="1"/>
        <v>0</v>
      </c>
      <c r="G15" s="127">
        <f t="shared" si="2"/>
        <v>17025418</v>
      </c>
      <c r="Q15" s="845">
        <v>0</v>
      </c>
      <c r="R15" s="845">
        <v>0</v>
      </c>
    </row>
    <row r="16" spans="1:19" ht="15.75">
      <c r="A16" s="107"/>
      <c r="B16" s="108" t="s">
        <v>517</v>
      </c>
      <c r="C16" s="124" t="s">
        <v>395</v>
      </c>
      <c r="D16" s="126">
        <f>Salaries!D36</f>
        <v>6507117</v>
      </c>
      <c r="E16" s="126">
        <f t="shared" si="0"/>
        <v>0</v>
      </c>
      <c r="F16" s="126">
        <f t="shared" si="1"/>
        <v>0</v>
      </c>
      <c r="G16" s="127">
        <f t="shared" si="2"/>
        <v>6507117</v>
      </c>
      <c r="I16" s="626" t="s">
        <v>101</v>
      </c>
      <c r="J16" s="626" t="s">
        <v>102</v>
      </c>
      <c r="K16" s="626" t="s">
        <v>103</v>
      </c>
      <c r="Q16" s="845">
        <v>0</v>
      </c>
      <c r="R16" s="845">
        <v>0</v>
      </c>
    </row>
    <row r="17" spans="1:19" ht="15.75">
      <c r="A17" s="107"/>
      <c r="B17" s="1875" t="s">
        <v>518</v>
      </c>
      <c r="C17" s="1636" t="s">
        <v>395</v>
      </c>
      <c r="D17" s="1876">
        <f>Salaries!D37</f>
        <v>422600</v>
      </c>
      <c r="E17" s="1819">
        <f>IF($C17="DIRECT",I17,VLOOKUP($C17,Ratio,2,FALSE)*$D17)</f>
        <v>0</v>
      </c>
      <c r="F17" s="1819">
        <f>IF($C17="DIRECT",J17,VLOOKUP($C17,Ratio,3,FALSE)*$D17)</f>
        <v>0</v>
      </c>
      <c r="G17" s="1877">
        <f>IF($C17="DIRECT",K17,VLOOKUP($C17,Ratio,4,FALSE)*$D17)</f>
        <v>422600</v>
      </c>
      <c r="H17" s="1878"/>
      <c r="I17" s="1879"/>
      <c r="J17" s="1879"/>
      <c r="K17" s="1879"/>
      <c r="N17" s="838"/>
      <c r="Q17" s="845">
        <f>E17</f>
        <v>0</v>
      </c>
      <c r="R17" s="845">
        <v>0</v>
      </c>
      <c r="S17" s="835">
        <f>SUM(Q17:R17)</f>
        <v>0</v>
      </c>
    </row>
    <row r="18" spans="1:19" ht="15.75">
      <c r="A18" s="107"/>
      <c r="B18" s="108" t="s">
        <v>519</v>
      </c>
      <c r="C18" s="124" t="s">
        <v>395</v>
      </c>
      <c r="D18" s="126">
        <f>Salaries!D38</f>
        <v>0</v>
      </c>
      <c r="E18" s="126">
        <f t="shared" si="0"/>
        <v>0</v>
      </c>
      <c r="F18" s="126">
        <f t="shared" si="1"/>
        <v>0</v>
      </c>
      <c r="G18" s="127">
        <f t="shared" si="2"/>
        <v>0</v>
      </c>
      <c r="Q18" s="845">
        <v>0</v>
      </c>
      <c r="R18" s="845">
        <v>0</v>
      </c>
    </row>
    <row r="19" spans="1:19" ht="15.75">
      <c r="A19" s="107"/>
      <c r="B19" s="108" t="s">
        <v>522</v>
      </c>
      <c r="C19" s="124" t="s">
        <v>99</v>
      </c>
      <c r="D19" s="126">
        <f>Salaries!D39</f>
        <v>29427473</v>
      </c>
      <c r="E19" s="126">
        <f t="shared" si="0"/>
        <v>9350897.9082645196</v>
      </c>
      <c r="F19" s="126">
        <f t="shared" si="1"/>
        <v>0</v>
      </c>
      <c r="G19" s="127">
        <f t="shared" si="2"/>
        <v>20076575.091735478</v>
      </c>
      <c r="Q19" s="126">
        <f>D19*Q50</f>
        <v>4622714.9150638906</v>
      </c>
      <c r="R19" s="126">
        <f>D19*R50</f>
        <v>4728182.9932006299</v>
      </c>
      <c r="S19" s="835">
        <f>SUM(Q19:R19)</f>
        <v>9350897.9082645215</v>
      </c>
    </row>
    <row r="20" spans="1:19" ht="15.75">
      <c r="A20" s="107"/>
      <c r="B20" s="108"/>
      <c r="C20" s="108"/>
      <c r="D20" s="111"/>
      <c r="E20" s="111"/>
      <c r="F20" s="111"/>
      <c r="G20" s="112"/>
      <c r="Q20" s="573"/>
      <c r="R20" s="573"/>
    </row>
    <row r="21" spans="1:19" ht="18.75">
      <c r="A21" s="122" t="s">
        <v>523</v>
      </c>
      <c r="B21" s="108"/>
      <c r="C21" s="557"/>
      <c r="D21" s="558">
        <f>SUM(D13:D20)</f>
        <v>79888247</v>
      </c>
      <c r="E21" s="558">
        <f>SUM(E13:E20)</f>
        <v>29244741.908264518</v>
      </c>
      <c r="F21" s="558">
        <f>SUM(F13:F20)</f>
        <v>0</v>
      </c>
      <c r="G21" s="559">
        <f>SUM(G13:G20)</f>
        <v>50643505.091735482</v>
      </c>
      <c r="Q21" s="558">
        <f>SUM(Q13:Q19)</f>
        <v>16241312.29842034</v>
      </c>
      <c r="R21" s="558">
        <f>SUM(R13:R19)</f>
        <v>13003429.609844182</v>
      </c>
      <c r="S21" s="835">
        <f>SUM(Q21:R21)</f>
        <v>29244741.908264522</v>
      </c>
    </row>
    <row r="22" spans="1:19" ht="15.75">
      <c r="A22" s="107"/>
      <c r="B22" s="123" t="s">
        <v>336</v>
      </c>
      <c r="C22" s="557"/>
      <c r="D22" s="560">
        <f>IF($D21=0,0,D21/$D21)</f>
        <v>1</v>
      </c>
      <c r="E22" s="618">
        <f>IF($D21=0,0,E21/$D21)</f>
        <v>0.36607064250971133</v>
      </c>
      <c r="F22" s="618">
        <v>0</v>
      </c>
      <c r="G22" s="619">
        <f>IF($D21=0,0,G21/$D21)+IF($D21=0,0,F21/$D21)</f>
        <v>0.63392935749028867</v>
      </c>
      <c r="O22" s="123" t="s">
        <v>336</v>
      </c>
      <c r="Q22" s="618">
        <f>IF(D21=0,0,Q21/D21)</f>
        <v>0.20330039659551347</v>
      </c>
      <c r="R22" s="618">
        <f>IF(D21=0,0,R21/D21)</f>
        <v>0.16277024591419789</v>
      </c>
      <c r="S22" s="836">
        <f>SUM(Q22:R22)</f>
        <v>0.36607064250971133</v>
      </c>
    </row>
    <row r="23" spans="1:19" ht="15.75">
      <c r="A23" s="107"/>
      <c r="B23" s="108"/>
      <c r="C23" s="108"/>
      <c r="D23" s="111"/>
      <c r="E23" s="111"/>
      <c r="F23" s="111"/>
      <c r="G23" s="112"/>
      <c r="Q23" s="111"/>
      <c r="R23" s="111"/>
    </row>
    <row r="24" spans="1:19" ht="18.75">
      <c r="A24" s="122" t="s">
        <v>91</v>
      </c>
      <c r="B24" s="129" t="s">
        <v>337</v>
      </c>
      <c r="C24" s="302" t="s">
        <v>525</v>
      </c>
      <c r="D24" s="303" t="s">
        <v>104</v>
      </c>
      <c r="E24" s="303" t="s">
        <v>105</v>
      </c>
      <c r="F24" s="303" t="s">
        <v>106</v>
      </c>
      <c r="G24" s="304" t="s">
        <v>516</v>
      </c>
      <c r="Q24" s="837" t="s">
        <v>242</v>
      </c>
      <c r="R24" s="834" t="s">
        <v>243</v>
      </c>
      <c r="S24" s="834" t="s">
        <v>104</v>
      </c>
    </row>
    <row r="25" spans="1:19" ht="15.75">
      <c r="A25" s="107"/>
      <c r="B25" s="108" t="s">
        <v>125</v>
      </c>
      <c r="C25" s="124" t="s">
        <v>99</v>
      </c>
      <c r="D25" s="125">
        <f>'Sch 1- Rate Base '!G37</f>
        <v>1083006</v>
      </c>
      <c r="E25" s="1632">
        <f>'Sch 1- Rate Base '!H37</f>
        <v>344136.87305185618</v>
      </c>
      <c r="F25" s="1632">
        <f>'Sch 1- Rate Base '!I37</f>
        <v>0</v>
      </c>
      <c r="G25" s="1633">
        <f>'Sch 1- Rate Base '!J37</f>
        <v>738869.1269481437</v>
      </c>
      <c r="Q25" s="125">
        <f>D25*Q$50</f>
        <v>170127.68949966191</v>
      </c>
      <c r="R25" s="125">
        <f>D25*R$50</f>
        <v>174009.18355219427</v>
      </c>
      <c r="S25" s="835">
        <f>SUM(Q25:R25)</f>
        <v>344136.87305185618</v>
      </c>
    </row>
    <row r="26" spans="1:19" ht="15.75">
      <c r="A26" s="107"/>
      <c r="B26" s="108" t="s">
        <v>126</v>
      </c>
      <c r="C26" s="124" t="s">
        <v>99</v>
      </c>
      <c r="D26" s="126">
        <f>'Sch 1- Rate Base '!G38</f>
        <v>21045508</v>
      </c>
      <c r="E26" s="1634">
        <f>'Sch 1- Rate Base '!H38</f>
        <v>6687437.8488280065</v>
      </c>
      <c r="F26" s="1634">
        <f>'Sch 1- Rate Base '!I38</f>
        <v>0</v>
      </c>
      <c r="G26" s="1635">
        <f>'Sch 1- Rate Base '!J38</f>
        <v>14358070.151171993</v>
      </c>
      <c r="Q26" s="125">
        <f>D26*Q$50</f>
        <v>3306005.3687483273</v>
      </c>
      <c r="R26" s="125">
        <f>D26*R$50</f>
        <v>3381432.4800796793</v>
      </c>
      <c r="S26" s="835">
        <f>SUM(Q26:R26)</f>
        <v>6687437.8488280065</v>
      </c>
    </row>
    <row r="27" spans="1:19" ht="15.75">
      <c r="A27" s="107"/>
      <c r="B27" s="108" t="s">
        <v>127</v>
      </c>
      <c r="C27" s="124" t="s">
        <v>95</v>
      </c>
      <c r="D27" s="126">
        <f>'Sch 1- Rate Base '!G39</f>
        <v>3976622</v>
      </c>
      <c r="E27" s="1634">
        <f>'Sch 1- Rate Base '!H39</f>
        <v>1455724.5705582532</v>
      </c>
      <c r="F27" s="1634">
        <f>'Sch 1- Rate Base '!I39</f>
        <v>0</v>
      </c>
      <c r="G27" s="1635">
        <f>'Sch 1- Rate Base '!J39</f>
        <v>2520897.4294417468</v>
      </c>
      <c r="Q27" s="125">
        <f>D27*Q$22</f>
        <v>808448.82971044397</v>
      </c>
      <c r="R27" s="125">
        <f>D27*R$22</f>
        <v>647275.74084780947</v>
      </c>
      <c r="S27" s="835">
        <f>SUM(Q27:R27)</f>
        <v>1455724.5705582534</v>
      </c>
    </row>
    <row r="28" spans="1:19" ht="15.75">
      <c r="A28" s="107"/>
      <c r="B28" s="108" t="s">
        <v>128</v>
      </c>
      <c r="C28" s="124" t="s">
        <v>109</v>
      </c>
      <c r="D28" s="126">
        <f>'Sch 1- Rate Base '!G40</f>
        <v>62357831</v>
      </c>
      <c r="E28" s="1634">
        <f>'Sch 1- Rate Base '!H40</f>
        <v>0</v>
      </c>
      <c r="F28" s="1634">
        <f>'Sch 1- Rate Base '!I40</f>
        <v>0</v>
      </c>
      <c r="G28" s="1635">
        <f>'Sch 1- Rate Base '!J40</f>
        <v>62357831</v>
      </c>
      <c r="Q28" s="841">
        <v>0</v>
      </c>
      <c r="R28" s="841">
        <v>0</v>
      </c>
    </row>
    <row r="29" spans="1:19" ht="15.75">
      <c r="A29" s="107"/>
      <c r="B29" s="108" t="s">
        <v>129</v>
      </c>
      <c r="C29" s="124" t="s">
        <v>99</v>
      </c>
      <c r="D29" s="126">
        <f>'Sch 1- Rate Base '!G41</f>
        <v>472784</v>
      </c>
      <c r="E29" s="1634">
        <f>'Sch 1- Rate Base '!H41</f>
        <v>150232.23083616229</v>
      </c>
      <c r="F29" s="1634">
        <f>'Sch 1- Rate Base '!I41</f>
        <v>0</v>
      </c>
      <c r="G29" s="1635">
        <f>'Sch 1- Rate Base '!J41</f>
        <v>322551.76916383771</v>
      </c>
      <c r="Q29" s="125">
        <f>D29*Q$50</f>
        <v>74268.88637035081</v>
      </c>
      <c r="R29" s="125">
        <f>D29*R$50</f>
        <v>75963.344465811475</v>
      </c>
      <c r="S29" s="835">
        <f>SUM(Q29:R29)</f>
        <v>150232.23083616229</v>
      </c>
    </row>
    <row r="30" spans="1:19" ht="15.75">
      <c r="A30" s="107"/>
      <c r="B30" s="108" t="s">
        <v>130</v>
      </c>
      <c r="C30" s="124" t="s">
        <v>99</v>
      </c>
      <c r="D30" s="126">
        <f>'Sch 1- Rate Base '!G42</f>
        <v>9005539</v>
      </c>
      <c r="E30" s="1634">
        <f>'Sch 1- Rate Base '!H42</f>
        <v>2861607.4441014547</v>
      </c>
      <c r="F30" s="1634">
        <f>'Sch 1- Rate Base '!I42</f>
        <v>0</v>
      </c>
      <c r="G30" s="1635">
        <f>'Sch 1- Rate Base '!J42</f>
        <v>6143931.5558985453</v>
      </c>
      <c r="Q30" s="125">
        <f>D30*Q$50</f>
        <v>1414665.7938821169</v>
      </c>
      <c r="R30" s="125">
        <f>D30*R$50</f>
        <v>1446941.6502193378</v>
      </c>
      <c r="S30" s="835">
        <f>SUM(Q30:R30)</f>
        <v>2861607.4441014547</v>
      </c>
    </row>
    <row r="31" spans="1:19" ht="15.75">
      <c r="A31" s="107"/>
      <c r="B31" s="108" t="s">
        <v>131</v>
      </c>
      <c r="C31" s="124" t="s">
        <v>99</v>
      </c>
      <c r="D31" s="126">
        <f>'Sch 1- Rate Base '!G43</f>
        <v>3305287</v>
      </c>
      <c r="E31" s="1634">
        <f>'Sch 1- Rate Base '!H43</f>
        <v>1050290.7026544178</v>
      </c>
      <c r="F31" s="1634">
        <f>'Sch 1- Rate Base '!I43</f>
        <v>0</v>
      </c>
      <c r="G31" s="1635">
        <f>'Sch 1- Rate Base '!J43</f>
        <v>2254996.2973455819</v>
      </c>
      <c r="Q31" s="125">
        <f>D31*Q$50</f>
        <v>519222.27618616057</v>
      </c>
      <c r="R31" s="125">
        <f>D31*R$50</f>
        <v>531068.42646825733</v>
      </c>
      <c r="S31" s="835">
        <f>SUM(Q31:R31)</f>
        <v>1050290.7026544178</v>
      </c>
    </row>
    <row r="32" spans="1:19" ht="15.75">
      <c r="A32" s="107"/>
      <c r="B32" s="108" t="s">
        <v>132</v>
      </c>
      <c r="C32" s="124" t="s">
        <v>109</v>
      </c>
      <c r="D32" s="126">
        <f>'Sch 1- Rate Base '!G44</f>
        <v>25432532</v>
      </c>
      <c r="E32" s="1634">
        <f>'Sch 1- Rate Base '!H44</f>
        <v>0</v>
      </c>
      <c r="F32" s="1634">
        <f>'Sch 1- Rate Base '!I44</f>
        <v>0</v>
      </c>
      <c r="G32" s="1635">
        <f>'Sch 1- Rate Base '!J44</f>
        <v>25432532</v>
      </c>
      <c r="Q32" s="841">
        <v>0</v>
      </c>
      <c r="R32" s="841">
        <v>0</v>
      </c>
    </row>
    <row r="33" spans="1:19" ht="15.75">
      <c r="A33" s="107"/>
      <c r="B33" s="108" t="s">
        <v>133</v>
      </c>
      <c r="C33" s="124" t="s">
        <v>99</v>
      </c>
      <c r="D33" s="126">
        <f>'Sch 1- Rate Base '!G45</f>
        <v>42279271</v>
      </c>
      <c r="E33" s="1634">
        <f>'Sch 1- Rate Base '!H45</f>
        <v>13434695.760551672</v>
      </c>
      <c r="F33" s="1634">
        <f>'Sch 1- Rate Base '!I45</f>
        <v>0</v>
      </c>
      <c r="G33" s="1635">
        <f>'Sch 1- Rate Base '!J45</f>
        <v>28844575.239448324</v>
      </c>
      <c r="Q33" s="125">
        <f>D33*Q$50</f>
        <v>6641583.415936809</v>
      </c>
      <c r="R33" s="125">
        <f>D33*R$50</f>
        <v>6793112.3446148625</v>
      </c>
      <c r="S33" s="835">
        <f>SUM(Q33:R33)</f>
        <v>13434695.760551672</v>
      </c>
    </row>
    <row r="34" spans="1:19" ht="15.75">
      <c r="A34" s="107"/>
      <c r="B34" s="108" t="s">
        <v>134</v>
      </c>
      <c r="C34" s="124" t="s">
        <v>99</v>
      </c>
      <c r="D34" s="126">
        <f>'Sch 1- Rate Base '!G46</f>
        <v>258773</v>
      </c>
      <c r="E34" s="1634">
        <f>'Sch 1- Rate Base '!H46</f>
        <v>82227.920297992794</v>
      </c>
      <c r="F34" s="1634">
        <f>'Sch 1- Rate Base '!I46</f>
        <v>0</v>
      </c>
      <c r="G34" s="1635">
        <f>'Sch 1- Rate Base '!J46</f>
        <v>176545.07970200721</v>
      </c>
      <c r="Q34" s="125">
        <f>D34*Q$50</f>
        <v>40650.238867463348</v>
      </c>
      <c r="R34" s="125">
        <f>D34*R$50</f>
        <v>41577.681430529439</v>
      </c>
      <c r="S34" s="835">
        <f>SUM(Q34:R34)</f>
        <v>82227.920297992794</v>
      </c>
    </row>
    <row r="35" spans="1:19" ht="15.75">
      <c r="A35" s="107"/>
      <c r="B35" s="108" t="s">
        <v>256</v>
      </c>
      <c r="C35" s="124" t="str">
        <f>'Sch 1- Rate Base '!E47</f>
        <v>DIRECT</v>
      </c>
      <c r="D35" s="126">
        <f>'Sch 1- Rate Base '!G47</f>
        <v>0</v>
      </c>
      <c r="E35" s="1634">
        <f>'Sch 1- Rate Base '!H47</f>
        <v>0</v>
      </c>
      <c r="F35" s="1634">
        <f>'Sch 1- Rate Base '!I47</f>
        <v>0</v>
      </c>
      <c r="G35" s="1635">
        <f>'Sch 1- Rate Base '!J47</f>
        <v>0</v>
      </c>
      <c r="Q35" s="841">
        <f>E35*R4</f>
        <v>0</v>
      </c>
      <c r="R35" s="841">
        <f>E35*R3</f>
        <v>0</v>
      </c>
    </row>
    <row r="36" spans="1:19" ht="15.75">
      <c r="A36" s="107"/>
      <c r="B36" s="108" t="s">
        <v>446</v>
      </c>
      <c r="C36" s="124" t="s">
        <v>99</v>
      </c>
      <c r="D36" s="126">
        <f>'Sch 1- Rate Base '!G48</f>
        <v>0</v>
      </c>
      <c r="E36" s="1634">
        <f>'Sch 1- Rate Base '!H48</f>
        <v>0</v>
      </c>
      <c r="F36" s="1634">
        <f>'Sch 1- Rate Base '!I48</f>
        <v>0</v>
      </c>
      <c r="G36" s="1635">
        <f>'Sch 1- Rate Base '!J48</f>
        <v>0</v>
      </c>
      <c r="Q36" s="125">
        <f>D36*Q$50</f>
        <v>0</v>
      </c>
      <c r="R36" s="125">
        <f>D36*R$50</f>
        <v>0</v>
      </c>
      <c r="S36" s="835">
        <f>SUM(Q36:R36)</f>
        <v>0</v>
      </c>
    </row>
    <row r="37" spans="1:19" ht="15.75">
      <c r="A37" s="107"/>
      <c r="B37" s="108" t="s">
        <v>527</v>
      </c>
      <c r="C37" s="561"/>
      <c r="D37" s="562">
        <f>SUM(D25:D36)</f>
        <v>169217153</v>
      </c>
      <c r="E37" s="562">
        <f>SUM(E25:E36)</f>
        <v>26066353.350879814</v>
      </c>
      <c r="F37" s="562">
        <f>SUM(F25:F36)</f>
        <v>0</v>
      </c>
      <c r="G37" s="563">
        <f>SUM(G25:G36)</f>
        <v>143150799.64912018</v>
      </c>
      <c r="Q37" s="562">
        <f>SUM(Q25:Q36)</f>
        <v>12974972.499201333</v>
      </c>
      <c r="R37" s="562">
        <f>SUM(R25:R36)</f>
        <v>13091380.851678483</v>
      </c>
      <c r="S37" s="835">
        <f>SUM(Q37:R37)</f>
        <v>26066353.350879818</v>
      </c>
    </row>
    <row r="38" spans="1:19" ht="15.75">
      <c r="A38" s="107"/>
      <c r="B38" s="123" t="s">
        <v>528</v>
      </c>
      <c r="C38" s="561"/>
      <c r="D38" s="564">
        <f>IF($D37=0,0,D37/$D37)</f>
        <v>1</v>
      </c>
      <c r="E38" s="568">
        <f>IF($D37=0,0,E37/$D37)</f>
        <v>0.15404084567525972</v>
      </c>
      <c r="F38" s="618">
        <v>0</v>
      </c>
      <c r="G38" s="619">
        <f>IF($D37=0,0,G37/$D37)+IF($D37=0,0,F37/$D37)</f>
        <v>0.84595915432474023</v>
      </c>
      <c r="O38" s="123" t="s">
        <v>450</v>
      </c>
      <c r="Q38" s="568">
        <f>IF(D37=0,0,Q37/D37)</f>
        <v>7.6676461393965972E-2</v>
      </c>
      <c r="R38" s="568">
        <f>IF(D37=0,0,R37/D37)</f>
        <v>7.7364384281293774E-2</v>
      </c>
      <c r="S38" s="568">
        <f>SUM(Q38:R38)</f>
        <v>0.15404084567525975</v>
      </c>
    </row>
    <row r="39" spans="1:19" ht="16.5" thickBot="1">
      <c r="A39" s="114"/>
      <c r="B39" s="115"/>
      <c r="C39" s="617"/>
      <c r="D39" s="139"/>
      <c r="E39" s="139"/>
      <c r="F39" s="139"/>
      <c r="G39" s="140"/>
      <c r="Q39" s="139"/>
      <c r="R39" s="139"/>
    </row>
    <row r="40" spans="1:19" ht="16.5" thickTop="1">
      <c r="A40" s="107"/>
      <c r="B40" s="108"/>
      <c r="C40" s="108"/>
      <c r="D40" s="111"/>
      <c r="E40" s="111"/>
      <c r="F40" s="111"/>
      <c r="G40" s="112"/>
      <c r="Q40" s="111"/>
      <c r="R40" s="111"/>
    </row>
    <row r="41" spans="1:19" ht="15.75">
      <c r="A41" s="107" t="s">
        <v>99</v>
      </c>
      <c r="B41" s="113" t="s">
        <v>338</v>
      </c>
      <c r="C41" s="302" t="s">
        <v>525</v>
      </c>
      <c r="D41" s="303" t="s">
        <v>104</v>
      </c>
      <c r="E41" s="303" t="s">
        <v>105</v>
      </c>
      <c r="F41" s="303" t="s">
        <v>106</v>
      </c>
      <c r="G41" s="304" t="s">
        <v>516</v>
      </c>
      <c r="Q41" s="837" t="s">
        <v>242</v>
      </c>
      <c r="R41" s="834" t="s">
        <v>243</v>
      </c>
      <c r="S41" s="834" t="s">
        <v>104</v>
      </c>
    </row>
    <row r="42" spans="1:19" ht="15.75">
      <c r="A42" s="107"/>
      <c r="B42" s="108" t="s">
        <v>111</v>
      </c>
      <c r="C42" s="124" t="s">
        <v>397</v>
      </c>
      <c r="D42" s="125">
        <f>'Sch 1- Rate Base '!G22</f>
        <v>494693042</v>
      </c>
      <c r="E42" s="1632">
        <f>'Sch 1- Rate Base '!H22</f>
        <v>494693042</v>
      </c>
      <c r="F42" s="1632">
        <f>'Sch 1- Rate Base '!I22</f>
        <v>0</v>
      </c>
      <c r="G42" s="1633">
        <f>'Sch 1- Rate Base '!J22</f>
        <v>0</v>
      </c>
      <c r="Q42" s="125">
        <f>D42-R42</f>
        <v>-1642101</v>
      </c>
      <c r="R42" s="125">
        <f>SUMIF('NLSL_Base_New-Calc'!B$11:I$11,1,'NLSL_Base_New-Calc'!B$17:I$17)</f>
        <v>496335143</v>
      </c>
    </row>
    <row r="43" spans="1:19" ht="15.75">
      <c r="A43" s="107"/>
      <c r="B43" s="108" t="s">
        <v>113</v>
      </c>
      <c r="C43" s="124" t="s">
        <v>397</v>
      </c>
      <c r="D43" s="126">
        <f>'Sch 1- Rate Base '!G23</f>
        <v>0</v>
      </c>
      <c r="E43" s="1632">
        <f>'Sch 1- Rate Base '!H23</f>
        <v>0</v>
      </c>
      <c r="F43" s="1632">
        <f>'Sch 1- Rate Base '!I23</f>
        <v>0</v>
      </c>
      <c r="G43" s="1633">
        <f>'Sch 1- Rate Base '!J23</f>
        <v>0</v>
      </c>
      <c r="Q43" s="125">
        <f>D43-R43</f>
        <v>0</v>
      </c>
      <c r="R43" s="126"/>
    </row>
    <row r="44" spans="1:19" ht="15.75">
      <c r="A44" s="107"/>
      <c r="B44" s="108" t="s">
        <v>115</v>
      </c>
      <c r="C44" s="124" t="s">
        <v>397</v>
      </c>
      <c r="D44" s="126">
        <f>'Sch 1- Rate Base '!G24</f>
        <v>791656686</v>
      </c>
      <c r="E44" s="1632">
        <f>'Sch 1- Rate Base '!H24</f>
        <v>791656686</v>
      </c>
      <c r="F44" s="1632">
        <f>'Sch 1- Rate Base '!I24</f>
        <v>0</v>
      </c>
      <c r="G44" s="1633">
        <f>'Sch 1- Rate Base '!J24</f>
        <v>0</v>
      </c>
      <c r="Q44" s="125">
        <f>D44-R44</f>
        <v>791656686</v>
      </c>
      <c r="R44" s="125">
        <f>SUMIF('NLSL_Base_New-Calc'!B$11:I$11,2,'NLSL_Base_New-Calc'!B$17:I$17)</f>
        <v>0</v>
      </c>
    </row>
    <row r="45" spans="1:19" ht="15.75">
      <c r="A45" s="107"/>
      <c r="B45" s="108" t="s">
        <v>117</v>
      </c>
      <c r="C45" s="124" t="s">
        <v>397</v>
      </c>
      <c r="D45" s="126">
        <f>'Sch 1- Rate Base '!G25</f>
        <v>327526210</v>
      </c>
      <c r="E45" s="1632">
        <f>'Sch 1- Rate Base '!H25</f>
        <v>327526210</v>
      </c>
      <c r="F45" s="1632">
        <f>'Sch 1- Rate Base '!I25</f>
        <v>0</v>
      </c>
      <c r="G45" s="1633">
        <f>'Sch 1- Rate Base '!J25</f>
        <v>0</v>
      </c>
      <c r="Q45" s="125">
        <f>D45-R45</f>
        <v>7821991</v>
      </c>
      <c r="R45" s="125">
        <f>SUMIF('NLSL_Base_New-Calc'!B$11:I$11,3,'NLSL_Base_New-Calc'!B$17:I$17)</f>
        <v>319704219</v>
      </c>
    </row>
    <row r="46" spans="1:19" ht="15.75">
      <c r="A46" s="107"/>
      <c r="B46" s="108" t="s">
        <v>119</v>
      </c>
      <c r="C46" s="124"/>
      <c r="D46" s="126">
        <f>SUM(D42:D45)</f>
        <v>1613875938</v>
      </c>
      <c r="E46" s="126">
        <f>SUM(E42:E45)</f>
        <v>1613875938</v>
      </c>
      <c r="F46" s="126">
        <f>SUM(F42:F45)</f>
        <v>0</v>
      </c>
      <c r="G46" s="127">
        <f>SUM(G42:G45)</f>
        <v>0</v>
      </c>
      <c r="Q46" s="126">
        <f>SUM(Q42:Q45)</f>
        <v>797836576</v>
      </c>
      <c r="R46" s="126">
        <f>SUM(R42:R45)</f>
        <v>816039362</v>
      </c>
      <c r="S46" s="125">
        <f>Q46+R46</f>
        <v>1613875938</v>
      </c>
    </row>
    <row r="47" spans="1:19" ht="15.75">
      <c r="A47" s="107"/>
      <c r="B47" s="108" t="s">
        <v>530</v>
      </c>
      <c r="C47" s="124" t="s">
        <v>396</v>
      </c>
      <c r="D47" s="126">
        <f>'Sch 1- Rate Base '!G30</f>
        <v>1057719030</v>
      </c>
      <c r="E47" s="1632">
        <f>'Sch 1- Rate Base '!H30</f>
        <v>0</v>
      </c>
      <c r="F47" s="1632">
        <f>'Sch 1- Rate Base '!I30</f>
        <v>0</v>
      </c>
      <c r="G47" s="1633">
        <f>'Sch 1- Rate Base '!J30</f>
        <v>1057719030</v>
      </c>
      <c r="Q47" s="126"/>
      <c r="R47" s="126"/>
    </row>
    <row r="48" spans="1:19" ht="15.75">
      <c r="A48" s="107"/>
      <c r="B48" s="108" t="s">
        <v>122</v>
      </c>
      <c r="C48" s="124" t="s">
        <v>395</v>
      </c>
      <c r="D48" s="126">
        <f>'Sch 1- Rate Base '!G34</f>
        <v>2407306658</v>
      </c>
      <c r="E48" s="1632">
        <f>'Sch 1- Rate Base '!H34</f>
        <v>0</v>
      </c>
      <c r="F48" s="1632">
        <f>'Sch 1- Rate Base '!I34</f>
        <v>0</v>
      </c>
      <c r="G48" s="1633">
        <f>'Sch 1- Rate Base '!J34</f>
        <v>2407306658</v>
      </c>
      <c r="Q48" s="126"/>
      <c r="R48" s="126"/>
    </row>
    <row r="49" spans="1:19" ht="15.75">
      <c r="A49" s="107"/>
      <c r="B49" s="108" t="s">
        <v>527</v>
      </c>
      <c r="C49" s="124"/>
      <c r="D49" s="125">
        <f>D46+D47+D48</f>
        <v>5078901626</v>
      </c>
      <c r="E49" s="125">
        <f>E46+E47+E48</f>
        <v>1613875938</v>
      </c>
      <c r="F49" s="125">
        <f>F46+F47+F48</f>
        <v>0</v>
      </c>
      <c r="G49" s="130">
        <f>G46+G47+G48</f>
        <v>3465025688</v>
      </c>
      <c r="Q49" s="125">
        <f>Q46</f>
        <v>797836576</v>
      </c>
      <c r="R49" s="125">
        <f>R46</f>
        <v>816039362</v>
      </c>
      <c r="S49" s="125">
        <f>Q49+R49</f>
        <v>1613875938</v>
      </c>
    </row>
    <row r="50" spans="1:19" ht="15.75">
      <c r="A50" s="107"/>
      <c r="B50" s="123" t="s">
        <v>339</v>
      </c>
      <c r="C50" s="561"/>
      <c r="D50" s="564">
        <f>IF($D49=0,0,D49/$D49)</f>
        <v>1</v>
      </c>
      <c r="E50" s="568">
        <f>IF($D49=0,0,E49/$D49)</f>
        <v>0.31776081854750221</v>
      </c>
      <c r="F50" s="618">
        <v>0</v>
      </c>
      <c r="G50" s="619">
        <f>IF($D49=0,0,G49/$D49)+IF($D49=0,0,F49/$D49)</f>
        <v>0.68223918145249773</v>
      </c>
      <c r="O50" s="123" t="s">
        <v>339</v>
      </c>
      <c r="Q50" s="568">
        <f>IF(D49=0,0,Q46/D49)</f>
        <v>0.1570884090205058</v>
      </c>
      <c r="R50" s="568">
        <f>IF(D49=0,0,R46/D49)</f>
        <v>0.16067240952699641</v>
      </c>
      <c r="S50" s="568">
        <f>Q50+R50</f>
        <v>0.31776081854750221</v>
      </c>
    </row>
    <row r="51" spans="1:19" ht="15.75">
      <c r="A51" s="107"/>
      <c r="B51" s="108"/>
      <c r="C51" s="108"/>
      <c r="D51" s="111"/>
      <c r="E51" s="111"/>
      <c r="F51" s="111"/>
      <c r="G51" s="112"/>
      <c r="Q51" s="111"/>
      <c r="R51" s="111"/>
    </row>
    <row r="52" spans="1:19" ht="15.75">
      <c r="A52" s="107" t="s">
        <v>108</v>
      </c>
      <c r="B52" s="113" t="s">
        <v>340</v>
      </c>
      <c r="C52" s="302" t="s">
        <v>525</v>
      </c>
      <c r="D52" s="303" t="s">
        <v>104</v>
      </c>
      <c r="E52" s="303" t="s">
        <v>105</v>
      </c>
      <c r="F52" s="303" t="s">
        <v>106</v>
      </c>
      <c r="G52" s="304" t="s">
        <v>516</v>
      </c>
      <c r="Q52" s="837" t="s">
        <v>242</v>
      </c>
      <c r="R52" s="834" t="s">
        <v>243</v>
      </c>
      <c r="S52" s="834" t="s">
        <v>104</v>
      </c>
    </row>
    <row r="53" spans="1:19" ht="15.75">
      <c r="A53" s="107"/>
      <c r="B53" s="108" t="s">
        <v>531</v>
      </c>
      <c r="C53" s="124"/>
      <c r="D53" s="125">
        <f>D49</f>
        <v>5078901626</v>
      </c>
      <c r="E53" s="125">
        <f>E49</f>
        <v>1613875938</v>
      </c>
      <c r="F53" s="125">
        <f>F49</f>
        <v>0</v>
      </c>
      <c r="G53" s="130">
        <f>G49</f>
        <v>3465025688</v>
      </c>
      <c r="Q53" s="125">
        <f>Q49</f>
        <v>797836576</v>
      </c>
      <c r="R53" s="125">
        <f>R49</f>
        <v>816039362</v>
      </c>
      <c r="S53" s="125">
        <f>Q53+R53</f>
        <v>1613875938</v>
      </c>
    </row>
    <row r="54" spans="1:19" ht="15.75">
      <c r="A54" s="107"/>
      <c r="B54" s="108" t="s">
        <v>532</v>
      </c>
      <c r="C54" s="124" t="s">
        <v>395</v>
      </c>
      <c r="D54" s="126">
        <f>'Sch 1- Rate Base '!G16</f>
        <v>0</v>
      </c>
      <c r="E54" s="1634">
        <f>'Sch 1- Rate Base '!H16</f>
        <v>0</v>
      </c>
      <c r="F54" s="1634">
        <f>'Sch 1- Rate Base '!I16</f>
        <v>0</v>
      </c>
      <c r="G54" s="1635">
        <f>'Sch 1- Rate Base '!J16</f>
        <v>0</v>
      </c>
      <c r="Q54" s="126"/>
      <c r="R54" s="126"/>
    </row>
    <row r="55" spans="1:19" ht="15.75">
      <c r="A55" s="107"/>
      <c r="B55" s="108" t="s">
        <v>533</v>
      </c>
      <c r="C55" s="124" t="s">
        <v>90</v>
      </c>
      <c r="D55" s="126">
        <f>'Sch 1- Rate Base '!G17</f>
        <v>46804271</v>
      </c>
      <c r="E55" s="1634">
        <f>'Sch 1- Rate Base '!H17</f>
        <v>42107007.580000006</v>
      </c>
      <c r="F55" s="1634">
        <f>'Sch 1- Rate Base '!I17</f>
        <v>0</v>
      </c>
      <c r="G55" s="1635">
        <f>'Sch 1- Rate Base '!J17</f>
        <v>4697263.32</v>
      </c>
      <c r="Q55" s="126">
        <f>E55*R$4</f>
        <v>20816042.89538224</v>
      </c>
      <c r="R55" s="126">
        <f>E55*R$3</f>
        <v>21290964.684617765</v>
      </c>
      <c r="S55" s="125">
        <f>Q55+R55</f>
        <v>42107007.580000006</v>
      </c>
    </row>
    <row r="56" spans="1:19" ht="15.75">
      <c r="A56" s="107"/>
      <c r="B56" s="108" t="s">
        <v>547</v>
      </c>
      <c r="C56" s="124" t="s">
        <v>90</v>
      </c>
      <c r="D56" s="126">
        <f>'Sch 1- Rate Base '!G18</f>
        <v>57840902</v>
      </c>
      <c r="E56" s="1634">
        <f>'Sch 1- Rate Base '!H18</f>
        <v>21321712.686072055</v>
      </c>
      <c r="F56" s="1634">
        <f>'Sch 1- Rate Base '!I18</f>
        <v>0</v>
      </c>
      <c r="G56" s="1635">
        <f>'Sch 1- Rate Base '!J18</f>
        <v>36519188.863927945</v>
      </c>
      <c r="Q56" s="126">
        <f>E56*R$4</f>
        <v>10540613.341687663</v>
      </c>
      <c r="R56" s="126">
        <f>E56*R$3</f>
        <v>10781099.344384393</v>
      </c>
      <c r="S56" s="125">
        <f>Q56+R56</f>
        <v>21321712.686072055</v>
      </c>
    </row>
    <row r="57" spans="1:19" ht="15.75">
      <c r="A57" s="107"/>
      <c r="B57" s="108" t="s">
        <v>341</v>
      </c>
      <c r="C57" s="124"/>
      <c r="D57" s="126">
        <f>D37</f>
        <v>169217153</v>
      </c>
      <c r="E57" s="126">
        <f>E37</f>
        <v>26066353.350879814</v>
      </c>
      <c r="F57" s="126">
        <f>F37</f>
        <v>0</v>
      </c>
      <c r="G57" s="127">
        <f>G37</f>
        <v>143150799.64912018</v>
      </c>
      <c r="Q57" s="126">
        <f>Q37</f>
        <v>12974972.499201333</v>
      </c>
      <c r="R57" s="126">
        <f>R37</f>
        <v>13091380.851678483</v>
      </c>
      <c r="S57" s="125">
        <f>Q57+R57</f>
        <v>26066353.350879818</v>
      </c>
    </row>
    <row r="58" spans="1:19" ht="15.75">
      <c r="A58" s="107"/>
      <c r="B58" s="108" t="s">
        <v>527</v>
      </c>
      <c r="C58" s="124"/>
      <c r="D58" s="125">
        <f>SUM(D53:D57)</f>
        <v>5352763952</v>
      </c>
      <c r="E58" s="125">
        <f>SUM(E53:E57)</f>
        <v>1703371011.6169519</v>
      </c>
      <c r="F58" s="125">
        <f>SUM(F53:F57)</f>
        <v>0</v>
      </c>
      <c r="G58" s="130">
        <f>SUM(G53:G57)</f>
        <v>3649392939.8330483</v>
      </c>
      <c r="Q58" s="125">
        <f>SUM(Q53:Q57)</f>
        <v>842168204.73627126</v>
      </c>
      <c r="R58" s="125">
        <f>SUM(R53:R57)</f>
        <v>861202806.88068068</v>
      </c>
      <c r="S58" s="125">
        <f>Q58+R58</f>
        <v>1703371011.6169519</v>
      </c>
    </row>
    <row r="59" spans="1:19" ht="15.75">
      <c r="A59" s="107"/>
      <c r="B59" s="123" t="s">
        <v>342</v>
      </c>
      <c r="C59" s="561"/>
      <c r="D59" s="564">
        <f>IF($D58=0,0,D58/$D58)</f>
        <v>1</v>
      </c>
      <c r="E59" s="568">
        <f>IF($D58=0,0,E58/$D58)</f>
        <v>0.31822270268064157</v>
      </c>
      <c r="F59" s="618">
        <v>0</v>
      </c>
      <c r="G59" s="619">
        <f>IF($D58=0,0,G58/$D58)+IF($D58=0,0,F58/$D58)</f>
        <v>0.68177729721660785</v>
      </c>
      <c r="O59" s="123" t="s">
        <v>451</v>
      </c>
      <c r="Q59" s="568">
        <f>IF(D58=0,0,Q58/D58)</f>
        <v>0.15733333513083547</v>
      </c>
      <c r="R59" s="568">
        <f>IF(D58=0,0,R58/D58)</f>
        <v>0.16088936754980609</v>
      </c>
      <c r="S59" s="568">
        <f>Q59+R59</f>
        <v>0.31822270268064157</v>
      </c>
    </row>
    <row r="60" spans="1:19" ht="15.75">
      <c r="A60" s="107"/>
      <c r="B60" s="108"/>
      <c r="C60" s="108"/>
      <c r="D60" s="111"/>
      <c r="E60" s="111"/>
      <c r="F60" s="111"/>
      <c r="G60" s="112"/>
      <c r="Q60" s="111"/>
      <c r="R60" s="111"/>
    </row>
    <row r="61" spans="1:19" ht="15.75">
      <c r="A61" s="107" t="s">
        <v>109</v>
      </c>
      <c r="B61" s="113" t="s">
        <v>343</v>
      </c>
      <c r="C61" s="302" t="s">
        <v>525</v>
      </c>
      <c r="D61" s="303" t="s">
        <v>104</v>
      </c>
      <c r="E61" s="303" t="s">
        <v>105</v>
      </c>
      <c r="F61" s="303" t="s">
        <v>106</v>
      </c>
      <c r="G61" s="304" t="s">
        <v>516</v>
      </c>
      <c r="Q61" s="837" t="s">
        <v>242</v>
      </c>
      <c r="R61" s="834" t="s">
        <v>243</v>
      </c>
      <c r="S61" s="834" t="s">
        <v>104</v>
      </c>
    </row>
    <row r="62" spans="1:19" ht="15.75">
      <c r="A62" s="107"/>
      <c r="B62" s="108" t="s">
        <v>121</v>
      </c>
      <c r="C62" s="124" t="s">
        <v>396</v>
      </c>
      <c r="D62" s="125">
        <f t="shared" ref="D62:G63" si="3">D47</f>
        <v>1057719030</v>
      </c>
      <c r="E62" s="1632">
        <f t="shared" si="3"/>
        <v>0</v>
      </c>
      <c r="F62" s="1632">
        <f t="shared" si="3"/>
        <v>0</v>
      </c>
      <c r="G62" s="1633">
        <f t="shared" si="3"/>
        <v>1057719030</v>
      </c>
      <c r="Q62" s="125"/>
      <c r="R62" s="125"/>
    </row>
    <row r="63" spans="1:19" ht="15.75">
      <c r="A63" s="107"/>
      <c r="B63" s="108" t="s">
        <v>122</v>
      </c>
      <c r="C63" s="124" t="s">
        <v>395</v>
      </c>
      <c r="D63" s="126">
        <f t="shared" si="3"/>
        <v>2407306658</v>
      </c>
      <c r="E63" s="1632">
        <f t="shared" si="3"/>
        <v>0</v>
      </c>
      <c r="F63" s="1632">
        <f t="shared" si="3"/>
        <v>0</v>
      </c>
      <c r="G63" s="1633">
        <f t="shared" si="3"/>
        <v>2407306658</v>
      </c>
      <c r="Q63" s="126"/>
      <c r="R63" s="126"/>
    </row>
    <row r="64" spans="1:19" ht="15.75">
      <c r="A64" s="107"/>
      <c r="B64" s="108" t="s">
        <v>527</v>
      </c>
      <c r="C64" s="124"/>
      <c r="D64" s="125">
        <f>SUM(D62:D63)</f>
        <v>3465025688</v>
      </c>
      <c r="E64" s="125">
        <f>SUM(E62:E63)</f>
        <v>0</v>
      </c>
      <c r="F64" s="125">
        <f>SUM(F62:F63)</f>
        <v>0</v>
      </c>
      <c r="G64" s="130">
        <f>SUM(G62:G63)</f>
        <v>3465025688</v>
      </c>
      <c r="Q64" s="842">
        <f>SUM(Q62:Q63)</f>
        <v>0</v>
      </c>
      <c r="R64" s="842">
        <f>SUM(R62:R63)</f>
        <v>0</v>
      </c>
      <c r="S64" s="842">
        <f>Q64+R64</f>
        <v>0</v>
      </c>
    </row>
    <row r="65" spans="1:19" ht="15.75">
      <c r="A65" s="107"/>
      <c r="B65" s="123" t="s">
        <v>344</v>
      </c>
      <c r="C65" s="616"/>
      <c r="D65" s="565">
        <f>IF($D64=0,0,D64/$D64)</f>
        <v>1</v>
      </c>
      <c r="E65" s="620">
        <f>IF($D64=0,0,E64/$D64)</f>
        <v>0</v>
      </c>
      <c r="F65" s="618">
        <v>0</v>
      </c>
      <c r="G65" s="619">
        <f>IF($D64=0,0,G64/$D64)+IF($D64=0,0,F64/$D64)</f>
        <v>1</v>
      </c>
      <c r="O65" s="123" t="s">
        <v>452</v>
      </c>
      <c r="Q65" s="620">
        <f>IF(D64=0,0,Q64/D64)</f>
        <v>0</v>
      </c>
      <c r="R65" s="620">
        <f>IF(D64=0,0,R64/D64)</f>
        <v>0</v>
      </c>
      <c r="S65" s="568">
        <f>Q65+R65</f>
        <v>0</v>
      </c>
    </row>
    <row r="66" spans="1:19" ht="16.5" thickBot="1">
      <c r="A66" s="114"/>
      <c r="B66" s="115"/>
      <c r="C66" s="115"/>
      <c r="D66" s="116"/>
      <c r="E66" s="116"/>
      <c r="F66" s="116"/>
      <c r="G66" s="117"/>
      <c r="Q66" s="116"/>
      <c r="R66" s="116"/>
    </row>
    <row r="67" spans="1:19" ht="16.5" thickTop="1">
      <c r="A67" s="107"/>
      <c r="B67" s="108"/>
      <c r="C67" s="108"/>
      <c r="D67" s="111"/>
      <c r="E67" s="111"/>
      <c r="F67" s="111"/>
      <c r="G67" s="112"/>
      <c r="Q67" s="111"/>
      <c r="R67" s="111"/>
    </row>
    <row r="68" spans="1:19" ht="15.75">
      <c r="A68" s="107" t="s">
        <v>93</v>
      </c>
      <c r="B68" s="113" t="s">
        <v>345</v>
      </c>
      <c r="C68" s="302" t="s">
        <v>525</v>
      </c>
      <c r="D68" s="303" t="s">
        <v>104</v>
      </c>
      <c r="E68" s="303" t="s">
        <v>105</v>
      </c>
      <c r="F68" s="303" t="s">
        <v>106</v>
      </c>
      <c r="G68" s="304" t="s">
        <v>516</v>
      </c>
      <c r="Q68" s="837" t="s">
        <v>242</v>
      </c>
      <c r="R68" s="834" t="s">
        <v>243</v>
      </c>
      <c r="S68" s="834" t="s">
        <v>104</v>
      </c>
    </row>
    <row r="69" spans="1:19" ht="15.75">
      <c r="A69" s="107"/>
      <c r="B69" s="108" t="s">
        <v>126</v>
      </c>
      <c r="C69" s="124" t="str">
        <f t="shared" ref="C69:G70" si="4">C26</f>
        <v>PTD</v>
      </c>
      <c r="D69" s="125">
        <f t="shared" si="4"/>
        <v>21045508</v>
      </c>
      <c r="E69" s="1632">
        <f t="shared" si="4"/>
        <v>6687437.8488280065</v>
      </c>
      <c r="F69" s="1632">
        <f t="shared" si="4"/>
        <v>0</v>
      </c>
      <c r="G69" s="1633">
        <f t="shared" si="4"/>
        <v>14358070.151171993</v>
      </c>
      <c r="Q69" s="125">
        <f>D69*Q$50</f>
        <v>3306005.3687483273</v>
      </c>
      <c r="R69" s="125">
        <f>D69*R$50</f>
        <v>3381432.4800796793</v>
      </c>
      <c r="S69" s="125">
        <f t="shared" ref="S69:S74" si="5">Q69+R69</f>
        <v>6687437.8488280065</v>
      </c>
    </row>
    <row r="70" spans="1:19" ht="15.75">
      <c r="A70" s="107"/>
      <c r="B70" s="108" t="s">
        <v>127</v>
      </c>
      <c r="C70" s="124" t="str">
        <f t="shared" si="4"/>
        <v>LABOR</v>
      </c>
      <c r="D70" s="126">
        <f t="shared" si="4"/>
        <v>3976622</v>
      </c>
      <c r="E70" s="1632">
        <f t="shared" si="4"/>
        <v>1455724.5705582532</v>
      </c>
      <c r="F70" s="1632">
        <f t="shared" si="4"/>
        <v>0</v>
      </c>
      <c r="G70" s="1633">
        <f t="shared" si="4"/>
        <v>2520897.4294417468</v>
      </c>
      <c r="Q70" s="125">
        <f>D70*Q$22</f>
        <v>808448.82971044397</v>
      </c>
      <c r="R70" s="125">
        <f>D70*R$22</f>
        <v>647275.74084780947</v>
      </c>
      <c r="S70" s="125">
        <f t="shared" si="5"/>
        <v>1455724.5705582534</v>
      </c>
    </row>
    <row r="71" spans="1:19" ht="15.75">
      <c r="A71" s="107"/>
      <c r="B71" s="108" t="s">
        <v>133</v>
      </c>
      <c r="C71" s="124" t="str">
        <f t="shared" ref="C71:G72" si="6">C33</f>
        <v>PTD</v>
      </c>
      <c r="D71" s="126">
        <f t="shared" si="6"/>
        <v>42279271</v>
      </c>
      <c r="E71" s="1632">
        <f t="shared" si="6"/>
        <v>13434695.760551672</v>
      </c>
      <c r="F71" s="1632">
        <f t="shared" si="6"/>
        <v>0</v>
      </c>
      <c r="G71" s="1633">
        <f t="shared" si="6"/>
        <v>28844575.239448324</v>
      </c>
      <c r="Q71" s="125">
        <f>D71*Q$50</f>
        <v>6641583.415936809</v>
      </c>
      <c r="R71" s="125">
        <f>D71*R$50</f>
        <v>6793112.3446148625</v>
      </c>
      <c r="S71" s="125">
        <f t="shared" si="5"/>
        <v>13434695.760551672</v>
      </c>
    </row>
    <row r="72" spans="1:19" ht="15.75">
      <c r="A72" s="107"/>
      <c r="B72" s="108" t="s">
        <v>134</v>
      </c>
      <c r="C72" s="124" t="str">
        <f t="shared" si="6"/>
        <v>PTD</v>
      </c>
      <c r="D72" s="126">
        <f t="shared" si="6"/>
        <v>258773</v>
      </c>
      <c r="E72" s="1632">
        <f t="shared" si="6"/>
        <v>82227.920297992794</v>
      </c>
      <c r="F72" s="1632">
        <f t="shared" si="6"/>
        <v>0</v>
      </c>
      <c r="G72" s="1633">
        <f t="shared" si="6"/>
        <v>176545.07970200721</v>
      </c>
      <c r="Q72" s="125">
        <f>D72*Q$50</f>
        <v>40650.238867463348</v>
      </c>
      <c r="R72" s="125">
        <f>D72*R$50</f>
        <v>41577.681430529439</v>
      </c>
      <c r="S72" s="125">
        <f t="shared" si="5"/>
        <v>82227.920297992794</v>
      </c>
    </row>
    <row r="73" spans="1:19" ht="15.75">
      <c r="A73" s="107"/>
      <c r="B73" s="108" t="s">
        <v>527</v>
      </c>
      <c r="C73" s="124"/>
      <c r="D73" s="125">
        <f>SUM(D69:D72)</f>
        <v>67560174</v>
      </c>
      <c r="E73" s="125">
        <f>SUM(E69:E72)</f>
        <v>21660086.100235924</v>
      </c>
      <c r="F73" s="125">
        <f>SUM(F69:F72)</f>
        <v>0</v>
      </c>
      <c r="G73" s="130">
        <f>SUM(G69:G72)</f>
        <v>45900087.899764068</v>
      </c>
      <c r="Q73" s="125">
        <f>SUM(Q69:Q72)</f>
        <v>10796687.853263045</v>
      </c>
      <c r="R73" s="125">
        <f>SUM(R69:R72)</f>
        <v>10863398.246972881</v>
      </c>
      <c r="S73" s="125">
        <f t="shared" si="5"/>
        <v>21660086.100235924</v>
      </c>
    </row>
    <row r="74" spans="1:19" ht="15.75">
      <c r="A74" s="107"/>
      <c r="B74" s="123" t="s">
        <v>346</v>
      </c>
      <c r="C74" s="561"/>
      <c r="D74" s="564">
        <f>IF($D73=0,0,D73/$D73)</f>
        <v>1</v>
      </c>
      <c r="E74" s="568">
        <f>IF($D73=0,0,E73/$D73)</f>
        <v>0.32060435635106455</v>
      </c>
      <c r="F74" s="618">
        <v>0</v>
      </c>
      <c r="G74" s="619">
        <f>IF($D73=0,0,G73/$D73)+IF($D73=0,0,F73/$D73)</f>
        <v>0.67939564364893534</v>
      </c>
      <c r="O74" s="123" t="s">
        <v>453</v>
      </c>
      <c r="Q74" s="568">
        <f>IF(D73=0,0,Q73/D73)</f>
        <v>0.15980846723785888</v>
      </c>
      <c r="R74" s="568">
        <f>IF(D73=0,0,R73/D73)</f>
        <v>0.16079588911320566</v>
      </c>
      <c r="S74" s="568">
        <f t="shared" si="5"/>
        <v>0.32060435635106455</v>
      </c>
    </row>
    <row r="75" spans="1:19" ht="15.75">
      <c r="A75" s="107"/>
      <c r="B75" s="123"/>
      <c r="C75" s="108"/>
      <c r="D75" s="131"/>
      <c r="E75" s="131"/>
      <c r="F75" s="131"/>
      <c r="G75" s="132"/>
      <c r="Q75" s="131"/>
      <c r="R75" s="131"/>
    </row>
    <row r="76" spans="1:19" ht="16.5" thickBot="1">
      <c r="A76" s="107"/>
      <c r="B76" s="123" t="s">
        <v>347</v>
      </c>
      <c r="C76" s="108"/>
      <c r="D76" s="573"/>
      <c r="E76" s="573"/>
      <c r="F76" s="573"/>
      <c r="G76" s="574"/>
      <c r="Q76" s="837" t="s">
        <v>242</v>
      </c>
      <c r="R76" s="834" t="s">
        <v>243</v>
      </c>
      <c r="S76" s="834" t="s">
        <v>104</v>
      </c>
    </row>
    <row r="77" spans="1:19" ht="16.5" thickBot="1">
      <c r="A77" s="107"/>
      <c r="B77" s="113"/>
      <c r="C77" s="108"/>
      <c r="D77" s="1540"/>
      <c r="E77" s="1540"/>
      <c r="F77" s="1540"/>
      <c r="G77" s="1541"/>
      <c r="P77" s="566" t="s">
        <v>180</v>
      </c>
      <c r="Q77" s="2400"/>
      <c r="R77" s="2401"/>
      <c r="S77" s="843"/>
    </row>
    <row r="78" spans="1:19" ht="15.75">
      <c r="A78" s="107"/>
      <c r="B78" s="113" t="s">
        <v>536</v>
      </c>
      <c r="C78" s="108"/>
      <c r="D78" s="1537" t="s">
        <v>395</v>
      </c>
      <c r="E78" s="1538">
        <v>0</v>
      </c>
      <c r="F78" s="1538">
        <v>0</v>
      </c>
      <c r="G78" s="1539">
        <v>1</v>
      </c>
      <c r="H78" s="65">
        <f>ROW()</f>
        <v>78</v>
      </c>
      <c r="J78" s="1262" t="s">
        <v>395</v>
      </c>
      <c r="K78" s="65">
        <f>VLOOKUP(J78,$D$78:$H$87,5,FALSE)</f>
        <v>78</v>
      </c>
      <c r="P78" s="567" t="s">
        <v>395</v>
      </c>
      <c r="Q78" s="2397">
        <v>0</v>
      </c>
      <c r="R78" s="2398"/>
      <c r="S78" s="844"/>
    </row>
    <row r="79" spans="1:19" ht="15.75">
      <c r="A79" s="107"/>
      <c r="B79" s="113" t="s">
        <v>537</v>
      </c>
      <c r="C79" s="108"/>
      <c r="D79" s="567" t="s">
        <v>397</v>
      </c>
      <c r="E79" s="568">
        <v>1</v>
      </c>
      <c r="F79" s="568">
        <v>0</v>
      </c>
      <c r="G79" s="569">
        <v>0</v>
      </c>
      <c r="H79" s="65">
        <f>ROW()</f>
        <v>79</v>
      </c>
      <c r="J79" s="1263" t="s">
        <v>397</v>
      </c>
      <c r="K79" s="65">
        <f t="shared" ref="K79:K87" si="7">VLOOKUP(J79,$D$78:$H$87,5,FALSE)</f>
        <v>79</v>
      </c>
      <c r="P79" s="567" t="s">
        <v>397</v>
      </c>
      <c r="Q79" s="2397"/>
      <c r="R79" s="2398"/>
      <c r="S79" s="844"/>
    </row>
    <row r="80" spans="1:19" ht="15.75">
      <c r="A80" s="107"/>
      <c r="B80" s="113" t="s">
        <v>538</v>
      </c>
      <c r="C80" s="108"/>
      <c r="D80" s="567" t="s">
        <v>396</v>
      </c>
      <c r="E80" s="568">
        <v>0</v>
      </c>
      <c r="F80" s="568">
        <v>0</v>
      </c>
      <c r="G80" s="569">
        <v>1</v>
      </c>
      <c r="H80" s="65">
        <f>ROW()</f>
        <v>80</v>
      </c>
      <c r="J80" s="1263" t="s">
        <v>396</v>
      </c>
      <c r="K80" s="65">
        <f t="shared" si="7"/>
        <v>80</v>
      </c>
      <c r="P80" s="567" t="s">
        <v>396</v>
      </c>
      <c r="Q80" s="2397">
        <v>0</v>
      </c>
      <c r="R80" s="2398"/>
      <c r="S80" s="844"/>
    </row>
    <row r="81" spans="1:19" ht="15.75">
      <c r="A81" s="107"/>
      <c r="B81" s="113" t="s">
        <v>539</v>
      </c>
      <c r="C81" s="108"/>
      <c r="D81" s="567" t="s">
        <v>90</v>
      </c>
      <c r="E81" s="568">
        <v>0</v>
      </c>
      <c r="F81" s="568">
        <v>0</v>
      </c>
      <c r="G81" s="569">
        <v>0</v>
      </c>
      <c r="H81" s="65">
        <f>ROW()</f>
        <v>81</v>
      </c>
      <c r="J81" s="1263" t="s">
        <v>90</v>
      </c>
      <c r="K81" s="65">
        <f t="shared" si="7"/>
        <v>81</v>
      </c>
      <c r="P81" s="567" t="s">
        <v>90</v>
      </c>
      <c r="Q81" s="2397"/>
      <c r="R81" s="2398"/>
      <c r="S81" s="844"/>
    </row>
    <row r="82" spans="1:19" ht="15.75">
      <c r="A82" s="107"/>
      <c r="B82" s="113" t="s">
        <v>92</v>
      </c>
      <c r="C82" s="108"/>
      <c r="D82" s="567" t="s">
        <v>91</v>
      </c>
      <c r="E82" s="568">
        <f>E38</f>
        <v>0.15404084567525972</v>
      </c>
      <c r="F82" s="568">
        <f>F38</f>
        <v>0</v>
      </c>
      <c r="G82" s="569">
        <f>G38</f>
        <v>0.84595915432474023</v>
      </c>
      <c r="H82" s="65">
        <f>ROW()</f>
        <v>82</v>
      </c>
      <c r="J82" s="1263" t="s">
        <v>91</v>
      </c>
      <c r="K82" s="65">
        <f t="shared" si="7"/>
        <v>82</v>
      </c>
      <c r="P82" s="567" t="s">
        <v>91</v>
      </c>
      <c r="Q82" s="568">
        <f>Q38</f>
        <v>7.6676461393965972E-2</v>
      </c>
      <c r="R82" s="568">
        <f>R38</f>
        <v>7.7364384281293774E-2</v>
      </c>
      <c r="S82" s="568">
        <f t="shared" ref="S82:S87" si="8">Q82+R82</f>
        <v>0.15404084567525975</v>
      </c>
    </row>
    <row r="83" spans="1:19" ht="15.75">
      <c r="A83" s="107"/>
      <c r="B83" s="113" t="s">
        <v>94</v>
      </c>
      <c r="C83" s="108"/>
      <c r="D83" s="567" t="s">
        <v>93</v>
      </c>
      <c r="E83" s="568">
        <f>E74</f>
        <v>0.32060435635106455</v>
      </c>
      <c r="F83" s="568">
        <f>F74</f>
        <v>0</v>
      </c>
      <c r="G83" s="569">
        <f>G74</f>
        <v>0.67939564364893534</v>
      </c>
      <c r="H83" s="65">
        <f>ROW()</f>
        <v>83</v>
      </c>
      <c r="J83" s="1263" t="s">
        <v>93</v>
      </c>
      <c r="K83" s="65">
        <f t="shared" si="7"/>
        <v>83</v>
      </c>
      <c r="P83" s="567" t="s">
        <v>93</v>
      </c>
      <c r="Q83" s="568">
        <f>Q74</f>
        <v>0.15980846723785888</v>
      </c>
      <c r="R83" s="568">
        <f>R74</f>
        <v>0.16079588911320566</v>
      </c>
      <c r="S83" s="568">
        <f t="shared" si="8"/>
        <v>0.32060435635106455</v>
      </c>
    </row>
    <row r="84" spans="1:19" ht="15.75">
      <c r="A84" s="107"/>
      <c r="B84" s="113" t="s">
        <v>535</v>
      </c>
      <c r="C84" s="108"/>
      <c r="D84" s="567" t="s">
        <v>95</v>
      </c>
      <c r="E84" s="568">
        <f>E22</f>
        <v>0.36607064250971133</v>
      </c>
      <c r="F84" s="568">
        <f>F22</f>
        <v>0</v>
      </c>
      <c r="G84" s="569">
        <f>G22</f>
        <v>0.63392935749028867</v>
      </c>
      <c r="H84" s="65">
        <f>ROW()</f>
        <v>84</v>
      </c>
      <c r="J84" s="1263" t="s">
        <v>95</v>
      </c>
      <c r="K84" s="65">
        <f t="shared" si="7"/>
        <v>84</v>
      </c>
      <c r="P84" s="567" t="s">
        <v>95</v>
      </c>
      <c r="Q84" s="568">
        <f>Q22</f>
        <v>0.20330039659551347</v>
      </c>
      <c r="R84" s="568">
        <f>R22</f>
        <v>0.16277024591419789</v>
      </c>
      <c r="S84" s="568">
        <f t="shared" si="8"/>
        <v>0.36607064250971133</v>
      </c>
    </row>
    <row r="85" spans="1:19" ht="15.75">
      <c r="A85" s="107"/>
      <c r="B85" s="113" t="s">
        <v>529</v>
      </c>
      <c r="C85" s="108"/>
      <c r="D85" s="567" t="s">
        <v>99</v>
      </c>
      <c r="E85" s="568">
        <f>E50</f>
        <v>0.31776081854750221</v>
      </c>
      <c r="F85" s="568">
        <f>F50</f>
        <v>0</v>
      </c>
      <c r="G85" s="569">
        <f>G50</f>
        <v>0.68223918145249773</v>
      </c>
      <c r="H85" s="65">
        <f>ROW()</f>
        <v>85</v>
      </c>
      <c r="J85" s="1263" t="s">
        <v>99</v>
      </c>
      <c r="K85" s="65">
        <f t="shared" si="7"/>
        <v>85</v>
      </c>
      <c r="P85" s="567" t="s">
        <v>99</v>
      </c>
      <c r="Q85" s="568">
        <f>Q50</f>
        <v>0.1570884090205058</v>
      </c>
      <c r="R85" s="568">
        <f>R50</f>
        <v>0.16067240952699641</v>
      </c>
      <c r="S85" s="568">
        <f t="shared" si="8"/>
        <v>0.31776081854750221</v>
      </c>
    </row>
    <row r="86" spans="1:19" ht="15.75">
      <c r="A86" s="107"/>
      <c r="B86" s="113" t="s">
        <v>540</v>
      </c>
      <c r="C86" s="108"/>
      <c r="D86" s="567" t="s">
        <v>108</v>
      </c>
      <c r="E86" s="568">
        <f>E59</f>
        <v>0.31822270268064157</v>
      </c>
      <c r="F86" s="568">
        <f>F59</f>
        <v>0</v>
      </c>
      <c r="G86" s="569">
        <f>G59</f>
        <v>0.68177729721660785</v>
      </c>
      <c r="H86" s="65">
        <f>ROW()</f>
        <v>86</v>
      </c>
      <c r="J86" s="1263" t="s">
        <v>108</v>
      </c>
      <c r="K86" s="65">
        <f t="shared" si="7"/>
        <v>86</v>
      </c>
      <c r="P86" s="567" t="s">
        <v>108</v>
      </c>
      <c r="Q86" s="568">
        <f>Q59</f>
        <v>0.15733333513083547</v>
      </c>
      <c r="R86" s="568">
        <f>R59</f>
        <v>0.16088936754980609</v>
      </c>
      <c r="S86" s="568">
        <f t="shared" si="8"/>
        <v>0.31822270268064157</v>
      </c>
    </row>
    <row r="87" spans="1:19" ht="16.5" thickBot="1">
      <c r="A87" s="107"/>
      <c r="B87" s="113" t="s">
        <v>534</v>
      </c>
      <c r="C87" s="108"/>
      <c r="D87" s="570" t="s">
        <v>109</v>
      </c>
      <c r="E87" s="571">
        <f>E65</f>
        <v>0</v>
      </c>
      <c r="F87" s="571">
        <f>F65</f>
        <v>0</v>
      </c>
      <c r="G87" s="572">
        <f>G65</f>
        <v>1</v>
      </c>
      <c r="H87" s="65">
        <f>ROW()</f>
        <v>87</v>
      </c>
      <c r="J87" s="1264" t="s">
        <v>109</v>
      </c>
      <c r="K87" s="65">
        <f t="shared" si="7"/>
        <v>87</v>
      </c>
      <c r="P87" s="570" t="s">
        <v>109</v>
      </c>
      <c r="Q87" s="571">
        <f>Q65</f>
        <v>0</v>
      </c>
      <c r="R87" s="571">
        <f>R65</f>
        <v>0</v>
      </c>
      <c r="S87" s="571">
        <f t="shared" si="8"/>
        <v>0</v>
      </c>
    </row>
    <row r="88" spans="1:19" ht="16.5" thickBot="1">
      <c r="A88" s="114"/>
      <c r="B88" s="115"/>
      <c r="C88" s="115"/>
      <c r="D88" s="116"/>
      <c r="E88" s="116"/>
      <c r="F88" s="116"/>
      <c r="G88" s="117"/>
      <c r="Q88" s="111"/>
      <c r="R88" s="111"/>
    </row>
    <row r="89" spans="1:19" ht="13.5" thickTop="1"/>
  </sheetData>
  <mergeCells count="10">
    <mergeCell ref="A3:G3"/>
    <mergeCell ref="C5:E5"/>
    <mergeCell ref="C6:E6"/>
    <mergeCell ref="C7:E7"/>
    <mergeCell ref="Q11:S11"/>
    <mergeCell ref="Q81:R81"/>
    <mergeCell ref="Q77:R77"/>
    <mergeCell ref="Q78:R78"/>
    <mergeCell ref="Q79:R79"/>
    <mergeCell ref="Q80:R80"/>
  </mergeCells>
  <phoneticPr fontId="0" type="noConversion"/>
  <dataValidations disablePrompts="1" count="1">
    <dataValidation type="list" allowBlank="1" showInputMessage="1" showErrorMessage="1" sqref="C17" xr:uid="{00000000-0002-0000-0D00-000000000000}">
      <formula1>DIST</formula1>
    </dataValidation>
  </dataValidations>
  <hyperlinks>
    <hyperlink ref="A5" location="TOC!A1" display="TOC" xr:uid="{00000000-0004-0000-0D00-000000000000}"/>
    <hyperlink ref="A6" location="Ratios!A11" display="é" xr:uid="{00000000-0004-0000-0D00-000001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xxe4aPID" r:id="rId2"/>
  </customProperties>
  <legacyDrawing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indexed="57"/>
  </sheetPr>
  <dimension ref="A1:AH186"/>
  <sheetViews>
    <sheetView view="pageLayout" topLeftCell="A116" zoomScaleNormal="90" zoomScaleSheetLayoutView="100" workbookViewId="0">
      <selection activeCell="A6" sqref="A1:XFD1048576"/>
    </sheetView>
  </sheetViews>
  <sheetFormatPr defaultRowHeight="15.75"/>
  <cols>
    <col min="1" max="1" width="6" bestFit="1" customWidth="1"/>
    <col min="2" max="2" width="35.75" bestFit="1" customWidth="1"/>
    <col min="3" max="3" width="13.625" customWidth="1"/>
    <col min="4" max="4" width="11" customWidth="1"/>
    <col min="5" max="5" width="13.375" customWidth="1"/>
    <col min="6" max="6" width="13" customWidth="1"/>
    <col min="7" max="7" width="12.125" customWidth="1"/>
    <col min="8" max="8" width="12.75" customWidth="1"/>
    <col min="9" max="9" width="15.125" customWidth="1"/>
    <col min="10" max="10" width="14.5" customWidth="1"/>
    <col min="11" max="11" width="16.375" customWidth="1"/>
    <col min="12" max="12" width="11.25" customWidth="1"/>
    <col min="13" max="13" width="12.75" customWidth="1"/>
    <col min="18" max="18" width="11.75" bestFit="1" customWidth="1"/>
    <col min="19" max="25" width="10.375" bestFit="1" customWidth="1"/>
  </cols>
  <sheetData>
    <row r="1" spans="1:34" ht="16.5" thickTop="1">
      <c r="A1" s="180"/>
      <c r="B1" s="1267" t="str">
        <f>'Sch 1- Rate Base '!E5</f>
        <v>Utility Name</v>
      </c>
      <c r="C1" s="778"/>
      <c r="D1" s="778"/>
      <c r="E1" s="778"/>
      <c r="F1" s="810"/>
      <c r="G1" s="810"/>
      <c r="H1" s="1271"/>
      <c r="I1" s="1270"/>
      <c r="J1" s="1271"/>
      <c r="K1" s="810"/>
      <c r="L1" s="810"/>
      <c r="M1" s="1271"/>
      <c r="N1" s="810"/>
      <c r="O1" s="653"/>
      <c r="P1" s="653"/>
      <c r="Q1" s="653"/>
      <c r="R1" s="653"/>
      <c r="S1" s="653"/>
      <c r="T1" s="653"/>
      <c r="U1" s="653"/>
      <c r="V1" s="653"/>
      <c r="W1" s="653"/>
      <c r="X1" s="653"/>
      <c r="Y1" s="653"/>
      <c r="Z1" s="654"/>
      <c r="AA1" s="654"/>
      <c r="AB1" s="654"/>
      <c r="AC1" s="654"/>
      <c r="AD1" s="654"/>
      <c r="AE1" s="654"/>
      <c r="AF1" s="654"/>
      <c r="AG1" s="655">
        <v>2008</v>
      </c>
      <c r="AH1" s="655">
        <v>1</v>
      </c>
    </row>
    <row r="2" spans="1:34">
      <c r="A2" s="1236" t="s">
        <v>699</v>
      </c>
      <c r="B2" s="779" t="s">
        <v>589</v>
      </c>
      <c r="C2" s="807"/>
      <c r="D2" s="807"/>
      <c r="E2" s="633" t="s">
        <v>590</v>
      </c>
      <c r="F2" s="656"/>
      <c r="G2" s="656"/>
      <c r="H2" s="656"/>
      <c r="I2" s="656"/>
      <c r="J2" s="656"/>
      <c r="K2" s="656"/>
      <c r="L2" s="656"/>
      <c r="M2" s="656"/>
      <c r="N2" s="656"/>
      <c r="O2" s="656"/>
      <c r="P2" s="656"/>
      <c r="Q2" s="656"/>
      <c r="R2" s="656"/>
      <c r="S2" s="656"/>
      <c r="T2" s="656"/>
      <c r="U2" s="656"/>
      <c r="V2" s="656"/>
      <c r="W2" s="656"/>
      <c r="X2" s="656"/>
      <c r="Y2" s="656"/>
      <c r="Z2" s="657"/>
      <c r="AA2" s="657"/>
      <c r="AB2" s="657"/>
      <c r="AC2" s="657"/>
      <c r="AD2" s="657"/>
      <c r="AE2" s="657"/>
      <c r="AF2" s="657"/>
      <c r="AG2" s="658">
        <v>2009</v>
      </c>
      <c r="AH2" s="658">
        <v>2</v>
      </c>
    </row>
    <row r="3" spans="1:34">
      <c r="A3" s="1231" t="s">
        <v>700</v>
      </c>
      <c r="B3" s="811">
        <v>46478</v>
      </c>
      <c r="C3" s="807"/>
      <c r="D3" s="807"/>
      <c r="E3" s="785" t="s">
        <v>591</v>
      </c>
      <c r="F3" s="659"/>
      <c r="G3" s="659"/>
      <c r="H3" s="659"/>
      <c r="I3" s="659"/>
      <c r="J3" s="659"/>
      <c r="K3" s="659"/>
      <c r="L3" s="659"/>
      <c r="M3" s="659"/>
      <c r="N3" s="659"/>
      <c r="O3" s="659"/>
      <c r="P3" s="659"/>
      <c r="Q3" s="659"/>
      <c r="R3" s="659"/>
      <c r="S3" s="659"/>
      <c r="T3" s="659"/>
      <c r="U3" s="659"/>
      <c r="V3" s="659"/>
      <c r="W3" s="659"/>
      <c r="X3" s="659"/>
      <c r="Y3" s="659"/>
      <c r="Z3" s="657"/>
      <c r="AA3" s="657"/>
      <c r="AB3" s="657"/>
      <c r="AC3" s="657"/>
      <c r="AD3" s="657"/>
      <c r="AE3" s="657"/>
      <c r="AF3" s="657"/>
      <c r="AG3" s="660">
        <v>2010</v>
      </c>
      <c r="AH3" s="658">
        <v>3</v>
      </c>
    </row>
    <row r="4" spans="1:34">
      <c r="A4" s="632"/>
      <c r="B4" s="1383"/>
      <c r="C4" s="807"/>
      <c r="D4" s="807"/>
      <c r="E4" s="808">
        <f>B3</f>
        <v>46478</v>
      </c>
      <c r="F4" s="809" t="str">
        <f t="shared" ref="F4:Y4" si="0">IF(ISERROR(DATE(F2,F3,1)),"",(DATE(F2,F3,1)))</f>
        <v/>
      </c>
      <c r="G4" s="809" t="str">
        <f t="shared" si="0"/>
        <v/>
      </c>
      <c r="H4" s="661" t="str">
        <f t="shared" si="0"/>
        <v/>
      </c>
      <c r="I4" s="784" t="str">
        <f t="shared" si="0"/>
        <v/>
      </c>
      <c r="J4" s="661" t="str">
        <f t="shared" si="0"/>
        <v/>
      </c>
      <c r="K4" s="809" t="str">
        <f t="shared" si="0"/>
        <v/>
      </c>
      <c r="L4" s="809" t="str">
        <f t="shared" si="0"/>
        <v/>
      </c>
      <c r="M4" s="661" t="str">
        <f t="shared" si="0"/>
        <v/>
      </c>
      <c r="N4" s="809" t="str">
        <f t="shared" si="0"/>
        <v/>
      </c>
      <c r="O4" s="661" t="str">
        <f t="shared" si="0"/>
        <v/>
      </c>
      <c r="P4" s="661" t="str">
        <f t="shared" si="0"/>
        <v/>
      </c>
      <c r="Q4" s="661" t="str">
        <f t="shared" si="0"/>
        <v/>
      </c>
      <c r="R4" s="661" t="str">
        <f t="shared" si="0"/>
        <v/>
      </c>
      <c r="S4" s="661" t="str">
        <f t="shared" si="0"/>
        <v/>
      </c>
      <c r="T4" s="661" t="str">
        <f t="shared" si="0"/>
        <v/>
      </c>
      <c r="U4" s="661" t="str">
        <f t="shared" si="0"/>
        <v/>
      </c>
      <c r="V4" s="661" t="str">
        <f t="shared" si="0"/>
        <v/>
      </c>
      <c r="W4" s="661" t="str">
        <f t="shared" si="0"/>
        <v/>
      </c>
      <c r="X4" s="661" t="str">
        <f t="shared" si="0"/>
        <v/>
      </c>
      <c r="Y4" s="661" t="str">
        <f t="shared" si="0"/>
        <v/>
      </c>
      <c r="Z4" s="631"/>
      <c r="AA4" s="631"/>
      <c r="AB4" s="631"/>
      <c r="AC4" s="631"/>
      <c r="AD4" s="631"/>
      <c r="AE4" s="631"/>
      <c r="AF4" s="631"/>
      <c r="AG4" s="658">
        <v>2011</v>
      </c>
      <c r="AH4" s="658">
        <v>4</v>
      </c>
    </row>
    <row r="5" spans="1:34" ht="16.5" thickBot="1">
      <c r="A5" s="634">
        <v>1</v>
      </c>
      <c r="B5" s="1384">
        <v>2</v>
      </c>
      <c r="C5" s="1309">
        <v>3</v>
      </c>
      <c r="D5" s="1309">
        <v>4</v>
      </c>
      <c r="E5" s="634">
        <v>5</v>
      </c>
      <c r="F5" s="1114">
        <v>6</v>
      </c>
      <c r="G5" s="1114">
        <v>7</v>
      </c>
      <c r="H5" s="1114">
        <v>8</v>
      </c>
      <c r="I5" s="1114">
        <v>9</v>
      </c>
      <c r="J5" s="1114">
        <v>10</v>
      </c>
      <c r="K5" s="1114">
        <v>11</v>
      </c>
      <c r="L5" s="1114">
        <v>12</v>
      </c>
      <c r="M5" s="1114">
        <v>13</v>
      </c>
      <c r="N5" s="1114">
        <v>14</v>
      </c>
      <c r="O5" s="634">
        <v>15</v>
      </c>
      <c r="P5" s="635">
        <v>16</v>
      </c>
      <c r="Q5" s="634">
        <v>17</v>
      </c>
      <c r="R5" s="634">
        <v>18</v>
      </c>
      <c r="S5" s="635">
        <v>19</v>
      </c>
      <c r="T5" s="634">
        <v>20</v>
      </c>
      <c r="U5" s="634">
        <v>21</v>
      </c>
      <c r="V5" s="635">
        <v>22</v>
      </c>
      <c r="W5" s="634">
        <v>23</v>
      </c>
      <c r="X5" s="634">
        <v>24</v>
      </c>
      <c r="Y5" s="635">
        <v>25</v>
      </c>
      <c r="Z5" s="662"/>
      <c r="AA5" s="662">
        <v>1</v>
      </c>
      <c r="AB5" s="662">
        <v>5</v>
      </c>
      <c r="AC5" s="662">
        <v>5</v>
      </c>
      <c r="AD5" s="662">
        <v>5</v>
      </c>
      <c r="AE5" s="662"/>
      <c r="AF5" s="662"/>
      <c r="AG5" s="660">
        <v>2012</v>
      </c>
      <c r="AH5" s="663">
        <v>5</v>
      </c>
    </row>
    <row r="6" spans="1:34" ht="16.5" thickTop="1">
      <c r="A6" s="636"/>
      <c r="B6" s="1642" t="s">
        <v>808</v>
      </c>
      <c r="C6" s="1305"/>
      <c r="D6" s="1306"/>
      <c r="E6" s="639"/>
      <c r="F6" s="820"/>
      <c r="G6" s="821"/>
      <c r="H6" s="821"/>
      <c r="I6" s="821"/>
      <c r="J6" s="821"/>
      <c r="K6" s="821"/>
      <c r="L6" s="821"/>
      <c r="M6" s="821"/>
      <c r="N6" s="821"/>
      <c r="O6" s="821"/>
      <c r="P6" s="821"/>
      <c r="Q6" s="821"/>
      <c r="R6" s="821"/>
      <c r="S6" s="821"/>
      <c r="T6" s="821"/>
      <c r="U6" s="821"/>
      <c r="V6" s="821"/>
      <c r="W6" s="821"/>
      <c r="X6" s="821"/>
      <c r="Y6" s="822"/>
      <c r="Z6" s="664"/>
      <c r="AA6" s="664"/>
      <c r="AB6" s="664"/>
      <c r="AC6" s="664"/>
      <c r="AD6" s="664"/>
      <c r="AE6" s="664"/>
      <c r="AF6" s="664"/>
      <c r="AG6" s="658">
        <v>2013</v>
      </c>
      <c r="AH6" s="665">
        <v>6</v>
      </c>
    </row>
    <row r="7" spans="1:34">
      <c r="A7" s="640">
        <v>100</v>
      </c>
      <c r="B7" s="788" t="s">
        <v>88</v>
      </c>
      <c r="C7" s="641" t="s">
        <v>593</v>
      </c>
      <c r="D7" s="641"/>
      <c r="E7" s="642"/>
      <c r="F7" s="666"/>
      <c r="G7" s="666"/>
      <c r="H7" s="666"/>
      <c r="I7" s="666"/>
      <c r="J7" s="666"/>
      <c r="K7" s="666"/>
      <c r="L7" s="666"/>
      <c r="M7" s="666"/>
      <c r="N7" s="666"/>
      <c r="O7" s="666"/>
      <c r="P7" s="666"/>
      <c r="Q7" s="666"/>
      <c r="R7" s="666"/>
      <c r="S7" s="666"/>
      <c r="T7" s="666"/>
      <c r="U7" s="666"/>
      <c r="V7" s="666"/>
      <c r="W7" s="666"/>
      <c r="X7" s="666"/>
      <c r="Y7" s="667"/>
      <c r="Z7" s="631"/>
      <c r="AA7" s="631"/>
      <c r="AB7" s="631"/>
      <c r="AC7" s="631"/>
      <c r="AD7" s="631"/>
      <c r="AE7" s="631"/>
      <c r="AF7" s="631"/>
      <c r="AG7" s="658"/>
      <c r="AH7" s="658">
        <v>7</v>
      </c>
    </row>
    <row r="8" spans="1:34">
      <c r="A8" s="640">
        <v>110</v>
      </c>
      <c r="B8" s="789" t="s">
        <v>111</v>
      </c>
      <c r="C8" s="643" t="s">
        <v>112</v>
      </c>
      <c r="D8" s="643"/>
      <c r="E8" s="644"/>
      <c r="F8" s="1158">
        <v>0</v>
      </c>
      <c r="G8" s="668">
        <v>0</v>
      </c>
      <c r="H8" s="668">
        <v>0</v>
      </c>
      <c r="I8" s="668">
        <v>0</v>
      </c>
      <c r="J8" s="669">
        <v>0</v>
      </c>
      <c r="K8" s="1158">
        <v>0</v>
      </c>
      <c r="L8" s="668">
        <v>0</v>
      </c>
      <c r="M8" s="669">
        <v>0</v>
      </c>
      <c r="N8" s="1158">
        <v>0</v>
      </c>
      <c r="O8" s="669">
        <v>0</v>
      </c>
      <c r="P8" s="1158">
        <v>0</v>
      </c>
      <c r="Q8" s="668">
        <v>0</v>
      </c>
      <c r="R8" s="668">
        <v>0</v>
      </c>
      <c r="S8" s="668">
        <v>0</v>
      </c>
      <c r="T8" s="669">
        <v>0</v>
      </c>
      <c r="U8" s="1158">
        <v>0</v>
      </c>
      <c r="V8" s="668">
        <v>0</v>
      </c>
      <c r="W8" s="668">
        <v>0</v>
      </c>
      <c r="X8" s="668">
        <v>0</v>
      </c>
      <c r="Y8" s="669">
        <v>0</v>
      </c>
      <c r="Z8" s="631"/>
      <c r="AA8" s="631"/>
      <c r="AB8" s="631"/>
      <c r="AC8" s="631"/>
      <c r="AD8" s="631"/>
      <c r="AE8" s="631"/>
      <c r="AF8" s="631"/>
      <c r="AG8" s="658"/>
      <c r="AH8" s="658">
        <v>8</v>
      </c>
    </row>
    <row r="9" spans="1:34">
      <c r="A9" s="640">
        <v>120</v>
      </c>
      <c r="B9" s="791" t="s">
        <v>594</v>
      </c>
      <c r="C9" s="645">
        <v>151</v>
      </c>
      <c r="D9" s="645"/>
      <c r="E9" s="644"/>
      <c r="F9" s="668">
        <v>0</v>
      </c>
      <c r="G9" s="668">
        <v>0</v>
      </c>
      <c r="H9" s="668">
        <v>0</v>
      </c>
      <c r="I9" s="668">
        <v>0</v>
      </c>
      <c r="J9" s="669">
        <v>0</v>
      </c>
      <c r="K9" s="668">
        <v>0</v>
      </c>
      <c r="L9" s="668">
        <v>0</v>
      </c>
      <c r="M9" s="669">
        <v>0</v>
      </c>
      <c r="N9" s="668">
        <v>0</v>
      </c>
      <c r="O9" s="669">
        <v>0</v>
      </c>
      <c r="P9" s="668">
        <v>0</v>
      </c>
      <c r="Q9" s="668">
        <v>0</v>
      </c>
      <c r="R9" s="668">
        <v>0</v>
      </c>
      <c r="S9" s="668">
        <v>0</v>
      </c>
      <c r="T9" s="669">
        <v>0</v>
      </c>
      <c r="U9" s="668">
        <v>0</v>
      </c>
      <c r="V9" s="668">
        <v>0</v>
      </c>
      <c r="W9" s="668">
        <v>0</v>
      </c>
      <c r="X9" s="668">
        <v>0</v>
      </c>
      <c r="Y9" s="669">
        <v>0</v>
      </c>
      <c r="Z9" s="631"/>
      <c r="AA9" s="631"/>
      <c r="AB9" s="631"/>
      <c r="AC9" s="631"/>
      <c r="AD9" s="631"/>
      <c r="AE9" s="631"/>
      <c r="AF9" s="631"/>
      <c r="AG9" s="658"/>
      <c r="AH9" s="658">
        <v>9</v>
      </c>
    </row>
    <row r="10" spans="1:34">
      <c r="A10" s="640">
        <v>130</v>
      </c>
      <c r="B10" s="789" t="s">
        <v>79</v>
      </c>
      <c r="C10" s="643">
        <v>154</v>
      </c>
      <c r="D10" s="643"/>
      <c r="E10" s="644"/>
      <c r="F10" s="668">
        <v>0</v>
      </c>
      <c r="G10" s="668">
        <v>0</v>
      </c>
      <c r="H10" s="668">
        <v>0</v>
      </c>
      <c r="I10" s="668">
        <v>0</v>
      </c>
      <c r="J10" s="669">
        <v>0</v>
      </c>
      <c r="K10" s="668">
        <v>0</v>
      </c>
      <c r="L10" s="668">
        <v>0</v>
      </c>
      <c r="M10" s="669">
        <v>0</v>
      </c>
      <c r="N10" s="668">
        <v>0</v>
      </c>
      <c r="O10" s="669">
        <v>0</v>
      </c>
      <c r="P10" s="668">
        <v>0</v>
      </c>
      <c r="Q10" s="668">
        <v>0</v>
      </c>
      <c r="R10" s="668">
        <v>0</v>
      </c>
      <c r="S10" s="668">
        <v>0</v>
      </c>
      <c r="T10" s="669">
        <v>0</v>
      </c>
      <c r="U10" s="668">
        <v>0</v>
      </c>
      <c r="V10" s="668">
        <v>0</v>
      </c>
      <c r="W10" s="668">
        <v>0</v>
      </c>
      <c r="X10" s="668">
        <v>0</v>
      </c>
      <c r="Y10" s="669">
        <v>0</v>
      </c>
      <c r="Z10" s="631"/>
      <c r="AA10" s="631"/>
      <c r="AB10" s="631"/>
      <c r="AC10" s="631"/>
      <c r="AD10" s="631"/>
      <c r="AE10" s="631"/>
      <c r="AF10" s="631"/>
      <c r="AG10" s="658"/>
      <c r="AH10" s="658">
        <v>10</v>
      </c>
    </row>
    <row r="11" spans="1:34">
      <c r="A11" s="640">
        <v>140</v>
      </c>
      <c r="B11" s="791" t="s">
        <v>595</v>
      </c>
      <c r="C11" s="645" t="s">
        <v>596</v>
      </c>
      <c r="D11" s="645"/>
      <c r="E11" s="644"/>
      <c r="F11" s="668">
        <v>0</v>
      </c>
      <c r="G11" s="668">
        <v>0</v>
      </c>
      <c r="H11" s="668">
        <v>0</v>
      </c>
      <c r="I11" s="668">
        <v>0</v>
      </c>
      <c r="J11" s="669">
        <v>0</v>
      </c>
      <c r="K11" s="668">
        <v>0</v>
      </c>
      <c r="L11" s="668">
        <v>0</v>
      </c>
      <c r="M11" s="669">
        <v>0</v>
      </c>
      <c r="N11" s="668">
        <v>0</v>
      </c>
      <c r="O11" s="669">
        <v>0</v>
      </c>
      <c r="P11" s="668">
        <v>0</v>
      </c>
      <c r="Q11" s="668">
        <v>0</v>
      </c>
      <c r="R11" s="668">
        <v>0</v>
      </c>
      <c r="S11" s="668">
        <v>0</v>
      </c>
      <c r="T11" s="669">
        <v>0</v>
      </c>
      <c r="U11" s="668">
        <v>0</v>
      </c>
      <c r="V11" s="668">
        <v>0</v>
      </c>
      <c r="W11" s="668">
        <v>0</v>
      </c>
      <c r="X11" s="668">
        <v>0</v>
      </c>
      <c r="Y11" s="669">
        <v>0</v>
      </c>
      <c r="Z11" s="631"/>
      <c r="AA11" s="631"/>
      <c r="AB11" s="631"/>
      <c r="AC11" s="631"/>
      <c r="AD11" s="631"/>
      <c r="AE11" s="631"/>
      <c r="AF11" s="631"/>
      <c r="AG11" s="658"/>
      <c r="AH11" s="658">
        <v>11</v>
      </c>
    </row>
    <row r="12" spans="1:34">
      <c r="A12" s="640">
        <v>150</v>
      </c>
      <c r="B12" s="792" t="s">
        <v>597</v>
      </c>
      <c r="C12" s="646"/>
      <c r="D12" s="646"/>
      <c r="E12" s="647"/>
      <c r="F12" s="671"/>
      <c r="G12" s="671"/>
      <c r="H12" s="671"/>
      <c r="I12" s="671"/>
      <c r="J12" s="671"/>
      <c r="K12" s="671"/>
      <c r="L12" s="671"/>
      <c r="M12" s="671"/>
      <c r="N12" s="671"/>
      <c r="O12" s="671"/>
      <c r="P12" s="671"/>
      <c r="Q12" s="671"/>
      <c r="R12" s="671"/>
      <c r="S12" s="671"/>
      <c r="T12" s="671"/>
      <c r="U12" s="671"/>
      <c r="V12" s="671"/>
      <c r="W12" s="671"/>
      <c r="X12" s="671"/>
      <c r="Y12" s="671"/>
      <c r="Z12" s="631"/>
      <c r="AA12" s="631"/>
      <c r="AB12" s="631"/>
      <c r="AC12" s="631"/>
      <c r="AD12" s="631"/>
      <c r="AE12" s="631"/>
      <c r="AF12" s="631"/>
      <c r="AG12" s="658"/>
      <c r="AH12" s="658">
        <v>12</v>
      </c>
    </row>
    <row r="13" spans="1:34">
      <c r="A13" s="640">
        <v>160</v>
      </c>
      <c r="B13" s="791" t="s">
        <v>259</v>
      </c>
      <c r="C13" s="643">
        <v>501</v>
      </c>
      <c r="D13" s="643"/>
      <c r="E13" s="644"/>
      <c r="F13" s="1153">
        <v>0</v>
      </c>
      <c r="G13" s="1153">
        <v>0</v>
      </c>
      <c r="H13" s="1153">
        <v>0</v>
      </c>
      <c r="I13" s="1153">
        <v>0</v>
      </c>
      <c r="J13" s="1153">
        <f>J141</f>
        <v>0</v>
      </c>
      <c r="K13" s="1153">
        <f t="shared" ref="K13:Y13" si="1">K141</f>
        <v>0</v>
      </c>
      <c r="L13" s="1153">
        <f t="shared" si="1"/>
        <v>0</v>
      </c>
      <c r="M13" s="1153">
        <f t="shared" si="1"/>
        <v>0</v>
      </c>
      <c r="N13" s="1153">
        <f t="shared" si="1"/>
        <v>0</v>
      </c>
      <c r="O13" s="1153">
        <f t="shared" si="1"/>
        <v>0</v>
      </c>
      <c r="P13" s="1153">
        <f t="shared" si="1"/>
        <v>0</v>
      </c>
      <c r="Q13" s="1153">
        <f t="shared" si="1"/>
        <v>0</v>
      </c>
      <c r="R13" s="1153">
        <f t="shared" si="1"/>
        <v>0</v>
      </c>
      <c r="S13" s="1153">
        <f t="shared" si="1"/>
        <v>0</v>
      </c>
      <c r="T13" s="1153">
        <f t="shared" si="1"/>
        <v>0</v>
      </c>
      <c r="U13" s="1153">
        <f t="shared" si="1"/>
        <v>0</v>
      </c>
      <c r="V13" s="1153">
        <f t="shared" si="1"/>
        <v>0</v>
      </c>
      <c r="W13" s="1153">
        <f t="shared" si="1"/>
        <v>0</v>
      </c>
      <c r="X13" s="1153">
        <f t="shared" si="1"/>
        <v>0</v>
      </c>
      <c r="Y13" s="1153">
        <f t="shared" si="1"/>
        <v>0</v>
      </c>
      <c r="Z13" s="631"/>
      <c r="AA13" s="631"/>
      <c r="AB13" s="631"/>
      <c r="AC13" s="631"/>
      <c r="AD13" s="631"/>
      <c r="AE13" s="631"/>
      <c r="AF13" s="631"/>
      <c r="AG13" s="658"/>
      <c r="AH13" s="658"/>
    </row>
    <row r="14" spans="1:34">
      <c r="A14" s="640">
        <v>170</v>
      </c>
      <c r="B14" s="789" t="s">
        <v>598</v>
      </c>
      <c r="C14" s="645" t="s">
        <v>456</v>
      </c>
      <c r="D14" s="645"/>
      <c r="E14" s="644"/>
      <c r="F14" s="668"/>
      <c r="G14" s="668">
        <v>0</v>
      </c>
      <c r="H14" s="669">
        <v>0</v>
      </c>
      <c r="I14" s="668">
        <v>0</v>
      </c>
      <c r="J14" s="669">
        <v>0</v>
      </c>
      <c r="K14" s="668">
        <v>0</v>
      </c>
      <c r="L14" s="668">
        <v>0</v>
      </c>
      <c r="M14" s="669">
        <v>0</v>
      </c>
      <c r="N14" s="668">
        <v>0</v>
      </c>
      <c r="O14" s="669">
        <v>0</v>
      </c>
      <c r="P14" s="668">
        <v>0</v>
      </c>
      <c r="Q14" s="668">
        <v>0</v>
      </c>
      <c r="R14" s="669">
        <v>0</v>
      </c>
      <c r="S14" s="668">
        <v>0</v>
      </c>
      <c r="T14" s="669">
        <v>0</v>
      </c>
      <c r="U14" s="668">
        <v>0</v>
      </c>
      <c r="V14" s="668">
        <v>0</v>
      </c>
      <c r="W14" s="669">
        <v>0</v>
      </c>
      <c r="X14" s="668">
        <v>0</v>
      </c>
      <c r="Y14" s="669">
        <v>0</v>
      </c>
      <c r="Z14" s="631"/>
      <c r="AA14" s="631"/>
      <c r="AB14" s="631"/>
      <c r="AC14" s="631"/>
      <c r="AD14" s="631"/>
      <c r="AE14" s="631"/>
      <c r="AF14" s="631"/>
      <c r="AG14" s="658"/>
      <c r="AH14" s="658"/>
    </row>
    <row r="15" spans="1:34">
      <c r="A15" s="640">
        <v>180</v>
      </c>
      <c r="B15" s="791" t="s">
        <v>261</v>
      </c>
      <c r="C15" s="643" t="s">
        <v>262</v>
      </c>
      <c r="D15" s="643"/>
      <c r="E15" s="644"/>
      <c r="F15" s="668"/>
      <c r="G15" s="668">
        <v>0</v>
      </c>
      <c r="H15" s="669">
        <v>0</v>
      </c>
      <c r="I15" s="668">
        <v>0</v>
      </c>
      <c r="J15" s="669">
        <v>0</v>
      </c>
      <c r="K15" s="668">
        <v>0</v>
      </c>
      <c r="L15" s="668">
        <v>0</v>
      </c>
      <c r="M15" s="669">
        <v>0</v>
      </c>
      <c r="N15" s="668">
        <v>0</v>
      </c>
      <c r="O15" s="669">
        <v>0</v>
      </c>
      <c r="P15" s="668">
        <v>0</v>
      </c>
      <c r="Q15" s="668">
        <v>0</v>
      </c>
      <c r="R15" s="669">
        <v>0</v>
      </c>
      <c r="S15" s="668">
        <v>0</v>
      </c>
      <c r="T15" s="669">
        <v>0</v>
      </c>
      <c r="U15" s="668">
        <v>0</v>
      </c>
      <c r="V15" s="668">
        <v>0</v>
      </c>
      <c r="W15" s="669">
        <v>0</v>
      </c>
      <c r="X15" s="668">
        <v>0</v>
      </c>
      <c r="Y15" s="669">
        <v>0</v>
      </c>
      <c r="Z15" s="631"/>
      <c r="AA15" s="631"/>
      <c r="AB15" s="631"/>
      <c r="AC15" s="631"/>
      <c r="AD15" s="631"/>
      <c r="AE15" s="631"/>
      <c r="AF15" s="631"/>
      <c r="AG15" s="658"/>
      <c r="AH15" s="658"/>
    </row>
    <row r="16" spans="1:34">
      <c r="A16" s="640">
        <v>190</v>
      </c>
      <c r="B16" s="794" t="s">
        <v>167</v>
      </c>
      <c r="C16" s="648">
        <v>924</v>
      </c>
      <c r="D16" s="648"/>
      <c r="E16" s="649"/>
      <c r="F16" s="668">
        <v>0</v>
      </c>
      <c r="G16" s="668">
        <v>0</v>
      </c>
      <c r="H16" s="669">
        <v>0</v>
      </c>
      <c r="I16" s="668">
        <v>0</v>
      </c>
      <c r="J16" s="669">
        <v>0</v>
      </c>
      <c r="K16" s="668">
        <v>0</v>
      </c>
      <c r="L16" s="668">
        <v>0</v>
      </c>
      <c r="M16" s="669">
        <v>0</v>
      </c>
      <c r="N16" s="668">
        <v>0</v>
      </c>
      <c r="O16" s="669">
        <v>0</v>
      </c>
      <c r="P16" s="668">
        <v>0</v>
      </c>
      <c r="Q16" s="668">
        <v>0</v>
      </c>
      <c r="R16" s="669">
        <v>0</v>
      </c>
      <c r="S16" s="668">
        <v>0</v>
      </c>
      <c r="T16" s="669">
        <v>0</v>
      </c>
      <c r="U16" s="668">
        <v>0</v>
      </c>
      <c r="V16" s="668">
        <v>0</v>
      </c>
      <c r="W16" s="669">
        <v>0</v>
      </c>
      <c r="X16" s="668">
        <v>0</v>
      </c>
      <c r="Y16" s="669">
        <v>0</v>
      </c>
      <c r="Z16" s="631"/>
      <c r="AA16" s="631"/>
      <c r="AB16" s="631"/>
      <c r="AC16" s="631"/>
      <c r="AD16" s="631"/>
      <c r="AE16" s="631"/>
      <c r="AF16" s="631"/>
      <c r="AG16" s="658"/>
      <c r="AH16" s="658"/>
    </row>
    <row r="17" spans="1:34">
      <c r="A17" s="640">
        <v>200</v>
      </c>
      <c r="B17" s="789" t="s">
        <v>599</v>
      </c>
      <c r="C17" s="645">
        <v>403</v>
      </c>
      <c r="D17" s="645" t="s">
        <v>600</v>
      </c>
      <c r="E17" s="644"/>
      <c r="F17" s="668"/>
      <c r="G17" s="668">
        <v>0</v>
      </c>
      <c r="H17" s="669">
        <v>0</v>
      </c>
      <c r="I17" s="668">
        <v>0</v>
      </c>
      <c r="J17" s="669">
        <v>0</v>
      </c>
      <c r="K17" s="668">
        <v>0</v>
      </c>
      <c r="L17" s="668">
        <v>0</v>
      </c>
      <c r="M17" s="669">
        <v>0</v>
      </c>
      <c r="N17" s="668">
        <v>0</v>
      </c>
      <c r="O17" s="669">
        <v>0</v>
      </c>
      <c r="P17" s="668">
        <v>0</v>
      </c>
      <c r="Q17" s="668">
        <v>0</v>
      </c>
      <c r="R17" s="669">
        <v>0</v>
      </c>
      <c r="S17" s="668">
        <v>0</v>
      </c>
      <c r="T17" s="669">
        <v>0</v>
      </c>
      <c r="U17" s="668">
        <v>0</v>
      </c>
      <c r="V17" s="668">
        <v>0</v>
      </c>
      <c r="W17" s="669">
        <v>0</v>
      </c>
      <c r="X17" s="668">
        <v>0</v>
      </c>
      <c r="Y17" s="669">
        <v>0</v>
      </c>
      <c r="Z17" s="631"/>
      <c r="AA17" s="631"/>
      <c r="AB17" s="631"/>
      <c r="AC17" s="631"/>
      <c r="AD17" s="631"/>
      <c r="AE17" s="631"/>
      <c r="AF17" s="631"/>
      <c r="AG17" s="658"/>
      <c r="AH17" s="658"/>
    </row>
    <row r="18" spans="1:34">
      <c r="A18" s="640">
        <v>210</v>
      </c>
      <c r="B18" s="789" t="s">
        <v>601</v>
      </c>
      <c r="C18" s="643">
        <v>447</v>
      </c>
      <c r="D18" s="643" t="s">
        <v>602</v>
      </c>
      <c r="E18" s="644"/>
      <c r="F18" s="668">
        <v>0</v>
      </c>
      <c r="G18" s="668">
        <v>0</v>
      </c>
      <c r="H18" s="669">
        <v>0</v>
      </c>
      <c r="I18" s="668">
        <v>0</v>
      </c>
      <c r="J18" s="669">
        <v>0</v>
      </c>
      <c r="K18" s="668">
        <v>0</v>
      </c>
      <c r="L18" s="668">
        <v>0</v>
      </c>
      <c r="M18" s="669">
        <v>0</v>
      </c>
      <c r="N18" s="668">
        <v>0</v>
      </c>
      <c r="O18" s="669">
        <v>0</v>
      </c>
      <c r="P18" s="668">
        <v>0</v>
      </c>
      <c r="Q18" s="668">
        <v>0</v>
      </c>
      <c r="R18" s="669">
        <v>0</v>
      </c>
      <c r="S18" s="668">
        <v>0</v>
      </c>
      <c r="T18" s="669">
        <v>0</v>
      </c>
      <c r="U18" s="668">
        <v>0</v>
      </c>
      <c r="V18" s="668">
        <v>0</v>
      </c>
      <c r="W18" s="669">
        <v>0</v>
      </c>
      <c r="X18" s="668">
        <v>0</v>
      </c>
      <c r="Y18" s="669">
        <v>0</v>
      </c>
      <c r="Z18" s="631"/>
      <c r="AA18" s="631"/>
      <c r="AB18" s="631"/>
      <c r="AC18" s="631"/>
      <c r="AD18" s="631"/>
      <c r="AE18" s="631"/>
      <c r="AF18" s="631"/>
      <c r="AG18" s="658"/>
      <c r="AH18" s="658"/>
    </row>
    <row r="19" spans="1:34">
      <c r="A19" s="640">
        <v>220</v>
      </c>
      <c r="B19" s="791" t="s">
        <v>603</v>
      </c>
      <c r="C19" s="645"/>
      <c r="D19" s="643" t="s">
        <v>602</v>
      </c>
      <c r="E19" s="644"/>
      <c r="F19" s="668">
        <v>0</v>
      </c>
      <c r="G19" s="668">
        <v>0</v>
      </c>
      <c r="H19" s="669">
        <v>0</v>
      </c>
      <c r="I19" s="668">
        <v>0</v>
      </c>
      <c r="J19" s="669">
        <v>0</v>
      </c>
      <c r="K19" s="668">
        <v>0</v>
      </c>
      <c r="L19" s="668">
        <v>0</v>
      </c>
      <c r="M19" s="669">
        <v>0</v>
      </c>
      <c r="N19" s="668">
        <v>0</v>
      </c>
      <c r="O19" s="669">
        <v>0</v>
      </c>
      <c r="P19" s="668">
        <v>0</v>
      </c>
      <c r="Q19" s="668">
        <v>0</v>
      </c>
      <c r="R19" s="669">
        <v>0</v>
      </c>
      <c r="S19" s="668">
        <v>0</v>
      </c>
      <c r="T19" s="669">
        <v>0</v>
      </c>
      <c r="U19" s="668">
        <v>0</v>
      </c>
      <c r="V19" s="668">
        <v>0</v>
      </c>
      <c r="W19" s="669">
        <v>0</v>
      </c>
      <c r="X19" s="668">
        <v>0</v>
      </c>
      <c r="Y19" s="669">
        <v>0</v>
      </c>
      <c r="Z19" s="631"/>
      <c r="AA19" s="631"/>
      <c r="AB19" s="631"/>
      <c r="AC19" s="631"/>
      <c r="AD19" s="631"/>
      <c r="AE19" s="631"/>
      <c r="AF19" s="631"/>
      <c r="AG19" s="658"/>
      <c r="AH19" s="658"/>
    </row>
    <row r="20" spans="1:34">
      <c r="A20" s="640">
        <v>230</v>
      </c>
      <c r="B20" s="789" t="s">
        <v>604</v>
      </c>
      <c r="C20" s="643"/>
      <c r="D20" s="643" t="s">
        <v>602</v>
      </c>
      <c r="E20" s="644"/>
      <c r="F20" s="1153">
        <v>0</v>
      </c>
      <c r="G20" s="1153">
        <v>0</v>
      </c>
      <c r="H20" s="1153">
        <v>0</v>
      </c>
      <c r="I20" s="1153">
        <v>0</v>
      </c>
      <c r="J20" s="1153">
        <f>J140</f>
        <v>0</v>
      </c>
      <c r="K20" s="1153">
        <f t="shared" ref="K20:Y20" si="2">K140</f>
        <v>0</v>
      </c>
      <c r="L20" s="1153">
        <f t="shared" si="2"/>
        <v>0</v>
      </c>
      <c r="M20" s="1153">
        <f t="shared" si="2"/>
        <v>0</v>
      </c>
      <c r="N20" s="1153">
        <f t="shared" si="2"/>
        <v>0</v>
      </c>
      <c r="O20" s="1153">
        <f t="shared" si="2"/>
        <v>0</v>
      </c>
      <c r="P20" s="1153">
        <f t="shared" si="2"/>
        <v>0</v>
      </c>
      <c r="Q20" s="1153">
        <f t="shared" si="2"/>
        <v>0</v>
      </c>
      <c r="R20" s="1153">
        <f t="shared" si="2"/>
        <v>0</v>
      </c>
      <c r="S20" s="1153">
        <f t="shared" si="2"/>
        <v>0</v>
      </c>
      <c r="T20" s="1153">
        <f t="shared" si="2"/>
        <v>0</v>
      </c>
      <c r="U20" s="1153">
        <f t="shared" si="2"/>
        <v>0</v>
      </c>
      <c r="V20" s="1153">
        <f t="shared" si="2"/>
        <v>0</v>
      </c>
      <c r="W20" s="1153">
        <f t="shared" si="2"/>
        <v>0</v>
      </c>
      <c r="X20" s="1153">
        <f t="shared" si="2"/>
        <v>0</v>
      </c>
      <c r="Y20" s="1153">
        <f t="shared" si="2"/>
        <v>0</v>
      </c>
      <c r="Z20" s="631"/>
      <c r="AA20" s="631"/>
      <c r="AB20" s="631"/>
      <c r="AC20" s="631"/>
      <c r="AD20" s="631"/>
      <c r="AE20" s="631"/>
      <c r="AF20" s="631"/>
      <c r="AG20" s="658"/>
      <c r="AH20" s="658"/>
    </row>
    <row r="21" spans="1:34">
      <c r="A21" s="640">
        <v>240</v>
      </c>
      <c r="B21" s="792" t="s">
        <v>89</v>
      </c>
      <c r="C21" s="646"/>
      <c r="D21" s="646"/>
      <c r="E21" s="647"/>
      <c r="F21" s="647"/>
      <c r="G21" s="647"/>
      <c r="H21" s="647"/>
      <c r="I21" s="647"/>
      <c r="J21" s="671"/>
      <c r="K21" s="647"/>
      <c r="L21" s="647"/>
      <c r="M21" s="647"/>
      <c r="N21" s="647"/>
      <c r="O21" s="671"/>
      <c r="P21" s="647"/>
      <c r="Q21" s="647"/>
      <c r="R21" s="647"/>
      <c r="S21" s="647"/>
      <c r="T21" s="671"/>
      <c r="U21" s="647"/>
      <c r="V21" s="647"/>
      <c r="W21" s="647"/>
      <c r="X21" s="647"/>
      <c r="Y21" s="671"/>
      <c r="Z21" s="631"/>
      <c r="AA21" s="631"/>
      <c r="AB21" s="631"/>
      <c r="AC21" s="631"/>
      <c r="AD21" s="631"/>
      <c r="AE21" s="631"/>
      <c r="AF21" s="631"/>
      <c r="AG21" s="658"/>
      <c r="AH21" s="658"/>
    </row>
    <row r="22" spans="1:34">
      <c r="A22" s="640">
        <v>250</v>
      </c>
      <c r="B22" s="789" t="s">
        <v>113</v>
      </c>
      <c r="C22" s="643" t="s">
        <v>114</v>
      </c>
      <c r="D22" s="643"/>
      <c r="E22" s="644"/>
      <c r="F22" s="668">
        <v>0</v>
      </c>
      <c r="G22" s="668">
        <v>0</v>
      </c>
      <c r="H22" s="669">
        <v>0</v>
      </c>
      <c r="I22" s="668">
        <v>0</v>
      </c>
      <c r="J22" s="669">
        <v>0</v>
      </c>
      <c r="K22" s="668">
        <v>0</v>
      </c>
      <c r="L22" s="668">
        <v>0</v>
      </c>
      <c r="M22" s="669">
        <v>0</v>
      </c>
      <c r="N22" s="668">
        <v>0</v>
      </c>
      <c r="O22" s="669">
        <v>0</v>
      </c>
      <c r="P22" s="668">
        <v>0</v>
      </c>
      <c r="Q22" s="668">
        <v>0</v>
      </c>
      <c r="R22" s="669">
        <v>0</v>
      </c>
      <c r="S22" s="668">
        <v>0</v>
      </c>
      <c r="T22" s="669">
        <v>0</v>
      </c>
      <c r="U22" s="668">
        <v>0</v>
      </c>
      <c r="V22" s="668">
        <v>0</v>
      </c>
      <c r="W22" s="669">
        <v>0</v>
      </c>
      <c r="X22" s="668">
        <v>0</v>
      </c>
      <c r="Y22" s="669">
        <v>0</v>
      </c>
      <c r="Z22" s="631"/>
      <c r="AA22" s="631"/>
      <c r="AB22" s="631"/>
      <c r="AC22" s="631"/>
      <c r="AD22" s="631"/>
      <c r="AE22" s="631"/>
      <c r="AF22" s="631"/>
      <c r="AG22" s="658"/>
      <c r="AH22" s="658"/>
    </row>
    <row r="23" spans="1:34">
      <c r="A23" s="640">
        <v>260</v>
      </c>
      <c r="B23" s="789" t="s">
        <v>605</v>
      </c>
      <c r="C23" s="645" t="s">
        <v>257</v>
      </c>
      <c r="D23" s="645" t="s">
        <v>600</v>
      </c>
      <c r="E23" s="644"/>
      <c r="F23" s="668">
        <v>0</v>
      </c>
      <c r="G23" s="668">
        <v>0</v>
      </c>
      <c r="H23" s="669">
        <v>0</v>
      </c>
      <c r="I23" s="668">
        <v>0</v>
      </c>
      <c r="J23" s="669">
        <v>0</v>
      </c>
      <c r="K23" s="668">
        <v>0</v>
      </c>
      <c r="L23" s="668">
        <v>0</v>
      </c>
      <c r="M23" s="669">
        <v>0</v>
      </c>
      <c r="N23" s="668">
        <v>0</v>
      </c>
      <c r="O23" s="669">
        <v>0</v>
      </c>
      <c r="P23" s="668">
        <v>0</v>
      </c>
      <c r="Q23" s="668">
        <v>0</v>
      </c>
      <c r="R23" s="669">
        <v>0</v>
      </c>
      <c r="S23" s="668">
        <v>0</v>
      </c>
      <c r="T23" s="669">
        <v>0</v>
      </c>
      <c r="U23" s="668">
        <v>0</v>
      </c>
      <c r="V23" s="668">
        <v>0</v>
      </c>
      <c r="W23" s="669">
        <v>0</v>
      </c>
      <c r="X23" s="668">
        <v>0</v>
      </c>
      <c r="Y23" s="669">
        <v>0</v>
      </c>
      <c r="Z23" s="631"/>
      <c r="AA23" s="631"/>
      <c r="AB23" s="631"/>
      <c r="AC23" s="631"/>
      <c r="AD23" s="631"/>
      <c r="AE23" s="631"/>
      <c r="AF23" s="631"/>
      <c r="AG23" s="658"/>
      <c r="AH23" s="658"/>
    </row>
    <row r="24" spans="1:34">
      <c r="A24" s="640">
        <v>270</v>
      </c>
      <c r="B24" s="789" t="s">
        <v>79</v>
      </c>
      <c r="C24" s="643">
        <v>154</v>
      </c>
      <c r="D24" s="643"/>
      <c r="E24" s="644"/>
      <c r="F24" s="668">
        <v>0</v>
      </c>
      <c r="G24" s="668">
        <v>0</v>
      </c>
      <c r="H24" s="669">
        <v>0</v>
      </c>
      <c r="I24" s="668">
        <v>0</v>
      </c>
      <c r="J24" s="669">
        <v>0</v>
      </c>
      <c r="K24" s="668">
        <v>0</v>
      </c>
      <c r="L24" s="668">
        <v>0</v>
      </c>
      <c r="M24" s="669">
        <v>0</v>
      </c>
      <c r="N24" s="668">
        <v>0</v>
      </c>
      <c r="O24" s="669">
        <v>0</v>
      </c>
      <c r="P24" s="668">
        <v>0</v>
      </c>
      <c r="Q24" s="668">
        <v>0</v>
      </c>
      <c r="R24" s="669">
        <v>0</v>
      </c>
      <c r="S24" s="668">
        <v>0</v>
      </c>
      <c r="T24" s="669">
        <v>0</v>
      </c>
      <c r="U24" s="668">
        <v>0</v>
      </c>
      <c r="V24" s="668">
        <v>0</v>
      </c>
      <c r="W24" s="669">
        <v>0</v>
      </c>
      <c r="X24" s="668">
        <v>0</v>
      </c>
      <c r="Y24" s="669">
        <v>0</v>
      </c>
      <c r="Z24" s="631"/>
      <c r="AA24" s="631"/>
      <c r="AB24" s="631"/>
      <c r="AC24" s="631"/>
      <c r="AD24" s="631"/>
      <c r="AE24" s="631"/>
      <c r="AF24" s="631"/>
      <c r="AG24" s="658"/>
      <c r="AH24" s="658"/>
    </row>
    <row r="25" spans="1:34">
      <c r="A25" s="640">
        <v>280</v>
      </c>
      <c r="B25" s="792" t="s">
        <v>606</v>
      </c>
      <c r="C25" s="646"/>
      <c r="D25" s="646"/>
      <c r="E25" s="647"/>
      <c r="F25" s="647"/>
      <c r="G25" s="647"/>
      <c r="H25" s="647"/>
      <c r="I25" s="647"/>
      <c r="J25" s="671"/>
      <c r="K25" s="647"/>
      <c r="L25" s="647"/>
      <c r="M25" s="647"/>
      <c r="N25" s="647"/>
      <c r="O25" s="671"/>
      <c r="P25" s="647"/>
      <c r="Q25" s="647"/>
      <c r="R25" s="647"/>
      <c r="S25" s="647"/>
      <c r="T25" s="671"/>
      <c r="U25" s="647"/>
      <c r="V25" s="647"/>
      <c r="W25" s="647"/>
      <c r="X25" s="647"/>
      <c r="Y25" s="671"/>
      <c r="Z25" s="631"/>
      <c r="AA25" s="631"/>
      <c r="AB25" s="631"/>
      <c r="AC25" s="631"/>
      <c r="AD25" s="631"/>
      <c r="AE25" s="631"/>
      <c r="AF25" s="631"/>
      <c r="AG25" s="658"/>
      <c r="AH25" s="658"/>
    </row>
    <row r="26" spans="1:34">
      <c r="A26" s="640">
        <v>290</v>
      </c>
      <c r="B26" s="795" t="s">
        <v>607</v>
      </c>
      <c r="C26" s="643">
        <v>518</v>
      </c>
      <c r="D26" s="643"/>
      <c r="E26" s="649"/>
      <c r="F26" s="1153">
        <v>0</v>
      </c>
      <c r="G26" s="1153">
        <v>0</v>
      </c>
      <c r="H26" s="1153">
        <v>0</v>
      </c>
      <c r="I26" s="1153">
        <v>0</v>
      </c>
      <c r="J26" s="1153">
        <f>J150</f>
        <v>0</v>
      </c>
      <c r="K26" s="1153">
        <f t="shared" ref="K26:Y26" si="3">K150</f>
        <v>0</v>
      </c>
      <c r="L26" s="1153">
        <f t="shared" si="3"/>
        <v>0</v>
      </c>
      <c r="M26" s="1153">
        <f t="shared" si="3"/>
        <v>0</v>
      </c>
      <c r="N26" s="1153">
        <f t="shared" si="3"/>
        <v>0</v>
      </c>
      <c r="O26" s="1153">
        <f t="shared" si="3"/>
        <v>0</v>
      </c>
      <c r="P26" s="1153">
        <f t="shared" si="3"/>
        <v>0</v>
      </c>
      <c r="Q26" s="1153">
        <f t="shared" si="3"/>
        <v>0</v>
      </c>
      <c r="R26" s="1153">
        <f t="shared" si="3"/>
        <v>0</v>
      </c>
      <c r="S26" s="1153">
        <f t="shared" si="3"/>
        <v>0</v>
      </c>
      <c r="T26" s="1153">
        <f t="shared" si="3"/>
        <v>0</v>
      </c>
      <c r="U26" s="1153">
        <f t="shared" si="3"/>
        <v>0</v>
      </c>
      <c r="V26" s="1153">
        <f t="shared" si="3"/>
        <v>0</v>
      </c>
      <c r="W26" s="1153">
        <f t="shared" si="3"/>
        <v>0</v>
      </c>
      <c r="X26" s="1153">
        <f t="shared" si="3"/>
        <v>0</v>
      </c>
      <c r="Y26" s="1153">
        <f t="shared" si="3"/>
        <v>0</v>
      </c>
      <c r="Z26" s="631"/>
      <c r="AA26" s="631"/>
      <c r="AB26" s="631"/>
      <c r="AC26" s="631"/>
      <c r="AD26" s="631"/>
      <c r="AE26" s="631"/>
      <c r="AF26" s="631"/>
      <c r="AG26" s="658"/>
      <c r="AH26" s="658"/>
    </row>
    <row r="27" spans="1:34">
      <c r="A27" s="640">
        <v>300</v>
      </c>
      <c r="B27" s="795" t="s">
        <v>264</v>
      </c>
      <c r="C27" s="643" t="s">
        <v>457</v>
      </c>
      <c r="D27" s="643"/>
      <c r="E27" s="649"/>
      <c r="F27" s="668">
        <v>0</v>
      </c>
      <c r="G27" s="668">
        <v>0</v>
      </c>
      <c r="H27" s="669">
        <v>0</v>
      </c>
      <c r="I27" s="668">
        <v>0</v>
      </c>
      <c r="J27" s="669">
        <v>0</v>
      </c>
      <c r="K27" s="668">
        <v>0</v>
      </c>
      <c r="L27" s="668">
        <v>0</v>
      </c>
      <c r="M27" s="669">
        <v>0</v>
      </c>
      <c r="N27" s="668">
        <v>0</v>
      </c>
      <c r="O27" s="669">
        <v>0</v>
      </c>
      <c r="P27" s="668">
        <v>0</v>
      </c>
      <c r="Q27" s="668">
        <v>0</v>
      </c>
      <c r="R27" s="669">
        <v>0</v>
      </c>
      <c r="S27" s="668">
        <v>0</v>
      </c>
      <c r="T27" s="669">
        <v>0</v>
      </c>
      <c r="U27" s="668">
        <v>0</v>
      </c>
      <c r="V27" s="668">
        <v>0</v>
      </c>
      <c r="W27" s="669">
        <v>0</v>
      </c>
      <c r="X27" s="668">
        <v>0</v>
      </c>
      <c r="Y27" s="669">
        <v>0</v>
      </c>
      <c r="Z27" s="631"/>
      <c r="AA27" s="631"/>
      <c r="AB27" s="631"/>
      <c r="AC27" s="631"/>
      <c r="AD27" s="631"/>
      <c r="AE27" s="631"/>
      <c r="AF27" s="631"/>
      <c r="AG27" s="658"/>
      <c r="AH27" s="658"/>
    </row>
    <row r="28" spans="1:34">
      <c r="A28" s="640">
        <v>310</v>
      </c>
      <c r="B28" s="795" t="s">
        <v>483</v>
      </c>
      <c r="C28" s="643" t="s">
        <v>484</v>
      </c>
      <c r="D28" s="643"/>
      <c r="E28" s="649"/>
      <c r="F28" s="668">
        <v>0</v>
      </c>
      <c r="G28" s="668">
        <v>0</v>
      </c>
      <c r="H28" s="669">
        <v>0</v>
      </c>
      <c r="I28" s="668">
        <v>0</v>
      </c>
      <c r="J28" s="669">
        <v>0</v>
      </c>
      <c r="K28" s="668">
        <v>0</v>
      </c>
      <c r="L28" s="668">
        <v>0</v>
      </c>
      <c r="M28" s="669">
        <v>0</v>
      </c>
      <c r="N28" s="668">
        <v>0</v>
      </c>
      <c r="O28" s="669">
        <v>0</v>
      </c>
      <c r="P28" s="668">
        <v>0</v>
      </c>
      <c r="Q28" s="668">
        <v>0</v>
      </c>
      <c r="R28" s="669">
        <v>0</v>
      </c>
      <c r="S28" s="668">
        <v>0</v>
      </c>
      <c r="T28" s="669">
        <v>0</v>
      </c>
      <c r="U28" s="668">
        <v>0</v>
      </c>
      <c r="V28" s="668">
        <v>0</v>
      </c>
      <c r="W28" s="669">
        <v>0</v>
      </c>
      <c r="X28" s="668">
        <v>0</v>
      </c>
      <c r="Y28" s="669">
        <v>0</v>
      </c>
      <c r="Z28" s="631"/>
      <c r="AA28" s="631"/>
      <c r="AB28" s="631"/>
      <c r="AC28" s="631"/>
      <c r="AD28" s="631"/>
      <c r="AE28" s="631"/>
      <c r="AF28" s="631"/>
      <c r="AG28" s="658"/>
      <c r="AH28" s="658"/>
    </row>
    <row r="29" spans="1:34">
      <c r="A29" s="640">
        <v>320</v>
      </c>
      <c r="B29" s="795" t="s">
        <v>167</v>
      </c>
      <c r="C29" s="643">
        <v>924</v>
      </c>
      <c r="D29" s="643"/>
      <c r="E29" s="649"/>
      <c r="F29" s="668">
        <v>0</v>
      </c>
      <c r="G29" s="668">
        <v>0</v>
      </c>
      <c r="H29" s="669">
        <v>0</v>
      </c>
      <c r="I29" s="668">
        <v>0</v>
      </c>
      <c r="J29" s="669">
        <v>0</v>
      </c>
      <c r="K29" s="668">
        <v>0</v>
      </c>
      <c r="L29" s="668">
        <v>0</v>
      </c>
      <c r="M29" s="669">
        <v>0</v>
      </c>
      <c r="N29" s="668">
        <v>0</v>
      </c>
      <c r="O29" s="669">
        <v>0</v>
      </c>
      <c r="P29" s="668">
        <v>0</v>
      </c>
      <c r="Q29" s="668">
        <v>0</v>
      </c>
      <c r="R29" s="669">
        <v>0</v>
      </c>
      <c r="S29" s="668">
        <v>0</v>
      </c>
      <c r="T29" s="669">
        <v>0</v>
      </c>
      <c r="U29" s="668">
        <v>0</v>
      </c>
      <c r="V29" s="668">
        <v>0</v>
      </c>
      <c r="W29" s="669">
        <v>0</v>
      </c>
      <c r="X29" s="668">
        <v>0</v>
      </c>
      <c r="Y29" s="669">
        <v>0</v>
      </c>
      <c r="Z29" s="631"/>
      <c r="AA29" s="631"/>
      <c r="AB29" s="631"/>
      <c r="AC29" s="631"/>
      <c r="AD29" s="631"/>
      <c r="AE29" s="631"/>
      <c r="AF29" s="631"/>
      <c r="AG29" s="658"/>
      <c r="AH29" s="658"/>
    </row>
    <row r="30" spans="1:34">
      <c r="A30" s="640">
        <v>330</v>
      </c>
      <c r="B30" s="795" t="s">
        <v>599</v>
      </c>
      <c r="C30" s="643">
        <v>403</v>
      </c>
      <c r="D30" s="643" t="s">
        <v>600</v>
      </c>
      <c r="E30" s="649"/>
      <c r="F30" s="668">
        <v>0</v>
      </c>
      <c r="G30" s="668">
        <v>0</v>
      </c>
      <c r="H30" s="669">
        <v>0</v>
      </c>
      <c r="I30" s="668">
        <v>0</v>
      </c>
      <c r="J30" s="669">
        <v>0</v>
      </c>
      <c r="K30" s="668">
        <v>0</v>
      </c>
      <c r="L30" s="668">
        <v>0</v>
      </c>
      <c r="M30" s="669">
        <v>0</v>
      </c>
      <c r="N30" s="668">
        <v>0</v>
      </c>
      <c r="O30" s="669">
        <v>0</v>
      </c>
      <c r="P30" s="668">
        <v>0</v>
      </c>
      <c r="Q30" s="668">
        <v>0</v>
      </c>
      <c r="R30" s="669">
        <v>0</v>
      </c>
      <c r="S30" s="668">
        <v>0</v>
      </c>
      <c r="T30" s="669">
        <v>0</v>
      </c>
      <c r="U30" s="668">
        <v>0</v>
      </c>
      <c r="V30" s="668">
        <v>0</v>
      </c>
      <c r="W30" s="669">
        <v>0</v>
      </c>
      <c r="X30" s="668">
        <v>0</v>
      </c>
      <c r="Y30" s="669">
        <v>0</v>
      </c>
      <c r="Z30" s="631"/>
      <c r="AA30" s="631"/>
      <c r="AB30" s="631"/>
      <c r="AC30" s="631"/>
      <c r="AD30" s="631"/>
      <c r="AE30" s="631"/>
      <c r="AF30" s="631"/>
      <c r="AG30" s="658"/>
      <c r="AH30" s="658"/>
    </row>
    <row r="31" spans="1:34">
      <c r="A31" s="640">
        <v>340</v>
      </c>
      <c r="B31" s="789" t="s">
        <v>601</v>
      </c>
      <c r="C31" s="643">
        <v>447</v>
      </c>
      <c r="D31" s="643" t="s">
        <v>602</v>
      </c>
      <c r="E31" s="644"/>
      <c r="F31" s="668">
        <v>0</v>
      </c>
      <c r="G31" s="668">
        <v>0</v>
      </c>
      <c r="H31" s="669">
        <v>0</v>
      </c>
      <c r="I31" s="668">
        <v>0</v>
      </c>
      <c r="J31" s="669">
        <v>0</v>
      </c>
      <c r="K31" s="668">
        <v>0</v>
      </c>
      <c r="L31" s="668">
        <v>0</v>
      </c>
      <c r="M31" s="669">
        <v>0</v>
      </c>
      <c r="N31" s="668">
        <v>0</v>
      </c>
      <c r="O31" s="669">
        <v>0</v>
      </c>
      <c r="P31" s="668">
        <v>0</v>
      </c>
      <c r="Q31" s="668">
        <v>0</v>
      </c>
      <c r="R31" s="669">
        <v>0</v>
      </c>
      <c r="S31" s="668">
        <v>0</v>
      </c>
      <c r="T31" s="669">
        <v>0</v>
      </c>
      <c r="U31" s="668">
        <v>0</v>
      </c>
      <c r="V31" s="668">
        <v>0</v>
      </c>
      <c r="W31" s="669">
        <v>0</v>
      </c>
      <c r="X31" s="668">
        <v>0</v>
      </c>
      <c r="Y31" s="669">
        <v>0</v>
      </c>
      <c r="Z31" s="631"/>
      <c r="AA31" s="631"/>
      <c r="AB31" s="631"/>
      <c r="AC31" s="631"/>
      <c r="AD31" s="631"/>
      <c r="AE31" s="631"/>
      <c r="AF31" s="631"/>
      <c r="AG31" s="658"/>
      <c r="AH31" s="658"/>
    </row>
    <row r="32" spans="1:34">
      <c r="A32" s="640">
        <v>350</v>
      </c>
      <c r="B32" s="791" t="s">
        <v>603</v>
      </c>
      <c r="C32" s="645"/>
      <c r="D32" s="643" t="s">
        <v>602</v>
      </c>
      <c r="E32" s="644"/>
      <c r="F32" s="668">
        <v>0</v>
      </c>
      <c r="G32" s="668">
        <v>0</v>
      </c>
      <c r="H32" s="669">
        <v>0</v>
      </c>
      <c r="I32" s="668">
        <v>0</v>
      </c>
      <c r="J32" s="669">
        <v>0</v>
      </c>
      <c r="K32" s="668">
        <v>0</v>
      </c>
      <c r="L32" s="668">
        <v>0</v>
      </c>
      <c r="M32" s="669">
        <v>0</v>
      </c>
      <c r="N32" s="668">
        <v>0</v>
      </c>
      <c r="O32" s="669">
        <v>0</v>
      </c>
      <c r="P32" s="668">
        <v>0</v>
      </c>
      <c r="Q32" s="668">
        <v>0</v>
      </c>
      <c r="R32" s="669">
        <v>0</v>
      </c>
      <c r="S32" s="668">
        <v>0</v>
      </c>
      <c r="T32" s="669">
        <v>0</v>
      </c>
      <c r="U32" s="668">
        <v>0</v>
      </c>
      <c r="V32" s="668">
        <v>0</v>
      </c>
      <c r="W32" s="669">
        <v>0</v>
      </c>
      <c r="X32" s="668">
        <v>0</v>
      </c>
      <c r="Y32" s="669">
        <v>0</v>
      </c>
      <c r="Z32" s="631"/>
      <c r="AA32" s="631"/>
      <c r="AB32" s="631"/>
      <c r="AC32" s="631"/>
      <c r="AD32" s="631"/>
      <c r="AE32" s="631"/>
      <c r="AF32" s="631"/>
      <c r="AG32" s="658"/>
      <c r="AH32" s="658"/>
    </row>
    <row r="33" spans="1:34">
      <c r="A33" s="640">
        <v>360</v>
      </c>
      <c r="B33" s="789" t="s">
        <v>604</v>
      </c>
      <c r="C33" s="643"/>
      <c r="D33" s="643" t="s">
        <v>602</v>
      </c>
      <c r="E33" s="644"/>
      <c r="F33" s="1153">
        <v>0</v>
      </c>
      <c r="G33" s="1153">
        <v>0</v>
      </c>
      <c r="H33" s="1153">
        <v>0</v>
      </c>
      <c r="I33" s="1153">
        <v>0</v>
      </c>
      <c r="J33" s="1153">
        <f>J149</f>
        <v>0</v>
      </c>
      <c r="K33" s="1153">
        <f t="shared" ref="K33:Y33" si="4">K149</f>
        <v>0</v>
      </c>
      <c r="L33" s="1153">
        <f t="shared" si="4"/>
        <v>0</v>
      </c>
      <c r="M33" s="1153">
        <f t="shared" si="4"/>
        <v>0</v>
      </c>
      <c r="N33" s="1153">
        <f t="shared" si="4"/>
        <v>0</v>
      </c>
      <c r="O33" s="1153">
        <f t="shared" si="4"/>
        <v>0</v>
      </c>
      <c r="P33" s="1153">
        <f t="shared" si="4"/>
        <v>0</v>
      </c>
      <c r="Q33" s="1153">
        <f t="shared" si="4"/>
        <v>0</v>
      </c>
      <c r="R33" s="1153">
        <f t="shared" si="4"/>
        <v>0</v>
      </c>
      <c r="S33" s="1153">
        <f t="shared" si="4"/>
        <v>0</v>
      </c>
      <c r="T33" s="1153">
        <f t="shared" si="4"/>
        <v>0</v>
      </c>
      <c r="U33" s="1153">
        <f t="shared" si="4"/>
        <v>0</v>
      </c>
      <c r="V33" s="1153">
        <f t="shared" si="4"/>
        <v>0</v>
      </c>
      <c r="W33" s="1153">
        <f t="shared" si="4"/>
        <v>0</v>
      </c>
      <c r="X33" s="1153">
        <f t="shared" si="4"/>
        <v>0</v>
      </c>
      <c r="Y33" s="1153">
        <f t="shared" si="4"/>
        <v>0</v>
      </c>
      <c r="Z33" s="631"/>
      <c r="AA33" s="631"/>
      <c r="AB33" s="631"/>
      <c r="AC33" s="631"/>
      <c r="AD33" s="631"/>
      <c r="AE33" s="631"/>
      <c r="AF33" s="631"/>
      <c r="AG33" s="658"/>
      <c r="AH33" s="658"/>
    </row>
    <row r="34" spans="1:34">
      <c r="A34" s="640">
        <v>370</v>
      </c>
      <c r="B34" s="792" t="s">
        <v>608</v>
      </c>
      <c r="C34" s="646"/>
      <c r="D34" s="646"/>
      <c r="E34" s="647"/>
      <c r="F34" s="671"/>
      <c r="G34" s="671"/>
      <c r="H34" s="671"/>
      <c r="I34" s="671"/>
      <c r="J34" s="671"/>
      <c r="K34" s="671"/>
      <c r="L34" s="671"/>
      <c r="M34" s="671"/>
      <c r="N34" s="671"/>
      <c r="O34" s="671"/>
      <c r="P34" s="671"/>
      <c r="Q34" s="671"/>
      <c r="R34" s="671"/>
      <c r="S34" s="671"/>
      <c r="T34" s="671"/>
      <c r="U34" s="671"/>
      <c r="V34" s="671"/>
      <c r="W34" s="671"/>
      <c r="X34" s="671"/>
      <c r="Y34" s="671"/>
      <c r="Z34" s="631"/>
      <c r="AA34" s="631"/>
      <c r="AB34" s="631"/>
      <c r="AC34" s="631"/>
      <c r="AD34" s="631"/>
      <c r="AE34" s="631"/>
      <c r="AF34" s="631"/>
      <c r="AG34" s="658"/>
      <c r="AH34" s="658"/>
    </row>
    <row r="35" spans="1:34">
      <c r="A35" s="640">
        <v>380</v>
      </c>
      <c r="B35" s="789" t="s">
        <v>115</v>
      </c>
      <c r="C35" s="643" t="s">
        <v>116</v>
      </c>
      <c r="D35" s="643"/>
      <c r="E35" s="644"/>
      <c r="F35" s="668">
        <v>0</v>
      </c>
      <c r="G35" s="668">
        <v>0</v>
      </c>
      <c r="H35" s="668">
        <v>0</v>
      </c>
      <c r="I35" s="668">
        <v>0</v>
      </c>
      <c r="J35" s="669">
        <v>0</v>
      </c>
      <c r="K35" s="668">
        <v>0</v>
      </c>
      <c r="L35" s="668">
        <v>0</v>
      </c>
      <c r="M35" s="668">
        <v>0</v>
      </c>
      <c r="N35" s="668">
        <v>0</v>
      </c>
      <c r="O35" s="669">
        <v>0</v>
      </c>
      <c r="P35" s="668">
        <v>0</v>
      </c>
      <c r="Q35" s="668">
        <v>0</v>
      </c>
      <c r="R35" s="668">
        <v>0</v>
      </c>
      <c r="S35" s="668">
        <v>0</v>
      </c>
      <c r="T35" s="669">
        <v>0</v>
      </c>
      <c r="U35" s="668">
        <v>0</v>
      </c>
      <c r="V35" s="668">
        <v>0</v>
      </c>
      <c r="W35" s="668">
        <v>0</v>
      </c>
      <c r="X35" s="668">
        <v>0</v>
      </c>
      <c r="Y35" s="669">
        <v>0</v>
      </c>
      <c r="Z35" s="631"/>
      <c r="AA35" s="631"/>
      <c r="AB35" s="631"/>
      <c r="AC35" s="631"/>
      <c r="AD35" s="631"/>
      <c r="AE35" s="631"/>
      <c r="AF35" s="631"/>
      <c r="AG35" s="658"/>
      <c r="AH35" s="658"/>
    </row>
    <row r="36" spans="1:34">
      <c r="A36" s="640">
        <v>390</v>
      </c>
      <c r="B36" s="791" t="s">
        <v>79</v>
      </c>
      <c r="C36" s="643">
        <v>154</v>
      </c>
      <c r="D36" s="643"/>
      <c r="E36" s="644"/>
      <c r="F36" s="814">
        <v>0</v>
      </c>
      <c r="G36" s="668">
        <v>0</v>
      </c>
      <c r="H36" s="668">
        <v>0</v>
      </c>
      <c r="I36" s="668">
        <v>0</v>
      </c>
      <c r="J36" s="669">
        <v>0</v>
      </c>
      <c r="K36" s="814">
        <v>0</v>
      </c>
      <c r="L36" s="668">
        <v>0</v>
      </c>
      <c r="M36" s="668">
        <v>0</v>
      </c>
      <c r="N36" s="668">
        <v>0</v>
      </c>
      <c r="O36" s="669">
        <v>0</v>
      </c>
      <c r="P36" s="814">
        <v>0</v>
      </c>
      <c r="Q36" s="668">
        <v>0</v>
      </c>
      <c r="R36" s="668">
        <v>0</v>
      </c>
      <c r="S36" s="668">
        <v>0</v>
      </c>
      <c r="T36" s="669">
        <v>0</v>
      </c>
      <c r="U36" s="814">
        <v>0</v>
      </c>
      <c r="V36" s="668">
        <v>0</v>
      </c>
      <c r="W36" s="668">
        <v>0</v>
      </c>
      <c r="X36" s="668">
        <v>0</v>
      </c>
      <c r="Y36" s="669">
        <v>0</v>
      </c>
      <c r="Z36" s="631"/>
      <c r="AA36" s="631"/>
      <c r="AB36" s="631"/>
      <c r="AC36" s="631"/>
      <c r="AD36" s="631"/>
      <c r="AE36" s="631"/>
      <c r="AF36" s="631"/>
      <c r="AG36" s="658"/>
      <c r="AH36" s="658"/>
    </row>
    <row r="37" spans="1:34">
      <c r="A37" s="640">
        <v>400</v>
      </c>
      <c r="B37" s="792" t="s">
        <v>609</v>
      </c>
      <c r="C37" s="646"/>
      <c r="D37" s="646"/>
      <c r="E37" s="647"/>
      <c r="F37" s="671"/>
      <c r="G37" s="671"/>
      <c r="H37" s="671"/>
      <c r="I37" s="671"/>
      <c r="J37" s="671"/>
      <c r="K37" s="671"/>
      <c r="L37" s="671"/>
      <c r="M37" s="671"/>
      <c r="N37" s="671"/>
      <c r="O37" s="671"/>
      <c r="P37" s="671"/>
      <c r="Q37" s="671"/>
      <c r="R37" s="671"/>
      <c r="S37" s="671"/>
      <c r="T37" s="671"/>
      <c r="U37" s="671"/>
      <c r="V37" s="671"/>
      <c r="W37" s="671"/>
      <c r="X37" s="671"/>
      <c r="Y37" s="671"/>
      <c r="Z37" s="631"/>
      <c r="AA37" s="631"/>
      <c r="AB37" s="631"/>
      <c r="AC37" s="631"/>
      <c r="AD37" s="631"/>
      <c r="AE37" s="631"/>
      <c r="AF37" s="631"/>
      <c r="AG37" s="658"/>
      <c r="AH37" s="658"/>
    </row>
    <row r="38" spans="1:34">
      <c r="A38" s="640">
        <v>410</v>
      </c>
      <c r="B38" s="794" t="s">
        <v>86</v>
      </c>
      <c r="C38" s="643" t="s">
        <v>610</v>
      </c>
      <c r="D38" s="643"/>
      <c r="E38" s="649"/>
      <c r="F38" s="668">
        <v>0</v>
      </c>
      <c r="G38" s="668">
        <v>0</v>
      </c>
      <c r="H38" s="668">
        <v>0</v>
      </c>
      <c r="I38" s="669">
        <v>0</v>
      </c>
      <c r="J38" s="669">
        <v>0</v>
      </c>
      <c r="K38" s="668">
        <v>0</v>
      </c>
      <c r="L38" s="668">
        <v>0</v>
      </c>
      <c r="M38" s="668">
        <v>0</v>
      </c>
      <c r="N38" s="669">
        <v>0</v>
      </c>
      <c r="O38" s="669">
        <v>0</v>
      </c>
      <c r="P38" s="668">
        <v>0</v>
      </c>
      <c r="Q38" s="668">
        <v>0</v>
      </c>
      <c r="R38" s="668">
        <v>0</v>
      </c>
      <c r="S38" s="669">
        <v>0</v>
      </c>
      <c r="T38" s="669">
        <v>0</v>
      </c>
      <c r="U38" s="668">
        <v>0</v>
      </c>
      <c r="V38" s="668">
        <v>0</v>
      </c>
      <c r="W38" s="668">
        <v>0</v>
      </c>
      <c r="X38" s="669">
        <v>0</v>
      </c>
      <c r="Y38" s="669">
        <v>0</v>
      </c>
      <c r="Z38" s="631"/>
      <c r="AA38" s="631"/>
      <c r="AB38" s="631"/>
      <c r="AC38" s="631"/>
      <c r="AD38" s="631"/>
      <c r="AE38" s="631"/>
      <c r="AF38" s="631"/>
      <c r="AG38" s="658"/>
      <c r="AH38" s="658"/>
    </row>
    <row r="39" spans="1:34">
      <c r="A39" s="640">
        <v>420</v>
      </c>
      <c r="B39" s="794" t="s">
        <v>87</v>
      </c>
      <c r="C39" s="643" t="s">
        <v>611</v>
      </c>
      <c r="D39" s="643"/>
      <c r="E39" s="649"/>
      <c r="F39" s="668">
        <v>0</v>
      </c>
      <c r="G39" s="668">
        <v>0</v>
      </c>
      <c r="H39" s="668">
        <v>0</v>
      </c>
      <c r="I39" s="669">
        <v>0</v>
      </c>
      <c r="J39" s="669">
        <v>0</v>
      </c>
      <c r="K39" s="668">
        <v>0</v>
      </c>
      <c r="L39" s="668">
        <v>0</v>
      </c>
      <c r="M39" s="668">
        <v>0</v>
      </c>
      <c r="N39" s="669">
        <v>0</v>
      </c>
      <c r="O39" s="669">
        <v>0</v>
      </c>
      <c r="P39" s="668">
        <v>0</v>
      </c>
      <c r="Q39" s="668">
        <v>0</v>
      </c>
      <c r="R39" s="668">
        <v>0</v>
      </c>
      <c r="S39" s="669">
        <v>0</v>
      </c>
      <c r="T39" s="669">
        <v>0</v>
      </c>
      <c r="U39" s="668">
        <v>0</v>
      </c>
      <c r="V39" s="668">
        <v>0</v>
      </c>
      <c r="W39" s="668">
        <v>0</v>
      </c>
      <c r="X39" s="669">
        <v>0</v>
      </c>
      <c r="Y39" s="669">
        <v>0</v>
      </c>
      <c r="Z39" s="631"/>
      <c r="AA39" s="631"/>
      <c r="AB39" s="631"/>
      <c r="AC39" s="631"/>
      <c r="AD39" s="631"/>
      <c r="AE39" s="631"/>
      <c r="AF39" s="631"/>
      <c r="AG39" s="658"/>
      <c r="AH39" s="658"/>
    </row>
    <row r="40" spans="1:34">
      <c r="A40" s="640">
        <v>430</v>
      </c>
      <c r="B40" s="794" t="s">
        <v>167</v>
      </c>
      <c r="C40" s="643">
        <v>924</v>
      </c>
      <c r="D40" s="643"/>
      <c r="E40" s="649"/>
      <c r="F40" s="668">
        <v>0</v>
      </c>
      <c r="G40" s="668">
        <v>0</v>
      </c>
      <c r="H40" s="669">
        <v>0</v>
      </c>
      <c r="I40" s="669">
        <v>0</v>
      </c>
      <c r="J40" s="669">
        <v>0</v>
      </c>
      <c r="K40" s="668">
        <v>0</v>
      </c>
      <c r="L40" s="668">
        <v>0</v>
      </c>
      <c r="M40" s="669">
        <v>0</v>
      </c>
      <c r="N40" s="669">
        <v>0</v>
      </c>
      <c r="O40" s="669">
        <v>0</v>
      </c>
      <c r="P40" s="668">
        <v>0</v>
      </c>
      <c r="Q40" s="668">
        <v>0</v>
      </c>
      <c r="R40" s="669">
        <v>0</v>
      </c>
      <c r="S40" s="669">
        <v>0</v>
      </c>
      <c r="T40" s="669">
        <v>0</v>
      </c>
      <c r="U40" s="668">
        <v>0</v>
      </c>
      <c r="V40" s="668">
        <v>0</v>
      </c>
      <c r="W40" s="669">
        <v>0</v>
      </c>
      <c r="X40" s="669">
        <v>0</v>
      </c>
      <c r="Y40" s="669">
        <v>0</v>
      </c>
      <c r="Z40" s="631"/>
      <c r="AA40" s="631"/>
      <c r="AB40" s="631"/>
      <c r="AC40" s="631"/>
      <c r="AD40" s="631"/>
      <c r="AE40" s="631"/>
      <c r="AF40" s="631"/>
      <c r="AG40" s="658"/>
      <c r="AH40" s="658"/>
    </row>
    <row r="41" spans="1:34">
      <c r="A41" s="640">
        <v>520</v>
      </c>
      <c r="B41" s="789" t="s">
        <v>601</v>
      </c>
      <c r="C41" s="643">
        <v>447</v>
      </c>
      <c r="D41" s="643" t="s">
        <v>602</v>
      </c>
      <c r="E41" s="644"/>
      <c r="F41" s="668">
        <v>0</v>
      </c>
      <c r="G41" s="668">
        <v>0</v>
      </c>
      <c r="H41" s="668">
        <v>0</v>
      </c>
      <c r="I41" s="669">
        <v>0</v>
      </c>
      <c r="J41" s="669">
        <v>0</v>
      </c>
      <c r="K41" s="668">
        <v>0</v>
      </c>
      <c r="L41" s="668">
        <v>0</v>
      </c>
      <c r="M41" s="668">
        <v>0</v>
      </c>
      <c r="N41" s="669">
        <v>0</v>
      </c>
      <c r="O41" s="669">
        <v>0</v>
      </c>
      <c r="P41" s="668">
        <v>0</v>
      </c>
      <c r="Q41" s="668">
        <v>0</v>
      </c>
      <c r="R41" s="668">
        <v>0</v>
      </c>
      <c r="S41" s="669">
        <v>0</v>
      </c>
      <c r="T41" s="669">
        <v>0</v>
      </c>
      <c r="U41" s="668">
        <v>0</v>
      </c>
      <c r="V41" s="668">
        <v>0</v>
      </c>
      <c r="W41" s="668">
        <v>0</v>
      </c>
      <c r="X41" s="669">
        <v>0</v>
      </c>
      <c r="Y41" s="669">
        <v>0</v>
      </c>
      <c r="Z41" s="631"/>
      <c r="AA41" s="631"/>
      <c r="AB41" s="631"/>
      <c r="AC41" s="631"/>
      <c r="AD41" s="631"/>
      <c r="AE41" s="631"/>
      <c r="AF41" s="631"/>
      <c r="AG41" s="658"/>
      <c r="AH41" s="658"/>
    </row>
    <row r="42" spans="1:34">
      <c r="A42" s="640">
        <v>530</v>
      </c>
      <c r="B42" s="791" t="s">
        <v>603</v>
      </c>
      <c r="C42" s="645"/>
      <c r="D42" s="643" t="s">
        <v>602</v>
      </c>
      <c r="E42" s="644"/>
      <c r="F42" s="668">
        <v>0</v>
      </c>
      <c r="G42" s="668">
        <v>0</v>
      </c>
      <c r="H42" s="668">
        <v>0</v>
      </c>
      <c r="I42" s="669">
        <v>0</v>
      </c>
      <c r="J42" s="669">
        <v>0</v>
      </c>
      <c r="K42" s="668">
        <v>0</v>
      </c>
      <c r="L42" s="668">
        <v>0</v>
      </c>
      <c r="M42" s="668">
        <v>0</v>
      </c>
      <c r="N42" s="669">
        <v>0</v>
      </c>
      <c r="O42" s="669">
        <v>0</v>
      </c>
      <c r="P42" s="668">
        <v>0</v>
      </c>
      <c r="Q42" s="668">
        <v>0</v>
      </c>
      <c r="R42" s="668">
        <v>0</v>
      </c>
      <c r="S42" s="669">
        <v>0</v>
      </c>
      <c r="T42" s="669">
        <v>0</v>
      </c>
      <c r="U42" s="668">
        <v>0</v>
      </c>
      <c r="V42" s="668">
        <v>0</v>
      </c>
      <c r="W42" s="668">
        <v>0</v>
      </c>
      <c r="X42" s="669">
        <v>0</v>
      </c>
      <c r="Y42" s="669">
        <v>0</v>
      </c>
      <c r="Z42" s="631"/>
      <c r="AA42" s="631"/>
      <c r="AB42" s="631"/>
      <c r="AC42" s="631"/>
      <c r="AD42" s="631"/>
      <c r="AE42" s="631"/>
      <c r="AF42" s="631"/>
      <c r="AG42" s="658"/>
      <c r="AH42" s="658"/>
    </row>
    <row r="43" spans="1:34">
      <c r="A43" s="640">
        <v>540</v>
      </c>
      <c r="B43" s="789" t="s">
        <v>604</v>
      </c>
      <c r="C43" s="643"/>
      <c r="D43" s="643" t="s">
        <v>602</v>
      </c>
      <c r="E43" s="644"/>
      <c r="F43" s="1153">
        <v>0</v>
      </c>
      <c r="G43" s="1153">
        <v>0</v>
      </c>
      <c r="H43" s="1153">
        <v>0</v>
      </c>
      <c r="I43" s="1153">
        <v>0</v>
      </c>
      <c r="J43" s="1153">
        <f>J158</f>
        <v>0</v>
      </c>
      <c r="K43" s="1153">
        <f t="shared" ref="K43:Y43" si="5">K158</f>
        <v>0</v>
      </c>
      <c r="L43" s="1153">
        <f t="shared" si="5"/>
        <v>0</v>
      </c>
      <c r="M43" s="1153">
        <f t="shared" si="5"/>
        <v>0</v>
      </c>
      <c r="N43" s="1153">
        <f t="shared" si="5"/>
        <v>0</v>
      </c>
      <c r="O43" s="1153">
        <f t="shared" si="5"/>
        <v>0</v>
      </c>
      <c r="P43" s="1153">
        <f t="shared" si="5"/>
        <v>0</v>
      </c>
      <c r="Q43" s="1153">
        <f t="shared" si="5"/>
        <v>0</v>
      </c>
      <c r="R43" s="1153">
        <f t="shared" si="5"/>
        <v>0</v>
      </c>
      <c r="S43" s="1153">
        <f t="shared" si="5"/>
        <v>0</v>
      </c>
      <c r="T43" s="1153">
        <f t="shared" si="5"/>
        <v>0</v>
      </c>
      <c r="U43" s="1153">
        <f t="shared" si="5"/>
        <v>0</v>
      </c>
      <c r="V43" s="1153">
        <f t="shared" si="5"/>
        <v>0</v>
      </c>
      <c r="W43" s="1153">
        <f t="shared" si="5"/>
        <v>0</v>
      </c>
      <c r="X43" s="1153">
        <f t="shared" si="5"/>
        <v>0</v>
      </c>
      <c r="Y43" s="1153">
        <f t="shared" si="5"/>
        <v>0</v>
      </c>
      <c r="Z43" s="631"/>
      <c r="AA43" s="631"/>
      <c r="AB43" s="631"/>
      <c r="AC43" s="631"/>
      <c r="AD43" s="631"/>
      <c r="AE43" s="631"/>
      <c r="AF43" s="631"/>
      <c r="AG43" s="658"/>
      <c r="AH43" s="658"/>
    </row>
    <row r="44" spans="1:34">
      <c r="A44" s="640">
        <v>440</v>
      </c>
      <c r="B44" s="796" t="s">
        <v>599</v>
      </c>
      <c r="C44" s="646"/>
      <c r="D44" s="646"/>
      <c r="E44" s="647"/>
      <c r="F44" s="671"/>
      <c r="G44" s="671"/>
      <c r="H44" s="671"/>
      <c r="I44" s="671"/>
      <c r="J44" s="671"/>
      <c r="K44" s="671"/>
      <c r="L44" s="671"/>
      <c r="M44" s="671"/>
      <c r="N44" s="671"/>
      <c r="O44" s="671"/>
      <c r="P44" s="671"/>
      <c r="Q44" s="671"/>
      <c r="R44" s="671"/>
      <c r="S44" s="671"/>
      <c r="T44" s="671"/>
      <c r="U44" s="671"/>
      <c r="V44" s="671"/>
      <c r="W44" s="671"/>
      <c r="X44" s="671"/>
      <c r="Y44" s="671"/>
      <c r="Z44" s="631"/>
      <c r="AA44" s="631"/>
      <c r="AB44" s="631"/>
      <c r="AC44" s="631"/>
      <c r="AD44" s="631"/>
      <c r="AE44" s="631"/>
      <c r="AF44" s="631"/>
      <c r="AG44" s="658"/>
      <c r="AH44" s="658"/>
    </row>
    <row r="45" spans="1:34">
      <c r="A45" s="640">
        <v>450</v>
      </c>
      <c r="B45" s="794" t="s">
        <v>612</v>
      </c>
      <c r="C45" s="643">
        <v>403</v>
      </c>
      <c r="D45" s="643"/>
      <c r="E45" s="649"/>
      <c r="F45" s="668">
        <v>0</v>
      </c>
      <c r="G45" s="1266">
        <v>0</v>
      </c>
      <c r="H45" s="669">
        <v>0</v>
      </c>
      <c r="I45" s="668">
        <v>0</v>
      </c>
      <c r="J45" s="668">
        <v>0</v>
      </c>
      <c r="K45" s="668">
        <v>0</v>
      </c>
      <c r="L45" s="1266">
        <v>0</v>
      </c>
      <c r="M45" s="669">
        <v>0</v>
      </c>
      <c r="N45" s="668">
        <v>0</v>
      </c>
      <c r="O45" s="669">
        <v>0</v>
      </c>
      <c r="P45" s="668">
        <v>0</v>
      </c>
      <c r="Q45" s="1266">
        <v>0</v>
      </c>
      <c r="R45" s="669">
        <v>0</v>
      </c>
      <c r="S45" s="668">
        <v>0</v>
      </c>
      <c r="T45" s="669">
        <v>0</v>
      </c>
      <c r="U45" s="668">
        <v>0</v>
      </c>
      <c r="V45" s="1266">
        <v>0</v>
      </c>
      <c r="W45" s="669">
        <v>0</v>
      </c>
      <c r="X45" s="668">
        <v>0</v>
      </c>
      <c r="Y45" s="669">
        <v>0</v>
      </c>
      <c r="Z45" s="631"/>
      <c r="AA45" s="631"/>
      <c r="AB45" s="631"/>
      <c r="AC45" s="631"/>
      <c r="AD45" s="631"/>
      <c r="AE45" s="631"/>
      <c r="AF45" s="631"/>
      <c r="AG45" s="658"/>
      <c r="AH45" s="658"/>
    </row>
    <row r="46" spans="1:34">
      <c r="A46" s="640">
        <v>460</v>
      </c>
      <c r="B46" s="794" t="s">
        <v>613</v>
      </c>
      <c r="C46" s="645">
        <v>403</v>
      </c>
      <c r="D46" s="645"/>
      <c r="E46" s="649"/>
      <c r="F46" s="668">
        <v>0</v>
      </c>
      <c r="G46" s="1266">
        <v>0</v>
      </c>
      <c r="H46" s="669">
        <v>0</v>
      </c>
      <c r="I46" s="668">
        <v>0</v>
      </c>
      <c r="J46" s="668">
        <v>0</v>
      </c>
      <c r="K46" s="668">
        <v>0</v>
      </c>
      <c r="L46" s="1266">
        <v>0</v>
      </c>
      <c r="M46" s="669">
        <v>0</v>
      </c>
      <c r="N46" s="668">
        <v>0</v>
      </c>
      <c r="O46" s="669">
        <v>0</v>
      </c>
      <c r="P46" s="668">
        <v>0</v>
      </c>
      <c r="Q46" s="1266">
        <v>0</v>
      </c>
      <c r="R46" s="669">
        <v>0</v>
      </c>
      <c r="S46" s="668">
        <v>0</v>
      </c>
      <c r="T46" s="669">
        <v>0</v>
      </c>
      <c r="U46" s="668">
        <v>0</v>
      </c>
      <c r="V46" s="1266">
        <v>0</v>
      </c>
      <c r="W46" s="669">
        <v>0</v>
      </c>
      <c r="X46" s="668">
        <v>0</v>
      </c>
      <c r="Y46" s="669">
        <v>0</v>
      </c>
      <c r="Z46" s="631"/>
      <c r="AA46" s="631"/>
      <c r="AB46" s="631"/>
      <c r="AC46" s="631"/>
      <c r="AD46" s="631"/>
      <c r="AE46" s="631"/>
      <c r="AF46" s="631"/>
      <c r="AG46" s="658"/>
      <c r="AH46" s="658"/>
    </row>
    <row r="47" spans="1:34">
      <c r="A47" s="640">
        <v>470</v>
      </c>
      <c r="B47" s="792" t="s">
        <v>137</v>
      </c>
      <c r="C47" s="646"/>
      <c r="D47" s="646"/>
      <c r="E47" s="647"/>
      <c r="F47" s="671"/>
      <c r="G47" s="671"/>
      <c r="H47" s="1301"/>
      <c r="I47" s="671"/>
      <c r="J47" s="671"/>
      <c r="K47" s="671"/>
      <c r="L47" s="671"/>
      <c r="M47" s="1301"/>
      <c r="N47" s="671"/>
      <c r="O47" s="671"/>
      <c r="P47" s="671"/>
      <c r="Q47" s="671"/>
      <c r="R47" s="1301"/>
      <c r="S47" s="671"/>
      <c r="T47" s="671"/>
      <c r="U47" s="671"/>
      <c r="V47" s="671"/>
      <c r="W47" s="1301"/>
      <c r="X47" s="671"/>
      <c r="Y47" s="671"/>
      <c r="Z47" s="631"/>
      <c r="AA47" s="631"/>
      <c r="AB47" s="631"/>
      <c r="AC47" s="631"/>
      <c r="AD47" s="631"/>
      <c r="AE47" s="631"/>
      <c r="AF47" s="631"/>
      <c r="AG47" s="658"/>
      <c r="AH47" s="658"/>
    </row>
    <row r="48" spans="1:34">
      <c r="A48" s="640">
        <v>480</v>
      </c>
      <c r="B48" s="789" t="s">
        <v>117</v>
      </c>
      <c r="C48" s="645" t="s">
        <v>118</v>
      </c>
      <c r="D48" s="645"/>
      <c r="E48" s="644"/>
      <c r="F48" s="668">
        <v>0</v>
      </c>
      <c r="G48" s="1266">
        <v>0</v>
      </c>
      <c r="H48" s="669">
        <v>0</v>
      </c>
      <c r="I48" s="668">
        <v>0</v>
      </c>
      <c r="J48" s="669">
        <v>0</v>
      </c>
      <c r="K48" s="668">
        <v>0</v>
      </c>
      <c r="L48" s="1266">
        <v>0</v>
      </c>
      <c r="M48" s="669">
        <v>0</v>
      </c>
      <c r="N48" s="668">
        <v>0</v>
      </c>
      <c r="O48" s="669">
        <v>0</v>
      </c>
      <c r="P48" s="668">
        <v>0</v>
      </c>
      <c r="Q48" s="1266">
        <v>0</v>
      </c>
      <c r="R48" s="669">
        <v>0</v>
      </c>
      <c r="S48" s="668">
        <v>0</v>
      </c>
      <c r="T48" s="669">
        <v>0</v>
      </c>
      <c r="U48" s="668">
        <v>0</v>
      </c>
      <c r="V48" s="1266">
        <v>0</v>
      </c>
      <c r="W48" s="669">
        <v>0</v>
      </c>
      <c r="X48" s="668">
        <v>0</v>
      </c>
      <c r="Y48" s="669">
        <v>0</v>
      </c>
      <c r="Z48" s="631"/>
      <c r="AA48" s="631"/>
      <c r="AB48" s="631"/>
      <c r="AC48" s="631"/>
      <c r="AD48" s="631"/>
      <c r="AE48" s="631"/>
      <c r="AF48" s="631"/>
      <c r="AG48" s="658"/>
      <c r="AH48" s="658"/>
    </row>
    <row r="49" spans="1:34">
      <c r="A49" s="640">
        <v>490</v>
      </c>
      <c r="B49" s="789" t="s">
        <v>440</v>
      </c>
      <c r="C49" s="643">
        <v>151</v>
      </c>
      <c r="D49" s="643"/>
      <c r="E49" s="644"/>
      <c r="F49" s="668">
        <v>0</v>
      </c>
      <c r="G49" s="1266">
        <v>0</v>
      </c>
      <c r="H49" s="669">
        <v>0</v>
      </c>
      <c r="I49" s="668">
        <v>0</v>
      </c>
      <c r="J49" s="669">
        <v>0</v>
      </c>
      <c r="K49" s="668">
        <v>0</v>
      </c>
      <c r="L49" s="1266">
        <v>0</v>
      </c>
      <c r="M49" s="669">
        <v>0</v>
      </c>
      <c r="N49" s="668">
        <v>0</v>
      </c>
      <c r="O49" s="669">
        <v>0</v>
      </c>
      <c r="P49" s="668">
        <v>0</v>
      </c>
      <c r="Q49" s="1266">
        <v>0</v>
      </c>
      <c r="R49" s="669">
        <v>0</v>
      </c>
      <c r="S49" s="668">
        <v>0</v>
      </c>
      <c r="T49" s="669">
        <v>0</v>
      </c>
      <c r="U49" s="668">
        <v>0</v>
      </c>
      <c r="V49" s="1266">
        <v>0</v>
      </c>
      <c r="W49" s="669">
        <v>0</v>
      </c>
      <c r="X49" s="668">
        <v>0</v>
      </c>
      <c r="Y49" s="669">
        <v>0</v>
      </c>
      <c r="Z49" s="631"/>
      <c r="AA49" s="631"/>
      <c r="AB49" s="631"/>
      <c r="AC49" s="631"/>
      <c r="AD49" s="631"/>
      <c r="AE49" s="631"/>
      <c r="AF49" s="631"/>
      <c r="AG49" s="658"/>
      <c r="AH49" s="658"/>
    </row>
    <row r="50" spans="1:34">
      <c r="A50" s="640">
        <v>500</v>
      </c>
      <c r="B50" s="789" t="s">
        <v>79</v>
      </c>
      <c r="C50" s="645">
        <v>154</v>
      </c>
      <c r="D50" s="645"/>
      <c r="E50" s="644"/>
      <c r="F50" s="668">
        <v>0</v>
      </c>
      <c r="G50" s="1266">
        <v>0</v>
      </c>
      <c r="H50" s="669">
        <v>0</v>
      </c>
      <c r="I50" s="668">
        <v>0</v>
      </c>
      <c r="J50" s="669">
        <v>0</v>
      </c>
      <c r="K50" s="668">
        <v>0</v>
      </c>
      <c r="L50" s="1266">
        <v>0</v>
      </c>
      <c r="M50" s="669">
        <v>0</v>
      </c>
      <c r="N50" s="668">
        <v>0</v>
      </c>
      <c r="O50" s="669">
        <v>0</v>
      </c>
      <c r="P50" s="668">
        <v>0</v>
      </c>
      <c r="Q50" s="1266">
        <v>0</v>
      </c>
      <c r="R50" s="669">
        <v>0</v>
      </c>
      <c r="S50" s="668">
        <v>0</v>
      </c>
      <c r="T50" s="669">
        <v>0</v>
      </c>
      <c r="U50" s="668">
        <v>0</v>
      </c>
      <c r="V50" s="1266">
        <v>0</v>
      </c>
      <c r="W50" s="669">
        <v>0</v>
      </c>
      <c r="X50" s="668">
        <v>0</v>
      </c>
      <c r="Y50" s="669">
        <v>0</v>
      </c>
      <c r="Z50" s="631"/>
      <c r="AA50" s="631"/>
      <c r="AB50" s="631"/>
      <c r="AC50" s="631"/>
      <c r="AD50" s="631"/>
      <c r="AE50" s="631"/>
      <c r="AF50" s="631"/>
      <c r="AG50" s="658"/>
      <c r="AH50" s="658"/>
    </row>
    <row r="51" spans="1:34">
      <c r="A51" s="640">
        <v>510</v>
      </c>
      <c r="B51" s="789" t="s">
        <v>595</v>
      </c>
      <c r="C51" s="645" t="s">
        <v>596</v>
      </c>
      <c r="D51" s="645"/>
      <c r="E51" s="644"/>
      <c r="F51" s="668">
        <v>0</v>
      </c>
      <c r="G51" s="1266">
        <v>0</v>
      </c>
      <c r="H51" s="669">
        <v>0</v>
      </c>
      <c r="I51" s="668">
        <v>0</v>
      </c>
      <c r="J51" s="669">
        <v>0</v>
      </c>
      <c r="K51" s="668">
        <v>0</v>
      </c>
      <c r="L51" s="1266">
        <v>0</v>
      </c>
      <c r="M51" s="669">
        <v>0</v>
      </c>
      <c r="N51" s="668">
        <v>0</v>
      </c>
      <c r="O51" s="669">
        <v>0</v>
      </c>
      <c r="P51" s="668">
        <v>0</v>
      </c>
      <c r="Q51" s="1266">
        <v>0</v>
      </c>
      <c r="R51" s="669">
        <v>0</v>
      </c>
      <c r="S51" s="668">
        <v>0</v>
      </c>
      <c r="T51" s="669">
        <v>0</v>
      </c>
      <c r="U51" s="668">
        <v>0</v>
      </c>
      <c r="V51" s="1266">
        <v>0</v>
      </c>
      <c r="W51" s="669">
        <v>0</v>
      </c>
      <c r="X51" s="668">
        <v>0</v>
      </c>
      <c r="Y51" s="669">
        <v>0</v>
      </c>
      <c r="Z51" s="631"/>
      <c r="AA51" s="631"/>
      <c r="AB51" s="631"/>
      <c r="AC51" s="631"/>
      <c r="AD51" s="631"/>
      <c r="AE51" s="631"/>
      <c r="AF51" s="631"/>
      <c r="AG51" s="658"/>
      <c r="AH51" s="658"/>
    </row>
    <row r="52" spans="1:34">
      <c r="A52" s="640">
        <v>550</v>
      </c>
      <c r="B52" s="792" t="s">
        <v>614</v>
      </c>
      <c r="C52" s="646"/>
      <c r="D52" s="646"/>
      <c r="E52" s="647"/>
      <c r="F52" s="673"/>
      <c r="G52" s="673"/>
      <c r="H52" s="673"/>
      <c r="I52" s="673"/>
      <c r="J52" s="673"/>
      <c r="K52" s="673"/>
      <c r="L52" s="673"/>
      <c r="M52" s="673"/>
      <c r="N52" s="673"/>
      <c r="O52" s="673"/>
      <c r="P52" s="673"/>
      <c r="Q52" s="673"/>
      <c r="R52" s="673"/>
      <c r="S52" s="673"/>
      <c r="T52" s="673"/>
      <c r="U52" s="673"/>
      <c r="V52" s="673"/>
      <c r="W52" s="673"/>
      <c r="X52" s="673"/>
      <c r="Y52" s="673"/>
      <c r="Z52" s="631"/>
      <c r="AA52" s="631"/>
      <c r="AB52" s="631"/>
      <c r="AC52" s="631"/>
      <c r="AD52" s="631"/>
      <c r="AE52" s="631"/>
      <c r="AF52" s="631"/>
      <c r="AG52" s="658"/>
      <c r="AH52" s="658"/>
    </row>
    <row r="53" spans="1:34">
      <c r="A53" s="640">
        <v>560</v>
      </c>
      <c r="B53" s="789" t="s">
        <v>455</v>
      </c>
      <c r="C53" s="645">
        <v>547</v>
      </c>
      <c r="D53" s="645"/>
      <c r="E53" s="644"/>
      <c r="F53" s="1153">
        <f t="shared" ref="F53:O53" si="6">F168+F177</f>
        <v>0</v>
      </c>
      <c r="G53" s="1300">
        <f t="shared" si="6"/>
        <v>0</v>
      </c>
      <c r="H53" s="1302">
        <f t="shared" si="6"/>
        <v>0</v>
      </c>
      <c r="I53" s="1153">
        <f t="shared" si="6"/>
        <v>0</v>
      </c>
      <c r="J53" s="1153">
        <f>J168+J177</f>
        <v>0</v>
      </c>
      <c r="K53" s="1153">
        <f t="shared" si="6"/>
        <v>0</v>
      </c>
      <c r="L53" s="1300">
        <f t="shared" si="6"/>
        <v>0</v>
      </c>
      <c r="M53" s="1302">
        <f t="shared" si="6"/>
        <v>0</v>
      </c>
      <c r="N53" s="1153">
        <f t="shared" si="6"/>
        <v>0</v>
      </c>
      <c r="O53" s="1153">
        <f t="shared" si="6"/>
        <v>0</v>
      </c>
      <c r="P53" s="1153">
        <f t="shared" ref="P53:Y53" si="7">P168+P177</f>
        <v>0</v>
      </c>
      <c r="Q53" s="1300">
        <f t="shared" si="7"/>
        <v>0</v>
      </c>
      <c r="R53" s="1302">
        <f t="shared" si="7"/>
        <v>0</v>
      </c>
      <c r="S53" s="1153">
        <f t="shared" si="7"/>
        <v>0</v>
      </c>
      <c r="T53" s="1153">
        <f t="shared" si="7"/>
        <v>0</v>
      </c>
      <c r="U53" s="1153">
        <f t="shared" si="7"/>
        <v>0</v>
      </c>
      <c r="V53" s="1300">
        <f t="shared" si="7"/>
        <v>0</v>
      </c>
      <c r="W53" s="1302">
        <f t="shared" si="7"/>
        <v>0</v>
      </c>
      <c r="X53" s="1153">
        <f t="shared" si="7"/>
        <v>0</v>
      </c>
      <c r="Y53" s="1153">
        <f t="shared" si="7"/>
        <v>0</v>
      </c>
      <c r="Z53" s="631"/>
      <c r="AA53" s="631"/>
      <c r="AB53" s="631"/>
      <c r="AC53" s="631"/>
      <c r="AD53" s="631"/>
      <c r="AE53" s="631"/>
      <c r="AF53" s="631"/>
      <c r="AG53" s="658"/>
      <c r="AH53" s="658"/>
    </row>
    <row r="54" spans="1:34">
      <c r="A54" s="640">
        <v>570</v>
      </c>
      <c r="B54" s="789" t="s">
        <v>263</v>
      </c>
      <c r="C54" s="645" t="s">
        <v>615</v>
      </c>
      <c r="D54" s="645"/>
      <c r="E54" s="644"/>
      <c r="F54" s="668">
        <v>0</v>
      </c>
      <c r="G54" s="1266">
        <v>0</v>
      </c>
      <c r="H54" s="669">
        <v>0</v>
      </c>
      <c r="I54" s="668">
        <v>0</v>
      </c>
      <c r="J54" s="669">
        <v>0</v>
      </c>
      <c r="K54" s="668">
        <v>0</v>
      </c>
      <c r="L54" s="1266">
        <v>0</v>
      </c>
      <c r="M54" s="669">
        <v>0</v>
      </c>
      <c r="N54" s="668">
        <v>0</v>
      </c>
      <c r="O54" s="669">
        <v>0</v>
      </c>
      <c r="P54" s="668">
        <v>0</v>
      </c>
      <c r="Q54" s="1266">
        <v>0</v>
      </c>
      <c r="R54" s="669">
        <v>0</v>
      </c>
      <c r="S54" s="668">
        <v>0</v>
      </c>
      <c r="T54" s="669">
        <v>0</v>
      </c>
      <c r="U54" s="668">
        <v>0</v>
      </c>
      <c r="V54" s="1266">
        <v>0</v>
      </c>
      <c r="W54" s="669">
        <v>0</v>
      </c>
      <c r="X54" s="668">
        <v>0</v>
      </c>
      <c r="Y54" s="669">
        <v>0</v>
      </c>
      <c r="Z54" s="631"/>
      <c r="AA54" s="631"/>
      <c r="AB54" s="631"/>
      <c r="AC54" s="631"/>
      <c r="AD54" s="631"/>
      <c r="AE54" s="631"/>
      <c r="AF54" s="631"/>
      <c r="AG54" s="658"/>
      <c r="AH54" s="658"/>
    </row>
    <row r="55" spans="1:34">
      <c r="A55" s="640">
        <v>580</v>
      </c>
      <c r="B55" s="791" t="s">
        <v>265</v>
      </c>
      <c r="C55" s="643" t="s">
        <v>616</v>
      </c>
      <c r="D55" s="643"/>
      <c r="E55" s="644"/>
      <c r="F55" s="668">
        <v>0</v>
      </c>
      <c r="G55" s="1266">
        <v>0</v>
      </c>
      <c r="H55" s="669">
        <v>0</v>
      </c>
      <c r="I55" s="668">
        <v>0</v>
      </c>
      <c r="J55" s="669">
        <v>0</v>
      </c>
      <c r="K55" s="668">
        <v>0</v>
      </c>
      <c r="L55" s="1266">
        <v>0</v>
      </c>
      <c r="M55" s="669">
        <v>0</v>
      </c>
      <c r="N55" s="668">
        <v>0</v>
      </c>
      <c r="O55" s="669">
        <v>0</v>
      </c>
      <c r="P55" s="668">
        <v>0</v>
      </c>
      <c r="Q55" s="1266">
        <v>0</v>
      </c>
      <c r="R55" s="669">
        <v>0</v>
      </c>
      <c r="S55" s="668">
        <v>0</v>
      </c>
      <c r="T55" s="669">
        <v>0</v>
      </c>
      <c r="U55" s="668">
        <v>0</v>
      </c>
      <c r="V55" s="1266">
        <v>0</v>
      </c>
      <c r="W55" s="669">
        <v>0</v>
      </c>
      <c r="X55" s="668">
        <v>0</v>
      </c>
      <c r="Y55" s="669">
        <v>0</v>
      </c>
      <c r="Z55" s="631"/>
      <c r="AA55" s="631"/>
      <c r="AB55" s="631"/>
      <c r="AC55" s="631"/>
      <c r="AD55" s="631"/>
      <c r="AE55" s="631"/>
      <c r="AF55" s="631"/>
      <c r="AG55" s="658"/>
      <c r="AH55" s="658"/>
    </row>
    <row r="56" spans="1:34">
      <c r="A56" s="640">
        <v>590</v>
      </c>
      <c r="B56" s="789" t="s">
        <v>167</v>
      </c>
      <c r="C56" s="645">
        <v>924</v>
      </c>
      <c r="D56" s="645"/>
      <c r="E56" s="644"/>
      <c r="F56" s="668">
        <v>0</v>
      </c>
      <c r="G56" s="1266">
        <v>0</v>
      </c>
      <c r="H56" s="669">
        <v>0</v>
      </c>
      <c r="I56" s="668">
        <v>0</v>
      </c>
      <c r="J56" s="669">
        <v>0</v>
      </c>
      <c r="K56" s="668">
        <v>0</v>
      </c>
      <c r="L56" s="1266">
        <v>0</v>
      </c>
      <c r="M56" s="669">
        <v>0</v>
      </c>
      <c r="N56" s="668">
        <v>0</v>
      </c>
      <c r="O56" s="669">
        <v>0</v>
      </c>
      <c r="P56" s="668">
        <v>0</v>
      </c>
      <c r="Q56" s="1266">
        <v>0</v>
      </c>
      <c r="R56" s="669">
        <v>0</v>
      </c>
      <c r="S56" s="668">
        <v>0</v>
      </c>
      <c r="T56" s="669">
        <v>0</v>
      </c>
      <c r="U56" s="668">
        <v>0</v>
      </c>
      <c r="V56" s="1266">
        <v>0</v>
      </c>
      <c r="W56" s="669">
        <v>0</v>
      </c>
      <c r="X56" s="668">
        <v>0</v>
      </c>
      <c r="Y56" s="669">
        <v>0</v>
      </c>
      <c r="Z56" s="631"/>
      <c r="AA56" s="631"/>
      <c r="AB56" s="631"/>
      <c r="AC56" s="631"/>
      <c r="AD56" s="631"/>
      <c r="AE56" s="631"/>
      <c r="AF56" s="631"/>
      <c r="AG56" s="658"/>
      <c r="AH56" s="658"/>
    </row>
    <row r="57" spans="1:34">
      <c r="A57" s="640">
        <v>600</v>
      </c>
      <c r="B57" s="789" t="s">
        <v>599</v>
      </c>
      <c r="C57" s="643">
        <v>403</v>
      </c>
      <c r="D57" s="643" t="s">
        <v>600</v>
      </c>
      <c r="E57" s="644"/>
      <c r="F57" s="668">
        <v>0</v>
      </c>
      <c r="G57" s="1266">
        <v>0</v>
      </c>
      <c r="H57" s="669">
        <v>0</v>
      </c>
      <c r="I57" s="668">
        <v>0</v>
      </c>
      <c r="J57" s="669">
        <v>0</v>
      </c>
      <c r="K57" s="668">
        <v>0</v>
      </c>
      <c r="L57" s="1266">
        <v>0</v>
      </c>
      <c r="M57" s="669">
        <v>0</v>
      </c>
      <c r="N57" s="668">
        <v>0</v>
      </c>
      <c r="O57" s="669">
        <v>0</v>
      </c>
      <c r="P57" s="668">
        <v>0</v>
      </c>
      <c r="Q57" s="1266">
        <v>0</v>
      </c>
      <c r="R57" s="669">
        <v>0</v>
      </c>
      <c r="S57" s="668">
        <v>0</v>
      </c>
      <c r="T57" s="669">
        <v>0</v>
      </c>
      <c r="U57" s="668">
        <v>0</v>
      </c>
      <c r="V57" s="1266">
        <v>0</v>
      </c>
      <c r="W57" s="669">
        <v>0</v>
      </c>
      <c r="X57" s="668">
        <v>0</v>
      </c>
      <c r="Y57" s="669">
        <v>0</v>
      </c>
      <c r="Z57" s="631"/>
      <c r="AA57" s="631"/>
      <c r="AB57" s="631"/>
      <c r="AC57" s="631"/>
      <c r="AD57" s="631"/>
      <c r="AE57" s="631"/>
      <c r="AF57" s="631"/>
      <c r="AG57" s="658"/>
      <c r="AH57" s="658"/>
    </row>
    <row r="58" spans="1:34">
      <c r="A58" s="640">
        <v>610</v>
      </c>
      <c r="B58" s="789" t="s">
        <v>601</v>
      </c>
      <c r="C58" s="643">
        <v>447</v>
      </c>
      <c r="D58" s="643" t="s">
        <v>602</v>
      </c>
      <c r="E58" s="644"/>
      <c r="F58" s="668">
        <v>0</v>
      </c>
      <c r="G58" s="1266">
        <v>0</v>
      </c>
      <c r="H58" s="669">
        <v>0</v>
      </c>
      <c r="I58" s="668">
        <v>0</v>
      </c>
      <c r="J58" s="669">
        <v>0</v>
      </c>
      <c r="K58" s="668">
        <v>0</v>
      </c>
      <c r="L58" s="1266">
        <v>0</v>
      </c>
      <c r="M58" s="669">
        <v>0</v>
      </c>
      <c r="N58" s="668">
        <v>0</v>
      </c>
      <c r="O58" s="669">
        <v>0</v>
      </c>
      <c r="P58" s="668">
        <v>0</v>
      </c>
      <c r="Q58" s="1266">
        <v>0</v>
      </c>
      <c r="R58" s="669">
        <v>0</v>
      </c>
      <c r="S58" s="668">
        <v>0</v>
      </c>
      <c r="T58" s="669">
        <v>0</v>
      </c>
      <c r="U58" s="668">
        <v>0</v>
      </c>
      <c r="V58" s="1266">
        <v>0</v>
      </c>
      <c r="W58" s="669">
        <v>0</v>
      </c>
      <c r="X58" s="668">
        <v>0</v>
      </c>
      <c r="Y58" s="669">
        <v>0</v>
      </c>
      <c r="Z58" s="631"/>
      <c r="AA58" s="631"/>
      <c r="AB58" s="631"/>
      <c r="AC58" s="631"/>
      <c r="AD58" s="631"/>
      <c r="AE58" s="631"/>
      <c r="AF58" s="631"/>
      <c r="AG58" s="658"/>
      <c r="AH58" s="658"/>
    </row>
    <row r="59" spans="1:34">
      <c r="A59" s="640">
        <v>620</v>
      </c>
      <c r="B59" s="791" t="s">
        <v>603</v>
      </c>
      <c r="C59" s="645"/>
      <c r="D59" s="643" t="s">
        <v>602</v>
      </c>
      <c r="E59" s="644"/>
      <c r="F59" s="668">
        <v>0</v>
      </c>
      <c r="G59" s="1266">
        <v>0</v>
      </c>
      <c r="H59" s="669">
        <v>0</v>
      </c>
      <c r="I59" s="668">
        <v>0</v>
      </c>
      <c r="J59" s="669">
        <v>0</v>
      </c>
      <c r="K59" s="668">
        <v>0</v>
      </c>
      <c r="L59" s="1266">
        <v>0</v>
      </c>
      <c r="M59" s="669">
        <v>0</v>
      </c>
      <c r="N59" s="668">
        <v>0</v>
      </c>
      <c r="O59" s="669">
        <v>0</v>
      </c>
      <c r="P59" s="668">
        <v>0</v>
      </c>
      <c r="Q59" s="1266">
        <v>0</v>
      </c>
      <c r="R59" s="669">
        <v>0</v>
      </c>
      <c r="S59" s="668">
        <v>0</v>
      </c>
      <c r="T59" s="669">
        <v>0</v>
      </c>
      <c r="U59" s="668">
        <v>0</v>
      </c>
      <c r="V59" s="1266">
        <v>0</v>
      </c>
      <c r="W59" s="669">
        <v>0</v>
      </c>
      <c r="X59" s="668">
        <v>0</v>
      </c>
      <c r="Y59" s="669">
        <v>0</v>
      </c>
      <c r="Z59" s="631"/>
      <c r="AA59" s="631"/>
      <c r="AB59" s="631"/>
      <c r="AC59" s="631"/>
      <c r="AD59" s="631"/>
      <c r="AE59" s="631"/>
      <c r="AF59" s="631"/>
      <c r="AG59" s="658"/>
      <c r="AH59" s="658"/>
    </row>
    <row r="60" spans="1:34">
      <c r="A60" s="640">
        <v>630</v>
      </c>
      <c r="B60" s="789" t="s">
        <v>604</v>
      </c>
      <c r="C60" s="643"/>
      <c r="D60" s="643" t="s">
        <v>602</v>
      </c>
      <c r="E60" s="644"/>
      <c r="F60" s="1153">
        <f t="shared" ref="F60:O60" si="8">F167+F176+F185</f>
        <v>0</v>
      </c>
      <c r="G60" s="1153">
        <f t="shared" si="8"/>
        <v>0</v>
      </c>
      <c r="H60" s="1153">
        <f t="shared" si="8"/>
        <v>0</v>
      </c>
      <c r="I60" s="1153">
        <f t="shared" si="8"/>
        <v>0</v>
      </c>
      <c r="J60" s="1153">
        <f>J167+J176+J185</f>
        <v>0</v>
      </c>
      <c r="K60" s="1153">
        <f t="shared" si="8"/>
        <v>0</v>
      </c>
      <c r="L60" s="1153">
        <f t="shared" si="8"/>
        <v>0</v>
      </c>
      <c r="M60" s="1153">
        <f t="shared" si="8"/>
        <v>0</v>
      </c>
      <c r="N60" s="1153">
        <f t="shared" si="8"/>
        <v>0</v>
      </c>
      <c r="O60" s="1153">
        <f t="shared" si="8"/>
        <v>0</v>
      </c>
      <c r="P60" s="1153">
        <f t="shared" ref="P60:Y60" si="9">P167+P176+P185</f>
        <v>0</v>
      </c>
      <c r="Q60" s="1153">
        <f t="shared" si="9"/>
        <v>0</v>
      </c>
      <c r="R60" s="1153">
        <f t="shared" si="9"/>
        <v>0</v>
      </c>
      <c r="S60" s="1153">
        <f t="shared" si="9"/>
        <v>0</v>
      </c>
      <c r="T60" s="1153">
        <f t="shared" si="9"/>
        <v>0</v>
      </c>
      <c r="U60" s="1153">
        <f t="shared" si="9"/>
        <v>0</v>
      </c>
      <c r="V60" s="1153">
        <f t="shared" si="9"/>
        <v>0</v>
      </c>
      <c r="W60" s="1153">
        <f t="shared" si="9"/>
        <v>0</v>
      </c>
      <c r="X60" s="1153">
        <f t="shared" si="9"/>
        <v>0</v>
      </c>
      <c r="Y60" s="1153">
        <f t="shared" si="9"/>
        <v>0</v>
      </c>
      <c r="Z60" s="631"/>
      <c r="AA60" s="631"/>
      <c r="AB60" s="631"/>
      <c r="AC60" s="631"/>
      <c r="AD60" s="631"/>
      <c r="AE60" s="631"/>
      <c r="AF60" s="631"/>
      <c r="AG60" s="658"/>
      <c r="AH60" s="658"/>
    </row>
    <row r="61" spans="1:34">
      <c r="A61" s="640">
        <v>640</v>
      </c>
      <c r="B61" s="792" t="s">
        <v>617</v>
      </c>
      <c r="C61" s="646"/>
      <c r="D61" s="646"/>
      <c r="E61" s="647"/>
      <c r="F61" s="671"/>
      <c r="G61" s="671"/>
      <c r="H61" s="671"/>
      <c r="I61" s="671"/>
      <c r="J61" s="671"/>
      <c r="K61" s="671"/>
      <c r="L61" s="671"/>
      <c r="M61" s="671"/>
      <c r="N61" s="671"/>
      <c r="O61" s="671"/>
      <c r="P61" s="671"/>
      <c r="Q61" s="671"/>
      <c r="R61" s="671"/>
      <c r="S61" s="671"/>
      <c r="T61" s="671"/>
      <c r="U61" s="671"/>
      <c r="V61" s="671"/>
      <c r="W61" s="671"/>
      <c r="X61" s="671"/>
      <c r="Y61" s="671"/>
      <c r="Z61" s="631"/>
      <c r="AA61" s="631"/>
      <c r="AB61" s="631"/>
      <c r="AC61" s="631"/>
      <c r="AD61" s="631"/>
      <c r="AE61" s="631"/>
      <c r="AF61" s="631"/>
      <c r="AG61" s="658"/>
      <c r="AH61" s="658"/>
    </row>
    <row r="62" spans="1:34">
      <c r="A62" s="640">
        <v>650</v>
      </c>
      <c r="B62" s="789" t="s">
        <v>618</v>
      </c>
      <c r="C62" s="645">
        <v>262</v>
      </c>
      <c r="D62" s="645"/>
      <c r="E62" s="644"/>
      <c r="F62" s="668">
        <v>0</v>
      </c>
      <c r="G62" s="1266">
        <v>0</v>
      </c>
      <c r="H62" s="669">
        <v>0</v>
      </c>
      <c r="I62" s="668">
        <v>0</v>
      </c>
      <c r="J62" s="669">
        <v>0</v>
      </c>
      <c r="K62" s="668">
        <v>0</v>
      </c>
      <c r="L62" s="1266">
        <v>0</v>
      </c>
      <c r="M62" s="669">
        <v>0</v>
      </c>
      <c r="N62" s="668">
        <v>0</v>
      </c>
      <c r="O62" s="669">
        <v>0</v>
      </c>
      <c r="P62" s="668">
        <v>0</v>
      </c>
      <c r="Q62" s="1266">
        <v>0</v>
      </c>
      <c r="R62" s="669">
        <v>0</v>
      </c>
      <c r="S62" s="668">
        <v>0</v>
      </c>
      <c r="T62" s="669">
        <v>0</v>
      </c>
      <c r="U62" s="668">
        <v>0</v>
      </c>
      <c r="V62" s="1266">
        <v>0</v>
      </c>
      <c r="W62" s="669">
        <v>0</v>
      </c>
      <c r="X62" s="668">
        <v>0</v>
      </c>
      <c r="Y62" s="669">
        <v>0</v>
      </c>
      <c r="Z62" s="631"/>
      <c r="AA62" s="631"/>
      <c r="AB62" s="631"/>
      <c r="AC62" s="631"/>
      <c r="AD62" s="631"/>
      <c r="AE62" s="631"/>
      <c r="AF62" s="631"/>
      <c r="AG62" s="658"/>
      <c r="AH62" s="658"/>
    </row>
    <row r="63" spans="1:34">
      <c r="A63" s="640">
        <v>660</v>
      </c>
      <c r="B63" s="792" t="s">
        <v>287</v>
      </c>
      <c r="C63" s="643"/>
      <c r="D63" s="643"/>
      <c r="E63" s="644"/>
      <c r="F63" s="668">
        <v>0</v>
      </c>
      <c r="G63" s="1279">
        <v>0</v>
      </c>
      <c r="H63" s="669">
        <v>0</v>
      </c>
      <c r="I63" s="668">
        <v>0</v>
      </c>
      <c r="J63" s="669">
        <v>0</v>
      </c>
      <c r="K63" s="668">
        <v>0</v>
      </c>
      <c r="L63" s="1279">
        <v>0</v>
      </c>
      <c r="M63" s="669">
        <v>0</v>
      </c>
      <c r="N63" s="668">
        <v>0</v>
      </c>
      <c r="O63" s="669">
        <v>0</v>
      </c>
      <c r="P63" s="668">
        <v>0</v>
      </c>
      <c r="Q63" s="1279">
        <v>0</v>
      </c>
      <c r="R63" s="669">
        <v>0</v>
      </c>
      <c r="S63" s="668">
        <v>0</v>
      </c>
      <c r="T63" s="669">
        <v>0</v>
      </c>
      <c r="U63" s="668">
        <v>0</v>
      </c>
      <c r="V63" s="1279">
        <v>0</v>
      </c>
      <c r="W63" s="669">
        <v>0</v>
      </c>
      <c r="X63" s="668">
        <v>0</v>
      </c>
      <c r="Y63" s="669">
        <v>0</v>
      </c>
      <c r="Z63" s="631"/>
      <c r="AA63" s="631"/>
      <c r="AB63" s="631"/>
      <c r="AC63" s="631"/>
      <c r="AD63" s="631"/>
      <c r="AE63" s="631"/>
      <c r="AF63" s="631"/>
      <c r="AG63" s="658"/>
      <c r="AH63" s="658"/>
    </row>
    <row r="64" spans="1:34">
      <c r="A64" s="640">
        <v>670</v>
      </c>
      <c r="B64" s="789" t="s">
        <v>288</v>
      </c>
      <c r="C64" s="645"/>
      <c r="D64" s="645"/>
      <c r="E64" s="644"/>
      <c r="F64" s="668">
        <v>0</v>
      </c>
      <c r="G64" s="1266">
        <v>0</v>
      </c>
      <c r="H64" s="669">
        <v>0</v>
      </c>
      <c r="I64" s="668">
        <v>0</v>
      </c>
      <c r="J64" s="669">
        <v>0</v>
      </c>
      <c r="K64" s="668">
        <v>0</v>
      </c>
      <c r="L64" s="1266">
        <v>0</v>
      </c>
      <c r="M64" s="669">
        <v>0</v>
      </c>
      <c r="N64" s="668">
        <v>0</v>
      </c>
      <c r="O64" s="669">
        <v>0</v>
      </c>
      <c r="P64" s="668">
        <v>0</v>
      </c>
      <c r="Q64" s="1266">
        <v>0</v>
      </c>
      <c r="R64" s="669">
        <v>0</v>
      </c>
      <c r="S64" s="668">
        <v>0</v>
      </c>
      <c r="T64" s="669">
        <v>0</v>
      </c>
      <c r="U64" s="668">
        <v>0</v>
      </c>
      <c r="V64" s="1266">
        <v>0</v>
      </c>
      <c r="W64" s="669">
        <v>0</v>
      </c>
      <c r="X64" s="668">
        <v>0</v>
      </c>
      <c r="Y64" s="669">
        <v>0</v>
      </c>
      <c r="Z64" s="631"/>
      <c r="AA64" s="631"/>
      <c r="AB64" s="631"/>
      <c r="AC64" s="674"/>
      <c r="AD64" s="674"/>
      <c r="AE64" s="674"/>
      <c r="AF64" s="674"/>
      <c r="AG64" s="674"/>
      <c r="AH64" s="658"/>
    </row>
    <row r="65" spans="1:34">
      <c r="A65" s="640">
        <v>680</v>
      </c>
      <c r="B65" s="791" t="s">
        <v>289</v>
      </c>
      <c r="C65" s="643"/>
      <c r="D65" s="643"/>
      <c r="E65" s="644"/>
      <c r="F65" s="668">
        <v>0</v>
      </c>
      <c r="G65" s="1266">
        <v>0</v>
      </c>
      <c r="H65" s="669">
        <v>0</v>
      </c>
      <c r="I65" s="668">
        <v>0</v>
      </c>
      <c r="J65" s="669">
        <v>0</v>
      </c>
      <c r="K65" s="668">
        <v>0</v>
      </c>
      <c r="L65" s="1266">
        <v>0</v>
      </c>
      <c r="M65" s="669">
        <v>0</v>
      </c>
      <c r="N65" s="668">
        <v>0</v>
      </c>
      <c r="O65" s="669">
        <v>0</v>
      </c>
      <c r="P65" s="668">
        <v>0</v>
      </c>
      <c r="Q65" s="1266">
        <v>0</v>
      </c>
      <c r="R65" s="669">
        <v>0</v>
      </c>
      <c r="S65" s="668">
        <v>0</v>
      </c>
      <c r="T65" s="669">
        <v>0</v>
      </c>
      <c r="U65" s="668">
        <v>0</v>
      </c>
      <c r="V65" s="1266">
        <v>0</v>
      </c>
      <c r="W65" s="669">
        <v>0</v>
      </c>
      <c r="X65" s="668">
        <v>0</v>
      </c>
      <c r="Y65" s="669">
        <v>0</v>
      </c>
      <c r="Z65" s="631"/>
      <c r="AA65" s="631"/>
      <c r="AB65" s="631"/>
      <c r="AC65" s="631"/>
      <c r="AD65" s="631"/>
      <c r="AE65" s="631"/>
      <c r="AF65" s="631"/>
      <c r="AG65" s="658"/>
      <c r="AH65" s="658"/>
    </row>
    <row r="66" spans="1:34">
      <c r="A66" s="640">
        <v>690</v>
      </c>
      <c r="B66" s="789" t="s">
        <v>290</v>
      </c>
      <c r="C66" s="645"/>
      <c r="D66" s="645"/>
      <c r="E66" s="644"/>
      <c r="F66" s="668">
        <v>0</v>
      </c>
      <c r="G66" s="1266">
        <v>0</v>
      </c>
      <c r="H66" s="669">
        <v>0</v>
      </c>
      <c r="I66" s="668">
        <v>0</v>
      </c>
      <c r="J66" s="669">
        <v>0</v>
      </c>
      <c r="K66" s="668">
        <v>0</v>
      </c>
      <c r="L66" s="1266">
        <v>0</v>
      </c>
      <c r="M66" s="669">
        <v>0</v>
      </c>
      <c r="N66" s="668">
        <v>0</v>
      </c>
      <c r="O66" s="669"/>
      <c r="P66" s="668">
        <v>0</v>
      </c>
      <c r="Q66" s="1266">
        <v>0</v>
      </c>
      <c r="R66" s="669">
        <v>0</v>
      </c>
      <c r="S66" s="668">
        <v>0</v>
      </c>
      <c r="T66" s="669">
        <v>0</v>
      </c>
      <c r="U66" s="668">
        <v>0</v>
      </c>
      <c r="V66" s="1266">
        <v>0</v>
      </c>
      <c r="W66" s="669">
        <v>0</v>
      </c>
      <c r="X66" s="668">
        <v>0</v>
      </c>
      <c r="Y66" s="669">
        <v>0</v>
      </c>
      <c r="Z66" s="631"/>
      <c r="AA66" s="631"/>
      <c r="AB66" s="631"/>
      <c r="AC66" s="631"/>
      <c r="AD66" s="631"/>
      <c r="AE66" s="631"/>
      <c r="AF66" s="631"/>
      <c r="AG66" s="658"/>
      <c r="AH66" s="658"/>
    </row>
    <row r="67" spans="1:34">
      <c r="A67" s="640">
        <v>700</v>
      </c>
      <c r="B67" s="791" t="s">
        <v>291</v>
      </c>
      <c r="C67" s="643"/>
      <c r="D67" s="643"/>
      <c r="E67" s="644"/>
      <c r="F67" s="668">
        <v>0</v>
      </c>
      <c r="G67" s="1266">
        <v>0</v>
      </c>
      <c r="H67" s="669">
        <v>0</v>
      </c>
      <c r="I67" s="668">
        <v>0</v>
      </c>
      <c r="J67" s="669">
        <v>0</v>
      </c>
      <c r="K67" s="668">
        <v>0</v>
      </c>
      <c r="L67" s="1266">
        <v>0</v>
      </c>
      <c r="M67" s="669">
        <v>0</v>
      </c>
      <c r="N67" s="668">
        <v>0</v>
      </c>
      <c r="O67" s="669"/>
      <c r="P67" s="668">
        <v>0</v>
      </c>
      <c r="Q67" s="1266">
        <v>0</v>
      </c>
      <c r="R67" s="669">
        <v>0</v>
      </c>
      <c r="S67" s="668">
        <v>0</v>
      </c>
      <c r="T67" s="669">
        <v>0</v>
      </c>
      <c r="U67" s="668">
        <v>0</v>
      </c>
      <c r="V67" s="1266">
        <v>0</v>
      </c>
      <c r="W67" s="669">
        <v>0</v>
      </c>
      <c r="X67" s="668">
        <v>0</v>
      </c>
      <c r="Y67" s="669">
        <v>0</v>
      </c>
      <c r="Z67" s="631"/>
      <c r="AA67" s="631"/>
      <c r="AB67" s="631"/>
      <c r="AC67" s="631"/>
      <c r="AD67" s="631"/>
      <c r="AE67" s="631"/>
      <c r="AF67" s="631"/>
      <c r="AG67" s="658"/>
      <c r="AH67" s="658"/>
    </row>
    <row r="68" spans="1:34">
      <c r="A68" s="640">
        <v>710</v>
      </c>
      <c r="B68" s="789" t="s">
        <v>292</v>
      </c>
      <c r="C68" s="645"/>
      <c r="D68" s="645"/>
      <c r="E68" s="644"/>
      <c r="F68" s="668">
        <v>0</v>
      </c>
      <c r="G68" s="1266">
        <v>0</v>
      </c>
      <c r="H68" s="669">
        <v>0</v>
      </c>
      <c r="I68" s="668">
        <v>0</v>
      </c>
      <c r="J68" s="669">
        <v>0</v>
      </c>
      <c r="K68" s="668">
        <v>0</v>
      </c>
      <c r="L68" s="1266">
        <v>0</v>
      </c>
      <c r="M68" s="669">
        <v>0</v>
      </c>
      <c r="N68" s="668">
        <v>0</v>
      </c>
      <c r="O68" s="669"/>
      <c r="P68" s="668">
        <v>0</v>
      </c>
      <c r="Q68" s="1266">
        <v>0</v>
      </c>
      <c r="R68" s="669">
        <v>0</v>
      </c>
      <c r="S68" s="668">
        <v>0</v>
      </c>
      <c r="T68" s="669">
        <v>0</v>
      </c>
      <c r="U68" s="668">
        <v>0</v>
      </c>
      <c r="V68" s="1266">
        <v>0</v>
      </c>
      <c r="W68" s="669">
        <v>0</v>
      </c>
      <c r="X68" s="668">
        <v>0</v>
      </c>
      <c r="Y68" s="669">
        <v>0</v>
      </c>
      <c r="Z68" s="631"/>
      <c r="AA68" s="631"/>
      <c r="AB68" s="631"/>
      <c r="AC68" s="631"/>
      <c r="AD68" s="631"/>
      <c r="AE68" s="631"/>
      <c r="AF68" s="631"/>
      <c r="AG68" s="658"/>
      <c r="AH68" s="658"/>
    </row>
    <row r="69" spans="1:34">
      <c r="A69" s="640">
        <v>720</v>
      </c>
      <c r="B69" s="791" t="s">
        <v>293</v>
      </c>
      <c r="C69" s="643"/>
      <c r="D69" s="643"/>
      <c r="E69" s="644"/>
      <c r="F69" s="668">
        <v>0</v>
      </c>
      <c r="G69" s="1266">
        <v>0</v>
      </c>
      <c r="H69" s="669">
        <v>0</v>
      </c>
      <c r="I69" s="668">
        <v>0</v>
      </c>
      <c r="J69" s="669">
        <v>0</v>
      </c>
      <c r="K69" s="668">
        <v>0</v>
      </c>
      <c r="L69" s="1266">
        <v>0</v>
      </c>
      <c r="M69" s="669">
        <v>0</v>
      </c>
      <c r="N69" s="668">
        <v>0</v>
      </c>
      <c r="O69" s="669"/>
      <c r="P69" s="668">
        <v>0</v>
      </c>
      <c r="Q69" s="1266">
        <v>0</v>
      </c>
      <c r="R69" s="669">
        <v>0</v>
      </c>
      <c r="S69" s="668">
        <v>0</v>
      </c>
      <c r="T69" s="669">
        <v>0</v>
      </c>
      <c r="U69" s="668">
        <v>0</v>
      </c>
      <c r="V69" s="1266">
        <v>0</v>
      </c>
      <c r="W69" s="669">
        <v>0</v>
      </c>
      <c r="X69" s="668">
        <v>0</v>
      </c>
      <c r="Y69" s="669">
        <v>0</v>
      </c>
      <c r="Z69" s="631"/>
      <c r="AA69" s="631"/>
      <c r="AB69" s="631"/>
      <c r="AC69" s="631"/>
      <c r="AD69" s="631"/>
      <c r="AE69" s="631"/>
      <c r="AF69" s="631"/>
      <c r="AG69" s="658"/>
      <c r="AH69" s="658"/>
    </row>
    <row r="70" spans="1:34">
      <c r="A70" s="640">
        <v>730</v>
      </c>
      <c r="B70" s="789" t="s">
        <v>294</v>
      </c>
      <c r="C70" s="645"/>
      <c r="D70" s="645"/>
      <c r="E70" s="644"/>
      <c r="F70" s="668">
        <v>0</v>
      </c>
      <c r="G70" s="1266">
        <v>0</v>
      </c>
      <c r="H70" s="669">
        <v>0</v>
      </c>
      <c r="I70" s="668">
        <v>0</v>
      </c>
      <c r="J70" s="669">
        <v>0</v>
      </c>
      <c r="K70" s="668">
        <v>0</v>
      </c>
      <c r="L70" s="1266">
        <v>0</v>
      </c>
      <c r="M70" s="669">
        <v>0</v>
      </c>
      <c r="N70" s="668">
        <v>0</v>
      </c>
      <c r="O70" s="669"/>
      <c r="P70" s="668">
        <v>0</v>
      </c>
      <c r="Q70" s="1266">
        <v>0</v>
      </c>
      <c r="R70" s="669">
        <v>0</v>
      </c>
      <c r="S70" s="668">
        <v>0</v>
      </c>
      <c r="T70" s="669">
        <v>0</v>
      </c>
      <c r="U70" s="668">
        <v>0</v>
      </c>
      <c r="V70" s="1266">
        <v>0</v>
      </c>
      <c r="W70" s="669">
        <v>0</v>
      </c>
      <c r="X70" s="668">
        <v>0</v>
      </c>
      <c r="Y70" s="669">
        <v>0</v>
      </c>
      <c r="Z70" s="631"/>
      <c r="AA70" s="631"/>
      <c r="AB70" s="631"/>
      <c r="AC70" s="631"/>
      <c r="AD70" s="631"/>
      <c r="AE70" s="631"/>
      <c r="AF70" s="631"/>
      <c r="AG70" s="658"/>
      <c r="AH70" s="658"/>
    </row>
    <row r="71" spans="1:34">
      <c r="A71" s="640">
        <v>740</v>
      </c>
      <c r="B71" s="791" t="s">
        <v>295</v>
      </c>
      <c r="C71" s="643"/>
      <c r="D71" s="643"/>
      <c r="E71" s="644"/>
      <c r="F71" s="668">
        <v>0</v>
      </c>
      <c r="G71" s="1266">
        <v>0</v>
      </c>
      <c r="H71" s="669">
        <v>0</v>
      </c>
      <c r="I71" s="668">
        <v>0</v>
      </c>
      <c r="J71" s="669">
        <v>0</v>
      </c>
      <c r="K71" s="668">
        <v>0</v>
      </c>
      <c r="L71" s="1266">
        <v>0</v>
      </c>
      <c r="M71" s="669">
        <v>0</v>
      </c>
      <c r="N71" s="668">
        <v>0</v>
      </c>
      <c r="O71" s="669"/>
      <c r="P71" s="668">
        <v>0</v>
      </c>
      <c r="Q71" s="1266">
        <v>0</v>
      </c>
      <c r="R71" s="669">
        <v>0</v>
      </c>
      <c r="S71" s="668">
        <v>0</v>
      </c>
      <c r="T71" s="669">
        <v>0</v>
      </c>
      <c r="U71" s="668">
        <v>0</v>
      </c>
      <c r="V71" s="1266">
        <v>0</v>
      </c>
      <c r="W71" s="669">
        <v>0</v>
      </c>
      <c r="X71" s="668">
        <v>0</v>
      </c>
      <c r="Y71" s="669">
        <v>0</v>
      </c>
      <c r="Z71" s="631"/>
      <c r="AA71" s="631"/>
      <c r="AB71" s="631"/>
      <c r="AC71" s="631"/>
      <c r="AD71" s="631"/>
      <c r="AE71" s="631"/>
      <c r="AF71" s="631"/>
      <c r="AG71" s="658"/>
      <c r="AH71" s="658"/>
    </row>
    <row r="72" spans="1:34">
      <c r="A72" s="640">
        <v>750</v>
      </c>
      <c r="B72" s="789" t="s">
        <v>296</v>
      </c>
      <c r="C72" s="643"/>
      <c r="D72" s="643"/>
      <c r="E72" s="644"/>
      <c r="F72" s="668">
        <v>0</v>
      </c>
      <c r="G72" s="1266">
        <v>0</v>
      </c>
      <c r="H72" s="669">
        <v>0</v>
      </c>
      <c r="I72" s="668">
        <v>0</v>
      </c>
      <c r="J72" s="669">
        <v>0</v>
      </c>
      <c r="K72" s="668">
        <v>0</v>
      </c>
      <c r="L72" s="1266">
        <v>0</v>
      </c>
      <c r="M72" s="669">
        <v>0</v>
      </c>
      <c r="N72" s="668">
        <v>0</v>
      </c>
      <c r="O72" s="669"/>
      <c r="P72" s="668">
        <v>0</v>
      </c>
      <c r="Q72" s="1266">
        <v>0</v>
      </c>
      <c r="R72" s="669">
        <v>0</v>
      </c>
      <c r="S72" s="668">
        <v>0</v>
      </c>
      <c r="T72" s="669">
        <v>0</v>
      </c>
      <c r="U72" s="668">
        <v>0</v>
      </c>
      <c r="V72" s="1266">
        <v>0</v>
      </c>
      <c r="W72" s="669">
        <v>0</v>
      </c>
      <c r="X72" s="668">
        <v>0</v>
      </c>
      <c r="Y72" s="669">
        <v>0</v>
      </c>
      <c r="Z72" s="631"/>
      <c r="AA72" s="631"/>
      <c r="AB72" s="631"/>
      <c r="AC72" s="631"/>
      <c r="AD72" s="631"/>
      <c r="AE72" s="631"/>
      <c r="AF72" s="631"/>
      <c r="AG72" s="658"/>
      <c r="AH72" s="658"/>
    </row>
    <row r="73" spans="1:34">
      <c r="A73" s="640">
        <v>760</v>
      </c>
      <c r="B73" s="791" t="s">
        <v>297</v>
      </c>
      <c r="C73" s="645"/>
      <c r="D73" s="645"/>
      <c r="E73" s="644"/>
      <c r="F73" s="668">
        <v>0</v>
      </c>
      <c r="G73" s="1266">
        <v>0</v>
      </c>
      <c r="H73" s="669">
        <v>0</v>
      </c>
      <c r="I73" s="668">
        <v>0</v>
      </c>
      <c r="J73" s="669">
        <v>0</v>
      </c>
      <c r="K73" s="668">
        <v>0</v>
      </c>
      <c r="L73" s="1266">
        <v>0</v>
      </c>
      <c r="M73" s="669">
        <v>0</v>
      </c>
      <c r="N73" s="668">
        <v>0</v>
      </c>
      <c r="O73" s="669"/>
      <c r="P73" s="668">
        <v>0</v>
      </c>
      <c r="Q73" s="1266">
        <v>0</v>
      </c>
      <c r="R73" s="669">
        <v>0</v>
      </c>
      <c r="S73" s="668">
        <v>0</v>
      </c>
      <c r="T73" s="669">
        <v>0</v>
      </c>
      <c r="U73" s="668">
        <v>0</v>
      </c>
      <c r="V73" s="1266">
        <v>0</v>
      </c>
      <c r="W73" s="669">
        <v>0</v>
      </c>
      <c r="X73" s="668">
        <v>0</v>
      </c>
      <c r="Y73" s="669">
        <v>0</v>
      </c>
      <c r="Z73" s="631"/>
      <c r="AA73" s="631"/>
      <c r="AB73" s="631"/>
      <c r="AC73" s="631"/>
      <c r="AD73" s="631"/>
      <c r="AE73" s="631"/>
      <c r="AF73" s="631"/>
      <c r="AG73" s="658"/>
      <c r="AH73" s="658"/>
    </row>
    <row r="74" spans="1:34">
      <c r="A74" s="640">
        <v>770</v>
      </c>
      <c r="B74" s="791"/>
      <c r="C74" s="643"/>
      <c r="D74" s="643"/>
      <c r="E74" s="644"/>
      <c r="F74" s="668">
        <v>0</v>
      </c>
      <c r="G74" s="1279">
        <v>0</v>
      </c>
      <c r="H74" s="669">
        <v>0</v>
      </c>
      <c r="I74" s="668">
        <v>0</v>
      </c>
      <c r="J74" s="669">
        <v>0</v>
      </c>
      <c r="K74" s="668">
        <v>0</v>
      </c>
      <c r="L74" s="1279">
        <v>0</v>
      </c>
      <c r="M74" s="669">
        <v>0</v>
      </c>
      <c r="N74" s="668">
        <v>0</v>
      </c>
      <c r="O74" s="669"/>
      <c r="P74" s="668">
        <v>0</v>
      </c>
      <c r="Q74" s="1279">
        <v>0</v>
      </c>
      <c r="R74" s="669">
        <v>0</v>
      </c>
      <c r="S74" s="668">
        <v>0</v>
      </c>
      <c r="T74" s="669">
        <v>0</v>
      </c>
      <c r="U74" s="668">
        <v>0</v>
      </c>
      <c r="V74" s="1279">
        <v>0</v>
      </c>
      <c r="W74" s="669">
        <v>0</v>
      </c>
      <c r="X74" s="668">
        <v>0</v>
      </c>
      <c r="Y74" s="669">
        <v>0</v>
      </c>
      <c r="Z74" s="631"/>
      <c r="AA74" s="631"/>
      <c r="AB74" s="631"/>
      <c r="AC74" s="631"/>
      <c r="AD74" s="631"/>
      <c r="AE74" s="631"/>
      <c r="AF74" s="631"/>
      <c r="AG74" s="658"/>
      <c r="AH74" s="658"/>
    </row>
    <row r="75" spans="1:34">
      <c r="A75" s="640">
        <v>780</v>
      </c>
      <c r="B75" s="792" t="s">
        <v>298</v>
      </c>
      <c r="C75" s="646"/>
      <c r="D75" s="646"/>
      <c r="E75" s="647"/>
      <c r="F75" s="668"/>
      <c r="G75" s="671"/>
      <c r="H75" s="671"/>
      <c r="I75" s="671"/>
      <c r="J75" s="671"/>
      <c r="K75" s="668"/>
      <c r="L75" s="671"/>
      <c r="M75" s="671"/>
      <c r="N75" s="671"/>
      <c r="O75" s="671"/>
      <c r="P75" s="668"/>
      <c r="Q75" s="671"/>
      <c r="R75" s="671"/>
      <c r="S75" s="671"/>
      <c r="T75" s="671"/>
      <c r="U75" s="668"/>
      <c r="V75" s="671"/>
      <c r="W75" s="671"/>
      <c r="X75" s="671"/>
      <c r="Y75" s="671"/>
      <c r="Z75" s="631"/>
      <c r="AA75" s="631"/>
      <c r="AB75" s="631"/>
      <c r="AC75" s="631"/>
      <c r="AD75" s="631"/>
      <c r="AE75" s="631"/>
      <c r="AF75" s="631"/>
      <c r="AG75" s="658"/>
      <c r="AH75" s="658"/>
    </row>
    <row r="76" spans="1:34">
      <c r="A76" s="640">
        <v>781</v>
      </c>
      <c r="B76" s="791" t="s">
        <v>296</v>
      </c>
      <c r="C76" s="646"/>
      <c r="D76" s="646" t="s">
        <v>602</v>
      </c>
      <c r="E76" s="649"/>
      <c r="F76" s="668">
        <v>0</v>
      </c>
      <c r="G76" s="668">
        <v>0</v>
      </c>
      <c r="H76" s="669">
        <v>0</v>
      </c>
      <c r="I76" s="668">
        <v>0</v>
      </c>
      <c r="J76" s="668">
        <v>0</v>
      </c>
      <c r="K76" s="668">
        <v>0</v>
      </c>
      <c r="L76" s="668">
        <v>0</v>
      </c>
      <c r="M76" s="669">
        <v>0</v>
      </c>
      <c r="N76" s="668">
        <v>0</v>
      </c>
      <c r="O76" s="668">
        <v>0</v>
      </c>
      <c r="P76" s="668">
        <v>0</v>
      </c>
      <c r="Q76" s="668">
        <v>0</v>
      </c>
      <c r="R76" s="669">
        <v>0</v>
      </c>
      <c r="S76" s="668">
        <v>0</v>
      </c>
      <c r="T76" s="668">
        <v>0</v>
      </c>
      <c r="U76" s="668">
        <v>0</v>
      </c>
      <c r="V76" s="668">
        <v>0</v>
      </c>
      <c r="W76" s="669">
        <v>0</v>
      </c>
      <c r="X76" s="668">
        <v>0</v>
      </c>
      <c r="Y76" s="668">
        <v>0</v>
      </c>
      <c r="Z76" s="631"/>
      <c r="AA76" s="631"/>
      <c r="AB76" s="631"/>
      <c r="AC76" s="631"/>
      <c r="AD76" s="631"/>
      <c r="AE76" s="631"/>
      <c r="AF76" s="631"/>
      <c r="AG76" s="658"/>
      <c r="AH76" s="658"/>
    </row>
    <row r="77" spans="1:34">
      <c r="A77" s="640">
        <v>782</v>
      </c>
      <c r="B77" s="791" t="s">
        <v>297</v>
      </c>
      <c r="C77" s="646"/>
      <c r="D77" s="646"/>
      <c r="E77" s="649"/>
      <c r="F77" s="668">
        <v>0</v>
      </c>
      <c r="G77" s="668">
        <v>0</v>
      </c>
      <c r="H77" s="669">
        <v>0</v>
      </c>
      <c r="I77" s="668">
        <v>0</v>
      </c>
      <c r="J77" s="668">
        <v>0</v>
      </c>
      <c r="K77" s="668">
        <v>0</v>
      </c>
      <c r="L77" s="668">
        <v>0</v>
      </c>
      <c r="M77" s="669">
        <v>0</v>
      </c>
      <c r="N77" s="668">
        <v>0</v>
      </c>
      <c r="O77" s="668">
        <v>0</v>
      </c>
      <c r="P77" s="668">
        <v>0</v>
      </c>
      <c r="Q77" s="668">
        <v>0</v>
      </c>
      <c r="R77" s="669">
        <v>0</v>
      </c>
      <c r="S77" s="668">
        <v>0</v>
      </c>
      <c r="T77" s="668">
        <v>0</v>
      </c>
      <c r="U77" s="668">
        <v>0</v>
      </c>
      <c r="V77" s="668">
        <v>0</v>
      </c>
      <c r="W77" s="669">
        <v>0</v>
      </c>
      <c r="X77" s="668">
        <v>0</v>
      </c>
      <c r="Y77" s="668">
        <v>0</v>
      </c>
      <c r="Z77" s="631"/>
      <c r="AA77" s="631"/>
      <c r="AB77" s="631"/>
      <c r="AC77" s="631"/>
      <c r="AD77" s="631"/>
      <c r="AE77" s="631"/>
      <c r="AF77" s="631"/>
      <c r="AG77" s="658"/>
      <c r="AH77" s="658"/>
    </row>
    <row r="78" spans="1:34">
      <c r="A78" s="640">
        <v>790</v>
      </c>
      <c r="B78" s="791" t="s">
        <v>266</v>
      </c>
      <c r="C78" s="643">
        <v>555</v>
      </c>
      <c r="D78" s="643" t="s">
        <v>602</v>
      </c>
      <c r="E78" s="644"/>
      <c r="F78" s="668">
        <v>0</v>
      </c>
      <c r="G78" s="668">
        <v>0</v>
      </c>
      <c r="H78" s="669">
        <v>0</v>
      </c>
      <c r="I78" s="668">
        <v>0</v>
      </c>
      <c r="J78" s="668">
        <v>0</v>
      </c>
      <c r="K78" s="668">
        <v>0</v>
      </c>
      <c r="L78" s="668">
        <v>0</v>
      </c>
      <c r="M78" s="669">
        <v>0</v>
      </c>
      <c r="N78" s="668">
        <v>0</v>
      </c>
      <c r="O78" s="668">
        <v>0</v>
      </c>
      <c r="P78" s="668">
        <v>0</v>
      </c>
      <c r="Q78" s="668">
        <v>0</v>
      </c>
      <c r="R78" s="669">
        <v>0</v>
      </c>
      <c r="S78" s="668">
        <v>0</v>
      </c>
      <c r="T78" s="668">
        <v>0</v>
      </c>
      <c r="U78" s="668">
        <v>0</v>
      </c>
      <c r="V78" s="668">
        <v>0</v>
      </c>
      <c r="W78" s="669">
        <v>0</v>
      </c>
      <c r="X78" s="668">
        <v>0</v>
      </c>
      <c r="Y78" s="668">
        <v>0</v>
      </c>
      <c r="Z78" s="631"/>
      <c r="AA78" s="631"/>
      <c r="AB78" s="631"/>
      <c r="AC78" s="631"/>
      <c r="AD78" s="631"/>
      <c r="AE78" s="631"/>
      <c r="AF78" s="631"/>
      <c r="AG78" s="658"/>
      <c r="AH78" s="658"/>
    </row>
    <row r="79" spans="1:34">
      <c r="A79" s="640">
        <v>800</v>
      </c>
      <c r="B79" s="795" t="s">
        <v>299</v>
      </c>
      <c r="C79" s="646"/>
      <c r="D79" s="643" t="s">
        <v>602</v>
      </c>
      <c r="E79" s="649"/>
      <c r="F79" s="668">
        <v>0</v>
      </c>
      <c r="G79" s="668">
        <v>0</v>
      </c>
      <c r="H79" s="669">
        <v>0</v>
      </c>
      <c r="I79" s="668">
        <v>0</v>
      </c>
      <c r="J79" s="668">
        <v>0</v>
      </c>
      <c r="K79" s="668">
        <v>0</v>
      </c>
      <c r="L79" s="668">
        <v>0</v>
      </c>
      <c r="M79" s="669">
        <v>0</v>
      </c>
      <c r="N79" s="668">
        <v>0</v>
      </c>
      <c r="O79" s="668">
        <v>0</v>
      </c>
      <c r="P79" s="668">
        <v>0</v>
      </c>
      <c r="Q79" s="668">
        <v>0</v>
      </c>
      <c r="R79" s="669">
        <v>0</v>
      </c>
      <c r="S79" s="668">
        <v>0</v>
      </c>
      <c r="T79" s="668">
        <v>0</v>
      </c>
      <c r="U79" s="668">
        <v>0</v>
      </c>
      <c r="V79" s="668">
        <v>0</v>
      </c>
      <c r="W79" s="669">
        <v>0</v>
      </c>
      <c r="X79" s="668">
        <v>0</v>
      </c>
      <c r="Y79" s="668">
        <v>0</v>
      </c>
      <c r="Z79" s="631"/>
      <c r="AA79" s="631"/>
      <c r="AB79" s="631"/>
      <c r="AC79" s="631"/>
      <c r="AD79" s="631"/>
      <c r="AE79" s="631"/>
      <c r="AF79" s="631"/>
      <c r="AG79" s="658"/>
      <c r="AH79" s="658"/>
    </row>
    <row r="80" spans="1:34">
      <c r="A80" s="640">
        <v>810</v>
      </c>
      <c r="B80" s="794" t="s">
        <v>459</v>
      </c>
      <c r="C80" s="648">
        <v>556</v>
      </c>
      <c r="D80" s="648"/>
      <c r="E80" s="649"/>
      <c r="F80" s="668">
        <v>0</v>
      </c>
      <c r="G80" s="668">
        <v>0</v>
      </c>
      <c r="H80" s="669">
        <v>0</v>
      </c>
      <c r="I80" s="668">
        <v>0</v>
      </c>
      <c r="J80" s="668">
        <v>0</v>
      </c>
      <c r="K80" s="668">
        <v>0</v>
      </c>
      <c r="L80" s="668">
        <v>0</v>
      </c>
      <c r="M80" s="669">
        <v>0</v>
      </c>
      <c r="N80" s="668">
        <v>0</v>
      </c>
      <c r="O80" s="668">
        <v>0</v>
      </c>
      <c r="P80" s="668">
        <v>0</v>
      </c>
      <c r="Q80" s="668">
        <v>0</v>
      </c>
      <c r="R80" s="669">
        <v>0</v>
      </c>
      <c r="S80" s="668">
        <v>0</v>
      </c>
      <c r="T80" s="668">
        <v>0</v>
      </c>
      <c r="U80" s="668">
        <v>0</v>
      </c>
      <c r="V80" s="668">
        <v>0</v>
      </c>
      <c r="W80" s="669">
        <v>0</v>
      </c>
      <c r="X80" s="668">
        <v>0</v>
      </c>
      <c r="Y80" s="668">
        <v>0</v>
      </c>
      <c r="Z80" s="631"/>
      <c r="AA80" s="631"/>
      <c r="AB80" s="631"/>
      <c r="AC80" s="631"/>
      <c r="AD80" s="631"/>
      <c r="AE80" s="631"/>
      <c r="AF80" s="631"/>
      <c r="AG80" s="658"/>
      <c r="AH80" s="658"/>
    </row>
    <row r="81" spans="1:34">
      <c r="A81" s="640">
        <v>820</v>
      </c>
      <c r="B81" s="791" t="s">
        <v>267</v>
      </c>
      <c r="C81" s="643">
        <v>557</v>
      </c>
      <c r="D81" s="643"/>
      <c r="E81" s="644"/>
      <c r="F81" s="1192">
        <v>0</v>
      </c>
      <c r="G81" s="668">
        <v>0</v>
      </c>
      <c r="H81" s="669">
        <v>0</v>
      </c>
      <c r="I81" s="668">
        <v>0</v>
      </c>
      <c r="J81" s="668">
        <v>0</v>
      </c>
      <c r="K81" s="1192">
        <v>0</v>
      </c>
      <c r="L81" s="668">
        <v>0</v>
      </c>
      <c r="M81" s="669">
        <v>0</v>
      </c>
      <c r="N81" s="668">
        <v>0</v>
      </c>
      <c r="O81" s="668">
        <v>0</v>
      </c>
      <c r="P81" s="1192">
        <v>0</v>
      </c>
      <c r="Q81" s="668">
        <v>0</v>
      </c>
      <c r="R81" s="669">
        <v>0</v>
      </c>
      <c r="S81" s="668">
        <v>0</v>
      </c>
      <c r="T81" s="668">
        <v>0</v>
      </c>
      <c r="U81" s="1192">
        <v>0</v>
      </c>
      <c r="V81" s="668">
        <v>0</v>
      </c>
      <c r="W81" s="669">
        <v>0</v>
      </c>
      <c r="X81" s="668">
        <v>0</v>
      </c>
      <c r="Y81" s="668">
        <v>0</v>
      </c>
      <c r="Z81" s="631"/>
      <c r="AA81" s="631"/>
      <c r="AB81" s="631"/>
      <c r="AC81" s="631"/>
      <c r="AD81" s="631"/>
      <c r="AE81" s="631"/>
      <c r="AF81" s="631"/>
      <c r="AG81" s="658"/>
      <c r="AH81" s="658"/>
    </row>
    <row r="82" spans="1:34">
      <c r="A82" s="640">
        <v>830</v>
      </c>
      <c r="B82" s="792" t="s">
        <v>530</v>
      </c>
      <c r="C82" s="646"/>
      <c r="D82" s="646"/>
      <c r="E82" s="647"/>
      <c r="F82" s="668"/>
      <c r="G82" s="671"/>
      <c r="H82" s="671"/>
      <c r="I82" s="671"/>
      <c r="J82" s="671"/>
      <c r="K82" s="668"/>
      <c r="L82" s="671"/>
      <c r="M82" s="671"/>
      <c r="N82" s="671"/>
      <c r="O82" s="671"/>
      <c r="P82" s="668"/>
      <c r="Q82" s="671"/>
      <c r="R82" s="671"/>
      <c r="S82" s="671"/>
      <c r="T82" s="671"/>
      <c r="U82" s="668"/>
      <c r="V82" s="671"/>
      <c r="W82" s="671"/>
      <c r="X82" s="671"/>
      <c r="Y82" s="671"/>
      <c r="Z82" s="631"/>
      <c r="AA82" s="631"/>
      <c r="AB82" s="631"/>
      <c r="AC82" s="631"/>
      <c r="AD82" s="631"/>
      <c r="AE82" s="631"/>
      <c r="AF82" s="631"/>
      <c r="AG82" s="658"/>
      <c r="AH82" s="658"/>
    </row>
    <row r="83" spans="1:34">
      <c r="A83" s="640">
        <v>840</v>
      </c>
      <c r="B83" s="791" t="s">
        <v>530</v>
      </c>
      <c r="C83" s="643" t="s">
        <v>120</v>
      </c>
      <c r="D83" s="643"/>
      <c r="E83" s="644"/>
      <c r="F83" s="668">
        <v>0</v>
      </c>
      <c r="G83" s="668">
        <v>0</v>
      </c>
      <c r="H83" s="669">
        <v>0</v>
      </c>
      <c r="I83" s="668">
        <v>0</v>
      </c>
      <c r="J83" s="669">
        <v>0</v>
      </c>
      <c r="K83" s="668">
        <v>0</v>
      </c>
      <c r="L83" s="668">
        <v>0</v>
      </c>
      <c r="M83" s="669">
        <v>0</v>
      </c>
      <c r="N83" s="668">
        <v>0</v>
      </c>
      <c r="O83" s="669">
        <v>0</v>
      </c>
      <c r="P83" s="668">
        <v>0</v>
      </c>
      <c r="Q83" s="668">
        <v>0</v>
      </c>
      <c r="R83" s="669">
        <v>0</v>
      </c>
      <c r="S83" s="668">
        <v>0</v>
      </c>
      <c r="T83" s="669">
        <v>0</v>
      </c>
      <c r="U83" s="668">
        <v>0</v>
      </c>
      <c r="V83" s="668">
        <v>0</v>
      </c>
      <c r="W83" s="669">
        <v>0</v>
      </c>
      <c r="X83" s="668">
        <v>0</v>
      </c>
      <c r="Y83" s="669">
        <v>0</v>
      </c>
      <c r="Z83" s="631"/>
      <c r="AA83" s="631"/>
      <c r="AB83" s="631"/>
      <c r="AC83" s="631"/>
      <c r="AD83" s="631"/>
      <c r="AE83" s="631"/>
      <c r="AF83" s="631"/>
      <c r="AG83" s="658"/>
      <c r="AH83" s="658"/>
    </row>
    <row r="84" spans="1:34">
      <c r="A84" s="640">
        <v>850</v>
      </c>
      <c r="B84" s="791" t="s">
        <v>79</v>
      </c>
      <c r="C84" s="643"/>
      <c r="D84" s="643"/>
      <c r="E84" s="644"/>
      <c r="F84" s="668">
        <v>0</v>
      </c>
      <c r="G84" s="668">
        <v>0</v>
      </c>
      <c r="H84" s="669">
        <v>0</v>
      </c>
      <c r="I84" s="668">
        <v>0</v>
      </c>
      <c r="J84" s="669">
        <v>0</v>
      </c>
      <c r="K84" s="668">
        <v>0</v>
      </c>
      <c r="L84" s="668">
        <v>0</v>
      </c>
      <c r="M84" s="669">
        <v>0</v>
      </c>
      <c r="N84" s="668">
        <v>0</v>
      </c>
      <c r="O84" s="669">
        <v>0</v>
      </c>
      <c r="P84" s="668">
        <v>0</v>
      </c>
      <c r="Q84" s="668">
        <v>0</v>
      </c>
      <c r="R84" s="669">
        <v>0</v>
      </c>
      <c r="S84" s="668">
        <v>0</v>
      </c>
      <c r="T84" s="669">
        <v>0</v>
      </c>
      <c r="U84" s="668">
        <v>0</v>
      </c>
      <c r="V84" s="668">
        <v>0</v>
      </c>
      <c r="W84" s="669">
        <v>0</v>
      </c>
      <c r="X84" s="668">
        <v>0</v>
      </c>
      <c r="Y84" s="669">
        <v>0</v>
      </c>
      <c r="Z84" s="631"/>
      <c r="AA84" s="631"/>
      <c r="AB84" s="631"/>
      <c r="AC84" s="631"/>
      <c r="AD84" s="631"/>
      <c r="AE84" s="631"/>
      <c r="AF84" s="631"/>
      <c r="AG84" s="658"/>
      <c r="AH84" s="658"/>
    </row>
    <row r="85" spans="1:34">
      <c r="A85" s="640">
        <v>860</v>
      </c>
      <c r="B85" s="792" t="s">
        <v>300</v>
      </c>
      <c r="C85" s="646"/>
      <c r="D85" s="646"/>
      <c r="E85" s="647"/>
      <c r="F85" s="1266"/>
      <c r="G85" s="1266"/>
      <c r="H85" s="1266"/>
      <c r="I85" s="1266"/>
      <c r="J85" s="671"/>
      <c r="K85" s="1266"/>
      <c r="L85" s="1266"/>
      <c r="M85" s="1266"/>
      <c r="N85" s="1266"/>
      <c r="O85" s="671"/>
      <c r="P85" s="1266"/>
      <c r="Q85" s="1266"/>
      <c r="R85" s="1266"/>
      <c r="S85" s="1266"/>
      <c r="T85" s="671"/>
      <c r="U85" s="1266"/>
      <c r="V85" s="1266"/>
      <c r="W85" s="1266"/>
      <c r="X85" s="1266"/>
      <c r="Y85" s="671"/>
      <c r="Z85" s="631"/>
      <c r="AA85" s="631"/>
      <c r="AB85" s="631"/>
      <c r="AC85" s="631"/>
      <c r="AD85" s="631"/>
      <c r="AE85" s="631"/>
      <c r="AF85" s="631"/>
      <c r="AG85" s="658"/>
      <c r="AH85" s="658"/>
    </row>
    <row r="86" spans="1:34">
      <c r="A86" s="640">
        <v>870</v>
      </c>
      <c r="B86" s="789" t="s">
        <v>301</v>
      </c>
      <c r="C86" s="645">
        <v>565</v>
      </c>
      <c r="D86" s="645"/>
      <c r="E86" s="644"/>
      <c r="F86" s="668">
        <v>0</v>
      </c>
      <c r="G86" s="668">
        <v>0</v>
      </c>
      <c r="H86" s="669">
        <v>0</v>
      </c>
      <c r="I86" s="668">
        <v>0</v>
      </c>
      <c r="J86" s="669">
        <v>0</v>
      </c>
      <c r="K86" s="668">
        <v>0</v>
      </c>
      <c r="L86" s="668">
        <v>0</v>
      </c>
      <c r="M86" s="669">
        <v>0</v>
      </c>
      <c r="N86" s="668">
        <v>0</v>
      </c>
      <c r="O86" s="669">
        <v>0</v>
      </c>
      <c r="P86" s="668">
        <v>0</v>
      </c>
      <c r="Q86" s="668">
        <v>0</v>
      </c>
      <c r="R86" s="669">
        <v>0</v>
      </c>
      <c r="S86" s="668">
        <v>0</v>
      </c>
      <c r="T86" s="669">
        <v>0</v>
      </c>
      <c r="U86" s="668">
        <v>0</v>
      </c>
      <c r="V86" s="668">
        <v>0</v>
      </c>
      <c r="W86" s="669">
        <v>0</v>
      </c>
      <c r="X86" s="668">
        <v>0</v>
      </c>
      <c r="Y86" s="669">
        <v>0</v>
      </c>
      <c r="Z86" s="631"/>
      <c r="AA86" s="631"/>
      <c r="AB86" s="631"/>
      <c r="AC86" s="631"/>
      <c r="AD86" s="631"/>
      <c r="AE86" s="631"/>
      <c r="AF86" s="631"/>
      <c r="AG86" s="658"/>
      <c r="AH86" s="658"/>
    </row>
    <row r="87" spans="1:34">
      <c r="A87" s="640">
        <v>880</v>
      </c>
      <c r="B87" s="791" t="s">
        <v>465</v>
      </c>
      <c r="C87" s="643" t="s">
        <v>302</v>
      </c>
      <c r="D87" s="643"/>
      <c r="E87" s="644"/>
      <c r="F87" s="668">
        <v>0</v>
      </c>
      <c r="G87" s="668">
        <v>0</v>
      </c>
      <c r="H87" s="669">
        <v>0</v>
      </c>
      <c r="I87" s="668">
        <v>0</v>
      </c>
      <c r="J87" s="669">
        <v>0</v>
      </c>
      <c r="K87" s="668">
        <v>0</v>
      </c>
      <c r="L87" s="668">
        <v>0</v>
      </c>
      <c r="M87" s="669">
        <v>0</v>
      </c>
      <c r="N87" s="668">
        <v>0</v>
      </c>
      <c r="O87" s="669">
        <v>0</v>
      </c>
      <c r="P87" s="668">
        <v>0</v>
      </c>
      <c r="Q87" s="668">
        <v>0</v>
      </c>
      <c r="R87" s="669">
        <v>0</v>
      </c>
      <c r="S87" s="668">
        <v>0</v>
      </c>
      <c r="T87" s="669">
        <v>0</v>
      </c>
      <c r="U87" s="668">
        <v>0</v>
      </c>
      <c r="V87" s="668">
        <v>0</v>
      </c>
      <c r="W87" s="669">
        <v>0</v>
      </c>
      <c r="X87" s="668">
        <v>0</v>
      </c>
      <c r="Y87" s="669">
        <v>0</v>
      </c>
      <c r="Z87" s="631"/>
      <c r="AA87" s="631"/>
      <c r="AB87" s="631"/>
      <c r="AC87" s="631"/>
      <c r="AD87" s="631"/>
      <c r="AE87" s="631"/>
      <c r="AF87" s="631"/>
      <c r="AG87" s="658"/>
      <c r="AH87" s="658"/>
    </row>
    <row r="88" spans="1:34">
      <c r="A88" s="640">
        <v>890</v>
      </c>
      <c r="B88" s="789" t="s">
        <v>466</v>
      </c>
      <c r="C88" s="645" t="s">
        <v>303</v>
      </c>
      <c r="D88" s="645"/>
      <c r="E88" s="644"/>
      <c r="F88" s="668">
        <v>0</v>
      </c>
      <c r="G88" s="668">
        <v>0</v>
      </c>
      <c r="H88" s="669">
        <v>0</v>
      </c>
      <c r="I88" s="668">
        <v>0</v>
      </c>
      <c r="J88" s="669">
        <v>0</v>
      </c>
      <c r="K88" s="668">
        <v>0</v>
      </c>
      <c r="L88" s="668">
        <v>0</v>
      </c>
      <c r="M88" s="669">
        <v>0</v>
      </c>
      <c r="N88" s="668">
        <v>0</v>
      </c>
      <c r="O88" s="669">
        <v>0</v>
      </c>
      <c r="P88" s="668">
        <v>0</v>
      </c>
      <c r="Q88" s="668">
        <v>0</v>
      </c>
      <c r="R88" s="669">
        <v>0</v>
      </c>
      <c r="S88" s="668">
        <v>0</v>
      </c>
      <c r="T88" s="669">
        <v>0</v>
      </c>
      <c r="U88" s="668">
        <v>0</v>
      </c>
      <c r="V88" s="668">
        <v>0</v>
      </c>
      <c r="W88" s="669">
        <v>0</v>
      </c>
      <c r="X88" s="668">
        <v>0</v>
      </c>
      <c r="Y88" s="669">
        <v>0</v>
      </c>
      <c r="Z88" s="631"/>
      <c r="AA88" s="631"/>
      <c r="AB88" s="631"/>
      <c r="AC88" s="631"/>
      <c r="AD88" s="631"/>
      <c r="AE88" s="631"/>
      <c r="AF88" s="631"/>
      <c r="AG88" s="658"/>
      <c r="AH88" s="658"/>
    </row>
    <row r="89" spans="1:34">
      <c r="A89" s="640">
        <v>900</v>
      </c>
      <c r="B89" s="791" t="s">
        <v>167</v>
      </c>
      <c r="C89" s="643">
        <v>924</v>
      </c>
      <c r="D89" s="643"/>
      <c r="E89" s="644"/>
      <c r="F89" s="668">
        <v>0</v>
      </c>
      <c r="G89" s="668">
        <v>0</v>
      </c>
      <c r="H89" s="669">
        <v>0</v>
      </c>
      <c r="I89" s="668">
        <v>0</v>
      </c>
      <c r="J89" s="669">
        <v>0</v>
      </c>
      <c r="K89" s="668">
        <v>0</v>
      </c>
      <c r="L89" s="668">
        <v>0</v>
      </c>
      <c r="M89" s="669">
        <v>0</v>
      </c>
      <c r="N89" s="668">
        <v>0</v>
      </c>
      <c r="O89" s="669">
        <v>0</v>
      </c>
      <c r="P89" s="668">
        <v>0</v>
      </c>
      <c r="Q89" s="668">
        <v>0</v>
      </c>
      <c r="R89" s="669">
        <v>0</v>
      </c>
      <c r="S89" s="668">
        <v>0</v>
      </c>
      <c r="T89" s="669">
        <v>0</v>
      </c>
      <c r="U89" s="668">
        <v>0</v>
      </c>
      <c r="V89" s="668">
        <v>0</v>
      </c>
      <c r="W89" s="669">
        <v>0</v>
      </c>
      <c r="X89" s="668">
        <v>0</v>
      </c>
      <c r="Y89" s="669">
        <v>0</v>
      </c>
      <c r="Z89" s="631"/>
      <c r="AA89" s="631"/>
      <c r="AB89" s="631"/>
      <c r="AC89" s="631"/>
      <c r="AD89" s="631"/>
      <c r="AE89" s="631"/>
      <c r="AF89" s="631"/>
      <c r="AG89" s="658"/>
      <c r="AH89" s="658"/>
    </row>
    <row r="90" spans="1:34">
      <c r="A90" s="640">
        <v>910</v>
      </c>
      <c r="B90" s="789" t="s">
        <v>599</v>
      </c>
      <c r="C90" s="645">
        <v>403</v>
      </c>
      <c r="D90" s="645"/>
      <c r="E90" s="644"/>
      <c r="F90" s="668">
        <v>0</v>
      </c>
      <c r="G90" s="668">
        <v>0</v>
      </c>
      <c r="H90" s="669">
        <v>0</v>
      </c>
      <c r="I90" s="668">
        <v>0</v>
      </c>
      <c r="J90" s="669">
        <v>0</v>
      </c>
      <c r="K90" s="668">
        <v>0</v>
      </c>
      <c r="L90" s="668">
        <v>0</v>
      </c>
      <c r="M90" s="669">
        <v>0</v>
      </c>
      <c r="N90" s="668">
        <v>0</v>
      </c>
      <c r="O90" s="669">
        <v>0</v>
      </c>
      <c r="P90" s="668">
        <v>0</v>
      </c>
      <c r="Q90" s="668">
        <v>0</v>
      </c>
      <c r="R90" s="669">
        <v>0</v>
      </c>
      <c r="S90" s="668">
        <v>0</v>
      </c>
      <c r="T90" s="669">
        <v>0</v>
      </c>
      <c r="U90" s="668">
        <v>0</v>
      </c>
      <c r="V90" s="668">
        <v>0</v>
      </c>
      <c r="W90" s="669">
        <v>0</v>
      </c>
      <c r="X90" s="668">
        <v>0</v>
      </c>
      <c r="Y90" s="669">
        <v>0</v>
      </c>
      <c r="Z90" s="631"/>
      <c r="AA90" s="631"/>
      <c r="AB90" s="631"/>
      <c r="AC90" s="631"/>
      <c r="AD90" s="631"/>
      <c r="AE90" s="631"/>
      <c r="AF90" s="631"/>
      <c r="AG90" s="658"/>
      <c r="AH90" s="658"/>
    </row>
    <row r="91" spans="1:34">
      <c r="A91" s="640">
        <v>920</v>
      </c>
      <c r="B91" s="791" t="s">
        <v>328</v>
      </c>
      <c r="C91" s="643">
        <v>456</v>
      </c>
      <c r="D91" s="643"/>
      <c r="E91" s="644"/>
      <c r="F91" s="668">
        <v>0</v>
      </c>
      <c r="G91" s="668">
        <v>0</v>
      </c>
      <c r="H91" s="669">
        <v>0</v>
      </c>
      <c r="I91" s="668">
        <v>0</v>
      </c>
      <c r="J91" s="669">
        <v>0</v>
      </c>
      <c r="K91" s="668">
        <v>0</v>
      </c>
      <c r="L91" s="668">
        <v>0</v>
      </c>
      <c r="M91" s="669">
        <v>0</v>
      </c>
      <c r="N91" s="668">
        <v>0</v>
      </c>
      <c r="O91" s="669">
        <v>0</v>
      </c>
      <c r="P91" s="668">
        <v>0</v>
      </c>
      <c r="Q91" s="668">
        <v>0</v>
      </c>
      <c r="R91" s="669">
        <v>0</v>
      </c>
      <c r="S91" s="668">
        <v>0</v>
      </c>
      <c r="T91" s="669">
        <v>0</v>
      </c>
      <c r="U91" s="668">
        <v>0</v>
      </c>
      <c r="V91" s="668">
        <v>0</v>
      </c>
      <c r="W91" s="669">
        <v>0</v>
      </c>
      <c r="X91" s="668">
        <v>0</v>
      </c>
      <c r="Y91" s="669">
        <v>0</v>
      </c>
      <c r="Z91" s="631"/>
      <c r="AA91" s="631"/>
      <c r="AB91" s="631"/>
      <c r="AC91" s="631"/>
      <c r="AD91" s="631"/>
      <c r="AE91" s="631"/>
      <c r="AF91" s="631"/>
      <c r="AG91" s="658"/>
      <c r="AH91" s="658"/>
    </row>
    <row r="92" spans="1:34">
      <c r="A92" s="640">
        <v>930</v>
      </c>
      <c r="B92" s="789" t="s">
        <v>507</v>
      </c>
      <c r="C92" s="645">
        <v>456.1</v>
      </c>
      <c r="D92" s="645"/>
      <c r="E92" s="644"/>
      <c r="F92" s="668">
        <v>0</v>
      </c>
      <c r="G92" s="668">
        <v>0</v>
      </c>
      <c r="H92" s="669">
        <v>0</v>
      </c>
      <c r="I92" s="668">
        <v>0</v>
      </c>
      <c r="J92" s="669">
        <v>0</v>
      </c>
      <c r="K92" s="668">
        <v>0</v>
      </c>
      <c r="L92" s="668">
        <v>0</v>
      </c>
      <c r="M92" s="669">
        <v>0</v>
      </c>
      <c r="N92" s="668">
        <v>0</v>
      </c>
      <c r="O92" s="669">
        <v>0</v>
      </c>
      <c r="P92" s="668">
        <v>0</v>
      </c>
      <c r="Q92" s="668">
        <v>0</v>
      </c>
      <c r="R92" s="669">
        <v>0</v>
      </c>
      <c r="S92" s="668">
        <v>0</v>
      </c>
      <c r="T92" s="669">
        <v>0</v>
      </c>
      <c r="U92" s="668">
        <v>0</v>
      </c>
      <c r="V92" s="668">
        <v>0</v>
      </c>
      <c r="W92" s="669">
        <v>0</v>
      </c>
      <c r="X92" s="668">
        <v>0</v>
      </c>
      <c r="Y92" s="669">
        <v>0</v>
      </c>
      <c r="Z92" s="631"/>
      <c r="AA92" s="631"/>
      <c r="AB92" s="631"/>
      <c r="AC92" s="631"/>
      <c r="AD92" s="631"/>
      <c r="AE92" s="631"/>
      <c r="AF92" s="631"/>
      <c r="AG92" s="658"/>
      <c r="AH92" s="658"/>
    </row>
    <row r="93" spans="1:34">
      <c r="A93" s="640">
        <v>940</v>
      </c>
      <c r="B93" s="792" t="s">
        <v>304</v>
      </c>
      <c r="C93" s="646"/>
      <c r="D93" s="646"/>
      <c r="E93" s="647"/>
      <c r="F93" s="671"/>
      <c r="G93" s="671"/>
      <c r="H93" s="671"/>
      <c r="I93" s="671"/>
      <c r="J93" s="671"/>
      <c r="K93" s="671"/>
      <c r="L93" s="671"/>
      <c r="M93" s="671"/>
      <c r="N93" s="671"/>
      <c r="O93" s="671"/>
      <c r="P93" s="671"/>
      <c r="Q93" s="671"/>
      <c r="R93" s="671"/>
      <c r="S93" s="671"/>
      <c r="T93" s="671"/>
      <c r="U93" s="671"/>
      <c r="V93" s="671"/>
      <c r="W93" s="671"/>
      <c r="X93" s="671"/>
      <c r="Y93" s="671"/>
      <c r="Z93" s="631"/>
      <c r="AA93" s="631"/>
      <c r="AB93" s="631"/>
      <c r="AC93" s="631"/>
      <c r="AD93" s="631"/>
      <c r="AE93" s="631"/>
      <c r="AF93" s="631"/>
      <c r="AG93" s="658"/>
      <c r="AH93" s="658"/>
    </row>
    <row r="94" spans="1:34">
      <c r="A94" s="640">
        <v>950</v>
      </c>
      <c r="B94" s="789" t="s">
        <v>305</v>
      </c>
      <c r="C94" s="645">
        <v>262</v>
      </c>
      <c r="D94" s="645"/>
      <c r="E94" s="644"/>
      <c r="F94" s="668">
        <v>0</v>
      </c>
      <c r="G94" s="668">
        <v>0</v>
      </c>
      <c r="H94" s="669">
        <v>0</v>
      </c>
      <c r="I94" s="668">
        <v>0</v>
      </c>
      <c r="J94" s="669">
        <v>0</v>
      </c>
      <c r="K94" s="668">
        <v>0</v>
      </c>
      <c r="L94" s="668">
        <v>0</v>
      </c>
      <c r="M94" s="669">
        <v>0</v>
      </c>
      <c r="N94" s="668">
        <v>0</v>
      </c>
      <c r="O94" s="669">
        <v>0</v>
      </c>
      <c r="P94" s="668">
        <v>0</v>
      </c>
      <c r="Q94" s="668">
        <v>0</v>
      </c>
      <c r="R94" s="669">
        <v>0</v>
      </c>
      <c r="S94" s="668">
        <v>0</v>
      </c>
      <c r="T94" s="669">
        <v>0</v>
      </c>
      <c r="U94" s="668">
        <v>0</v>
      </c>
      <c r="V94" s="668">
        <v>0</v>
      </c>
      <c r="W94" s="669">
        <v>0</v>
      </c>
      <c r="X94" s="668">
        <v>0</v>
      </c>
      <c r="Y94" s="669">
        <v>0</v>
      </c>
      <c r="Z94" s="631"/>
      <c r="AA94" s="631"/>
      <c r="AB94" s="631"/>
      <c r="AC94" s="631"/>
      <c r="AD94" s="631"/>
      <c r="AE94" s="631"/>
      <c r="AF94" s="631"/>
      <c r="AG94" s="658"/>
      <c r="AH94" s="658"/>
    </row>
    <row r="95" spans="1:34">
      <c r="A95" s="640">
        <v>960</v>
      </c>
      <c r="B95" s="791"/>
      <c r="C95" s="643"/>
      <c r="D95" s="643"/>
      <c r="E95" s="644"/>
      <c r="F95" s="668"/>
      <c r="G95" s="669"/>
      <c r="H95" s="669"/>
      <c r="I95" s="668"/>
      <c r="J95" s="669"/>
      <c r="K95" s="668"/>
      <c r="L95" s="669"/>
      <c r="M95" s="790"/>
      <c r="N95" s="668"/>
      <c r="O95" s="669"/>
      <c r="P95" s="669"/>
      <c r="Q95" s="669"/>
      <c r="R95" s="669"/>
      <c r="S95" s="669"/>
      <c r="T95" s="669"/>
      <c r="U95" s="669"/>
      <c r="V95" s="669"/>
      <c r="W95" s="669"/>
      <c r="X95" s="669"/>
      <c r="Y95" s="670"/>
      <c r="Z95" s="631"/>
      <c r="AA95" s="631"/>
      <c r="AB95" s="631"/>
      <c r="AC95" s="631"/>
      <c r="AD95" s="631"/>
      <c r="AE95" s="631"/>
      <c r="AF95" s="631"/>
      <c r="AG95" s="658"/>
      <c r="AH95" s="658"/>
    </row>
    <row r="96" spans="1:34">
      <c r="A96" s="640">
        <v>970</v>
      </c>
      <c r="B96" s="789"/>
      <c r="C96" s="645"/>
      <c r="D96" s="645"/>
      <c r="E96" s="644"/>
      <c r="F96" s="668"/>
      <c r="G96" s="669"/>
      <c r="H96" s="669"/>
      <c r="I96" s="668"/>
      <c r="J96" s="669"/>
      <c r="K96" s="668"/>
      <c r="L96" s="669"/>
      <c r="M96" s="790"/>
      <c r="N96" s="668"/>
      <c r="O96" s="669"/>
      <c r="P96" s="669"/>
      <c r="Q96" s="669"/>
      <c r="R96" s="669"/>
      <c r="S96" s="669"/>
      <c r="T96" s="669"/>
      <c r="U96" s="669"/>
      <c r="V96" s="669"/>
      <c r="W96" s="669"/>
      <c r="X96" s="669"/>
      <c r="Y96" s="670"/>
      <c r="Z96" s="631"/>
      <c r="AA96" s="631"/>
      <c r="AB96" s="631"/>
      <c r="AC96" s="631"/>
      <c r="AD96" s="631"/>
      <c r="AE96" s="631"/>
      <c r="AF96" s="631"/>
      <c r="AG96" s="658"/>
      <c r="AH96" s="658"/>
    </row>
    <row r="97" spans="1:34">
      <c r="A97" s="640">
        <v>980</v>
      </c>
      <c r="B97" s="792"/>
      <c r="C97" s="643"/>
      <c r="D97" s="643"/>
      <c r="E97" s="644"/>
      <c r="F97" s="668"/>
      <c r="G97" s="669"/>
      <c r="H97" s="669"/>
      <c r="I97" s="668"/>
      <c r="J97" s="669"/>
      <c r="K97" s="668"/>
      <c r="L97" s="669"/>
      <c r="M97" s="790"/>
      <c r="N97" s="668"/>
      <c r="O97" s="669"/>
      <c r="P97" s="669"/>
      <c r="Q97" s="669"/>
      <c r="R97" s="669"/>
      <c r="S97" s="669"/>
      <c r="T97" s="669"/>
      <c r="U97" s="669"/>
      <c r="V97" s="669"/>
      <c r="W97" s="669"/>
      <c r="X97" s="669"/>
      <c r="Y97" s="670"/>
      <c r="Z97" s="631"/>
      <c r="AA97" s="631"/>
      <c r="AB97" s="631"/>
      <c r="AC97" s="631"/>
      <c r="AD97" s="631"/>
      <c r="AE97" s="631"/>
      <c r="AF97" s="631"/>
      <c r="AG97" s="658"/>
      <c r="AH97" s="658"/>
    </row>
    <row r="98" spans="1:34">
      <c r="A98" s="640">
        <v>990</v>
      </c>
      <c r="B98" s="789"/>
      <c r="C98" s="645"/>
      <c r="D98" s="645"/>
      <c r="E98" s="644"/>
      <c r="F98" s="668"/>
      <c r="G98" s="669"/>
      <c r="H98" s="669"/>
      <c r="I98" s="668"/>
      <c r="J98" s="669"/>
      <c r="K98" s="668"/>
      <c r="L98" s="669"/>
      <c r="M98" s="790"/>
      <c r="N98" s="668"/>
      <c r="O98" s="669"/>
      <c r="P98" s="669"/>
      <c r="Q98" s="669"/>
      <c r="R98" s="669"/>
      <c r="S98" s="669"/>
      <c r="T98" s="669"/>
      <c r="U98" s="669"/>
      <c r="V98" s="669"/>
      <c r="W98" s="669"/>
      <c r="X98" s="669"/>
      <c r="Y98" s="670"/>
      <c r="Z98" s="631"/>
      <c r="AA98" s="631"/>
      <c r="AB98" s="631"/>
      <c r="AC98" s="631"/>
      <c r="AD98" s="631"/>
      <c r="AE98" s="631"/>
      <c r="AF98" s="631"/>
      <c r="AG98" s="658"/>
      <c r="AH98" s="658"/>
    </row>
    <row r="99" spans="1:34">
      <c r="A99" s="640">
        <v>1000</v>
      </c>
      <c r="B99" s="791"/>
      <c r="C99" s="643"/>
      <c r="D99" s="643"/>
      <c r="E99" s="644"/>
      <c r="F99" s="668"/>
      <c r="G99" s="669"/>
      <c r="H99" s="669"/>
      <c r="I99" s="668"/>
      <c r="J99" s="669"/>
      <c r="K99" s="668"/>
      <c r="L99" s="669"/>
      <c r="M99" s="790"/>
      <c r="N99" s="668"/>
      <c r="O99" s="669"/>
      <c r="P99" s="669"/>
      <c r="Q99" s="669"/>
      <c r="R99" s="669"/>
      <c r="S99" s="669"/>
      <c r="T99" s="669"/>
      <c r="U99" s="669"/>
      <c r="V99" s="669"/>
      <c r="W99" s="669"/>
      <c r="X99" s="669"/>
      <c r="Y99" s="670"/>
      <c r="Z99" s="631"/>
      <c r="AA99" s="631"/>
      <c r="AB99" s="631"/>
      <c r="AC99" s="631"/>
      <c r="AD99" s="631"/>
      <c r="AE99" s="631"/>
      <c r="AF99" s="631"/>
      <c r="AG99" s="658"/>
      <c r="AH99" s="658"/>
    </row>
    <row r="100" spans="1:34">
      <c r="A100" s="640">
        <v>1010</v>
      </c>
      <c r="B100" s="789"/>
      <c r="C100" s="645"/>
      <c r="D100" s="645"/>
      <c r="E100" s="644"/>
      <c r="F100" s="668"/>
      <c r="G100" s="669"/>
      <c r="H100" s="669"/>
      <c r="I100" s="668"/>
      <c r="J100" s="669"/>
      <c r="K100" s="668"/>
      <c r="L100" s="669"/>
      <c r="M100" s="790"/>
      <c r="N100" s="668"/>
      <c r="O100" s="669"/>
      <c r="P100" s="669"/>
      <c r="Q100" s="669"/>
      <c r="R100" s="669"/>
      <c r="S100" s="669"/>
      <c r="T100" s="669"/>
      <c r="U100" s="669"/>
      <c r="V100" s="669"/>
      <c r="W100" s="669"/>
      <c r="X100" s="669"/>
      <c r="Y100" s="670"/>
      <c r="Z100" s="631"/>
      <c r="AA100" s="631"/>
      <c r="AB100" s="631"/>
      <c r="AC100" s="631"/>
      <c r="AD100" s="631"/>
      <c r="AE100" s="631"/>
      <c r="AF100" s="631"/>
      <c r="AG100" s="658"/>
      <c r="AH100" s="658"/>
    </row>
    <row r="101" spans="1:34">
      <c r="A101" s="640">
        <v>1020</v>
      </c>
      <c r="B101" s="791"/>
      <c r="C101" s="643"/>
      <c r="D101" s="643"/>
      <c r="E101" s="644"/>
      <c r="F101" s="668"/>
      <c r="G101" s="669"/>
      <c r="H101" s="669"/>
      <c r="I101" s="668"/>
      <c r="J101" s="669"/>
      <c r="K101" s="668"/>
      <c r="L101" s="669"/>
      <c r="M101" s="790"/>
      <c r="N101" s="668"/>
      <c r="O101" s="669"/>
      <c r="P101" s="669"/>
      <c r="Q101" s="669"/>
      <c r="R101" s="669"/>
      <c r="S101" s="669"/>
      <c r="T101" s="669"/>
      <c r="U101" s="669"/>
      <c r="V101" s="669"/>
      <c r="W101" s="669"/>
      <c r="X101" s="669"/>
      <c r="Y101" s="670"/>
      <c r="Z101" s="631"/>
      <c r="AA101" s="631"/>
      <c r="AB101" s="631"/>
      <c r="AC101" s="631"/>
      <c r="AD101" s="631"/>
      <c r="AE101" s="631"/>
      <c r="AF101" s="631"/>
      <c r="AG101" s="658"/>
      <c r="AH101" s="658"/>
    </row>
    <row r="102" spans="1:34">
      <c r="A102" s="640">
        <v>1030</v>
      </c>
      <c r="B102" s="789"/>
      <c r="C102" s="645"/>
      <c r="D102" s="645"/>
      <c r="E102" s="644"/>
      <c r="F102" s="668"/>
      <c r="G102" s="669"/>
      <c r="H102" s="669"/>
      <c r="I102" s="668"/>
      <c r="J102" s="669"/>
      <c r="K102" s="668"/>
      <c r="L102" s="669"/>
      <c r="M102" s="790"/>
      <c r="N102" s="668"/>
      <c r="O102" s="669"/>
      <c r="P102" s="669"/>
      <c r="Q102" s="669"/>
      <c r="R102" s="669"/>
      <c r="S102" s="669"/>
      <c r="T102" s="669"/>
      <c r="U102" s="669"/>
      <c r="V102" s="669"/>
      <c r="W102" s="669"/>
      <c r="X102" s="669"/>
      <c r="Y102" s="670"/>
      <c r="Z102" s="631"/>
      <c r="AA102" s="631"/>
      <c r="AB102" s="631"/>
      <c r="AC102" s="631"/>
      <c r="AD102" s="631"/>
      <c r="AE102" s="631"/>
      <c r="AF102" s="631"/>
      <c r="AG102" s="658"/>
      <c r="AH102" s="658"/>
    </row>
    <row r="103" spans="1:34">
      <c r="A103" s="640">
        <v>1040</v>
      </c>
      <c r="B103" s="791"/>
      <c r="C103" s="643"/>
      <c r="D103" s="643"/>
      <c r="E103" s="644"/>
      <c r="F103" s="668"/>
      <c r="G103" s="669"/>
      <c r="H103" s="669"/>
      <c r="I103" s="668"/>
      <c r="J103" s="669"/>
      <c r="K103" s="668"/>
      <c r="L103" s="669"/>
      <c r="M103" s="790"/>
      <c r="N103" s="668"/>
      <c r="O103" s="669"/>
      <c r="P103" s="669"/>
      <c r="Q103" s="669"/>
      <c r="R103" s="669"/>
      <c r="S103" s="669"/>
      <c r="T103" s="669"/>
      <c r="U103" s="669"/>
      <c r="V103" s="669"/>
      <c r="W103" s="669"/>
      <c r="X103" s="669"/>
      <c r="Y103" s="670"/>
      <c r="Z103" s="631"/>
      <c r="AA103" s="631"/>
      <c r="AB103" s="631"/>
      <c r="AC103" s="631"/>
      <c r="AD103" s="631"/>
      <c r="AE103" s="631"/>
      <c r="AF103" s="631"/>
      <c r="AG103" s="658"/>
      <c r="AH103" s="658"/>
    </row>
    <row r="104" spans="1:34">
      <c r="A104" s="640">
        <v>1050</v>
      </c>
      <c r="B104" s="791"/>
      <c r="C104" s="643"/>
      <c r="D104" s="643"/>
      <c r="E104" s="644"/>
      <c r="F104" s="668"/>
      <c r="G104" s="669"/>
      <c r="H104" s="669"/>
      <c r="I104" s="668"/>
      <c r="J104" s="669"/>
      <c r="K104" s="668"/>
      <c r="L104" s="669"/>
      <c r="M104" s="790"/>
      <c r="N104" s="668"/>
      <c r="O104" s="669"/>
      <c r="P104" s="669"/>
      <c r="Q104" s="669"/>
      <c r="R104" s="669"/>
      <c r="S104" s="669"/>
      <c r="T104" s="669"/>
      <c r="U104" s="669"/>
      <c r="V104" s="669"/>
      <c r="W104" s="669"/>
      <c r="X104" s="669"/>
      <c r="Y104" s="670"/>
      <c r="Z104" s="631"/>
      <c r="AA104" s="631"/>
      <c r="AB104" s="631"/>
      <c r="AC104" s="631"/>
      <c r="AD104" s="631"/>
      <c r="AE104" s="631"/>
      <c r="AF104" s="631"/>
      <c r="AG104" s="658"/>
      <c r="AH104" s="658"/>
    </row>
    <row r="105" spans="1:34">
      <c r="A105" s="640">
        <v>1060</v>
      </c>
      <c r="B105" s="789"/>
      <c r="C105" s="645"/>
      <c r="D105" s="645"/>
      <c r="E105" s="644"/>
      <c r="F105" s="668"/>
      <c r="G105" s="669"/>
      <c r="H105" s="669"/>
      <c r="I105" s="668"/>
      <c r="J105" s="669"/>
      <c r="K105" s="668"/>
      <c r="L105" s="669"/>
      <c r="M105" s="790"/>
      <c r="N105" s="668"/>
      <c r="O105" s="669"/>
      <c r="P105" s="669"/>
      <c r="Q105" s="669"/>
      <c r="R105" s="669"/>
      <c r="S105" s="669"/>
      <c r="T105" s="669"/>
      <c r="U105" s="669"/>
      <c r="V105" s="669"/>
      <c r="W105" s="669"/>
      <c r="X105" s="669"/>
      <c r="Y105" s="670"/>
      <c r="Z105" s="631"/>
      <c r="AA105" s="631"/>
      <c r="AB105" s="631"/>
      <c r="AC105" s="631"/>
      <c r="AD105" s="631"/>
      <c r="AE105" s="631"/>
      <c r="AF105" s="631"/>
      <c r="AG105" s="658"/>
      <c r="AH105" s="658"/>
    </row>
    <row r="106" spans="1:34">
      <c r="A106" s="640">
        <v>1070</v>
      </c>
      <c r="B106" s="798"/>
      <c r="C106" s="650"/>
      <c r="D106" s="650"/>
      <c r="E106" s="651"/>
      <c r="F106" s="675"/>
      <c r="G106" s="676"/>
      <c r="H106" s="676"/>
      <c r="I106" s="675"/>
      <c r="J106" s="676"/>
      <c r="K106" s="675"/>
      <c r="L106" s="676"/>
      <c r="M106" s="799"/>
      <c r="N106" s="675"/>
      <c r="O106" s="676"/>
      <c r="P106" s="676"/>
      <c r="Q106" s="676"/>
      <c r="R106" s="676"/>
      <c r="S106" s="676"/>
      <c r="T106" s="676"/>
      <c r="U106" s="676"/>
      <c r="V106" s="676"/>
      <c r="W106" s="676"/>
      <c r="X106" s="676"/>
      <c r="Y106" s="677"/>
      <c r="Z106" s="631"/>
      <c r="AA106" s="631"/>
      <c r="AB106" s="631"/>
      <c r="AC106" s="631"/>
      <c r="AD106" s="631"/>
      <c r="AE106" s="631"/>
      <c r="AF106" s="631"/>
      <c r="AG106" s="658"/>
      <c r="AH106" s="658"/>
    </row>
    <row r="107" spans="1:34">
      <c r="A107" s="640">
        <v>1080</v>
      </c>
      <c r="B107" s="792" t="s">
        <v>306</v>
      </c>
      <c r="C107" s="646"/>
      <c r="D107" s="646"/>
      <c r="E107" s="647"/>
      <c r="F107" s="671"/>
      <c r="G107" s="671"/>
      <c r="H107" s="1303"/>
      <c r="I107" s="671"/>
      <c r="J107" s="671"/>
      <c r="K107" s="671"/>
      <c r="L107" s="671"/>
      <c r="M107" s="793"/>
      <c r="N107" s="671"/>
      <c r="O107" s="671"/>
      <c r="P107" s="671"/>
      <c r="Q107" s="671"/>
      <c r="R107" s="671"/>
      <c r="S107" s="671"/>
      <c r="T107" s="671"/>
      <c r="U107" s="671"/>
      <c r="V107" s="671"/>
      <c r="W107" s="671"/>
      <c r="X107" s="671"/>
      <c r="Y107" s="672"/>
      <c r="Z107" s="631"/>
      <c r="AA107" s="631"/>
      <c r="AB107" s="631"/>
      <c r="AC107" s="631"/>
      <c r="AD107" s="631"/>
      <c r="AE107" s="631"/>
      <c r="AF107" s="631"/>
      <c r="AG107" s="658"/>
      <c r="AH107" s="658"/>
    </row>
    <row r="108" spans="1:34">
      <c r="A108" s="652">
        <v>91000</v>
      </c>
      <c r="B108" s="789" t="s">
        <v>307</v>
      </c>
      <c r="C108" s="645"/>
      <c r="D108" s="645"/>
      <c r="E108" s="644"/>
      <c r="F108" s="678">
        <f>SUM(F9,F49)</f>
        <v>0</v>
      </c>
      <c r="G108" s="678">
        <f>SUM(G9,G49)</f>
        <v>0</v>
      </c>
      <c r="H108" s="679">
        <f>SUM(H9,H49)</f>
        <v>0</v>
      </c>
      <c r="I108" s="678">
        <f t="shared" ref="I108:Y108" si="10">SUM(I9,I49)</f>
        <v>0</v>
      </c>
      <c r="J108" s="678">
        <f t="shared" si="10"/>
        <v>0</v>
      </c>
      <c r="K108" s="678">
        <f>SUM(K9,K49)</f>
        <v>0</v>
      </c>
      <c r="L108" s="678">
        <f>SUM(L9,L49)</f>
        <v>0</v>
      </c>
      <c r="M108" s="797">
        <f>SUM(M9,M49)</f>
        <v>0</v>
      </c>
      <c r="N108" s="678">
        <f t="shared" si="10"/>
        <v>0</v>
      </c>
      <c r="O108" s="678">
        <f t="shared" si="10"/>
        <v>0</v>
      </c>
      <c r="P108" s="678">
        <f t="shared" si="10"/>
        <v>0</v>
      </c>
      <c r="Q108" s="678">
        <f t="shared" si="10"/>
        <v>0</v>
      </c>
      <c r="R108" s="678">
        <f t="shared" si="10"/>
        <v>0</v>
      </c>
      <c r="S108" s="678">
        <f t="shared" si="10"/>
        <v>0</v>
      </c>
      <c r="T108" s="678">
        <f t="shared" si="10"/>
        <v>0</v>
      </c>
      <c r="U108" s="678">
        <f t="shared" si="10"/>
        <v>0</v>
      </c>
      <c r="V108" s="678">
        <f t="shared" si="10"/>
        <v>0</v>
      </c>
      <c r="W108" s="678">
        <f t="shared" si="10"/>
        <v>0</v>
      </c>
      <c r="X108" s="678">
        <f t="shared" si="10"/>
        <v>0</v>
      </c>
      <c r="Y108" s="678">
        <f t="shared" si="10"/>
        <v>0</v>
      </c>
    </row>
    <row r="109" spans="1:34">
      <c r="A109" s="652">
        <v>92000</v>
      </c>
      <c r="B109" s="791" t="s">
        <v>308</v>
      </c>
      <c r="C109" s="643"/>
      <c r="D109" s="643"/>
      <c r="E109" s="644"/>
      <c r="F109" s="678">
        <f>SUM(F10,F24,F36,F50,F84)</f>
        <v>0</v>
      </c>
      <c r="G109" s="678">
        <f>SUM(G10,G24,G36,G50,G84)</f>
        <v>0</v>
      </c>
      <c r="H109" s="679">
        <f>SUM(H10,H24,H36,H50,H84)</f>
        <v>0</v>
      </c>
      <c r="I109" s="678">
        <f t="shared" ref="I109:Y109" si="11">SUM(I10,I24,I36,I50,I84)</f>
        <v>0</v>
      </c>
      <c r="J109" s="678">
        <f t="shared" si="11"/>
        <v>0</v>
      </c>
      <c r="K109" s="678">
        <f>SUM(K10,K24,K36,K50,K84)</f>
        <v>0</v>
      </c>
      <c r="L109" s="678">
        <f>SUM(L10,L24,L36,L50,L84)</f>
        <v>0</v>
      </c>
      <c r="M109" s="797">
        <f>SUM(M10,M24,M36,M50,M84)</f>
        <v>0</v>
      </c>
      <c r="N109" s="678">
        <f t="shared" si="11"/>
        <v>0</v>
      </c>
      <c r="O109" s="678">
        <f t="shared" si="11"/>
        <v>0</v>
      </c>
      <c r="P109" s="678">
        <f t="shared" si="11"/>
        <v>0</v>
      </c>
      <c r="Q109" s="678">
        <f t="shared" si="11"/>
        <v>0</v>
      </c>
      <c r="R109" s="678">
        <f t="shared" si="11"/>
        <v>0</v>
      </c>
      <c r="S109" s="678">
        <f t="shared" si="11"/>
        <v>0</v>
      </c>
      <c r="T109" s="678">
        <f t="shared" si="11"/>
        <v>0</v>
      </c>
      <c r="U109" s="678">
        <f t="shared" si="11"/>
        <v>0</v>
      </c>
      <c r="V109" s="678">
        <f t="shared" si="11"/>
        <v>0</v>
      </c>
      <c r="W109" s="678">
        <f t="shared" si="11"/>
        <v>0</v>
      </c>
      <c r="X109" s="678">
        <f t="shared" si="11"/>
        <v>0</v>
      </c>
      <c r="Y109" s="678">
        <f t="shared" si="11"/>
        <v>0</v>
      </c>
    </row>
    <row r="110" spans="1:34">
      <c r="A110" s="652">
        <v>93000</v>
      </c>
      <c r="B110" s="789" t="s">
        <v>309</v>
      </c>
      <c r="C110" s="645"/>
      <c r="D110" s="645"/>
      <c r="E110" s="644"/>
      <c r="F110" s="678">
        <f>SUM(F11,F51)</f>
        <v>0</v>
      </c>
      <c r="G110" s="678">
        <f>SUM(G11,G51)</f>
        <v>0</v>
      </c>
      <c r="H110" s="679">
        <f>SUM(H11,H51)</f>
        <v>0</v>
      </c>
      <c r="I110" s="678">
        <f t="shared" ref="I110:Y110" si="12">SUM(I11,I51)</f>
        <v>0</v>
      </c>
      <c r="J110" s="678">
        <f t="shared" si="12"/>
        <v>0</v>
      </c>
      <c r="K110" s="678">
        <f>SUM(K11,K51)</f>
        <v>0</v>
      </c>
      <c r="L110" s="678">
        <f>SUM(L11,L51)</f>
        <v>0</v>
      </c>
      <c r="M110" s="797">
        <f>SUM(M11,M51)</f>
        <v>0</v>
      </c>
      <c r="N110" s="678">
        <f t="shared" si="12"/>
        <v>0</v>
      </c>
      <c r="O110" s="678">
        <f t="shared" si="12"/>
        <v>0</v>
      </c>
      <c r="P110" s="678">
        <f t="shared" si="12"/>
        <v>0</v>
      </c>
      <c r="Q110" s="678">
        <f t="shared" si="12"/>
        <v>0</v>
      </c>
      <c r="R110" s="678">
        <f t="shared" si="12"/>
        <v>0</v>
      </c>
      <c r="S110" s="678">
        <f t="shared" si="12"/>
        <v>0</v>
      </c>
      <c r="T110" s="678">
        <f t="shared" si="12"/>
        <v>0</v>
      </c>
      <c r="U110" s="678">
        <f t="shared" si="12"/>
        <v>0</v>
      </c>
      <c r="V110" s="678">
        <f t="shared" si="12"/>
        <v>0</v>
      </c>
      <c r="W110" s="678">
        <f t="shared" si="12"/>
        <v>0</v>
      </c>
      <c r="X110" s="678">
        <f t="shared" si="12"/>
        <v>0</v>
      </c>
      <c r="Y110" s="678">
        <f t="shared" si="12"/>
        <v>0</v>
      </c>
    </row>
    <row r="111" spans="1:34">
      <c r="A111" s="652">
        <v>94000</v>
      </c>
      <c r="B111" s="791" t="s">
        <v>310</v>
      </c>
      <c r="C111" s="643"/>
      <c r="D111" s="643"/>
      <c r="E111" s="644"/>
      <c r="F111" s="678">
        <f>SUM(F16,F29,F40,F56,F89)</f>
        <v>0</v>
      </c>
      <c r="G111" s="678">
        <f>SUM(G16,G29,G40,G56,G89)</f>
        <v>0</v>
      </c>
      <c r="H111" s="679">
        <f>SUM(H16,H29,H40,H56,H89)</f>
        <v>0</v>
      </c>
      <c r="I111" s="678">
        <f t="shared" ref="I111:Y111" si="13">SUM(I16,I29,I40,I56,I89)</f>
        <v>0</v>
      </c>
      <c r="J111" s="678">
        <f t="shared" si="13"/>
        <v>0</v>
      </c>
      <c r="K111" s="678">
        <f>SUM(K16,K29,K40,K56,K89)</f>
        <v>0</v>
      </c>
      <c r="L111" s="678">
        <f>SUM(L16,L29,L40,L56,L89)</f>
        <v>0</v>
      </c>
      <c r="M111" s="797">
        <f>SUM(M16,M29,M40,M56,M89)</f>
        <v>0</v>
      </c>
      <c r="N111" s="678">
        <f t="shared" si="13"/>
        <v>0</v>
      </c>
      <c r="O111" s="678">
        <f t="shared" si="13"/>
        <v>0</v>
      </c>
      <c r="P111" s="678">
        <f t="shared" si="13"/>
        <v>0</v>
      </c>
      <c r="Q111" s="678">
        <f t="shared" si="13"/>
        <v>0</v>
      </c>
      <c r="R111" s="678">
        <f t="shared" si="13"/>
        <v>0</v>
      </c>
      <c r="S111" s="678">
        <f t="shared" si="13"/>
        <v>0</v>
      </c>
      <c r="T111" s="678">
        <f t="shared" si="13"/>
        <v>0</v>
      </c>
      <c r="U111" s="678">
        <f t="shared" si="13"/>
        <v>0</v>
      </c>
      <c r="V111" s="678">
        <f t="shared" si="13"/>
        <v>0</v>
      </c>
      <c r="W111" s="678">
        <f t="shared" si="13"/>
        <v>0</v>
      </c>
      <c r="X111" s="678">
        <f t="shared" si="13"/>
        <v>0</v>
      </c>
      <c r="Y111" s="678">
        <f t="shared" si="13"/>
        <v>0</v>
      </c>
    </row>
    <row r="112" spans="1:34">
      <c r="A112" s="652">
        <v>95000</v>
      </c>
      <c r="B112" s="789"/>
      <c r="C112" s="645"/>
      <c r="D112" s="645"/>
      <c r="E112" s="644"/>
      <c r="F112" s="678"/>
      <c r="G112" s="678"/>
      <c r="H112" s="679"/>
      <c r="I112" s="678"/>
      <c r="J112" s="678"/>
      <c r="K112" s="678"/>
      <c r="L112" s="678"/>
      <c r="M112" s="797"/>
      <c r="N112" s="678"/>
      <c r="O112" s="678"/>
      <c r="P112" s="678"/>
      <c r="Q112" s="678"/>
      <c r="R112" s="678"/>
      <c r="S112" s="678"/>
      <c r="T112" s="678"/>
      <c r="U112" s="678"/>
      <c r="V112" s="678"/>
      <c r="W112" s="678"/>
      <c r="X112" s="678"/>
      <c r="Y112" s="678"/>
    </row>
    <row r="113" spans="1:25">
      <c r="A113" s="652">
        <v>96000</v>
      </c>
      <c r="B113" s="791" t="s">
        <v>311</v>
      </c>
      <c r="C113" s="643"/>
      <c r="D113" s="643"/>
      <c r="E113" s="644"/>
      <c r="F113" s="678">
        <f>SUM(F62,F94)</f>
        <v>0</v>
      </c>
      <c r="G113" s="678">
        <f>SUM(G62,G94)</f>
        <v>0</v>
      </c>
      <c r="H113" s="679">
        <f>SUM(H62,H94)</f>
        <v>0</v>
      </c>
      <c r="I113" s="678">
        <f t="shared" ref="I113:Y113" si="14">SUM(I62,I94)</f>
        <v>0</v>
      </c>
      <c r="J113" s="678">
        <f t="shared" si="14"/>
        <v>0</v>
      </c>
      <c r="K113" s="678">
        <f>SUM(K62,K94)</f>
        <v>0</v>
      </c>
      <c r="L113" s="678">
        <f>SUM(L62,L94)</f>
        <v>0</v>
      </c>
      <c r="M113" s="797">
        <f>SUM(M62,M94)</f>
        <v>0</v>
      </c>
      <c r="N113" s="678">
        <f t="shared" si="14"/>
        <v>0</v>
      </c>
      <c r="O113" s="678">
        <f t="shared" si="14"/>
        <v>0</v>
      </c>
      <c r="P113" s="678">
        <f t="shared" si="14"/>
        <v>0</v>
      </c>
      <c r="Q113" s="678">
        <f t="shared" si="14"/>
        <v>0</v>
      </c>
      <c r="R113" s="678">
        <f t="shared" si="14"/>
        <v>0</v>
      </c>
      <c r="S113" s="678">
        <f t="shared" si="14"/>
        <v>0</v>
      </c>
      <c r="T113" s="678">
        <f t="shared" si="14"/>
        <v>0</v>
      </c>
      <c r="U113" s="678">
        <f t="shared" si="14"/>
        <v>0</v>
      </c>
      <c r="V113" s="678">
        <f t="shared" si="14"/>
        <v>0</v>
      </c>
      <c r="W113" s="678">
        <f t="shared" si="14"/>
        <v>0</v>
      </c>
      <c r="X113" s="678">
        <f t="shared" si="14"/>
        <v>0</v>
      </c>
      <c r="Y113" s="678">
        <f t="shared" si="14"/>
        <v>0</v>
      </c>
    </row>
    <row r="114" spans="1:25">
      <c r="A114" s="652">
        <v>97000</v>
      </c>
      <c r="B114" s="789"/>
      <c r="C114" s="645"/>
      <c r="D114" s="645"/>
      <c r="E114" s="644"/>
      <c r="F114" s="678"/>
      <c r="G114" s="678"/>
      <c r="H114" s="679"/>
      <c r="I114" s="678"/>
      <c r="J114" s="678"/>
      <c r="K114" s="678"/>
      <c r="L114" s="678"/>
      <c r="M114" s="797"/>
      <c r="N114" s="678"/>
      <c r="O114" s="678"/>
      <c r="P114" s="678"/>
      <c r="Q114" s="678"/>
      <c r="R114" s="678"/>
      <c r="S114" s="678"/>
      <c r="T114" s="678"/>
      <c r="U114" s="678"/>
      <c r="V114" s="678"/>
      <c r="W114" s="678"/>
      <c r="X114" s="678"/>
      <c r="Y114" s="678"/>
    </row>
    <row r="115" spans="1:25">
      <c r="A115" s="652">
        <v>98000</v>
      </c>
      <c r="B115" s="791" t="s">
        <v>312</v>
      </c>
      <c r="C115" s="643"/>
      <c r="D115" s="643"/>
      <c r="E115" s="644"/>
      <c r="F115" s="678">
        <f>F14+F15</f>
        <v>0</v>
      </c>
      <c r="G115" s="678">
        <f>G14+G15</f>
        <v>0</v>
      </c>
      <c r="H115" s="679">
        <f>H14+H15</f>
        <v>0</v>
      </c>
      <c r="I115" s="678">
        <f t="shared" ref="I115:Y115" si="15">I14+I15</f>
        <v>0</v>
      </c>
      <c r="J115" s="678">
        <f t="shared" si="15"/>
        <v>0</v>
      </c>
      <c r="K115" s="678">
        <f>K14+K15</f>
        <v>0</v>
      </c>
      <c r="L115" s="678">
        <f>L14+L15</f>
        <v>0</v>
      </c>
      <c r="M115" s="797">
        <f>M14+M15</f>
        <v>0</v>
      </c>
      <c r="N115" s="678">
        <f t="shared" si="15"/>
        <v>0</v>
      </c>
      <c r="O115" s="678">
        <f t="shared" si="15"/>
        <v>0</v>
      </c>
      <c r="P115" s="678">
        <f t="shared" si="15"/>
        <v>0</v>
      </c>
      <c r="Q115" s="678">
        <f t="shared" si="15"/>
        <v>0</v>
      </c>
      <c r="R115" s="678">
        <f t="shared" si="15"/>
        <v>0</v>
      </c>
      <c r="S115" s="678">
        <f t="shared" si="15"/>
        <v>0</v>
      </c>
      <c r="T115" s="678">
        <f t="shared" si="15"/>
        <v>0</v>
      </c>
      <c r="U115" s="678">
        <f t="shared" si="15"/>
        <v>0</v>
      </c>
      <c r="V115" s="678">
        <f t="shared" si="15"/>
        <v>0</v>
      </c>
      <c r="W115" s="678">
        <f t="shared" si="15"/>
        <v>0</v>
      </c>
      <c r="X115" s="678">
        <f t="shared" si="15"/>
        <v>0</v>
      </c>
      <c r="Y115" s="678">
        <f t="shared" si="15"/>
        <v>0</v>
      </c>
    </row>
    <row r="116" spans="1:25">
      <c r="A116" s="652">
        <v>99000</v>
      </c>
      <c r="B116" s="789" t="s">
        <v>313</v>
      </c>
      <c r="C116" s="645"/>
      <c r="D116" s="645"/>
      <c r="E116" s="644"/>
      <c r="F116" s="678">
        <f>F38+F39</f>
        <v>0</v>
      </c>
      <c r="G116" s="678">
        <f>G38+G39</f>
        <v>0</v>
      </c>
      <c r="H116" s="679">
        <f>H38+H39</f>
        <v>0</v>
      </c>
      <c r="I116" s="678">
        <f t="shared" ref="I116:Y116" si="16">I38+I39</f>
        <v>0</v>
      </c>
      <c r="J116" s="678">
        <f t="shared" si="16"/>
        <v>0</v>
      </c>
      <c r="K116" s="678">
        <f>K38+K39</f>
        <v>0</v>
      </c>
      <c r="L116" s="678">
        <f>L38+L39</f>
        <v>0</v>
      </c>
      <c r="M116" s="797">
        <f>M38+M39</f>
        <v>0</v>
      </c>
      <c r="N116" s="678">
        <f t="shared" si="16"/>
        <v>0</v>
      </c>
      <c r="O116" s="678">
        <f t="shared" si="16"/>
        <v>0</v>
      </c>
      <c r="P116" s="678">
        <f t="shared" si="16"/>
        <v>0</v>
      </c>
      <c r="Q116" s="678">
        <f t="shared" si="16"/>
        <v>0</v>
      </c>
      <c r="R116" s="678">
        <f t="shared" si="16"/>
        <v>0</v>
      </c>
      <c r="S116" s="678">
        <f t="shared" si="16"/>
        <v>0</v>
      </c>
      <c r="T116" s="678">
        <f t="shared" si="16"/>
        <v>0</v>
      </c>
      <c r="U116" s="678">
        <f t="shared" si="16"/>
        <v>0</v>
      </c>
      <c r="V116" s="678">
        <f t="shared" si="16"/>
        <v>0</v>
      </c>
      <c r="W116" s="678">
        <f t="shared" si="16"/>
        <v>0</v>
      </c>
      <c r="X116" s="678">
        <f t="shared" si="16"/>
        <v>0</v>
      </c>
      <c r="Y116" s="678">
        <f t="shared" si="16"/>
        <v>0</v>
      </c>
    </row>
    <row r="117" spans="1:25">
      <c r="A117" s="652">
        <v>100000</v>
      </c>
      <c r="B117" s="791" t="s">
        <v>314</v>
      </c>
      <c r="C117" s="643"/>
      <c r="D117" s="643"/>
      <c r="E117" s="644"/>
      <c r="F117" s="678">
        <f>F54+F55</f>
        <v>0</v>
      </c>
      <c r="G117" s="678">
        <f>G54+G55</f>
        <v>0</v>
      </c>
      <c r="H117" s="679">
        <f>H54+H55</f>
        <v>0</v>
      </c>
      <c r="I117" s="678">
        <f t="shared" ref="I117:Y117" si="17">I54+I55</f>
        <v>0</v>
      </c>
      <c r="J117" s="678">
        <f t="shared" si="17"/>
        <v>0</v>
      </c>
      <c r="K117" s="678">
        <f>K54+K55</f>
        <v>0</v>
      </c>
      <c r="L117" s="678">
        <f>L54+L55</f>
        <v>0</v>
      </c>
      <c r="M117" s="797">
        <f>M54+M55</f>
        <v>0</v>
      </c>
      <c r="N117" s="678">
        <f t="shared" si="17"/>
        <v>0</v>
      </c>
      <c r="O117" s="678">
        <f t="shared" si="17"/>
        <v>0</v>
      </c>
      <c r="P117" s="678">
        <f t="shared" si="17"/>
        <v>0</v>
      </c>
      <c r="Q117" s="678">
        <f t="shared" si="17"/>
        <v>0</v>
      </c>
      <c r="R117" s="678">
        <f t="shared" si="17"/>
        <v>0</v>
      </c>
      <c r="S117" s="678">
        <f t="shared" si="17"/>
        <v>0</v>
      </c>
      <c r="T117" s="678">
        <f t="shared" si="17"/>
        <v>0</v>
      </c>
      <c r="U117" s="678">
        <f t="shared" si="17"/>
        <v>0</v>
      </c>
      <c r="V117" s="678">
        <f t="shared" si="17"/>
        <v>0</v>
      </c>
      <c r="W117" s="678">
        <f t="shared" si="17"/>
        <v>0</v>
      </c>
      <c r="X117" s="678">
        <f t="shared" si="17"/>
        <v>0</v>
      </c>
      <c r="Y117" s="678">
        <f t="shared" si="17"/>
        <v>0</v>
      </c>
    </row>
    <row r="118" spans="1:25">
      <c r="A118" s="652">
        <v>101000</v>
      </c>
      <c r="B118" s="789"/>
      <c r="C118" s="645"/>
      <c r="D118" s="645"/>
      <c r="E118" s="644"/>
      <c r="F118" s="678"/>
      <c r="G118" s="678"/>
      <c r="H118" s="679"/>
      <c r="I118" s="678"/>
      <c r="J118" s="678"/>
      <c r="K118" s="678"/>
      <c r="L118" s="678"/>
      <c r="M118" s="797"/>
      <c r="N118" s="678"/>
      <c r="O118" s="678"/>
      <c r="P118" s="678"/>
      <c r="Q118" s="678"/>
      <c r="R118" s="678"/>
      <c r="S118" s="678"/>
      <c r="T118" s="678"/>
      <c r="U118" s="678"/>
      <c r="V118" s="678"/>
      <c r="W118" s="678"/>
      <c r="X118" s="678"/>
      <c r="Y118" s="678"/>
    </row>
    <row r="119" spans="1:25">
      <c r="A119" s="652">
        <v>102000</v>
      </c>
      <c r="B119" s="791"/>
      <c r="C119" s="643"/>
      <c r="D119" s="643"/>
      <c r="E119" s="644"/>
      <c r="F119" s="678"/>
      <c r="G119" s="678"/>
      <c r="H119" s="679"/>
      <c r="I119" s="678"/>
      <c r="J119" s="678"/>
      <c r="K119" s="678"/>
      <c r="L119" s="678"/>
      <c r="M119" s="797"/>
      <c r="N119" s="678"/>
      <c r="O119" s="678"/>
      <c r="P119" s="678"/>
      <c r="Q119" s="678"/>
      <c r="R119" s="678"/>
      <c r="S119" s="678"/>
      <c r="T119" s="678"/>
      <c r="U119" s="678"/>
      <c r="V119" s="678"/>
      <c r="W119" s="678"/>
      <c r="X119" s="678"/>
      <c r="Y119" s="678"/>
    </row>
    <row r="120" spans="1:25">
      <c r="A120" s="652">
        <v>103000</v>
      </c>
      <c r="B120" s="789" t="s">
        <v>688</v>
      </c>
      <c r="C120" s="645"/>
      <c r="D120" s="645"/>
      <c r="E120" s="644"/>
      <c r="F120" s="678">
        <f>SUM(F18,F31,F41,F58)</f>
        <v>0</v>
      </c>
      <c r="G120" s="678">
        <f t="shared" ref="G120:Y121" si="18">SUM(G18,G31,G41,G58)</f>
        <v>0</v>
      </c>
      <c r="H120" s="679">
        <f t="shared" si="18"/>
        <v>0</v>
      </c>
      <c r="I120" s="678">
        <f t="shared" si="18"/>
        <v>0</v>
      </c>
      <c r="J120" s="678">
        <f t="shared" si="18"/>
        <v>0</v>
      </c>
      <c r="K120" s="678">
        <f t="shared" si="18"/>
        <v>0</v>
      </c>
      <c r="L120" s="678">
        <f t="shared" si="18"/>
        <v>0</v>
      </c>
      <c r="M120" s="797">
        <f t="shared" si="18"/>
        <v>0</v>
      </c>
      <c r="N120" s="678">
        <f t="shared" si="18"/>
        <v>0</v>
      </c>
      <c r="O120" s="678">
        <f t="shared" si="18"/>
        <v>0</v>
      </c>
      <c r="P120" s="678">
        <f t="shared" si="18"/>
        <v>0</v>
      </c>
      <c r="Q120" s="678">
        <f t="shared" si="18"/>
        <v>0</v>
      </c>
      <c r="R120" s="678">
        <f t="shared" si="18"/>
        <v>0</v>
      </c>
      <c r="S120" s="678">
        <f t="shared" si="18"/>
        <v>0</v>
      </c>
      <c r="T120" s="678">
        <f t="shared" si="18"/>
        <v>0</v>
      </c>
      <c r="U120" s="678">
        <f t="shared" si="18"/>
        <v>0</v>
      </c>
      <c r="V120" s="678">
        <f t="shared" si="18"/>
        <v>0</v>
      </c>
      <c r="W120" s="678">
        <f t="shared" si="18"/>
        <v>0</v>
      </c>
      <c r="X120" s="678">
        <f t="shared" si="18"/>
        <v>0</v>
      </c>
      <c r="Y120" s="678">
        <f t="shared" si="18"/>
        <v>0</v>
      </c>
    </row>
    <row r="121" spans="1:25">
      <c r="A121" s="652">
        <v>104000</v>
      </c>
      <c r="B121" s="791" t="s">
        <v>689</v>
      </c>
      <c r="C121" s="643"/>
      <c r="D121" s="643"/>
      <c r="E121" s="644"/>
      <c r="F121" s="678">
        <f>SUM(F19,F32,F42,F59)</f>
        <v>0</v>
      </c>
      <c r="G121" s="678">
        <f t="shared" si="18"/>
        <v>0</v>
      </c>
      <c r="H121" s="679">
        <f t="shared" si="18"/>
        <v>0</v>
      </c>
      <c r="I121" s="678">
        <f t="shared" si="18"/>
        <v>0</v>
      </c>
      <c r="J121" s="678">
        <f t="shared" si="18"/>
        <v>0</v>
      </c>
      <c r="K121" s="678">
        <f t="shared" si="18"/>
        <v>0</v>
      </c>
      <c r="L121" s="678">
        <f t="shared" si="18"/>
        <v>0</v>
      </c>
      <c r="M121" s="797">
        <f t="shared" si="18"/>
        <v>0</v>
      </c>
      <c r="N121" s="678">
        <f t="shared" si="18"/>
        <v>0</v>
      </c>
      <c r="O121" s="678">
        <f t="shared" si="18"/>
        <v>0</v>
      </c>
      <c r="P121" s="678">
        <f t="shared" si="18"/>
        <v>0</v>
      </c>
      <c r="Q121" s="678">
        <f t="shared" si="18"/>
        <v>0</v>
      </c>
      <c r="R121" s="678">
        <f t="shared" si="18"/>
        <v>0</v>
      </c>
      <c r="S121" s="678">
        <f t="shared" si="18"/>
        <v>0</v>
      </c>
      <c r="T121" s="678">
        <f t="shared" si="18"/>
        <v>0</v>
      </c>
      <c r="U121" s="678">
        <f t="shared" si="18"/>
        <v>0</v>
      </c>
      <c r="V121" s="678">
        <f t="shared" si="18"/>
        <v>0</v>
      </c>
      <c r="W121" s="678">
        <f t="shared" si="18"/>
        <v>0</v>
      </c>
      <c r="X121" s="678">
        <f t="shared" si="18"/>
        <v>0</v>
      </c>
      <c r="Y121" s="678">
        <f t="shared" si="18"/>
        <v>0</v>
      </c>
    </row>
    <row r="122" spans="1:25">
      <c r="A122" s="652">
        <v>105000</v>
      </c>
      <c r="B122" s="789" t="s">
        <v>690</v>
      </c>
      <c r="C122" s="645"/>
      <c r="D122" s="645"/>
      <c r="E122" s="644"/>
      <c r="F122" s="678">
        <f>F76+F78+F64+F66+F68+F70+F72</f>
        <v>0</v>
      </c>
      <c r="G122" s="678">
        <f t="shared" ref="G122:Y122" si="19">G76+G78+G64+G66+G68+G70+G72</f>
        <v>0</v>
      </c>
      <c r="H122" s="679">
        <f t="shared" si="19"/>
        <v>0</v>
      </c>
      <c r="I122" s="678">
        <f t="shared" si="19"/>
        <v>0</v>
      </c>
      <c r="J122" s="678">
        <f t="shared" si="19"/>
        <v>0</v>
      </c>
      <c r="K122" s="678">
        <f t="shared" si="19"/>
        <v>0</v>
      </c>
      <c r="L122" s="678">
        <f t="shared" si="19"/>
        <v>0</v>
      </c>
      <c r="M122" s="797">
        <f t="shared" si="19"/>
        <v>0</v>
      </c>
      <c r="N122" s="678">
        <f t="shared" si="19"/>
        <v>0</v>
      </c>
      <c r="O122" s="678">
        <f t="shared" si="19"/>
        <v>0</v>
      </c>
      <c r="P122" s="678">
        <f t="shared" si="19"/>
        <v>0</v>
      </c>
      <c r="Q122" s="678">
        <f t="shared" si="19"/>
        <v>0</v>
      </c>
      <c r="R122" s="678">
        <f t="shared" si="19"/>
        <v>0</v>
      </c>
      <c r="S122" s="678">
        <f t="shared" si="19"/>
        <v>0</v>
      </c>
      <c r="T122" s="678">
        <f t="shared" si="19"/>
        <v>0</v>
      </c>
      <c r="U122" s="678">
        <f t="shared" si="19"/>
        <v>0</v>
      </c>
      <c r="V122" s="678">
        <f t="shared" si="19"/>
        <v>0</v>
      </c>
      <c r="W122" s="678">
        <f t="shared" si="19"/>
        <v>0</v>
      </c>
      <c r="X122" s="678">
        <f t="shared" si="19"/>
        <v>0</v>
      </c>
      <c r="Y122" s="678">
        <f t="shared" si="19"/>
        <v>0</v>
      </c>
    </row>
    <row r="123" spans="1:25">
      <c r="A123" s="652">
        <v>106000</v>
      </c>
      <c r="B123" s="791" t="s">
        <v>691</v>
      </c>
      <c r="C123" s="643"/>
      <c r="D123" s="643"/>
      <c r="E123" s="644"/>
      <c r="F123" s="678">
        <f>F79+F77+F65+F67+F69+F71+F73</f>
        <v>0</v>
      </c>
      <c r="G123" s="678">
        <f t="shared" ref="G123:Y123" si="20">G79+G77+G65+G67+G69+G71+G73</f>
        <v>0</v>
      </c>
      <c r="H123" s="679">
        <f t="shared" si="20"/>
        <v>0</v>
      </c>
      <c r="I123" s="678">
        <f t="shared" si="20"/>
        <v>0</v>
      </c>
      <c r="J123" s="678">
        <f t="shared" si="20"/>
        <v>0</v>
      </c>
      <c r="K123" s="678">
        <f t="shared" si="20"/>
        <v>0</v>
      </c>
      <c r="L123" s="678">
        <f t="shared" si="20"/>
        <v>0</v>
      </c>
      <c r="M123" s="797">
        <f t="shared" si="20"/>
        <v>0</v>
      </c>
      <c r="N123" s="678">
        <f t="shared" si="20"/>
        <v>0</v>
      </c>
      <c r="O123" s="678">
        <f t="shared" si="20"/>
        <v>0</v>
      </c>
      <c r="P123" s="678">
        <f t="shared" si="20"/>
        <v>0</v>
      </c>
      <c r="Q123" s="678">
        <f t="shared" si="20"/>
        <v>0</v>
      </c>
      <c r="R123" s="678">
        <f t="shared" si="20"/>
        <v>0</v>
      </c>
      <c r="S123" s="678">
        <f t="shared" si="20"/>
        <v>0</v>
      </c>
      <c r="T123" s="678">
        <f t="shared" si="20"/>
        <v>0</v>
      </c>
      <c r="U123" s="678">
        <f t="shared" si="20"/>
        <v>0</v>
      </c>
      <c r="V123" s="678">
        <f t="shared" si="20"/>
        <v>0</v>
      </c>
      <c r="W123" s="678">
        <f t="shared" si="20"/>
        <v>0</v>
      </c>
      <c r="X123" s="678">
        <f t="shared" si="20"/>
        <v>0</v>
      </c>
      <c r="Y123" s="678">
        <f t="shared" si="20"/>
        <v>0</v>
      </c>
    </row>
    <row r="124" spans="1:25">
      <c r="A124" s="652">
        <v>107000</v>
      </c>
      <c r="B124" s="789" t="s">
        <v>692</v>
      </c>
      <c r="C124" s="645"/>
      <c r="D124" s="645"/>
      <c r="E124" s="644"/>
      <c r="F124" s="678">
        <f>SUM(F20,F33,F43,F60)</f>
        <v>0</v>
      </c>
      <c r="G124" s="678">
        <f t="shared" ref="G124:Y124" si="21">SUM(G20,G33,G43,G60)</f>
        <v>0</v>
      </c>
      <c r="H124" s="679">
        <f t="shared" si="21"/>
        <v>0</v>
      </c>
      <c r="I124" s="678">
        <f t="shared" si="21"/>
        <v>0</v>
      </c>
      <c r="J124" s="678">
        <f t="shared" si="21"/>
        <v>0</v>
      </c>
      <c r="K124" s="678">
        <f t="shared" si="21"/>
        <v>0</v>
      </c>
      <c r="L124" s="678">
        <f t="shared" si="21"/>
        <v>0</v>
      </c>
      <c r="M124" s="797">
        <f t="shared" si="21"/>
        <v>0</v>
      </c>
      <c r="N124" s="678">
        <f t="shared" si="21"/>
        <v>0</v>
      </c>
      <c r="O124" s="678">
        <f t="shared" si="21"/>
        <v>0</v>
      </c>
      <c r="P124" s="678">
        <f t="shared" si="21"/>
        <v>0</v>
      </c>
      <c r="Q124" s="678">
        <f t="shared" si="21"/>
        <v>0</v>
      </c>
      <c r="R124" s="678">
        <f t="shared" si="21"/>
        <v>0</v>
      </c>
      <c r="S124" s="678">
        <f t="shared" si="21"/>
        <v>0</v>
      </c>
      <c r="T124" s="678">
        <f t="shared" si="21"/>
        <v>0</v>
      </c>
      <c r="U124" s="678">
        <f t="shared" si="21"/>
        <v>0</v>
      </c>
      <c r="V124" s="678">
        <f t="shared" si="21"/>
        <v>0</v>
      </c>
      <c r="W124" s="678">
        <f t="shared" si="21"/>
        <v>0</v>
      </c>
      <c r="X124" s="678">
        <f t="shared" si="21"/>
        <v>0</v>
      </c>
      <c r="Y124" s="678">
        <f t="shared" si="21"/>
        <v>0</v>
      </c>
    </row>
    <row r="125" spans="1:25">
      <c r="A125" s="652">
        <v>108000</v>
      </c>
      <c r="B125" s="791" t="s">
        <v>315</v>
      </c>
      <c r="C125" s="643"/>
      <c r="D125" s="643"/>
      <c r="E125" s="644"/>
      <c r="F125" s="678">
        <f>SUM(F20,F33,F43,F60,F65,F67,F69,F71,F73,F77,F79)</f>
        <v>0</v>
      </c>
      <c r="G125" s="678">
        <f>SUM(G20,G33,G43,G60,G65,G67,G69,G71,G73,G77,G79)</f>
        <v>0</v>
      </c>
      <c r="H125" s="679">
        <f>SUM(H20,H33,H43,H60,H65,H67,H69,H71,H73,H77,H79)</f>
        <v>0</v>
      </c>
      <c r="I125" s="678">
        <f t="shared" ref="I125:Y125" si="22">SUM(I20,I33,I43,I60,I65,I67,I69,I71,I73,I77,I79)</f>
        <v>0</v>
      </c>
      <c r="J125" s="678">
        <f t="shared" si="22"/>
        <v>0</v>
      </c>
      <c r="K125" s="678">
        <f>SUM(K20,K33,K43,K60,K65,K67,K69,K71,K73,K77,K79)</f>
        <v>0</v>
      </c>
      <c r="L125" s="678">
        <f>SUM(L20,L33,L43,L60,L65,L67,L69,L71,L73,L77,L79)</f>
        <v>0</v>
      </c>
      <c r="M125" s="797">
        <f>SUM(M20,M33,M43,M60,M65,M67,M69,M71,M73,M77,M79)</f>
        <v>0</v>
      </c>
      <c r="N125" s="678">
        <f t="shared" si="22"/>
        <v>0</v>
      </c>
      <c r="O125" s="678">
        <f t="shared" si="22"/>
        <v>0</v>
      </c>
      <c r="P125" s="678">
        <f t="shared" si="22"/>
        <v>0</v>
      </c>
      <c r="Q125" s="678">
        <f t="shared" si="22"/>
        <v>0</v>
      </c>
      <c r="R125" s="678">
        <f t="shared" si="22"/>
        <v>0</v>
      </c>
      <c r="S125" s="678">
        <f t="shared" si="22"/>
        <v>0</v>
      </c>
      <c r="T125" s="678">
        <f t="shared" si="22"/>
        <v>0</v>
      </c>
      <c r="U125" s="678">
        <f t="shared" si="22"/>
        <v>0</v>
      </c>
      <c r="V125" s="678">
        <f t="shared" si="22"/>
        <v>0</v>
      </c>
      <c r="W125" s="678">
        <f t="shared" si="22"/>
        <v>0</v>
      </c>
      <c r="X125" s="678">
        <f t="shared" si="22"/>
        <v>0</v>
      </c>
      <c r="Y125" s="678">
        <f t="shared" si="22"/>
        <v>0</v>
      </c>
    </row>
    <row r="126" spans="1:25">
      <c r="A126" s="652">
        <v>109000</v>
      </c>
      <c r="B126" s="791" t="s">
        <v>316</v>
      </c>
      <c r="C126" s="643"/>
      <c r="D126" s="643"/>
      <c r="E126" s="644"/>
      <c r="F126" s="678">
        <f>SUM(F19,F32,F42,F59)</f>
        <v>0</v>
      </c>
      <c r="G126" s="678">
        <f>SUM(G19,G32,G42,G59)</f>
        <v>0</v>
      </c>
      <c r="H126" s="679">
        <f>SUM(H19,H32,H42,H59)</f>
        <v>0</v>
      </c>
      <c r="I126" s="678">
        <f t="shared" ref="I126:Y126" si="23">SUM(I19,I32,I42,I59)</f>
        <v>0</v>
      </c>
      <c r="J126" s="678">
        <f t="shared" si="23"/>
        <v>0</v>
      </c>
      <c r="K126" s="678">
        <f>SUM(K19,K32,K42,K59)</f>
        <v>0</v>
      </c>
      <c r="L126" s="678">
        <f>SUM(L19,L32,L42,L59)</f>
        <v>0</v>
      </c>
      <c r="M126" s="797">
        <f>SUM(M19,M32,M42,M59)</f>
        <v>0</v>
      </c>
      <c r="N126" s="678">
        <f t="shared" si="23"/>
        <v>0</v>
      </c>
      <c r="O126" s="678">
        <f t="shared" si="23"/>
        <v>0</v>
      </c>
      <c r="P126" s="678">
        <f t="shared" si="23"/>
        <v>0</v>
      </c>
      <c r="Q126" s="678">
        <f t="shared" si="23"/>
        <v>0</v>
      </c>
      <c r="R126" s="678">
        <f t="shared" si="23"/>
        <v>0</v>
      </c>
      <c r="S126" s="678">
        <f t="shared" si="23"/>
        <v>0</v>
      </c>
      <c r="T126" s="678">
        <f t="shared" si="23"/>
        <v>0</v>
      </c>
      <c r="U126" s="678">
        <f t="shared" si="23"/>
        <v>0</v>
      </c>
      <c r="V126" s="678">
        <f t="shared" si="23"/>
        <v>0</v>
      </c>
      <c r="W126" s="678">
        <f t="shared" si="23"/>
        <v>0</v>
      </c>
      <c r="X126" s="678">
        <f t="shared" si="23"/>
        <v>0</v>
      </c>
      <c r="Y126" s="678">
        <f t="shared" si="23"/>
        <v>0</v>
      </c>
    </row>
    <row r="127" spans="1:25">
      <c r="A127" s="652">
        <v>110000</v>
      </c>
      <c r="B127" s="789" t="s">
        <v>317</v>
      </c>
      <c r="C127" s="645"/>
      <c r="D127" s="645"/>
      <c r="E127" s="644"/>
      <c r="F127" s="678">
        <f>SUM(F18,F31,F41,F58)</f>
        <v>0</v>
      </c>
      <c r="G127" s="678">
        <f>SUM(G18,G31,G41,G58)</f>
        <v>0</v>
      </c>
      <c r="H127" s="679">
        <f>SUM(H18,H31,H41,H58)</f>
        <v>0</v>
      </c>
      <c r="I127" s="678">
        <f t="shared" ref="I127:Y127" si="24">SUM(I18,I31,I41,I58)</f>
        <v>0</v>
      </c>
      <c r="J127" s="678">
        <f t="shared" si="24"/>
        <v>0</v>
      </c>
      <c r="K127" s="678">
        <f>SUM(K18,K31,K41,K58)</f>
        <v>0</v>
      </c>
      <c r="L127" s="678">
        <f>SUM(L18,L31,L41,L58)</f>
        <v>0</v>
      </c>
      <c r="M127" s="797">
        <f>SUM(M18,M31,M41,M58)</f>
        <v>0</v>
      </c>
      <c r="N127" s="678">
        <f t="shared" si="24"/>
        <v>0</v>
      </c>
      <c r="O127" s="678">
        <f t="shared" si="24"/>
        <v>0</v>
      </c>
      <c r="P127" s="678">
        <f t="shared" si="24"/>
        <v>0</v>
      </c>
      <c r="Q127" s="678">
        <f t="shared" si="24"/>
        <v>0</v>
      </c>
      <c r="R127" s="678">
        <f t="shared" si="24"/>
        <v>0</v>
      </c>
      <c r="S127" s="678">
        <f t="shared" si="24"/>
        <v>0</v>
      </c>
      <c r="T127" s="678">
        <f t="shared" si="24"/>
        <v>0</v>
      </c>
      <c r="U127" s="678">
        <f t="shared" si="24"/>
        <v>0</v>
      </c>
      <c r="V127" s="678">
        <f t="shared" si="24"/>
        <v>0</v>
      </c>
      <c r="W127" s="678">
        <f t="shared" si="24"/>
        <v>0</v>
      </c>
      <c r="X127" s="678">
        <f t="shared" si="24"/>
        <v>0</v>
      </c>
      <c r="Y127" s="678">
        <f t="shared" si="24"/>
        <v>0</v>
      </c>
    </row>
    <row r="128" spans="1:25">
      <c r="A128" s="652">
        <v>111000</v>
      </c>
      <c r="B128" s="791" t="s">
        <v>318</v>
      </c>
      <c r="C128" s="643"/>
      <c r="D128" s="643"/>
      <c r="E128" s="644"/>
      <c r="F128" s="678">
        <f>F45+F46</f>
        <v>0</v>
      </c>
      <c r="G128" s="679">
        <f>G45+G46</f>
        <v>0</v>
      </c>
      <c r="H128" s="679">
        <f>H45+H46</f>
        <v>0</v>
      </c>
      <c r="I128" s="678">
        <f t="shared" ref="I128:Y128" si="25">I45+I46</f>
        <v>0</v>
      </c>
      <c r="J128" s="679">
        <f t="shared" si="25"/>
        <v>0</v>
      </c>
      <c r="K128" s="678">
        <f>K45+K46</f>
        <v>0</v>
      </c>
      <c r="L128" s="679">
        <f>L45+L46</f>
        <v>0</v>
      </c>
      <c r="M128" s="800">
        <f>M45+M46</f>
        <v>0</v>
      </c>
      <c r="N128" s="678">
        <f t="shared" si="25"/>
        <v>0</v>
      </c>
      <c r="O128" s="679">
        <f t="shared" si="25"/>
        <v>0</v>
      </c>
      <c r="P128" s="679">
        <f t="shared" si="25"/>
        <v>0</v>
      </c>
      <c r="Q128" s="679">
        <f t="shared" si="25"/>
        <v>0</v>
      </c>
      <c r="R128" s="679">
        <f t="shared" si="25"/>
        <v>0</v>
      </c>
      <c r="S128" s="679">
        <f t="shared" si="25"/>
        <v>0</v>
      </c>
      <c r="T128" s="679">
        <f t="shared" si="25"/>
        <v>0</v>
      </c>
      <c r="U128" s="679">
        <f t="shared" si="25"/>
        <v>0</v>
      </c>
      <c r="V128" s="679">
        <f t="shared" si="25"/>
        <v>0</v>
      </c>
      <c r="W128" s="679">
        <f t="shared" si="25"/>
        <v>0</v>
      </c>
      <c r="X128" s="679">
        <f t="shared" si="25"/>
        <v>0</v>
      </c>
      <c r="Y128" s="679">
        <f t="shared" si="25"/>
        <v>0</v>
      </c>
    </row>
    <row r="129" spans="1:25">
      <c r="A129" s="652">
        <v>112000</v>
      </c>
      <c r="B129" s="791"/>
      <c r="C129" s="643"/>
      <c r="D129" s="643"/>
      <c r="E129" s="644"/>
      <c r="F129" s="678"/>
      <c r="G129" s="679"/>
      <c r="H129" s="679"/>
      <c r="I129" s="678"/>
      <c r="J129" s="679"/>
      <c r="K129" s="678"/>
      <c r="L129" s="679"/>
      <c r="M129" s="800"/>
      <c r="N129" s="678"/>
      <c r="O129" s="679"/>
      <c r="P129" s="679"/>
      <c r="Q129" s="679"/>
      <c r="R129" s="679"/>
      <c r="S129" s="679"/>
      <c r="T129" s="679"/>
      <c r="U129" s="679"/>
      <c r="V129" s="679"/>
      <c r="W129" s="679"/>
      <c r="X129" s="679"/>
      <c r="Y129" s="680"/>
    </row>
    <row r="130" spans="1:25">
      <c r="A130" s="652">
        <v>113000</v>
      </c>
      <c r="B130" s="789"/>
      <c r="C130" s="645"/>
      <c r="D130" s="645"/>
      <c r="E130" s="644"/>
      <c r="F130" s="678"/>
      <c r="G130" s="679"/>
      <c r="H130" s="679"/>
      <c r="I130" s="678"/>
      <c r="J130" s="679"/>
      <c r="K130" s="678"/>
      <c r="L130" s="679"/>
      <c r="M130" s="800"/>
      <c r="N130" s="678"/>
      <c r="O130" s="679"/>
      <c r="P130" s="679"/>
      <c r="Q130" s="679"/>
      <c r="R130" s="679"/>
      <c r="S130" s="679"/>
      <c r="T130" s="679"/>
      <c r="U130" s="679"/>
      <c r="V130" s="679"/>
      <c r="W130" s="679"/>
      <c r="X130" s="679"/>
      <c r="Y130" s="680"/>
    </row>
    <row r="131" spans="1:25" ht="16.5" thickBot="1">
      <c r="A131" s="652">
        <v>114000</v>
      </c>
      <c r="B131" s="801"/>
      <c r="C131" s="802"/>
      <c r="D131" s="802"/>
      <c r="E131" s="803"/>
      <c r="F131" s="804"/>
      <c r="G131" s="805"/>
      <c r="H131" s="805"/>
      <c r="I131" s="1304"/>
      <c r="J131" s="1265"/>
      <c r="K131" s="804"/>
      <c r="L131" s="805"/>
      <c r="M131" s="806"/>
      <c r="N131" s="681"/>
      <c r="O131" s="682"/>
      <c r="P131" s="682"/>
      <c r="Q131" s="682"/>
      <c r="R131" s="682"/>
      <c r="S131" s="682"/>
      <c r="T131" s="682"/>
      <c r="U131" s="682"/>
      <c r="V131" s="682"/>
      <c r="W131" s="682"/>
      <c r="X131" s="682"/>
      <c r="Y131" s="683"/>
    </row>
    <row r="132" spans="1:25" ht="16.5" thickTop="1"/>
    <row r="134" spans="1:25" ht="18.75">
      <c r="B134" s="1308" t="s">
        <v>673</v>
      </c>
    </row>
    <row r="136" spans="1:25">
      <c r="B136" t="s">
        <v>674</v>
      </c>
      <c r="C136" t="s">
        <v>675</v>
      </c>
      <c r="F136" s="1146"/>
      <c r="G136" s="1146"/>
      <c r="H136" s="1146"/>
      <c r="I136" s="1146"/>
      <c r="J136" s="1146"/>
      <c r="K136" s="1146"/>
      <c r="L136" s="1146"/>
    </row>
    <row r="137" spans="1:25">
      <c r="B137" t="s">
        <v>676</v>
      </c>
      <c r="C137" t="s">
        <v>677</v>
      </c>
      <c r="F137" s="1147"/>
      <c r="G137" s="1146"/>
      <c r="H137" s="1147"/>
      <c r="I137" s="1147"/>
      <c r="J137" s="1147"/>
      <c r="K137" s="1147"/>
      <c r="L137" s="1147"/>
    </row>
    <row r="138" spans="1:25">
      <c r="B138" t="s">
        <v>678</v>
      </c>
      <c r="C138" t="s">
        <v>679</v>
      </c>
      <c r="F138" s="1148"/>
      <c r="G138" s="1146"/>
      <c r="H138" s="1148"/>
      <c r="I138" s="1148"/>
      <c r="J138" s="1148"/>
      <c r="K138" s="1148"/>
      <c r="L138" s="1148"/>
    </row>
    <row r="139" spans="1:25">
      <c r="B139" t="s">
        <v>680</v>
      </c>
      <c r="F139" s="1149"/>
      <c r="G139" s="1146"/>
      <c r="H139" s="1149"/>
      <c r="I139" s="1149"/>
      <c r="J139" s="1149"/>
      <c r="K139" s="1149"/>
      <c r="L139" s="1149"/>
    </row>
    <row r="140" spans="1:25">
      <c r="B140" s="1211" t="s">
        <v>804</v>
      </c>
      <c r="C140" t="s">
        <v>0</v>
      </c>
      <c r="F140" s="1150">
        <f>(F136*F139*8760)</f>
        <v>0</v>
      </c>
      <c r="G140" s="1150">
        <f t="shared" ref="G140:L140" si="26">(G136*G139*8760)</f>
        <v>0</v>
      </c>
      <c r="H140" s="1150">
        <f t="shared" si="26"/>
        <v>0</v>
      </c>
      <c r="I140" s="1150">
        <f t="shared" si="26"/>
        <v>0</v>
      </c>
      <c r="J140" s="1150">
        <f t="shared" si="26"/>
        <v>0</v>
      </c>
      <c r="K140" s="1150">
        <f t="shared" si="26"/>
        <v>0</v>
      </c>
      <c r="L140" s="1150">
        <f t="shared" si="26"/>
        <v>0</v>
      </c>
    </row>
    <row r="141" spans="1:25">
      <c r="B141" t="s">
        <v>681</v>
      </c>
      <c r="F141" s="1152">
        <f>F140*F137*F138/1000</f>
        <v>0</v>
      </c>
      <c r="G141" s="1151">
        <f t="shared" ref="G141:L141" si="27">G140*G137*G138/1000</f>
        <v>0</v>
      </c>
      <c r="H141" s="1151">
        <f t="shared" si="27"/>
        <v>0</v>
      </c>
      <c r="I141" s="1151">
        <f t="shared" si="27"/>
        <v>0</v>
      </c>
      <c r="J141" s="1151">
        <f t="shared" si="27"/>
        <v>0</v>
      </c>
      <c r="K141" s="1151">
        <f t="shared" si="27"/>
        <v>0</v>
      </c>
      <c r="L141" s="1151">
        <f t="shared" si="27"/>
        <v>0</v>
      </c>
    </row>
    <row r="142" spans="1:25">
      <c r="R142" s="772"/>
    </row>
    <row r="143" spans="1:25" ht="18.75">
      <c r="B143" s="1308" t="s">
        <v>682</v>
      </c>
    </row>
    <row r="145" spans="2:18">
      <c r="B145" t="s">
        <v>674</v>
      </c>
      <c r="C145" t="s">
        <v>675</v>
      </c>
      <c r="F145" s="1146"/>
      <c r="G145" s="1146"/>
      <c r="H145" s="1146"/>
      <c r="I145" s="1146"/>
      <c r="J145" s="1146"/>
      <c r="K145" s="1146"/>
      <c r="L145" s="1146"/>
    </row>
    <row r="146" spans="2:18">
      <c r="B146" t="s">
        <v>676</v>
      </c>
      <c r="C146" t="s">
        <v>677</v>
      </c>
      <c r="F146" s="1147"/>
      <c r="G146" s="1147"/>
      <c r="H146" s="1147"/>
      <c r="I146" s="1147"/>
      <c r="J146" s="1147"/>
      <c r="K146" s="1147"/>
      <c r="L146" s="1147"/>
    </row>
    <row r="147" spans="2:18">
      <c r="B147" t="s">
        <v>678</v>
      </c>
      <c r="C147" t="s">
        <v>679</v>
      </c>
      <c r="F147" s="1148"/>
      <c r="G147" s="1148"/>
      <c r="H147" s="1148"/>
      <c r="I147" s="1148"/>
      <c r="J147" s="1148"/>
      <c r="K147" s="1148"/>
      <c r="L147" s="1148"/>
      <c r="R147" s="773"/>
    </row>
    <row r="148" spans="2:18">
      <c r="B148" t="s">
        <v>680</v>
      </c>
      <c r="F148" s="1149"/>
      <c r="G148" s="1149"/>
      <c r="H148" s="1149"/>
      <c r="I148" s="1149"/>
      <c r="J148" s="1149"/>
      <c r="K148" s="1149"/>
      <c r="L148" s="1149"/>
      <c r="R148" s="774"/>
    </row>
    <row r="149" spans="2:18">
      <c r="B149" s="1211" t="s">
        <v>804</v>
      </c>
      <c r="C149" t="s">
        <v>0</v>
      </c>
      <c r="F149" s="1150">
        <f t="shared" ref="F149:L149" si="28">(F145*F148*8760)</f>
        <v>0</v>
      </c>
      <c r="G149" s="1150">
        <f t="shared" si="28"/>
        <v>0</v>
      </c>
      <c r="H149" s="1150">
        <f t="shared" si="28"/>
        <v>0</v>
      </c>
      <c r="I149" s="1150">
        <f t="shared" si="28"/>
        <v>0</v>
      </c>
      <c r="J149" s="1150">
        <f t="shared" si="28"/>
        <v>0</v>
      </c>
      <c r="K149" s="1150">
        <f t="shared" si="28"/>
        <v>0</v>
      </c>
      <c r="L149" s="1150">
        <f t="shared" si="28"/>
        <v>0</v>
      </c>
      <c r="R149" s="774"/>
    </row>
    <row r="150" spans="2:18">
      <c r="B150" t="s">
        <v>681</v>
      </c>
      <c r="F150" s="1151">
        <f t="shared" ref="F150:L150" si="29">F149*F146*F147/1000</f>
        <v>0</v>
      </c>
      <c r="G150" s="1152">
        <f t="shared" si="29"/>
        <v>0</v>
      </c>
      <c r="H150" s="1151">
        <f t="shared" si="29"/>
        <v>0</v>
      </c>
      <c r="I150" s="1151">
        <f t="shared" si="29"/>
        <v>0</v>
      </c>
      <c r="J150" s="1151">
        <f t="shared" si="29"/>
        <v>0</v>
      </c>
      <c r="K150" s="1151">
        <f t="shared" si="29"/>
        <v>0</v>
      </c>
      <c r="L150" s="1151">
        <f t="shared" si="29"/>
        <v>0</v>
      </c>
    </row>
    <row r="152" spans="2:18" ht="18.75">
      <c r="B152" s="1308" t="s">
        <v>683</v>
      </c>
    </row>
    <row r="154" spans="2:18">
      <c r="B154" t="s">
        <v>674</v>
      </c>
      <c r="C154" t="s">
        <v>675</v>
      </c>
      <c r="F154" s="1146"/>
      <c r="G154" s="1146"/>
      <c r="H154" s="1146"/>
      <c r="I154" s="1146"/>
      <c r="J154" s="1146"/>
      <c r="K154" s="1146"/>
      <c r="L154" s="1146"/>
    </row>
    <row r="155" spans="2:18">
      <c r="B155" t="s">
        <v>676</v>
      </c>
      <c r="C155" t="s">
        <v>677</v>
      </c>
      <c r="F155" s="1147" t="s">
        <v>195</v>
      </c>
      <c r="G155" s="1147" t="s">
        <v>195</v>
      </c>
      <c r="H155" s="1147" t="s">
        <v>195</v>
      </c>
      <c r="I155" s="1147" t="s">
        <v>195</v>
      </c>
      <c r="J155" s="1147" t="s">
        <v>195</v>
      </c>
      <c r="K155" s="1147" t="s">
        <v>195</v>
      </c>
      <c r="L155" s="1147" t="s">
        <v>195</v>
      </c>
    </row>
    <row r="156" spans="2:18">
      <c r="B156" t="s">
        <v>678</v>
      </c>
      <c r="C156" t="s">
        <v>679</v>
      </c>
      <c r="F156" s="1147" t="s">
        <v>195</v>
      </c>
      <c r="G156" s="1147" t="s">
        <v>195</v>
      </c>
      <c r="H156" s="1147" t="s">
        <v>195</v>
      </c>
      <c r="I156" s="1147" t="s">
        <v>195</v>
      </c>
      <c r="J156" s="1147" t="s">
        <v>195</v>
      </c>
      <c r="K156" s="1147" t="s">
        <v>195</v>
      </c>
      <c r="L156" s="1147" t="s">
        <v>195</v>
      </c>
      <c r="R156" s="773"/>
    </row>
    <row r="157" spans="2:18">
      <c r="B157" t="s">
        <v>680</v>
      </c>
      <c r="F157" s="1149"/>
      <c r="G157" s="1146"/>
      <c r="H157" s="1149"/>
      <c r="I157" s="1149"/>
      <c r="J157" s="1146"/>
      <c r="K157" s="1146"/>
      <c r="L157" s="1146"/>
      <c r="R157" s="775"/>
    </row>
    <row r="158" spans="2:18">
      <c r="B158" s="1211" t="s">
        <v>804</v>
      </c>
      <c r="C158" t="s">
        <v>0</v>
      </c>
      <c r="F158" s="1150">
        <f t="shared" ref="F158:L158" si="30">(F154*F157*8760)</f>
        <v>0</v>
      </c>
      <c r="G158" s="1150">
        <f t="shared" si="30"/>
        <v>0</v>
      </c>
      <c r="H158" s="1150">
        <f t="shared" si="30"/>
        <v>0</v>
      </c>
      <c r="I158" s="1150">
        <f t="shared" si="30"/>
        <v>0</v>
      </c>
      <c r="J158" s="1150">
        <f t="shared" si="30"/>
        <v>0</v>
      </c>
      <c r="K158" s="1150">
        <f t="shared" si="30"/>
        <v>0</v>
      </c>
      <c r="L158" s="1150">
        <f t="shared" si="30"/>
        <v>0</v>
      </c>
    </row>
    <row r="159" spans="2:18">
      <c r="B159" t="s">
        <v>681</v>
      </c>
      <c r="F159" s="1147" t="s">
        <v>195</v>
      </c>
      <c r="G159" s="1147" t="s">
        <v>195</v>
      </c>
      <c r="H159" s="1147" t="s">
        <v>195</v>
      </c>
      <c r="I159" s="1147" t="s">
        <v>195</v>
      </c>
      <c r="J159" s="1147" t="s">
        <v>195</v>
      </c>
      <c r="K159" s="1147" t="s">
        <v>195</v>
      </c>
      <c r="L159" s="1147" t="s">
        <v>195</v>
      </c>
    </row>
    <row r="161" spans="2:12" ht="17.25" customHeight="1">
      <c r="B161" s="1308" t="s">
        <v>684</v>
      </c>
    </row>
    <row r="163" spans="2:12">
      <c r="B163" t="s">
        <v>674</v>
      </c>
      <c r="C163" t="s">
        <v>675</v>
      </c>
      <c r="F163" s="1146"/>
      <c r="G163" s="1146"/>
      <c r="H163" s="1146"/>
      <c r="I163" s="1146"/>
      <c r="J163" s="1146"/>
      <c r="K163" s="1146"/>
      <c r="L163" s="1146"/>
    </row>
    <row r="164" spans="2:12">
      <c r="B164" t="s">
        <v>676</v>
      </c>
      <c r="C164" t="s">
        <v>677</v>
      </c>
      <c r="F164" s="1147"/>
      <c r="G164" s="1146"/>
      <c r="H164" s="1147"/>
      <c r="I164" s="1147"/>
      <c r="J164" s="1147"/>
      <c r="K164" s="1147"/>
      <c r="L164" s="1147"/>
    </row>
    <row r="165" spans="2:12">
      <c r="B165" t="s">
        <v>678</v>
      </c>
      <c r="C165" t="s">
        <v>679</v>
      </c>
      <c r="F165" s="1148"/>
      <c r="G165" s="1146"/>
      <c r="H165" s="1148"/>
      <c r="I165" s="1148"/>
      <c r="J165" s="1148"/>
      <c r="K165" s="1148"/>
      <c r="L165" s="1148"/>
    </row>
    <row r="166" spans="2:12">
      <c r="B166" t="s">
        <v>680</v>
      </c>
      <c r="F166" s="1149"/>
      <c r="G166" s="1146"/>
      <c r="H166" s="1149"/>
      <c r="I166" s="1149"/>
      <c r="J166" s="1149"/>
      <c r="K166" s="1149"/>
      <c r="L166" s="1149"/>
    </row>
    <row r="167" spans="2:12">
      <c r="B167" s="1211" t="s">
        <v>804</v>
      </c>
      <c r="C167" t="s">
        <v>0</v>
      </c>
      <c r="F167" s="1150">
        <f t="shared" ref="F167:L167" si="31">(F163*F166*8760)</f>
        <v>0</v>
      </c>
      <c r="G167" s="1150">
        <f t="shared" si="31"/>
        <v>0</v>
      </c>
      <c r="H167" s="1150">
        <f t="shared" si="31"/>
        <v>0</v>
      </c>
      <c r="I167" s="1150">
        <f t="shared" si="31"/>
        <v>0</v>
      </c>
      <c r="J167" s="1150">
        <f t="shared" si="31"/>
        <v>0</v>
      </c>
      <c r="K167" s="1150">
        <f t="shared" si="31"/>
        <v>0</v>
      </c>
      <c r="L167" s="1150">
        <f t="shared" si="31"/>
        <v>0</v>
      </c>
    </row>
    <row r="168" spans="2:12">
      <c r="B168" t="s">
        <v>681</v>
      </c>
      <c r="F168" s="1151">
        <f t="shared" ref="F168:L168" si="32">F167*F164*F165/1000</f>
        <v>0</v>
      </c>
      <c r="G168" s="1151">
        <f t="shared" si="32"/>
        <v>0</v>
      </c>
      <c r="H168" s="1151">
        <f t="shared" si="32"/>
        <v>0</v>
      </c>
      <c r="I168" s="1151">
        <f t="shared" si="32"/>
        <v>0</v>
      </c>
      <c r="J168" s="1151">
        <f t="shared" si="32"/>
        <v>0</v>
      </c>
      <c r="K168" s="1151">
        <f t="shared" si="32"/>
        <v>0</v>
      </c>
      <c r="L168" s="1151">
        <f t="shared" si="32"/>
        <v>0</v>
      </c>
    </row>
    <row r="170" spans="2:12" ht="17.25" customHeight="1">
      <c r="B170" s="1308" t="s">
        <v>685</v>
      </c>
    </row>
    <row r="172" spans="2:12">
      <c r="B172" t="s">
        <v>674</v>
      </c>
      <c r="C172" t="s">
        <v>675</v>
      </c>
      <c r="F172" s="1146"/>
      <c r="G172" s="1146"/>
      <c r="H172" s="1146"/>
      <c r="I172" s="1146"/>
      <c r="J172" s="1146"/>
      <c r="K172" s="1146"/>
      <c r="L172" s="1146"/>
    </row>
    <row r="173" spans="2:12">
      <c r="B173" t="s">
        <v>676</v>
      </c>
      <c r="C173" t="s">
        <v>677</v>
      </c>
      <c r="F173" s="1147"/>
      <c r="G173" s="1147"/>
      <c r="H173" s="1147"/>
      <c r="I173" s="1147"/>
      <c r="J173" s="1147"/>
      <c r="K173" s="1147"/>
      <c r="L173" s="1147"/>
    </row>
    <row r="174" spans="2:12">
      <c r="B174" t="s">
        <v>678</v>
      </c>
      <c r="C174" t="s">
        <v>679</v>
      </c>
      <c r="F174" s="1148"/>
      <c r="G174" s="1148"/>
      <c r="H174" s="1148"/>
      <c r="I174" s="1148"/>
      <c r="J174" s="1148"/>
      <c r="K174" s="1148"/>
      <c r="L174" s="1148"/>
    </row>
    <row r="175" spans="2:12">
      <c r="B175" t="s">
        <v>680</v>
      </c>
      <c r="F175" s="1149"/>
      <c r="G175" s="1149"/>
      <c r="H175" s="1149"/>
      <c r="I175" s="1149"/>
      <c r="J175" s="1149"/>
      <c r="K175" s="1149"/>
      <c r="L175" s="1149"/>
    </row>
    <row r="176" spans="2:12">
      <c r="B176" s="1211" t="s">
        <v>804</v>
      </c>
      <c r="C176" t="s">
        <v>0</v>
      </c>
      <c r="F176" s="1150">
        <f>(F172*F175*8760)</f>
        <v>0</v>
      </c>
      <c r="G176" s="1150">
        <f t="shared" ref="G176:L176" si="33">(G172*G175*8760)</f>
        <v>0</v>
      </c>
      <c r="H176" s="1150">
        <f t="shared" si="33"/>
        <v>0</v>
      </c>
      <c r="I176" s="1150">
        <f t="shared" si="33"/>
        <v>0</v>
      </c>
      <c r="J176" s="1150">
        <f t="shared" si="33"/>
        <v>0</v>
      </c>
      <c r="K176" s="1150">
        <f t="shared" si="33"/>
        <v>0</v>
      </c>
      <c r="L176" s="1150">
        <f t="shared" si="33"/>
        <v>0</v>
      </c>
    </row>
    <row r="177" spans="2:12">
      <c r="B177" t="s">
        <v>681</v>
      </c>
      <c r="F177" s="1151">
        <f>F176*F173*F174/1000</f>
        <v>0</v>
      </c>
      <c r="G177" s="1151">
        <f t="shared" ref="G177:L177" si="34">G176*G173*G174/1000</f>
        <v>0</v>
      </c>
      <c r="H177" s="1151">
        <f t="shared" si="34"/>
        <v>0</v>
      </c>
      <c r="I177" s="1151">
        <f t="shared" si="34"/>
        <v>0</v>
      </c>
      <c r="J177" s="1151">
        <f t="shared" si="34"/>
        <v>0</v>
      </c>
      <c r="K177" s="1151">
        <f t="shared" si="34"/>
        <v>0</v>
      </c>
      <c r="L177" s="1151">
        <f t="shared" si="34"/>
        <v>0</v>
      </c>
    </row>
    <row r="179" spans="2:12" ht="15.75" customHeight="1">
      <c r="B179" s="1308" t="s">
        <v>686</v>
      </c>
      <c r="C179" s="1307"/>
    </row>
    <row r="181" spans="2:12">
      <c r="B181" t="s">
        <v>674</v>
      </c>
      <c r="C181" t="s">
        <v>675</v>
      </c>
      <c r="F181" s="1146"/>
      <c r="G181" s="1146"/>
      <c r="H181" s="1146"/>
      <c r="I181" s="1146"/>
      <c r="J181" s="1146"/>
      <c r="K181" s="1146"/>
      <c r="L181" s="1146"/>
    </row>
    <row r="182" spans="2:12">
      <c r="B182" t="s">
        <v>676</v>
      </c>
      <c r="C182" t="s">
        <v>677</v>
      </c>
      <c r="F182" s="1147" t="s">
        <v>195</v>
      </c>
      <c r="G182" s="1147" t="s">
        <v>195</v>
      </c>
      <c r="H182" s="1147" t="s">
        <v>195</v>
      </c>
      <c r="I182" s="1147" t="s">
        <v>195</v>
      </c>
      <c r="J182" s="1147" t="s">
        <v>195</v>
      </c>
      <c r="K182" s="1147" t="s">
        <v>195</v>
      </c>
      <c r="L182" s="1147" t="s">
        <v>195</v>
      </c>
    </row>
    <row r="183" spans="2:12">
      <c r="B183" t="s">
        <v>678</v>
      </c>
      <c r="C183" t="s">
        <v>679</v>
      </c>
      <c r="F183" s="1147" t="s">
        <v>195</v>
      </c>
      <c r="G183" s="1147" t="s">
        <v>195</v>
      </c>
      <c r="H183" s="1147" t="s">
        <v>195</v>
      </c>
      <c r="I183" s="1147" t="s">
        <v>195</v>
      </c>
      <c r="J183" s="1147" t="s">
        <v>195</v>
      </c>
      <c r="K183" s="1147" t="s">
        <v>195</v>
      </c>
      <c r="L183" s="1147" t="s">
        <v>195</v>
      </c>
    </row>
    <row r="184" spans="2:12">
      <c r="B184" t="s">
        <v>680</v>
      </c>
      <c r="F184" s="1149"/>
      <c r="G184" s="1146"/>
      <c r="H184" s="1149"/>
      <c r="I184" s="1149"/>
      <c r="J184" s="1149"/>
      <c r="K184" s="1149"/>
      <c r="L184" s="1149"/>
    </row>
    <row r="185" spans="2:12">
      <c r="B185" t="s">
        <v>804</v>
      </c>
      <c r="C185" t="s">
        <v>0</v>
      </c>
      <c r="F185" s="1150">
        <f>(F181*F184*8760)</f>
        <v>0</v>
      </c>
      <c r="G185" s="1150">
        <f t="shared" ref="G185:L185" si="35">(G181*G184*8760)</f>
        <v>0</v>
      </c>
      <c r="H185" s="1150">
        <f t="shared" si="35"/>
        <v>0</v>
      </c>
      <c r="I185" s="1150">
        <f t="shared" si="35"/>
        <v>0</v>
      </c>
      <c r="J185" s="1150">
        <f t="shared" si="35"/>
        <v>0</v>
      </c>
      <c r="K185" s="1150">
        <f t="shared" si="35"/>
        <v>0</v>
      </c>
      <c r="L185" s="1150">
        <f t="shared" si="35"/>
        <v>0</v>
      </c>
    </row>
    <row r="186" spans="2:12">
      <c r="B186" t="s">
        <v>681</v>
      </c>
      <c r="F186" s="1147" t="s">
        <v>195</v>
      </c>
      <c r="G186" s="1147" t="s">
        <v>195</v>
      </c>
      <c r="H186" s="1147" t="s">
        <v>195</v>
      </c>
      <c r="I186" s="1147" t="s">
        <v>195</v>
      </c>
      <c r="J186" s="1147" t="s">
        <v>195</v>
      </c>
      <c r="K186" s="1147" t="s">
        <v>195</v>
      </c>
      <c r="L186" s="1147" t="s">
        <v>195</v>
      </c>
    </row>
  </sheetData>
  <phoneticPr fontId="0" type="noConversion"/>
  <conditionalFormatting sqref="B7:Y131">
    <cfRule type="expression" dxfId="6" priority="1" stopIfTrue="1">
      <formula>MOD(ROW(),2)=1</formula>
    </cfRule>
  </conditionalFormatting>
  <conditionalFormatting sqref="E2:Y4">
    <cfRule type="expression" dxfId="5" priority="2" stopIfTrue="1">
      <formula>MOD(ROW(),2)=1</formula>
    </cfRule>
  </conditionalFormatting>
  <dataValidations disablePrompts="1" count="2">
    <dataValidation type="list" allowBlank="1" showInputMessage="1" showErrorMessage="1" prompt="Select Online Month" sqref="F3:Y3" xr:uid="{00000000-0002-0000-0F00-000000000000}">
      <formula1>Month</formula1>
    </dataValidation>
    <dataValidation type="list" allowBlank="1" showInputMessage="1" showErrorMessage="1" prompt="Select Online Year" sqref="F2:Y2" xr:uid="{00000000-0002-0000-0F00-000001000000}">
      <formula1>Year</formula1>
    </dataValidation>
  </dataValidations>
  <hyperlinks>
    <hyperlink ref="A2" location="TOC!A1" display="TOC" xr:uid="{00000000-0004-0000-0F00-000000000000}"/>
    <hyperlink ref="A3" location="'New Resources - Individual'!A7" display="é" xr:uid="{00000000-0004-0000-0F00-000001000000}"/>
  </hyperlinks>
  <printOptions horizontalCentered="1" headings="1"/>
  <pageMargins left="0.5" right="0.5" top="0.75" bottom="0.8" header="0.25" footer="0.25"/>
  <pageSetup scale="75" fitToHeight="5" orientation="landscape" r:id="rId1"/>
  <headerFooter alignWithMargins="0">
    <oddFooter>&amp;LFY 2026-2028 ASC Filing&amp;CPage &amp;P of &amp;N&amp;R&amp;A
&amp;D</oddFooter>
  </headerFooter>
  <rowBreaks count="1" manualBreakCount="1">
    <brk id="81" min="1" max="7" man="1"/>
  </rowBreaks>
  <customProperties>
    <customPr name="xxe4aPID" r:id="rId2"/>
  </customPropertie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tabColor indexed="17"/>
  </sheetPr>
  <dimension ref="A1:AH157"/>
  <sheetViews>
    <sheetView view="pageLayout" zoomScaleNormal="90" zoomScaleSheetLayoutView="100" workbookViewId="0">
      <selection activeCell="I12" sqref="I12"/>
    </sheetView>
  </sheetViews>
  <sheetFormatPr defaultRowHeight="15.75"/>
  <cols>
    <col min="1" max="1" width="5.375" bestFit="1" customWidth="1"/>
    <col min="2" max="2" width="35.75" bestFit="1" customWidth="1"/>
    <col min="3" max="3" width="8.375" bestFit="1" customWidth="1"/>
    <col min="4" max="4" width="11" hidden="1" customWidth="1"/>
    <col min="5" max="5" width="11.375" bestFit="1" customWidth="1"/>
    <col min="6" max="6" width="11.625" customWidth="1"/>
    <col min="7" max="7" width="11.25" customWidth="1"/>
    <col min="8" max="8" width="12.75" customWidth="1"/>
    <col min="9" max="9" width="11.125" customWidth="1"/>
    <col min="18" max="18" width="11.75" bestFit="1" customWidth="1"/>
    <col min="19" max="25" width="10.375" bestFit="1" customWidth="1"/>
    <col min="34" max="34" width="7.5" customWidth="1"/>
  </cols>
  <sheetData>
    <row r="1" spans="1:34" ht="41.25" customHeight="1" thickTop="1">
      <c r="A1" s="237"/>
      <c r="B1" s="777" t="str">
        <f>'Sch 1- Rate Base '!E5</f>
        <v>Utility Name</v>
      </c>
      <c r="C1" s="778"/>
      <c r="D1" s="778"/>
      <c r="E1" s="778"/>
      <c r="F1" s="810"/>
      <c r="G1" s="810"/>
      <c r="H1" s="810"/>
      <c r="I1" s="1270"/>
      <c r="J1" s="1271"/>
      <c r="K1" s="1271"/>
      <c r="L1" s="1271"/>
      <c r="M1" s="1271"/>
      <c r="N1" s="1271"/>
      <c r="O1" s="1271"/>
      <c r="P1" s="1271"/>
      <c r="Q1" s="1271"/>
      <c r="R1" s="1271"/>
      <c r="S1" s="1271"/>
      <c r="T1" s="1271"/>
      <c r="U1" s="1271"/>
      <c r="V1" s="1271"/>
      <c r="W1" s="1271"/>
      <c r="X1" s="1271"/>
      <c r="Y1" s="1272"/>
      <c r="Z1" s="654"/>
      <c r="AA1" s="654"/>
      <c r="AB1" s="654"/>
      <c r="AC1" s="654"/>
      <c r="AD1" s="654"/>
      <c r="AE1" s="654"/>
      <c r="AF1" s="654"/>
      <c r="AG1" s="655">
        <v>2008</v>
      </c>
      <c r="AH1" s="655">
        <v>1</v>
      </c>
    </row>
    <row r="2" spans="1:34">
      <c r="A2" s="1287" t="s">
        <v>699</v>
      </c>
      <c r="B2" s="779" t="s">
        <v>589</v>
      </c>
      <c r="C2" s="807"/>
      <c r="D2" s="807"/>
      <c r="E2" s="633" t="s">
        <v>590</v>
      </c>
      <c r="F2" s="818" t="str">
        <f t="shared" ref="F2:Y2" si="0">IF(F4&gt;0,YEAR(F4),"")</f>
        <v/>
      </c>
      <c r="G2" s="818" t="str">
        <f t="shared" si="0"/>
        <v/>
      </c>
      <c r="H2" s="818" t="str">
        <f t="shared" si="0"/>
        <v/>
      </c>
      <c r="I2" s="818" t="str">
        <f t="shared" si="0"/>
        <v/>
      </c>
      <c r="J2" s="818" t="str">
        <f t="shared" si="0"/>
        <v/>
      </c>
      <c r="K2" s="818" t="str">
        <f t="shared" si="0"/>
        <v/>
      </c>
      <c r="L2" s="818" t="str">
        <f t="shared" si="0"/>
        <v/>
      </c>
      <c r="M2" s="818" t="str">
        <f t="shared" si="0"/>
        <v/>
      </c>
      <c r="N2" s="818" t="str">
        <f t="shared" si="0"/>
        <v/>
      </c>
      <c r="O2" s="818" t="str">
        <f t="shared" si="0"/>
        <v/>
      </c>
      <c r="P2" s="818" t="str">
        <f t="shared" si="0"/>
        <v/>
      </c>
      <c r="Q2" s="818" t="str">
        <f t="shared" si="0"/>
        <v/>
      </c>
      <c r="R2" s="818" t="str">
        <f t="shared" si="0"/>
        <v/>
      </c>
      <c r="S2" s="818" t="str">
        <f t="shared" si="0"/>
        <v/>
      </c>
      <c r="T2" s="818" t="str">
        <f t="shared" si="0"/>
        <v/>
      </c>
      <c r="U2" s="818" t="str">
        <f t="shared" si="0"/>
        <v/>
      </c>
      <c r="V2" s="818" t="str">
        <f t="shared" si="0"/>
        <v/>
      </c>
      <c r="W2" s="818" t="str">
        <f t="shared" si="0"/>
        <v/>
      </c>
      <c r="X2" s="818" t="str">
        <f t="shared" si="0"/>
        <v/>
      </c>
      <c r="Y2" s="1273" t="str">
        <f t="shared" si="0"/>
        <v/>
      </c>
      <c r="Z2" s="657"/>
      <c r="AA2" s="657"/>
      <c r="AB2" s="657"/>
      <c r="AC2" s="657"/>
      <c r="AD2" s="657"/>
      <c r="AE2" s="657"/>
      <c r="AF2" s="657"/>
      <c r="AG2" s="658">
        <v>2009</v>
      </c>
      <c r="AH2" s="658">
        <v>2</v>
      </c>
    </row>
    <row r="3" spans="1:34">
      <c r="A3" s="1288" t="s">
        <v>700</v>
      </c>
      <c r="B3" s="811">
        <f>'New Resources - Individual'!B3</f>
        <v>46478</v>
      </c>
      <c r="C3" s="807"/>
      <c r="D3" s="807"/>
      <c r="E3" s="785" t="s">
        <v>591</v>
      </c>
      <c r="F3" s="819" t="str">
        <f t="shared" ref="F3:Y3" si="1">IF(F4&gt;0,MONTH(F4),"")</f>
        <v/>
      </c>
      <c r="G3" s="819" t="str">
        <f t="shared" si="1"/>
        <v/>
      </c>
      <c r="H3" s="819" t="str">
        <f t="shared" si="1"/>
        <v/>
      </c>
      <c r="I3" s="819" t="str">
        <f t="shared" si="1"/>
        <v/>
      </c>
      <c r="J3" s="819" t="str">
        <f t="shared" si="1"/>
        <v/>
      </c>
      <c r="K3" s="819" t="str">
        <f t="shared" si="1"/>
        <v/>
      </c>
      <c r="L3" s="819" t="str">
        <f t="shared" si="1"/>
        <v/>
      </c>
      <c r="M3" s="819" t="str">
        <f t="shared" si="1"/>
        <v/>
      </c>
      <c r="N3" s="819" t="str">
        <f t="shared" si="1"/>
        <v/>
      </c>
      <c r="O3" s="819" t="str">
        <f t="shared" si="1"/>
        <v/>
      </c>
      <c r="P3" s="819" t="str">
        <f t="shared" si="1"/>
        <v/>
      </c>
      <c r="Q3" s="819" t="str">
        <f t="shared" si="1"/>
        <v/>
      </c>
      <c r="R3" s="819" t="str">
        <f t="shared" si="1"/>
        <v/>
      </c>
      <c r="S3" s="819" t="str">
        <f t="shared" si="1"/>
        <v/>
      </c>
      <c r="T3" s="819" t="str">
        <f t="shared" si="1"/>
        <v/>
      </c>
      <c r="U3" s="819" t="str">
        <f t="shared" si="1"/>
        <v/>
      </c>
      <c r="V3" s="819" t="str">
        <f t="shared" si="1"/>
        <v/>
      </c>
      <c r="W3" s="819" t="str">
        <f t="shared" si="1"/>
        <v/>
      </c>
      <c r="X3" s="819" t="str">
        <f t="shared" si="1"/>
        <v/>
      </c>
      <c r="Y3" s="1273" t="str">
        <f t="shared" si="1"/>
        <v/>
      </c>
      <c r="Z3" s="657"/>
      <c r="AA3" s="657"/>
      <c r="AB3" s="657"/>
      <c r="AC3" s="657"/>
      <c r="AD3" s="657"/>
      <c r="AE3" s="657"/>
      <c r="AF3" s="657"/>
      <c r="AG3" s="660">
        <v>2010</v>
      </c>
      <c r="AH3" s="658">
        <v>3</v>
      </c>
    </row>
    <row r="4" spans="1:34">
      <c r="A4" s="1289"/>
      <c r="B4" s="780"/>
      <c r="C4" s="807"/>
      <c r="D4" s="807"/>
      <c r="E4" s="808">
        <f>B3</f>
        <v>46478</v>
      </c>
      <c r="F4" s="661">
        <f t="array" ref="F4">MAX(IF(('New Resources - Individual'!$F$6:$Y$6=F$6),'New Resources - Individual'!$F$4:$Y$4))</f>
        <v>0</v>
      </c>
      <c r="G4" s="661">
        <f t="array" ref="G4">MAX(IF(('New Resources - Individual'!$F$6:$Y$6=G$6),'New Resources - Individual'!$F$4:$Y$4))</f>
        <v>0</v>
      </c>
      <c r="H4" s="661">
        <f t="array" ref="H4">MAX(IF(('New Resources - Individual'!$F$6:$Y$6=H$6),'New Resources - Individual'!$F$4:$Y$4))</f>
        <v>0</v>
      </c>
      <c r="I4" s="661">
        <f t="array" ref="I4">MAX(IF(('New Resources - Individual'!$F$6:$Y$6=I$6),'New Resources - Individual'!$F$4:$Y$4))</f>
        <v>0</v>
      </c>
      <c r="J4" s="661">
        <f t="array" ref="J4">MAX(IF(('New Resources - Individual'!$F$6:$Y$6=J$6),'New Resources - Individual'!$F$4:$Y$4))</f>
        <v>0</v>
      </c>
      <c r="K4" s="661">
        <f t="array" ref="K4">MAX(IF(('New Resources - Individual'!$F$6:$Y$6=K$6),'New Resources - Individual'!$F$4:$Y$4))</f>
        <v>0</v>
      </c>
      <c r="L4" s="661">
        <f t="array" ref="L4">MAX(IF(('New Resources - Individual'!$F$6:$Y$6=L$6),'New Resources - Individual'!$F$4:$Y$4))</f>
        <v>0</v>
      </c>
      <c r="M4" s="661">
        <f t="array" ref="M4">MAX(IF(('New Resources - Individual'!$F$6:$Y$6=M$6),'New Resources - Individual'!$F$4:$Y$4))</f>
        <v>0</v>
      </c>
      <c r="N4" s="661">
        <f t="array" ref="N4">MAX(IF(('New Resources - Individual'!$F$6:$Y$6=N$6),'New Resources - Individual'!$F$4:$Y$4))</f>
        <v>0</v>
      </c>
      <c r="O4" s="661">
        <f t="array" ref="O4">MAX(IF(('New Resources - Individual'!$F$6:$Y$6=O$6),'New Resources - Individual'!$F$4:$Y$4))</f>
        <v>0</v>
      </c>
      <c r="P4" s="661">
        <f t="array" ref="P4">MAX(IF(('New Resources - Individual'!$F$6:$Y$6=P$6),'New Resources - Individual'!$F$4:$Y$4))</f>
        <v>0</v>
      </c>
      <c r="Q4" s="661">
        <f t="array" ref="Q4">MAX(IF(('New Resources - Individual'!$F$6:$Y$6=Q$6),'New Resources - Individual'!$F$4:$Y$4))</f>
        <v>0</v>
      </c>
      <c r="R4" s="661">
        <f t="array" ref="R4">MAX(IF(('New Resources - Individual'!$F$6:$Y$6=R$6),'New Resources - Individual'!$F$4:$Y$4))</f>
        <v>0</v>
      </c>
      <c r="S4" s="661">
        <f t="array" ref="S4">MAX(IF(('New Resources - Individual'!$F$6:$Y$6=S$6),'New Resources - Individual'!$F$4:$Y$4))</f>
        <v>0</v>
      </c>
      <c r="T4" s="661">
        <f t="array" ref="T4">MAX(IF(('New Resources - Individual'!$F$6:$Y$6=T$6),'New Resources - Individual'!$F$4:$Y$4))</f>
        <v>0</v>
      </c>
      <c r="U4" s="661">
        <f t="array" ref="U4">MAX(IF(('New Resources - Individual'!$F$6:$Y$6=U$6),'New Resources - Individual'!$F$4:$Y$4))</f>
        <v>0</v>
      </c>
      <c r="V4" s="661">
        <f t="array" ref="V4">MAX(IF(('New Resources - Individual'!$F$6:$Y$6=V$6),'New Resources - Individual'!$F$4:$Y$4))</f>
        <v>0</v>
      </c>
      <c r="W4" s="661">
        <f t="array" ref="W4">MAX(IF(('New Resources - Individual'!$F$6:$Y$6=W$6),'New Resources - Individual'!$F$4:$Y$4))</f>
        <v>0</v>
      </c>
      <c r="X4" s="661">
        <f t="array" ref="X4">MAX(IF(('New Resources - Individual'!$F$6:$Y$6=X$6),'New Resources - Individual'!$F$4:$Y$4))</f>
        <v>0</v>
      </c>
      <c r="Y4" s="1274">
        <f t="array" ref="Y4">MAX(IF(('New Resources - Individual'!$F$6:$Y$6=Y$6),'New Resources - Individual'!$F$4:$Y$4))</f>
        <v>0</v>
      </c>
      <c r="Z4" s="631"/>
      <c r="AA4" s="631"/>
      <c r="AB4" s="631"/>
      <c r="AC4" s="631"/>
      <c r="AD4" s="631"/>
      <c r="AE4" s="631"/>
      <c r="AF4" s="631"/>
      <c r="AG4" s="658">
        <v>2011</v>
      </c>
      <c r="AH4" s="658">
        <v>4</v>
      </c>
    </row>
    <row r="5" spans="1:34" ht="16.5" thickBot="1">
      <c r="A5" s="1290">
        <v>1</v>
      </c>
      <c r="B5" s="786">
        <v>2</v>
      </c>
      <c r="C5" s="634">
        <v>3</v>
      </c>
      <c r="D5" s="635">
        <v>4</v>
      </c>
      <c r="E5" s="634">
        <v>5</v>
      </c>
      <c r="F5" s="634">
        <v>6</v>
      </c>
      <c r="G5" s="635">
        <v>7</v>
      </c>
      <c r="H5" s="635">
        <v>8</v>
      </c>
      <c r="I5" s="634">
        <v>9</v>
      </c>
      <c r="J5" s="635">
        <v>10</v>
      </c>
      <c r="K5" s="634">
        <v>11</v>
      </c>
      <c r="L5" s="634">
        <v>12</v>
      </c>
      <c r="M5" s="635">
        <v>13</v>
      </c>
      <c r="N5" s="634">
        <v>14</v>
      </c>
      <c r="O5" s="634">
        <v>15</v>
      </c>
      <c r="P5" s="635">
        <v>16</v>
      </c>
      <c r="Q5" s="634">
        <v>17</v>
      </c>
      <c r="R5" s="634">
        <v>18</v>
      </c>
      <c r="S5" s="635">
        <v>19</v>
      </c>
      <c r="T5" s="634">
        <v>20</v>
      </c>
      <c r="U5" s="634">
        <v>21</v>
      </c>
      <c r="V5" s="635">
        <v>22</v>
      </c>
      <c r="W5" s="634">
        <v>23</v>
      </c>
      <c r="X5" s="634">
        <v>24</v>
      </c>
      <c r="Y5" s="1275">
        <v>25</v>
      </c>
      <c r="Z5" s="662">
        <v>5</v>
      </c>
      <c r="AA5" s="662">
        <v>5</v>
      </c>
      <c r="AB5" s="662">
        <v>5</v>
      </c>
      <c r="AC5" s="662">
        <v>5</v>
      </c>
      <c r="AD5" s="662">
        <v>5</v>
      </c>
      <c r="AE5" s="662"/>
      <c r="AF5" s="662"/>
      <c r="AG5" s="660">
        <v>2012</v>
      </c>
      <c r="AH5" s="663">
        <v>5</v>
      </c>
    </row>
    <row r="6" spans="1:34" ht="22.5" thickTop="1">
      <c r="A6" s="1292" t="s">
        <v>700</v>
      </c>
      <c r="B6" s="787" t="s">
        <v>810</v>
      </c>
      <c r="C6" s="637"/>
      <c r="D6" s="638" t="s">
        <v>592</v>
      </c>
      <c r="E6" s="639"/>
      <c r="F6" s="1280">
        <v>1</v>
      </c>
      <c r="G6" s="1280">
        <v>2</v>
      </c>
      <c r="H6" s="1280">
        <v>3</v>
      </c>
      <c r="I6" s="1280">
        <v>4</v>
      </c>
      <c r="J6" s="1280">
        <v>5</v>
      </c>
      <c r="K6" s="1280">
        <v>6</v>
      </c>
      <c r="L6" s="1280">
        <v>7</v>
      </c>
      <c r="M6" s="1280">
        <v>8</v>
      </c>
      <c r="N6" s="1280">
        <v>9</v>
      </c>
      <c r="O6" s="1280">
        <v>10</v>
      </c>
      <c r="P6" s="1280">
        <v>11</v>
      </c>
      <c r="Q6" s="1280">
        <v>12</v>
      </c>
      <c r="R6" s="1280">
        <v>13</v>
      </c>
      <c r="S6" s="1280">
        <v>14</v>
      </c>
      <c r="T6" s="1280">
        <v>15</v>
      </c>
      <c r="U6" s="1280">
        <v>16</v>
      </c>
      <c r="V6" s="1280">
        <v>17</v>
      </c>
      <c r="W6" s="1280">
        <v>18</v>
      </c>
      <c r="X6" s="1280">
        <v>19</v>
      </c>
      <c r="Y6" s="1281">
        <v>20</v>
      </c>
      <c r="Z6" s="664"/>
      <c r="AA6" s="664"/>
      <c r="AB6" s="664"/>
      <c r="AC6" s="664"/>
      <c r="AD6" s="664"/>
      <c r="AE6" s="664"/>
      <c r="AF6" s="664"/>
      <c r="AG6" s="658">
        <v>2013</v>
      </c>
      <c r="AH6" s="665">
        <v>6</v>
      </c>
    </row>
    <row r="7" spans="1:34">
      <c r="A7" s="1291">
        <v>100</v>
      </c>
      <c r="B7" s="788" t="s">
        <v>88</v>
      </c>
      <c r="C7" s="641" t="s">
        <v>593</v>
      </c>
      <c r="D7" s="641"/>
      <c r="E7" s="647"/>
      <c r="F7" s="817"/>
      <c r="G7" s="817"/>
      <c r="H7" s="817"/>
      <c r="I7" s="817"/>
      <c r="J7" s="817"/>
      <c r="K7" s="817"/>
      <c r="L7" s="817"/>
      <c r="M7" s="817"/>
      <c r="N7" s="817"/>
      <c r="O7" s="817"/>
      <c r="P7" s="817"/>
      <c r="Q7" s="817"/>
      <c r="R7" s="817"/>
      <c r="S7" s="817"/>
      <c r="T7" s="817"/>
      <c r="U7" s="817"/>
      <c r="V7" s="817"/>
      <c r="W7" s="817"/>
      <c r="X7" s="817"/>
      <c r="Y7" s="1276"/>
      <c r="Z7" s="631"/>
      <c r="AA7" s="631"/>
      <c r="AB7" s="631"/>
      <c r="AC7" s="631"/>
      <c r="AD7" s="631"/>
      <c r="AE7" s="631"/>
      <c r="AF7" s="631"/>
      <c r="AG7" s="658"/>
      <c r="AH7" s="658">
        <v>7</v>
      </c>
    </row>
    <row r="8" spans="1:34">
      <c r="A8" s="640">
        <v>110</v>
      </c>
      <c r="B8" s="789" t="s">
        <v>111</v>
      </c>
      <c r="C8" s="643" t="s">
        <v>112</v>
      </c>
      <c r="D8" s="643"/>
      <c r="E8" s="644"/>
      <c r="F8" s="815">
        <f>SUMIF('New Resources - Individual'!$F$6:$Y$6,F$6,'New Resources - Individual'!$F8:$Y8)</f>
        <v>0</v>
      </c>
      <c r="G8" s="815">
        <f>SUMIF('New Resources - Individual'!$F$6:$Y$6,G$6,'New Resources - Individual'!$F8:$Y8)</f>
        <v>0</v>
      </c>
      <c r="H8" s="668">
        <f>SUMIF('New Resources - Individual'!$F$6:$Y$6,H$6,'New Resources - Individual'!$F8:$Y8)</f>
        <v>0</v>
      </c>
      <c r="I8" s="815">
        <f>SUMIF('New Resources - Individual'!$F$6:$Y$6,I$6,'New Resources - Individual'!$F8:$Y8)</f>
        <v>0</v>
      </c>
      <c r="J8" s="816">
        <f>SUMIF('New Resources - Individual'!$F$6:$Y$6,J$6,'New Resources - Individual'!$F8:$Y8)</f>
        <v>0</v>
      </c>
      <c r="K8" s="816">
        <f>SUMIF('New Resources - Individual'!$F$6:$Y$6,K$6,'New Resources - Individual'!$F8:$Y8)</f>
        <v>0</v>
      </c>
      <c r="L8" s="816">
        <f>SUMIF('New Resources - Individual'!$F$6:$Y$6,L$6,'New Resources - Individual'!$F8:$Y8)</f>
        <v>0</v>
      </c>
      <c r="M8" s="816">
        <f>SUMIF('New Resources - Individual'!$F$6:$Y$6,M$6,'New Resources - Individual'!$F8:$Y8)</f>
        <v>0</v>
      </c>
      <c r="N8" s="816">
        <f>SUMIF('New Resources - Individual'!$F$6:$Y$6,N$6,'New Resources - Individual'!$F8:$Y8)</f>
        <v>0</v>
      </c>
      <c r="O8" s="816">
        <f>SUMIF('New Resources - Individual'!$F$6:$Y$6,O$6,'New Resources - Individual'!$F8:$Y8)</f>
        <v>0</v>
      </c>
      <c r="P8" s="816">
        <f>SUMIF('New Resources - Individual'!$F$6:$Y$6,P$6,'New Resources - Individual'!$F8:$Y8)</f>
        <v>0</v>
      </c>
      <c r="Q8" s="816">
        <f>SUMIF('New Resources - Individual'!$F$6:$Y$6,Q$6,'New Resources - Individual'!$F8:$Y8)</f>
        <v>0</v>
      </c>
      <c r="R8" s="816">
        <f>SUMIF('New Resources - Individual'!$F$6:$Y$6,R$6,'New Resources - Individual'!$F8:$Y8)</f>
        <v>0</v>
      </c>
      <c r="S8" s="816">
        <f>SUMIF('New Resources - Individual'!$F$6:$Y$6,S$6,'New Resources - Individual'!$F8:$Y8)</f>
        <v>0</v>
      </c>
      <c r="T8" s="816">
        <f>SUMIF('New Resources - Individual'!$F$6:$Y$6,T$6,'New Resources - Individual'!$F8:$Y8)</f>
        <v>0</v>
      </c>
      <c r="U8" s="816">
        <f>SUMIF('New Resources - Individual'!$F$6:$Y$6,U$6,'New Resources - Individual'!$F8:$Y8)</f>
        <v>0</v>
      </c>
      <c r="V8" s="816">
        <f>SUMIF('New Resources - Individual'!$F$6:$Y$6,V$6,'New Resources - Individual'!$F8:$Y8)</f>
        <v>0</v>
      </c>
      <c r="W8" s="816">
        <f>SUMIF('New Resources - Individual'!$F$6:$Y$6,W$6,'New Resources - Individual'!$F8:$Y8)</f>
        <v>0</v>
      </c>
      <c r="X8" s="816">
        <f>SUMIF('New Resources - Individual'!$F$6:$Y$6,X$6,'New Resources - Individual'!$F8:$Y8)</f>
        <v>0</v>
      </c>
      <c r="Y8" s="1277">
        <f>SUMIF('New Resources - Individual'!$F$6:$Y$6,Y$6,'New Resources - Individual'!$F8:$Y8)</f>
        <v>0</v>
      </c>
      <c r="Z8" s="631"/>
      <c r="AA8" s="631"/>
      <c r="AB8" s="631"/>
      <c r="AC8" s="631"/>
      <c r="AD8" s="631"/>
      <c r="AE8" s="631"/>
      <c r="AF8" s="631"/>
      <c r="AG8" s="658"/>
      <c r="AH8" s="658">
        <v>8</v>
      </c>
    </row>
    <row r="9" spans="1:34">
      <c r="A9" s="640">
        <v>120</v>
      </c>
      <c r="B9" s="791" t="s">
        <v>594</v>
      </c>
      <c r="C9" s="645">
        <v>151</v>
      </c>
      <c r="D9" s="645"/>
      <c r="E9" s="644"/>
      <c r="F9" s="668">
        <f>SUMIF('New Resources - Individual'!$F$6:$Y$6,F$6,'New Resources - Individual'!$F9:$Y9)</f>
        <v>0</v>
      </c>
      <c r="G9" s="668">
        <f>('New Resources - Individual'!G9)-(SUMIF('New Resources - Individual'!$F$6:$Y$6,G$6,'New Resources - Individual'!$F9:$Y9))</f>
        <v>0</v>
      </c>
      <c r="H9" s="668">
        <f>0-(SUMIF('New Resources - Individual'!$F$6:$Y$6,H$6,'New Resources - Individual'!$F9:$Y9))</f>
        <v>0</v>
      </c>
      <c r="I9" s="668">
        <f>0-(SUMIF('New Resources - Individual'!$F$6:$Y$6,I$6,'New Resources - Individual'!$F9:$Y9))</f>
        <v>0</v>
      </c>
      <c r="J9" s="669">
        <f>0-(SUMIF('New Resources - Individual'!$F$6:$Y$6,J$6,'New Resources - Individual'!$F9:$Y9))</f>
        <v>0</v>
      </c>
      <c r="K9" s="669">
        <f>0-(SUMIF('New Resources - Individual'!$F$6:$Y$6,K$6,'New Resources - Individual'!$F9:$Y9))</f>
        <v>0</v>
      </c>
      <c r="L9" s="669">
        <f>0-(SUMIF('New Resources - Individual'!$F$6:$Y$6,L$6,'New Resources - Individual'!$F9:$Y9))</f>
        <v>0</v>
      </c>
      <c r="M9" s="669">
        <f>0-(SUMIF('New Resources - Individual'!$F$6:$Y$6,M$6,'New Resources - Individual'!$F9:$Y9))</f>
        <v>0</v>
      </c>
      <c r="N9" s="669">
        <f>0-(SUMIF('New Resources - Individual'!$F$6:$Y$6,N$6,'New Resources - Individual'!$F9:$Y9))</f>
        <v>0</v>
      </c>
      <c r="O9" s="669">
        <f>0-(SUMIF('New Resources - Individual'!$F$6:$Y$6,O$6,'New Resources - Individual'!$F9:$Y9))</f>
        <v>0</v>
      </c>
      <c r="P9" s="669">
        <f>0-(SUMIF('New Resources - Individual'!$F$6:$Y$6,P$6,'New Resources - Individual'!$F9:$Y9))</f>
        <v>0</v>
      </c>
      <c r="Q9" s="669">
        <f>0-(SUMIF('New Resources - Individual'!$F$6:$Y$6,Q$6,'New Resources - Individual'!$F9:$Y9))</f>
        <v>0</v>
      </c>
      <c r="R9" s="669">
        <f>0-(SUMIF('New Resources - Individual'!$F$6:$Y$6,R$6,'New Resources - Individual'!$F9:$Y9))</f>
        <v>0</v>
      </c>
      <c r="S9" s="669">
        <f>0-(SUMIF('New Resources - Individual'!$F$6:$Y$6,S$6,'New Resources - Individual'!$F9:$Y9))</f>
        <v>0</v>
      </c>
      <c r="T9" s="669">
        <f>0-(SUMIF('New Resources - Individual'!$F$6:$Y$6,T$6,'New Resources - Individual'!$F9:$Y9))</f>
        <v>0</v>
      </c>
      <c r="U9" s="669">
        <f>0-(SUMIF('New Resources - Individual'!$F$6:$Y$6,U$6,'New Resources - Individual'!$F9:$Y9))</f>
        <v>0</v>
      </c>
      <c r="V9" s="669">
        <f>0-(SUMIF('New Resources - Individual'!$F$6:$Y$6,V$6,'New Resources - Individual'!$F9:$Y9))</f>
        <v>0</v>
      </c>
      <c r="W9" s="669">
        <f>0-(SUMIF('New Resources - Individual'!$F$6:$Y$6,W$6,'New Resources - Individual'!$F9:$Y9))</f>
        <v>0</v>
      </c>
      <c r="X9" s="669">
        <f>0-(SUMIF('New Resources - Individual'!$F$6:$Y$6,X$6,'New Resources - Individual'!$F9:$Y9))</f>
        <v>0</v>
      </c>
      <c r="Y9" s="790">
        <f>0-(SUMIF('New Resources - Individual'!$F$6:$Y$6,Y$6,'New Resources - Individual'!$F9:$Y9))</f>
        <v>0</v>
      </c>
      <c r="Z9" s="631"/>
      <c r="AA9" s="631"/>
      <c r="AB9" s="631"/>
      <c r="AC9" s="631"/>
      <c r="AD9" s="631"/>
      <c r="AE9" s="631"/>
      <c r="AF9" s="631"/>
      <c r="AG9" s="658"/>
      <c r="AH9" s="658">
        <v>9</v>
      </c>
    </row>
    <row r="10" spans="1:34">
      <c r="A10" s="640">
        <v>130</v>
      </c>
      <c r="B10" s="789" t="s">
        <v>79</v>
      </c>
      <c r="C10" s="643">
        <v>154</v>
      </c>
      <c r="D10" s="643"/>
      <c r="E10" s="644"/>
      <c r="F10" s="668">
        <f>SUMIF('New Resources - Individual'!$F$6:$Y$6,F$6,'New Resources - Individual'!$F10:$Y10)</f>
        <v>0</v>
      </c>
      <c r="G10" s="668">
        <f>SUMIF('New Resources - Individual'!$F$6:$Y$6,G$6,'New Resources - Individual'!$F10:$Y10)</f>
        <v>0</v>
      </c>
      <c r="H10" s="668">
        <f>SUMIF('New Resources - Individual'!$F$6:$Y$6,H$6,'New Resources - Individual'!$F10:$Y10)</f>
        <v>0</v>
      </c>
      <c r="I10" s="668">
        <f>SUMIF('New Resources - Individual'!$F$6:$Y$6,I$6,'New Resources - Individual'!$F10:$Y10)</f>
        <v>0</v>
      </c>
      <c r="J10" s="669">
        <f>SUMIF('New Resources - Individual'!$F$6:$Y$6,J$6,'New Resources - Individual'!$F10:$Y10)</f>
        <v>0</v>
      </c>
      <c r="K10" s="669">
        <f>SUMIF('New Resources - Individual'!$F$6:$Y$6,K$6,'New Resources - Individual'!$F10:$Y10)</f>
        <v>0</v>
      </c>
      <c r="L10" s="669">
        <f>SUMIF('New Resources - Individual'!$F$6:$Y$6,L$6,'New Resources - Individual'!$F10:$Y10)</f>
        <v>0</v>
      </c>
      <c r="M10" s="669">
        <f>SUMIF('New Resources - Individual'!$F$6:$Y$6,M$6,'New Resources - Individual'!$F10:$Y10)</f>
        <v>0</v>
      </c>
      <c r="N10" s="669">
        <f>SUMIF('New Resources - Individual'!$F$6:$Y$6,N$6,'New Resources - Individual'!$F10:$Y10)</f>
        <v>0</v>
      </c>
      <c r="O10" s="669">
        <f>SUMIF('New Resources - Individual'!$F$6:$Y$6,O$6,'New Resources - Individual'!$F10:$Y10)</f>
        <v>0</v>
      </c>
      <c r="P10" s="669">
        <f>SUMIF('New Resources - Individual'!$F$6:$Y$6,P$6,'New Resources - Individual'!$F10:$Y10)</f>
        <v>0</v>
      </c>
      <c r="Q10" s="669">
        <f>SUMIF('New Resources - Individual'!$F$6:$Y$6,Q$6,'New Resources - Individual'!$F10:$Y10)</f>
        <v>0</v>
      </c>
      <c r="R10" s="669">
        <f>SUMIF('New Resources - Individual'!$F$6:$Y$6,R$6,'New Resources - Individual'!$F10:$Y10)</f>
        <v>0</v>
      </c>
      <c r="S10" s="669">
        <f>SUMIF('New Resources - Individual'!$F$6:$Y$6,S$6,'New Resources - Individual'!$F10:$Y10)</f>
        <v>0</v>
      </c>
      <c r="T10" s="669">
        <f>SUMIF('New Resources - Individual'!$F$6:$Y$6,T$6,'New Resources - Individual'!$F10:$Y10)</f>
        <v>0</v>
      </c>
      <c r="U10" s="669">
        <f>SUMIF('New Resources - Individual'!$F$6:$Y$6,U$6,'New Resources - Individual'!$F10:$Y10)</f>
        <v>0</v>
      </c>
      <c r="V10" s="669">
        <f>SUMIF('New Resources - Individual'!$F$6:$Y$6,V$6,'New Resources - Individual'!$F10:$Y10)</f>
        <v>0</v>
      </c>
      <c r="W10" s="669">
        <f>SUMIF('New Resources - Individual'!$F$6:$Y$6,W$6,'New Resources - Individual'!$F10:$Y10)</f>
        <v>0</v>
      </c>
      <c r="X10" s="669">
        <f>SUMIF('New Resources - Individual'!$F$6:$Y$6,X$6,'New Resources - Individual'!$F10:$Y10)</f>
        <v>0</v>
      </c>
      <c r="Y10" s="790">
        <f>SUMIF('New Resources - Individual'!$F$6:$Y$6,Y$6,'New Resources - Individual'!$F10:$Y10)</f>
        <v>0</v>
      </c>
      <c r="Z10" s="631"/>
      <c r="AA10" s="631"/>
      <c r="AB10" s="631"/>
      <c r="AC10" s="631"/>
      <c r="AD10" s="631"/>
      <c r="AE10" s="631"/>
      <c r="AF10" s="631"/>
      <c r="AG10" s="658"/>
      <c r="AH10" s="658">
        <v>10</v>
      </c>
    </row>
    <row r="11" spans="1:34">
      <c r="A11" s="640">
        <v>140</v>
      </c>
      <c r="B11" s="791" t="s">
        <v>595</v>
      </c>
      <c r="C11" s="645" t="s">
        <v>596</v>
      </c>
      <c r="D11" s="645"/>
      <c r="E11" s="644"/>
      <c r="F11" s="668">
        <f>SUMIF('New Resources - Individual'!$F$6:$Y$6,F$6,'New Resources - Individual'!$F11:$Y11)</f>
        <v>0</v>
      </c>
      <c r="G11" s="668">
        <f>SUMIF('New Resources - Individual'!$F$6:$Y$6,G$6,'New Resources - Individual'!$F11:$Y11)</f>
        <v>0</v>
      </c>
      <c r="H11" s="668">
        <f>SUMIF('New Resources - Individual'!$F$6:$Y$6,H$6,'New Resources - Individual'!$F11:$Y11)</f>
        <v>0</v>
      </c>
      <c r="I11" s="668">
        <f>SUMIF('New Resources - Individual'!$F$6:$Y$6,I$6,'New Resources - Individual'!$F11:$Y11)</f>
        <v>0</v>
      </c>
      <c r="J11" s="669">
        <f>SUMIF('New Resources - Individual'!$F$6:$Y$6,J$6,'New Resources - Individual'!$F11:$Y11)</f>
        <v>0</v>
      </c>
      <c r="K11" s="669">
        <f>SUMIF('New Resources - Individual'!$F$6:$Y$6,K$6,'New Resources - Individual'!$F11:$Y11)</f>
        <v>0</v>
      </c>
      <c r="L11" s="669">
        <f>SUMIF('New Resources - Individual'!$F$6:$Y$6,L$6,'New Resources - Individual'!$F11:$Y11)</f>
        <v>0</v>
      </c>
      <c r="M11" s="669">
        <f>SUMIF('New Resources - Individual'!$F$6:$Y$6,M$6,'New Resources - Individual'!$F11:$Y11)</f>
        <v>0</v>
      </c>
      <c r="N11" s="669">
        <f>SUMIF('New Resources - Individual'!$F$6:$Y$6,N$6,'New Resources - Individual'!$F11:$Y11)</f>
        <v>0</v>
      </c>
      <c r="O11" s="669">
        <f>SUMIF('New Resources - Individual'!$F$6:$Y$6,O$6,'New Resources - Individual'!$F11:$Y11)</f>
        <v>0</v>
      </c>
      <c r="P11" s="669">
        <f>SUMIF('New Resources - Individual'!$F$6:$Y$6,P$6,'New Resources - Individual'!$F11:$Y11)</f>
        <v>0</v>
      </c>
      <c r="Q11" s="669">
        <f>SUMIF('New Resources - Individual'!$F$6:$Y$6,Q$6,'New Resources - Individual'!$F11:$Y11)</f>
        <v>0</v>
      </c>
      <c r="R11" s="669">
        <f>SUMIF('New Resources - Individual'!$F$6:$Y$6,R$6,'New Resources - Individual'!$F11:$Y11)</f>
        <v>0</v>
      </c>
      <c r="S11" s="669">
        <f>SUMIF('New Resources - Individual'!$F$6:$Y$6,S$6,'New Resources - Individual'!$F11:$Y11)</f>
        <v>0</v>
      </c>
      <c r="T11" s="669">
        <f>SUMIF('New Resources - Individual'!$F$6:$Y$6,T$6,'New Resources - Individual'!$F11:$Y11)</f>
        <v>0</v>
      </c>
      <c r="U11" s="669">
        <f>SUMIF('New Resources - Individual'!$F$6:$Y$6,U$6,'New Resources - Individual'!$F11:$Y11)</f>
        <v>0</v>
      </c>
      <c r="V11" s="669">
        <f>SUMIF('New Resources - Individual'!$F$6:$Y$6,V$6,'New Resources - Individual'!$F11:$Y11)</f>
        <v>0</v>
      </c>
      <c r="W11" s="669">
        <f>SUMIF('New Resources - Individual'!$F$6:$Y$6,W$6,'New Resources - Individual'!$F11:$Y11)</f>
        <v>0</v>
      </c>
      <c r="X11" s="669">
        <f>SUMIF('New Resources - Individual'!$F$6:$Y$6,X$6,'New Resources - Individual'!$F11:$Y11)</f>
        <v>0</v>
      </c>
      <c r="Y11" s="790">
        <f>SUMIF('New Resources - Individual'!$F$6:$Y$6,Y$6,'New Resources - Individual'!$F11:$Y11)</f>
        <v>0</v>
      </c>
      <c r="Z11" s="631"/>
      <c r="AA11" s="631"/>
      <c r="AB11" s="631"/>
      <c r="AC11" s="631"/>
      <c r="AD11" s="631"/>
      <c r="AE11" s="631"/>
      <c r="AF11" s="631"/>
      <c r="AG11" s="658"/>
      <c r="AH11" s="658">
        <v>11</v>
      </c>
    </row>
    <row r="12" spans="1:34">
      <c r="A12" s="640">
        <v>150</v>
      </c>
      <c r="B12" s="792" t="s">
        <v>597</v>
      </c>
      <c r="C12" s="646"/>
      <c r="D12" s="646"/>
      <c r="E12" s="647"/>
      <c r="F12" s="671"/>
      <c r="G12" s="671"/>
      <c r="H12" s="647"/>
      <c r="I12" s="671"/>
      <c r="J12" s="671"/>
      <c r="K12" s="671"/>
      <c r="L12" s="671"/>
      <c r="M12" s="671"/>
      <c r="N12" s="671"/>
      <c r="O12" s="671"/>
      <c r="P12" s="671"/>
      <c r="Q12" s="671"/>
      <c r="R12" s="671"/>
      <c r="S12" s="671"/>
      <c r="T12" s="671"/>
      <c r="U12" s="671"/>
      <c r="V12" s="671"/>
      <c r="W12" s="671"/>
      <c r="X12" s="671"/>
      <c r="Y12" s="793"/>
      <c r="Z12" s="631"/>
      <c r="AA12" s="631"/>
      <c r="AB12" s="631"/>
      <c r="AC12" s="631"/>
      <c r="AD12" s="631"/>
      <c r="AE12" s="631"/>
      <c r="AF12" s="631"/>
      <c r="AG12" s="658"/>
      <c r="AH12" s="658">
        <v>12</v>
      </c>
    </row>
    <row r="13" spans="1:34">
      <c r="A13" s="640">
        <v>160</v>
      </c>
      <c r="B13" s="791" t="s">
        <v>259</v>
      </c>
      <c r="C13" s="643">
        <v>501</v>
      </c>
      <c r="D13" s="643"/>
      <c r="E13" s="644"/>
      <c r="F13" s="668">
        <f>SUMIF('New Resources - Individual'!$F$6:$Y$6,F$6,'New Resources - Individual'!$F13:$Y13)</f>
        <v>0</v>
      </c>
      <c r="G13" s="668">
        <f>SUMIF('New Resources - Individual'!$F$6:$Y$6,G$6,'New Resources - Individual'!$F13:$Y13)</f>
        <v>0</v>
      </c>
      <c r="H13" s="668">
        <f>SUMIF('New Resources - Individual'!$F$6:$Y$6,H$6,'New Resources - Individual'!$F13:$Y13)</f>
        <v>0</v>
      </c>
      <c r="I13" s="668">
        <f>SUMIF('New Resources - Individual'!$F$6:$Y$6,I$6,'New Resources - Individual'!$F13:$Y13)</f>
        <v>0</v>
      </c>
      <c r="J13" s="669">
        <f>SUMIF('New Resources - Individual'!$F$6:$Y$6,J$6,'New Resources - Individual'!$F13:$Y13)</f>
        <v>0</v>
      </c>
      <c r="K13" s="669">
        <f>SUMIF('New Resources - Individual'!$F$6:$Y$6,K$6,'New Resources - Individual'!$F13:$Y13)</f>
        <v>0</v>
      </c>
      <c r="L13" s="669">
        <f>SUMIF('New Resources - Individual'!$F$6:$Y$6,L$6,'New Resources - Individual'!$F13:$Y13)</f>
        <v>0</v>
      </c>
      <c r="M13" s="669">
        <f>SUMIF('New Resources - Individual'!$F$6:$Y$6,M$6,'New Resources - Individual'!$F13:$Y13)</f>
        <v>0</v>
      </c>
      <c r="N13" s="669">
        <f>SUMIF('New Resources - Individual'!$F$6:$Y$6,N$6,'New Resources - Individual'!$F13:$Y13)</f>
        <v>0</v>
      </c>
      <c r="O13" s="669">
        <f>SUMIF('New Resources - Individual'!$F$6:$Y$6,O$6,'New Resources - Individual'!$F13:$Y13)</f>
        <v>0</v>
      </c>
      <c r="P13" s="669">
        <f>SUMIF('New Resources - Individual'!$F$6:$Y$6,P$6,'New Resources - Individual'!$F13:$Y13)</f>
        <v>0</v>
      </c>
      <c r="Q13" s="669">
        <f>SUMIF('New Resources - Individual'!$F$6:$Y$6,Q$6,'New Resources - Individual'!$F13:$Y13)</f>
        <v>0</v>
      </c>
      <c r="R13" s="669">
        <f>SUMIF('New Resources - Individual'!$F$6:$Y$6,R$6,'New Resources - Individual'!$F13:$Y13)</f>
        <v>0</v>
      </c>
      <c r="S13" s="669">
        <f>SUMIF('New Resources - Individual'!$F$6:$Y$6,S$6,'New Resources - Individual'!$F13:$Y13)</f>
        <v>0</v>
      </c>
      <c r="T13" s="669">
        <f>SUMIF('New Resources - Individual'!$F$6:$Y$6,T$6,'New Resources - Individual'!$F13:$Y13)</f>
        <v>0</v>
      </c>
      <c r="U13" s="669">
        <f>SUMIF('New Resources - Individual'!$F$6:$Y$6,U$6,'New Resources - Individual'!$F13:$Y13)</f>
        <v>0</v>
      </c>
      <c r="V13" s="669">
        <f>SUMIF('New Resources - Individual'!$F$6:$Y$6,V$6,'New Resources - Individual'!$F13:$Y13)</f>
        <v>0</v>
      </c>
      <c r="W13" s="669">
        <f>SUMIF('New Resources - Individual'!$F$6:$Y$6,W$6,'New Resources - Individual'!$F13:$Y13)</f>
        <v>0</v>
      </c>
      <c r="X13" s="669">
        <f>SUMIF('New Resources - Individual'!$F$6:$Y$6,X$6,'New Resources - Individual'!$F13:$Y13)</f>
        <v>0</v>
      </c>
      <c r="Y13" s="790">
        <f>SUMIF('New Resources - Individual'!$F$6:$Y$6,Y$6,'New Resources - Individual'!$F13:$Y13)</f>
        <v>0</v>
      </c>
      <c r="Z13" s="631"/>
      <c r="AA13" s="631"/>
      <c r="AB13" s="631"/>
      <c r="AC13" s="631"/>
      <c r="AD13" s="631"/>
      <c r="AE13" s="631"/>
      <c r="AF13" s="631"/>
      <c r="AG13" s="658"/>
      <c r="AH13" s="658"/>
    </row>
    <row r="14" spans="1:34">
      <c r="A14" s="640">
        <v>170</v>
      </c>
      <c r="B14" s="789" t="s">
        <v>598</v>
      </c>
      <c r="C14" s="645" t="s">
        <v>456</v>
      </c>
      <c r="D14" s="645"/>
      <c r="E14" s="644"/>
      <c r="F14" s="668">
        <f>SUMIF('New Resources - Individual'!$F$6:$Y$6,F$6,'New Resources - Individual'!$F14:$Y14)</f>
        <v>0</v>
      </c>
      <c r="G14" s="668">
        <f>SUMIF('New Resources - Individual'!$F$6:$Y$6,G$6,'New Resources - Individual'!$F14:$Y14)</f>
        <v>0</v>
      </c>
      <c r="H14" s="668">
        <f>SUMIF('New Resources - Individual'!$F$6:$Y$6,H$6,'New Resources - Individual'!$F14:$Y14)</f>
        <v>0</v>
      </c>
      <c r="I14" s="668">
        <f>SUMIF('New Resources - Individual'!$F$6:$Y$6,I$6,'New Resources - Individual'!$F14:$Y14)</f>
        <v>0</v>
      </c>
      <c r="J14" s="669">
        <f>SUMIF('New Resources - Individual'!$F$6:$Y$6,J$6,'New Resources - Individual'!$F14:$Y14)</f>
        <v>0</v>
      </c>
      <c r="K14" s="669">
        <f>SUMIF('New Resources - Individual'!$F$6:$Y$6,K$6,'New Resources - Individual'!$F14:$Y14)</f>
        <v>0</v>
      </c>
      <c r="L14" s="669">
        <f>SUMIF('New Resources - Individual'!$F$6:$Y$6,L$6,'New Resources - Individual'!$F14:$Y14)</f>
        <v>0</v>
      </c>
      <c r="M14" s="669">
        <f>SUMIF('New Resources - Individual'!$F$6:$Y$6,M$6,'New Resources - Individual'!$F14:$Y14)</f>
        <v>0</v>
      </c>
      <c r="N14" s="669">
        <f>SUMIF('New Resources - Individual'!$F$6:$Y$6,N$6,'New Resources - Individual'!$F14:$Y14)</f>
        <v>0</v>
      </c>
      <c r="O14" s="669">
        <f>SUMIF('New Resources - Individual'!$F$6:$Y$6,O$6,'New Resources - Individual'!$F14:$Y14)</f>
        <v>0</v>
      </c>
      <c r="P14" s="669">
        <f>SUMIF('New Resources - Individual'!$F$6:$Y$6,P$6,'New Resources - Individual'!$F14:$Y14)</f>
        <v>0</v>
      </c>
      <c r="Q14" s="669">
        <f>SUMIF('New Resources - Individual'!$F$6:$Y$6,Q$6,'New Resources - Individual'!$F14:$Y14)</f>
        <v>0</v>
      </c>
      <c r="R14" s="669">
        <f>SUMIF('New Resources - Individual'!$F$6:$Y$6,R$6,'New Resources - Individual'!$F14:$Y14)</f>
        <v>0</v>
      </c>
      <c r="S14" s="669">
        <f>SUMIF('New Resources - Individual'!$F$6:$Y$6,S$6,'New Resources - Individual'!$F14:$Y14)</f>
        <v>0</v>
      </c>
      <c r="T14" s="669">
        <f>SUMIF('New Resources - Individual'!$F$6:$Y$6,T$6,'New Resources - Individual'!$F14:$Y14)</f>
        <v>0</v>
      </c>
      <c r="U14" s="669">
        <f>SUMIF('New Resources - Individual'!$F$6:$Y$6,U$6,'New Resources - Individual'!$F14:$Y14)</f>
        <v>0</v>
      </c>
      <c r="V14" s="669">
        <f>SUMIF('New Resources - Individual'!$F$6:$Y$6,V$6,'New Resources - Individual'!$F14:$Y14)</f>
        <v>0</v>
      </c>
      <c r="W14" s="669">
        <f>SUMIF('New Resources - Individual'!$F$6:$Y$6,W$6,'New Resources - Individual'!$F14:$Y14)</f>
        <v>0</v>
      </c>
      <c r="X14" s="669">
        <f>SUMIF('New Resources - Individual'!$F$6:$Y$6,X$6,'New Resources - Individual'!$F14:$Y14)</f>
        <v>0</v>
      </c>
      <c r="Y14" s="790">
        <f>SUMIF('New Resources - Individual'!$F$6:$Y$6,Y$6,'New Resources - Individual'!$F14:$Y14)</f>
        <v>0</v>
      </c>
      <c r="Z14" s="631"/>
      <c r="AA14" s="631"/>
      <c r="AB14" s="631"/>
      <c r="AC14" s="631"/>
      <c r="AD14" s="631"/>
      <c r="AE14" s="631"/>
      <c r="AF14" s="631"/>
      <c r="AG14" s="658"/>
      <c r="AH14" s="658"/>
    </row>
    <row r="15" spans="1:34">
      <c r="A15" s="640">
        <v>180</v>
      </c>
      <c r="B15" s="791" t="s">
        <v>261</v>
      </c>
      <c r="C15" s="643" t="s">
        <v>262</v>
      </c>
      <c r="D15" s="643"/>
      <c r="E15" s="644"/>
      <c r="F15" s="668">
        <f>SUMIF('New Resources - Individual'!$F$6:$Y$6,F$6,'New Resources - Individual'!$F15:$Y15)</f>
        <v>0</v>
      </c>
      <c r="G15" s="668">
        <f>SUMIF('New Resources - Individual'!$F$6:$Y$6,G$6,'New Resources - Individual'!$F15:$Y15)</f>
        <v>0</v>
      </c>
      <c r="H15" s="668">
        <f>SUMIF('New Resources - Individual'!$F$6:$Y$6,H$6,'New Resources - Individual'!$F15:$Y15)</f>
        <v>0</v>
      </c>
      <c r="I15" s="668">
        <f>SUMIF('New Resources - Individual'!$F$6:$Y$6,I$6,'New Resources - Individual'!$F15:$Y15)</f>
        <v>0</v>
      </c>
      <c r="J15" s="669">
        <f>SUMIF('New Resources - Individual'!$F$6:$Y$6,J$6,'New Resources - Individual'!$F15:$Y15)</f>
        <v>0</v>
      </c>
      <c r="K15" s="669">
        <f>SUMIF('New Resources - Individual'!$F$6:$Y$6,K$6,'New Resources - Individual'!$F15:$Y15)</f>
        <v>0</v>
      </c>
      <c r="L15" s="669">
        <f>SUMIF('New Resources - Individual'!$F$6:$Y$6,L$6,'New Resources - Individual'!$F15:$Y15)</f>
        <v>0</v>
      </c>
      <c r="M15" s="669">
        <f>SUMIF('New Resources - Individual'!$F$6:$Y$6,M$6,'New Resources - Individual'!$F15:$Y15)</f>
        <v>0</v>
      </c>
      <c r="N15" s="669">
        <f>SUMIF('New Resources - Individual'!$F$6:$Y$6,N$6,'New Resources - Individual'!$F15:$Y15)</f>
        <v>0</v>
      </c>
      <c r="O15" s="669">
        <f>SUMIF('New Resources - Individual'!$F$6:$Y$6,O$6,'New Resources - Individual'!$F15:$Y15)</f>
        <v>0</v>
      </c>
      <c r="P15" s="669">
        <f>SUMIF('New Resources - Individual'!$F$6:$Y$6,P$6,'New Resources - Individual'!$F15:$Y15)</f>
        <v>0</v>
      </c>
      <c r="Q15" s="669">
        <f>SUMIF('New Resources - Individual'!$F$6:$Y$6,Q$6,'New Resources - Individual'!$F15:$Y15)</f>
        <v>0</v>
      </c>
      <c r="R15" s="669">
        <f>SUMIF('New Resources - Individual'!$F$6:$Y$6,R$6,'New Resources - Individual'!$F15:$Y15)</f>
        <v>0</v>
      </c>
      <c r="S15" s="669">
        <f>SUMIF('New Resources - Individual'!$F$6:$Y$6,S$6,'New Resources - Individual'!$F15:$Y15)</f>
        <v>0</v>
      </c>
      <c r="T15" s="669">
        <f>SUMIF('New Resources - Individual'!$F$6:$Y$6,T$6,'New Resources - Individual'!$F15:$Y15)</f>
        <v>0</v>
      </c>
      <c r="U15" s="669">
        <f>SUMIF('New Resources - Individual'!$F$6:$Y$6,U$6,'New Resources - Individual'!$F15:$Y15)</f>
        <v>0</v>
      </c>
      <c r="V15" s="669">
        <f>SUMIF('New Resources - Individual'!$F$6:$Y$6,V$6,'New Resources - Individual'!$F15:$Y15)</f>
        <v>0</v>
      </c>
      <c r="W15" s="669">
        <f>SUMIF('New Resources - Individual'!$F$6:$Y$6,W$6,'New Resources - Individual'!$F15:$Y15)</f>
        <v>0</v>
      </c>
      <c r="X15" s="669">
        <f>SUMIF('New Resources - Individual'!$F$6:$Y$6,X$6,'New Resources - Individual'!$F15:$Y15)</f>
        <v>0</v>
      </c>
      <c r="Y15" s="790">
        <f>SUMIF('New Resources - Individual'!$F$6:$Y$6,Y$6,'New Resources - Individual'!$F15:$Y15)</f>
        <v>0</v>
      </c>
      <c r="Z15" s="631"/>
      <c r="AA15" s="631"/>
      <c r="AB15" s="631"/>
      <c r="AC15" s="631"/>
      <c r="AD15" s="631"/>
      <c r="AE15" s="631"/>
      <c r="AF15" s="631"/>
      <c r="AG15" s="658"/>
      <c r="AH15" s="658"/>
    </row>
    <row r="16" spans="1:34">
      <c r="A16" s="640">
        <v>190</v>
      </c>
      <c r="B16" s="794" t="s">
        <v>167</v>
      </c>
      <c r="C16" s="648">
        <v>924</v>
      </c>
      <c r="D16" s="648"/>
      <c r="E16" s="649"/>
      <c r="F16" s="668">
        <f>SUMIF('New Resources - Individual'!$F$6:$Y$6,F$6,'New Resources - Individual'!$F16:$Y16)</f>
        <v>0</v>
      </c>
      <c r="G16" s="668">
        <f>SUMIF('New Resources - Individual'!$F$6:$Y$6,G$6,'New Resources - Individual'!$F16:$Y16)</f>
        <v>0</v>
      </c>
      <c r="H16" s="668">
        <f>SUMIF('New Resources - Individual'!$F$6:$Y$6,H$6,'New Resources - Individual'!$F16:$Y16)</f>
        <v>0</v>
      </c>
      <c r="I16" s="668">
        <f>SUMIF('New Resources - Individual'!$F$6:$Y$6,I$6,'New Resources - Individual'!$F16:$Y16)</f>
        <v>0</v>
      </c>
      <c r="J16" s="669">
        <f>SUMIF('New Resources - Individual'!$F$6:$Y$6,J$6,'New Resources - Individual'!$F16:$Y16)</f>
        <v>0</v>
      </c>
      <c r="K16" s="669">
        <f>SUMIF('New Resources - Individual'!$F$6:$Y$6,K$6,'New Resources - Individual'!$F16:$Y16)</f>
        <v>0</v>
      </c>
      <c r="L16" s="669">
        <f>SUMIF('New Resources - Individual'!$F$6:$Y$6,L$6,'New Resources - Individual'!$F16:$Y16)</f>
        <v>0</v>
      </c>
      <c r="M16" s="669">
        <f>SUMIF('New Resources - Individual'!$F$6:$Y$6,M$6,'New Resources - Individual'!$F16:$Y16)</f>
        <v>0</v>
      </c>
      <c r="N16" s="669">
        <f>SUMIF('New Resources - Individual'!$F$6:$Y$6,N$6,'New Resources - Individual'!$F16:$Y16)</f>
        <v>0</v>
      </c>
      <c r="O16" s="669">
        <f>SUMIF('New Resources - Individual'!$F$6:$Y$6,O$6,'New Resources - Individual'!$F16:$Y16)</f>
        <v>0</v>
      </c>
      <c r="P16" s="669">
        <f>SUMIF('New Resources - Individual'!$F$6:$Y$6,P$6,'New Resources - Individual'!$F16:$Y16)</f>
        <v>0</v>
      </c>
      <c r="Q16" s="669">
        <f>SUMIF('New Resources - Individual'!$F$6:$Y$6,Q$6,'New Resources - Individual'!$F16:$Y16)</f>
        <v>0</v>
      </c>
      <c r="R16" s="669">
        <f>SUMIF('New Resources - Individual'!$F$6:$Y$6,R$6,'New Resources - Individual'!$F16:$Y16)</f>
        <v>0</v>
      </c>
      <c r="S16" s="669">
        <f>SUMIF('New Resources - Individual'!$F$6:$Y$6,S$6,'New Resources - Individual'!$F16:$Y16)</f>
        <v>0</v>
      </c>
      <c r="T16" s="669">
        <f>SUMIF('New Resources - Individual'!$F$6:$Y$6,T$6,'New Resources - Individual'!$F16:$Y16)</f>
        <v>0</v>
      </c>
      <c r="U16" s="669">
        <f>SUMIF('New Resources - Individual'!$F$6:$Y$6,U$6,'New Resources - Individual'!$F16:$Y16)</f>
        <v>0</v>
      </c>
      <c r="V16" s="669">
        <f>SUMIF('New Resources - Individual'!$F$6:$Y$6,V$6,'New Resources - Individual'!$F16:$Y16)</f>
        <v>0</v>
      </c>
      <c r="W16" s="669">
        <f>SUMIF('New Resources - Individual'!$F$6:$Y$6,W$6,'New Resources - Individual'!$F16:$Y16)</f>
        <v>0</v>
      </c>
      <c r="X16" s="669">
        <f>SUMIF('New Resources - Individual'!$F$6:$Y$6,X$6,'New Resources - Individual'!$F16:$Y16)</f>
        <v>0</v>
      </c>
      <c r="Y16" s="790">
        <f>SUMIF('New Resources - Individual'!$F$6:$Y$6,Y$6,'New Resources - Individual'!$F16:$Y16)</f>
        <v>0</v>
      </c>
      <c r="Z16" s="631"/>
      <c r="AA16" s="631"/>
      <c r="AB16" s="631"/>
      <c r="AC16" s="631"/>
      <c r="AD16" s="631"/>
      <c r="AE16" s="631"/>
      <c r="AF16" s="631"/>
      <c r="AG16" s="658"/>
      <c r="AH16" s="658"/>
    </row>
    <row r="17" spans="1:34">
      <c r="A17" s="640">
        <v>200</v>
      </c>
      <c r="B17" s="789" t="s">
        <v>599</v>
      </c>
      <c r="C17" s="645">
        <v>403</v>
      </c>
      <c r="D17" s="645" t="s">
        <v>600</v>
      </c>
      <c r="E17" s="644"/>
      <c r="F17" s="668">
        <f>SUMIF('New Resources - Individual'!$F$6:$Y$6,F$6,'New Resources - Individual'!$F17:$Y17)</f>
        <v>0</v>
      </c>
      <c r="G17" s="668">
        <f>SUMIF('New Resources - Individual'!$F$6:$Y$6,G$6,'New Resources - Individual'!$F17:$Y17)</f>
        <v>0</v>
      </c>
      <c r="H17" s="668">
        <f>SUMIF('New Resources - Individual'!$F$6:$Y$6,H$6,'New Resources - Individual'!$F17:$Y17)</f>
        <v>0</v>
      </c>
      <c r="I17" s="668">
        <f>SUMIF('New Resources - Individual'!$F$6:$Y$6,I$6,'New Resources - Individual'!$F17:$Y17)</f>
        <v>0</v>
      </c>
      <c r="J17" s="669">
        <f>SUMIF('New Resources - Individual'!$F$6:$Y$6,J$6,'New Resources - Individual'!$F17:$Y17)</f>
        <v>0</v>
      </c>
      <c r="K17" s="669">
        <f>SUMIF('New Resources - Individual'!$F$6:$Y$6,K$6,'New Resources - Individual'!$F17:$Y17)</f>
        <v>0</v>
      </c>
      <c r="L17" s="669">
        <f>SUMIF('New Resources - Individual'!$F$6:$Y$6,L$6,'New Resources - Individual'!$F17:$Y17)</f>
        <v>0</v>
      </c>
      <c r="M17" s="669">
        <f>SUMIF('New Resources - Individual'!$F$6:$Y$6,M$6,'New Resources - Individual'!$F17:$Y17)</f>
        <v>0</v>
      </c>
      <c r="N17" s="669">
        <f>SUMIF('New Resources - Individual'!$F$6:$Y$6,N$6,'New Resources - Individual'!$F17:$Y17)</f>
        <v>0</v>
      </c>
      <c r="O17" s="669">
        <f>SUMIF('New Resources - Individual'!$F$6:$Y$6,O$6,'New Resources - Individual'!$F17:$Y17)</f>
        <v>0</v>
      </c>
      <c r="P17" s="669">
        <f>SUMIF('New Resources - Individual'!$F$6:$Y$6,P$6,'New Resources - Individual'!$F17:$Y17)</f>
        <v>0</v>
      </c>
      <c r="Q17" s="669">
        <f>SUMIF('New Resources - Individual'!$F$6:$Y$6,Q$6,'New Resources - Individual'!$F17:$Y17)</f>
        <v>0</v>
      </c>
      <c r="R17" s="669">
        <f>SUMIF('New Resources - Individual'!$F$6:$Y$6,R$6,'New Resources - Individual'!$F17:$Y17)</f>
        <v>0</v>
      </c>
      <c r="S17" s="669">
        <f>SUMIF('New Resources - Individual'!$F$6:$Y$6,S$6,'New Resources - Individual'!$F17:$Y17)</f>
        <v>0</v>
      </c>
      <c r="T17" s="669">
        <f>SUMIF('New Resources - Individual'!$F$6:$Y$6,T$6,'New Resources - Individual'!$F17:$Y17)</f>
        <v>0</v>
      </c>
      <c r="U17" s="669">
        <f>SUMIF('New Resources - Individual'!$F$6:$Y$6,U$6,'New Resources - Individual'!$F17:$Y17)</f>
        <v>0</v>
      </c>
      <c r="V17" s="669">
        <f>SUMIF('New Resources - Individual'!$F$6:$Y$6,V$6,'New Resources - Individual'!$F17:$Y17)</f>
        <v>0</v>
      </c>
      <c r="W17" s="669">
        <f>SUMIF('New Resources - Individual'!$F$6:$Y$6,W$6,'New Resources - Individual'!$F17:$Y17)</f>
        <v>0</v>
      </c>
      <c r="X17" s="669">
        <f>SUMIF('New Resources - Individual'!$F$6:$Y$6,X$6,'New Resources - Individual'!$F17:$Y17)</f>
        <v>0</v>
      </c>
      <c r="Y17" s="790">
        <f>SUMIF('New Resources - Individual'!$F$6:$Y$6,Y$6,'New Resources - Individual'!$F17:$Y17)</f>
        <v>0</v>
      </c>
      <c r="Z17" s="631"/>
      <c r="AA17" s="631"/>
      <c r="AB17" s="631"/>
      <c r="AC17" s="631"/>
      <c r="AD17" s="631"/>
      <c r="AE17" s="631"/>
      <c r="AF17" s="631"/>
      <c r="AG17" s="658"/>
      <c r="AH17" s="658"/>
    </row>
    <row r="18" spans="1:34">
      <c r="A18" s="640">
        <v>210</v>
      </c>
      <c r="B18" s="789" t="s">
        <v>601</v>
      </c>
      <c r="C18" s="643">
        <v>447</v>
      </c>
      <c r="D18" s="643" t="s">
        <v>602</v>
      </c>
      <c r="E18" s="644"/>
      <c r="F18" s="668">
        <f>SUMIF('New Resources - Individual'!$F$6:$Y$6,F$6,'New Resources - Individual'!$F18:$Y18)</f>
        <v>0</v>
      </c>
      <c r="G18" s="668">
        <f>SUMIF('New Resources - Individual'!$F$6:$Y$6,G$6,'New Resources - Individual'!$F18:$Y18)</f>
        <v>0</v>
      </c>
      <c r="H18" s="668">
        <f>SUMIF('New Resources - Individual'!$F$6:$Y$6,H$6,'New Resources - Individual'!$F18:$Y18)</f>
        <v>0</v>
      </c>
      <c r="I18" s="668">
        <f>SUMIF('New Resources - Individual'!$F$6:$Y$6,I$6,'New Resources - Individual'!$F18:$Y18)</f>
        <v>0</v>
      </c>
      <c r="J18" s="669">
        <f>SUMIF('New Resources - Individual'!$F$6:$Y$6,J$6,'New Resources - Individual'!$F18:$Y18)</f>
        <v>0</v>
      </c>
      <c r="K18" s="669">
        <f>SUMIF('New Resources - Individual'!$F$6:$Y$6,K$6,'New Resources - Individual'!$F18:$Y18)</f>
        <v>0</v>
      </c>
      <c r="L18" s="669">
        <f>SUMIF('New Resources - Individual'!$F$6:$Y$6,L$6,'New Resources - Individual'!$F18:$Y18)</f>
        <v>0</v>
      </c>
      <c r="M18" s="669">
        <f>SUMIF('New Resources - Individual'!$F$6:$Y$6,M$6,'New Resources - Individual'!$F18:$Y18)</f>
        <v>0</v>
      </c>
      <c r="N18" s="669">
        <f>SUMIF('New Resources - Individual'!$F$6:$Y$6,N$6,'New Resources - Individual'!$F18:$Y18)</f>
        <v>0</v>
      </c>
      <c r="O18" s="669">
        <f>SUMIF('New Resources - Individual'!$F$6:$Y$6,O$6,'New Resources - Individual'!$F18:$Y18)</f>
        <v>0</v>
      </c>
      <c r="P18" s="669">
        <f>SUMIF('New Resources - Individual'!$F$6:$Y$6,P$6,'New Resources - Individual'!$F18:$Y18)</f>
        <v>0</v>
      </c>
      <c r="Q18" s="669">
        <f>SUMIF('New Resources - Individual'!$F$6:$Y$6,Q$6,'New Resources - Individual'!$F18:$Y18)</f>
        <v>0</v>
      </c>
      <c r="R18" s="669">
        <f>SUMIF('New Resources - Individual'!$F$6:$Y$6,R$6,'New Resources - Individual'!$F18:$Y18)</f>
        <v>0</v>
      </c>
      <c r="S18" s="669">
        <f>SUMIF('New Resources - Individual'!$F$6:$Y$6,S$6,'New Resources - Individual'!$F18:$Y18)</f>
        <v>0</v>
      </c>
      <c r="T18" s="669">
        <f>SUMIF('New Resources - Individual'!$F$6:$Y$6,T$6,'New Resources - Individual'!$F18:$Y18)</f>
        <v>0</v>
      </c>
      <c r="U18" s="669">
        <f>SUMIF('New Resources - Individual'!$F$6:$Y$6,U$6,'New Resources - Individual'!$F18:$Y18)</f>
        <v>0</v>
      </c>
      <c r="V18" s="669">
        <f>SUMIF('New Resources - Individual'!$F$6:$Y$6,V$6,'New Resources - Individual'!$F18:$Y18)</f>
        <v>0</v>
      </c>
      <c r="W18" s="669">
        <f>SUMIF('New Resources - Individual'!$F$6:$Y$6,W$6,'New Resources - Individual'!$F18:$Y18)</f>
        <v>0</v>
      </c>
      <c r="X18" s="669">
        <f>SUMIF('New Resources - Individual'!$F$6:$Y$6,X$6,'New Resources - Individual'!$F18:$Y18)</f>
        <v>0</v>
      </c>
      <c r="Y18" s="790">
        <f>SUMIF('New Resources - Individual'!$F$6:$Y$6,Y$6,'New Resources - Individual'!$F18:$Y18)</f>
        <v>0</v>
      </c>
      <c r="Z18" s="631"/>
      <c r="AA18" s="631"/>
      <c r="AB18" s="631"/>
      <c r="AC18" s="631"/>
      <c r="AD18" s="631"/>
      <c r="AE18" s="631"/>
      <c r="AF18" s="631"/>
      <c r="AG18" s="658"/>
      <c r="AH18" s="658"/>
    </row>
    <row r="19" spans="1:34">
      <c r="A19" s="640">
        <v>220</v>
      </c>
      <c r="B19" s="791" t="s">
        <v>603</v>
      </c>
      <c r="C19" s="645"/>
      <c r="D19" s="643" t="s">
        <v>602</v>
      </c>
      <c r="E19" s="644"/>
      <c r="F19" s="668">
        <f>SUMIF('New Resources - Individual'!$F$6:$Y$6,F$6,'New Resources - Individual'!$F19:$Y19)</f>
        <v>0</v>
      </c>
      <c r="G19" s="668">
        <f>SUMIF('New Resources - Individual'!$F$6:$Y$6,G$6,'New Resources - Individual'!$F19:$Y19)</f>
        <v>0</v>
      </c>
      <c r="H19" s="668">
        <f>SUMIF('New Resources - Individual'!$F$6:$Y$6,H$6,'New Resources - Individual'!$F19:$Y19)</f>
        <v>0</v>
      </c>
      <c r="I19" s="668">
        <f>SUMIF('New Resources - Individual'!$F$6:$Y$6,I$6,'New Resources - Individual'!$F19:$Y19)</f>
        <v>0</v>
      </c>
      <c r="J19" s="669">
        <f>SUMIF('New Resources - Individual'!$F$6:$Y$6,J$6,'New Resources - Individual'!$F19:$Y19)</f>
        <v>0</v>
      </c>
      <c r="K19" s="669">
        <f>SUMIF('New Resources - Individual'!$F$6:$Y$6,K$6,'New Resources - Individual'!$F19:$Y19)</f>
        <v>0</v>
      </c>
      <c r="L19" s="669">
        <f>SUMIF('New Resources - Individual'!$F$6:$Y$6,L$6,'New Resources - Individual'!$F19:$Y19)</f>
        <v>0</v>
      </c>
      <c r="M19" s="669">
        <f>SUMIF('New Resources - Individual'!$F$6:$Y$6,M$6,'New Resources - Individual'!$F19:$Y19)</f>
        <v>0</v>
      </c>
      <c r="N19" s="669">
        <f>SUMIF('New Resources - Individual'!$F$6:$Y$6,N$6,'New Resources - Individual'!$F19:$Y19)</f>
        <v>0</v>
      </c>
      <c r="O19" s="669">
        <f>SUMIF('New Resources - Individual'!$F$6:$Y$6,O$6,'New Resources - Individual'!$F19:$Y19)</f>
        <v>0</v>
      </c>
      <c r="P19" s="669">
        <f>SUMIF('New Resources - Individual'!$F$6:$Y$6,P$6,'New Resources - Individual'!$F19:$Y19)</f>
        <v>0</v>
      </c>
      <c r="Q19" s="669">
        <f>SUMIF('New Resources - Individual'!$F$6:$Y$6,Q$6,'New Resources - Individual'!$F19:$Y19)</f>
        <v>0</v>
      </c>
      <c r="R19" s="669">
        <f>SUMIF('New Resources - Individual'!$F$6:$Y$6,R$6,'New Resources - Individual'!$F19:$Y19)</f>
        <v>0</v>
      </c>
      <c r="S19" s="669">
        <f>SUMIF('New Resources - Individual'!$F$6:$Y$6,S$6,'New Resources - Individual'!$F19:$Y19)</f>
        <v>0</v>
      </c>
      <c r="T19" s="669">
        <f>SUMIF('New Resources - Individual'!$F$6:$Y$6,T$6,'New Resources - Individual'!$F19:$Y19)</f>
        <v>0</v>
      </c>
      <c r="U19" s="669">
        <f>SUMIF('New Resources - Individual'!$F$6:$Y$6,U$6,'New Resources - Individual'!$F19:$Y19)</f>
        <v>0</v>
      </c>
      <c r="V19" s="669">
        <f>SUMIF('New Resources - Individual'!$F$6:$Y$6,V$6,'New Resources - Individual'!$F19:$Y19)</f>
        <v>0</v>
      </c>
      <c r="W19" s="669">
        <f>SUMIF('New Resources - Individual'!$F$6:$Y$6,W$6,'New Resources - Individual'!$F19:$Y19)</f>
        <v>0</v>
      </c>
      <c r="X19" s="669">
        <f>SUMIF('New Resources - Individual'!$F$6:$Y$6,X$6,'New Resources - Individual'!$F19:$Y19)</f>
        <v>0</v>
      </c>
      <c r="Y19" s="790">
        <f>SUMIF('New Resources - Individual'!$F$6:$Y$6,Y$6,'New Resources - Individual'!$F19:$Y19)</f>
        <v>0</v>
      </c>
      <c r="Z19" s="631"/>
      <c r="AA19" s="631"/>
      <c r="AB19" s="631"/>
      <c r="AC19" s="631"/>
      <c r="AD19" s="631"/>
      <c r="AE19" s="631"/>
      <c r="AF19" s="631"/>
      <c r="AG19" s="658"/>
      <c r="AH19" s="658"/>
    </row>
    <row r="20" spans="1:34">
      <c r="A20" s="640">
        <v>230</v>
      </c>
      <c r="B20" s="789" t="s">
        <v>604</v>
      </c>
      <c r="C20" s="643"/>
      <c r="D20" s="643" t="s">
        <v>602</v>
      </c>
      <c r="E20" s="644"/>
      <c r="F20" s="668">
        <f>SUMIF('New Resources - Individual'!$F$6:$Y$6,F$6,'New Resources - Individual'!$F20:$Y20)</f>
        <v>0</v>
      </c>
      <c r="G20" s="668">
        <f>SUMIF('New Resources - Individual'!$F$6:$Y$6,G$6,'New Resources - Individual'!$F20:$Y20)</f>
        <v>0</v>
      </c>
      <c r="H20" s="668">
        <f>SUMIF('New Resources - Individual'!$F$6:$Y$6,H$6,'New Resources - Individual'!$F20:$Y20)</f>
        <v>0</v>
      </c>
      <c r="I20" s="668">
        <f>SUMIF('New Resources - Individual'!$F$6:$Y$6,I$6,'New Resources - Individual'!$F20:$Y20)</f>
        <v>0</v>
      </c>
      <c r="J20" s="669">
        <f>SUMIF('New Resources - Individual'!$F$6:$Y$6,J$6,'New Resources - Individual'!$F20:$Y20)</f>
        <v>0</v>
      </c>
      <c r="K20" s="669">
        <f>SUMIF('New Resources - Individual'!$F$6:$Y$6,K$6,'New Resources - Individual'!$F20:$Y20)</f>
        <v>0</v>
      </c>
      <c r="L20" s="669">
        <f>SUMIF('New Resources - Individual'!$F$6:$Y$6,L$6,'New Resources - Individual'!$F20:$Y20)</f>
        <v>0</v>
      </c>
      <c r="M20" s="669">
        <f>SUMIF('New Resources - Individual'!$F$6:$Y$6,M$6,'New Resources - Individual'!$F20:$Y20)</f>
        <v>0</v>
      </c>
      <c r="N20" s="669">
        <f>SUMIF('New Resources - Individual'!$F$6:$Y$6,N$6,'New Resources - Individual'!$F20:$Y20)</f>
        <v>0</v>
      </c>
      <c r="O20" s="669">
        <f>SUMIF('New Resources - Individual'!$F$6:$Y$6,O$6,'New Resources - Individual'!$F20:$Y20)</f>
        <v>0</v>
      </c>
      <c r="P20" s="669">
        <f>SUMIF('New Resources - Individual'!$F$6:$Y$6,P$6,'New Resources - Individual'!$F20:$Y20)</f>
        <v>0</v>
      </c>
      <c r="Q20" s="669">
        <f>SUMIF('New Resources - Individual'!$F$6:$Y$6,Q$6,'New Resources - Individual'!$F20:$Y20)</f>
        <v>0</v>
      </c>
      <c r="R20" s="669">
        <f>SUMIF('New Resources - Individual'!$F$6:$Y$6,R$6,'New Resources - Individual'!$F20:$Y20)</f>
        <v>0</v>
      </c>
      <c r="S20" s="669">
        <f>SUMIF('New Resources - Individual'!$F$6:$Y$6,S$6,'New Resources - Individual'!$F20:$Y20)</f>
        <v>0</v>
      </c>
      <c r="T20" s="669">
        <f>SUMIF('New Resources - Individual'!$F$6:$Y$6,T$6,'New Resources - Individual'!$F20:$Y20)</f>
        <v>0</v>
      </c>
      <c r="U20" s="669">
        <f>SUMIF('New Resources - Individual'!$F$6:$Y$6,U$6,'New Resources - Individual'!$F20:$Y20)</f>
        <v>0</v>
      </c>
      <c r="V20" s="669">
        <f>SUMIF('New Resources - Individual'!$F$6:$Y$6,V$6,'New Resources - Individual'!$F20:$Y20)</f>
        <v>0</v>
      </c>
      <c r="W20" s="669">
        <f>SUMIF('New Resources - Individual'!$F$6:$Y$6,W$6,'New Resources - Individual'!$F20:$Y20)</f>
        <v>0</v>
      </c>
      <c r="X20" s="669">
        <f>SUMIF('New Resources - Individual'!$F$6:$Y$6,X$6,'New Resources - Individual'!$F20:$Y20)</f>
        <v>0</v>
      </c>
      <c r="Y20" s="790">
        <f>SUMIF('New Resources - Individual'!$F$6:$Y$6,Y$6,'New Resources - Individual'!$F20:$Y20)</f>
        <v>0</v>
      </c>
      <c r="Z20" s="631"/>
      <c r="AA20" s="631"/>
      <c r="AB20" s="631"/>
      <c r="AC20" s="631"/>
      <c r="AD20" s="631"/>
      <c r="AE20" s="631"/>
      <c r="AF20" s="631"/>
      <c r="AG20" s="658"/>
      <c r="AH20" s="658"/>
    </row>
    <row r="21" spans="1:34">
      <c r="A21" s="640">
        <v>240</v>
      </c>
      <c r="B21" s="792" t="s">
        <v>89</v>
      </c>
      <c r="C21" s="646"/>
      <c r="D21" s="646"/>
      <c r="E21" s="647"/>
      <c r="F21" s="671"/>
      <c r="G21" s="671"/>
      <c r="H21" s="647"/>
      <c r="I21" s="671"/>
      <c r="J21" s="671"/>
      <c r="K21" s="671"/>
      <c r="L21" s="671"/>
      <c r="M21" s="671"/>
      <c r="N21" s="671"/>
      <c r="O21" s="671"/>
      <c r="P21" s="671"/>
      <c r="Q21" s="671"/>
      <c r="R21" s="671"/>
      <c r="S21" s="671"/>
      <c r="T21" s="671"/>
      <c r="U21" s="671"/>
      <c r="V21" s="671"/>
      <c r="W21" s="671"/>
      <c r="X21" s="671"/>
      <c r="Y21" s="793"/>
      <c r="Z21" s="631"/>
      <c r="AA21" s="631"/>
      <c r="AB21" s="631"/>
      <c r="AC21" s="631"/>
      <c r="AD21" s="631"/>
      <c r="AE21" s="631"/>
      <c r="AF21" s="631"/>
      <c r="AG21" s="658"/>
      <c r="AH21" s="658"/>
    </row>
    <row r="22" spans="1:34">
      <c r="A22" s="640">
        <v>250</v>
      </c>
      <c r="B22" s="789" t="s">
        <v>113</v>
      </c>
      <c r="C22" s="643" t="s">
        <v>114</v>
      </c>
      <c r="D22" s="643"/>
      <c r="E22" s="644"/>
      <c r="F22" s="668">
        <f>SUMIF('New Resources - Individual'!$F$6:$Y$6,F$6,'New Resources - Individual'!$F22:$Y22)</f>
        <v>0</v>
      </c>
      <c r="G22" s="668">
        <f>SUMIF('New Resources - Individual'!$F$6:$Y$6,G$6,'New Resources - Individual'!$F22:$Y22)</f>
        <v>0</v>
      </c>
      <c r="H22" s="668">
        <f>SUMIF('New Resources - Individual'!$F$6:$Y$6,H$6,'New Resources - Individual'!$F22:$Y22)</f>
        <v>0</v>
      </c>
      <c r="I22" s="668">
        <f>SUMIF('New Resources - Individual'!$F$6:$Y$6,I$6,'New Resources - Individual'!$F22:$Y22)</f>
        <v>0</v>
      </c>
      <c r="J22" s="669">
        <f>SUMIF('New Resources - Individual'!$F$6:$Y$6,J$6,'New Resources - Individual'!$F22:$Y22)</f>
        <v>0</v>
      </c>
      <c r="K22" s="669">
        <f>SUMIF('New Resources - Individual'!$F$6:$Y$6,K$6,'New Resources - Individual'!$F22:$Y22)</f>
        <v>0</v>
      </c>
      <c r="L22" s="669">
        <f>SUMIF('New Resources - Individual'!$F$6:$Y$6,L$6,'New Resources - Individual'!$F22:$Y22)</f>
        <v>0</v>
      </c>
      <c r="M22" s="669">
        <f>SUMIF('New Resources - Individual'!$F$6:$Y$6,M$6,'New Resources - Individual'!$F22:$Y22)</f>
        <v>0</v>
      </c>
      <c r="N22" s="669">
        <f>SUMIF('New Resources - Individual'!$F$6:$Y$6,N$6,'New Resources - Individual'!$F22:$Y22)</f>
        <v>0</v>
      </c>
      <c r="O22" s="669">
        <f>SUMIF('New Resources - Individual'!$F$6:$Y$6,O$6,'New Resources - Individual'!$F22:$Y22)</f>
        <v>0</v>
      </c>
      <c r="P22" s="669">
        <f>SUMIF('New Resources - Individual'!$F$6:$Y$6,P$6,'New Resources - Individual'!$F22:$Y22)</f>
        <v>0</v>
      </c>
      <c r="Q22" s="669">
        <f>SUMIF('New Resources - Individual'!$F$6:$Y$6,Q$6,'New Resources - Individual'!$F22:$Y22)</f>
        <v>0</v>
      </c>
      <c r="R22" s="669">
        <f>SUMIF('New Resources - Individual'!$F$6:$Y$6,R$6,'New Resources - Individual'!$F22:$Y22)</f>
        <v>0</v>
      </c>
      <c r="S22" s="669">
        <f>SUMIF('New Resources - Individual'!$F$6:$Y$6,S$6,'New Resources - Individual'!$F22:$Y22)</f>
        <v>0</v>
      </c>
      <c r="T22" s="669">
        <f>SUMIF('New Resources - Individual'!$F$6:$Y$6,T$6,'New Resources - Individual'!$F22:$Y22)</f>
        <v>0</v>
      </c>
      <c r="U22" s="669">
        <f>SUMIF('New Resources - Individual'!$F$6:$Y$6,U$6,'New Resources - Individual'!$F22:$Y22)</f>
        <v>0</v>
      </c>
      <c r="V22" s="669">
        <f>SUMIF('New Resources - Individual'!$F$6:$Y$6,V$6,'New Resources - Individual'!$F22:$Y22)</f>
        <v>0</v>
      </c>
      <c r="W22" s="669">
        <f>SUMIF('New Resources - Individual'!$F$6:$Y$6,W$6,'New Resources - Individual'!$F22:$Y22)</f>
        <v>0</v>
      </c>
      <c r="X22" s="669">
        <f>SUMIF('New Resources - Individual'!$F$6:$Y$6,X$6,'New Resources - Individual'!$F22:$Y22)</f>
        <v>0</v>
      </c>
      <c r="Y22" s="790">
        <f>SUMIF('New Resources - Individual'!$F$6:$Y$6,Y$6,'New Resources - Individual'!$F22:$Y22)</f>
        <v>0</v>
      </c>
      <c r="Z22" s="631"/>
      <c r="AA22" s="631"/>
      <c r="AB22" s="631"/>
      <c r="AC22" s="631"/>
      <c r="AD22" s="631"/>
      <c r="AE22" s="631"/>
      <c r="AF22" s="631"/>
      <c r="AG22" s="658"/>
      <c r="AH22" s="658"/>
    </row>
    <row r="23" spans="1:34">
      <c r="A23" s="640">
        <v>260</v>
      </c>
      <c r="B23" s="789" t="s">
        <v>605</v>
      </c>
      <c r="C23" s="645" t="s">
        <v>257</v>
      </c>
      <c r="D23" s="645" t="s">
        <v>600</v>
      </c>
      <c r="E23" s="644"/>
      <c r="F23" s="668">
        <f>SUMIF('New Resources - Individual'!$F$6:$Y$6,F$6,'New Resources - Individual'!$F23:$Y23)</f>
        <v>0</v>
      </c>
      <c r="G23" s="668">
        <f>SUMIF('New Resources - Individual'!$F$6:$Y$6,G$6,'New Resources - Individual'!$F23:$Y23)</f>
        <v>0</v>
      </c>
      <c r="H23" s="668">
        <f>SUMIF('New Resources - Individual'!$F$6:$Y$6,H$6,'New Resources - Individual'!$F23:$Y23)</f>
        <v>0</v>
      </c>
      <c r="I23" s="668">
        <f>SUMIF('New Resources - Individual'!$F$6:$Y$6,I$6,'New Resources - Individual'!$F23:$Y23)</f>
        <v>0</v>
      </c>
      <c r="J23" s="669">
        <f>SUMIF('New Resources - Individual'!$F$6:$Y$6,J$6,'New Resources - Individual'!$F23:$Y23)</f>
        <v>0</v>
      </c>
      <c r="K23" s="669">
        <f>SUMIF('New Resources - Individual'!$F$6:$Y$6,K$6,'New Resources - Individual'!$F23:$Y23)</f>
        <v>0</v>
      </c>
      <c r="L23" s="669">
        <f>SUMIF('New Resources - Individual'!$F$6:$Y$6,L$6,'New Resources - Individual'!$F23:$Y23)</f>
        <v>0</v>
      </c>
      <c r="M23" s="669">
        <f>SUMIF('New Resources - Individual'!$F$6:$Y$6,M$6,'New Resources - Individual'!$F23:$Y23)</f>
        <v>0</v>
      </c>
      <c r="N23" s="669">
        <f>SUMIF('New Resources - Individual'!$F$6:$Y$6,N$6,'New Resources - Individual'!$F23:$Y23)</f>
        <v>0</v>
      </c>
      <c r="O23" s="669">
        <f>SUMIF('New Resources - Individual'!$F$6:$Y$6,O$6,'New Resources - Individual'!$F23:$Y23)</f>
        <v>0</v>
      </c>
      <c r="P23" s="669">
        <f>SUMIF('New Resources - Individual'!$F$6:$Y$6,P$6,'New Resources - Individual'!$F23:$Y23)</f>
        <v>0</v>
      </c>
      <c r="Q23" s="669">
        <f>SUMIF('New Resources - Individual'!$F$6:$Y$6,Q$6,'New Resources - Individual'!$F23:$Y23)</f>
        <v>0</v>
      </c>
      <c r="R23" s="669">
        <f>SUMIF('New Resources - Individual'!$F$6:$Y$6,R$6,'New Resources - Individual'!$F23:$Y23)</f>
        <v>0</v>
      </c>
      <c r="S23" s="669">
        <f>SUMIF('New Resources - Individual'!$F$6:$Y$6,S$6,'New Resources - Individual'!$F23:$Y23)</f>
        <v>0</v>
      </c>
      <c r="T23" s="669">
        <f>SUMIF('New Resources - Individual'!$F$6:$Y$6,T$6,'New Resources - Individual'!$F23:$Y23)</f>
        <v>0</v>
      </c>
      <c r="U23" s="669">
        <f>SUMIF('New Resources - Individual'!$F$6:$Y$6,U$6,'New Resources - Individual'!$F23:$Y23)</f>
        <v>0</v>
      </c>
      <c r="V23" s="669">
        <f>SUMIF('New Resources - Individual'!$F$6:$Y$6,V$6,'New Resources - Individual'!$F23:$Y23)</f>
        <v>0</v>
      </c>
      <c r="W23" s="669">
        <f>SUMIF('New Resources - Individual'!$F$6:$Y$6,W$6,'New Resources - Individual'!$F23:$Y23)</f>
        <v>0</v>
      </c>
      <c r="X23" s="669">
        <f>SUMIF('New Resources - Individual'!$F$6:$Y$6,X$6,'New Resources - Individual'!$F23:$Y23)</f>
        <v>0</v>
      </c>
      <c r="Y23" s="790">
        <f>SUMIF('New Resources - Individual'!$F$6:$Y$6,Y$6,'New Resources - Individual'!$F23:$Y23)</f>
        <v>0</v>
      </c>
      <c r="Z23" s="631"/>
      <c r="AA23" s="631"/>
      <c r="AB23" s="631"/>
      <c r="AC23" s="631"/>
      <c r="AD23" s="631"/>
      <c r="AE23" s="631"/>
      <c r="AF23" s="631"/>
      <c r="AG23" s="658"/>
      <c r="AH23" s="658"/>
    </row>
    <row r="24" spans="1:34">
      <c r="A24" s="640">
        <v>270</v>
      </c>
      <c r="B24" s="789" t="s">
        <v>79</v>
      </c>
      <c r="C24" s="643">
        <v>154</v>
      </c>
      <c r="D24" s="643"/>
      <c r="E24" s="644"/>
      <c r="F24" s="668">
        <f>SUMIF('New Resources - Individual'!$F$6:$Y$6,F$6,'New Resources - Individual'!$F24:$Y24)</f>
        <v>0</v>
      </c>
      <c r="G24" s="668">
        <f>SUMIF('New Resources - Individual'!$F$6:$Y$6,G$6,'New Resources - Individual'!$F24:$Y24)</f>
        <v>0</v>
      </c>
      <c r="H24" s="668">
        <f>SUMIF('New Resources - Individual'!$F$6:$Y$6,H$6,'New Resources - Individual'!$F24:$Y24)</f>
        <v>0</v>
      </c>
      <c r="I24" s="668">
        <f>SUMIF('New Resources - Individual'!$F$6:$Y$6,I$6,'New Resources - Individual'!$F24:$Y24)</f>
        <v>0</v>
      </c>
      <c r="J24" s="669">
        <f>SUMIF('New Resources - Individual'!$F$6:$Y$6,J$6,'New Resources - Individual'!$F24:$Y24)</f>
        <v>0</v>
      </c>
      <c r="K24" s="669">
        <f>SUMIF('New Resources - Individual'!$F$6:$Y$6,K$6,'New Resources - Individual'!$F24:$Y24)</f>
        <v>0</v>
      </c>
      <c r="L24" s="669">
        <f>SUMIF('New Resources - Individual'!$F$6:$Y$6,L$6,'New Resources - Individual'!$F24:$Y24)</f>
        <v>0</v>
      </c>
      <c r="M24" s="669">
        <f>SUMIF('New Resources - Individual'!$F$6:$Y$6,M$6,'New Resources - Individual'!$F24:$Y24)</f>
        <v>0</v>
      </c>
      <c r="N24" s="669">
        <f>SUMIF('New Resources - Individual'!$F$6:$Y$6,N$6,'New Resources - Individual'!$F24:$Y24)</f>
        <v>0</v>
      </c>
      <c r="O24" s="669">
        <f>SUMIF('New Resources - Individual'!$F$6:$Y$6,O$6,'New Resources - Individual'!$F24:$Y24)</f>
        <v>0</v>
      </c>
      <c r="P24" s="669">
        <f>SUMIF('New Resources - Individual'!$F$6:$Y$6,P$6,'New Resources - Individual'!$F24:$Y24)</f>
        <v>0</v>
      </c>
      <c r="Q24" s="669">
        <f>SUMIF('New Resources - Individual'!$F$6:$Y$6,Q$6,'New Resources - Individual'!$F24:$Y24)</f>
        <v>0</v>
      </c>
      <c r="R24" s="669">
        <f>SUMIF('New Resources - Individual'!$F$6:$Y$6,R$6,'New Resources - Individual'!$F24:$Y24)</f>
        <v>0</v>
      </c>
      <c r="S24" s="669">
        <f>SUMIF('New Resources - Individual'!$F$6:$Y$6,S$6,'New Resources - Individual'!$F24:$Y24)</f>
        <v>0</v>
      </c>
      <c r="T24" s="669">
        <f>SUMIF('New Resources - Individual'!$F$6:$Y$6,T$6,'New Resources - Individual'!$F24:$Y24)</f>
        <v>0</v>
      </c>
      <c r="U24" s="669">
        <f>SUMIF('New Resources - Individual'!$F$6:$Y$6,U$6,'New Resources - Individual'!$F24:$Y24)</f>
        <v>0</v>
      </c>
      <c r="V24" s="669">
        <f>SUMIF('New Resources - Individual'!$F$6:$Y$6,V$6,'New Resources - Individual'!$F24:$Y24)</f>
        <v>0</v>
      </c>
      <c r="W24" s="669">
        <f>SUMIF('New Resources - Individual'!$F$6:$Y$6,W$6,'New Resources - Individual'!$F24:$Y24)</f>
        <v>0</v>
      </c>
      <c r="X24" s="669">
        <f>SUMIF('New Resources - Individual'!$F$6:$Y$6,X$6,'New Resources - Individual'!$F24:$Y24)</f>
        <v>0</v>
      </c>
      <c r="Y24" s="790">
        <f>SUMIF('New Resources - Individual'!$F$6:$Y$6,Y$6,'New Resources - Individual'!$F24:$Y24)</f>
        <v>0</v>
      </c>
      <c r="Z24" s="631"/>
      <c r="AA24" s="631"/>
      <c r="AB24" s="631"/>
      <c r="AC24" s="631"/>
      <c r="AD24" s="631"/>
      <c r="AE24" s="631"/>
      <c r="AF24" s="631"/>
      <c r="AG24" s="658"/>
      <c r="AH24" s="658"/>
    </row>
    <row r="25" spans="1:34">
      <c r="A25" s="640">
        <v>280</v>
      </c>
      <c r="B25" s="792" t="s">
        <v>606</v>
      </c>
      <c r="C25" s="646"/>
      <c r="D25" s="646"/>
      <c r="E25" s="647"/>
      <c r="F25" s="671"/>
      <c r="G25" s="671"/>
      <c r="H25" s="647"/>
      <c r="I25" s="671"/>
      <c r="J25" s="671"/>
      <c r="K25" s="671"/>
      <c r="L25" s="671"/>
      <c r="M25" s="671"/>
      <c r="N25" s="671"/>
      <c r="O25" s="671"/>
      <c r="P25" s="671"/>
      <c r="Q25" s="671"/>
      <c r="R25" s="671"/>
      <c r="S25" s="671"/>
      <c r="T25" s="671"/>
      <c r="U25" s="671"/>
      <c r="V25" s="671"/>
      <c r="W25" s="671"/>
      <c r="X25" s="671"/>
      <c r="Y25" s="793"/>
      <c r="Z25" s="631"/>
      <c r="AA25" s="631"/>
      <c r="AB25" s="631"/>
      <c r="AC25" s="631"/>
      <c r="AD25" s="631"/>
      <c r="AE25" s="631"/>
      <c r="AF25" s="631"/>
      <c r="AG25" s="658"/>
      <c r="AH25" s="658"/>
    </row>
    <row r="26" spans="1:34">
      <c r="A26" s="640">
        <v>290</v>
      </c>
      <c r="B26" s="795" t="s">
        <v>607</v>
      </c>
      <c r="C26" s="643">
        <v>518</v>
      </c>
      <c r="D26" s="643"/>
      <c r="E26" s="649"/>
      <c r="F26" s="668">
        <f>SUMIF('New Resources - Individual'!$F$6:$Y$6,F$6,'New Resources - Individual'!$F26:$Y26)</f>
        <v>0</v>
      </c>
      <c r="G26" s="668">
        <f>SUMIF('New Resources - Individual'!$F$6:$Y$6,G$6,'New Resources - Individual'!$F26:$Y26)</f>
        <v>0</v>
      </c>
      <c r="H26" s="668">
        <f>SUMIF('New Resources - Individual'!$F$6:$Y$6,H$6,'New Resources - Individual'!$F26:$Y26)</f>
        <v>0</v>
      </c>
      <c r="I26" s="668">
        <f>SUMIF('New Resources - Individual'!$F$6:$Y$6,I$6,'New Resources - Individual'!$F26:$Y26)</f>
        <v>0</v>
      </c>
      <c r="J26" s="669">
        <f>SUMIF('New Resources - Individual'!$F$6:$Y$6,J$6,'New Resources - Individual'!$F26:$Y26)</f>
        <v>0</v>
      </c>
      <c r="K26" s="669">
        <f>SUMIF('New Resources - Individual'!$F$6:$Y$6,K$6,'New Resources - Individual'!$F26:$Y26)</f>
        <v>0</v>
      </c>
      <c r="L26" s="669">
        <f>SUMIF('New Resources - Individual'!$F$6:$Y$6,L$6,'New Resources - Individual'!$F26:$Y26)</f>
        <v>0</v>
      </c>
      <c r="M26" s="669">
        <f>SUMIF('New Resources - Individual'!$F$6:$Y$6,M$6,'New Resources - Individual'!$F26:$Y26)</f>
        <v>0</v>
      </c>
      <c r="N26" s="669">
        <f>SUMIF('New Resources - Individual'!$F$6:$Y$6,N$6,'New Resources - Individual'!$F26:$Y26)</f>
        <v>0</v>
      </c>
      <c r="O26" s="669">
        <f>SUMIF('New Resources - Individual'!$F$6:$Y$6,O$6,'New Resources - Individual'!$F26:$Y26)</f>
        <v>0</v>
      </c>
      <c r="P26" s="669">
        <f>SUMIF('New Resources - Individual'!$F$6:$Y$6,P$6,'New Resources - Individual'!$F26:$Y26)</f>
        <v>0</v>
      </c>
      <c r="Q26" s="669">
        <f>SUMIF('New Resources - Individual'!$F$6:$Y$6,Q$6,'New Resources - Individual'!$F26:$Y26)</f>
        <v>0</v>
      </c>
      <c r="R26" s="669">
        <f>SUMIF('New Resources - Individual'!$F$6:$Y$6,R$6,'New Resources - Individual'!$F26:$Y26)</f>
        <v>0</v>
      </c>
      <c r="S26" s="669">
        <f>SUMIF('New Resources - Individual'!$F$6:$Y$6,S$6,'New Resources - Individual'!$F26:$Y26)</f>
        <v>0</v>
      </c>
      <c r="T26" s="669">
        <f>SUMIF('New Resources - Individual'!$F$6:$Y$6,T$6,'New Resources - Individual'!$F26:$Y26)</f>
        <v>0</v>
      </c>
      <c r="U26" s="669">
        <f>SUMIF('New Resources - Individual'!$F$6:$Y$6,U$6,'New Resources - Individual'!$F26:$Y26)</f>
        <v>0</v>
      </c>
      <c r="V26" s="669">
        <f>SUMIF('New Resources - Individual'!$F$6:$Y$6,V$6,'New Resources - Individual'!$F26:$Y26)</f>
        <v>0</v>
      </c>
      <c r="W26" s="669">
        <f>SUMIF('New Resources - Individual'!$F$6:$Y$6,W$6,'New Resources - Individual'!$F26:$Y26)</f>
        <v>0</v>
      </c>
      <c r="X26" s="669">
        <f>SUMIF('New Resources - Individual'!$F$6:$Y$6,X$6,'New Resources - Individual'!$F26:$Y26)</f>
        <v>0</v>
      </c>
      <c r="Y26" s="790">
        <f>SUMIF('New Resources - Individual'!$F$6:$Y$6,Y$6,'New Resources - Individual'!$F26:$Y26)</f>
        <v>0</v>
      </c>
      <c r="Z26" s="631"/>
      <c r="AA26" s="631"/>
      <c r="AB26" s="631"/>
      <c r="AC26" s="631"/>
      <c r="AD26" s="631"/>
      <c r="AE26" s="631"/>
      <c r="AF26" s="631"/>
      <c r="AG26" s="658"/>
      <c r="AH26" s="658"/>
    </row>
    <row r="27" spans="1:34">
      <c r="A27" s="640">
        <v>300</v>
      </c>
      <c r="B27" s="795" t="s">
        <v>264</v>
      </c>
      <c r="C27" s="643" t="s">
        <v>457</v>
      </c>
      <c r="D27" s="643"/>
      <c r="E27" s="649"/>
      <c r="F27" s="668">
        <f>SUMIF('New Resources - Individual'!$F$6:$Y$6,F$6,'New Resources - Individual'!$F27:$Y27)</f>
        <v>0</v>
      </c>
      <c r="G27" s="668">
        <f>SUMIF('New Resources - Individual'!$F$6:$Y$6,G$6,'New Resources - Individual'!$F27:$Y27)</f>
        <v>0</v>
      </c>
      <c r="H27" s="668">
        <f>SUMIF('New Resources - Individual'!$F$6:$Y$6,H$6,'New Resources - Individual'!$F27:$Y27)</f>
        <v>0</v>
      </c>
      <c r="I27" s="668">
        <f>SUMIF('New Resources - Individual'!$F$6:$Y$6,I$6,'New Resources - Individual'!$F27:$Y27)</f>
        <v>0</v>
      </c>
      <c r="J27" s="669">
        <f>SUMIF('New Resources - Individual'!$F$6:$Y$6,J$6,'New Resources - Individual'!$F27:$Y27)</f>
        <v>0</v>
      </c>
      <c r="K27" s="669">
        <f>SUMIF('New Resources - Individual'!$F$6:$Y$6,K$6,'New Resources - Individual'!$F27:$Y27)</f>
        <v>0</v>
      </c>
      <c r="L27" s="669">
        <f>SUMIF('New Resources - Individual'!$F$6:$Y$6,L$6,'New Resources - Individual'!$F27:$Y27)</f>
        <v>0</v>
      </c>
      <c r="M27" s="669">
        <f>SUMIF('New Resources - Individual'!$F$6:$Y$6,M$6,'New Resources - Individual'!$F27:$Y27)</f>
        <v>0</v>
      </c>
      <c r="N27" s="669">
        <f>SUMIF('New Resources - Individual'!$F$6:$Y$6,N$6,'New Resources - Individual'!$F27:$Y27)</f>
        <v>0</v>
      </c>
      <c r="O27" s="669">
        <f>SUMIF('New Resources - Individual'!$F$6:$Y$6,O$6,'New Resources - Individual'!$F27:$Y27)</f>
        <v>0</v>
      </c>
      <c r="P27" s="669">
        <f>SUMIF('New Resources - Individual'!$F$6:$Y$6,P$6,'New Resources - Individual'!$F27:$Y27)</f>
        <v>0</v>
      </c>
      <c r="Q27" s="669">
        <f>SUMIF('New Resources - Individual'!$F$6:$Y$6,Q$6,'New Resources - Individual'!$F27:$Y27)</f>
        <v>0</v>
      </c>
      <c r="R27" s="669">
        <f>SUMIF('New Resources - Individual'!$F$6:$Y$6,R$6,'New Resources - Individual'!$F27:$Y27)</f>
        <v>0</v>
      </c>
      <c r="S27" s="669">
        <f>SUMIF('New Resources - Individual'!$F$6:$Y$6,S$6,'New Resources - Individual'!$F27:$Y27)</f>
        <v>0</v>
      </c>
      <c r="T27" s="669">
        <f>SUMIF('New Resources - Individual'!$F$6:$Y$6,T$6,'New Resources - Individual'!$F27:$Y27)</f>
        <v>0</v>
      </c>
      <c r="U27" s="669">
        <f>SUMIF('New Resources - Individual'!$F$6:$Y$6,U$6,'New Resources - Individual'!$F27:$Y27)</f>
        <v>0</v>
      </c>
      <c r="V27" s="669">
        <f>SUMIF('New Resources - Individual'!$F$6:$Y$6,V$6,'New Resources - Individual'!$F27:$Y27)</f>
        <v>0</v>
      </c>
      <c r="W27" s="669">
        <f>SUMIF('New Resources - Individual'!$F$6:$Y$6,W$6,'New Resources - Individual'!$F27:$Y27)</f>
        <v>0</v>
      </c>
      <c r="X27" s="669">
        <f>SUMIF('New Resources - Individual'!$F$6:$Y$6,X$6,'New Resources - Individual'!$F27:$Y27)</f>
        <v>0</v>
      </c>
      <c r="Y27" s="790">
        <f>SUMIF('New Resources - Individual'!$F$6:$Y$6,Y$6,'New Resources - Individual'!$F27:$Y27)</f>
        <v>0</v>
      </c>
      <c r="Z27" s="631"/>
      <c r="AA27" s="631"/>
      <c r="AB27" s="631"/>
      <c r="AC27" s="631"/>
      <c r="AD27" s="631"/>
      <c r="AE27" s="631"/>
      <c r="AF27" s="631"/>
      <c r="AG27" s="658"/>
      <c r="AH27" s="658"/>
    </row>
    <row r="28" spans="1:34">
      <c r="A28" s="640">
        <v>310</v>
      </c>
      <c r="B28" s="795" t="s">
        <v>483</v>
      </c>
      <c r="C28" s="643" t="s">
        <v>484</v>
      </c>
      <c r="D28" s="643"/>
      <c r="E28" s="649"/>
      <c r="F28" s="668">
        <f>SUMIF('New Resources - Individual'!$F$6:$Y$6,F$6,'New Resources - Individual'!$F28:$Y28)</f>
        <v>0</v>
      </c>
      <c r="G28" s="668">
        <f>SUMIF('New Resources - Individual'!$F$6:$Y$6,G$6,'New Resources - Individual'!$F28:$Y28)</f>
        <v>0</v>
      </c>
      <c r="H28" s="668">
        <f>SUMIF('New Resources - Individual'!$F$6:$Y$6,H$6,'New Resources - Individual'!$F28:$Y28)</f>
        <v>0</v>
      </c>
      <c r="I28" s="668">
        <f>SUMIF('New Resources - Individual'!$F$6:$Y$6,I$6,'New Resources - Individual'!$F28:$Y28)</f>
        <v>0</v>
      </c>
      <c r="J28" s="669">
        <f>SUMIF('New Resources - Individual'!$F$6:$Y$6,J$6,'New Resources - Individual'!$F28:$Y28)</f>
        <v>0</v>
      </c>
      <c r="K28" s="669">
        <f>SUMIF('New Resources - Individual'!$F$6:$Y$6,K$6,'New Resources - Individual'!$F28:$Y28)</f>
        <v>0</v>
      </c>
      <c r="L28" s="669">
        <f>SUMIF('New Resources - Individual'!$F$6:$Y$6,L$6,'New Resources - Individual'!$F28:$Y28)</f>
        <v>0</v>
      </c>
      <c r="M28" s="669">
        <f>SUMIF('New Resources - Individual'!$F$6:$Y$6,M$6,'New Resources - Individual'!$F28:$Y28)</f>
        <v>0</v>
      </c>
      <c r="N28" s="669">
        <f>SUMIF('New Resources - Individual'!$F$6:$Y$6,N$6,'New Resources - Individual'!$F28:$Y28)</f>
        <v>0</v>
      </c>
      <c r="O28" s="669">
        <f>SUMIF('New Resources - Individual'!$F$6:$Y$6,O$6,'New Resources - Individual'!$F28:$Y28)</f>
        <v>0</v>
      </c>
      <c r="P28" s="669">
        <f>SUMIF('New Resources - Individual'!$F$6:$Y$6,P$6,'New Resources - Individual'!$F28:$Y28)</f>
        <v>0</v>
      </c>
      <c r="Q28" s="669">
        <f>SUMIF('New Resources - Individual'!$F$6:$Y$6,Q$6,'New Resources - Individual'!$F28:$Y28)</f>
        <v>0</v>
      </c>
      <c r="R28" s="669">
        <f>SUMIF('New Resources - Individual'!$F$6:$Y$6,R$6,'New Resources - Individual'!$F28:$Y28)</f>
        <v>0</v>
      </c>
      <c r="S28" s="669">
        <f>SUMIF('New Resources - Individual'!$F$6:$Y$6,S$6,'New Resources - Individual'!$F28:$Y28)</f>
        <v>0</v>
      </c>
      <c r="T28" s="669">
        <f>SUMIF('New Resources - Individual'!$F$6:$Y$6,T$6,'New Resources - Individual'!$F28:$Y28)</f>
        <v>0</v>
      </c>
      <c r="U28" s="669">
        <f>SUMIF('New Resources - Individual'!$F$6:$Y$6,U$6,'New Resources - Individual'!$F28:$Y28)</f>
        <v>0</v>
      </c>
      <c r="V28" s="669">
        <f>SUMIF('New Resources - Individual'!$F$6:$Y$6,V$6,'New Resources - Individual'!$F28:$Y28)</f>
        <v>0</v>
      </c>
      <c r="W28" s="669">
        <f>SUMIF('New Resources - Individual'!$F$6:$Y$6,W$6,'New Resources - Individual'!$F28:$Y28)</f>
        <v>0</v>
      </c>
      <c r="X28" s="669">
        <f>SUMIF('New Resources - Individual'!$F$6:$Y$6,X$6,'New Resources - Individual'!$F28:$Y28)</f>
        <v>0</v>
      </c>
      <c r="Y28" s="790">
        <f>SUMIF('New Resources - Individual'!$F$6:$Y$6,Y$6,'New Resources - Individual'!$F28:$Y28)</f>
        <v>0</v>
      </c>
      <c r="Z28" s="631"/>
      <c r="AA28" s="631"/>
      <c r="AB28" s="631"/>
      <c r="AC28" s="631"/>
      <c r="AD28" s="631"/>
      <c r="AE28" s="631"/>
      <c r="AF28" s="631"/>
      <c r="AG28" s="658"/>
      <c r="AH28" s="658"/>
    </row>
    <row r="29" spans="1:34">
      <c r="A29" s="640">
        <v>320</v>
      </c>
      <c r="B29" s="795" t="s">
        <v>167</v>
      </c>
      <c r="C29" s="643">
        <v>924</v>
      </c>
      <c r="D29" s="643"/>
      <c r="E29" s="649"/>
      <c r="F29" s="668">
        <f>SUMIF('New Resources - Individual'!$F$6:$Y$6,F$6,'New Resources - Individual'!$F29:$Y29)</f>
        <v>0</v>
      </c>
      <c r="G29" s="668">
        <f>SUMIF('New Resources - Individual'!$F$6:$Y$6,G$6,'New Resources - Individual'!$F29:$Y29)</f>
        <v>0</v>
      </c>
      <c r="H29" s="668">
        <f>SUMIF('New Resources - Individual'!$F$6:$Y$6,H$6,'New Resources - Individual'!$F29:$Y29)</f>
        <v>0</v>
      </c>
      <c r="I29" s="668">
        <f>SUMIF('New Resources - Individual'!$F$6:$Y$6,I$6,'New Resources - Individual'!$F29:$Y29)</f>
        <v>0</v>
      </c>
      <c r="J29" s="669">
        <f>SUMIF('New Resources - Individual'!$F$6:$Y$6,J$6,'New Resources - Individual'!$F29:$Y29)</f>
        <v>0</v>
      </c>
      <c r="K29" s="669">
        <f>SUMIF('New Resources - Individual'!$F$6:$Y$6,K$6,'New Resources - Individual'!$F29:$Y29)</f>
        <v>0</v>
      </c>
      <c r="L29" s="669">
        <f>SUMIF('New Resources - Individual'!$F$6:$Y$6,L$6,'New Resources - Individual'!$F29:$Y29)</f>
        <v>0</v>
      </c>
      <c r="M29" s="669">
        <f>SUMIF('New Resources - Individual'!$F$6:$Y$6,M$6,'New Resources - Individual'!$F29:$Y29)</f>
        <v>0</v>
      </c>
      <c r="N29" s="669">
        <f>SUMIF('New Resources - Individual'!$F$6:$Y$6,N$6,'New Resources - Individual'!$F29:$Y29)</f>
        <v>0</v>
      </c>
      <c r="O29" s="669">
        <f>SUMIF('New Resources - Individual'!$F$6:$Y$6,O$6,'New Resources - Individual'!$F29:$Y29)</f>
        <v>0</v>
      </c>
      <c r="P29" s="669">
        <f>SUMIF('New Resources - Individual'!$F$6:$Y$6,P$6,'New Resources - Individual'!$F29:$Y29)</f>
        <v>0</v>
      </c>
      <c r="Q29" s="669">
        <f>SUMIF('New Resources - Individual'!$F$6:$Y$6,Q$6,'New Resources - Individual'!$F29:$Y29)</f>
        <v>0</v>
      </c>
      <c r="R29" s="669">
        <f>SUMIF('New Resources - Individual'!$F$6:$Y$6,R$6,'New Resources - Individual'!$F29:$Y29)</f>
        <v>0</v>
      </c>
      <c r="S29" s="669">
        <f>SUMIF('New Resources - Individual'!$F$6:$Y$6,S$6,'New Resources - Individual'!$F29:$Y29)</f>
        <v>0</v>
      </c>
      <c r="T29" s="669">
        <f>SUMIF('New Resources - Individual'!$F$6:$Y$6,T$6,'New Resources - Individual'!$F29:$Y29)</f>
        <v>0</v>
      </c>
      <c r="U29" s="669">
        <f>SUMIF('New Resources - Individual'!$F$6:$Y$6,U$6,'New Resources - Individual'!$F29:$Y29)</f>
        <v>0</v>
      </c>
      <c r="V29" s="669">
        <f>SUMIF('New Resources - Individual'!$F$6:$Y$6,V$6,'New Resources - Individual'!$F29:$Y29)</f>
        <v>0</v>
      </c>
      <c r="W29" s="669">
        <f>SUMIF('New Resources - Individual'!$F$6:$Y$6,W$6,'New Resources - Individual'!$F29:$Y29)</f>
        <v>0</v>
      </c>
      <c r="X29" s="669">
        <f>SUMIF('New Resources - Individual'!$F$6:$Y$6,X$6,'New Resources - Individual'!$F29:$Y29)</f>
        <v>0</v>
      </c>
      <c r="Y29" s="790">
        <f>SUMIF('New Resources - Individual'!$F$6:$Y$6,Y$6,'New Resources - Individual'!$F29:$Y29)</f>
        <v>0</v>
      </c>
      <c r="Z29" s="631"/>
      <c r="AA29" s="631"/>
      <c r="AB29" s="631"/>
      <c r="AC29" s="631"/>
      <c r="AD29" s="631"/>
      <c r="AE29" s="631"/>
      <c r="AF29" s="631"/>
      <c r="AG29" s="658"/>
      <c r="AH29" s="658"/>
    </row>
    <row r="30" spans="1:34">
      <c r="A30" s="640">
        <v>330</v>
      </c>
      <c r="B30" s="795" t="s">
        <v>599</v>
      </c>
      <c r="C30" s="643">
        <v>403</v>
      </c>
      <c r="D30" s="643" t="s">
        <v>600</v>
      </c>
      <c r="E30" s="649"/>
      <c r="F30" s="668">
        <f>SUMIF('New Resources - Individual'!$F$6:$Y$6,F$6,'New Resources - Individual'!$F30:$Y30)</f>
        <v>0</v>
      </c>
      <c r="G30" s="668">
        <f>SUMIF('New Resources - Individual'!$F$6:$Y$6,G$6,'New Resources - Individual'!$F30:$Y30)</f>
        <v>0</v>
      </c>
      <c r="H30" s="668">
        <f>SUMIF('New Resources - Individual'!$F$6:$Y$6,H$6,'New Resources - Individual'!$F30:$Y30)</f>
        <v>0</v>
      </c>
      <c r="I30" s="668">
        <f>SUMIF('New Resources - Individual'!$F$6:$Y$6,I$6,'New Resources - Individual'!$F30:$Y30)</f>
        <v>0</v>
      </c>
      <c r="J30" s="669">
        <f>SUMIF('New Resources - Individual'!$F$6:$Y$6,J$6,'New Resources - Individual'!$F30:$Y30)</f>
        <v>0</v>
      </c>
      <c r="K30" s="669">
        <f>SUMIF('New Resources - Individual'!$F$6:$Y$6,K$6,'New Resources - Individual'!$F30:$Y30)</f>
        <v>0</v>
      </c>
      <c r="L30" s="669">
        <f>SUMIF('New Resources - Individual'!$F$6:$Y$6,L$6,'New Resources - Individual'!$F30:$Y30)</f>
        <v>0</v>
      </c>
      <c r="M30" s="669">
        <f>SUMIF('New Resources - Individual'!$F$6:$Y$6,M$6,'New Resources - Individual'!$F30:$Y30)</f>
        <v>0</v>
      </c>
      <c r="N30" s="669">
        <f>SUMIF('New Resources - Individual'!$F$6:$Y$6,N$6,'New Resources - Individual'!$F30:$Y30)</f>
        <v>0</v>
      </c>
      <c r="O30" s="669">
        <f>SUMIF('New Resources - Individual'!$F$6:$Y$6,O$6,'New Resources - Individual'!$F30:$Y30)</f>
        <v>0</v>
      </c>
      <c r="P30" s="669">
        <f>SUMIF('New Resources - Individual'!$F$6:$Y$6,P$6,'New Resources - Individual'!$F30:$Y30)</f>
        <v>0</v>
      </c>
      <c r="Q30" s="669">
        <f>SUMIF('New Resources - Individual'!$F$6:$Y$6,Q$6,'New Resources - Individual'!$F30:$Y30)</f>
        <v>0</v>
      </c>
      <c r="R30" s="669">
        <f>SUMIF('New Resources - Individual'!$F$6:$Y$6,R$6,'New Resources - Individual'!$F30:$Y30)</f>
        <v>0</v>
      </c>
      <c r="S30" s="669">
        <f>SUMIF('New Resources - Individual'!$F$6:$Y$6,S$6,'New Resources - Individual'!$F30:$Y30)</f>
        <v>0</v>
      </c>
      <c r="T30" s="669">
        <f>SUMIF('New Resources - Individual'!$F$6:$Y$6,T$6,'New Resources - Individual'!$F30:$Y30)</f>
        <v>0</v>
      </c>
      <c r="U30" s="669">
        <f>SUMIF('New Resources - Individual'!$F$6:$Y$6,U$6,'New Resources - Individual'!$F30:$Y30)</f>
        <v>0</v>
      </c>
      <c r="V30" s="669">
        <f>SUMIF('New Resources - Individual'!$F$6:$Y$6,V$6,'New Resources - Individual'!$F30:$Y30)</f>
        <v>0</v>
      </c>
      <c r="W30" s="669">
        <f>SUMIF('New Resources - Individual'!$F$6:$Y$6,W$6,'New Resources - Individual'!$F30:$Y30)</f>
        <v>0</v>
      </c>
      <c r="X30" s="669">
        <f>SUMIF('New Resources - Individual'!$F$6:$Y$6,X$6,'New Resources - Individual'!$F30:$Y30)</f>
        <v>0</v>
      </c>
      <c r="Y30" s="790">
        <f>SUMIF('New Resources - Individual'!$F$6:$Y$6,Y$6,'New Resources - Individual'!$F30:$Y30)</f>
        <v>0</v>
      </c>
      <c r="Z30" s="631"/>
      <c r="AA30" s="631"/>
      <c r="AB30" s="631"/>
      <c r="AC30" s="631"/>
      <c r="AD30" s="631"/>
      <c r="AE30" s="631"/>
      <c r="AF30" s="631"/>
      <c r="AG30" s="658"/>
      <c r="AH30" s="658"/>
    </row>
    <row r="31" spans="1:34">
      <c r="A31" s="640">
        <v>340</v>
      </c>
      <c r="B31" s="789" t="s">
        <v>601</v>
      </c>
      <c r="C31" s="643">
        <v>447</v>
      </c>
      <c r="D31" s="643" t="s">
        <v>602</v>
      </c>
      <c r="E31" s="644"/>
      <c r="F31" s="668">
        <f>SUMIF('New Resources - Individual'!$F$6:$Y$6,F$6,'New Resources - Individual'!$F31:$Y31)</f>
        <v>0</v>
      </c>
      <c r="G31" s="668">
        <f>SUMIF('New Resources - Individual'!$F$6:$Y$6,G$6,'New Resources - Individual'!$F31:$Y31)</f>
        <v>0</v>
      </c>
      <c r="H31" s="668">
        <f>SUMIF('New Resources - Individual'!$F$6:$Y$6,H$6,'New Resources - Individual'!$F31:$Y31)</f>
        <v>0</v>
      </c>
      <c r="I31" s="668">
        <f>SUMIF('New Resources - Individual'!$F$6:$Y$6,I$6,'New Resources - Individual'!$F31:$Y31)</f>
        <v>0</v>
      </c>
      <c r="J31" s="669">
        <f>SUMIF('New Resources - Individual'!$F$6:$Y$6,J$6,'New Resources - Individual'!$F31:$Y31)</f>
        <v>0</v>
      </c>
      <c r="K31" s="669">
        <f>SUMIF('New Resources - Individual'!$F$6:$Y$6,K$6,'New Resources - Individual'!$F31:$Y31)</f>
        <v>0</v>
      </c>
      <c r="L31" s="669">
        <f>SUMIF('New Resources - Individual'!$F$6:$Y$6,L$6,'New Resources - Individual'!$F31:$Y31)</f>
        <v>0</v>
      </c>
      <c r="M31" s="669">
        <f>SUMIF('New Resources - Individual'!$F$6:$Y$6,M$6,'New Resources - Individual'!$F31:$Y31)</f>
        <v>0</v>
      </c>
      <c r="N31" s="669">
        <f>SUMIF('New Resources - Individual'!$F$6:$Y$6,N$6,'New Resources - Individual'!$F31:$Y31)</f>
        <v>0</v>
      </c>
      <c r="O31" s="669">
        <f>SUMIF('New Resources - Individual'!$F$6:$Y$6,O$6,'New Resources - Individual'!$F31:$Y31)</f>
        <v>0</v>
      </c>
      <c r="P31" s="669">
        <f>SUMIF('New Resources - Individual'!$F$6:$Y$6,P$6,'New Resources - Individual'!$F31:$Y31)</f>
        <v>0</v>
      </c>
      <c r="Q31" s="669">
        <f>SUMIF('New Resources - Individual'!$F$6:$Y$6,Q$6,'New Resources - Individual'!$F31:$Y31)</f>
        <v>0</v>
      </c>
      <c r="R31" s="669">
        <f>SUMIF('New Resources - Individual'!$F$6:$Y$6,R$6,'New Resources - Individual'!$F31:$Y31)</f>
        <v>0</v>
      </c>
      <c r="S31" s="669">
        <f>SUMIF('New Resources - Individual'!$F$6:$Y$6,S$6,'New Resources - Individual'!$F31:$Y31)</f>
        <v>0</v>
      </c>
      <c r="T31" s="669">
        <f>SUMIF('New Resources - Individual'!$F$6:$Y$6,T$6,'New Resources - Individual'!$F31:$Y31)</f>
        <v>0</v>
      </c>
      <c r="U31" s="669">
        <f>SUMIF('New Resources - Individual'!$F$6:$Y$6,U$6,'New Resources - Individual'!$F31:$Y31)</f>
        <v>0</v>
      </c>
      <c r="V31" s="669">
        <f>SUMIF('New Resources - Individual'!$F$6:$Y$6,V$6,'New Resources - Individual'!$F31:$Y31)</f>
        <v>0</v>
      </c>
      <c r="W31" s="669">
        <f>SUMIF('New Resources - Individual'!$F$6:$Y$6,W$6,'New Resources - Individual'!$F31:$Y31)</f>
        <v>0</v>
      </c>
      <c r="X31" s="669">
        <f>SUMIF('New Resources - Individual'!$F$6:$Y$6,X$6,'New Resources - Individual'!$F31:$Y31)</f>
        <v>0</v>
      </c>
      <c r="Y31" s="790">
        <f>SUMIF('New Resources - Individual'!$F$6:$Y$6,Y$6,'New Resources - Individual'!$F31:$Y31)</f>
        <v>0</v>
      </c>
      <c r="Z31" s="631"/>
      <c r="AA31" s="631"/>
      <c r="AB31" s="631"/>
      <c r="AC31" s="631"/>
      <c r="AD31" s="631"/>
      <c r="AE31" s="631"/>
      <c r="AF31" s="631"/>
      <c r="AG31" s="658"/>
      <c r="AH31" s="658"/>
    </row>
    <row r="32" spans="1:34">
      <c r="A32" s="640">
        <v>350</v>
      </c>
      <c r="B32" s="791" t="s">
        <v>603</v>
      </c>
      <c r="C32" s="645"/>
      <c r="D32" s="643" t="s">
        <v>602</v>
      </c>
      <c r="E32" s="644"/>
      <c r="F32" s="668">
        <f>SUMIF('New Resources - Individual'!$F$6:$Y$6,F$6,'New Resources - Individual'!$F32:$Y32)</f>
        <v>0</v>
      </c>
      <c r="G32" s="668">
        <f>SUMIF('New Resources - Individual'!$F$6:$Y$6,G$6,'New Resources - Individual'!$F32:$Y32)</f>
        <v>0</v>
      </c>
      <c r="H32" s="668">
        <f>SUMIF('New Resources - Individual'!$F$6:$Y$6,H$6,'New Resources - Individual'!$F32:$Y32)</f>
        <v>0</v>
      </c>
      <c r="I32" s="668">
        <f>SUMIF('New Resources - Individual'!$F$6:$Y$6,I$6,'New Resources - Individual'!$F32:$Y32)</f>
        <v>0</v>
      </c>
      <c r="J32" s="669">
        <f>SUMIF('New Resources - Individual'!$F$6:$Y$6,J$6,'New Resources - Individual'!$F32:$Y32)</f>
        <v>0</v>
      </c>
      <c r="K32" s="669">
        <f>SUMIF('New Resources - Individual'!$F$6:$Y$6,K$6,'New Resources - Individual'!$F32:$Y32)</f>
        <v>0</v>
      </c>
      <c r="L32" s="669">
        <f>SUMIF('New Resources - Individual'!$F$6:$Y$6,L$6,'New Resources - Individual'!$F32:$Y32)</f>
        <v>0</v>
      </c>
      <c r="M32" s="669">
        <f>SUMIF('New Resources - Individual'!$F$6:$Y$6,M$6,'New Resources - Individual'!$F32:$Y32)</f>
        <v>0</v>
      </c>
      <c r="N32" s="669">
        <f>SUMIF('New Resources - Individual'!$F$6:$Y$6,N$6,'New Resources - Individual'!$F32:$Y32)</f>
        <v>0</v>
      </c>
      <c r="O32" s="669">
        <f>SUMIF('New Resources - Individual'!$F$6:$Y$6,O$6,'New Resources - Individual'!$F32:$Y32)</f>
        <v>0</v>
      </c>
      <c r="P32" s="669">
        <f>SUMIF('New Resources - Individual'!$F$6:$Y$6,P$6,'New Resources - Individual'!$F32:$Y32)</f>
        <v>0</v>
      </c>
      <c r="Q32" s="669">
        <f>SUMIF('New Resources - Individual'!$F$6:$Y$6,Q$6,'New Resources - Individual'!$F32:$Y32)</f>
        <v>0</v>
      </c>
      <c r="R32" s="669">
        <f>SUMIF('New Resources - Individual'!$F$6:$Y$6,R$6,'New Resources - Individual'!$F32:$Y32)</f>
        <v>0</v>
      </c>
      <c r="S32" s="669">
        <f>SUMIF('New Resources - Individual'!$F$6:$Y$6,S$6,'New Resources - Individual'!$F32:$Y32)</f>
        <v>0</v>
      </c>
      <c r="T32" s="669">
        <f>SUMIF('New Resources - Individual'!$F$6:$Y$6,T$6,'New Resources - Individual'!$F32:$Y32)</f>
        <v>0</v>
      </c>
      <c r="U32" s="669">
        <f>SUMIF('New Resources - Individual'!$F$6:$Y$6,U$6,'New Resources - Individual'!$F32:$Y32)</f>
        <v>0</v>
      </c>
      <c r="V32" s="669">
        <f>SUMIF('New Resources - Individual'!$F$6:$Y$6,V$6,'New Resources - Individual'!$F32:$Y32)</f>
        <v>0</v>
      </c>
      <c r="W32" s="669">
        <f>SUMIF('New Resources - Individual'!$F$6:$Y$6,W$6,'New Resources - Individual'!$F32:$Y32)</f>
        <v>0</v>
      </c>
      <c r="X32" s="669">
        <f>SUMIF('New Resources - Individual'!$F$6:$Y$6,X$6,'New Resources - Individual'!$F32:$Y32)</f>
        <v>0</v>
      </c>
      <c r="Y32" s="790">
        <f>SUMIF('New Resources - Individual'!$F$6:$Y$6,Y$6,'New Resources - Individual'!$F32:$Y32)</f>
        <v>0</v>
      </c>
      <c r="Z32" s="631"/>
      <c r="AA32" s="631"/>
      <c r="AB32" s="631"/>
      <c r="AC32" s="631"/>
      <c r="AD32" s="631"/>
      <c r="AE32" s="631"/>
      <c r="AF32" s="631"/>
      <c r="AG32" s="658"/>
      <c r="AH32" s="658"/>
    </row>
    <row r="33" spans="1:34">
      <c r="A33" s="640">
        <v>360</v>
      </c>
      <c r="B33" s="789" t="s">
        <v>604</v>
      </c>
      <c r="C33" s="643"/>
      <c r="D33" s="643" t="s">
        <v>602</v>
      </c>
      <c r="E33" s="644"/>
      <c r="F33" s="1284">
        <f>SUMIF('New Resources - Individual'!$F$6:$Y$6,F$6,'New Resources - Individual'!$F33:$Y33)</f>
        <v>0</v>
      </c>
      <c r="G33" s="1285">
        <f>SUMIF('New Resources - Individual'!$F$6:$Y$6,G$6,'New Resources - Individual'!$F33:$Y33)</f>
        <v>0</v>
      </c>
      <c r="H33" s="1285">
        <f>SUMIF('New Resources - Individual'!$F$6:$Y$6,H$6,'New Resources - Individual'!$F33:$Y33)</f>
        <v>0</v>
      </c>
      <c r="I33" s="1285">
        <f>SUMIF('New Resources - Individual'!$F$6:$Y$6,I$6,'New Resources - Individual'!$F33:$Y33)</f>
        <v>0</v>
      </c>
      <c r="J33" s="1285">
        <f>SUMIF('New Resources - Individual'!$F$6:$Y$6,J$6,'New Resources - Individual'!$F33:$Y33)</f>
        <v>0</v>
      </c>
      <c r="K33" s="1285">
        <f>SUMIF('New Resources - Individual'!$F$6:$Y$6,K$6,'New Resources - Individual'!$F33:$Y33)</f>
        <v>0</v>
      </c>
      <c r="L33" s="1285">
        <f>SUMIF('New Resources - Individual'!$F$6:$Y$6,L$6,'New Resources - Individual'!$F33:$Y33)</f>
        <v>0</v>
      </c>
      <c r="M33" s="1285">
        <f>SUMIF('New Resources - Individual'!$F$6:$Y$6,M$6,'New Resources - Individual'!$F33:$Y33)</f>
        <v>0</v>
      </c>
      <c r="N33" s="1285">
        <f>SUMIF('New Resources - Individual'!$F$6:$Y$6,N$6,'New Resources - Individual'!$F33:$Y33)</f>
        <v>0</v>
      </c>
      <c r="O33" s="1285">
        <f>SUMIF('New Resources - Individual'!$F$6:$Y$6,O$6,'New Resources - Individual'!$F33:$Y33)</f>
        <v>0</v>
      </c>
      <c r="P33" s="1285">
        <f>SUMIF('New Resources - Individual'!$F$6:$Y$6,P$6,'New Resources - Individual'!$F33:$Y33)</f>
        <v>0</v>
      </c>
      <c r="Q33" s="1285">
        <f>SUMIF('New Resources - Individual'!$F$6:$Y$6,Q$6,'New Resources - Individual'!$F33:$Y33)</f>
        <v>0</v>
      </c>
      <c r="R33" s="1285">
        <f>SUMIF('New Resources - Individual'!$F$6:$Y$6,R$6,'New Resources - Individual'!$F33:$Y33)</f>
        <v>0</v>
      </c>
      <c r="S33" s="1285">
        <f>SUMIF('New Resources - Individual'!$F$6:$Y$6,S$6,'New Resources - Individual'!$F33:$Y33)</f>
        <v>0</v>
      </c>
      <c r="T33" s="1285">
        <f>SUMIF('New Resources - Individual'!$F$6:$Y$6,T$6,'New Resources - Individual'!$F33:$Y33)</f>
        <v>0</v>
      </c>
      <c r="U33" s="1285">
        <f>SUMIF('New Resources - Individual'!$F$6:$Y$6,U$6,'New Resources - Individual'!$F33:$Y33)</f>
        <v>0</v>
      </c>
      <c r="V33" s="1285">
        <f>SUMIF('New Resources - Individual'!$F$6:$Y$6,V$6,'New Resources - Individual'!$F33:$Y33)</f>
        <v>0</v>
      </c>
      <c r="W33" s="1285">
        <f>SUMIF('New Resources - Individual'!$F$6:$Y$6,W$6,'New Resources - Individual'!$F33:$Y33)</f>
        <v>0</v>
      </c>
      <c r="X33" s="1285">
        <f>SUMIF('New Resources - Individual'!$F$6:$Y$6,X$6,'New Resources - Individual'!$F33:$Y33)</f>
        <v>0</v>
      </c>
      <c r="Y33" s="1286">
        <f>SUMIF('New Resources - Individual'!$F$6:$Y$6,Y$6,'New Resources - Individual'!$F33:$Y33)</f>
        <v>0</v>
      </c>
      <c r="Z33" s="631"/>
      <c r="AA33" s="631"/>
      <c r="AB33" s="631"/>
      <c r="AC33" s="631"/>
      <c r="AD33" s="631"/>
      <c r="AE33" s="631"/>
      <c r="AF33" s="631"/>
      <c r="AG33" s="658"/>
      <c r="AH33" s="658"/>
    </row>
    <row r="34" spans="1:34">
      <c r="A34" s="640">
        <v>370</v>
      </c>
      <c r="B34" s="792" t="s">
        <v>608</v>
      </c>
      <c r="C34" s="646"/>
      <c r="D34" s="646"/>
      <c r="E34" s="647"/>
      <c r="F34" s="1282"/>
      <c r="G34" s="1282"/>
      <c r="H34" s="1282"/>
      <c r="I34" s="1282"/>
      <c r="J34" s="1282"/>
      <c r="K34" s="1282"/>
      <c r="L34" s="1282"/>
      <c r="M34" s="1282"/>
      <c r="N34" s="1282"/>
      <c r="O34" s="1282"/>
      <c r="P34" s="1282"/>
      <c r="Q34" s="1282"/>
      <c r="R34" s="1282"/>
      <c r="S34" s="1282"/>
      <c r="T34" s="1282"/>
      <c r="U34" s="1282"/>
      <c r="V34" s="1282"/>
      <c r="W34" s="1282"/>
      <c r="X34" s="1282"/>
      <c r="Y34" s="1283"/>
      <c r="Z34" s="631"/>
      <c r="AA34" s="631"/>
      <c r="AB34" s="631"/>
      <c r="AC34" s="631"/>
      <c r="AD34" s="631"/>
      <c r="AE34" s="631"/>
      <c r="AF34" s="631"/>
      <c r="AG34" s="658"/>
      <c r="AH34" s="658"/>
    </row>
    <row r="35" spans="1:34">
      <c r="A35" s="640">
        <v>380</v>
      </c>
      <c r="B35" s="789" t="s">
        <v>115</v>
      </c>
      <c r="C35" s="643" t="s">
        <v>116</v>
      </c>
      <c r="D35" s="643"/>
      <c r="E35" s="644"/>
      <c r="F35" s="668">
        <f>SUMIF('New Resources - Individual'!$F$6:$Y$6,F$6,'New Resources - Individual'!$F35:$Y35)</f>
        <v>0</v>
      </c>
      <c r="G35" s="668">
        <f>SUMIF('New Resources - Individual'!$F$6:$Y$6,G$6,'New Resources - Individual'!$F35:$Y35)</f>
        <v>0</v>
      </c>
      <c r="H35" s="668">
        <f>SUMIF('New Resources - Individual'!$F$6:$Y$6,H$6,'New Resources - Individual'!$F35:$Y35)</f>
        <v>0</v>
      </c>
      <c r="I35" s="668">
        <f>SUMIF('New Resources - Individual'!$F$6:$Y$6,I$6,'New Resources - Individual'!$F35:$Y35)</f>
        <v>0</v>
      </c>
      <c r="J35" s="668">
        <f>SUMIF('New Resources - Individual'!$F$6:$Y$6,J$6,'New Resources - Individual'!$F35:$Y35)</f>
        <v>0</v>
      </c>
      <c r="K35" s="668">
        <f>SUMIF('New Resources - Individual'!$F$6:$Y$6,K$6,'New Resources - Individual'!$F35:$Y35)</f>
        <v>0</v>
      </c>
      <c r="L35" s="668">
        <f>SUMIF('New Resources - Individual'!$F$6:$Y$6,L$6,'New Resources - Individual'!$F35:$Y35)</f>
        <v>0</v>
      </c>
      <c r="M35" s="668">
        <f>SUMIF('New Resources - Individual'!$F$6:$Y$6,M$6,'New Resources - Individual'!$F35:$Y35)</f>
        <v>0</v>
      </c>
      <c r="N35" s="668">
        <f>SUMIF('New Resources - Individual'!$F$6:$Y$6,N$6,'New Resources - Individual'!$F35:$Y35)</f>
        <v>0</v>
      </c>
      <c r="O35" s="669">
        <f>SUMIF('New Resources - Individual'!$F$6:$Y$6,O$6,'New Resources - Individual'!$F35:$Y35)</f>
        <v>0</v>
      </c>
      <c r="P35" s="669">
        <f>SUMIF('New Resources - Individual'!$F$6:$Y$6,P$6,'New Resources - Individual'!$F35:$Y35)</f>
        <v>0</v>
      </c>
      <c r="Q35" s="669">
        <f>SUMIF('New Resources - Individual'!$F$6:$Y$6,Q$6,'New Resources - Individual'!$F35:$Y35)</f>
        <v>0</v>
      </c>
      <c r="R35" s="669">
        <f>SUMIF('New Resources - Individual'!$F$6:$Y$6,R$6,'New Resources - Individual'!$F35:$Y35)</f>
        <v>0</v>
      </c>
      <c r="S35" s="669">
        <f>SUMIF('New Resources - Individual'!$F$6:$Y$6,S$6,'New Resources - Individual'!$F35:$Y35)</f>
        <v>0</v>
      </c>
      <c r="T35" s="669">
        <f>SUMIF('New Resources - Individual'!$F$6:$Y$6,T$6,'New Resources - Individual'!$F35:$Y35)</f>
        <v>0</v>
      </c>
      <c r="U35" s="669">
        <f>SUMIF('New Resources - Individual'!$F$6:$Y$6,U$6,'New Resources - Individual'!$F35:$Y35)</f>
        <v>0</v>
      </c>
      <c r="V35" s="669">
        <f>SUMIF('New Resources - Individual'!$F$6:$Y$6,V$6,'New Resources - Individual'!$F35:$Y35)</f>
        <v>0</v>
      </c>
      <c r="W35" s="669">
        <f>SUMIF('New Resources - Individual'!$F$6:$Y$6,W$6,'New Resources - Individual'!$F35:$Y35)</f>
        <v>0</v>
      </c>
      <c r="X35" s="669">
        <f>SUMIF('New Resources - Individual'!$F$6:$Y$6,X$6,'New Resources - Individual'!$F35:$Y35)</f>
        <v>0</v>
      </c>
      <c r="Y35" s="790">
        <f>SUMIF('New Resources - Individual'!$F$6:$Y$6,Y$6,'New Resources - Individual'!$F35:$Y35)</f>
        <v>0</v>
      </c>
      <c r="Z35" s="631"/>
      <c r="AA35" s="631"/>
      <c r="AB35" s="631"/>
      <c r="AC35" s="631"/>
      <c r="AD35" s="631"/>
      <c r="AE35" s="631"/>
      <c r="AF35" s="631"/>
      <c r="AG35" s="658"/>
      <c r="AH35" s="658"/>
    </row>
    <row r="36" spans="1:34">
      <c r="A36" s="640">
        <v>390</v>
      </c>
      <c r="B36" s="791" t="s">
        <v>79</v>
      </c>
      <c r="C36" s="643">
        <v>154</v>
      </c>
      <c r="D36" s="643"/>
      <c r="E36" s="644"/>
      <c r="F36" s="668">
        <f>SUMIF('New Resources - Individual'!$F$6:$Y$6,F$6,'New Resources - Individual'!$F36:$Y36)</f>
        <v>0</v>
      </c>
      <c r="G36" s="668">
        <f>SUMIF('New Resources - Individual'!$F$6:$Y$6,G$6,'New Resources - Individual'!$F36:$Y36)</f>
        <v>0</v>
      </c>
      <c r="H36" s="669">
        <f>SUMIF('New Resources - Individual'!$F$6:$Y$6,H$6,'New Resources - Individual'!$F36:$Y36)</f>
        <v>0</v>
      </c>
      <c r="I36" s="668">
        <f>SUMIF('New Resources - Individual'!$F$6:$Y$6,I$6,'New Resources - Individual'!$F36:$Y36)</f>
        <v>0</v>
      </c>
      <c r="J36" s="669">
        <f>SUMIF('New Resources - Individual'!$F$6:$Y$6,J$6,'New Resources - Individual'!$F36:$Y36)</f>
        <v>0</v>
      </c>
      <c r="K36" s="669">
        <f>SUMIF('New Resources - Individual'!$F$6:$Y$6,K$6,'New Resources - Individual'!$F36:$Y36)</f>
        <v>0</v>
      </c>
      <c r="L36" s="669">
        <f>SUMIF('New Resources - Individual'!$F$6:$Y$6,L$6,'New Resources - Individual'!$F36:$Y36)</f>
        <v>0</v>
      </c>
      <c r="M36" s="669">
        <f>SUMIF('New Resources - Individual'!$F$6:$Y$6,M$6,'New Resources - Individual'!$F36:$Y36)</f>
        <v>0</v>
      </c>
      <c r="N36" s="669">
        <f>SUMIF('New Resources - Individual'!$F$6:$Y$6,N$6,'New Resources - Individual'!$F36:$Y36)</f>
        <v>0</v>
      </c>
      <c r="O36" s="669">
        <f>SUMIF('New Resources - Individual'!$F$6:$Y$6,O$6,'New Resources - Individual'!$F36:$Y36)</f>
        <v>0</v>
      </c>
      <c r="P36" s="669">
        <f>SUMIF('New Resources - Individual'!$F$6:$Y$6,P$6,'New Resources - Individual'!$F36:$Y36)</f>
        <v>0</v>
      </c>
      <c r="Q36" s="669">
        <f>SUMIF('New Resources - Individual'!$F$6:$Y$6,Q$6,'New Resources - Individual'!$F36:$Y36)</f>
        <v>0</v>
      </c>
      <c r="R36" s="669">
        <f>SUMIF('New Resources - Individual'!$F$6:$Y$6,R$6,'New Resources - Individual'!$F36:$Y36)</f>
        <v>0</v>
      </c>
      <c r="S36" s="669">
        <f>SUMIF('New Resources - Individual'!$F$6:$Y$6,S$6,'New Resources - Individual'!$F36:$Y36)</f>
        <v>0</v>
      </c>
      <c r="T36" s="669">
        <f>SUMIF('New Resources - Individual'!$F$6:$Y$6,T$6,'New Resources - Individual'!$F36:$Y36)</f>
        <v>0</v>
      </c>
      <c r="U36" s="669">
        <f>SUMIF('New Resources - Individual'!$F$6:$Y$6,U$6,'New Resources - Individual'!$F36:$Y36)</f>
        <v>0</v>
      </c>
      <c r="V36" s="669">
        <f>SUMIF('New Resources - Individual'!$F$6:$Y$6,V$6,'New Resources - Individual'!$F36:$Y36)</f>
        <v>0</v>
      </c>
      <c r="W36" s="669">
        <f>SUMIF('New Resources - Individual'!$F$6:$Y$6,W$6,'New Resources - Individual'!$F36:$Y36)</f>
        <v>0</v>
      </c>
      <c r="X36" s="669">
        <f>SUMIF('New Resources - Individual'!$F$6:$Y$6,X$6,'New Resources - Individual'!$F36:$Y36)</f>
        <v>0</v>
      </c>
      <c r="Y36" s="790">
        <f>SUMIF('New Resources - Individual'!$F$6:$Y$6,Y$6,'New Resources - Individual'!$F36:$Y36)</f>
        <v>0</v>
      </c>
      <c r="Z36" s="631"/>
      <c r="AA36" s="631"/>
      <c r="AB36" s="631"/>
      <c r="AC36" s="631"/>
      <c r="AD36" s="631"/>
      <c r="AE36" s="631"/>
      <c r="AF36" s="631"/>
      <c r="AG36" s="658"/>
      <c r="AH36" s="658"/>
    </row>
    <row r="37" spans="1:34">
      <c r="A37" s="640">
        <v>400</v>
      </c>
      <c r="B37" s="792" t="s">
        <v>609</v>
      </c>
      <c r="C37" s="646"/>
      <c r="D37" s="646"/>
      <c r="E37" s="647"/>
      <c r="F37" s="671"/>
      <c r="G37" s="671"/>
      <c r="H37" s="671"/>
      <c r="I37" s="671"/>
      <c r="J37" s="671"/>
      <c r="K37" s="671"/>
      <c r="L37" s="671"/>
      <c r="M37" s="671"/>
      <c r="N37" s="671"/>
      <c r="O37" s="671"/>
      <c r="P37" s="671"/>
      <c r="Q37" s="671"/>
      <c r="R37" s="671"/>
      <c r="S37" s="671"/>
      <c r="T37" s="671"/>
      <c r="U37" s="671"/>
      <c r="V37" s="671"/>
      <c r="W37" s="671"/>
      <c r="X37" s="671"/>
      <c r="Y37" s="793"/>
      <c r="Z37" s="631"/>
      <c r="AA37" s="631"/>
      <c r="AB37" s="631"/>
      <c r="AC37" s="631"/>
      <c r="AD37" s="631"/>
      <c r="AE37" s="631"/>
      <c r="AF37" s="631"/>
      <c r="AG37" s="658"/>
      <c r="AH37" s="658"/>
    </row>
    <row r="38" spans="1:34">
      <c r="A38" s="640">
        <v>410</v>
      </c>
      <c r="B38" s="794" t="s">
        <v>86</v>
      </c>
      <c r="C38" s="643" t="s">
        <v>610</v>
      </c>
      <c r="D38" s="643"/>
      <c r="E38" s="649"/>
      <c r="F38" s="668">
        <f>SUMIF('New Resources - Individual'!$F$6:$Y$6,F$6,'New Resources - Individual'!$F38:$Y38)</f>
        <v>0</v>
      </c>
      <c r="G38" s="668">
        <f>SUMIF('New Resources - Individual'!$F$6:$Y$6,G$6,'New Resources - Individual'!$F38:$Y38)</f>
        <v>0</v>
      </c>
      <c r="H38" s="669">
        <f>SUMIF('New Resources - Individual'!$F$6:$Y$6,H$6,'New Resources - Individual'!$F38:$Y38)</f>
        <v>0</v>
      </c>
      <c r="I38" s="668">
        <f>SUMIF('New Resources - Individual'!$F$6:$Y$6,I$6,'New Resources - Individual'!$F38:$Y38)</f>
        <v>0</v>
      </c>
      <c r="J38" s="669">
        <f>SUMIF('New Resources - Individual'!$F$6:$Y$6,J$6,'New Resources - Individual'!$F38:$Y38)</f>
        <v>0</v>
      </c>
      <c r="K38" s="669">
        <f>SUMIF('New Resources - Individual'!$F$6:$Y$6,K$6,'New Resources - Individual'!$F38:$Y38)</f>
        <v>0</v>
      </c>
      <c r="L38" s="669">
        <f>SUMIF('New Resources - Individual'!$F$6:$Y$6,L$6,'New Resources - Individual'!$F38:$Y38)</f>
        <v>0</v>
      </c>
      <c r="M38" s="669">
        <f>SUMIF('New Resources - Individual'!$F$6:$Y$6,M$6,'New Resources - Individual'!$F38:$Y38)</f>
        <v>0</v>
      </c>
      <c r="N38" s="669">
        <f>SUMIF('New Resources - Individual'!$F$6:$Y$6,N$6,'New Resources - Individual'!$F38:$Y38)</f>
        <v>0</v>
      </c>
      <c r="O38" s="669">
        <f>SUMIF('New Resources - Individual'!$F$6:$Y$6,O$6,'New Resources - Individual'!$F38:$Y38)</f>
        <v>0</v>
      </c>
      <c r="P38" s="669">
        <f>SUMIF('New Resources - Individual'!$F$6:$Y$6,P$6,'New Resources - Individual'!$F38:$Y38)</f>
        <v>0</v>
      </c>
      <c r="Q38" s="669">
        <f>SUMIF('New Resources - Individual'!$F$6:$Y$6,Q$6,'New Resources - Individual'!$F38:$Y38)</f>
        <v>0</v>
      </c>
      <c r="R38" s="669">
        <f>SUMIF('New Resources - Individual'!$F$6:$Y$6,R$6,'New Resources - Individual'!$F38:$Y38)</f>
        <v>0</v>
      </c>
      <c r="S38" s="669">
        <f>SUMIF('New Resources - Individual'!$F$6:$Y$6,S$6,'New Resources - Individual'!$F38:$Y38)</f>
        <v>0</v>
      </c>
      <c r="T38" s="669">
        <f>SUMIF('New Resources - Individual'!$F$6:$Y$6,T$6,'New Resources - Individual'!$F38:$Y38)</f>
        <v>0</v>
      </c>
      <c r="U38" s="669">
        <f>SUMIF('New Resources - Individual'!$F$6:$Y$6,U$6,'New Resources - Individual'!$F38:$Y38)</f>
        <v>0</v>
      </c>
      <c r="V38" s="669">
        <f>SUMIF('New Resources - Individual'!$F$6:$Y$6,V$6,'New Resources - Individual'!$F38:$Y38)</f>
        <v>0</v>
      </c>
      <c r="W38" s="669">
        <f>SUMIF('New Resources - Individual'!$F$6:$Y$6,W$6,'New Resources - Individual'!$F38:$Y38)</f>
        <v>0</v>
      </c>
      <c r="X38" s="669">
        <f>SUMIF('New Resources - Individual'!$F$6:$Y$6,X$6,'New Resources - Individual'!$F38:$Y38)</f>
        <v>0</v>
      </c>
      <c r="Y38" s="790">
        <f>SUMIF('New Resources - Individual'!$F$6:$Y$6,Y$6,'New Resources - Individual'!$F38:$Y38)</f>
        <v>0</v>
      </c>
      <c r="Z38" s="631"/>
      <c r="AA38" s="631"/>
      <c r="AB38" s="631"/>
      <c r="AC38" s="631"/>
      <c r="AD38" s="631"/>
      <c r="AE38" s="631"/>
      <c r="AF38" s="631"/>
      <c r="AG38" s="658"/>
      <c r="AH38" s="658"/>
    </row>
    <row r="39" spans="1:34">
      <c r="A39" s="640">
        <v>420</v>
      </c>
      <c r="B39" s="794" t="s">
        <v>87</v>
      </c>
      <c r="C39" s="643" t="s">
        <v>611</v>
      </c>
      <c r="D39" s="643"/>
      <c r="E39" s="649"/>
      <c r="F39" s="668">
        <f>SUMIF('New Resources - Individual'!$F$6:$Y$6,F$6,'New Resources - Individual'!$F39:$Y39)</f>
        <v>0</v>
      </c>
      <c r="G39" s="668">
        <f>SUMIF('New Resources - Individual'!$F$6:$Y$6,G$6,'New Resources - Individual'!$F39:$Y39)</f>
        <v>0</v>
      </c>
      <c r="H39" s="669">
        <f>SUMIF('New Resources - Individual'!$F$6:$Y$6,H$6,'New Resources - Individual'!$F39:$Y39)</f>
        <v>0</v>
      </c>
      <c r="I39" s="668">
        <f>SUMIF('New Resources - Individual'!$F$6:$Y$6,I$6,'New Resources - Individual'!$F39:$Y39)</f>
        <v>0</v>
      </c>
      <c r="J39" s="669">
        <f>SUMIF('New Resources - Individual'!$F$6:$Y$6,J$6,'New Resources - Individual'!$F39:$Y39)</f>
        <v>0</v>
      </c>
      <c r="K39" s="669">
        <f>SUMIF('New Resources - Individual'!$F$6:$Y$6,K$6,'New Resources - Individual'!$F39:$Y39)</f>
        <v>0</v>
      </c>
      <c r="L39" s="669">
        <f>SUMIF('New Resources - Individual'!$F$6:$Y$6,L$6,'New Resources - Individual'!$F39:$Y39)</f>
        <v>0</v>
      </c>
      <c r="M39" s="669">
        <f>SUMIF('New Resources - Individual'!$F$6:$Y$6,M$6,'New Resources - Individual'!$F39:$Y39)</f>
        <v>0</v>
      </c>
      <c r="N39" s="669">
        <f>SUMIF('New Resources - Individual'!$F$6:$Y$6,N$6,'New Resources - Individual'!$F39:$Y39)</f>
        <v>0</v>
      </c>
      <c r="O39" s="669">
        <f>SUMIF('New Resources - Individual'!$F$6:$Y$6,O$6,'New Resources - Individual'!$F39:$Y39)</f>
        <v>0</v>
      </c>
      <c r="P39" s="669">
        <f>SUMIF('New Resources - Individual'!$F$6:$Y$6,P$6,'New Resources - Individual'!$F39:$Y39)</f>
        <v>0</v>
      </c>
      <c r="Q39" s="669">
        <f>SUMIF('New Resources - Individual'!$F$6:$Y$6,Q$6,'New Resources - Individual'!$F39:$Y39)</f>
        <v>0</v>
      </c>
      <c r="R39" s="669">
        <f>SUMIF('New Resources - Individual'!$F$6:$Y$6,R$6,'New Resources - Individual'!$F39:$Y39)</f>
        <v>0</v>
      </c>
      <c r="S39" s="669">
        <f>SUMIF('New Resources - Individual'!$F$6:$Y$6,S$6,'New Resources - Individual'!$F39:$Y39)</f>
        <v>0</v>
      </c>
      <c r="T39" s="669">
        <f>SUMIF('New Resources - Individual'!$F$6:$Y$6,T$6,'New Resources - Individual'!$F39:$Y39)</f>
        <v>0</v>
      </c>
      <c r="U39" s="669">
        <f>SUMIF('New Resources - Individual'!$F$6:$Y$6,U$6,'New Resources - Individual'!$F39:$Y39)</f>
        <v>0</v>
      </c>
      <c r="V39" s="669">
        <f>SUMIF('New Resources - Individual'!$F$6:$Y$6,V$6,'New Resources - Individual'!$F39:$Y39)</f>
        <v>0</v>
      </c>
      <c r="W39" s="669">
        <f>SUMIF('New Resources - Individual'!$F$6:$Y$6,W$6,'New Resources - Individual'!$F39:$Y39)</f>
        <v>0</v>
      </c>
      <c r="X39" s="669">
        <f>SUMIF('New Resources - Individual'!$F$6:$Y$6,X$6,'New Resources - Individual'!$F39:$Y39)</f>
        <v>0</v>
      </c>
      <c r="Y39" s="790">
        <f>SUMIF('New Resources - Individual'!$F$6:$Y$6,Y$6,'New Resources - Individual'!$F39:$Y39)</f>
        <v>0</v>
      </c>
      <c r="Z39" s="631"/>
      <c r="AA39" s="631"/>
      <c r="AB39" s="631"/>
      <c r="AC39" s="631"/>
      <c r="AD39" s="631"/>
      <c r="AE39" s="631"/>
      <c r="AF39" s="631"/>
      <c r="AG39" s="658"/>
      <c r="AH39" s="658"/>
    </row>
    <row r="40" spans="1:34">
      <c r="A40" s="640">
        <v>430</v>
      </c>
      <c r="B40" s="794" t="s">
        <v>167</v>
      </c>
      <c r="C40" s="643">
        <v>924</v>
      </c>
      <c r="D40" s="643"/>
      <c r="E40" s="649"/>
      <c r="F40" s="668">
        <f>SUMIF('New Resources - Individual'!$F$6:$Y$6,F$6,'New Resources - Individual'!$F40:$Y40)</f>
        <v>0</v>
      </c>
      <c r="G40" s="668">
        <f>SUMIF('New Resources - Individual'!$F$6:$Y$6,G$6,'New Resources - Individual'!$F40:$Y40)</f>
        <v>0</v>
      </c>
      <c r="H40" s="669">
        <f>SUMIF('New Resources - Individual'!$F$6:$Y$6,H$6,'New Resources - Individual'!$F40:$Y40)</f>
        <v>0</v>
      </c>
      <c r="I40" s="668">
        <f>SUMIF('New Resources - Individual'!$F$6:$Y$6,I$6,'New Resources - Individual'!$F40:$Y40)</f>
        <v>0</v>
      </c>
      <c r="J40" s="669">
        <f>SUMIF('New Resources - Individual'!$F$6:$Y$6,J$6,'New Resources - Individual'!$F40:$Y40)</f>
        <v>0</v>
      </c>
      <c r="K40" s="669">
        <f>SUMIF('New Resources - Individual'!$F$6:$Y$6,K$6,'New Resources - Individual'!$F40:$Y40)</f>
        <v>0</v>
      </c>
      <c r="L40" s="669">
        <f>SUMIF('New Resources - Individual'!$F$6:$Y$6,L$6,'New Resources - Individual'!$F40:$Y40)</f>
        <v>0</v>
      </c>
      <c r="M40" s="669">
        <f>SUMIF('New Resources - Individual'!$F$6:$Y$6,M$6,'New Resources - Individual'!$F40:$Y40)</f>
        <v>0</v>
      </c>
      <c r="N40" s="669">
        <f>SUMIF('New Resources - Individual'!$F$6:$Y$6,N$6,'New Resources - Individual'!$F40:$Y40)</f>
        <v>0</v>
      </c>
      <c r="O40" s="669">
        <f>SUMIF('New Resources - Individual'!$F$6:$Y$6,O$6,'New Resources - Individual'!$F40:$Y40)</f>
        <v>0</v>
      </c>
      <c r="P40" s="669">
        <f>SUMIF('New Resources - Individual'!$F$6:$Y$6,P$6,'New Resources - Individual'!$F40:$Y40)</f>
        <v>0</v>
      </c>
      <c r="Q40" s="669">
        <f>SUMIF('New Resources - Individual'!$F$6:$Y$6,Q$6,'New Resources - Individual'!$F40:$Y40)</f>
        <v>0</v>
      </c>
      <c r="R40" s="669">
        <f>SUMIF('New Resources - Individual'!$F$6:$Y$6,R$6,'New Resources - Individual'!$F40:$Y40)</f>
        <v>0</v>
      </c>
      <c r="S40" s="669">
        <f>SUMIF('New Resources - Individual'!$F$6:$Y$6,S$6,'New Resources - Individual'!$F40:$Y40)</f>
        <v>0</v>
      </c>
      <c r="T40" s="669">
        <f>SUMIF('New Resources - Individual'!$F$6:$Y$6,T$6,'New Resources - Individual'!$F40:$Y40)</f>
        <v>0</v>
      </c>
      <c r="U40" s="669">
        <f>SUMIF('New Resources - Individual'!$F$6:$Y$6,U$6,'New Resources - Individual'!$F40:$Y40)</f>
        <v>0</v>
      </c>
      <c r="V40" s="669">
        <f>SUMIF('New Resources - Individual'!$F$6:$Y$6,V$6,'New Resources - Individual'!$F40:$Y40)</f>
        <v>0</v>
      </c>
      <c r="W40" s="669">
        <f>SUMIF('New Resources - Individual'!$F$6:$Y$6,W$6,'New Resources - Individual'!$F40:$Y40)</f>
        <v>0</v>
      </c>
      <c r="X40" s="669">
        <f>SUMIF('New Resources - Individual'!$F$6:$Y$6,X$6,'New Resources - Individual'!$F40:$Y40)</f>
        <v>0</v>
      </c>
      <c r="Y40" s="790">
        <f>SUMIF('New Resources - Individual'!$F$6:$Y$6,Y$6,'New Resources - Individual'!$F40:$Y40)</f>
        <v>0</v>
      </c>
      <c r="Z40" s="631"/>
      <c r="AA40" s="631"/>
      <c r="AB40" s="631"/>
      <c r="AC40" s="631"/>
      <c r="AD40" s="631"/>
      <c r="AE40" s="631"/>
      <c r="AF40" s="631"/>
      <c r="AG40" s="658"/>
      <c r="AH40" s="658"/>
    </row>
    <row r="41" spans="1:34">
      <c r="A41" s="640">
        <v>520</v>
      </c>
      <c r="B41" s="789" t="s">
        <v>601</v>
      </c>
      <c r="C41" s="643">
        <v>447</v>
      </c>
      <c r="D41" s="643" t="s">
        <v>602</v>
      </c>
      <c r="E41" s="644"/>
      <c r="F41" s="668">
        <f>SUMIF('New Resources - Individual'!$F$6:$Y$6,F$6,'New Resources - Individual'!$F41:$Y41)</f>
        <v>0</v>
      </c>
      <c r="G41" s="668">
        <f>SUMIF('New Resources - Individual'!$F$6:$Y$6,G$6,'New Resources - Individual'!$F41:$Y41)</f>
        <v>0</v>
      </c>
      <c r="H41" s="669">
        <f>SUMIF('New Resources - Individual'!$F$6:$Y$6,H$6,'New Resources - Individual'!$F41:$Y41)</f>
        <v>0</v>
      </c>
      <c r="I41" s="668">
        <f>SUMIF('New Resources - Individual'!$F$6:$Y$6,I$6,'New Resources - Individual'!$F41:$Y41)</f>
        <v>0</v>
      </c>
      <c r="J41" s="669">
        <f>SUMIF('New Resources - Individual'!$F$6:$Y$6,J$6,'New Resources - Individual'!$F41:$Y41)</f>
        <v>0</v>
      </c>
      <c r="K41" s="669">
        <f>SUMIF('New Resources - Individual'!$F$6:$Y$6,K$6,'New Resources - Individual'!$F41:$Y41)</f>
        <v>0</v>
      </c>
      <c r="L41" s="669">
        <f>SUMIF('New Resources - Individual'!$F$6:$Y$6,L$6,'New Resources - Individual'!$F41:$Y41)</f>
        <v>0</v>
      </c>
      <c r="M41" s="669">
        <f>SUMIF('New Resources - Individual'!$F$6:$Y$6,M$6,'New Resources - Individual'!$F41:$Y41)</f>
        <v>0</v>
      </c>
      <c r="N41" s="669">
        <f>SUMIF('New Resources - Individual'!$F$6:$Y$6,N$6,'New Resources - Individual'!$F41:$Y41)</f>
        <v>0</v>
      </c>
      <c r="O41" s="669">
        <f>SUMIF('New Resources - Individual'!$F$6:$Y$6,O$6,'New Resources - Individual'!$F41:$Y41)</f>
        <v>0</v>
      </c>
      <c r="P41" s="669">
        <f>SUMIF('New Resources - Individual'!$F$6:$Y$6,P$6,'New Resources - Individual'!$F41:$Y41)</f>
        <v>0</v>
      </c>
      <c r="Q41" s="669">
        <f>SUMIF('New Resources - Individual'!$F$6:$Y$6,Q$6,'New Resources - Individual'!$F41:$Y41)</f>
        <v>0</v>
      </c>
      <c r="R41" s="669">
        <f>SUMIF('New Resources - Individual'!$F$6:$Y$6,R$6,'New Resources - Individual'!$F41:$Y41)</f>
        <v>0</v>
      </c>
      <c r="S41" s="669">
        <f>SUMIF('New Resources - Individual'!$F$6:$Y$6,S$6,'New Resources - Individual'!$F41:$Y41)</f>
        <v>0</v>
      </c>
      <c r="T41" s="669">
        <f>SUMIF('New Resources - Individual'!$F$6:$Y$6,T$6,'New Resources - Individual'!$F41:$Y41)</f>
        <v>0</v>
      </c>
      <c r="U41" s="669">
        <f>SUMIF('New Resources - Individual'!$F$6:$Y$6,U$6,'New Resources - Individual'!$F41:$Y41)</f>
        <v>0</v>
      </c>
      <c r="V41" s="669">
        <f>SUMIF('New Resources - Individual'!$F$6:$Y$6,V$6,'New Resources - Individual'!$F41:$Y41)</f>
        <v>0</v>
      </c>
      <c r="W41" s="669">
        <f>SUMIF('New Resources - Individual'!$F$6:$Y$6,W$6,'New Resources - Individual'!$F41:$Y41)</f>
        <v>0</v>
      </c>
      <c r="X41" s="669">
        <f>SUMIF('New Resources - Individual'!$F$6:$Y$6,X$6,'New Resources - Individual'!$F41:$Y41)</f>
        <v>0</v>
      </c>
      <c r="Y41" s="790">
        <f>SUMIF('New Resources - Individual'!$F$6:$Y$6,Y$6,'New Resources - Individual'!$F41:$Y41)</f>
        <v>0</v>
      </c>
      <c r="Z41" s="631"/>
      <c r="AA41" s="631"/>
      <c r="AB41" s="631"/>
      <c r="AC41" s="631"/>
      <c r="AD41" s="631"/>
      <c r="AE41" s="631"/>
      <c r="AF41" s="631"/>
      <c r="AG41" s="658"/>
      <c r="AH41" s="658"/>
    </row>
    <row r="42" spans="1:34">
      <c r="A42" s="640">
        <v>530</v>
      </c>
      <c r="B42" s="791" t="s">
        <v>603</v>
      </c>
      <c r="C42" s="645"/>
      <c r="D42" s="643" t="s">
        <v>602</v>
      </c>
      <c r="E42" s="644"/>
      <c r="F42" s="668">
        <f>SUMIF('New Resources - Individual'!$F$6:$Y$6,F$6,'New Resources - Individual'!$F42:$Y42)</f>
        <v>0</v>
      </c>
      <c r="G42" s="668">
        <f>SUMIF('New Resources - Individual'!$F$6:$Y$6,G$6,'New Resources - Individual'!$F42:$Y42)</f>
        <v>0</v>
      </c>
      <c r="H42" s="669">
        <f>SUMIF('New Resources - Individual'!$F$6:$Y$6,H$6,'New Resources - Individual'!$F42:$Y42)</f>
        <v>0</v>
      </c>
      <c r="I42" s="668">
        <f>SUMIF('New Resources - Individual'!$F$6:$Y$6,I$6,'New Resources - Individual'!$F42:$Y42)</f>
        <v>0</v>
      </c>
      <c r="J42" s="669">
        <f>SUMIF('New Resources - Individual'!$F$6:$Y$6,J$6,'New Resources - Individual'!$F42:$Y42)</f>
        <v>0</v>
      </c>
      <c r="K42" s="669">
        <f>SUMIF('New Resources - Individual'!$F$6:$Y$6,K$6,'New Resources - Individual'!$F42:$Y42)</f>
        <v>0</v>
      </c>
      <c r="L42" s="669">
        <f>SUMIF('New Resources - Individual'!$F$6:$Y$6,L$6,'New Resources - Individual'!$F42:$Y42)</f>
        <v>0</v>
      </c>
      <c r="M42" s="669">
        <f>SUMIF('New Resources - Individual'!$F$6:$Y$6,M$6,'New Resources - Individual'!$F42:$Y42)</f>
        <v>0</v>
      </c>
      <c r="N42" s="669">
        <f>SUMIF('New Resources - Individual'!$F$6:$Y$6,N$6,'New Resources - Individual'!$F42:$Y42)</f>
        <v>0</v>
      </c>
      <c r="O42" s="669">
        <f>SUMIF('New Resources - Individual'!$F$6:$Y$6,O$6,'New Resources - Individual'!$F42:$Y42)</f>
        <v>0</v>
      </c>
      <c r="P42" s="669">
        <f>SUMIF('New Resources - Individual'!$F$6:$Y$6,P$6,'New Resources - Individual'!$F42:$Y42)</f>
        <v>0</v>
      </c>
      <c r="Q42" s="669">
        <f>SUMIF('New Resources - Individual'!$F$6:$Y$6,Q$6,'New Resources - Individual'!$F42:$Y42)</f>
        <v>0</v>
      </c>
      <c r="R42" s="669">
        <f>SUMIF('New Resources - Individual'!$F$6:$Y$6,R$6,'New Resources - Individual'!$F42:$Y42)</f>
        <v>0</v>
      </c>
      <c r="S42" s="669">
        <f>SUMIF('New Resources - Individual'!$F$6:$Y$6,S$6,'New Resources - Individual'!$F42:$Y42)</f>
        <v>0</v>
      </c>
      <c r="T42" s="669">
        <f>SUMIF('New Resources - Individual'!$F$6:$Y$6,T$6,'New Resources - Individual'!$F42:$Y42)</f>
        <v>0</v>
      </c>
      <c r="U42" s="669">
        <f>SUMIF('New Resources - Individual'!$F$6:$Y$6,U$6,'New Resources - Individual'!$F42:$Y42)</f>
        <v>0</v>
      </c>
      <c r="V42" s="669">
        <f>SUMIF('New Resources - Individual'!$F$6:$Y$6,V$6,'New Resources - Individual'!$F42:$Y42)</f>
        <v>0</v>
      </c>
      <c r="W42" s="669">
        <f>SUMIF('New Resources - Individual'!$F$6:$Y$6,W$6,'New Resources - Individual'!$F42:$Y42)</f>
        <v>0</v>
      </c>
      <c r="X42" s="669">
        <f>SUMIF('New Resources - Individual'!$F$6:$Y$6,X$6,'New Resources - Individual'!$F42:$Y42)</f>
        <v>0</v>
      </c>
      <c r="Y42" s="790">
        <f>SUMIF('New Resources - Individual'!$F$6:$Y$6,Y$6,'New Resources - Individual'!$F42:$Y42)</f>
        <v>0</v>
      </c>
      <c r="Z42" s="631"/>
      <c r="AA42" s="631"/>
      <c r="AB42" s="631"/>
      <c r="AC42" s="631"/>
      <c r="AD42" s="631"/>
      <c r="AE42" s="631"/>
      <c r="AF42" s="631"/>
      <c r="AG42" s="658"/>
      <c r="AH42" s="658"/>
    </row>
    <row r="43" spans="1:34">
      <c r="A43" s="640">
        <v>540</v>
      </c>
      <c r="B43" s="789" t="s">
        <v>604</v>
      </c>
      <c r="C43" s="643"/>
      <c r="D43" s="643" t="s">
        <v>602</v>
      </c>
      <c r="E43" s="644"/>
      <c r="F43" s="668">
        <f>SUMIF('New Resources - Individual'!$F$6:$Y$6,F$6,'New Resources - Individual'!$F43:$Y43)</f>
        <v>0</v>
      </c>
      <c r="G43" s="668">
        <f>SUMIF('New Resources - Individual'!$F$6:$Y$6,G$6,'New Resources - Individual'!$F43:$Y43)</f>
        <v>0</v>
      </c>
      <c r="H43" s="669">
        <f>SUMIF('New Resources - Individual'!$F$6:$Y$6,H$6,'New Resources - Individual'!$F43:$Y43)</f>
        <v>0</v>
      </c>
      <c r="I43" s="668">
        <f>SUMIF('New Resources - Individual'!$F$6:$Y$6,I$6,'New Resources - Individual'!$F43:$Y43)</f>
        <v>0</v>
      </c>
      <c r="J43" s="669">
        <f>SUMIF('New Resources - Individual'!$F$6:$Y$6,J$6,'New Resources - Individual'!$F43:$Y43)</f>
        <v>0</v>
      </c>
      <c r="K43" s="669">
        <f>SUMIF('New Resources - Individual'!$F$6:$Y$6,K$6,'New Resources - Individual'!$F43:$Y43)</f>
        <v>0</v>
      </c>
      <c r="L43" s="669">
        <f>SUMIF('New Resources - Individual'!$F$6:$Y$6,L$6,'New Resources - Individual'!$F43:$Y43)</f>
        <v>0</v>
      </c>
      <c r="M43" s="669">
        <f>SUMIF('New Resources - Individual'!$F$6:$Y$6,M$6,'New Resources - Individual'!$F43:$Y43)</f>
        <v>0</v>
      </c>
      <c r="N43" s="669">
        <f>SUMIF('New Resources - Individual'!$F$6:$Y$6,N$6,'New Resources - Individual'!$F43:$Y43)</f>
        <v>0</v>
      </c>
      <c r="O43" s="669">
        <f>SUMIF('New Resources - Individual'!$F$6:$Y$6,O$6,'New Resources - Individual'!$F43:$Y43)</f>
        <v>0</v>
      </c>
      <c r="P43" s="669">
        <f>SUMIF('New Resources - Individual'!$F$6:$Y$6,P$6,'New Resources - Individual'!$F43:$Y43)</f>
        <v>0</v>
      </c>
      <c r="Q43" s="669">
        <f>SUMIF('New Resources - Individual'!$F$6:$Y$6,Q$6,'New Resources - Individual'!$F43:$Y43)</f>
        <v>0</v>
      </c>
      <c r="R43" s="669">
        <f>SUMIF('New Resources - Individual'!$F$6:$Y$6,R$6,'New Resources - Individual'!$F43:$Y43)</f>
        <v>0</v>
      </c>
      <c r="S43" s="669">
        <f>SUMIF('New Resources - Individual'!$F$6:$Y$6,S$6,'New Resources - Individual'!$F43:$Y43)</f>
        <v>0</v>
      </c>
      <c r="T43" s="669">
        <f>SUMIF('New Resources - Individual'!$F$6:$Y$6,T$6,'New Resources - Individual'!$F43:$Y43)</f>
        <v>0</v>
      </c>
      <c r="U43" s="669">
        <f>SUMIF('New Resources - Individual'!$F$6:$Y$6,U$6,'New Resources - Individual'!$F43:$Y43)</f>
        <v>0</v>
      </c>
      <c r="V43" s="669">
        <f>SUMIF('New Resources - Individual'!$F$6:$Y$6,V$6,'New Resources - Individual'!$F43:$Y43)</f>
        <v>0</v>
      </c>
      <c r="W43" s="669">
        <f>SUMIF('New Resources - Individual'!$F$6:$Y$6,W$6,'New Resources - Individual'!$F43:$Y43)</f>
        <v>0</v>
      </c>
      <c r="X43" s="669">
        <f>SUMIF('New Resources - Individual'!$F$6:$Y$6,X$6,'New Resources - Individual'!$F43:$Y43)</f>
        <v>0</v>
      </c>
      <c r="Y43" s="790">
        <f>SUMIF('New Resources - Individual'!$F$6:$Y$6,Y$6,'New Resources - Individual'!$F43:$Y43)</f>
        <v>0</v>
      </c>
      <c r="Z43" s="631"/>
      <c r="AA43" s="631"/>
      <c r="AB43" s="631"/>
      <c r="AC43" s="631"/>
      <c r="AD43" s="631"/>
      <c r="AE43" s="631"/>
      <c r="AF43" s="631"/>
      <c r="AG43" s="658"/>
      <c r="AH43" s="658"/>
    </row>
    <row r="44" spans="1:34">
      <c r="A44" s="640">
        <v>440</v>
      </c>
      <c r="B44" s="796" t="s">
        <v>599</v>
      </c>
      <c r="C44" s="646"/>
      <c r="D44" s="646"/>
      <c r="E44" s="647"/>
      <c r="F44" s="671"/>
      <c r="G44" s="671"/>
      <c r="H44" s="671"/>
      <c r="I44" s="671"/>
      <c r="J44" s="671"/>
      <c r="K44" s="671"/>
      <c r="L44" s="671"/>
      <c r="M44" s="671"/>
      <c r="N44" s="671"/>
      <c r="O44" s="671"/>
      <c r="P44" s="671"/>
      <c r="Q44" s="671"/>
      <c r="R44" s="671"/>
      <c r="S44" s="671"/>
      <c r="T44" s="671"/>
      <c r="U44" s="671"/>
      <c r="V44" s="671"/>
      <c r="W44" s="671"/>
      <c r="X44" s="671"/>
      <c r="Y44" s="793"/>
      <c r="Z44" s="631"/>
      <c r="AA44" s="631"/>
      <c r="AB44" s="631"/>
      <c r="AC44" s="631"/>
      <c r="AD44" s="631"/>
      <c r="AE44" s="631"/>
      <c r="AF44" s="631"/>
      <c r="AG44" s="658"/>
      <c r="AH44" s="658"/>
    </row>
    <row r="45" spans="1:34">
      <c r="A45" s="640">
        <v>450</v>
      </c>
      <c r="B45" s="794" t="s">
        <v>612</v>
      </c>
      <c r="C45" s="643">
        <v>403</v>
      </c>
      <c r="D45" s="643"/>
      <c r="E45" s="649"/>
      <c r="F45" s="668">
        <f>SUMIF('New Resources - Individual'!$F$6:$Y$6,F$6,'New Resources - Individual'!$F45:$Y45)</f>
        <v>0</v>
      </c>
      <c r="G45" s="668">
        <f>SUMIF('New Resources - Individual'!$F$6:$Y$6,G$6,'New Resources - Individual'!$F45:$Y45)</f>
        <v>0</v>
      </c>
      <c r="H45" s="669">
        <f>SUMIF('New Resources - Individual'!$F$6:$Y$6,H$6,'New Resources - Individual'!$F45:$Y45)</f>
        <v>0</v>
      </c>
      <c r="I45" s="668">
        <f>SUMIF('New Resources - Individual'!$F$6:$Y$6,I$6,'New Resources - Individual'!$F45:$Y45)</f>
        <v>0</v>
      </c>
      <c r="J45" s="669">
        <f>SUMIF('New Resources - Individual'!$F$6:$Y$6,J$6,'New Resources - Individual'!$F45:$Y45)</f>
        <v>0</v>
      </c>
      <c r="K45" s="669">
        <f>SUMIF('New Resources - Individual'!$F$6:$Y$6,K$6,'New Resources - Individual'!$F45:$Y45)</f>
        <v>0</v>
      </c>
      <c r="L45" s="669">
        <f>SUMIF('New Resources - Individual'!$F$6:$Y$6,L$6,'New Resources - Individual'!$F45:$Y45)</f>
        <v>0</v>
      </c>
      <c r="M45" s="669">
        <f>SUMIF('New Resources - Individual'!$F$6:$Y$6,M$6,'New Resources - Individual'!$F45:$Y45)</f>
        <v>0</v>
      </c>
      <c r="N45" s="669">
        <f>SUMIF('New Resources - Individual'!$F$6:$Y$6,N$6,'New Resources - Individual'!$F45:$Y45)</f>
        <v>0</v>
      </c>
      <c r="O45" s="669">
        <f>SUMIF('New Resources - Individual'!$F$6:$Y$6,O$6,'New Resources - Individual'!$F45:$Y45)</f>
        <v>0</v>
      </c>
      <c r="P45" s="669">
        <f>SUMIF('New Resources - Individual'!$F$6:$Y$6,P$6,'New Resources - Individual'!$F45:$Y45)</f>
        <v>0</v>
      </c>
      <c r="Q45" s="669">
        <f>SUMIF('New Resources - Individual'!$F$6:$Y$6,Q$6,'New Resources - Individual'!$F45:$Y45)</f>
        <v>0</v>
      </c>
      <c r="R45" s="669">
        <f>SUMIF('New Resources - Individual'!$F$6:$Y$6,R$6,'New Resources - Individual'!$F45:$Y45)</f>
        <v>0</v>
      </c>
      <c r="S45" s="669">
        <f>SUMIF('New Resources - Individual'!$F$6:$Y$6,S$6,'New Resources - Individual'!$F45:$Y45)</f>
        <v>0</v>
      </c>
      <c r="T45" s="669">
        <f>SUMIF('New Resources - Individual'!$F$6:$Y$6,T$6,'New Resources - Individual'!$F45:$Y45)</f>
        <v>0</v>
      </c>
      <c r="U45" s="669">
        <f>SUMIF('New Resources - Individual'!$F$6:$Y$6,U$6,'New Resources - Individual'!$F45:$Y45)</f>
        <v>0</v>
      </c>
      <c r="V45" s="669">
        <f>SUMIF('New Resources - Individual'!$F$6:$Y$6,V$6,'New Resources - Individual'!$F45:$Y45)</f>
        <v>0</v>
      </c>
      <c r="W45" s="669">
        <f>SUMIF('New Resources - Individual'!$F$6:$Y$6,W$6,'New Resources - Individual'!$F45:$Y45)</f>
        <v>0</v>
      </c>
      <c r="X45" s="669">
        <f>SUMIF('New Resources - Individual'!$F$6:$Y$6,X$6,'New Resources - Individual'!$F45:$Y45)</f>
        <v>0</v>
      </c>
      <c r="Y45" s="790">
        <f>SUMIF('New Resources - Individual'!$F$6:$Y$6,Y$6,'New Resources - Individual'!$F45:$Y45)</f>
        <v>0</v>
      </c>
      <c r="Z45" s="631"/>
      <c r="AA45" s="631"/>
      <c r="AB45" s="631"/>
      <c r="AC45" s="631"/>
      <c r="AD45" s="631"/>
      <c r="AE45" s="631"/>
      <c r="AF45" s="631"/>
      <c r="AG45" s="658"/>
      <c r="AH45" s="658"/>
    </row>
    <row r="46" spans="1:34">
      <c r="A46" s="640">
        <v>460</v>
      </c>
      <c r="B46" s="794" t="s">
        <v>613</v>
      </c>
      <c r="C46" s="645">
        <v>403</v>
      </c>
      <c r="D46" s="645"/>
      <c r="E46" s="649"/>
      <c r="F46" s="668">
        <f>SUMIF('New Resources - Individual'!$F$6:$Y$6,F$6,'New Resources - Individual'!$F46:$Y46)</f>
        <v>0</v>
      </c>
      <c r="G46" s="668">
        <f>SUMIF('New Resources - Individual'!$F$6:$Y$6,G$6,'New Resources - Individual'!$F46:$Y46)</f>
        <v>0</v>
      </c>
      <c r="H46" s="669">
        <f>SUMIF('New Resources - Individual'!$F$6:$Y$6,H$6,'New Resources - Individual'!$F46:$Y46)</f>
        <v>0</v>
      </c>
      <c r="I46" s="668">
        <f>SUMIF('New Resources - Individual'!$F$6:$Y$6,I$6,'New Resources - Individual'!$F46:$Y46)</f>
        <v>0</v>
      </c>
      <c r="J46" s="669">
        <f>SUMIF('New Resources - Individual'!$F$6:$Y$6,J$6,'New Resources - Individual'!$F46:$Y46)</f>
        <v>0</v>
      </c>
      <c r="K46" s="669">
        <f>SUMIF('New Resources - Individual'!$F$6:$Y$6,K$6,'New Resources - Individual'!$F46:$Y46)</f>
        <v>0</v>
      </c>
      <c r="L46" s="669">
        <f>SUMIF('New Resources - Individual'!$F$6:$Y$6,L$6,'New Resources - Individual'!$F46:$Y46)</f>
        <v>0</v>
      </c>
      <c r="M46" s="669">
        <f>SUMIF('New Resources - Individual'!$F$6:$Y$6,M$6,'New Resources - Individual'!$F46:$Y46)</f>
        <v>0</v>
      </c>
      <c r="N46" s="669">
        <f>SUMIF('New Resources - Individual'!$F$6:$Y$6,N$6,'New Resources - Individual'!$F46:$Y46)</f>
        <v>0</v>
      </c>
      <c r="O46" s="669">
        <f>SUMIF('New Resources - Individual'!$F$6:$Y$6,O$6,'New Resources - Individual'!$F46:$Y46)</f>
        <v>0</v>
      </c>
      <c r="P46" s="669">
        <f>SUMIF('New Resources - Individual'!$F$6:$Y$6,P$6,'New Resources - Individual'!$F46:$Y46)</f>
        <v>0</v>
      </c>
      <c r="Q46" s="669">
        <f>SUMIF('New Resources - Individual'!$F$6:$Y$6,Q$6,'New Resources - Individual'!$F46:$Y46)</f>
        <v>0</v>
      </c>
      <c r="R46" s="669">
        <f>SUMIF('New Resources - Individual'!$F$6:$Y$6,R$6,'New Resources - Individual'!$F46:$Y46)</f>
        <v>0</v>
      </c>
      <c r="S46" s="669">
        <f>SUMIF('New Resources - Individual'!$F$6:$Y$6,S$6,'New Resources - Individual'!$F46:$Y46)</f>
        <v>0</v>
      </c>
      <c r="T46" s="669">
        <f>SUMIF('New Resources - Individual'!$F$6:$Y$6,T$6,'New Resources - Individual'!$F46:$Y46)</f>
        <v>0</v>
      </c>
      <c r="U46" s="669">
        <f>SUMIF('New Resources - Individual'!$F$6:$Y$6,U$6,'New Resources - Individual'!$F46:$Y46)</f>
        <v>0</v>
      </c>
      <c r="V46" s="669">
        <f>SUMIF('New Resources - Individual'!$F$6:$Y$6,V$6,'New Resources - Individual'!$F46:$Y46)</f>
        <v>0</v>
      </c>
      <c r="W46" s="669">
        <f>SUMIF('New Resources - Individual'!$F$6:$Y$6,W$6,'New Resources - Individual'!$F46:$Y46)</f>
        <v>0</v>
      </c>
      <c r="X46" s="669">
        <f>SUMIF('New Resources - Individual'!$F$6:$Y$6,X$6,'New Resources - Individual'!$F46:$Y46)</f>
        <v>0</v>
      </c>
      <c r="Y46" s="790">
        <f>SUMIF('New Resources - Individual'!$F$6:$Y$6,Y$6,'New Resources - Individual'!$F46:$Y46)</f>
        <v>0</v>
      </c>
      <c r="Z46" s="631"/>
      <c r="AA46" s="631"/>
      <c r="AB46" s="631"/>
      <c r="AC46" s="631"/>
      <c r="AD46" s="631"/>
      <c r="AE46" s="631"/>
      <c r="AF46" s="631"/>
      <c r="AG46" s="658"/>
      <c r="AH46" s="658"/>
    </row>
    <row r="47" spans="1:34">
      <c r="A47" s="640">
        <v>470</v>
      </c>
      <c r="B47" s="792" t="s">
        <v>137</v>
      </c>
      <c r="C47" s="646"/>
      <c r="D47" s="646"/>
      <c r="E47" s="647"/>
      <c r="F47" s="671"/>
      <c r="G47" s="671"/>
      <c r="H47" s="671"/>
      <c r="I47" s="671"/>
      <c r="J47" s="671"/>
      <c r="K47" s="671"/>
      <c r="L47" s="671"/>
      <c r="M47" s="671"/>
      <c r="N47" s="671"/>
      <c r="O47" s="671"/>
      <c r="P47" s="671"/>
      <c r="Q47" s="671"/>
      <c r="R47" s="671"/>
      <c r="S47" s="671"/>
      <c r="T47" s="671"/>
      <c r="U47" s="671"/>
      <c r="V47" s="671"/>
      <c r="W47" s="671"/>
      <c r="X47" s="671"/>
      <c r="Y47" s="793"/>
      <c r="Z47" s="631"/>
      <c r="AA47" s="631"/>
      <c r="AB47" s="631"/>
      <c r="AC47" s="631"/>
      <c r="AD47" s="631"/>
      <c r="AE47" s="631"/>
      <c r="AF47" s="631"/>
      <c r="AG47" s="658"/>
      <c r="AH47" s="658"/>
    </row>
    <row r="48" spans="1:34">
      <c r="A48" s="640">
        <v>480</v>
      </c>
      <c r="B48" s="789" t="s">
        <v>117</v>
      </c>
      <c r="C48" s="645" t="s">
        <v>118</v>
      </c>
      <c r="D48" s="645"/>
      <c r="E48" s="644"/>
      <c r="F48" s="668">
        <f>SUMIF('New Resources - Individual'!$F$6:$Y$6,F$6,'New Resources - Individual'!$F48:$Y48)</f>
        <v>0</v>
      </c>
      <c r="G48" s="668">
        <f>SUMIF('New Resources - Individual'!$F$6:$Y$6,G$6,'New Resources - Individual'!$F48:$Y48)</f>
        <v>0</v>
      </c>
      <c r="H48" s="669">
        <f>SUMIF('New Resources - Individual'!$F$6:$Y$6,H$6,'New Resources - Individual'!$F48:$Y48)</f>
        <v>0</v>
      </c>
      <c r="I48" s="668">
        <f>SUMIF('New Resources - Individual'!$F$6:$Y$6,I$6,'New Resources - Individual'!$F48:$Y48)</f>
        <v>0</v>
      </c>
      <c r="J48" s="669">
        <f>SUMIF('New Resources - Individual'!$F$6:$Y$6,J$6,'New Resources - Individual'!$F48:$Y48)</f>
        <v>0</v>
      </c>
      <c r="K48" s="669">
        <f>SUMIF('New Resources - Individual'!$F$6:$Y$6,K$6,'New Resources - Individual'!$F48:$Y48)</f>
        <v>0</v>
      </c>
      <c r="L48" s="668">
        <f>SUMIF('New Resources - Individual'!$F$6:$Y$6,L$6,'New Resources - Individual'!$F48:$Y48)</f>
        <v>0</v>
      </c>
      <c r="M48" s="669">
        <f>SUMIF('New Resources - Individual'!$F$6:$Y$6,M$6,'New Resources - Individual'!$F48:$Y48)</f>
        <v>0</v>
      </c>
      <c r="N48" s="668">
        <f>SUMIF('New Resources - Individual'!$F$6:$Y$6,N$6,'New Resources - Individual'!$F48:$Y48)</f>
        <v>0</v>
      </c>
      <c r="O48" s="668">
        <f>SUMIF('New Resources - Individual'!$F$6:$Y$6,O$6,'New Resources - Individual'!$F48:$Y48)</f>
        <v>0</v>
      </c>
      <c r="P48" s="668">
        <f>SUMIF('New Resources - Individual'!$F$6:$Y$6,P$6,'New Resources - Individual'!$F48:$Y48)</f>
        <v>0</v>
      </c>
      <c r="Q48" s="668">
        <f>SUMIF('New Resources - Individual'!$F$6:$Y$6,Q$6,'New Resources - Individual'!$F48:$Y48)</f>
        <v>0</v>
      </c>
      <c r="R48" s="669">
        <f>SUMIF('New Resources - Individual'!$F$6:$Y$6,R$6,'New Resources - Individual'!$F48:$Y48)</f>
        <v>0</v>
      </c>
      <c r="S48" s="669">
        <f>SUMIF('New Resources - Individual'!$F$6:$Y$6,S$6,'New Resources - Individual'!$F48:$Y48)</f>
        <v>0</v>
      </c>
      <c r="T48" s="669">
        <f>SUMIF('New Resources - Individual'!$F$6:$Y$6,T$6,'New Resources - Individual'!$F48:$Y48)</f>
        <v>0</v>
      </c>
      <c r="U48" s="669">
        <f>SUMIF('New Resources - Individual'!$F$6:$Y$6,U$6,'New Resources - Individual'!$F48:$Y48)</f>
        <v>0</v>
      </c>
      <c r="V48" s="669">
        <f>SUMIF('New Resources - Individual'!$F$6:$Y$6,V$6,'New Resources - Individual'!$F48:$Y48)</f>
        <v>0</v>
      </c>
      <c r="W48" s="668">
        <f>SUMIF('New Resources - Individual'!$F$6:$Y$6,W$6,'New Resources - Individual'!$F48:$Y48)</f>
        <v>0</v>
      </c>
      <c r="X48" s="669">
        <f>SUMIF('New Resources - Individual'!$F$6:$Y$6,X$6,'New Resources - Individual'!$F48:$Y48)</f>
        <v>0</v>
      </c>
      <c r="Y48" s="790">
        <f>SUMIF('New Resources - Individual'!$F$6:$Y$6,Y$6,'New Resources - Individual'!$F48:$Y48)</f>
        <v>0</v>
      </c>
      <c r="Z48" s="631"/>
      <c r="AA48" s="631"/>
      <c r="AB48" s="631"/>
      <c r="AC48" s="631"/>
      <c r="AD48" s="631"/>
      <c r="AE48" s="631"/>
      <c r="AF48" s="631"/>
      <c r="AG48" s="658"/>
      <c r="AH48" s="658"/>
    </row>
    <row r="49" spans="1:34">
      <c r="A49" s="640">
        <v>490</v>
      </c>
      <c r="B49" s="789" t="s">
        <v>440</v>
      </c>
      <c r="C49" s="643">
        <v>151</v>
      </c>
      <c r="D49" s="643"/>
      <c r="E49" s="644"/>
      <c r="F49" s="668">
        <f>SUMIF('New Resources - Individual'!$F$6:$Y$6,F$6,'New Resources - Individual'!$F49:$Y49)</f>
        <v>0</v>
      </c>
      <c r="G49" s="668">
        <f>SUMIF('New Resources - Individual'!$F$6:$Y$6,G$6,'New Resources - Individual'!$F49:$Y49)</f>
        <v>0</v>
      </c>
      <c r="H49" s="669">
        <f>SUMIF('New Resources - Individual'!$F$6:$Y$6,H$6,'New Resources - Individual'!$F49:$Y49)</f>
        <v>0</v>
      </c>
      <c r="I49" s="668">
        <f>SUMIF('New Resources - Individual'!$F$6:$Y$6,I$6,'New Resources - Individual'!$F49:$Y49)</f>
        <v>0</v>
      </c>
      <c r="J49" s="669">
        <f>SUMIF('New Resources - Individual'!$F$6:$Y$6,J$6,'New Resources - Individual'!$F49:$Y49)</f>
        <v>0</v>
      </c>
      <c r="K49" s="669">
        <f>SUMIF('New Resources - Individual'!$F$6:$Y$6,K$6,'New Resources - Individual'!$F49:$Y49)</f>
        <v>0</v>
      </c>
      <c r="L49" s="668">
        <f>SUMIF('New Resources - Individual'!$F$6:$Y$6,L$6,'New Resources - Individual'!$F49:$Y49)</f>
        <v>0</v>
      </c>
      <c r="M49" s="669">
        <f>SUMIF('New Resources - Individual'!$F$6:$Y$6,M$6,'New Resources - Individual'!$F49:$Y49)</f>
        <v>0</v>
      </c>
      <c r="N49" s="668">
        <f>SUMIF('New Resources - Individual'!$F$6:$Y$6,N$6,'New Resources - Individual'!$F49:$Y49)</f>
        <v>0</v>
      </c>
      <c r="O49" s="668">
        <f>SUMIF('New Resources - Individual'!$F$6:$Y$6,O$6,'New Resources - Individual'!$F49:$Y49)</f>
        <v>0</v>
      </c>
      <c r="P49" s="668">
        <f>SUMIF('New Resources - Individual'!$F$6:$Y$6,P$6,'New Resources - Individual'!$F49:$Y49)</f>
        <v>0</v>
      </c>
      <c r="Q49" s="668">
        <f>SUMIF('New Resources - Individual'!$F$6:$Y$6,Q$6,'New Resources - Individual'!$F49:$Y49)</f>
        <v>0</v>
      </c>
      <c r="R49" s="669">
        <f>SUMIF('New Resources - Individual'!$F$6:$Y$6,R$6,'New Resources - Individual'!$F49:$Y49)</f>
        <v>0</v>
      </c>
      <c r="S49" s="669">
        <f>SUMIF('New Resources - Individual'!$F$6:$Y$6,S$6,'New Resources - Individual'!$F49:$Y49)</f>
        <v>0</v>
      </c>
      <c r="T49" s="669">
        <f>SUMIF('New Resources - Individual'!$F$6:$Y$6,T$6,'New Resources - Individual'!$F49:$Y49)</f>
        <v>0</v>
      </c>
      <c r="U49" s="669">
        <f>SUMIF('New Resources - Individual'!$F$6:$Y$6,U$6,'New Resources - Individual'!$F49:$Y49)</f>
        <v>0</v>
      </c>
      <c r="V49" s="669">
        <f>SUMIF('New Resources - Individual'!$F$6:$Y$6,V$6,'New Resources - Individual'!$F49:$Y49)</f>
        <v>0</v>
      </c>
      <c r="W49" s="668">
        <f>SUMIF('New Resources - Individual'!$F$6:$Y$6,W$6,'New Resources - Individual'!$F49:$Y49)</f>
        <v>0</v>
      </c>
      <c r="X49" s="669">
        <f>SUMIF('New Resources - Individual'!$F$6:$Y$6,X$6,'New Resources - Individual'!$F49:$Y49)</f>
        <v>0</v>
      </c>
      <c r="Y49" s="790">
        <f>SUMIF('New Resources - Individual'!$F$6:$Y$6,Y$6,'New Resources - Individual'!$F49:$Y49)</f>
        <v>0</v>
      </c>
      <c r="Z49" s="631"/>
      <c r="AA49" s="631"/>
      <c r="AB49" s="631"/>
      <c r="AC49" s="631"/>
      <c r="AD49" s="631"/>
      <c r="AE49" s="631"/>
      <c r="AF49" s="631"/>
      <c r="AG49" s="658"/>
      <c r="AH49" s="658"/>
    </row>
    <row r="50" spans="1:34">
      <c r="A50" s="640">
        <v>500</v>
      </c>
      <c r="B50" s="789" t="s">
        <v>79</v>
      </c>
      <c r="C50" s="645">
        <v>154</v>
      </c>
      <c r="D50" s="645"/>
      <c r="E50" s="644"/>
      <c r="F50" s="668">
        <f>SUMIF('New Resources - Individual'!$F$6:$Y$6,F$6,'New Resources - Individual'!$F50:$Y50)</f>
        <v>0</v>
      </c>
      <c r="G50" s="668">
        <f>SUMIF('New Resources - Individual'!$F$6:$Y$6,G$6,'New Resources - Individual'!$F50:$Y50)</f>
        <v>0</v>
      </c>
      <c r="H50" s="669">
        <f>SUMIF('New Resources - Individual'!$F$6:$Y$6,H$6,'New Resources - Individual'!$F50:$Y50)</f>
        <v>0</v>
      </c>
      <c r="I50" s="668">
        <f>SUMIF('New Resources - Individual'!$F$6:$Y$6,I$6,'New Resources - Individual'!$F50:$Y50)</f>
        <v>0</v>
      </c>
      <c r="J50" s="669">
        <f>SUMIF('New Resources - Individual'!$F$6:$Y$6,J$6,'New Resources - Individual'!$F50:$Y50)</f>
        <v>0</v>
      </c>
      <c r="K50" s="669">
        <f>SUMIF('New Resources - Individual'!$F$6:$Y$6,K$6,'New Resources - Individual'!$F50:$Y50)</f>
        <v>0</v>
      </c>
      <c r="L50" s="668">
        <f>SUMIF('New Resources - Individual'!$F$6:$Y$6,L$6,'New Resources - Individual'!$F50:$Y50)</f>
        <v>0</v>
      </c>
      <c r="M50" s="669">
        <f>SUMIF('New Resources - Individual'!$F$6:$Y$6,M$6,'New Resources - Individual'!$F50:$Y50)</f>
        <v>0</v>
      </c>
      <c r="N50" s="668">
        <f>SUMIF('New Resources - Individual'!$F$6:$Y$6,N$6,'New Resources - Individual'!$F50:$Y50)</f>
        <v>0</v>
      </c>
      <c r="O50" s="668">
        <f>SUMIF('New Resources - Individual'!$F$6:$Y$6,O$6,'New Resources - Individual'!$F50:$Y50)</f>
        <v>0</v>
      </c>
      <c r="P50" s="668">
        <f>SUMIF('New Resources - Individual'!$F$6:$Y$6,P$6,'New Resources - Individual'!$F50:$Y50)</f>
        <v>0</v>
      </c>
      <c r="Q50" s="668">
        <f>SUMIF('New Resources - Individual'!$F$6:$Y$6,Q$6,'New Resources - Individual'!$F50:$Y50)</f>
        <v>0</v>
      </c>
      <c r="R50" s="669">
        <f>SUMIF('New Resources - Individual'!$F$6:$Y$6,R$6,'New Resources - Individual'!$F50:$Y50)</f>
        <v>0</v>
      </c>
      <c r="S50" s="669">
        <f>SUMIF('New Resources - Individual'!$F$6:$Y$6,S$6,'New Resources - Individual'!$F50:$Y50)</f>
        <v>0</v>
      </c>
      <c r="T50" s="669">
        <f>SUMIF('New Resources - Individual'!$F$6:$Y$6,T$6,'New Resources - Individual'!$F50:$Y50)</f>
        <v>0</v>
      </c>
      <c r="U50" s="669">
        <f>SUMIF('New Resources - Individual'!$F$6:$Y$6,U$6,'New Resources - Individual'!$F50:$Y50)</f>
        <v>0</v>
      </c>
      <c r="V50" s="669">
        <f>SUMIF('New Resources - Individual'!$F$6:$Y$6,V$6,'New Resources - Individual'!$F50:$Y50)</f>
        <v>0</v>
      </c>
      <c r="W50" s="668">
        <f>SUMIF('New Resources - Individual'!$F$6:$Y$6,W$6,'New Resources - Individual'!$F50:$Y50)</f>
        <v>0</v>
      </c>
      <c r="X50" s="669">
        <f>SUMIF('New Resources - Individual'!$F$6:$Y$6,X$6,'New Resources - Individual'!$F50:$Y50)</f>
        <v>0</v>
      </c>
      <c r="Y50" s="790">
        <f>SUMIF('New Resources - Individual'!$F$6:$Y$6,Y$6,'New Resources - Individual'!$F50:$Y50)</f>
        <v>0</v>
      </c>
      <c r="Z50" s="631"/>
      <c r="AA50" s="631"/>
      <c r="AB50" s="631"/>
      <c r="AC50" s="631"/>
      <c r="AD50" s="631"/>
      <c r="AE50" s="631"/>
      <c r="AF50" s="631"/>
      <c r="AG50" s="658"/>
      <c r="AH50" s="658"/>
    </row>
    <row r="51" spans="1:34">
      <c r="A51" s="640">
        <v>510</v>
      </c>
      <c r="B51" s="789" t="s">
        <v>595</v>
      </c>
      <c r="C51" s="645" t="s">
        <v>596</v>
      </c>
      <c r="D51" s="645"/>
      <c r="E51" s="644"/>
      <c r="F51" s="668">
        <f>SUMIF('New Resources - Individual'!$F$6:$Y$6,F$6,'New Resources - Individual'!$F51:$Y51)</f>
        <v>0</v>
      </c>
      <c r="G51" s="668">
        <f>SUMIF('New Resources - Individual'!$F$6:$Y$6,G$6,'New Resources - Individual'!$F51:$Y51)</f>
        <v>0</v>
      </c>
      <c r="H51" s="669">
        <f>SUMIF('New Resources - Individual'!$F$6:$Y$6,H$6,'New Resources - Individual'!$F51:$Y51)</f>
        <v>0</v>
      </c>
      <c r="I51" s="668">
        <f>SUMIF('New Resources - Individual'!$F$6:$Y$6,I$6,'New Resources - Individual'!$F51:$Y51)</f>
        <v>0</v>
      </c>
      <c r="J51" s="669">
        <f>SUMIF('New Resources - Individual'!$F$6:$Y$6,J$6,'New Resources - Individual'!$F51:$Y51)</f>
        <v>0</v>
      </c>
      <c r="K51" s="669">
        <f>SUMIF('New Resources - Individual'!$F$6:$Y$6,K$6,'New Resources - Individual'!$F51:$Y51)</f>
        <v>0</v>
      </c>
      <c r="L51" s="668">
        <f>SUMIF('New Resources - Individual'!$F$6:$Y$6,L$6,'New Resources - Individual'!$F51:$Y51)</f>
        <v>0</v>
      </c>
      <c r="M51" s="669">
        <f>SUMIF('New Resources - Individual'!$F$6:$Y$6,M$6,'New Resources - Individual'!$F51:$Y51)</f>
        <v>0</v>
      </c>
      <c r="N51" s="668">
        <f>SUMIF('New Resources - Individual'!$F$6:$Y$6,N$6,'New Resources - Individual'!$F51:$Y51)</f>
        <v>0</v>
      </c>
      <c r="O51" s="668">
        <f>SUMIF('New Resources - Individual'!$F$6:$Y$6,O$6,'New Resources - Individual'!$F51:$Y51)</f>
        <v>0</v>
      </c>
      <c r="P51" s="668">
        <f>SUMIF('New Resources - Individual'!$F$6:$Y$6,P$6,'New Resources - Individual'!$F51:$Y51)</f>
        <v>0</v>
      </c>
      <c r="Q51" s="668">
        <f>SUMIF('New Resources - Individual'!$F$6:$Y$6,Q$6,'New Resources - Individual'!$F51:$Y51)</f>
        <v>0</v>
      </c>
      <c r="R51" s="669">
        <f>SUMIF('New Resources - Individual'!$F$6:$Y$6,R$6,'New Resources - Individual'!$F51:$Y51)</f>
        <v>0</v>
      </c>
      <c r="S51" s="669">
        <f>SUMIF('New Resources - Individual'!$F$6:$Y$6,S$6,'New Resources - Individual'!$F51:$Y51)</f>
        <v>0</v>
      </c>
      <c r="T51" s="669">
        <f>SUMIF('New Resources - Individual'!$F$6:$Y$6,T$6,'New Resources - Individual'!$F51:$Y51)</f>
        <v>0</v>
      </c>
      <c r="U51" s="669">
        <f>SUMIF('New Resources - Individual'!$F$6:$Y$6,U$6,'New Resources - Individual'!$F51:$Y51)</f>
        <v>0</v>
      </c>
      <c r="V51" s="669">
        <f>SUMIF('New Resources - Individual'!$F$6:$Y$6,V$6,'New Resources - Individual'!$F51:$Y51)</f>
        <v>0</v>
      </c>
      <c r="W51" s="668">
        <f>SUMIF('New Resources - Individual'!$F$6:$Y$6,W$6,'New Resources - Individual'!$F51:$Y51)</f>
        <v>0</v>
      </c>
      <c r="X51" s="669">
        <f>SUMIF('New Resources - Individual'!$F$6:$Y$6,X$6,'New Resources - Individual'!$F51:$Y51)</f>
        <v>0</v>
      </c>
      <c r="Y51" s="790">
        <f>SUMIF('New Resources - Individual'!$F$6:$Y$6,Y$6,'New Resources - Individual'!$F51:$Y51)</f>
        <v>0</v>
      </c>
      <c r="Z51" s="631"/>
      <c r="AA51" s="631"/>
      <c r="AB51" s="631"/>
      <c r="AC51" s="631"/>
      <c r="AD51" s="631"/>
      <c r="AE51" s="631"/>
      <c r="AF51" s="631"/>
      <c r="AG51" s="658"/>
      <c r="AH51" s="658"/>
    </row>
    <row r="52" spans="1:34">
      <c r="A52" s="640">
        <v>550</v>
      </c>
      <c r="B52" s="792" t="s">
        <v>614</v>
      </c>
      <c r="C52" s="646"/>
      <c r="D52" s="646"/>
      <c r="E52" s="647"/>
      <c r="F52" s="673"/>
      <c r="G52" s="673"/>
      <c r="H52" s="673"/>
      <c r="I52" s="673"/>
      <c r="J52" s="673"/>
      <c r="K52" s="673"/>
      <c r="L52" s="673"/>
      <c r="M52" s="673"/>
      <c r="N52" s="673"/>
      <c r="O52" s="673"/>
      <c r="P52" s="673"/>
      <c r="Q52" s="673"/>
      <c r="R52" s="673"/>
      <c r="S52" s="673"/>
      <c r="T52" s="673"/>
      <c r="U52" s="673"/>
      <c r="V52" s="673"/>
      <c r="W52" s="673"/>
      <c r="X52" s="673"/>
      <c r="Y52" s="797"/>
      <c r="Z52" s="631"/>
      <c r="AA52" s="631"/>
      <c r="AB52" s="631"/>
      <c r="AC52" s="631"/>
      <c r="AD52" s="631"/>
      <c r="AE52" s="631"/>
      <c r="AF52" s="631"/>
      <c r="AG52" s="658"/>
      <c r="AH52" s="658"/>
    </row>
    <row r="53" spans="1:34">
      <c r="A53" s="640">
        <v>560</v>
      </c>
      <c r="B53" s="789" t="s">
        <v>455</v>
      </c>
      <c r="C53" s="645">
        <v>547</v>
      </c>
      <c r="D53" s="645"/>
      <c r="E53" s="644"/>
      <c r="F53" s="668">
        <f>SUMIF('New Resources - Individual'!$F$6:$Y$6,F$6,'New Resources - Individual'!$F53:$Y53)</f>
        <v>0</v>
      </c>
      <c r="G53" s="668">
        <f>SUMIF('New Resources - Individual'!$F$6:$Y$6,G$6,'New Resources - Individual'!$F53:$Y53)</f>
        <v>0</v>
      </c>
      <c r="H53" s="669">
        <f>SUMIF('New Resources - Individual'!$F$6:$Y$6,H$6,'New Resources - Individual'!$F53:$Y53)</f>
        <v>0</v>
      </c>
      <c r="I53" s="668">
        <f>SUMIF('New Resources - Individual'!$F$6:$Y$6,I$6,'New Resources - Individual'!$F53:$Y53)</f>
        <v>0</v>
      </c>
      <c r="J53" s="669">
        <f>SUMIF('New Resources - Individual'!$F$6:$Y$6,J$6,'New Resources - Individual'!$F53:$Y53)</f>
        <v>0</v>
      </c>
      <c r="K53" s="669">
        <f>SUMIF('New Resources - Individual'!$F$6:$Y$6,K$6,'New Resources - Individual'!$F53:$Y53)</f>
        <v>0</v>
      </c>
      <c r="L53" s="668">
        <f>SUMIF('New Resources - Individual'!$F$6:$Y$6,L$6,'New Resources - Individual'!$F53:$Y53)</f>
        <v>0</v>
      </c>
      <c r="M53" s="669">
        <f>SUMIF('New Resources - Individual'!$F$6:$Y$6,M$6,'New Resources - Individual'!$F53:$Y53)</f>
        <v>0</v>
      </c>
      <c r="N53" s="668">
        <f>SUMIF('New Resources - Individual'!$F$6:$Y$6,N$6,'New Resources - Individual'!$F53:$Y53)</f>
        <v>0</v>
      </c>
      <c r="O53" s="668">
        <f>SUMIF('New Resources - Individual'!$F$6:$Y$6,O$6,'New Resources - Individual'!$F53:$Y53)</f>
        <v>0</v>
      </c>
      <c r="P53" s="668">
        <f>SUMIF('New Resources - Individual'!$F$6:$Y$6,P$6,'New Resources - Individual'!$F53:$Y53)</f>
        <v>0</v>
      </c>
      <c r="Q53" s="668">
        <f>SUMIF('New Resources - Individual'!$F$6:$Y$6,Q$6,'New Resources - Individual'!$F53:$Y53)</f>
        <v>0</v>
      </c>
      <c r="R53" s="669">
        <f>SUMIF('New Resources - Individual'!$F$6:$Y$6,R$6,'New Resources - Individual'!$F53:$Y53)</f>
        <v>0</v>
      </c>
      <c r="S53" s="669">
        <f>SUMIF('New Resources - Individual'!$F$6:$Y$6,S$6,'New Resources - Individual'!$F53:$Y53)</f>
        <v>0</v>
      </c>
      <c r="T53" s="669">
        <f>SUMIF('New Resources - Individual'!$F$6:$Y$6,T$6,'New Resources - Individual'!$F53:$Y53)</f>
        <v>0</v>
      </c>
      <c r="U53" s="669">
        <f>SUMIF('New Resources - Individual'!$F$6:$Y$6,U$6,'New Resources - Individual'!$F53:$Y53)</f>
        <v>0</v>
      </c>
      <c r="V53" s="669">
        <f>SUMIF('New Resources - Individual'!$F$6:$Y$6,V$6,'New Resources - Individual'!$F53:$Y53)</f>
        <v>0</v>
      </c>
      <c r="W53" s="668">
        <f>SUMIF('New Resources - Individual'!$F$6:$Y$6,W$6,'New Resources - Individual'!$F53:$Y53)</f>
        <v>0</v>
      </c>
      <c r="X53" s="669">
        <f>SUMIF('New Resources - Individual'!$F$6:$Y$6,X$6,'New Resources - Individual'!$F53:$Y53)</f>
        <v>0</v>
      </c>
      <c r="Y53" s="790">
        <f>SUMIF('New Resources - Individual'!$F$6:$Y$6,Y$6,'New Resources - Individual'!$F53:$Y53)</f>
        <v>0</v>
      </c>
      <c r="Z53" s="631"/>
      <c r="AA53" s="631"/>
      <c r="AB53" s="631"/>
      <c r="AC53" s="631"/>
      <c r="AD53" s="631"/>
      <c r="AE53" s="631"/>
      <c r="AF53" s="631"/>
      <c r="AG53" s="658"/>
      <c r="AH53" s="658"/>
    </row>
    <row r="54" spans="1:34">
      <c r="A54" s="640">
        <v>570</v>
      </c>
      <c r="B54" s="789" t="s">
        <v>263</v>
      </c>
      <c r="C54" s="645" t="s">
        <v>615</v>
      </c>
      <c r="D54" s="645"/>
      <c r="E54" s="644"/>
      <c r="F54" s="668">
        <f>SUMIF('New Resources - Individual'!$F$6:$Y$6,F$6,'New Resources - Individual'!$F54:$Y54)</f>
        <v>0</v>
      </c>
      <c r="G54" s="668">
        <f>SUMIF('New Resources - Individual'!$F$6:$Y$6,G$6,'New Resources - Individual'!$F54:$Y54)</f>
        <v>0</v>
      </c>
      <c r="H54" s="669">
        <f>SUMIF('New Resources - Individual'!$F$6:$Y$6,H$6,'New Resources - Individual'!$F54:$Y54)</f>
        <v>0</v>
      </c>
      <c r="I54" s="668">
        <f>SUMIF('New Resources - Individual'!$F$6:$Y$6,I$6,'New Resources - Individual'!$F54:$Y54)</f>
        <v>0</v>
      </c>
      <c r="J54" s="669">
        <f>SUMIF('New Resources - Individual'!$F$6:$Y$6,J$6,'New Resources - Individual'!$F54:$Y54)</f>
        <v>0</v>
      </c>
      <c r="K54" s="669">
        <f>SUMIF('New Resources - Individual'!$F$6:$Y$6,K$6,'New Resources - Individual'!$F54:$Y54)</f>
        <v>0</v>
      </c>
      <c r="L54" s="668">
        <f>SUMIF('New Resources - Individual'!$F$6:$Y$6,L$6,'New Resources - Individual'!$F54:$Y54)</f>
        <v>0</v>
      </c>
      <c r="M54" s="669">
        <f>SUMIF('New Resources - Individual'!$F$6:$Y$6,M$6,'New Resources - Individual'!$F54:$Y54)</f>
        <v>0</v>
      </c>
      <c r="N54" s="668">
        <f>SUMIF('New Resources - Individual'!$F$6:$Y$6,N$6,'New Resources - Individual'!$F54:$Y54)</f>
        <v>0</v>
      </c>
      <c r="O54" s="668">
        <f>SUMIF('New Resources - Individual'!$F$6:$Y$6,O$6,'New Resources - Individual'!$F54:$Y54)</f>
        <v>0</v>
      </c>
      <c r="P54" s="668">
        <f>SUMIF('New Resources - Individual'!$F$6:$Y$6,P$6,'New Resources - Individual'!$F54:$Y54)</f>
        <v>0</v>
      </c>
      <c r="Q54" s="668">
        <f>SUMIF('New Resources - Individual'!$F$6:$Y$6,Q$6,'New Resources - Individual'!$F54:$Y54)</f>
        <v>0</v>
      </c>
      <c r="R54" s="669">
        <f>SUMIF('New Resources - Individual'!$F$6:$Y$6,R$6,'New Resources - Individual'!$F54:$Y54)</f>
        <v>0</v>
      </c>
      <c r="S54" s="669">
        <f>SUMIF('New Resources - Individual'!$F$6:$Y$6,S$6,'New Resources - Individual'!$F54:$Y54)</f>
        <v>0</v>
      </c>
      <c r="T54" s="669">
        <f>SUMIF('New Resources - Individual'!$F$6:$Y$6,T$6,'New Resources - Individual'!$F54:$Y54)</f>
        <v>0</v>
      </c>
      <c r="U54" s="669">
        <f>SUMIF('New Resources - Individual'!$F$6:$Y$6,U$6,'New Resources - Individual'!$F54:$Y54)</f>
        <v>0</v>
      </c>
      <c r="V54" s="669">
        <f>SUMIF('New Resources - Individual'!$F$6:$Y$6,V$6,'New Resources - Individual'!$F54:$Y54)</f>
        <v>0</v>
      </c>
      <c r="W54" s="668">
        <f>SUMIF('New Resources - Individual'!$F$6:$Y$6,W$6,'New Resources - Individual'!$F54:$Y54)</f>
        <v>0</v>
      </c>
      <c r="X54" s="669">
        <f>SUMIF('New Resources - Individual'!$F$6:$Y$6,X$6,'New Resources - Individual'!$F54:$Y54)</f>
        <v>0</v>
      </c>
      <c r="Y54" s="790">
        <f>SUMIF('New Resources - Individual'!$F$6:$Y$6,Y$6,'New Resources - Individual'!$F54:$Y54)</f>
        <v>0</v>
      </c>
      <c r="Z54" s="631"/>
      <c r="AA54" s="631"/>
      <c r="AB54" s="631"/>
      <c r="AC54" s="631"/>
      <c r="AD54" s="631"/>
      <c r="AE54" s="631"/>
      <c r="AF54" s="631"/>
      <c r="AG54" s="658"/>
      <c r="AH54" s="658"/>
    </row>
    <row r="55" spans="1:34">
      <c r="A55" s="640">
        <v>580</v>
      </c>
      <c r="B55" s="791" t="s">
        <v>265</v>
      </c>
      <c r="C55" s="643" t="s">
        <v>616</v>
      </c>
      <c r="D55" s="643"/>
      <c r="E55" s="644"/>
      <c r="F55" s="668">
        <f>SUMIF('New Resources - Individual'!$F$6:$Y$6,F$6,'New Resources - Individual'!$F55:$Y55)</f>
        <v>0</v>
      </c>
      <c r="G55" s="668">
        <f>SUMIF('New Resources - Individual'!$F$6:$Y$6,G$6,'New Resources - Individual'!$F55:$Y55)</f>
        <v>0</v>
      </c>
      <c r="H55" s="669">
        <f>SUMIF('New Resources - Individual'!$F$6:$Y$6,H$6,'New Resources - Individual'!$F55:$Y55)</f>
        <v>0</v>
      </c>
      <c r="I55" s="668">
        <f>SUMIF('New Resources - Individual'!$F$6:$Y$6,I$6,'New Resources - Individual'!$F55:$Y55)</f>
        <v>0</v>
      </c>
      <c r="J55" s="669">
        <f>SUMIF('New Resources - Individual'!$F$6:$Y$6,J$6,'New Resources - Individual'!$F55:$Y55)</f>
        <v>0</v>
      </c>
      <c r="K55" s="669">
        <f>SUMIF('New Resources - Individual'!$F$6:$Y$6,K$6,'New Resources - Individual'!$F55:$Y55)</f>
        <v>0</v>
      </c>
      <c r="L55" s="668">
        <f>SUMIF('New Resources - Individual'!$F$6:$Y$6,L$6,'New Resources - Individual'!$F55:$Y55)</f>
        <v>0</v>
      </c>
      <c r="M55" s="669">
        <f>SUMIF('New Resources - Individual'!$F$6:$Y$6,M$6,'New Resources - Individual'!$F55:$Y55)</f>
        <v>0</v>
      </c>
      <c r="N55" s="668">
        <f>SUMIF('New Resources - Individual'!$F$6:$Y$6,N$6,'New Resources - Individual'!$F55:$Y55)</f>
        <v>0</v>
      </c>
      <c r="O55" s="668">
        <f>SUMIF('New Resources - Individual'!$F$6:$Y$6,O$6,'New Resources - Individual'!$F55:$Y55)</f>
        <v>0</v>
      </c>
      <c r="P55" s="668">
        <f>SUMIF('New Resources - Individual'!$F$6:$Y$6,P$6,'New Resources - Individual'!$F55:$Y55)</f>
        <v>0</v>
      </c>
      <c r="Q55" s="668">
        <f>SUMIF('New Resources - Individual'!$F$6:$Y$6,Q$6,'New Resources - Individual'!$F55:$Y55)</f>
        <v>0</v>
      </c>
      <c r="R55" s="669">
        <f>SUMIF('New Resources - Individual'!$F$6:$Y$6,R$6,'New Resources - Individual'!$F55:$Y55)</f>
        <v>0</v>
      </c>
      <c r="S55" s="669">
        <f>SUMIF('New Resources - Individual'!$F$6:$Y$6,S$6,'New Resources - Individual'!$F55:$Y55)</f>
        <v>0</v>
      </c>
      <c r="T55" s="669">
        <f>SUMIF('New Resources - Individual'!$F$6:$Y$6,T$6,'New Resources - Individual'!$F55:$Y55)</f>
        <v>0</v>
      </c>
      <c r="U55" s="669">
        <f>SUMIF('New Resources - Individual'!$F$6:$Y$6,U$6,'New Resources - Individual'!$F55:$Y55)</f>
        <v>0</v>
      </c>
      <c r="V55" s="669">
        <f>SUMIF('New Resources - Individual'!$F$6:$Y$6,V$6,'New Resources - Individual'!$F55:$Y55)</f>
        <v>0</v>
      </c>
      <c r="W55" s="668">
        <f>SUMIF('New Resources - Individual'!$F$6:$Y$6,W$6,'New Resources - Individual'!$F55:$Y55)</f>
        <v>0</v>
      </c>
      <c r="X55" s="669">
        <f>SUMIF('New Resources - Individual'!$F$6:$Y$6,X$6,'New Resources - Individual'!$F55:$Y55)</f>
        <v>0</v>
      </c>
      <c r="Y55" s="790">
        <f>SUMIF('New Resources - Individual'!$F$6:$Y$6,Y$6,'New Resources - Individual'!$F55:$Y55)</f>
        <v>0</v>
      </c>
      <c r="Z55" s="631"/>
      <c r="AA55" s="631"/>
      <c r="AB55" s="631"/>
      <c r="AC55" s="631"/>
      <c r="AD55" s="631"/>
      <c r="AE55" s="631"/>
      <c r="AF55" s="631"/>
      <c r="AG55" s="658"/>
      <c r="AH55" s="658"/>
    </row>
    <row r="56" spans="1:34">
      <c r="A56" s="640">
        <v>590</v>
      </c>
      <c r="B56" s="789" t="s">
        <v>167</v>
      </c>
      <c r="C56" s="645">
        <v>924</v>
      </c>
      <c r="D56" s="645"/>
      <c r="E56" s="644"/>
      <c r="F56" s="668">
        <f>SUMIF('New Resources - Individual'!$F$6:$Y$6,F$6,'New Resources - Individual'!$F56:$Y56)</f>
        <v>0</v>
      </c>
      <c r="G56" s="668">
        <f>SUMIF('New Resources - Individual'!$F$6:$Y$6,G$6,'New Resources - Individual'!$F56:$Y56)</f>
        <v>0</v>
      </c>
      <c r="H56" s="669">
        <f>SUMIF('New Resources - Individual'!$F$6:$Y$6,H$6,'New Resources - Individual'!$F56:$Y56)</f>
        <v>0</v>
      </c>
      <c r="I56" s="668">
        <f>SUMIF('New Resources - Individual'!$F$6:$Y$6,I$6,'New Resources - Individual'!$F56:$Y56)</f>
        <v>0</v>
      </c>
      <c r="J56" s="669">
        <f>SUMIF('New Resources - Individual'!$F$6:$Y$6,J$6,'New Resources - Individual'!$F56:$Y56)</f>
        <v>0</v>
      </c>
      <c r="K56" s="669">
        <f>SUMIF('New Resources - Individual'!$F$6:$Y$6,K$6,'New Resources - Individual'!$F56:$Y56)</f>
        <v>0</v>
      </c>
      <c r="L56" s="668">
        <f>SUMIF('New Resources - Individual'!$F$6:$Y$6,L$6,'New Resources - Individual'!$F56:$Y56)</f>
        <v>0</v>
      </c>
      <c r="M56" s="669">
        <f>SUMIF('New Resources - Individual'!$F$6:$Y$6,M$6,'New Resources - Individual'!$F56:$Y56)</f>
        <v>0</v>
      </c>
      <c r="N56" s="668">
        <f>SUMIF('New Resources - Individual'!$F$6:$Y$6,N$6,'New Resources - Individual'!$F56:$Y56)</f>
        <v>0</v>
      </c>
      <c r="O56" s="668">
        <f>SUMIF('New Resources - Individual'!$F$6:$Y$6,O$6,'New Resources - Individual'!$F56:$Y56)</f>
        <v>0</v>
      </c>
      <c r="P56" s="668">
        <f>SUMIF('New Resources - Individual'!$F$6:$Y$6,P$6,'New Resources - Individual'!$F56:$Y56)</f>
        <v>0</v>
      </c>
      <c r="Q56" s="668">
        <f>SUMIF('New Resources - Individual'!$F$6:$Y$6,Q$6,'New Resources - Individual'!$F56:$Y56)</f>
        <v>0</v>
      </c>
      <c r="R56" s="669">
        <f>SUMIF('New Resources - Individual'!$F$6:$Y$6,R$6,'New Resources - Individual'!$F56:$Y56)</f>
        <v>0</v>
      </c>
      <c r="S56" s="669">
        <f>SUMIF('New Resources - Individual'!$F$6:$Y$6,S$6,'New Resources - Individual'!$F56:$Y56)</f>
        <v>0</v>
      </c>
      <c r="T56" s="669">
        <f>SUMIF('New Resources - Individual'!$F$6:$Y$6,T$6,'New Resources - Individual'!$F56:$Y56)</f>
        <v>0</v>
      </c>
      <c r="U56" s="669">
        <f>SUMIF('New Resources - Individual'!$F$6:$Y$6,U$6,'New Resources - Individual'!$F56:$Y56)</f>
        <v>0</v>
      </c>
      <c r="V56" s="669">
        <f>SUMIF('New Resources - Individual'!$F$6:$Y$6,V$6,'New Resources - Individual'!$F56:$Y56)</f>
        <v>0</v>
      </c>
      <c r="W56" s="668">
        <f>SUMIF('New Resources - Individual'!$F$6:$Y$6,W$6,'New Resources - Individual'!$F56:$Y56)</f>
        <v>0</v>
      </c>
      <c r="X56" s="669">
        <f>SUMIF('New Resources - Individual'!$F$6:$Y$6,X$6,'New Resources - Individual'!$F56:$Y56)</f>
        <v>0</v>
      </c>
      <c r="Y56" s="790">
        <f>SUMIF('New Resources - Individual'!$F$6:$Y$6,Y$6,'New Resources - Individual'!$F56:$Y56)</f>
        <v>0</v>
      </c>
      <c r="Z56" s="631"/>
      <c r="AA56" s="631"/>
      <c r="AB56" s="631"/>
      <c r="AC56" s="631"/>
      <c r="AD56" s="631"/>
      <c r="AE56" s="631"/>
      <c r="AF56" s="631"/>
      <c r="AG56" s="658"/>
      <c r="AH56" s="658"/>
    </row>
    <row r="57" spans="1:34">
      <c r="A57" s="640">
        <v>600</v>
      </c>
      <c r="B57" s="789" t="s">
        <v>599</v>
      </c>
      <c r="C57" s="643">
        <v>403</v>
      </c>
      <c r="D57" s="643" t="s">
        <v>600</v>
      </c>
      <c r="E57" s="644"/>
      <c r="F57" s="668">
        <f>SUMIF('New Resources - Individual'!$F$6:$Y$6,F$6,'New Resources - Individual'!$F57:$Y57)</f>
        <v>0</v>
      </c>
      <c r="G57" s="668">
        <f>SUMIF('New Resources - Individual'!$F$6:$Y$6,G$6,'New Resources - Individual'!$F57:$Y57)</f>
        <v>0</v>
      </c>
      <c r="H57" s="669">
        <f>SUMIF('New Resources - Individual'!$F$6:$Y$6,H$6,'New Resources - Individual'!$F57:$Y57)</f>
        <v>0</v>
      </c>
      <c r="I57" s="668">
        <f>SUMIF('New Resources - Individual'!$F$6:$Y$6,I$6,'New Resources - Individual'!$F57:$Y57)</f>
        <v>0</v>
      </c>
      <c r="J57" s="669">
        <f>SUMIF('New Resources - Individual'!$F$6:$Y$6,J$6,'New Resources - Individual'!$F57:$Y57)</f>
        <v>0</v>
      </c>
      <c r="K57" s="669">
        <f>SUMIF('New Resources - Individual'!$F$6:$Y$6,K$6,'New Resources - Individual'!$F57:$Y57)</f>
        <v>0</v>
      </c>
      <c r="L57" s="668">
        <f>SUMIF('New Resources - Individual'!$F$6:$Y$6,L$6,'New Resources - Individual'!$F57:$Y57)</f>
        <v>0</v>
      </c>
      <c r="M57" s="669">
        <f>SUMIF('New Resources - Individual'!$F$6:$Y$6,M$6,'New Resources - Individual'!$F57:$Y57)</f>
        <v>0</v>
      </c>
      <c r="N57" s="668">
        <f>SUMIF('New Resources - Individual'!$F$6:$Y$6,N$6,'New Resources - Individual'!$F57:$Y57)</f>
        <v>0</v>
      </c>
      <c r="O57" s="668">
        <f>SUMIF('New Resources - Individual'!$F$6:$Y$6,O$6,'New Resources - Individual'!$F57:$Y57)</f>
        <v>0</v>
      </c>
      <c r="P57" s="668">
        <f>SUMIF('New Resources - Individual'!$F$6:$Y$6,P$6,'New Resources - Individual'!$F57:$Y57)</f>
        <v>0</v>
      </c>
      <c r="Q57" s="668">
        <f>SUMIF('New Resources - Individual'!$F$6:$Y$6,Q$6,'New Resources - Individual'!$F57:$Y57)</f>
        <v>0</v>
      </c>
      <c r="R57" s="669">
        <f>SUMIF('New Resources - Individual'!$F$6:$Y$6,R$6,'New Resources - Individual'!$F57:$Y57)</f>
        <v>0</v>
      </c>
      <c r="S57" s="669">
        <f>SUMIF('New Resources - Individual'!$F$6:$Y$6,S$6,'New Resources - Individual'!$F57:$Y57)</f>
        <v>0</v>
      </c>
      <c r="T57" s="669">
        <f>SUMIF('New Resources - Individual'!$F$6:$Y$6,T$6,'New Resources - Individual'!$F57:$Y57)</f>
        <v>0</v>
      </c>
      <c r="U57" s="669">
        <f>SUMIF('New Resources - Individual'!$F$6:$Y$6,U$6,'New Resources - Individual'!$F57:$Y57)</f>
        <v>0</v>
      </c>
      <c r="V57" s="669">
        <f>SUMIF('New Resources - Individual'!$F$6:$Y$6,V$6,'New Resources - Individual'!$F57:$Y57)</f>
        <v>0</v>
      </c>
      <c r="W57" s="668">
        <f>SUMIF('New Resources - Individual'!$F$6:$Y$6,W$6,'New Resources - Individual'!$F57:$Y57)</f>
        <v>0</v>
      </c>
      <c r="X57" s="669">
        <f>SUMIF('New Resources - Individual'!$F$6:$Y$6,X$6,'New Resources - Individual'!$F57:$Y57)</f>
        <v>0</v>
      </c>
      <c r="Y57" s="790">
        <f>SUMIF('New Resources - Individual'!$F$6:$Y$6,Y$6,'New Resources - Individual'!$F57:$Y57)</f>
        <v>0</v>
      </c>
      <c r="Z57" s="631"/>
      <c r="AA57" s="631"/>
      <c r="AB57" s="631"/>
      <c r="AC57" s="631"/>
      <c r="AD57" s="631"/>
      <c r="AE57" s="631"/>
      <c r="AF57" s="631"/>
      <c r="AG57" s="658"/>
      <c r="AH57" s="658"/>
    </row>
    <row r="58" spans="1:34">
      <c r="A58" s="640">
        <v>610</v>
      </c>
      <c r="B58" s="789" t="s">
        <v>601</v>
      </c>
      <c r="C58" s="643">
        <v>447</v>
      </c>
      <c r="D58" s="643" t="s">
        <v>602</v>
      </c>
      <c r="E58" s="644"/>
      <c r="F58" s="668">
        <f>SUMIF('New Resources - Individual'!$F$6:$Y$6,F$6,'New Resources - Individual'!$F58:$Y58)</f>
        <v>0</v>
      </c>
      <c r="G58" s="668">
        <f>SUMIF('New Resources - Individual'!$F$6:$Y$6,G$6,'New Resources - Individual'!$F58:$Y58)</f>
        <v>0</v>
      </c>
      <c r="H58" s="669">
        <f>SUMIF('New Resources - Individual'!$F$6:$Y$6,H$6,'New Resources - Individual'!$F58:$Y58)</f>
        <v>0</v>
      </c>
      <c r="I58" s="668">
        <f>SUMIF('New Resources - Individual'!$F$6:$Y$6,I$6,'New Resources - Individual'!$F58:$Y58)</f>
        <v>0</v>
      </c>
      <c r="J58" s="669">
        <f>SUMIF('New Resources - Individual'!$F$6:$Y$6,J$6,'New Resources - Individual'!$F58:$Y58)</f>
        <v>0</v>
      </c>
      <c r="K58" s="669">
        <f>SUMIF('New Resources - Individual'!$F$6:$Y$6,K$6,'New Resources - Individual'!$F58:$Y58)</f>
        <v>0</v>
      </c>
      <c r="L58" s="668">
        <f>SUMIF('New Resources - Individual'!$F$6:$Y$6,L$6,'New Resources - Individual'!$F58:$Y58)</f>
        <v>0</v>
      </c>
      <c r="M58" s="669">
        <f>SUMIF('New Resources - Individual'!$F$6:$Y$6,M$6,'New Resources - Individual'!$F58:$Y58)</f>
        <v>0</v>
      </c>
      <c r="N58" s="668">
        <f>SUMIF('New Resources - Individual'!$F$6:$Y$6,N$6,'New Resources - Individual'!$F58:$Y58)</f>
        <v>0</v>
      </c>
      <c r="O58" s="668">
        <f>SUMIF('New Resources - Individual'!$F$6:$Y$6,O$6,'New Resources - Individual'!$F58:$Y58)</f>
        <v>0</v>
      </c>
      <c r="P58" s="668">
        <f>SUMIF('New Resources - Individual'!$F$6:$Y$6,P$6,'New Resources - Individual'!$F58:$Y58)</f>
        <v>0</v>
      </c>
      <c r="Q58" s="668">
        <f>SUMIF('New Resources - Individual'!$F$6:$Y$6,Q$6,'New Resources - Individual'!$F58:$Y58)</f>
        <v>0</v>
      </c>
      <c r="R58" s="669">
        <f>SUMIF('New Resources - Individual'!$F$6:$Y$6,R$6,'New Resources - Individual'!$F58:$Y58)</f>
        <v>0</v>
      </c>
      <c r="S58" s="669">
        <f>SUMIF('New Resources - Individual'!$F$6:$Y$6,S$6,'New Resources - Individual'!$F58:$Y58)</f>
        <v>0</v>
      </c>
      <c r="T58" s="669">
        <f>SUMIF('New Resources - Individual'!$F$6:$Y$6,T$6,'New Resources - Individual'!$F58:$Y58)</f>
        <v>0</v>
      </c>
      <c r="U58" s="669">
        <f>SUMIF('New Resources - Individual'!$F$6:$Y$6,U$6,'New Resources - Individual'!$F58:$Y58)</f>
        <v>0</v>
      </c>
      <c r="V58" s="669">
        <f>SUMIF('New Resources - Individual'!$F$6:$Y$6,V$6,'New Resources - Individual'!$F58:$Y58)</f>
        <v>0</v>
      </c>
      <c r="W58" s="668">
        <f>SUMIF('New Resources - Individual'!$F$6:$Y$6,W$6,'New Resources - Individual'!$F58:$Y58)</f>
        <v>0</v>
      </c>
      <c r="X58" s="669">
        <f>SUMIF('New Resources - Individual'!$F$6:$Y$6,X$6,'New Resources - Individual'!$F58:$Y58)</f>
        <v>0</v>
      </c>
      <c r="Y58" s="790">
        <f>SUMIF('New Resources - Individual'!$F$6:$Y$6,Y$6,'New Resources - Individual'!$F58:$Y58)</f>
        <v>0</v>
      </c>
      <c r="Z58" s="631"/>
      <c r="AA58" s="631"/>
      <c r="AB58" s="631"/>
      <c r="AC58" s="631"/>
      <c r="AD58" s="631"/>
      <c r="AE58" s="631"/>
      <c r="AF58" s="631"/>
      <c r="AG58" s="658"/>
      <c r="AH58" s="658"/>
    </row>
    <row r="59" spans="1:34">
      <c r="A59" s="640">
        <v>620</v>
      </c>
      <c r="B59" s="791" t="s">
        <v>603</v>
      </c>
      <c r="C59" s="645"/>
      <c r="D59" s="643" t="s">
        <v>602</v>
      </c>
      <c r="E59" s="644"/>
      <c r="F59" s="668">
        <f>SUMIF('New Resources - Individual'!$F$6:$Y$6,F$6,'New Resources - Individual'!$F59:$Y59)</f>
        <v>0</v>
      </c>
      <c r="G59" s="668">
        <f>SUMIF('New Resources - Individual'!$F$6:$Y$6,G$6,'New Resources - Individual'!$F59:$Y59)</f>
        <v>0</v>
      </c>
      <c r="H59" s="669">
        <f>SUMIF('New Resources - Individual'!$F$6:$Y$6,H$6,'New Resources - Individual'!$F59:$Y59)</f>
        <v>0</v>
      </c>
      <c r="I59" s="668">
        <f>SUMIF('New Resources - Individual'!$F$6:$Y$6,I$6,'New Resources - Individual'!$F59:$Y59)</f>
        <v>0</v>
      </c>
      <c r="J59" s="669">
        <f>SUMIF('New Resources - Individual'!$F$6:$Y$6,J$6,'New Resources - Individual'!$F59:$Y59)</f>
        <v>0</v>
      </c>
      <c r="K59" s="669">
        <f>SUMIF('New Resources - Individual'!$F$6:$Y$6,K$6,'New Resources - Individual'!$F59:$Y59)</f>
        <v>0</v>
      </c>
      <c r="L59" s="668">
        <f>SUMIF('New Resources - Individual'!$F$6:$Y$6,L$6,'New Resources - Individual'!$F59:$Y59)</f>
        <v>0</v>
      </c>
      <c r="M59" s="669">
        <f>SUMIF('New Resources - Individual'!$F$6:$Y$6,M$6,'New Resources - Individual'!$F59:$Y59)</f>
        <v>0</v>
      </c>
      <c r="N59" s="668">
        <f>SUMIF('New Resources - Individual'!$F$6:$Y$6,N$6,'New Resources - Individual'!$F59:$Y59)</f>
        <v>0</v>
      </c>
      <c r="O59" s="668">
        <f>SUMIF('New Resources - Individual'!$F$6:$Y$6,O$6,'New Resources - Individual'!$F59:$Y59)</f>
        <v>0</v>
      </c>
      <c r="P59" s="668">
        <f>SUMIF('New Resources - Individual'!$F$6:$Y$6,P$6,'New Resources - Individual'!$F59:$Y59)</f>
        <v>0</v>
      </c>
      <c r="Q59" s="668">
        <f>SUMIF('New Resources - Individual'!$F$6:$Y$6,Q$6,'New Resources - Individual'!$F59:$Y59)</f>
        <v>0</v>
      </c>
      <c r="R59" s="669">
        <f>SUMIF('New Resources - Individual'!$F$6:$Y$6,R$6,'New Resources - Individual'!$F59:$Y59)</f>
        <v>0</v>
      </c>
      <c r="S59" s="669">
        <f>SUMIF('New Resources - Individual'!$F$6:$Y$6,S$6,'New Resources - Individual'!$F59:$Y59)</f>
        <v>0</v>
      </c>
      <c r="T59" s="669">
        <f>SUMIF('New Resources - Individual'!$F$6:$Y$6,T$6,'New Resources - Individual'!$F59:$Y59)</f>
        <v>0</v>
      </c>
      <c r="U59" s="669">
        <f>SUMIF('New Resources - Individual'!$F$6:$Y$6,U$6,'New Resources - Individual'!$F59:$Y59)</f>
        <v>0</v>
      </c>
      <c r="V59" s="669">
        <f>SUMIF('New Resources - Individual'!$F$6:$Y$6,V$6,'New Resources - Individual'!$F59:$Y59)</f>
        <v>0</v>
      </c>
      <c r="W59" s="668">
        <f>SUMIF('New Resources - Individual'!$F$6:$Y$6,W$6,'New Resources - Individual'!$F59:$Y59)</f>
        <v>0</v>
      </c>
      <c r="X59" s="669">
        <f>SUMIF('New Resources - Individual'!$F$6:$Y$6,X$6,'New Resources - Individual'!$F59:$Y59)</f>
        <v>0</v>
      </c>
      <c r="Y59" s="790">
        <f>SUMIF('New Resources - Individual'!$F$6:$Y$6,Y$6,'New Resources - Individual'!$F59:$Y59)</f>
        <v>0</v>
      </c>
      <c r="Z59" s="631"/>
      <c r="AA59" s="631"/>
      <c r="AB59" s="631"/>
      <c r="AC59" s="631"/>
      <c r="AD59" s="631"/>
      <c r="AE59" s="631"/>
      <c r="AF59" s="631"/>
      <c r="AG59" s="658"/>
      <c r="AH59" s="658"/>
    </row>
    <row r="60" spans="1:34">
      <c r="A60" s="640">
        <v>630</v>
      </c>
      <c r="B60" s="789" t="s">
        <v>604</v>
      </c>
      <c r="C60" s="643"/>
      <c r="D60" s="643" t="s">
        <v>602</v>
      </c>
      <c r="E60" s="644"/>
      <c r="F60" s="668">
        <f>SUMIF('New Resources - Individual'!$F$6:$Y$6,F$6,'New Resources - Individual'!$F60:$Y60)</f>
        <v>0</v>
      </c>
      <c r="G60" s="668">
        <f>SUMIF('New Resources - Individual'!$F$6:$Y$6,G$6,'New Resources - Individual'!$F60:$Y60)</f>
        <v>0</v>
      </c>
      <c r="H60" s="669">
        <f>SUMIF('New Resources - Individual'!$F$6:$Y$6,H$6,'New Resources - Individual'!$F60:$Y60)</f>
        <v>0</v>
      </c>
      <c r="I60" s="668">
        <f>SUMIF('New Resources - Individual'!$F$6:$Y$6,I$6,'New Resources - Individual'!$F60:$Y60)</f>
        <v>0</v>
      </c>
      <c r="J60" s="669">
        <f>SUMIF('New Resources - Individual'!$F$6:$Y$6,J$6,'New Resources - Individual'!$F60:$Y60)</f>
        <v>0</v>
      </c>
      <c r="K60" s="669">
        <f>SUMIF('New Resources - Individual'!$F$6:$Y$6,K$6,'New Resources - Individual'!$F60:$Y60)</f>
        <v>0</v>
      </c>
      <c r="L60" s="668">
        <f>SUMIF('New Resources - Individual'!$F$6:$Y$6,L$6,'New Resources - Individual'!$F60:$Y60)</f>
        <v>0</v>
      </c>
      <c r="M60" s="669">
        <f>SUMIF('New Resources - Individual'!$F$6:$Y$6,M$6,'New Resources - Individual'!$F60:$Y60)</f>
        <v>0</v>
      </c>
      <c r="N60" s="668">
        <f>SUMIF('New Resources - Individual'!$F$6:$Y$6,N$6,'New Resources - Individual'!$F60:$Y60)</f>
        <v>0</v>
      </c>
      <c r="O60" s="668">
        <f>SUMIF('New Resources - Individual'!$F$6:$Y$6,O$6,'New Resources - Individual'!$F60:$Y60)</f>
        <v>0</v>
      </c>
      <c r="P60" s="668">
        <f>SUMIF('New Resources - Individual'!$F$6:$Y$6,P$6,'New Resources - Individual'!$F60:$Y60)</f>
        <v>0</v>
      </c>
      <c r="Q60" s="668">
        <f>SUMIF('New Resources - Individual'!$F$6:$Y$6,Q$6,'New Resources - Individual'!$F60:$Y60)</f>
        <v>0</v>
      </c>
      <c r="R60" s="669">
        <f>SUMIF('New Resources - Individual'!$F$6:$Y$6,R$6,'New Resources - Individual'!$F60:$Y60)</f>
        <v>0</v>
      </c>
      <c r="S60" s="669">
        <f>SUMIF('New Resources - Individual'!$F$6:$Y$6,S$6,'New Resources - Individual'!$F60:$Y60)</f>
        <v>0</v>
      </c>
      <c r="T60" s="669">
        <f>SUMIF('New Resources - Individual'!$F$6:$Y$6,T$6,'New Resources - Individual'!$F60:$Y60)</f>
        <v>0</v>
      </c>
      <c r="U60" s="669">
        <f>SUMIF('New Resources - Individual'!$F$6:$Y$6,U$6,'New Resources - Individual'!$F60:$Y60)</f>
        <v>0</v>
      </c>
      <c r="V60" s="669">
        <f>SUMIF('New Resources - Individual'!$F$6:$Y$6,V$6,'New Resources - Individual'!$F60:$Y60)</f>
        <v>0</v>
      </c>
      <c r="W60" s="668">
        <f>SUMIF('New Resources - Individual'!$F$6:$Y$6,W$6,'New Resources - Individual'!$F60:$Y60)</f>
        <v>0</v>
      </c>
      <c r="X60" s="669">
        <f>SUMIF('New Resources - Individual'!$F$6:$Y$6,X$6,'New Resources - Individual'!$F60:$Y60)</f>
        <v>0</v>
      </c>
      <c r="Y60" s="790">
        <f>SUMIF('New Resources - Individual'!$F$6:$Y$6,Y$6,'New Resources - Individual'!$F60:$Y60)</f>
        <v>0</v>
      </c>
      <c r="Z60" s="631"/>
      <c r="AA60" s="631"/>
      <c r="AB60" s="631"/>
      <c r="AC60" s="631"/>
      <c r="AD60" s="631"/>
      <c r="AE60" s="631"/>
      <c r="AF60" s="631"/>
      <c r="AG60" s="658"/>
      <c r="AH60" s="658"/>
    </row>
    <row r="61" spans="1:34">
      <c r="A61" s="640">
        <v>640</v>
      </c>
      <c r="B61" s="792" t="s">
        <v>617</v>
      </c>
      <c r="C61" s="646"/>
      <c r="D61" s="646"/>
      <c r="E61" s="647"/>
      <c r="F61" s="671"/>
      <c r="G61" s="671"/>
      <c r="H61" s="671"/>
      <c r="I61" s="671"/>
      <c r="J61" s="671"/>
      <c r="K61" s="671"/>
      <c r="L61" s="671"/>
      <c r="M61" s="671"/>
      <c r="N61" s="671"/>
      <c r="O61" s="671"/>
      <c r="P61" s="671"/>
      <c r="Q61" s="671"/>
      <c r="R61" s="671"/>
      <c r="S61" s="671"/>
      <c r="T61" s="671"/>
      <c r="U61" s="671"/>
      <c r="V61" s="671"/>
      <c r="W61" s="671"/>
      <c r="X61" s="671"/>
      <c r="Y61" s="793"/>
      <c r="Z61" s="631"/>
      <c r="AA61" s="631"/>
      <c r="AB61" s="631"/>
      <c r="AC61" s="631"/>
      <c r="AD61" s="631"/>
      <c r="AE61" s="631"/>
      <c r="AF61" s="631"/>
      <c r="AG61" s="658"/>
      <c r="AH61" s="658"/>
    </row>
    <row r="62" spans="1:34">
      <c r="A62" s="640">
        <v>650</v>
      </c>
      <c r="B62" s="789" t="s">
        <v>618</v>
      </c>
      <c r="C62" s="645">
        <v>262</v>
      </c>
      <c r="D62" s="645"/>
      <c r="E62" s="644"/>
      <c r="F62" s="668">
        <f>SUMIF('New Resources - Individual'!$F$6:$Y$6,F$6,'New Resources - Individual'!$F62:$Y62)</f>
        <v>0</v>
      </c>
      <c r="G62" s="668">
        <f>SUMIF('New Resources - Individual'!$F$6:$Y$6,G$6,'New Resources - Individual'!$F62:$Y62)</f>
        <v>0</v>
      </c>
      <c r="H62" s="669">
        <f>SUMIF('New Resources - Individual'!$F$6:$Y$6,H$6,'New Resources - Individual'!$F62:$Y62)</f>
        <v>0</v>
      </c>
      <c r="I62" s="668">
        <f>SUMIF('New Resources - Individual'!$F$6:$Y$6,I$6,'New Resources - Individual'!$F62:$Y62)</f>
        <v>0</v>
      </c>
      <c r="J62" s="669">
        <f>SUMIF('New Resources - Individual'!$F$6:$Y$6,J$6,'New Resources - Individual'!$F62:$Y62)</f>
        <v>0</v>
      </c>
      <c r="K62" s="669">
        <f>SUMIF('New Resources - Individual'!$F$6:$Y$6,K$6,'New Resources - Individual'!$F62:$Y62)</f>
        <v>0</v>
      </c>
      <c r="L62" s="668">
        <f>SUMIF('New Resources - Individual'!$F$6:$Y$6,L$6,'New Resources - Individual'!$F62:$Y62)</f>
        <v>0</v>
      </c>
      <c r="M62" s="669">
        <f>SUMIF('New Resources - Individual'!$F$6:$Y$6,M$6,'New Resources - Individual'!$F62:$Y62)</f>
        <v>0</v>
      </c>
      <c r="N62" s="668">
        <f>SUMIF('New Resources - Individual'!$F$6:$Y$6,N$6,'New Resources - Individual'!$F62:$Y62)</f>
        <v>0</v>
      </c>
      <c r="O62" s="668">
        <f>SUMIF('New Resources - Individual'!$F$6:$Y$6,O$6,'New Resources - Individual'!$F62:$Y62)</f>
        <v>0</v>
      </c>
      <c r="P62" s="668">
        <f>SUMIF('New Resources - Individual'!$F$6:$Y$6,P$6,'New Resources - Individual'!$F62:$Y62)</f>
        <v>0</v>
      </c>
      <c r="Q62" s="668">
        <f>SUMIF('New Resources - Individual'!$F$6:$Y$6,Q$6,'New Resources - Individual'!$F62:$Y62)</f>
        <v>0</v>
      </c>
      <c r="R62" s="669">
        <f>SUMIF('New Resources - Individual'!$F$6:$Y$6,R$6,'New Resources - Individual'!$F62:$Y62)</f>
        <v>0</v>
      </c>
      <c r="S62" s="669">
        <f>SUMIF('New Resources - Individual'!$F$6:$Y$6,S$6,'New Resources - Individual'!$F62:$Y62)</f>
        <v>0</v>
      </c>
      <c r="T62" s="669">
        <f>SUMIF('New Resources - Individual'!$F$6:$Y$6,T$6,'New Resources - Individual'!$F62:$Y62)</f>
        <v>0</v>
      </c>
      <c r="U62" s="669">
        <f>SUMIF('New Resources - Individual'!$F$6:$Y$6,U$6,'New Resources - Individual'!$F62:$Y62)</f>
        <v>0</v>
      </c>
      <c r="V62" s="669">
        <f>SUMIF('New Resources - Individual'!$F$6:$Y$6,V$6,'New Resources - Individual'!$F62:$Y62)</f>
        <v>0</v>
      </c>
      <c r="W62" s="668">
        <f>SUMIF('New Resources - Individual'!$F$6:$Y$6,W$6,'New Resources - Individual'!$F62:$Y62)</f>
        <v>0</v>
      </c>
      <c r="X62" s="669">
        <f>SUMIF('New Resources - Individual'!$F$6:$Y$6,X$6,'New Resources - Individual'!$F62:$Y62)</f>
        <v>0</v>
      </c>
      <c r="Y62" s="790">
        <f>SUMIF('New Resources - Individual'!$F$6:$Y$6,Y$6,'New Resources - Individual'!$F62:$Y62)</f>
        <v>0</v>
      </c>
      <c r="Z62" s="631"/>
      <c r="AA62" s="631"/>
      <c r="AB62" s="631"/>
      <c r="AC62" s="631"/>
      <c r="AD62" s="631"/>
      <c r="AE62" s="631"/>
      <c r="AF62" s="631"/>
      <c r="AG62" s="658"/>
      <c r="AH62" s="658"/>
    </row>
    <row r="63" spans="1:34">
      <c r="A63" s="640">
        <v>660</v>
      </c>
      <c r="B63" s="792" t="s">
        <v>287</v>
      </c>
      <c r="C63" s="643"/>
      <c r="D63" s="643"/>
      <c r="E63" s="644"/>
      <c r="F63" s="668">
        <f>SUMIF('New Resources - Individual'!$F$6:$Y$6,F$6,'New Resources - Individual'!$F63:$Y63)</f>
        <v>0</v>
      </c>
      <c r="G63" s="668">
        <f>SUMIF('New Resources - Individual'!$F$6:$Y$6,G$6,'New Resources - Individual'!$F63:$Y63)</f>
        <v>0</v>
      </c>
      <c r="H63" s="669">
        <f>SUMIF('New Resources - Individual'!$F$6:$Y$6,H$6,'New Resources - Individual'!$F63:$Y63)</f>
        <v>0</v>
      </c>
      <c r="I63" s="668">
        <f>SUMIF('New Resources - Individual'!$F$6:$Y$6,I$6,'New Resources - Individual'!$F63:$Y63)</f>
        <v>0</v>
      </c>
      <c r="J63" s="669">
        <f>SUMIF('New Resources - Individual'!$F$6:$Y$6,J$6,'New Resources - Individual'!$F63:$Y63)</f>
        <v>0</v>
      </c>
      <c r="K63" s="669">
        <f>SUMIF('New Resources - Individual'!$F$6:$Y$6,K$6,'New Resources - Individual'!$F63:$Y63)</f>
        <v>0</v>
      </c>
      <c r="L63" s="669">
        <f>SUMIF('New Resources - Individual'!$F$6:$Y$6,L$6,'New Resources - Individual'!$F63:$Y63)</f>
        <v>0</v>
      </c>
      <c r="M63" s="669">
        <f>SUMIF('New Resources - Individual'!$F$6:$Y$6,M$6,'New Resources - Individual'!$F63:$Y63)</f>
        <v>0</v>
      </c>
      <c r="N63" s="669">
        <f>SUMIF('New Resources - Individual'!$F$6:$Y$6,N$6,'New Resources - Individual'!$F63:$Y63)</f>
        <v>0</v>
      </c>
      <c r="O63" s="669">
        <f>SUMIF('New Resources - Individual'!$F$6:$Y$6,O$6,'New Resources - Individual'!$F63:$Y63)</f>
        <v>0</v>
      </c>
      <c r="P63" s="669">
        <f>SUMIF('New Resources - Individual'!$F$6:$Y$6,P$6,'New Resources - Individual'!$F63:$Y63)</f>
        <v>0</v>
      </c>
      <c r="Q63" s="669">
        <f>SUMIF('New Resources - Individual'!$F$6:$Y$6,Q$6,'New Resources - Individual'!$F63:$Y63)</f>
        <v>0</v>
      </c>
      <c r="R63" s="669">
        <f>SUMIF('New Resources - Individual'!$F$6:$Y$6,R$6,'New Resources - Individual'!$F63:$Y63)</f>
        <v>0</v>
      </c>
      <c r="S63" s="669">
        <f>SUMIF('New Resources - Individual'!$F$6:$Y$6,S$6,'New Resources - Individual'!$F63:$Y63)</f>
        <v>0</v>
      </c>
      <c r="T63" s="669">
        <f>SUMIF('New Resources - Individual'!$F$6:$Y$6,T$6,'New Resources - Individual'!$F63:$Y63)</f>
        <v>0</v>
      </c>
      <c r="U63" s="669">
        <f>SUMIF('New Resources - Individual'!$F$6:$Y$6,U$6,'New Resources - Individual'!$F63:$Y63)</f>
        <v>0</v>
      </c>
      <c r="V63" s="669">
        <f>SUMIF('New Resources - Individual'!$F$6:$Y$6,V$6,'New Resources - Individual'!$F63:$Y63)</f>
        <v>0</v>
      </c>
      <c r="W63" s="669">
        <f>SUMIF('New Resources - Individual'!$F$6:$Y$6,W$6,'New Resources - Individual'!$F63:$Y63)</f>
        <v>0</v>
      </c>
      <c r="X63" s="669">
        <f>SUMIF('New Resources - Individual'!$F$6:$Y$6,X$6,'New Resources - Individual'!$F63:$Y63)</f>
        <v>0</v>
      </c>
      <c r="Y63" s="790">
        <f>SUMIF('New Resources - Individual'!$F$6:$Y$6,Y$6,'New Resources - Individual'!$F63:$Y63)</f>
        <v>0</v>
      </c>
      <c r="Z63" s="631"/>
      <c r="AA63" s="631"/>
      <c r="AB63" s="631"/>
      <c r="AC63" s="631"/>
      <c r="AD63" s="631"/>
      <c r="AE63" s="631"/>
      <c r="AF63" s="631"/>
      <c r="AG63" s="658"/>
      <c r="AH63" s="658"/>
    </row>
    <row r="64" spans="1:34">
      <c r="A64" s="640">
        <v>670</v>
      </c>
      <c r="B64" s="789" t="s">
        <v>288</v>
      </c>
      <c r="C64" s="645"/>
      <c r="D64" s="645"/>
      <c r="E64" s="644"/>
      <c r="F64" s="668">
        <f>SUMIF('New Resources - Individual'!$F$6:$Y$6,F$6,'New Resources - Individual'!$F64:$Y64)</f>
        <v>0</v>
      </c>
      <c r="G64" s="668">
        <f>SUMIF('New Resources - Individual'!$F$6:$Y$6,G$6,'New Resources - Individual'!$F64:$Y64)</f>
        <v>0</v>
      </c>
      <c r="H64" s="669">
        <f>SUMIF('New Resources - Individual'!$F$6:$Y$6,H$6,'New Resources - Individual'!$F64:$Y64)</f>
        <v>0</v>
      </c>
      <c r="I64" s="668">
        <f>SUMIF('New Resources - Individual'!$F$6:$Y$6,I$6,'New Resources - Individual'!$F64:$Y64)</f>
        <v>0</v>
      </c>
      <c r="J64" s="669">
        <f>SUMIF('New Resources - Individual'!$F$6:$Y$6,J$6,'New Resources - Individual'!$F64:$Y64)</f>
        <v>0</v>
      </c>
      <c r="K64" s="669">
        <f>SUMIF('New Resources - Individual'!$F$6:$Y$6,K$6,'New Resources - Individual'!$F64:$Y64)</f>
        <v>0</v>
      </c>
      <c r="L64" s="669">
        <f>SUMIF('New Resources - Individual'!$F$6:$Y$6,L$6,'New Resources - Individual'!$F64:$Y64)</f>
        <v>0</v>
      </c>
      <c r="M64" s="669">
        <f>SUMIF('New Resources - Individual'!$F$6:$Y$6,M$6,'New Resources - Individual'!$F64:$Y64)</f>
        <v>0</v>
      </c>
      <c r="N64" s="669">
        <f>SUMIF('New Resources - Individual'!$F$6:$Y$6,N$6,'New Resources - Individual'!$F64:$Y64)</f>
        <v>0</v>
      </c>
      <c r="O64" s="669">
        <f>SUMIF('New Resources - Individual'!$F$6:$Y$6,O$6,'New Resources - Individual'!$F64:$Y64)</f>
        <v>0</v>
      </c>
      <c r="P64" s="669">
        <f>SUMIF('New Resources - Individual'!$F$6:$Y$6,P$6,'New Resources - Individual'!$F64:$Y64)</f>
        <v>0</v>
      </c>
      <c r="Q64" s="669">
        <f>SUMIF('New Resources - Individual'!$F$6:$Y$6,Q$6,'New Resources - Individual'!$F64:$Y64)</f>
        <v>0</v>
      </c>
      <c r="R64" s="669">
        <f>SUMIF('New Resources - Individual'!$F$6:$Y$6,R$6,'New Resources - Individual'!$F64:$Y64)</f>
        <v>0</v>
      </c>
      <c r="S64" s="669">
        <f>SUMIF('New Resources - Individual'!$F$6:$Y$6,S$6,'New Resources - Individual'!$F64:$Y64)</f>
        <v>0</v>
      </c>
      <c r="T64" s="669">
        <f>SUMIF('New Resources - Individual'!$F$6:$Y$6,T$6,'New Resources - Individual'!$F64:$Y64)</f>
        <v>0</v>
      </c>
      <c r="U64" s="669">
        <f>SUMIF('New Resources - Individual'!$F$6:$Y$6,U$6,'New Resources - Individual'!$F64:$Y64)</f>
        <v>0</v>
      </c>
      <c r="V64" s="669">
        <f>SUMIF('New Resources - Individual'!$F$6:$Y$6,V$6,'New Resources - Individual'!$F64:$Y64)</f>
        <v>0</v>
      </c>
      <c r="W64" s="669">
        <f>SUMIF('New Resources - Individual'!$F$6:$Y$6,W$6,'New Resources - Individual'!$F64:$Y64)</f>
        <v>0</v>
      </c>
      <c r="X64" s="669">
        <f>SUMIF('New Resources - Individual'!$F$6:$Y$6,X$6,'New Resources - Individual'!$F64:$Y64)</f>
        <v>0</v>
      </c>
      <c r="Y64" s="790">
        <f>SUMIF('New Resources - Individual'!$F$6:$Y$6,Y$6,'New Resources - Individual'!$F64:$Y64)</f>
        <v>0</v>
      </c>
      <c r="Z64" s="631"/>
      <c r="AA64" s="631"/>
      <c r="AB64" s="631"/>
      <c r="AC64" s="674"/>
      <c r="AD64" s="674"/>
      <c r="AE64" s="674"/>
      <c r="AF64" s="674"/>
      <c r="AG64" s="674"/>
      <c r="AH64" s="658"/>
    </row>
    <row r="65" spans="1:34">
      <c r="A65" s="640">
        <v>680</v>
      </c>
      <c r="B65" s="791" t="s">
        <v>289</v>
      </c>
      <c r="C65" s="643"/>
      <c r="D65" s="643"/>
      <c r="E65" s="644"/>
      <c r="F65" s="668">
        <f>SUMIF('New Resources - Individual'!$F$6:$Y$6,F$6,'New Resources - Individual'!$F65:$Y65)</f>
        <v>0</v>
      </c>
      <c r="G65" s="668">
        <f>SUMIF('New Resources - Individual'!$F$6:$Y$6,G$6,'New Resources - Individual'!$F65:$Y65)</f>
        <v>0</v>
      </c>
      <c r="H65" s="669">
        <f>SUMIF('New Resources - Individual'!$F$6:$Y$6,H$6,'New Resources - Individual'!$F65:$Y65)</f>
        <v>0</v>
      </c>
      <c r="I65" s="668">
        <f>SUMIF('New Resources - Individual'!$F$6:$Y$6,I$6,'New Resources - Individual'!$F65:$Y65)</f>
        <v>0</v>
      </c>
      <c r="J65" s="669">
        <f>SUMIF('New Resources - Individual'!$F$6:$Y$6,J$6,'New Resources - Individual'!$F65:$Y65)</f>
        <v>0</v>
      </c>
      <c r="K65" s="669">
        <f>SUMIF('New Resources - Individual'!$F$6:$Y$6,K$6,'New Resources - Individual'!$F65:$Y65)</f>
        <v>0</v>
      </c>
      <c r="L65" s="669">
        <f>SUMIF('New Resources - Individual'!$F$6:$Y$6,L$6,'New Resources - Individual'!$F65:$Y65)</f>
        <v>0</v>
      </c>
      <c r="M65" s="669">
        <f>SUMIF('New Resources - Individual'!$F$6:$Y$6,M$6,'New Resources - Individual'!$F65:$Y65)</f>
        <v>0</v>
      </c>
      <c r="N65" s="669">
        <f>SUMIF('New Resources - Individual'!$F$6:$Y$6,N$6,'New Resources - Individual'!$F65:$Y65)</f>
        <v>0</v>
      </c>
      <c r="O65" s="669">
        <f>SUMIF('New Resources - Individual'!$F$6:$Y$6,O$6,'New Resources - Individual'!$F65:$Y65)</f>
        <v>0</v>
      </c>
      <c r="P65" s="669">
        <f>SUMIF('New Resources - Individual'!$F$6:$Y$6,P$6,'New Resources - Individual'!$F65:$Y65)</f>
        <v>0</v>
      </c>
      <c r="Q65" s="669">
        <f>SUMIF('New Resources - Individual'!$F$6:$Y$6,Q$6,'New Resources - Individual'!$F65:$Y65)</f>
        <v>0</v>
      </c>
      <c r="R65" s="669">
        <f>SUMIF('New Resources - Individual'!$F$6:$Y$6,R$6,'New Resources - Individual'!$F65:$Y65)</f>
        <v>0</v>
      </c>
      <c r="S65" s="669">
        <f>SUMIF('New Resources - Individual'!$F$6:$Y$6,S$6,'New Resources - Individual'!$F65:$Y65)</f>
        <v>0</v>
      </c>
      <c r="T65" s="669">
        <f>SUMIF('New Resources - Individual'!$F$6:$Y$6,T$6,'New Resources - Individual'!$F65:$Y65)</f>
        <v>0</v>
      </c>
      <c r="U65" s="669">
        <f>SUMIF('New Resources - Individual'!$F$6:$Y$6,U$6,'New Resources - Individual'!$F65:$Y65)</f>
        <v>0</v>
      </c>
      <c r="V65" s="669">
        <f>SUMIF('New Resources - Individual'!$F$6:$Y$6,V$6,'New Resources - Individual'!$F65:$Y65)</f>
        <v>0</v>
      </c>
      <c r="W65" s="669">
        <f>SUMIF('New Resources - Individual'!$F$6:$Y$6,W$6,'New Resources - Individual'!$F65:$Y65)</f>
        <v>0</v>
      </c>
      <c r="X65" s="669">
        <f>SUMIF('New Resources - Individual'!$F$6:$Y$6,X$6,'New Resources - Individual'!$F65:$Y65)</f>
        <v>0</v>
      </c>
      <c r="Y65" s="790">
        <f>SUMIF('New Resources - Individual'!$F$6:$Y$6,Y$6,'New Resources - Individual'!$F65:$Y65)</f>
        <v>0</v>
      </c>
      <c r="Z65" s="631"/>
      <c r="AA65" s="631"/>
      <c r="AB65" s="631"/>
      <c r="AC65" s="631"/>
      <c r="AD65" s="631"/>
      <c r="AE65" s="631"/>
      <c r="AF65" s="631"/>
      <c r="AG65" s="658"/>
      <c r="AH65" s="658"/>
    </row>
    <row r="66" spans="1:34">
      <c r="A66" s="640">
        <v>690</v>
      </c>
      <c r="B66" s="789" t="s">
        <v>290</v>
      </c>
      <c r="C66" s="645"/>
      <c r="D66" s="645"/>
      <c r="E66" s="644"/>
      <c r="F66" s="668">
        <f>SUMIF('New Resources - Individual'!$F$6:$Y$6,F$6,'New Resources - Individual'!$F66:$Y66)</f>
        <v>0</v>
      </c>
      <c r="G66" s="668">
        <f>SUMIF('New Resources - Individual'!$F$6:$Y$6,G$6,'New Resources - Individual'!$F66:$Y66)</f>
        <v>0</v>
      </c>
      <c r="H66" s="669">
        <f>SUMIF('New Resources - Individual'!$F$6:$Y$6,H$6,'New Resources - Individual'!$F66:$Y66)</f>
        <v>0</v>
      </c>
      <c r="I66" s="668">
        <f>SUMIF('New Resources - Individual'!$F$6:$Y$6,I$6,'New Resources - Individual'!$F66:$Y66)</f>
        <v>0</v>
      </c>
      <c r="J66" s="669">
        <f>SUMIF('New Resources - Individual'!$F$6:$Y$6,J$6,'New Resources - Individual'!$F66:$Y66)</f>
        <v>0</v>
      </c>
      <c r="K66" s="669">
        <f>SUMIF('New Resources - Individual'!$F$6:$Y$6,K$6,'New Resources - Individual'!$F66:$Y66)</f>
        <v>0</v>
      </c>
      <c r="L66" s="669">
        <f>SUMIF('New Resources - Individual'!$F$6:$Y$6,L$6,'New Resources - Individual'!$F66:$Y66)</f>
        <v>0</v>
      </c>
      <c r="M66" s="669">
        <f>SUMIF('New Resources - Individual'!$F$6:$Y$6,M$6,'New Resources - Individual'!$F66:$Y66)</f>
        <v>0</v>
      </c>
      <c r="N66" s="669">
        <f>SUMIF('New Resources - Individual'!$F$6:$Y$6,N$6,'New Resources - Individual'!$F66:$Y66)</f>
        <v>0</v>
      </c>
      <c r="O66" s="669">
        <f>SUMIF('New Resources - Individual'!$F$6:$Y$6,O$6,'New Resources - Individual'!$F66:$Y66)</f>
        <v>0</v>
      </c>
      <c r="P66" s="669">
        <f>SUMIF('New Resources - Individual'!$F$6:$Y$6,P$6,'New Resources - Individual'!$F66:$Y66)</f>
        <v>0</v>
      </c>
      <c r="Q66" s="669">
        <f>SUMIF('New Resources - Individual'!$F$6:$Y$6,Q$6,'New Resources - Individual'!$F66:$Y66)</f>
        <v>0</v>
      </c>
      <c r="R66" s="669">
        <f>SUMIF('New Resources - Individual'!$F$6:$Y$6,R$6,'New Resources - Individual'!$F66:$Y66)</f>
        <v>0</v>
      </c>
      <c r="S66" s="669">
        <f>SUMIF('New Resources - Individual'!$F$6:$Y$6,S$6,'New Resources - Individual'!$F66:$Y66)</f>
        <v>0</v>
      </c>
      <c r="T66" s="669">
        <f>SUMIF('New Resources - Individual'!$F$6:$Y$6,T$6,'New Resources - Individual'!$F66:$Y66)</f>
        <v>0</v>
      </c>
      <c r="U66" s="669">
        <f>SUMIF('New Resources - Individual'!$F$6:$Y$6,U$6,'New Resources - Individual'!$F66:$Y66)</f>
        <v>0</v>
      </c>
      <c r="V66" s="669">
        <f>SUMIF('New Resources - Individual'!$F$6:$Y$6,V$6,'New Resources - Individual'!$F66:$Y66)</f>
        <v>0</v>
      </c>
      <c r="W66" s="669">
        <f>SUMIF('New Resources - Individual'!$F$6:$Y$6,W$6,'New Resources - Individual'!$F66:$Y66)</f>
        <v>0</v>
      </c>
      <c r="X66" s="669">
        <f>SUMIF('New Resources - Individual'!$F$6:$Y$6,X$6,'New Resources - Individual'!$F66:$Y66)</f>
        <v>0</v>
      </c>
      <c r="Y66" s="790">
        <f>SUMIF('New Resources - Individual'!$F$6:$Y$6,Y$6,'New Resources - Individual'!$F66:$Y66)</f>
        <v>0</v>
      </c>
      <c r="Z66" s="631"/>
      <c r="AA66" s="631"/>
      <c r="AB66" s="631"/>
      <c r="AC66" s="631"/>
      <c r="AD66" s="631"/>
      <c r="AE66" s="631"/>
      <c r="AF66" s="631"/>
      <c r="AG66" s="658"/>
      <c r="AH66" s="658"/>
    </row>
    <row r="67" spans="1:34">
      <c r="A67" s="640">
        <v>700</v>
      </c>
      <c r="B67" s="791" t="s">
        <v>291</v>
      </c>
      <c r="C67" s="643"/>
      <c r="D67" s="643"/>
      <c r="E67" s="644"/>
      <c r="F67" s="668">
        <f>SUMIF('New Resources - Individual'!$F$6:$Y$6,F$6,'New Resources - Individual'!$F67:$Y67)</f>
        <v>0</v>
      </c>
      <c r="G67" s="668">
        <f>SUMIF('New Resources - Individual'!$F$6:$Y$6,G$6,'New Resources - Individual'!$F67:$Y67)</f>
        <v>0</v>
      </c>
      <c r="H67" s="669">
        <f>SUMIF('New Resources - Individual'!$F$6:$Y$6,H$6,'New Resources - Individual'!$F67:$Y67)</f>
        <v>0</v>
      </c>
      <c r="I67" s="668">
        <f>SUMIF('New Resources - Individual'!$F$6:$Y$6,I$6,'New Resources - Individual'!$F67:$Y67)</f>
        <v>0</v>
      </c>
      <c r="J67" s="669">
        <f>SUMIF('New Resources - Individual'!$F$6:$Y$6,J$6,'New Resources - Individual'!$F67:$Y67)</f>
        <v>0</v>
      </c>
      <c r="K67" s="669">
        <f>SUMIF('New Resources - Individual'!$F$6:$Y$6,K$6,'New Resources - Individual'!$F67:$Y67)</f>
        <v>0</v>
      </c>
      <c r="L67" s="669">
        <f>SUMIF('New Resources - Individual'!$F$6:$Y$6,L$6,'New Resources - Individual'!$F67:$Y67)</f>
        <v>0</v>
      </c>
      <c r="M67" s="669">
        <f>SUMIF('New Resources - Individual'!$F$6:$Y$6,M$6,'New Resources - Individual'!$F67:$Y67)</f>
        <v>0</v>
      </c>
      <c r="N67" s="669">
        <f>SUMIF('New Resources - Individual'!$F$6:$Y$6,N$6,'New Resources - Individual'!$F67:$Y67)</f>
        <v>0</v>
      </c>
      <c r="O67" s="669">
        <f>SUMIF('New Resources - Individual'!$F$6:$Y$6,O$6,'New Resources - Individual'!$F67:$Y67)</f>
        <v>0</v>
      </c>
      <c r="P67" s="669">
        <f>SUMIF('New Resources - Individual'!$F$6:$Y$6,P$6,'New Resources - Individual'!$F67:$Y67)</f>
        <v>0</v>
      </c>
      <c r="Q67" s="669">
        <f>SUMIF('New Resources - Individual'!$F$6:$Y$6,Q$6,'New Resources - Individual'!$F67:$Y67)</f>
        <v>0</v>
      </c>
      <c r="R67" s="669">
        <f>SUMIF('New Resources - Individual'!$F$6:$Y$6,R$6,'New Resources - Individual'!$F67:$Y67)</f>
        <v>0</v>
      </c>
      <c r="S67" s="669">
        <f>SUMIF('New Resources - Individual'!$F$6:$Y$6,S$6,'New Resources - Individual'!$F67:$Y67)</f>
        <v>0</v>
      </c>
      <c r="T67" s="669">
        <f>SUMIF('New Resources - Individual'!$F$6:$Y$6,T$6,'New Resources - Individual'!$F67:$Y67)</f>
        <v>0</v>
      </c>
      <c r="U67" s="669">
        <f>SUMIF('New Resources - Individual'!$F$6:$Y$6,U$6,'New Resources - Individual'!$F67:$Y67)</f>
        <v>0</v>
      </c>
      <c r="V67" s="669">
        <f>SUMIF('New Resources - Individual'!$F$6:$Y$6,V$6,'New Resources - Individual'!$F67:$Y67)</f>
        <v>0</v>
      </c>
      <c r="W67" s="669">
        <f>SUMIF('New Resources - Individual'!$F$6:$Y$6,W$6,'New Resources - Individual'!$F67:$Y67)</f>
        <v>0</v>
      </c>
      <c r="X67" s="669">
        <f>SUMIF('New Resources - Individual'!$F$6:$Y$6,X$6,'New Resources - Individual'!$F67:$Y67)</f>
        <v>0</v>
      </c>
      <c r="Y67" s="790">
        <f>SUMIF('New Resources - Individual'!$F$6:$Y$6,Y$6,'New Resources - Individual'!$F67:$Y67)</f>
        <v>0</v>
      </c>
      <c r="Z67" s="631"/>
      <c r="AA67" s="631"/>
      <c r="AB67" s="631"/>
      <c r="AC67" s="631"/>
      <c r="AD67" s="631"/>
      <c r="AE67" s="631"/>
      <c r="AF67" s="631"/>
      <c r="AG67" s="658"/>
      <c r="AH67" s="658"/>
    </row>
    <row r="68" spans="1:34">
      <c r="A68" s="640">
        <v>710</v>
      </c>
      <c r="B68" s="789" t="s">
        <v>292</v>
      </c>
      <c r="C68" s="645"/>
      <c r="D68" s="645"/>
      <c r="E68" s="644"/>
      <c r="F68" s="668">
        <f>SUMIF('New Resources - Individual'!$F$6:$Y$6,F$6,'New Resources - Individual'!$F68:$Y68)</f>
        <v>0</v>
      </c>
      <c r="G68" s="668">
        <f>SUMIF('New Resources - Individual'!$F$6:$Y$6,G$6,'New Resources - Individual'!$F68:$Y68)</f>
        <v>0</v>
      </c>
      <c r="H68" s="669">
        <f>SUMIF('New Resources - Individual'!$F$6:$Y$6,H$6,'New Resources - Individual'!$F68:$Y68)</f>
        <v>0</v>
      </c>
      <c r="I68" s="668">
        <f>SUMIF('New Resources - Individual'!$F$6:$Y$6,I$6,'New Resources - Individual'!$F68:$Y68)</f>
        <v>0</v>
      </c>
      <c r="J68" s="669">
        <f>SUMIF('New Resources - Individual'!$F$6:$Y$6,J$6,'New Resources - Individual'!$F68:$Y68)</f>
        <v>0</v>
      </c>
      <c r="K68" s="669">
        <f>SUMIF('New Resources - Individual'!$F$6:$Y$6,K$6,'New Resources - Individual'!$F68:$Y68)</f>
        <v>0</v>
      </c>
      <c r="L68" s="669">
        <f>SUMIF('New Resources - Individual'!$F$6:$Y$6,L$6,'New Resources - Individual'!$F68:$Y68)</f>
        <v>0</v>
      </c>
      <c r="M68" s="669">
        <f>SUMIF('New Resources - Individual'!$F$6:$Y$6,M$6,'New Resources - Individual'!$F68:$Y68)</f>
        <v>0</v>
      </c>
      <c r="N68" s="669">
        <f>SUMIF('New Resources - Individual'!$F$6:$Y$6,N$6,'New Resources - Individual'!$F68:$Y68)</f>
        <v>0</v>
      </c>
      <c r="O68" s="669">
        <f>SUMIF('New Resources - Individual'!$F$6:$Y$6,O$6,'New Resources - Individual'!$F68:$Y68)</f>
        <v>0</v>
      </c>
      <c r="P68" s="669">
        <f>SUMIF('New Resources - Individual'!$F$6:$Y$6,P$6,'New Resources - Individual'!$F68:$Y68)</f>
        <v>0</v>
      </c>
      <c r="Q68" s="669">
        <f>SUMIF('New Resources - Individual'!$F$6:$Y$6,Q$6,'New Resources - Individual'!$F68:$Y68)</f>
        <v>0</v>
      </c>
      <c r="R68" s="669">
        <f>SUMIF('New Resources - Individual'!$F$6:$Y$6,R$6,'New Resources - Individual'!$F68:$Y68)</f>
        <v>0</v>
      </c>
      <c r="S68" s="669">
        <f>SUMIF('New Resources - Individual'!$F$6:$Y$6,S$6,'New Resources - Individual'!$F68:$Y68)</f>
        <v>0</v>
      </c>
      <c r="T68" s="669">
        <f>SUMIF('New Resources - Individual'!$F$6:$Y$6,T$6,'New Resources - Individual'!$F68:$Y68)</f>
        <v>0</v>
      </c>
      <c r="U68" s="669">
        <f>SUMIF('New Resources - Individual'!$F$6:$Y$6,U$6,'New Resources - Individual'!$F68:$Y68)</f>
        <v>0</v>
      </c>
      <c r="V68" s="669">
        <f>SUMIF('New Resources - Individual'!$F$6:$Y$6,V$6,'New Resources - Individual'!$F68:$Y68)</f>
        <v>0</v>
      </c>
      <c r="W68" s="669">
        <f>SUMIF('New Resources - Individual'!$F$6:$Y$6,W$6,'New Resources - Individual'!$F68:$Y68)</f>
        <v>0</v>
      </c>
      <c r="X68" s="669">
        <f>SUMIF('New Resources - Individual'!$F$6:$Y$6,X$6,'New Resources - Individual'!$F68:$Y68)</f>
        <v>0</v>
      </c>
      <c r="Y68" s="790">
        <f>SUMIF('New Resources - Individual'!$F$6:$Y$6,Y$6,'New Resources - Individual'!$F68:$Y68)</f>
        <v>0</v>
      </c>
      <c r="Z68" s="631"/>
      <c r="AA68" s="631"/>
      <c r="AB68" s="631"/>
      <c r="AC68" s="631"/>
      <c r="AD68" s="631"/>
      <c r="AE68" s="631"/>
      <c r="AF68" s="631"/>
      <c r="AG68" s="658"/>
      <c r="AH68" s="658"/>
    </row>
    <row r="69" spans="1:34">
      <c r="A69" s="640">
        <v>720</v>
      </c>
      <c r="B69" s="791" t="s">
        <v>293</v>
      </c>
      <c r="C69" s="643"/>
      <c r="D69" s="643"/>
      <c r="E69" s="644"/>
      <c r="F69" s="668">
        <f>SUMIF('New Resources - Individual'!$F$6:$Y$6,F$6,'New Resources - Individual'!$F69:$Y69)</f>
        <v>0</v>
      </c>
      <c r="G69" s="668">
        <f>SUMIF('New Resources - Individual'!$F$6:$Y$6,G$6,'New Resources - Individual'!$F69:$Y69)</f>
        <v>0</v>
      </c>
      <c r="H69" s="669">
        <f>SUMIF('New Resources - Individual'!$F$6:$Y$6,H$6,'New Resources - Individual'!$F69:$Y69)</f>
        <v>0</v>
      </c>
      <c r="I69" s="668">
        <f>SUMIF('New Resources - Individual'!$F$6:$Y$6,I$6,'New Resources - Individual'!$F69:$Y69)</f>
        <v>0</v>
      </c>
      <c r="J69" s="669">
        <f>SUMIF('New Resources - Individual'!$F$6:$Y$6,J$6,'New Resources - Individual'!$F69:$Y69)</f>
        <v>0</v>
      </c>
      <c r="K69" s="669">
        <f>SUMIF('New Resources - Individual'!$F$6:$Y$6,K$6,'New Resources - Individual'!$F69:$Y69)</f>
        <v>0</v>
      </c>
      <c r="L69" s="669">
        <f>SUMIF('New Resources - Individual'!$F$6:$Y$6,L$6,'New Resources - Individual'!$F69:$Y69)</f>
        <v>0</v>
      </c>
      <c r="M69" s="669">
        <f>SUMIF('New Resources - Individual'!$F$6:$Y$6,M$6,'New Resources - Individual'!$F69:$Y69)</f>
        <v>0</v>
      </c>
      <c r="N69" s="669">
        <f>SUMIF('New Resources - Individual'!$F$6:$Y$6,N$6,'New Resources - Individual'!$F69:$Y69)</f>
        <v>0</v>
      </c>
      <c r="O69" s="669">
        <f>SUMIF('New Resources - Individual'!$F$6:$Y$6,O$6,'New Resources - Individual'!$F69:$Y69)</f>
        <v>0</v>
      </c>
      <c r="P69" s="669">
        <f>SUMIF('New Resources - Individual'!$F$6:$Y$6,P$6,'New Resources - Individual'!$F69:$Y69)</f>
        <v>0</v>
      </c>
      <c r="Q69" s="669">
        <f>SUMIF('New Resources - Individual'!$F$6:$Y$6,Q$6,'New Resources - Individual'!$F69:$Y69)</f>
        <v>0</v>
      </c>
      <c r="R69" s="669">
        <f>SUMIF('New Resources - Individual'!$F$6:$Y$6,R$6,'New Resources - Individual'!$F69:$Y69)</f>
        <v>0</v>
      </c>
      <c r="S69" s="669">
        <f>SUMIF('New Resources - Individual'!$F$6:$Y$6,S$6,'New Resources - Individual'!$F69:$Y69)</f>
        <v>0</v>
      </c>
      <c r="T69" s="669">
        <f>SUMIF('New Resources - Individual'!$F$6:$Y$6,T$6,'New Resources - Individual'!$F69:$Y69)</f>
        <v>0</v>
      </c>
      <c r="U69" s="669">
        <f>SUMIF('New Resources - Individual'!$F$6:$Y$6,U$6,'New Resources - Individual'!$F69:$Y69)</f>
        <v>0</v>
      </c>
      <c r="V69" s="669">
        <f>SUMIF('New Resources - Individual'!$F$6:$Y$6,V$6,'New Resources - Individual'!$F69:$Y69)</f>
        <v>0</v>
      </c>
      <c r="W69" s="669">
        <f>SUMIF('New Resources - Individual'!$F$6:$Y$6,W$6,'New Resources - Individual'!$F69:$Y69)</f>
        <v>0</v>
      </c>
      <c r="X69" s="669">
        <f>SUMIF('New Resources - Individual'!$F$6:$Y$6,X$6,'New Resources - Individual'!$F69:$Y69)</f>
        <v>0</v>
      </c>
      <c r="Y69" s="790">
        <f>SUMIF('New Resources - Individual'!$F$6:$Y$6,Y$6,'New Resources - Individual'!$F69:$Y69)</f>
        <v>0</v>
      </c>
      <c r="Z69" s="631"/>
      <c r="AA69" s="631"/>
      <c r="AB69" s="631"/>
      <c r="AC69" s="631"/>
      <c r="AD69" s="631"/>
      <c r="AE69" s="631"/>
      <c r="AF69" s="631"/>
      <c r="AG69" s="658"/>
      <c r="AH69" s="658"/>
    </row>
    <row r="70" spans="1:34">
      <c r="A70" s="640">
        <v>730</v>
      </c>
      <c r="B70" s="789" t="s">
        <v>294</v>
      </c>
      <c r="C70" s="645"/>
      <c r="D70" s="645"/>
      <c r="E70" s="644"/>
      <c r="F70" s="668">
        <f>SUMIF('New Resources - Individual'!$F$6:$Y$6,F$6,'New Resources - Individual'!$F70:$Y70)</f>
        <v>0</v>
      </c>
      <c r="G70" s="668">
        <f>SUMIF('New Resources - Individual'!$F$6:$Y$6,G$6,'New Resources - Individual'!$F70:$Y70)</f>
        <v>0</v>
      </c>
      <c r="H70" s="669">
        <f>SUMIF('New Resources - Individual'!$F$6:$Y$6,H$6,'New Resources - Individual'!$F70:$Y70)</f>
        <v>0</v>
      </c>
      <c r="I70" s="668">
        <f>SUMIF('New Resources - Individual'!$F$6:$Y$6,I$6,'New Resources - Individual'!$F70:$Y70)</f>
        <v>0</v>
      </c>
      <c r="J70" s="669">
        <f>SUMIF('New Resources - Individual'!$F$6:$Y$6,J$6,'New Resources - Individual'!$F70:$Y70)</f>
        <v>0</v>
      </c>
      <c r="K70" s="669">
        <f>SUMIF('New Resources - Individual'!$F$6:$Y$6,K$6,'New Resources - Individual'!$F70:$Y70)</f>
        <v>0</v>
      </c>
      <c r="L70" s="669">
        <f>SUMIF('New Resources - Individual'!$F$6:$Y$6,L$6,'New Resources - Individual'!$F70:$Y70)</f>
        <v>0</v>
      </c>
      <c r="M70" s="669">
        <f>SUMIF('New Resources - Individual'!$F$6:$Y$6,M$6,'New Resources - Individual'!$F70:$Y70)</f>
        <v>0</v>
      </c>
      <c r="N70" s="669">
        <f>SUMIF('New Resources - Individual'!$F$6:$Y$6,N$6,'New Resources - Individual'!$F70:$Y70)</f>
        <v>0</v>
      </c>
      <c r="O70" s="669">
        <f>SUMIF('New Resources - Individual'!$F$6:$Y$6,O$6,'New Resources - Individual'!$F70:$Y70)</f>
        <v>0</v>
      </c>
      <c r="P70" s="669">
        <f>SUMIF('New Resources - Individual'!$F$6:$Y$6,P$6,'New Resources - Individual'!$F70:$Y70)</f>
        <v>0</v>
      </c>
      <c r="Q70" s="669">
        <f>SUMIF('New Resources - Individual'!$F$6:$Y$6,Q$6,'New Resources - Individual'!$F70:$Y70)</f>
        <v>0</v>
      </c>
      <c r="R70" s="669">
        <f>SUMIF('New Resources - Individual'!$F$6:$Y$6,R$6,'New Resources - Individual'!$F70:$Y70)</f>
        <v>0</v>
      </c>
      <c r="S70" s="669">
        <f>SUMIF('New Resources - Individual'!$F$6:$Y$6,S$6,'New Resources - Individual'!$F70:$Y70)</f>
        <v>0</v>
      </c>
      <c r="T70" s="669">
        <f>SUMIF('New Resources - Individual'!$F$6:$Y$6,T$6,'New Resources - Individual'!$F70:$Y70)</f>
        <v>0</v>
      </c>
      <c r="U70" s="669">
        <f>SUMIF('New Resources - Individual'!$F$6:$Y$6,U$6,'New Resources - Individual'!$F70:$Y70)</f>
        <v>0</v>
      </c>
      <c r="V70" s="669">
        <f>SUMIF('New Resources - Individual'!$F$6:$Y$6,V$6,'New Resources - Individual'!$F70:$Y70)</f>
        <v>0</v>
      </c>
      <c r="W70" s="669">
        <f>SUMIF('New Resources - Individual'!$F$6:$Y$6,W$6,'New Resources - Individual'!$F70:$Y70)</f>
        <v>0</v>
      </c>
      <c r="X70" s="669">
        <f>SUMIF('New Resources - Individual'!$F$6:$Y$6,X$6,'New Resources - Individual'!$F70:$Y70)</f>
        <v>0</v>
      </c>
      <c r="Y70" s="790">
        <f>SUMIF('New Resources - Individual'!$F$6:$Y$6,Y$6,'New Resources - Individual'!$F70:$Y70)</f>
        <v>0</v>
      </c>
      <c r="Z70" s="631"/>
      <c r="AA70" s="631"/>
      <c r="AB70" s="631"/>
      <c r="AC70" s="631"/>
      <c r="AD70" s="631"/>
      <c r="AE70" s="631"/>
      <c r="AF70" s="631"/>
      <c r="AG70" s="658"/>
      <c r="AH70" s="658"/>
    </row>
    <row r="71" spans="1:34">
      <c r="A71" s="640">
        <v>740</v>
      </c>
      <c r="B71" s="791" t="s">
        <v>295</v>
      </c>
      <c r="C71" s="643"/>
      <c r="D71" s="643"/>
      <c r="E71" s="644"/>
      <c r="F71" s="668">
        <f>SUMIF('New Resources - Individual'!$F$6:$Y$6,F$6,'New Resources - Individual'!$F71:$Y71)</f>
        <v>0</v>
      </c>
      <c r="G71" s="668">
        <f>SUMIF('New Resources - Individual'!$F$6:$Y$6,G$6,'New Resources - Individual'!$F71:$Y71)</f>
        <v>0</v>
      </c>
      <c r="H71" s="669">
        <f>SUMIF('New Resources - Individual'!$F$6:$Y$6,H$6,'New Resources - Individual'!$F71:$Y71)</f>
        <v>0</v>
      </c>
      <c r="I71" s="668">
        <f>SUMIF('New Resources - Individual'!$F$6:$Y$6,I$6,'New Resources - Individual'!$F71:$Y71)</f>
        <v>0</v>
      </c>
      <c r="J71" s="669">
        <f>SUMIF('New Resources - Individual'!$F$6:$Y$6,J$6,'New Resources - Individual'!$F71:$Y71)</f>
        <v>0</v>
      </c>
      <c r="K71" s="669">
        <f>SUMIF('New Resources - Individual'!$F$6:$Y$6,K$6,'New Resources - Individual'!$F71:$Y71)</f>
        <v>0</v>
      </c>
      <c r="L71" s="669">
        <f>SUMIF('New Resources - Individual'!$F$6:$Y$6,L$6,'New Resources - Individual'!$F71:$Y71)</f>
        <v>0</v>
      </c>
      <c r="M71" s="669">
        <f>SUMIF('New Resources - Individual'!$F$6:$Y$6,M$6,'New Resources - Individual'!$F71:$Y71)</f>
        <v>0</v>
      </c>
      <c r="N71" s="669">
        <f>SUMIF('New Resources - Individual'!$F$6:$Y$6,N$6,'New Resources - Individual'!$F71:$Y71)</f>
        <v>0</v>
      </c>
      <c r="O71" s="669">
        <f>SUMIF('New Resources - Individual'!$F$6:$Y$6,O$6,'New Resources - Individual'!$F71:$Y71)</f>
        <v>0</v>
      </c>
      <c r="P71" s="669">
        <f>SUMIF('New Resources - Individual'!$F$6:$Y$6,P$6,'New Resources - Individual'!$F71:$Y71)</f>
        <v>0</v>
      </c>
      <c r="Q71" s="669">
        <f>SUMIF('New Resources - Individual'!$F$6:$Y$6,Q$6,'New Resources - Individual'!$F71:$Y71)</f>
        <v>0</v>
      </c>
      <c r="R71" s="669">
        <f>SUMIF('New Resources - Individual'!$F$6:$Y$6,R$6,'New Resources - Individual'!$F71:$Y71)</f>
        <v>0</v>
      </c>
      <c r="S71" s="669">
        <f>SUMIF('New Resources - Individual'!$F$6:$Y$6,S$6,'New Resources - Individual'!$F71:$Y71)</f>
        <v>0</v>
      </c>
      <c r="T71" s="669">
        <f>SUMIF('New Resources - Individual'!$F$6:$Y$6,T$6,'New Resources - Individual'!$F71:$Y71)</f>
        <v>0</v>
      </c>
      <c r="U71" s="669">
        <f>SUMIF('New Resources - Individual'!$F$6:$Y$6,U$6,'New Resources - Individual'!$F71:$Y71)</f>
        <v>0</v>
      </c>
      <c r="V71" s="669">
        <f>SUMIF('New Resources - Individual'!$F$6:$Y$6,V$6,'New Resources - Individual'!$F71:$Y71)</f>
        <v>0</v>
      </c>
      <c r="W71" s="669">
        <f>SUMIF('New Resources - Individual'!$F$6:$Y$6,W$6,'New Resources - Individual'!$F71:$Y71)</f>
        <v>0</v>
      </c>
      <c r="X71" s="669">
        <f>SUMIF('New Resources - Individual'!$F$6:$Y$6,X$6,'New Resources - Individual'!$F71:$Y71)</f>
        <v>0</v>
      </c>
      <c r="Y71" s="790">
        <f>SUMIF('New Resources - Individual'!$F$6:$Y$6,Y$6,'New Resources - Individual'!$F71:$Y71)</f>
        <v>0</v>
      </c>
      <c r="Z71" s="631"/>
      <c r="AA71" s="631"/>
      <c r="AB71" s="631"/>
      <c r="AC71" s="631"/>
      <c r="AD71" s="631"/>
      <c r="AE71" s="631"/>
      <c r="AF71" s="631"/>
      <c r="AG71" s="658"/>
      <c r="AH71" s="658"/>
    </row>
    <row r="72" spans="1:34">
      <c r="A72" s="640">
        <v>750</v>
      </c>
      <c r="B72" s="789" t="s">
        <v>296</v>
      </c>
      <c r="C72" s="643"/>
      <c r="D72" s="643"/>
      <c r="E72" s="644"/>
      <c r="F72" s="668">
        <f>SUMIF('New Resources - Individual'!$F$6:$Y$6,F$6,'New Resources - Individual'!$F72:$Y72)</f>
        <v>0</v>
      </c>
      <c r="G72" s="668">
        <f>SUMIF('New Resources - Individual'!$F$6:$Y$6,G$6,'New Resources - Individual'!$F72:$Y72)</f>
        <v>0</v>
      </c>
      <c r="H72" s="669">
        <f>SUMIF('New Resources - Individual'!$F$6:$Y$6,H$6,'New Resources - Individual'!$F72:$Y72)</f>
        <v>0</v>
      </c>
      <c r="I72" s="668">
        <f>SUMIF('New Resources - Individual'!$F$6:$Y$6,I$6,'New Resources - Individual'!$F72:$Y72)</f>
        <v>0</v>
      </c>
      <c r="J72" s="669">
        <f>SUMIF('New Resources - Individual'!$F$6:$Y$6,J$6,'New Resources - Individual'!$F72:$Y72)</f>
        <v>0</v>
      </c>
      <c r="K72" s="669">
        <f>SUMIF('New Resources - Individual'!$F$6:$Y$6,K$6,'New Resources - Individual'!$F72:$Y72)</f>
        <v>0</v>
      </c>
      <c r="L72" s="669">
        <f>SUMIF('New Resources - Individual'!$F$6:$Y$6,L$6,'New Resources - Individual'!$F72:$Y72)</f>
        <v>0</v>
      </c>
      <c r="M72" s="669">
        <f>SUMIF('New Resources - Individual'!$F$6:$Y$6,M$6,'New Resources - Individual'!$F72:$Y72)</f>
        <v>0</v>
      </c>
      <c r="N72" s="669">
        <f>SUMIF('New Resources - Individual'!$F$6:$Y$6,N$6,'New Resources - Individual'!$F72:$Y72)</f>
        <v>0</v>
      </c>
      <c r="O72" s="669">
        <f>SUMIF('New Resources - Individual'!$F$6:$Y$6,O$6,'New Resources - Individual'!$F72:$Y72)</f>
        <v>0</v>
      </c>
      <c r="P72" s="669">
        <f>SUMIF('New Resources - Individual'!$F$6:$Y$6,P$6,'New Resources - Individual'!$F72:$Y72)</f>
        <v>0</v>
      </c>
      <c r="Q72" s="669">
        <f>SUMIF('New Resources - Individual'!$F$6:$Y$6,Q$6,'New Resources - Individual'!$F72:$Y72)</f>
        <v>0</v>
      </c>
      <c r="R72" s="669">
        <f>SUMIF('New Resources - Individual'!$F$6:$Y$6,R$6,'New Resources - Individual'!$F72:$Y72)</f>
        <v>0</v>
      </c>
      <c r="S72" s="669">
        <f>SUMIF('New Resources - Individual'!$F$6:$Y$6,S$6,'New Resources - Individual'!$F72:$Y72)</f>
        <v>0</v>
      </c>
      <c r="T72" s="669">
        <f>SUMIF('New Resources - Individual'!$F$6:$Y$6,T$6,'New Resources - Individual'!$F72:$Y72)</f>
        <v>0</v>
      </c>
      <c r="U72" s="669">
        <f>SUMIF('New Resources - Individual'!$F$6:$Y$6,U$6,'New Resources - Individual'!$F72:$Y72)</f>
        <v>0</v>
      </c>
      <c r="V72" s="669">
        <f>SUMIF('New Resources - Individual'!$F$6:$Y$6,V$6,'New Resources - Individual'!$F72:$Y72)</f>
        <v>0</v>
      </c>
      <c r="W72" s="669">
        <f>SUMIF('New Resources - Individual'!$F$6:$Y$6,W$6,'New Resources - Individual'!$F72:$Y72)</f>
        <v>0</v>
      </c>
      <c r="X72" s="669">
        <f>SUMIF('New Resources - Individual'!$F$6:$Y$6,X$6,'New Resources - Individual'!$F72:$Y72)</f>
        <v>0</v>
      </c>
      <c r="Y72" s="790">
        <f>SUMIF('New Resources - Individual'!$F$6:$Y$6,Y$6,'New Resources - Individual'!$F72:$Y72)</f>
        <v>0</v>
      </c>
      <c r="Z72" s="631"/>
      <c r="AA72" s="631"/>
      <c r="AB72" s="631"/>
      <c r="AC72" s="631"/>
      <c r="AD72" s="631"/>
      <c r="AE72" s="631"/>
      <c r="AF72" s="631"/>
      <c r="AG72" s="658"/>
      <c r="AH72" s="658"/>
    </row>
    <row r="73" spans="1:34">
      <c r="A73" s="640">
        <v>760</v>
      </c>
      <c r="B73" s="791" t="s">
        <v>297</v>
      </c>
      <c r="C73" s="645"/>
      <c r="D73" s="645"/>
      <c r="E73" s="644"/>
      <c r="F73" s="668">
        <f>SUMIF('New Resources - Individual'!$F$6:$Y$6,F$6,'New Resources - Individual'!$F73:$Y73)</f>
        <v>0</v>
      </c>
      <c r="G73" s="668">
        <f>SUMIF('New Resources - Individual'!$F$6:$Y$6,G$6,'New Resources - Individual'!$F73:$Y73)</f>
        <v>0</v>
      </c>
      <c r="H73" s="669">
        <f>SUMIF('New Resources - Individual'!$F$6:$Y$6,H$6,'New Resources - Individual'!$F73:$Y73)</f>
        <v>0</v>
      </c>
      <c r="I73" s="668">
        <f>SUMIF('New Resources - Individual'!$F$6:$Y$6,I$6,'New Resources - Individual'!$F73:$Y73)</f>
        <v>0</v>
      </c>
      <c r="J73" s="669">
        <f>SUMIF('New Resources - Individual'!$F$6:$Y$6,J$6,'New Resources - Individual'!$F73:$Y73)</f>
        <v>0</v>
      </c>
      <c r="K73" s="669">
        <f>SUMIF('New Resources - Individual'!$F$6:$Y$6,K$6,'New Resources - Individual'!$F73:$Y73)</f>
        <v>0</v>
      </c>
      <c r="L73" s="669">
        <f>SUMIF('New Resources - Individual'!$F$6:$Y$6,L$6,'New Resources - Individual'!$F73:$Y73)</f>
        <v>0</v>
      </c>
      <c r="M73" s="669">
        <f>SUMIF('New Resources - Individual'!$F$6:$Y$6,M$6,'New Resources - Individual'!$F73:$Y73)</f>
        <v>0</v>
      </c>
      <c r="N73" s="669">
        <f>SUMIF('New Resources - Individual'!$F$6:$Y$6,N$6,'New Resources - Individual'!$F73:$Y73)</f>
        <v>0</v>
      </c>
      <c r="O73" s="669">
        <f>SUMIF('New Resources - Individual'!$F$6:$Y$6,O$6,'New Resources - Individual'!$F73:$Y73)</f>
        <v>0</v>
      </c>
      <c r="P73" s="669">
        <f>SUMIF('New Resources - Individual'!$F$6:$Y$6,P$6,'New Resources - Individual'!$F73:$Y73)</f>
        <v>0</v>
      </c>
      <c r="Q73" s="669">
        <f>SUMIF('New Resources - Individual'!$F$6:$Y$6,Q$6,'New Resources - Individual'!$F73:$Y73)</f>
        <v>0</v>
      </c>
      <c r="R73" s="669">
        <f>SUMIF('New Resources - Individual'!$F$6:$Y$6,R$6,'New Resources - Individual'!$F73:$Y73)</f>
        <v>0</v>
      </c>
      <c r="S73" s="669">
        <f>SUMIF('New Resources - Individual'!$F$6:$Y$6,S$6,'New Resources - Individual'!$F73:$Y73)</f>
        <v>0</v>
      </c>
      <c r="T73" s="669">
        <f>SUMIF('New Resources - Individual'!$F$6:$Y$6,T$6,'New Resources - Individual'!$F73:$Y73)</f>
        <v>0</v>
      </c>
      <c r="U73" s="669">
        <f>SUMIF('New Resources - Individual'!$F$6:$Y$6,U$6,'New Resources - Individual'!$F73:$Y73)</f>
        <v>0</v>
      </c>
      <c r="V73" s="669">
        <f>SUMIF('New Resources - Individual'!$F$6:$Y$6,V$6,'New Resources - Individual'!$F73:$Y73)</f>
        <v>0</v>
      </c>
      <c r="W73" s="669">
        <f>SUMIF('New Resources - Individual'!$F$6:$Y$6,W$6,'New Resources - Individual'!$F73:$Y73)</f>
        <v>0</v>
      </c>
      <c r="X73" s="669">
        <f>SUMIF('New Resources - Individual'!$F$6:$Y$6,X$6,'New Resources - Individual'!$F73:$Y73)</f>
        <v>0</v>
      </c>
      <c r="Y73" s="790">
        <f>SUMIF('New Resources - Individual'!$F$6:$Y$6,Y$6,'New Resources - Individual'!$F73:$Y73)</f>
        <v>0</v>
      </c>
      <c r="Z73" s="631"/>
      <c r="AA73" s="631"/>
      <c r="AB73" s="631"/>
      <c r="AC73" s="631"/>
      <c r="AD73" s="631"/>
      <c r="AE73" s="631"/>
      <c r="AF73" s="631"/>
      <c r="AG73" s="658"/>
      <c r="AH73" s="658"/>
    </row>
    <row r="74" spans="1:34">
      <c r="A74" s="640">
        <v>770</v>
      </c>
      <c r="B74" s="791"/>
      <c r="C74" s="643"/>
      <c r="D74" s="643"/>
      <c r="E74" s="644"/>
      <c r="F74" s="668"/>
      <c r="G74" s="669"/>
      <c r="H74" s="669"/>
      <c r="I74" s="668"/>
      <c r="J74" s="669"/>
      <c r="K74" s="669"/>
      <c r="L74" s="669"/>
      <c r="M74" s="669"/>
      <c r="N74" s="669"/>
      <c r="O74" s="669"/>
      <c r="P74" s="669"/>
      <c r="Q74" s="669"/>
      <c r="R74" s="669"/>
      <c r="S74" s="669"/>
      <c r="T74" s="669"/>
      <c r="U74" s="669"/>
      <c r="V74" s="669"/>
      <c r="W74" s="669"/>
      <c r="X74" s="669"/>
      <c r="Y74" s="790"/>
      <c r="Z74" s="631"/>
      <c r="AA74" s="631"/>
      <c r="AB74" s="631"/>
      <c r="AC74" s="631"/>
      <c r="AD74" s="631"/>
      <c r="AE74" s="631"/>
      <c r="AF74" s="631"/>
      <c r="AG74" s="658"/>
      <c r="AH74" s="658"/>
    </row>
    <row r="75" spans="1:34">
      <c r="A75" s="640">
        <v>780</v>
      </c>
      <c r="B75" s="792" t="s">
        <v>298</v>
      </c>
      <c r="C75" s="646"/>
      <c r="D75" s="646"/>
      <c r="E75" s="647"/>
      <c r="F75" s="668"/>
      <c r="G75" s="671"/>
      <c r="H75" s="671"/>
      <c r="I75" s="671"/>
      <c r="J75" s="671"/>
      <c r="K75" s="671"/>
      <c r="L75" s="671"/>
      <c r="M75" s="671"/>
      <c r="N75" s="671"/>
      <c r="O75" s="671"/>
      <c r="P75" s="671"/>
      <c r="Q75" s="671"/>
      <c r="R75" s="671"/>
      <c r="S75" s="671"/>
      <c r="T75" s="671"/>
      <c r="U75" s="671"/>
      <c r="V75" s="671"/>
      <c r="W75" s="671"/>
      <c r="X75" s="671"/>
      <c r="Y75" s="793"/>
      <c r="Z75" s="631"/>
      <c r="AA75" s="631"/>
      <c r="AB75" s="631"/>
      <c r="AC75" s="631"/>
      <c r="AD75" s="631"/>
      <c r="AE75" s="631"/>
      <c r="AF75" s="631"/>
      <c r="AG75" s="658"/>
      <c r="AH75" s="658"/>
    </row>
    <row r="76" spans="1:34">
      <c r="A76" s="640">
        <v>781</v>
      </c>
      <c r="B76" s="791" t="s">
        <v>296</v>
      </c>
      <c r="C76" s="646"/>
      <c r="D76" s="646" t="s">
        <v>602</v>
      </c>
      <c r="E76" s="647"/>
      <c r="F76" s="668">
        <f>SUMIF('New Resources - Individual'!$F$6:$Y$6,F$6,'New Resources - Individual'!$F76:$Y76)</f>
        <v>0</v>
      </c>
      <c r="G76" s="668">
        <f>SUMIF('New Resources - Individual'!$F$6:$Y$6,G$6,'New Resources - Individual'!$F76:$Y76)</f>
        <v>0</v>
      </c>
      <c r="H76" s="669">
        <f>SUMIF('New Resources - Individual'!$F$6:$Y$6,H$6,'New Resources - Individual'!$F76:$Y76)</f>
        <v>0</v>
      </c>
      <c r="I76" s="668">
        <f>SUMIF('New Resources - Individual'!$F$6:$Y$6,I$6,'New Resources - Individual'!$F76:$Y76)</f>
        <v>0</v>
      </c>
      <c r="J76" s="669">
        <f>SUMIF('New Resources - Individual'!$F$6:$Y$6,J$6,'New Resources - Individual'!$F76:$Y76)</f>
        <v>0</v>
      </c>
      <c r="K76" s="669">
        <f>SUMIF('New Resources - Individual'!$F$6:$Y$6,K$6,'New Resources - Individual'!$F76:$Y76)</f>
        <v>0</v>
      </c>
      <c r="L76" s="669">
        <f>SUMIF('New Resources - Individual'!$F$6:$Y$6,L$6,'New Resources - Individual'!$F76:$Y76)</f>
        <v>0</v>
      </c>
      <c r="M76" s="669">
        <f>SUMIF('New Resources - Individual'!$F$6:$Y$6,M$6,'New Resources - Individual'!$F76:$Y76)</f>
        <v>0</v>
      </c>
      <c r="N76" s="669">
        <f>SUMIF('New Resources - Individual'!$F$6:$Y$6,N$6,'New Resources - Individual'!$F76:$Y76)</f>
        <v>0</v>
      </c>
      <c r="O76" s="669">
        <f>SUMIF('New Resources - Individual'!$F$6:$Y$6,O$6,'New Resources - Individual'!$F76:$Y76)</f>
        <v>0</v>
      </c>
      <c r="P76" s="669">
        <f>SUMIF('New Resources - Individual'!$F$6:$Y$6,P$6,'New Resources - Individual'!$F76:$Y76)</f>
        <v>0</v>
      </c>
      <c r="Q76" s="669">
        <f>SUMIF('New Resources - Individual'!$F$6:$Y$6,Q$6,'New Resources - Individual'!$F76:$Y76)</f>
        <v>0</v>
      </c>
      <c r="R76" s="669">
        <f>SUMIF('New Resources - Individual'!$F$6:$Y$6,R$6,'New Resources - Individual'!$F76:$Y76)</f>
        <v>0</v>
      </c>
      <c r="S76" s="669">
        <f>SUMIF('New Resources - Individual'!$F$6:$Y$6,S$6,'New Resources - Individual'!$F76:$Y76)</f>
        <v>0</v>
      </c>
      <c r="T76" s="669">
        <f>SUMIF('New Resources - Individual'!$F$6:$Y$6,T$6,'New Resources - Individual'!$F76:$Y76)</f>
        <v>0</v>
      </c>
      <c r="U76" s="669">
        <f>SUMIF('New Resources - Individual'!$F$6:$Y$6,U$6,'New Resources - Individual'!$F76:$Y76)</f>
        <v>0</v>
      </c>
      <c r="V76" s="669">
        <f>SUMIF('New Resources - Individual'!$F$6:$Y$6,V$6,'New Resources - Individual'!$F76:$Y76)</f>
        <v>0</v>
      </c>
      <c r="W76" s="669">
        <f>SUMIF('New Resources - Individual'!$F$6:$Y$6,W$6,'New Resources - Individual'!$F76:$Y76)</f>
        <v>0</v>
      </c>
      <c r="X76" s="669">
        <f>SUMIF('New Resources - Individual'!$F$6:$Y$6,X$6,'New Resources - Individual'!$F76:$Y76)</f>
        <v>0</v>
      </c>
      <c r="Y76" s="790">
        <f>SUMIF('New Resources - Individual'!$F$6:$Y$6,Y$6,'New Resources - Individual'!$F76:$Y76)</f>
        <v>0</v>
      </c>
      <c r="Z76" s="631"/>
      <c r="AA76" s="631"/>
      <c r="AB76" s="631"/>
      <c r="AC76" s="631"/>
      <c r="AD76" s="631"/>
      <c r="AE76" s="631"/>
      <c r="AF76" s="631"/>
      <c r="AG76" s="658"/>
      <c r="AH76" s="658"/>
    </row>
    <row r="77" spans="1:34">
      <c r="A77" s="640">
        <v>782</v>
      </c>
      <c r="B77" s="791" t="s">
        <v>297</v>
      </c>
      <c r="C77" s="646"/>
      <c r="D77" s="646"/>
      <c r="E77" s="647"/>
      <c r="F77" s="668">
        <f>SUMIF('New Resources - Individual'!$F$6:$Y$6,F$6,'New Resources - Individual'!$F77:$Y77)</f>
        <v>0</v>
      </c>
      <c r="G77" s="668">
        <f>SUMIF('New Resources - Individual'!$F$6:$Y$6,G$6,'New Resources - Individual'!$F77:$Y77)</f>
        <v>0</v>
      </c>
      <c r="H77" s="669">
        <f>SUMIF('New Resources - Individual'!$F$6:$Y$6,H$6,'New Resources - Individual'!$F77:$Y77)</f>
        <v>0</v>
      </c>
      <c r="I77" s="668">
        <f>SUMIF('New Resources - Individual'!$F$6:$Y$6,I$6,'New Resources - Individual'!$F77:$Y77)</f>
        <v>0</v>
      </c>
      <c r="J77" s="669">
        <f>SUMIF('New Resources - Individual'!$F$6:$Y$6,J$6,'New Resources - Individual'!$F77:$Y77)</f>
        <v>0</v>
      </c>
      <c r="K77" s="669">
        <f>SUMIF('New Resources - Individual'!$F$6:$Y$6,K$6,'New Resources - Individual'!$F77:$Y77)</f>
        <v>0</v>
      </c>
      <c r="L77" s="669">
        <f>SUMIF('New Resources - Individual'!$F$6:$Y$6,L$6,'New Resources - Individual'!$F77:$Y77)</f>
        <v>0</v>
      </c>
      <c r="M77" s="669">
        <f>SUMIF('New Resources - Individual'!$F$6:$Y$6,M$6,'New Resources - Individual'!$F77:$Y77)</f>
        <v>0</v>
      </c>
      <c r="N77" s="669">
        <f>SUMIF('New Resources - Individual'!$F$6:$Y$6,N$6,'New Resources - Individual'!$F77:$Y77)</f>
        <v>0</v>
      </c>
      <c r="O77" s="669">
        <f>SUMIF('New Resources - Individual'!$F$6:$Y$6,O$6,'New Resources - Individual'!$F77:$Y77)</f>
        <v>0</v>
      </c>
      <c r="P77" s="669">
        <f>SUMIF('New Resources - Individual'!$F$6:$Y$6,P$6,'New Resources - Individual'!$F77:$Y77)</f>
        <v>0</v>
      </c>
      <c r="Q77" s="669">
        <f>SUMIF('New Resources - Individual'!$F$6:$Y$6,Q$6,'New Resources - Individual'!$F77:$Y77)</f>
        <v>0</v>
      </c>
      <c r="R77" s="669">
        <f>SUMIF('New Resources - Individual'!$F$6:$Y$6,R$6,'New Resources - Individual'!$F77:$Y77)</f>
        <v>0</v>
      </c>
      <c r="S77" s="669">
        <f>SUMIF('New Resources - Individual'!$F$6:$Y$6,S$6,'New Resources - Individual'!$F77:$Y77)</f>
        <v>0</v>
      </c>
      <c r="T77" s="669">
        <f>SUMIF('New Resources - Individual'!$F$6:$Y$6,T$6,'New Resources - Individual'!$F77:$Y77)</f>
        <v>0</v>
      </c>
      <c r="U77" s="669">
        <f>SUMIF('New Resources - Individual'!$F$6:$Y$6,U$6,'New Resources - Individual'!$F77:$Y77)</f>
        <v>0</v>
      </c>
      <c r="V77" s="669">
        <f>SUMIF('New Resources - Individual'!$F$6:$Y$6,V$6,'New Resources - Individual'!$F77:$Y77)</f>
        <v>0</v>
      </c>
      <c r="W77" s="669">
        <f>SUMIF('New Resources - Individual'!$F$6:$Y$6,W$6,'New Resources - Individual'!$F77:$Y77)</f>
        <v>0</v>
      </c>
      <c r="X77" s="669">
        <f>SUMIF('New Resources - Individual'!$F$6:$Y$6,X$6,'New Resources - Individual'!$F77:$Y77)</f>
        <v>0</v>
      </c>
      <c r="Y77" s="790">
        <f>SUMIF('New Resources - Individual'!$F$6:$Y$6,Y$6,'New Resources - Individual'!$F77:$Y77)</f>
        <v>0</v>
      </c>
      <c r="Z77" s="631"/>
      <c r="AA77" s="631"/>
      <c r="AB77" s="631"/>
      <c r="AC77" s="631"/>
      <c r="AD77" s="631"/>
      <c r="AE77" s="631"/>
      <c r="AF77" s="631"/>
      <c r="AG77" s="658"/>
      <c r="AH77" s="658"/>
    </row>
    <row r="78" spans="1:34">
      <c r="A78" s="640">
        <v>790</v>
      </c>
      <c r="B78" s="791" t="s">
        <v>266</v>
      </c>
      <c r="C78" s="643">
        <v>555</v>
      </c>
      <c r="D78" s="643" t="s">
        <v>602</v>
      </c>
      <c r="E78" s="644"/>
      <c r="F78" s="668">
        <f>SUMIF('New Resources - Individual'!$F$6:$Y$6,F$6,'New Resources - Individual'!$F78:$Y78)</f>
        <v>0</v>
      </c>
      <c r="G78" s="668">
        <f>SUMIF('New Resources - Individual'!$F$6:$Y$6,G$6,'New Resources - Individual'!$F78:$Y78)</f>
        <v>0</v>
      </c>
      <c r="H78" s="669">
        <f>SUMIF('New Resources - Individual'!$F$6:$Y$6,H$6,'New Resources - Individual'!$F78:$Y78)</f>
        <v>0</v>
      </c>
      <c r="I78" s="668">
        <f>SUMIF('New Resources - Individual'!$F$6:$Y$6,I$6,'New Resources - Individual'!$F78:$Y78)</f>
        <v>0</v>
      </c>
      <c r="J78" s="669">
        <f>SUMIF('New Resources - Individual'!$F$6:$Y$6,J$6,'New Resources - Individual'!$F78:$Y78)</f>
        <v>0</v>
      </c>
      <c r="K78" s="669">
        <f>SUMIF('New Resources - Individual'!$F$6:$Y$6,K$6,'New Resources - Individual'!$F78:$Y78)</f>
        <v>0</v>
      </c>
      <c r="L78" s="669">
        <f>SUMIF('New Resources - Individual'!$F$6:$Y$6,L$6,'New Resources - Individual'!$F78:$Y78)</f>
        <v>0</v>
      </c>
      <c r="M78" s="669">
        <f>SUMIF('New Resources - Individual'!$F$6:$Y$6,M$6,'New Resources - Individual'!$F78:$Y78)</f>
        <v>0</v>
      </c>
      <c r="N78" s="669">
        <f>SUMIF('New Resources - Individual'!$F$6:$Y$6,N$6,'New Resources - Individual'!$F78:$Y78)</f>
        <v>0</v>
      </c>
      <c r="O78" s="669">
        <f>SUMIF('New Resources - Individual'!$F$6:$Y$6,O$6,'New Resources - Individual'!$F78:$Y78)</f>
        <v>0</v>
      </c>
      <c r="P78" s="669">
        <f>SUMIF('New Resources - Individual'!$F$6:$Y$6,P$6,'New Resources - Individual'!$F78:$Y78)</f>
        <v>0</v>
      </c>
      <c r="Q78" s="669">
        <f>SUMIF('New Resources - Individual'!$F$6:$Y$6,Q$6,'New Resources - Individual'!$F78:$Y78)</f>
        <v>0</v>
      </c>
      <c r="R78" s="669">
        <f>SUMIF('New Resources - Individual'!$F$6:$Y$6,R$6,'New Resources - Individual'!$F78:$Y78)</f>
        <v>0</v>
      </c>
      <c r="S78" s="669">
        <f>SUMIF('New Resources - Individual'!$F$6:$Y$6,S$6,'New Resources - Individual'!$F78:$Y78)</f>
        <v>0</v>
      </c>
      <c r="T78" s="669">
        <f>SUMIF('New Resources - Individual'!$F$6:$Y$6,T$6,'New Resources - Individual'!$F78:$Y78)</f>
        <v>0</v>
      </c>
      <c r="U78" s="669">
        <f>SUMIF('New Resources - Individual'!$F$6:$Y$6,U$6,'New Resources - Individual'!$F78:$Y78)</f>
        <v>0</v>
      </c>
      <c r="V78" s="669">
        <f>SUMIF('New Resources - Individual'!$F$6:$Y$6,V$6,'New Resources - Individual'!$F78:$Y78)</f>
        <v>0</v>
      </c>
      <c r="W78" s="669">
        <f>SUMIF('New Resources - Individual'!$F$6:$Y$6,W$6,'New Resources - Individual'!$F78:$Y78)</f>
        <v>0</v>
      </c>
      <c r="X78" s="669">
        <f>SUMIF('New Resources - Individual'!$F$6:$Y$6,X$6,'New Resources - Individual'!$F78:$Y78)</f>
        <v>0</v>
      </c>
      <c r="Y78" s="790">
        <f>SUMIF('New Resources - Individual'!$F$6:$Y$6,Y$6,'New Resources - Individual'!$F78:$Y78)</f>
        <v>0</v>
      </c>
      <c r="Z78" s="631"/>
      <c r="AA78" s="631"/>
      <c r="AB78" s="631"/>
      <c r="AC78" s="631"/>
      <c r="AD78" s="631"/>
      <c r="AE78" s="631"/>
      <c r="AF78" s="631"/>
      <c r="AG78" s="658"/>
      <c r="AH78" s="658"/>
    </row>
    <row r="79" spans="1:34">
      <c r="A79" s="640">
        <v>800</v>
      </c>
      <c r="B79" s="795" t="s">
        <v>299</v>
      </c>
      <c r="C79" s="646"/>
      <c r="D79" s="643" t="s">
        <v>602</v>
      </c>
      <c r="E79" s="649"/>
      <c r="F79" s="668">
        <f>SUMIF('New Resources - Individual'!$F$6:$Y$6,F$6,'New Resources - Individual'!$F79:$Y79)</f>
        <v>0</v>
      </c>
      <c r="G79" s="668">
        <f>SUMIF('New Resources - Individual'!$F$6:$Y$6,G$6,'New Resources - Individual'!$F79:$Y79)</f>
        <v>0</v>
      </c>
      <c r="H79" s="669">
        <f>SUMIF('New Resources - Individual'!$F$6:$Y$6,H$6,'New Resources - Individual'!$F79:$Y79)</f>
        <v>0</v>
      </c>
      <c r="I79" s="668">
        <f>SUMIF('New Resources - Individual'!$F$6:$Y$6,I$6,'New Resources - Individual'!$F79:$Y79)</f>
        <v>0</v>
      </c>
      <c r="J79" s="669">
        <f>SUMIF('New Resources - Individual'!$F$6:$Y$6,J$6,'New Resources - Individual'!$F79:$Y79)</f>
        <v>0</v>
      </c>
      <c r="K79" s="669">
        <f>SUMIF('New Resources - Individual'!$F$6:$Y$6,K$6,'New Resources - Individual'!$F79:$Y79)</f>
        <v>0</v>
      </c>
      <c r="L79" s="669">
        <f>SUMIF('New Resources - Individual'!$F$6:$Y$6,L$6,'New Resources - Individual'!$F79:$Y79)</f>
        <v>0</v>
      </c>
      <c r="M79" s="669">
        <f>SUMIF('New Resources - Individual'!$F$6:$Y$6,M$6,'New Resources - Individual'!$F79:$Y79)</f>
        <v>0</v>
      </c>
      <c r="N79" s="669">
        <f>SUMIF('New Resources - Individual'!$F$6:$Y$6,N$6,'New Resources - Individual'!$F79:$Y79)</f>
        <v>0</v>
      </c>
      <c r="O79" s="669">
        <f>SUMIF('New Resources - Individual'!$F$6:$Y$6,O$6,'New Resources - Individual'!$F79:$Y79)</f>
        <v>0</v>
      </c>
      <c r="P79" s="669">
        <f>SUMIF('New Resources - Individual'!$F$6:$Y$6,P$6,'New Resources - Individual'!$F79:$Y79)</f>
        <v>0</v>
      </c>
      <c r="Q79" s="669">
        <f>SUMIF('New Resources - Individual'!$F$6:$Y$6,Q$6,'New Resources - Individual'!$F79:$Y79)</f>
        <v>0</v>
      </c>
      <c r="R79" s="669">
        <f>SUMIF('New Resources - Individual'!$F$6:$Y$6,R$6,'New Resources - Individual'!$F79:$Y79)</f>
        <v>0</v>
      </c>
      <c r="S79" s="669">
        <f>SUMIF('New Resources - Individual'!$F$6:$Y$6,S$6,'New Resources - Individual'!$F79:$Y79)</f>
        <v>0</v>
      </c>
      <c r="T79" s="669">
        <f>SUMIF('New Resources - Individual'!$F$6:$Y$6,T$6,'New Resources - Individual'!$F79:$Y79)</f>
        <v>0</v>
      </c>
      <c r="U79" s="669">
        <f>SUMIF('New Resources - Individual'!$F$6:$Y$6,U$6,'New Resources - Individual'!$F79:$Y79)</f>
        <v>0</v>
      </c>
      <c r="V79" s="669">
        <f>SUMIF('New Resources - Individual'!$F$6:$Y$6,V$6,'New Resources - Individual'!$F79:$Y79)</f>
        <v>0</v>
      </c>
      <c r="W79" s="669">
        <f>SUMIF('New Resources - Individual'!$F$6:$Y$6,W$6,'New Resources - Individual'!$F79:$Y79)</f>
        <v>0</v>
      </c>
      <c r="X79" s="669">
        <f>SUMIF('New Resources - Individual'!$F$6:$Y$6,X$6,'New Resources - Individual'!$F79:$Y79)</f>
        <v>0</v>
      </c>
      <c r="Y79" s="790">
        <f>SUMIF('New Resources - Individual'!$F$6:$Y$6,Y$6,'New Resources - Individual'!$F79:$Y79)</f>
        <v>0</v>
      </c>
      <c r="Z79" s="631"/>
      <c r="AA79" s="631"/>
      <c r="AB79" s="631"/>
      <c r="AC79" s="631"/>
      <c r="AD79" s="631"/>
      <c r="AE79" s="631"/>
      <c r="AF79" s="631"/>
      <c r="AG79" s="658"/>
      <c r="AH79" s="658"/>
    </row>
    <row r="80" spans="1:34">
      <c r="A80" s="640">
        <v>810</v>
      </c>
      <c r="B80" s="794" t="s">
        <v>459</v>
      </c>
      <c r="C80" s="648">
        <v>556</v>
      </c>
      <c r="D80" s="648"/>
      <c r="E80" s="649"/>
      <c r="F80" s="668">
        <f>SUMIF('New Resources - Individual'!$F$6:$Y$6,F$6,'New Resources - Individual'!$F80:$Y80)</f>
        <v>0</v>
      </c>
      <c r="G80" s="668">
        <f>SUMIF('New Resources - Individual'!$F$6:$Y$6,G$6,'New Resources - Individual'!$F80:$Y80)</f>
        <v>0</v>
      </c>
      <c r="H80" s="669">
        <f>SUMIF('New Resources - Individual'!$F$6:$Y$6,H$6,'New Resources - Individual'!$F80:$Y80)</f>
        <v>0</v>
      </c>
      <c r="I80" s="668">
        <f>SUMIF('New Resources - Individual'!$F$6:$Y$6,I$6,'New Resources - Individual'!$F80:$Y80)</f>
        <v>0</v>
      </c>
      <c r="J80" s="669">
        <f>SUMIF('New Resources - Individual'!$F$6:$Y$6,J$6,'New Resources - Individual'!$F80:$Y80)</f>
        <v>0</v>
      </c>
      <c r="K80" s="669">
        <f>SUMIF('New Resources - Individual'!$F$6:$Y$6,K$6,'New Resources - Individual'!$F80:$Y80)</f>
        <v>0</v>
      </c>
      <c r="L80" s="669">
        <f>SUMIF('New Resources - Individual'!$F$6:$Y$6,L$6,'New Resources - Individual'!$F80:$Y80)</f>
        <v>0</v>
      </c>
      <c r="M80" s="669">
        <f>SUMIF('New Resources - Individual'!$F$6:$Y$6,M$6,'New Resources - Individual'!$F80:$Y80)</f>
        <v>0</v>
      </c>
      <c r="N80" s="669">
        <f>SUMIF('New Resources - Individual'!$F$6:$Y$6,N$6,'New Resources - Individual'!$F80:$Y80)</f>
        <v>0</v>
      </c>
      <c r="O80" s="669">
        <f>SUMIF('New Resources - Individual'!$F$6:$Y$6,O$6,'New Resources - Individual'!$F80:$Y80)</f>
        <v>0</v>
      </c>
      <c r="P80" s="669">
        <f>SUMIF('New Resources - Individual'!$F$6:$Y$6,P$6,'New Resources - Individual'!$F80:$Y80)</f>
        <v>0</v>
      </c>
      <c r="Q80" s="669">
        <f>SUMIF('New Resources - Individual'!$F$6:$Y$6,Q$6,'New Resources - Individual'!$F80:$Y80)</f>
        <v>0</v>
      </c>
      <c r="R80" s="669">
        <f>SUMIF('New Resources - Individual'!$F$6:$Y$6,R$6,'New Resources - Individual'!$F80:$Y80)</f>
        <v>0</v>
      </c>
      <c r="S80" s="669">
        <f>SUMIF('New Resources - Individual'!$F$6:$Y$6,S$6,'New Resources - Individual'!$F80:$Y80)</f>
        <v>0</v>
      </c>
      <c r="T80" s="669">
        <f>SUMIF('New Resources - Individual'!$F$6:$Y$6,T$6,'New Resources - Individual'!$F80:$Y80)</f>
        <v>0</v>
      </c>
      <c r="U80" s="669">
        <f>SUMIF('New Resources - Individual'!$F$6:$Y$6,U$6,'New Resources - Individual'!$F80:$Y80)</f>
        <v>0</v>
      </c>
      <c r="V80" s="669">
        <f>SUMIF('New Resources - Individual'!$F$6:$Y$6,V$6,'New Resources - Individual'!$F80:$Y80)</f>
        <v>0</v>
      </c>
      <c r="W80" s="669">
        <f>SUMIF('New Resources - Individual'!$F$6:$Y$6,W$6,'New Resources - Individual'!$F80:$Y80)</f>
        <v>0</v>
      </c>
      <c r="X80" s="669">
        <f>SUMIF('New Resources - Individual'!$F$6:$Y$6,X$6,'New Resources - Individual'!$F80:$Y80)</f>
        <v>0</v>
      </c>
      <c r="Y80" s="790">
        <f>SUMIF('New Resources - Individual'!$F$6:$Y$6,Y$6,'New Resources - Individual'!$F80:$Y80)</f>
        <v>0</v>
      </c>
      <c r="Z80" s="631"/>
      <c r="AA80" s="631"/>
      <c r="AB80" s="631"/>
      <c r="AC80" s="631"/>
      <c r="AD80" s="631"/>
      <c r="AE80" s="631"/>
      <c r="AF80" s="631"/>
      <c r="AG80" s="658"/>
      <c r="AH80" s="658"/>
    </row>
    <row r="81" spans="1:34">
      <c r="A81" s="640">
        <v>820</v>
      </c>
      <c r="B81" s="791" t="s">
        <v>267</v>
      </c>
      <c r="C81" s="643">
        <v>557</v>
      </c>
      <c r="D81" s="643"/>
      <c r="E81" s="644"/>
      <c r="F81" s="668">
        <f>SUMIF('New Resources - Individual'!$F$6:$Y$6,F$6,'New Resources - Individual'!$F81:$Y81)</f>
        <v>0</v>
      </c>
      <c r="G81" s="668">
        <f>SUMIF('New Resources - Individual'!$F$6:$Y$6,G$6,'New Resources - Individual'!$F81:$Y81)</f>
        <v>0</v>
      </c>
      <c r="H81" s="669">
        <f>SUMIF('New Resources - Individual'!$F$6:$Y$6,H$6,'New Resources - Individual'!$F81:$Y81)</f>
        <v>0</v>
      </c>
      <c r="I81" s="668">
        <f>SUMIF('New Resources - Individual'!$F$6:$Y$6,I$6,'New Resources - Individual'!$F81:$Y81)</f>
        <v>0</v>
      </c>
      <c r="J81" s="669">
        <f>SUMIF('New Resources - Individual'!$F$6:$Y$6,J$6,'New Resources - Individual'!$F81:$Y81)</f>
        <v>0</v>
      </c>
      <c r="K81" s="669">
        <f>SUMIF('New Resources - Individual'!$F$6:$Y$6,K$6,'New Resources - Individual'!$F81:$Y81)</f>
        <v>0</v>
      </c>
      <c r="L81" s="669">
        <f>SUMIF('New Resources - Individual'!$F$6:$Y$6,L$6,'New Resources - Individual'!$F81:$Y81)</f>
        <v>0</v>
      </c>
      <c r="M81" s="669">
        <f>SUMIF('New Resources - Individual'!$F$6:$Y$6,M$6,'New Resources - Individual'!$F81:$Y81)</f>
        <v>0</v>
      </c>
      <c r="N81" s="669">
        <f>SUMIF('New Resources - Individual'!$F$6:$Y$6,N$6,'New Resources - Individual'!$F81:$Y81)</f>
        <v>0</v>
      </c>
      <c r="O81" s="669">
        <f>SUMIF('New Resources - Individual'!$F$6:$Y$6,O$6,'New Resources - Individual'!$F81:$Y81)</f>
        <v>0</v>
      </c>
      <c r="P81" s="669">
        <f>SUMIF('New Resources - Individual'!$F$6:$Y$6,P$6,'New Resources - Individual'!$F81:$Y81)</f>
        <v>0</v>
      </c>
      <c r="Q81" s="669">
        <f>SUMIF('New Resources - Individual'!$F$6:$Y$6,Q$6,'New Resources - Individual'!$F81:$Y81)</f>
        <v>0</v>
      </c>
      <c r="R81" s="669">
        <f>SUMIF('New Resources - Individual'!$F$6:$Y$6,R$6,'New Resources - Individual'!$F81:$Y81)</f>
        <v>0</v>
      </c>
      <c r="S81" s="669">
        <f>SUMIF('New Resources - Individual'!$F$6:$Y$6,S$6,'New Resources - Individual'!$F81:$Y81)</f>
        <v>0</v>
      </c>
      <c r="T81" s="669">
        <f>SUMIF('New Resources - Individual'!$F$6:$Y$6,T$6,'New Resources - Individual'!$F81:$Y81)</f>
        <v>0</v>
      </c>
      <c r="U81" s="669">
        <f>SUMIF('New Resources - Individual'!$F$6:$Y$6,U$6,'New Resources - Individual'!$F81:$Y81)</f>
        <v>0</v>
      </c>
      <c r="V81" s="669">
        <f>SUMIF('New Resources - Individual'!$F$6:$Y$6,V$6,'New Resources - Individual'!$F81:$Y81)</f>
        <v>0</v>
      </c>
      <c r="W81" s="669">
        <f>SUMIF('New Resources - Individual'!$F$6:$Y$6,W$6,'New Resources - Individual'!$F81:$Y81)</f>
        <v>0</v>
      </c>
      <c r="X81" s="669">
        <f>SUMIF('New Resources - Individual'!$F$6:$Y$6,X$6,'New Resources - Individual'!$F81:$Y81)</f>
        <v>0</v>
      </c>
      <c r="Y81" s="790">
        <f>SUMIF('New Resources - Individual'!$F$6:$Y$6,Y$6,'New Resources - Individual'!$F81:$Y81)</f>
        <v>0</v>
      </c>
      <c r="Z81" s="631"/>
      <c r="AA81" s="631"/>
      <c r="AB81" s="631"/>
      <c r="AC81" s="631"/>
      <c r="AD81" s="631"/>
      <c r="AE81" s="631"/>
      <c r="AF81" s="631"/>
      <c r="AG81" s="658"/>
      <c r="AH81" s="658"/>
    </row>
    <row r="82" spans="1:34">
      <c r="A82" s="640">
        <v>830</v>
      </c>
      <c r="B82" s="792" t="s">
        <v>530</v>
      </c>
      <c r="C82" s="646"/>
      <c r="D82" s="646"/>
      <c r="E82" s="647"/>
      <c r="F82" s="668"/>
      <c r="G82" s="671"/>
      <c r="H82" s="671"/>
      <c r="I82" s="671"/>
      <c r="J82" s="671"/>
      <c r="K82" s="671"/>
      <c r="L82" s="671"/>
      <c r="M82" s="671"/>
      <c r="N82" s="671"/>
      <c r="O82" s="671"/>
      <c r="P82" s="671"/>
      <c r="Q82" s="671"/>
      <c r="R82" s="671"/>
      <c r="S82" s="671"/>
      <c r="T82" s="671"/>
      <c r="U82" s="671"/>
      <c r="V82" s="671"/>
      <c r="W82" s="671"/>
      <c r="X82" s="671"/>
      <c r="Y82" s="793"/>
      <c r="Z82" s="631"/>
      <c r="AA82" s="631"/>
      <c r="AB82" s="631"/>
      <c r="AC82" s="631"/>
      <c r="AD82" s="631"/>
      <c r="AE82" s="631"/>
      <c r="AF82" s="631"/>
      <c r="AG82" s="658"/>
      <c r="AH82" s="658"/>
    </row>
    <row r="83" spans="1:34">
      <c r="A83" s="640">
        <v>840</v>
      </c>
      <c r="B83" s="791" t="s">
        <v>530</v>
      </c>
      <c r="C83" s="643" t="s">
        <v>120</v>
      </c>
      <c r="D83" s="643"/>
      <c r="E83" s="644"/>
      <c r="F83" s="668">
        <f>SUMIF('New Resources - Individual'!$F$6:$Y$6,F$6,'New Resources - Individual'!$F83:$Y83)</f>
        <v>0</v>
      </c>
      <c r="G83" s="668">
        <f>SUMIF('New Resources - Individual'!$F$6:$Y$6,G$6,'New Resources - Individual'!$F83:$Y83)</f>
        <v>0</v>
      </c>
      <c r="H83" s="669">
        <f>SUMIF('New Resources - Individual'!$F$6:$Y$6,H$6,'New Resources - Individual'!$F83:$Y83)</f>
        <v>0</v>
      </c>
      <c r="I83" s="668">
        <f>SUMIF('New Resources - Individual'!$F$6:$Y$6,I$6,'New Resources - Individual'!$F83:$Y83)</f>
        <v>0</v>
      </c>
      <c r="J83" s="669">
        <f>SUMIF('New Resources - Individual'!$F$6:$Y$6,J$6,'New Resources - Individual'!$F83:$Y83)</f>
        <v>0</v>
      </c>
      <c r="K83" s="669">
        <f>SUMIF('New Resources - Individual'!$F$6:$Y$6,K$6,'New Resources - Individual'!$F83:$Y83)</f>
        <v>0</v>
      </c>
      <c r="L83" s="669">
        <f>SUMIF('New Resources - Individual'!$F$6:$Y$6,L$6,'New Resources - Individual'!$F83:$Y83)</f>
        <v>0</v>
      </c>
      <c r="M83" s="669">
        <f>SUMIF('New Resources - Individual'!$F$6:$Y$6,M$6,'New Resources - Individual'!$F83:$Y83)</f>
        <v>0</v>
      </c>
      <c r="N83" s="669">
        <f>SUMIF('New Resources - Individual'!$F$6:$Y$6,N$6,'New Resources - Individual'!$F83:$Y83)</f>
        <v>0</v>
      </c>
      <c r="O83" s="669">
        <f>SUMIF('New Resources - Individual'!$F$6:$Y$6,O$6,'New Resources - Individual'!$F83:$Y83)</f>
        <v>0</v>
      </c>
      <c r="P83" s="669">
        <f>SUMIF('New Resources - Individual'!$F$6:$Y$6,P$6,'New Resources - Individual'!$F83:$Y83)</f>
        <v>0</v>
      </c>
      <c r="Q83" s="669">
        <f>SUMIF('New Resources - Individual'!$F$6:$Y$6,Q$6,'New Resources - Individual'!$F83:$Y83)</f>
        <v>0</v>
      </c>
      <c r="R83" s="669">
        <f>SUMIF('New Resources - Individual'!$F$6:$Y$6,R$6,'New Resources - Individual'!$F83:$Y83)</f>
        <v>0</v>
      </c>
      <c r="S83" s="669">
        <f>SUMIF('New Resources - Individual'!$F$6:$Y$6,S$6,'New Resources - Individual'!$F83:$Y83)</f>
        <v>0</v>
      </c>
      <c r="T83" s="669">
        <f>SUMIF('New Resources - Individual'!$F$6:$Y$6,T$6,'New Resources - Individual'!$F83:$Y83)</f>
        <v>0</v>
      </c>
      <c r="U83" s="669">
        <f>SUMIF('New Resources - Individual'!$F$6:$Y$6,U$6,'New Resources - Individual'!$F83:$Y83)</f>
        <v>0</v>
      </c>
      <c r="V83" s="669">
        <f>SUMIF('New Resources - Individual'!$F$6:$Y$6,V$6,'New Resources - Individual'!$F83:$Y83)</f>
        <v>0</v>
      </c>
      <c r="W83" s="669">
        <f>SUMIF('New Resources - Individual'!$F$6:$Y$6,W$6,'New Resources - Individual'!$F83:$Y83)</f>
        <v>0</v>
      </c>
      <c r="X83" s="669">
        <f>SUMIF('New Resources - Individual'!$F$6:$Y$6,X$6,'New Resources - Individual'!$F83:$Y83)</f>
        <v>0</v>
      </c>
      <c r="Y83" s="790">
        <f>SUMIF('New Resources - Individual'!$F$6:$Y$6,Y$6,'New Resources - Individual'!$F83:$Y83)</f>
        <v>0</v>
      </c>
      <c r="Z83" s="631"/>
      <c r="AA83" s="631"/>
      <c r="AB83" s="631"/>
      <c r="AC83" s="631"/>
      <c r="AD83" s="631"/>
      <c r="AE83" s="631"/>
      <c r="AF83" s="631"/>
      <c r="AG83" s="658"/>
      <c r="AH83" s="658"/>
    </row>
    <row r="84" spans="1:34">
      <c r="A84" s="640">
        <v>850</v>
      </c>
      <c r="B84" s="791" t="s">
        <v>79</v>
      </c>
      <c r="C84" s="643"/>
      <c r="D84" s="643"/>
      <c r="E84" s="644"/>
      <c r="F84" s="668">
        <f>SUMIF('New Resources - Individual'!$F$6:$Y$6,F$6,'New Resources - Individual'!$F84:$Y84)</f>
        <v>0</v>
      </c>
      <c r="G84" s="668">
        <f>SUMIF('New Resources - Individual'!$F$6:$Y$6,G$6,'New Resources - Individual'!$F84:$Y84)</f>
        <v>0</v>
      </c>
      <c r="H84" s="669">
        <f>SUMIF('New Resources - Individual'!$F$6:$Y$6,H$6,'New Resources - Individual'!$F84:$Y84)</f>
        <v>0</v>
      </c>
      <c r="I84" s="668">
        <f>SUMIF('New Resources - Individual'!$F$6:$Y$6,I$6,'New Resources - Individual'!$F84:$Y84)</f>
        <v>0</v>
      </c>
      <c r="J84" s="669">
        <f>SUMIF('New Resources - Individual'!$F$6:$Y$6,J$6,'New Resources - Individual'!$F84:$Y84)</f>
        <v>0</v>
      </c>
      <c r="K84" s="669">
        <f>SUMIF('New Resources - Individual'!$F$6:$Y$6,K$6,'New Resources - Individual'!$F84:$Y84)</f>
        <v>0</v>
      </c>
      <c r="L84" s="669">
        <f>SUMIF('New Resources - Individual'!$F$6:$Y$6,L$6,'New Resources - Individual'!$F84:$Y84)</f>
        <v>0</v>
      </c>
      <c r="M84" s="669">
        <f>SUMIF('New Resources - Individual'!$F$6:$Y$6,M$6,'New Resources - Individual'!$F84:$Y84)</f>
        <v>0</v>
      </c>
      <c r="N84" s="669">
        <f>SUMIF('New Resources - Individual'!$F$6:$Y$6,N$6,'New Resources - Individual'!$F84:$Y84)</f>
        <v>0</v>
      </c>
      <c r="O84" s="669">
        <f>SUMIF('New Resources - Individual'!$F$6:$Y$6,O$6,'New Resources - Individual'!$F84:$Y84)</f>
        <v>0</v>
      </c>
      <c r="P84" s="669">
        <f>SUMIF('New Resources - Individual'!$F$6:$Y$6,P$6,'New Resources - Individual'!$F84:$Y84)</f>
        <v>0</v>
      </c>
      <c r="Q84" s="669">
        <f>SUMIF('New Resources - Individual'!$F$6:$Y$6,Q$6,'New Resources - Individual'!$F84:$Y84)</f>
        <v>0</v>
      </c>
      <c r="R84" s="669">
        <f>SUMIF('New Resources - Individual'!$F$6:$Y$6,R$6,'New Resources - Individual'!$F84:$Y84)</f>
        <v>0</v>
      </c>
      <c r="S84" s="669">
        <f>SUMIF('New Resources - Individual'!$F$6:$Y$6,S$6,'New Resources - Individual'!$F84:$Y84)</f>
        <v>0</v>
      </c>
      <c r="T84" s="669">
        <f>SUMIF('New Resources - Individual'!$F$6:$Y$6,T$6,'New Resources - Individual'!$F84:$Y84)</f>
        <v>0</v>
      </c>
      <c r="U84" s="669">
        <f>SUMIF('New Resources - Individual'!$F$6:$Y$6,U$6,'New Resources - Individual'!$F84:$Y84)</f>
        <v>0</v>
      </c>
      <c r="V84" s="669">
        <f>SUMIF('New Resources - Individual'!$F$6:$Y$6,V$6,'New Resources - Individual'!$F84:$Y84)</f>
        <v>0</v>
      </c>
      <c r="W84" s="669">
        <f>SUMIF('New Resources - Individual'!$F$6:$Y$6,W$6,'New Resources - Individual'!$F84:$Y84)</f>
        <v>0</v>
      </c>
      <c r="X84" s="669">
        <f>SUMIF('New Resources - Individual'!$F$6:$Y$6,X$6,'New Resources - Individual'!$F84:$Y84)</f>
        <v>0</v>
      </c>
      <c r="Y84" s="790">
        <f>SUMIF('New Resources - Individual'!$F$6:$Y$6,Y$6,'New Resources - Individual'!$F84:$Y84)</f>
        <v>0</v>
      </c>
      <c r="Z84" s="631"/>
      <c r="AA84" s="631"/>
      <c r="AB84" s="631"/>
      <c r="AC84" s="631"/>
      <c r="AD84" s="631"/>
      <c r="AE84" s="631"/>
      <c r="AF84" s="631"/>
      <c r="AG84" s="658"/>
      <c r="AH84" s="658"/>
    </row>
    <row r="85" spans="1:34">
      <c r="A85" s="640">
        <v>860</v>
      </c>
      <c r="B85" s="792" t="s">
        <v>300</v>
      </c>
      <c r="C85" s="646"/>
      <c r="D85" s="646"/>
      <c r="E85" s="647"/>
      <c r="F85" s="669"/>
      <c r="G85" s="669"/>
      <c r="H85" s="671"/>
      <c r="I85" s="668"/>
      <c r="J85" s="671"/>
      <c r="K85" s="669"/>
      <c r="L85" s="671"/>
      <c r="M85" s="671"/>
      <c r="N85" s="671"/>
      <c r="O85" s="671"/>
      <c r="P85" s="671"/>
      <c r="Q85" s="671"/>
      <c r="R85" s="669"/>
      <c r="S85" s="669"/>
      <c r="T85" s="669"/>
      <c r="U85" s="669"/>
      <c r="V85" s="669"/>
      <c r="W85" s="671"/>
      <c r="X85" s="671"/>
      <c r="Y85" s="790"/>
      <c r="Z85" s="631"/>
      <c r="AA85" s="631"/>
      <c r="AB85" s="631"/>
      <c r="AC85" s="631"/>
      <c r="AD85" s="631"/>
      <c r="AE85" s="631"/>
      <c r="AF85" s="631"/>
      <c r="AG85" s="658"/>
      <c r="AH85" s="658"/>
    </row>
    <row r="86" spans="1:34">
      <c r="A86" s="640">
        <v>870</v>
      </c>
      <c r="B86" s="789" t="s">
        <v>301</v>
      </c>
      <c r="C86" s="645">
        <v>565</v>
      </c>
      <c r="D86" s="645"/>
      <c r="E86" s="644"/>
      <c r="F86" s="668">
        <f>SUMIF('New Resources - Individual'!$F$6:$Y$6,F$6,'New Resources - Individual'!$F86:$Y86)</f>
        <v>0</v>
      </c>
      <c r="G86" s="668">
        <f>SUMIF('New Resources - Individual'!$F$6:$Y$6,G$6,'New Resources - Individual'!$F86:$Y86)</f>
        <v>0</v>
      </c>
      <c r="H86" s="669">
        <f>SUMIF('New Resources - Individual'!$F$6:$Y$6,H$6,'New Resources - Individual'!$F86:$Y86)</f>
        <v>0</v>
      </c>
      <c r="I86" s="668">
        <f>SUMIF('New Resources - Individual'!$F$6:$Y$6,I$6,'New Resources - Individual'!$F86:$Y86)</f>
        <v>0</v>
      </c>
      <c r="J86" s="669">
        <f>SUMIF('New Resources - Individual'!$F$6:$Y$6,J$6,'New Resources - Individual'!$F86:$Y86)</f>
        <v>0</v>
      </c>
      <c r="K86" s="669">
        <f>SUMIF('New Resources - Individual'!$F$6:$Y$6,K$6,'New Resources - Individual'!$F86:$Y86)</f>
        <v>0</v>
      </c>
      <c r="L86" s="669">
        <f>SUMIF('New Resources - Individual'!$F$6:$Y$6,L$6,'New Resources - Individual'!$F86:$Y86)</f>
        <v>0</v>
      </c>
      <c r="M86" s="669">
        <f>SUMIF('New Resources - Individual'!$F$6:$Y$6,M$6,'New Resources - Individual'!$F86:$Y86)</f>
        <v>0</v>
      </c>
      <c r="N86" s="669">
        <f>SUMIF('New Resources - Individual'!$F$6:$Y$6,N$6,'New Resources - Individual'!$F86:$Y86)</f>
        <v>0</v>
      </c>
      <c r="O86" s="669">
        <f>SUMIF('New Resources - Individual'!$F$6:$Y$6,O$6,'New Resources - Individual'!$F86:$Y86)</f>
        <v>0</v>
      </c>
      <c r="P86" s="669">
        <f>SUMIF('New Resources - Individual'!$F$6:$Y$6,P$6,'New Resources - Individual'!$F86:$Y86)</f>
        <v>0</v>
      </c>
      <c r="Q86" s="669">
        <f>SUMIF('New Resources - Individual'!$F$6:$Y$6,Q$6,'New Resources - Individual'!$F86:$Y86)</f>
        <v>0</v>
      </c>
      <c r="R86" s="669">
        <f>SUMIF('New Resources - Individual'!$F$6:$Y$6,R$6,'New Resources - Individual'!$F86:$Y86)</f>
        <v>0</v>
      </c>
      <c r="S86" s="669">
        <f>SUMIF('New Resources - Individual'!$F$6:$Y$6,S$6,'New Resources - Individual'!$F86:$Y86)</f>
        <v>0</v>
      </c>
      <c r="T86" s="669">
        <f>SUMIF('New Resources - Individual'!$F$6:$Y$6,T$6,'New Resources - Individual'!$F86:$Y86)</f>
        <v>0</v>
      </c>
      <c r="U86" s="669">
        <f>SUMIF('New Resources - Individual'!$F$6:$Y$6,U$6,'New Resources - Individual'!$F86:$Y86)</f>
        <v>0</v>
      </c>
      <c r="V86" s="669">
        <f>SUMIF('New Resources - Individual'!$F$6:$Y$6,V$6,'New Resources - Individual'!$F86:$Y86)</f>
        <v>0</v>
      </c>
      <c r="W86" s="669">
        <f>SUMIF('New Resources - Individual'!$F$6:$Y$6,W$6,'New Resources - Individual'!$F86:$Y86)</f>
        <v>0</v>
      </c>
      <c r="X86" s="669">
        <f>SUMIF('New Resources - Individual'!$F$6:$Y$6,X$6,'New Resources - Individual'!$F86:$Y86)</f>
        <v>0</v>
      </c>
      <c r="Y86" s="790">
        <f>SUMIF('New Resources - Individual'!$F$6:$Y$6,Y$6,'New Resources - Individual'!$F86:$Y86)</f>
        <v>0</v>
      </c>
      <c r="Z86" s="631"/>
      <c r="AA86" s="631"/>
      <c r="AB86" s="631"/>
      <c r="AC86" s="631"/>
      <c r="AD86" s="631"/>
      <c r="AE86" s="631"/>
      <c r="AF86" s="631"/>
      <c r="AG86" s="658"/>
      <c r="AH86" s="658"/>
    </row>
    <row r="87" spans="1:34">
      <c r="A87" s="640">
        <v>880</v>
      </c>
      <c r="B87" s="791" t="s">
        <v>465</v>
      </c>
      <c r="C87" s="643" t="s">
        <v>302</v>
      </c>
      <c r="D87" s="643"/>
      <c r="E87" s="644"/>
      <c r="F87" s="668">
        <f>SUMIF('New Resources - Individual'!$F$6:$Y$6,F$6,'New Resources - Individual'!$F87:$Y87)</f>
        <v>0</v>
      </c>
      <c r="G87" s="668">
        <f>SUMIF('New Resources - Individual'!$F$6:$Y$6,G$6,'New Resources - Individual'!$F87:$Y87)</f>
        <v>0</v>
      </c>
      <c r="H87" s="669">
        <f>SUMIF('New Resources - Individual'!$F$6:$Y$6,H$6,'New Resources - Individual'!$F87:$Y87)</f>
        <v>0</v>
      </c>
      <c r="I87" s="668">
        <f>SUMIF('New Resources - Individual'!$F$6:$Y$6,I$6,'New Resources - Individual'!$F87:$Y87)</f>
        <v>0</v>
      </c>
      <c r="J87" s="669">
        <f>SUMIF('New Resources - Individual'!$F$6:$Y$6,J$6,'New Resources - Individual'!$F87:$Y87)</f>
        <v>0</v>
      </c>
      <c r="K87" s="669">
        <f>SUMIF('New Resources - Individual'!$F$6:$Y$6,K$6,'New Resources - Individual'!$F87:$Y87)</f>
        <v>0</v>
      </c>
      <c r="L87" s="669">
        <f>SUMIF('New Resources - Individual'!$F$6:$Y$6,L$6,'New Resources - Individual'!$F87:$Y87)</f>
        <v>0</v>
      </c>
      <c r="M87" s="669">
        <f>SUMIF('New Resources - Individual'!$F$6:$Y$6,M$6,'New Resources - Individual'!$F87:$Y87)</f>
        <v>0</v>
      </c>
      <c r="N87" s="669">
        <f>SUMIF('New Resources - Individual'!$F$6:$Y$6,N$6,'New Resources - Individual'!$F87:$Y87)</f>
        <v>0</v>
      </c>
      <c r="O87" s="669">
        <f>SUMIF('New Resources - Individual'!$F$6:$Y$6,O$6,'New Resources - Individual'!$F87:$Y87)</f>
        <v>0</v>
      </c>
      <c r="P87" s="669">
        <f>SUMIF('New Resources - Individual'!$F$6:$Y$6,P$6,'New Resources - Individual'!$F87:$Y87)</f>
        <v>0</v>
      </c>
      <c r="Q87" s="669">
        <f>SUMIF('New Resources - Individual'!$F$6:$Y$6,Q$6,'New Resources - Individual'!$F87:$Y87)</f>
        <v>0</v>
      </c>
      <c r="R87" s="669">
        <f>SUMIF('New Resources - Individual'!$F$6:$Y$6,R$6,'New Resources - Individual'!$F87:$Y87)</f>
        <v>0</v>
      </c>
      <c r="S87" s="669">
        <f>SUMIF('New Resources - Individual'!$F$6:$Y$6,S$6,'New Resources - Individual'!$F87:$Y87)</f>
        <v>0</v>
      </c>
      <c r="T87" s="669">
        <f>SUMIF('New Resources - Individual'!$F$6:$Y$6,T$6,'New Resources - Individual'!$F87:$Y87)</f>
        <v>0</v>
      </c>
      <c r="U87" s="669">
        <f>SUMIF('New Resources - Individual'!$F$6:$Y$6,U$6,'New Resources - Individual'!$F87:$Y87)</f>
        <v>0</v>
      </c>
      <c r="V87" s="669">
        <f>SUMIF('New Resources - Individual'!$F$6:$Y$6,V$6,'New Resources - Individual'!$F87:$Y87)</f>
        <v>0</v>
      </c>
      <c r="W87" s="669">
        <f>SUMIF('New Resources - Individual'!$F$6:$Y$6,W$6,'New Resources - Individual'!$F87:$Y87)</f>
        <v>0</v>
      </c>
      <c r="X87" s="669">
        <f>SUMIF('New Resources - Individual'!$F$6:$Y$6,X$6,'New Resources - Individual'!$F87:$Y87)</f>
        <v>0</v>
      </c>
      <c r="Y87" s="790">
        <f>SUMIF('New Resources - Individual'!$F$6:$Y$6,Y$6,'New Resources - Individual'!$F87:$Y87)</f>
        <v>0</v>
      </c>
      <c r="Z87" s="631"/>
      <c r="AA87" s="631"/>
      <c r="AB87" s="631"/>
      <c r="AC87" s="631"/>
      <c r="AD87" s="631"/>
      <c r="AE87" s="631"/>
      <c r="AF87" s="631"/>
      <c r="AG87" s="658"/>
      <c r="AH87" s="658"/>
    </row>
    <row r="88" spans="1:34">
      <c r="A88" s="640">
        <v>890</v>
      </c>
      <c r="B88" s="789" t="s">
        <v>466</v>
      </c>
      <c r="C88" s="645" t="s">
        <v>303</v>
      </c>
      <c r="D88" s="645"/>
      <c r="E88" s="644"/>
      <c r="F88" s="668">
        <f>SUMIF('New Resources - Individual'!$F$6:$Y$6,F$6,'New Resources - Individual'!$F88:$Y88)</f>
        <v>0</v>
      </c>
      <c r="G88" s="668">
        <f>SUMIF('New Resources - Individual'!$F$6:$Y$6,G$6,'New Resources - Individual'!$F88:$Y88)</f>
        <v>0</v>
      </c>
      <c r="H88" s="669">
        <f>SUMIF('New Resources - Individual'!$F$6:$Y$6,H$6,'New Resources - Individual'!$F88:$Y88)</f>
        <v>0</v>
      </c>
      <c r="I88" s="668">
        <f>SUMIF('New Resources - Individual'!$F$6:$Y$6,I$6,'New Resources - Individual'!$F88:$Y88)</f>
        <v>0</v>
      </c>
      <c r="J88" s="669">
        <f>SUMIF('New Resources - Individual'!$F$6:$Y$6,J$6,'New Resources - Individual'!$F88:$Y88)</f>
        <v>0</v>
      </c>
      <c r="K88" s="669">
        <f>SUMIF('New Resources - Individual'!$F$6:$Y$6,K$6,'New Resources - Individual'!$F88:$Y88)</f>
        <v>0</v>
      </c>
      <c r="L88" s="669">
        <f>SUMIF('New Resources - Individual'!$F$6:$Y$6,L$6,'New Resources - Individual'!$F88:$Y88)</f>
        <v>0</v>
      </c>
      <c r="M88" s="669">
        <f>SUMIF('New Resources - Individual'!$F$6:$Y$6,M$6,'New Resources - Individual'!$F88:$Y88)</f>
        <v>0</v>
      </c>
      <c r="N88" s="669">
        <f>SUMIF('New Resources - Individual'!$F$6:$Y$6,N$6,'New Resources - Individual'!$F88:$Y88)</f>
        <v>0</v>
      </c>
      <c r="O88" s="669">
        <f>SUMIF('New Resources - Individual'!$F$6:$Y$6,O$6,'New Resources - Individual'!$F88:$Y88)</f>
        <v>0</v>
      </c>
      <c r="P88" s="669">
        <f>SUMIF('New Resources - Individual'!$F$6:$Y$6,P$6,'New Resources - Individual'!$F88:$Y88)</f>
        <v>0</v>
      </c>
      <c r="Q88" s="669">
        <f>SUMIF('New Resources - Individual'!$F$6:$Y$6,Q$6,'New Resources - Individual'!$F88:$Y88)</f>
        <v>0</v>
      </c>
      <c r="R88" s="669">
        <f>SUMIF('New Resources - Individual'!$F$6:$Y$6,R$6,'New Resources - Individual'!$F88:$Y88)</f>
        <v>0</v>
      </c>
      <c r="S88" s="669">
        <f>SUMIF('New Resources - Individual'!$F$6:$Y$6,S$6,'New Resources - Individual'!$F88:$Y88)</f>
        <v>0</v>
      </c>
      <c r="T88" s="669">
        <f>SUMIF('New Resources - Individual'!$F$6:$Y$6,T$6,'New Resources - Individual'!$F88:$Y88)</f>
        <v>0</v>
      </c>
      <c r="U88" s="669">
        <f>SUMIF('New Resources - Individual'!$F$6:$Y$6,U$6,'New Resources - Individual'!$F88:$Y88)</f>
        <v>0</v>
      </c>
      <c r="V88" s="669">
        <f>SUMIF('New Resources - Individual'!$F$6:$Y$6,V$6,'New Resources - Individual'!$F88:$Y88)</f>
        <v>0</v>
      </c>
      <c r="W88" s="669">
        <f>SUMIF('New Resources - Individual'!$F$6:$Y$6,W$6,'New Resources - Individual'!$F88:$Y88)</f>
        <v>0</v>
      </c>
      <c r="X88" s="669">
        <f>SUMIF('New Resources - Individual'!$F$6:$Y$6,X$6,'New Resources - Individual'!$F88:$Y88)</f>
        <v>0</v>
      </c>
      <c r="Y88" s="790">
        <f>SUMIF('New Resources - Individual'!$F$6:$Y$6,Y$6,'New Resources - Individual'!$F88:$Y88)</f>
        <v>0</v>
      </c>
      <c r="Z88" s="631"/>
      <c r="AA88" s="631"/>
      <c r="AB88" s="631"/>
      <c r="AC88" s="631"/>
      <c r="AD88" s="631"/>
      <c r="AE88" s="631"/>
      <c r="AF88" s="631"/>
      <c r="AG88" s="658"/>
      <c r="AH88" s="658"/>
    </row>
    <row r="89" spans="1:34">
      <c r="A89" s="640">
        <v>900</v>
      </c>
      <c r="B89" s="791" t="s">
        <v>167</v>
      </c>
      <c r="C89" s="643">
        <v>924</v>
      </c>
      <c r="D89" s="643"/>
      <c r="E89" s="644"/>
      <c r="F89" s="668">
        <f>SUMIF('New Resources - Individual'!$F$6:$Y$6,F$6,'New Resources - Individual'!$F89:$Y89)</f>
        <v>0</v>
      </c>
      <c r="G89" s="668">
        <f>SUMIF('New Resources - Individual'!$F$6:$Y$6,G$6,'New Resources - Individual'!$F89:$Y89)</f>
        <v>0</v>
      </c>
      <c r="H89" s="669">
        <f>SUMIF('New Resources - Individual'!$F$6:$Y$6,H$6,'New Resources - Individual'!$F89:$Y89)</f>
        <v>0</v>
      </c>
      <c r="I89" s="668">
        <f>SUMIF('New Resources - Individual'!$F$6:$Y$6,I$6,'New Resources - Individual'!$F89:$Y89)</f>
        <v>0</v>
      </c>
      <c r="J89" s="669">
        <f>SUMIF('New Resources - Individual'!$F$6:$Y$6,J$6,'New Resources - Individual'!$F89:$Y89)</f>
        <v>0</v>
      </c>
      <c r="K89" s="669">
        <f>SUMIF('New Resources - Individual'!$F$6:$Y$6,K$6,'New Resources - Individual'!$F89:$Y89)</f>
        <v>0</v>
      </c>
      <c r="L89" s="669">
        <f>SUMIF('New Resources - Individual'!$F$6:$Y$6,L$6,'New Resources - Individual'!$F89:$Y89)</f>
        <v>0</v>
      </c>
      <c r="M89" s="669">
        <f>SUMIF('New Resources - Individual'!$F$6:$Y$6,M$6,'New Resources - Individual'!$F89:$Y89)</f>
        <v>0</v>
      </c>
      <c r="N89" s="669">
        <f>SUMIF('New Resources - Individual'!$F$6:$Y$6,N$6,'New Resources - Individual'!$F89:$Y89)</f>
        <v>0</v>
      </c>
      <c r="O89" s="669">
        <f>SUMIF('New Resources - Individual'!$F$6:$Y$6,O$6,'New Resources - Individual'!$F89:$Y89)</f>
        <v>0</v>
      </c>
      <c r="P89" s="669">
        <f>SUMIF('New Resources - Individual'!$F$6:$Y$6,P$6,'New Resources - Individual'!$F89:$Y89)</f>
        <v>0</v>
      </c>
      <c r="Q89" s="669">
        <f>SUMIF('New Resources - Individual'!$F$6:$Y$6,Q$6,'New Resources - Individual'!$F89:$Y89)</f>
        <v>0</v>
      </c>
      <c r="R89" s="669">
        <f>SUMIF('New Resources - Individual'!$F$6:$Y$6,R$6,'New Resources - Individual'!$F89:$Y89)</f>
        <v>0</v>
      </c>
      <c r="S89" s="669">
        <f>SUMIF('New Resources - Individual'!$F$6:$Y$6,S$6,'New Resources - Individual'!$F89:$Y89)</f>
        <v>0</v>
      </c>
      <c r="T89" s="669">
        <f>SUMIF('New Resources - Individual'!$F$6:$Y$6,T$6,'New Resources - Individual'!$F89:$Y89)</f>
        <v>0</v>
      </c>
      <c r="U89" s="669">
        <f>SUMIF('New Resources - Individual'!$F$6:$Y$6,U$6,'New Resources - Individual'!$F89:$Y89)</f>
        <v>0</v>
      </c>
      <c r="V89" s="669">
        <f>SUMIF('New Resources - Individual'!$F$6:$Y$6,V$6,'New Resources - Individual'!$F89:$Y89)</f>
        <v>0</v>
      </c>
      <c r="W89" s="669">
        <f>SUMIF('New Resources - Individual'!$F$6:$Y$6,W$6,'New Resources - Individual'!$F89:$Y89)</f>
        <v>0</v>
      </c>
      <c r="X89" s="669">
        <f>SUMIF('New Resources - Individual'!$F$6:$Y$6,X$6,'New Resources - Individual'!$F89:$Y89)</f>
        <v>0</v>
      </c>
      <c r="Y89" s="790">
        <f>SUMIF('New Resources - Individual'!$F$6:$Y$6,Y$6,'New Resources - Individual'!$F89:$Y89)</f>
        <v>0</v>
      </c>
      <c r="Z89" s="631"/>
      <c r="AA89" s="631"/>
      <c r="AB89" s="631"/>
      <c r="AC89" s="631"/>
      <c r="AD89" s="631"/>
      <c r="AE89" s="631"/>
      <c r="AF89" s="631"/>
      <c r="AG89" s="658"/>
      <c r="AH89" s="658"/>
    </row>
    <row r="90" spans="1:34">
      <c r="A90" s="640">
        <v>910</v>
      </c>
      <c r="B90" s="789" t="s">
        <v>599</v>
      </c>
      <c r="C90" s="645">
        <v>403</v>
      </c>
      <c r="D90" s="645"/>
      <c r="E90" s="644"/>
      <c r="F90" s="668">
        <f>SUMIF('New Resources - Individual'!$F$6:$Y$6,F$6,'New Resources - Individual'!$F90:$Y90)</f>
        <v>0</v>
      </c>
      <c r="G90" s="668">
        <f>SUMIF('New Resources - Individual'!$F$6:$Y$6,G$6,'New Resources - Individual'!$F90:$Y90)</f>
        <v>0</v>
      </c>
      <c r="H90" s="669">
        <f>SUMIF('New Resources - Individual'!$F$6:$Y$6,H$6,'New Resources - Individual'!$F90:$Y90)</f>
        <v>0</v>
      </c>
      <c r="I90" s="668">
        <f>SUMIF('New Resources - Individual'!$F$6:$Y$6,I$6,'New Resources - Individual'!$F90:$Y90)</f>
        <v>0</v>
      </c>
      <c r="J90" s="669">
        <f>SUMIF('New Resources - Individual'!$F$6:$Y$6,J$6,'New Resources - Individual'!$F90:$Y90)</f>
        <v>0</v>
      </c>
      <c r="K90" s="669">
        <f>SUMIF('New Resources - Individual'!$F$6:$Y$6,K$6,'New Resources - Individual'!$F90:$Y90)</f>
        <v>0</v>
      </c>
      <c r="L90" s="669">
        <f>SUMIF('New Resources - Individual'!$F$6:$Y$6,L$6,'New Resources - Individual'!$F90:$Y90)</f>
        <v>0</v>
      </c>
      <c r="M90" s="669">
        <f>SUMIF('New Resources - Individual'!$F$6:$Y$6,M$6,'New Resources - Individual'!$F90:$Y90)</f>
        <v>0</v>
      </c>
      <c r="N90" s="669">
        <f>SUMIF('New Resources - Individual'!$F$6:$Y$6,N$6,'New Resources - Individual'!$F90:$Y90)</f>
        <v>0</v>
      </c>
      <c r="O90" s="669">
        <f>SUMIF('New Resources - Individual'!$F$6:$Y$6,O$6,'New Resources - Individual'!$F90:$Y90)</f>
        <v>0</v>
      </c>
      <c r="P90" s="669">
        <f>SUMIF('New Resources - Individual'!$F$6:$Y$6,P$6,'New Resources - Individual'!$F90:$Y90)</f>
        <v>0</v>
      </c>
      <c r="Q90" s="669">
        <f>SUMIF('New Resources - Individual'!$F$6:$Y$6,Q$6,'New Resources - Individual'!$F90:$Y90)</f>
        <v>0</v>
      </c>
      <c r="R90" s="669">
        <f>SUMIF('New Resources - Individual'!$F$6:$Y$6,R$6,'New Resources - Individual'!$F90:$Y90)</f>
        <v>0</v>
      </c>
      <c r="S90" s="669">
        <f>SUMIF('New Resources - Individual'!$F$6:$Y$6,S$6,'New Resources - Individual'!$F90:$Y90)</f>
        <v>0</v>
      </c>
      <c r="T90" s="669">
        <f>SUMIF('New Resources - Individual'!$F$6:$Y$6,T$6,'New Resources - Individual'!$F90:$Y90)</f>
        <v>0</v>
      </c>
      <c r="U90" s="669">
        <f>SUMIF('New Resources - Individual'!$F$6:$Y$6,U$6,'New Resources - Individual'!$F90:$Y90)</f>
        <v>0</v>
      </c>
      <c r="V90" s="669">
        <f>SUMIF('New Resources - Individual'!$F$6:$Y$6,V$6,'New Resources - Individual'!$F90:$Y90)</f>
        <v>0</v>
      </c>
      <c r="W90" s="669">
        <f>SUMIF('New Resources - Individual'!$F$6:$Y$6,W$6,'New Resources - Individual'!$F90:$Y90)</f>
        <v>0</v>
      </c>
      <c r="X90" s="669">
        <f>SUMIF('New Resources - Individual'!$F$6:$Y$6,X$6,'New Resources - Individual'!$F90:$Y90)</f>
        <v>0</v>
      </c>
      <c r="Y90" s="790">
        <f>SUMIF('New Resources - Individual'!$F$6:$Y$6,Y$6,'New Resources - Individual'!$F90:$Y90)</f>
        <v>0</v>
      </c>
      <c r="Z90" s="631"/>
      <c r="AA90" s="631"/>
      <c r="AB90" s="631"/>
      <c r="AC90" s="631"/>
      <c r="AD90" s="631"/>
      <c r="AE90" s="631"/>
      <c r="AF90" s="631"/>
      <c r="AG90" s="658"/>
      <c r="AH90" s="658"/>
    </row>
    <row r="91" spans="1:34">
      <c r="A91" s="640">
        <v>920</v>
      </c>
      <c r="B91" s="791" t="s">
        <v>328</v>
      </c>
      <c r="C91" s="643">
        <v>456</v>
      </c>
      <c r="D91" s="643"/>
      <c r="E91" s="644"/>
      <c r="F91" s="668">
        <f>SUMIF('New Resources - Individual'!$F$6:$Y$6,F$6,'New Resources - Individual'!$F91:$Y91)</f>
        <v>0</v>
      </c>
      <c r="G91" s="668">
        <f>SUMIF('New Resources - Individual'!$F$6:$Y$6,G$6,'New Resources - Individual'!$F91:$Y91)</f>
        <v>0</v>
      </c>
      <c r="H91" s="669">
        <f>SUMIF('New Resources - Individual'!$F$6:$Y$6,H$6,'New Resources - Individual'!$F91:$Y91)</f>
        <v>0</v>
      </c>
      <c r="I91" s="668">
        <f>SUMIF('New Resources - Individual'!$F$6:$Y$6,I$6,'New Resources - Individual'!$F91:$Y91)</f>
        <v>0</v>
      </c>
      <c r="J91" s="669">
        <f>SUMIF('New Resources - Individual'!$F$6:$Y$6,J$6,'New Resources - Individual'!$F91:$Y91)</f>
        <v>0</v>
      </c>
      <c r="K91" s="669">
        <f>SUMIF('New Resources - Individual'!$F$6:$Y$6,K$6,'New Resources - Individual'!$F91:$Y91)</f>
        <v>0</v>
      </c>
      <c r="L91" s="669">
        <f>SUMIF('New Resources - Individual'!$F$6:$Y$6,L$6,'New Resources - Individual'!$F91:$Y91)</f>
        <v>0</v>
      </c>
      <c r="M91" s="669">
        <f>SUMIF('New Resources - Individual'!$F$6:$Y$6,M$6,'New Resources - Individual'!$F91:$Y91)</f>
        <v>0</v>
      </c>
      <c r="N91" s="669">
        <f>SUMIF('New Resources - Individual'!$F$6:$Y$6,N$6,'New Resources - Individual'!$F91:$Y91)</f>
        <v>0</v>
      </c>
      <c r="O91" s="669">
        <f>SUMIF('New Resources - Individual'!$F$6:$Y$6,O$6,'New Resources - Individual'!$F91:$Y91)</f>
        <v>0</v>
      </c>
      <c r="P91" s="669">
        <f>SUMIF('New Resources - Individual'!$F$6:$Y$6,P$6,'New Resources - Individual'!$F91:$Y91)</f>
        <v>0</v>
      </c>
      <c r="Q91" s="669">
        <f>SUMIF('New Resources - Individual'!$F$6:$Y$6,Q$6,'New Resources - Individual'!$F91:$Y91)</f>
        <v>0</v>
      </c>
      <c r="R91" s="669">
        <f>SUMIF('New Resources - Individual'!$F$6:$Y$6,R$6,'New Resources - Individual'!$F91:$Y91)</f>
        <v>0</v>
      </c>
      <c r="S91" s="669">
        <f>SUMIF('New Resources - Individual'!$F$6:$Y$6,S$6,'New Resources - Individual'!$F91:$Y91)</f>
        <v>0</v>
      </c>
      <c r="T91" s="669">
        <f>SUMIF('New Resources - Individual'!$F$6:$Y$6,T$6,'New Resources - Individual'!$F91:$Y91)</f>
        <v>0</v>
      </c>
      <c r="U91" s="669">
        <f>SUMIF('New Resources - Individual'!$F$6:$Y$6,U$6,'New Resources - Individual'!$F91:$Y91)</f>
        <v>0</v>
      </c>
      <c r="V91" s="669">
        <f>SUMIF('New Resources - Individual'!$F$6:$Y$6,V$6,'New Resources - Individual'!$F91:$Y91)</f>
        <v>0</v>
      </c>
      <c r="W91" s="669">
        <f>SUMIF('New Resources - Individual'!$F$6:$Y$6,W$6,'New Resources - Individual'!$F91:$Y91)</f>
        <v>0</v>
      </c>
      <c r="X91" s="669">
        <f>SUMIF('New Resources - Individual'!$F$6:$Y$6,X$6,'New Resources - Individual'!$F91:$Y91)</f>
        <v>0</v>
      </c>
      <c r="Y91" s="790">
        <f>SUMIF('New Resources - Individual'!$F$6:$Y$6,Y$6,'New Resources - Individual'!$F91:$Y91)</f>
        <v>0</v>
      </c>
      <c r="Z91" s="631"/>
      <c r="AA91" s="631"/>
      <c r="AB91" s="631"/>
      <c r="AC91" s="631"/>
      <c r="AD91" s="631"/>
      <c r="AE91" s="631"/>
      <c r="AF91" s="631"/>
      <c r="AG91" s="658"/>
      <c r="AH91" s="658"/>
    </row>
    <row r="92" spans="1:34">
      <c r="A92" s="640">
        <v>930</v>
      </c>
      <c r="B92" s="789" t="s">
        <v>507</v>
      </c>
      <c r="C92" s="645">
        <v>456.1</v>
      </c>
      <c r="D92" s="645"/>
      <c r="E92" s="644"/>
      <c r="F92" s="668">
        <f>SUMIF('New Resources - Individual'!$F$6:$Y$6,F$6,'New Resources - Individual'!$F92:$Y92)</f>
        <v>0</v>
      </c>
      <c r="G92" s="668">
        <f>SUMIF('New Resources - Individual'!$F$6:$Y$6,G$6,'New Resources - Individual'!$F92:$Y92)</f>
        <v>0</v>
      </c>
      <c r="H92" s="669">
        <f>SUMIF('New Resources - Individual'!$F$6:$Y$6,H$6,'New Resources - Individual'!$F92:$Y92)</f>
        <v>0</v>
      </c>
      <c r="I92" s="668">
        <f>SUMIF('New Resources - Individual'!$F$6:$Y$6,I$6,'New Resources - Individual'!$F92:$Y92)</f>
        <v>0</v>
      </c>
      <c r="J92" s="669">
        <f>SUMIF('New Resources - Individual'!$F$6:$Y$6,J$6,'New Resources - Individual'!$F92:$Y92)</f>
        <v>0</v>
      </c>
      <c r="K92" s="669">
        <f>SUMIF('New Resources - Individual'!$F$6:$Y$6,K$6,'New Resources - Individual'!$F92:$Y92)</f>
        <v>0</v>
      </c>
      <c r="L92" s="669">
        <f>SUMIF('New Resources - Individual'!$F$6:$Y$6,L$6,'New Resources - Individual'!$F92:$Y92)</f>
        <v>0</v>
      </c>
      <c r="M92" s="669">
        <f>SUMIF('New Resources - Individual'!$F$6:$Y$6,M$6,'New Resources - Individual'!$F92:$Y92)</f>
        <v>0</v>
      </c>
      <c r="N92" s="669">
        <f>SUMIF('New Resources - Individual'!$F$6:$Y$6,N$6,'New Resources - Individual'!$F92:$Y92)</f>
        <v>0</v>
      </c>
      <c r="O92" s="669">
        <f>SUMIF('New Resources - Individual'!$F$6:$Y$6,O$6,'New Resources - Individual'!$F92:$Y92)</f>
        <v>0</v>
      </c>
      <c r="P92" s="669">
        <f>SUMIF('New Resources - Individual'!$F$6:$Y$6,P$6,'New Resources - Individual'!$F92:$Y92)</f>
        <v>0</v>
      </c>
      <c r="Q92" s="669">
        <f>SUMIF('New Resources - Individual'!$F$6:$Y$6,Q$6,'New Resources - Individual'!$F92:$Y92)</f>
        <v>0</v>
      </c>
      <c r="R92" s="669">
        <f>SUMIF('New Resources - Individual'!$F$6:$Y$6,R$6,'New Resources - Individual'!$F92:$Y92)</f>
        <v>0</v>
      </c>
      <c r="S92" s="669">
        <f>SUMIF('New Resources - Individual'!$F$6:$Y$6,S$6,'New Resources - Individual'!$F92:$Y92)</f>
        <v>0</v>
      </c>
      <c r="T92" s="669">
        <f>SUMIF('New Resources - Individual'!$F$6:$Y$6,T$6,'New Resources - Individual'!$F92:$Y92)</f>
        <v>0</v>
      </c>
      <c r="U92" s="669">
        <f>SUMIF('New Resources - Individual'!$F$6:$Y$6,U$6,'New Resources - Individual'!$F92:$Y92)</f>
        <v>0</v>
      </c>
      <c r="V92" s="669">
        <f>SUMIF('New Resources - Individual'!$F$6:$Y$6,V$6,'New Resources - Individual'!$F92:$Y92)</f>
        <v>0</v>
      </c>
      <c r="W92" s="669">
        <f>SUMIF('New Resources - Individual'!$F$6:$Y$6,W$6,'New Resources - Individual'!$F92:$Y92)</f>
        <v>0</v>
      </c>
      <c r="X92" s="669">
        <f>SUMIF('New Resources - Individual'!$F$6:$Y$6,X$6,'New Resources - Individual'!$F92:$Y92)</f>
        <v>0</v>
      </c>
      <c r="Y92" s="790">
        <f>SUMIF('New Resources - Individual'!$F$6:$Y$6,Y$6,'New Resources - Individual'!$F92:$Y92)</f>
        <v>0</v>
      </c>
      <c r="Z92" s="631"/>
      <c r="AA92" s="631"/>
      <c r="AB92" s="631"/>
      <c r="AC92" s="631"/>
      <c r="AD92" s="631"/>
      <c r="AE92" s="631"/>
      <c r="AF92" s="631"/>
      <c r="AG92" s="658"/>
      <c r="AH92" s="658"/>
    </row>
    <row r="93" spans="1:34">
      <c r="A93" s="640">
        <v>940</v>
      </c>
      <c r="B93" s="792" t="s">
        <v>304</v>
      </c>
      <c r="C93" s="646"/>
      <c r="D93" s="646"/>
      <c r="E93" s="647"/>
      <c r="F93" s="671"/>
      <c r="G93" s="671"/>
      <c r="H93" s="671"/>
      <c r="I93" s="671"/>
      <c r="J93" s="671"/>
      <c r="K93" s="671"/>
      <c r="L93" s="671"/>
      <c r="M93" s="671"/>
      <c r="N93" s="671"/>
      <c r="O93" s="671"/>
      <c r="P93" s="671"/>
      <c r="Q93" s="671"/>
      <c r="R93" s="671"/>
      <c r="S93" s="671"/>
      <c r="T93" s="671"/>
      <c r="U93" s="671"/>
      <c r="V93" s="671"/>
      <c r="W93" s="671"/>
      <c r="X93" s="671"/>
      <c r="Y93" s="793"/>
      <c r="Z93" s="631"/>
      <c r="AA93" s="631"/>
      <c r="AB93" s="631"/>
      <c r="AC93" s="631"/>
      <c r="AD93" s="631"/>
      <c r="AE93" s="631"/>
      <c r="AF93" s="631"/>
      <c r="AG93" s="658"/>
      <c r="AH93" s="658"/>
    </row>
    <row r="94" spans="1:34">
      <c r="A94" s="640">
        <v>950</v>
      </c>
      <c r="B94" s="789" t="s">
        <v>305</v>
      </c>
      <c r="C94" s="645">
        <v>262</v>
      </c>
      <c r="D94" s="645"/>
      <c r="E94" s="644"/>
      <c r="F94" s="668">
        <f>SUMIF('New Resources - Individual'!$F$6:$Y$6,F$6,'New Resources - Individual'!$F94:$Y94)</f>
        <v>0</v>
      </c>
      <c r="G94" s="668">
        <f>SUMIF('New Resources - Individual'!$F$6:$Y$6,G$6,'New Resources - Individual'!$F94:$Y94)</f>
        <v>0</v>
      </c>
      <c r="H94" s="669">
        <f>SUMIF('New Resources - Individual'!$F$6:$Y$6,H$6,'New Resources - Individual'!$F94:$Y94)</f>
        <v>0</v>
      </c>
      <c r="I94" s="668">
        <f>SUMIF('New Resources - Individual'!$F$6:$Y$6,I$6,'New Resources - Individual'!$F94:$Y94)</f>
        <v>0</v>
      </c>
      <c r="J94" s="669">
        <f>SUMIF('New Resources - Individual'!$F$6:$Y$6,J$6,'New Resources - Individual'!$F94:$Y94)</f>
        <v>0</v>
      </c>
      <c r="K94" s="669">
        <f>SUMIF('New Resources - Individual'!$F$6:$Y$6,K$6,'New Resources - Individual'!$F94:$Y94)</f>
        <v>0</v>
      </c>
      <c r="L94" s="669">
        <f>SUMIF('New Resources - Individual'!$F$6:$Y$6,L$6,'New Resources - Individual'!$F94:$Y94)</f>
        <v>0</v>
      </c>
      <c r="M94" s="669">
        <f>SUMIF('New Resources - Individual'!$F$6:$Y$6,M$6,'New Resources - Individual'!$F94:$Y94)</f>
        <v>0</v>
      </c>
      <c r="N94" s="669">
        <f>SUMIF('New Resources - Individual'!$F$6:$Y$6,N$6,'New Resources - Individual'!$F94:$Y94)</f>
        <v>0</v>
      </c>
      <c r="O94" s="669">
        <f>SUMIF('New Resources - Individual'!$F$6:$Y$6,O$6,'New Resources - Individual'!$F94:$Y94)</f>
        <v>0</v>
      </c>
      <c r="P94" s="669">
        <f>SUMIF('New Resources - Individual'!$F$6:$Y$6,P$6,'New Resources - Individual'!$F94:$Y94)</f>
        <v>0</v>
      </c>
      <c r="Q94" s="669">
        <f>SUMIF('New Resources - Individual'!$F$6:$Y$6,Q$6,'New Resources - Individual'!$F94:$Y94)</f>
        <v>0</v>
      </c>
      <c r="R94" s="669">
        <f>SUMIF('New Resources - Individual'!$F$6:$Y$6,R$6,'New Resources - Individual'!$F94:$Y94)</f>
        <v>0</v>
      </c>
      <c r="S94" s="669">
        <f>SUMIF('New Resources - Individual'!$F$6:$Y$6,S$6,'New Resources - Individual'!$F94:$Y94)</f>
        <v>0</v>
      </c>
      <c r="T94" s="669">
        <f>SUMIF('New Resources - Individual'!$F$6:$Y$6,T$6,'New Resources - Individual'!$F94:$Y94)</f>
        <v>0</v>
      </c>
      <c r="U94" s="669">
        <f>SUMIF('New Resources - Individual'!$F$6:$Y$6,U$6,'New Resources - Individual'!$F94:$Y94)</f>
        <v>0</v>
      </c>
      <c r="V94" s="669">
        <f>SUMIF('New Resources - Individual'!$F$6:$Y$6,V$6,'New Resources - Individual'!$F94:$Y94)</f>
        <v>0</v>
      </c>
      <c r="W94" s="669">
        <f>SUMIF('New Resources - Individual'!$F$6:$Y$6,W$6,'New Resources - Individual'!$F94:$Y94)</f>
        <v>0</v>
      </c>
      <c r="X94" s="669">
        <f>SUMIF('New Resources - Individual'!$F$6:$Y$6,X$6,'New Resources - Individual'!$F94:$Y94)</f>
        <v>0</v>
      </c>
      <c r="Y94" s="790">
        <f>SUMIF('New Resources - Individual'!$F$6:$Y$6,Y$6,'New Resources - Individual'!$F94:$Y94)</f>
        <v>0</v>
      </c>
      <c r="Z94" s="631"/>
      <c r="AA94" s="631"/>
      <c r="AB94" s="631"/>
      <c r="AC94" s="631"/>
      <c r="AD94" s="631"/>
      <c r="AE94" s="631"/>
      <c r="AF94" s="631"/>
      <c r="AG94" s="658"/>
      <c r="AH94" s="658"/>
    </row>
    <row r="95" spans="1:34" hidden="1">
      <c r="A95" s="640">
        <v>960</v>
      </c>
      <c r="B95" s="791"/>
      <c r="C95" s="643"/>
      <c r="D95" s="643"/>
      <c r="E95" s="644"/>
      <c r="F95" s="668"/>
      <c r="G95" s="669"/>
      <c r="H95" s="669"/>
      <c r="I95" s="668"/>
      <c r="J95" s="669"/>
      <c r="K95" s="669"/>
      <c r="L95" s="669"/>
      <c r="M95" s="669"/>
      <c r="N95" s="669"/>
      <c r="O95" s="669"/>
      <c r="P95" s="669"/>
      <c r="Q95" s="669"/>
      <c r="R95" s="669"/>
      <c r="S95" s="669"/>
      <c r="T95" s="669"/>
      <c r="U95" s="669"/>
      <c r="V95" s="669"/>
      <c r="W95" s="669"/>
      <c r="X95" s="669"/>
      <c r="Y95" s="790"/>
      <c r="Z95" s="631"/>
      <c r="AA95" s="631"/>
      <c r="AB95" s="631"/>
      <c r="AC95" s="631"/>
      <c r="AD95" s="631"/>
      <c r="AE95" s="631"/>
      <c r="AF95" s="631"/>
      <c r="AG95" s="658"/>
      <c r="AH95" s="658"/>
    </row>
    <row r="96" spans="1:34" hidden="1">
      <c r="A96" s="640">
        <v>970</v>
      </c>
      <c r="B96" s="789"/>
      <c r="C96" s="645"/>
      <c r="D96" s="645"/>
      <c r="E96" s="644"/>
      <c r="F96" s="668"/>
      <c r="G96" s="669"/>
      <c r="H96" s="669"/>
      <c r="I96" s="668"/>
      <c r="J96" s="669"/>
      <c r="K96" s="669"/>
      <c r="L96" s="669"/>
      <c r="M96" s="669"/>
      <c r="N96" s="669"/>
      <c r="O96" s="669"/>
      <c r="P96" s="669"/>
      <c r="Q96" s="669"/>
      <c r="R96" s="669"/>
      <c r="S96" s="669"/>
      <c r="T96" s="669"/>
      <c r="U96" s="669"/>
      <c r="V96" s="669"/>
      <c r="W96" s="669"/>
      <c r="X96" s="669"/>
      <c r="Y96" s="790"/>
      <c r="Z96" s="631"/>
      <c r="AA96" s="631"/>
      <c r="AB96" s="631"/>
      <c r="AC96" s="631"/>
      <c r="AD96" s="631"/>
      <c r="AE96" s="631"/>
      <c r="AF96" s="631"/>
      <c r="AG96" s="658"/>
      <c r="AH96" s="658"/>
    </row>
    <row r="97" spans="1:34" hidden="1">
      <c r="A97" s="640">
        <v>980</v>
      </c>
      <c r="B97" s="792"/>
      <c r="C97" s="643"/>
      <c r="D97" s="643"/>
      <c r="E97" s="644"/>
      <c r="F97" s="668"/>
      <c r="G97" s="669"/>
      <c r="H97" s="669"/>
      <c r="I97" s="668"/>
      <c r="J97" s="669"/>
      <c r="K97" s="669"/>
      <c r="L97" s="669"/>
      <c r="M97" s="669"/>
      <c r="N97" s="669"/>
      <c r="O97" s="669"/>
      <c r="P97" s="669"/>
      <c r="Q97" s="669"/>
      <c r="R97" s="669"/>
      <c r="S97" s="669"/>
      <c r="T97" s="669"/>
      <c r="U97" s="669"/>
      <c r="V97" s="669"/>
      <c r="W97" s="669"/>
      <c r="X97" s="669"/>
      <c r="Y97" s="790"/>
      <c r="Z97" s="631"/>
      <c r="AA97" s="631"/>
      <c r="AB97" s="631"/>
      <c r="AC97" s="631"/>
      <c r="AD97" s="631"/>
      <c r="AE97" s="631"/>
      <c r="AF97" s="631"/>
      <c r="AG97" s="658"/>
      <c r="AH97" s="658"/>
    </row>
    <row r="98" spans="1:34" hidden="1">
      <c r="A98" s="640">
        <v>990</v>
      </c>
      <c r="B98" s="789"/>
      <c r="C98" s="645"/>
      <c r="D98" s="645"/>
      <c r="E98" s="644"/>
      <c r="F98" s="668"/>
      <c r="G98" s="669"/>
      <c r="H98" s="669"/>
      <c r="I98" s="668"/>
      <c r="J98" s="669"/>
      <c r="K98" s="669"/>
      <c r="L98" s="669"/>
      <c r="M98" s="669"/>
      <c r="N98" s="669"/>
      <c r="O98" s="669"/>
      <c r="P98" s="669"/>
      <c r="Q98" s="669"/>
      <c r="R98" s="669"/>
      <c r="S98" s="669"/>
      <c r="T98" s="669"/>
      <c r="U98" s="669"/>
      <c r="V98" s="669"/>
      <c r="W98" s="669"/>
      <c r="X98" s="669"/>
      <c r="Y98" s="790"/>
      <c r="Z98" s="631"/>
      <c r="AA98" s="631"/>
      <c r="AB98" s="631"/>
      <c r="AC98" s="631"/>
      <c r="AD98" s="631"/>
      <c r="AE98" s="631"/>
      <c r="AF98" s="631"/>
      <c r="AG98" s="658"/>
      <c r="AH98" s="658"/>
    </row>
    <row r="99" spans="1:34" hidden="1">
      <c r="A99" s="640">
        <v>1000</v>
      </c>
      <c r="B99" s="791"/>
      <c r="C99" s="643"/>
      <c r="D99" s="643"/>
      <c r="E99" s="644"/>
      <c r="F99" s="668"/>
      <c r="G99" s="669"/>
      <c r="H99" s="669"/>
      <c r="I99" s="668"/>
      <c r="J99" s="669"/>
      <c r="K99" s="669"/>
      <c r="L99" s="669"/>
      <c r="M99" s="669"/>
      <c r="N99" s="669"/>
      <c r="O99" s="669"/>
      <c r="P99" s="669"/>
      <c r="Q99" s="669"/>
      <c r="R99" s="669"/>
      <c r="S99" s="669"/>
      <c r="T99" s="669"/>
      <c r="U99" s="669"/>
      <c r="V99" s="669"/>
      <c r="W99" s="669"/>
      <c r="X99" s="669"/>
      <c r="Y99" s="790"/>
      <c r="Z99" s="631"/>
      <c r="AA99" s="631"/>
      <c r="AB99" s="631"/>
      <c r="AC99" s="631"/>
      <c r="AD99" s="631"/>
      <c r="AE99" s="631"/>
      <c r="AF99" s="631"/>
      <c r="AG99" s="658"/>
      <c r="AH99" s="658"/>
    </row>
    <row r="100" spans="1:34" hidden="1">
      <c r="A100" s="640">
        <v>1010</v>
      </c>
      <c r="B100" s="789"/>
      <c r="C100" s="645"/>
      <c r="D100" s="645"/>
      <c r="E100" s="644"/>
      <c r="F100" s="668"/>
      <c r="G100" s="669"/>
      <c r="H100" s="669"/>
      <c r="I100" s="668"/>
      <c r="J100" s="669"/>
      <c r="K100" s="669"/>
      <c r="L100" s="669"/>
      <c r="M100" s="669"/>
      <c r="N100" s="669"/>
      <c r="O100" s="669"/>
      <c r="P100" s="669"/>
      <c r="Q100" s="669"/>
      <c r="R100" s="669"/>
      <c r="S100" s="669"/>
      <c r="T100" s="669"/>
      <c r="U100" s="669"/>
      <c r="V100" s="669"/>
      <c r="W100" s="669"/>
      <c r="X100" s="669"/>
      <c r="Y100" s="790"/>
      <c r="Z100" s="631"/>
      <c r="AA100" s="631"/>
      <c r="AB100" s="631"/>
      <c r="AC100" s="631"/>
      <c r="AD100" s="631"/>
      <c r="AE100" s="631"/>
      <c r="AF100" s="631"/>
      <c r="AG100" s="658"/>
      <c r="AH100" s="658"/>
    </row>
    <row r="101" spans="1:34" hidden="1">
      <c r="A101" s="640">
        <v>1020</v>
      </c>
      <c r="B101" s="791"/>
      <c r="C101" s="643"/>
      <c r="D101" s="643"/>
      <c r="E101" s="644"/>
      <c r="F101" s="668"/>
      <c r="G101" s="669"/>
      <c r="H101" s="669"/>
      <c r="I101" s="668"/>
      <c r="J101" s="669"/>
      <c r="K101" s="669"/>
      <c r="L101" s="669"/>
      <c r="M101" s="669"/>
      <c r="N101" s="669"/>
      <c r="O101" s="669"/>
      <c r="P101" s="669"/>
      <c r="Q101" s="669"/>
      <c r="R101" s="669"/>
      <c r="S101" s="669"/>
      <c r="T101" s="669"/>
      <c r="U101" s="669"/>
      <c r="V101" s="669"/>
      <c r="W101" s="669"/>
      <c r="X101" s="669"/>
      <c r="Y101" s="790"/>
      <c r="Z101" s="631"/>
      <c r="AA101" s="631"/>
      <c r="AB101" s="631"/>
      <c r="AC101" s="631"/>
      <c r="AD101" s="631"/>
      <c r="AE101" s="631"/>
      <c r="AF101" s="631"/>
      <c r="AG101" s="658"/>
      <c r="AH101" s="658"/>
    </row>
    <row r="102" spans="1:34" hidden="1">
      <c r="A102" s="640">
        <v>1030</v>
      </c>
      <c r="B102" s="789"/>
      <c r="C102" s="645"/>
      <c r="D102" s="645"/>
      <c r="E102" s="644"/>
      <c r="F102" s="668"/>
      <c r="G102" s="669"/>
      <c r="H102" s="669"/>
      <c r="I102" s="668"/>
      <c r="J102" s="669"/>
      <c r="K102" s="669"/>
      <c r="L102" s="669"/>
      <c r="M102" s="669"/>
      <c r="N102" s="669"/>
      <c r="O102" s="669"/>
      <c r="P102" s="669"/>
      <c r="Q102" s="669"/>
      <c r="R102" s="669"/>
      <c r="S102" s="669"/>
      <c r="T102" s="669"/>
      <c r="U102" s="669"/>
      <c r="V102" s="669"/>
      <c r="W102" s="669"/>
      <c r="X102" s="669"/>
      <c r="Y102" s="790"/>
      <c r="Z102" s="631"/>
      <c r="AA102" s="631"/>
      <c r="AB102" s="631"/>
      <c r="AC102" s="631"/>
      <c r="AD102" s="631"/>
      <c r="AE102" s="631"/>
      <c r="AF102" s="631"/>
      <c r="AG102" s="658"/>
      <c r="AH102" s="658"/>
    </row>
    <row r="103" spans="1:34" hidden="1">
      <c r="A103" s="640">
        <v>1040</v>
      </c>
      <c r="B103" s="791"/>
      <c r="C103" s="643"/>
      <c r="D103" s="643"/>
      <c r="E103" s="644"/>
      <c r="F103" s="668"/>
      <c r="G103" s="669"/>
      <c r="H103" s="669"/>
      <c r="I103" s="668"/>
      <c r="J103" s="669"/>
      <c r="K103" s="669"/>
      <c r="L103" s="669"/>
      <c r="M103" s="669"/>
      <c r="N103" s="669"/>
      <c r="O103" s="669"/>
      <c r="P103" s="669"/>
      <c r="Q103" s="669"/>
      <c r="R103" s="669"/>
      <c r="S103" s="669"/>
      <c r="T103" s="669"/>
      <c r="U103" s="669"/>
      <c r="V103" s="669"/>
      <c r="W103" s="669"/>
      <c r="X103" s="669"/>
      <c r="Y103" s="790"/>
      <c r="Z103" s="631"/>
      <c r="AA103" s="631"/>
      <c r="AB103" s="631"/>
      <c r="AC103" s="631"/>
      <c r="AD103" s="631"/>
      <c r="AE103" s="631"/>
      <c r="AF103" s="631"/>
      <c r="AG103" s="658"/>
      <c r="AH103" s="658"/>
    </row>
    <row r="104" spans="1:34" hidden="1">
      <c r="A104" s="640">
        <v>1050</v>
      </c>
      <c r="B104" s="791"/>
      <c r="C104" s="643"/>
      <c r="D104" s="643"/>
      <c r="E104" s="644"/>
      <c r="F104" s="668"/>
      <c r="G104" s="669"/>
      <c r="H104" s="669"/>
      <c r="I104" s="668"/>
      <c r="J104" s="669"/>
      <c r="K104" s="669"/>
      <c r="L104" s="669"/>
      <c r="M104" s="669"/>
      <c r="N104" s="669"/>
      <c r="O104" s="669"/>
      <c r="P104" s="669"/>
      <c r="Q104" s="669"/>
      <c r="R104" s="669"/>
      <c r="S104" s="669"/>
      <c r="T104" s="669"/>
      <c r="U104" s="669"/>
      <c r="V104" s="669"/>
      <c r="W104" s="669"/>
      <c r="X104" s="669"/>
      <c r="Y104" s="790"/>
      <c r="Z104" s="631"/>
      <c r="AA104" s="631"/>
      <c r="AB104" s="631"/>
      <c r="AC104" s="631"/>
      <c r="AD104" s="631"/>
      <c r="AE104" s="631"/>
      <c r="AF104" s="631"/>
      <c r="AG104" s="658"/>
      <c r="AH104" s="658"/>
    </row>
    <row r="105" spans="1:34" hidden="1">
      <c r="A105" s="640">
        <v>1060</v>
      </c>
      <c r="B105" s="789"/>
      <c r="C105" s="645"/>
      <c r="D105" s="645"/>
      <c r="E105" s="644"/>
      <c r="F105" s="668"/>
      <c r="G105" s="669"/>
      <c r="H105" s="669"/>
      <c r="I105" s="668"/>
      <c r="J105" s="669"/>
      <c r="K105" s="669"/>
      <c r="L105" s="669"/>
      <c r="M105" s="669"/>
      <c r="N105" s="669"/>
      <c r="O105" s="669"/>
      <c r="P105" s="669"/>
      <c r="Q105" s="669"/>
      <c r="R105" s="669"/>
      <c r="S105" s="669"/>
      <c r="T105" s="669"/>
      <c r="U105" s="669"/>
      <c r="V105" s="669"/>
      <c r="W105" s="669"/>
      <c r="X105" s="669"/>
      <c r="Y105" s="790"/>
      <c r="Z105" s="631"/>
      <c r="AA105" s="631"/>
      <c r="AB105" s="631"/>
      <c r="AC105" s="631"/>
      <c r="AD105" s="631"/>
      <c r="AE105" s="631"/>
      <c r="AF105" s="631"/>
      <c r="AG105" s="658"/>
      <c r="AH105" s="658"/>
    </row>
    <row r="106" spans="1:34">
      <c r="A106" s="640">
        <v>1070</v>
      </c>
      <c r="B106" s="798"/>
      <c r="C106" s="650"/>
      <c r="D106" s="650"/>
      <c r="E106" s="651"/>
      <c r="F106" s="675"/>
      <c r="G106" s="676"/>
      <c r="H106" s="676"/>
      <c r="I106" s="675"/>
      <c r="J106" s="676"/>
      <c r="K106" s="676"/>
      <c r="L106" s="676"/>
      <c r="M106" s="676"/>
      <c r="N106" s="676"/>
      <c r="O106" s="676"/>
      <c r="P106" s="676"/>
      <c r="Q106" s="676"/>
      <c r="R106" s="676"/>
      <c r="S106" s="676"/>
      <c r="T106" s="676"/>
      <c r="U106" s="676"/>
      <c r="V106" s="676"/>
      <c r="W106" s="676"/>
      <c r="X106" s="676"/>
      <c r="Y106" s="799"/>
      <c r="Z106" s="631"/>
      <c r="AA106" s="631"/>
      <c r="AB106" s="631"/>
      <c r="AC106" s="631"/>
      <c r="AD106" s="631"/>
      <c r="AE106" s="631"/>
      <c r="AF106" s="631"/>
      <c r="AG106" s="658"/>
      <c r="AH106" s="658"/>
    </row>
    <row r="107" spans="1:34">
      <c r="A107" s="640">
        <v>1080</v>
      </c>
      <c r="B107" s="792" t="s">
        <v>306</v>
      </c>
      <c r="C107" s="646"/>
      <c r="D107" s="646"/>
      <c r="E107" s="647"/>
      <c r="F107" s="671"/>
      <c r="G107" s="671"/>
      <c r="H107" s="671"/>
      <c r="I107" s="671"/>
      <c r="J107" s="671"/>
      <c r="K107" s="671"/>
      <c r="L107" s="671"/>
      <c r="M107" s="671"/>
      <c r="N107" s="671"/>
      <c r="O107" s="671"/>
      <c r="P107" s="671"/>
      <c r="Q107" s="671"/>
      <c r="R107" s="671"/>
      <c r="S107" s="671"/>
      <c r="T107" s="671"/>
      <c r="U107" s="671"/>
      <c r="V107" s="671"/>
      <c r="W107" s="671"/>
      <c r="X107" s="671"/>
      <c r="Y107" s="793"/>
      <c r="Z107" s="631"/>
      <c r="AA107" s="631"/>
      <c r="AB107" s="631"/>
      <c r="AC107" s="631"/>
      <c r="AD107" s="631"/>
      <c r="AE107" s="631"/>
      <c r="AF107" s="631"/>
      <c r="AG107" s="658"/>
      <c r="AH107" s="658"/>
    </row>
    <row r="108" spans="1:34">
      <c r="A108" s="652">
        <v>91000</v>
      </c>
      <c r="B108" s="789" t="s">
        <v>307</v>
      </c>
      <c r="C108" s="645"/>
      <c r="D108" s="645"/>
      <c r="E108" s="644"/>
      <c r="F108" s="678">
        <f t="shared" ref="F108:Y108" si="2">SUM(F9,F49)</f>
        <v>0</v>
      </c>
      <c r="G108" s="678">
        <f t="shared" si="2"/>
        <v>0</v>
      </c>
      <c r="H108" s="678">
        <f>SUM(H9,H49)</f>
        <v>0</v>
      </c>
      <c r="I108" s="678">
        <f t="shared" si="2"/>
        <v>0</v>
      </c>
      <c r="J108" s="678">
        <f t="shared" si="2"/>
        <v>0</v>
      </c>
      <c r="K108" s="678">
        <f t="shared" si="2"/>
        <v>0</v>
      </c>
      <c r="L108" s="678">
        <f t="shared" si="2"/>
        <v>0</v>
      </c>
      <c r="M108" s="678">
        <f t="shared" si="2"/>
        <v>0</v>
      </c>
      <c r="N108" s="678">
        <f t="shared" si="2"/>
        <v>0</v>
      </c>
      <c r="O108" s="678">
        <f t="shared" si="2"/>
        <v>0</v>
      </c>
      <c r="P108" s="678">
        <f t="shared" si="2"/>
        <v>0</v>
      </c>
      <c r="Q108" s="678">
        <f t="shared" si="2"/>
        <v>0</v>
      </c>
      <c r="R108" s="678">
        <f t="shared" si="2"/>
        <v>0</v>
      </c>
      <c r="S108" s="678">
        <f t="shared" si="2"/>
        <v>0</v>
      </c>
      <c r="T108" s="678">
        <f t="shared" si="2"/>
        <v>0</v>
      </c>
      <c r="U108" s="678">
        <f t="shared" si="2"/>
        <v>0</v>
      </c>
      <c r="V108" s="678">
        <f t="shared" si="2"/>
        <v>0</v>
      </c>
      <c r="W108" s="678">
        <f t="shared" si="2"/>
        <v>0</v>
      </c>
      <c r="X108" s="678">
        <f t="shared" si="2"/>
        <v>0</v>
      </c>
      <c r="Y108" s="797">
        <f t="shared" si="2"/>
        <v>0</v>
      </c>
    </row>
    <row r="109" spans="1:34">
      <c r="A109" s="652">
        <v>92000</v>
      </c>
      <c r="B109" s="791" t="s">
        <v>308</v>
      </c>
      <c r="C109" s="643"/>
      <c r="D109" s="643"/>
      <c r="E109" s="644"/>
      <c r="F109" s="678">
        <f>SUM(F10,F24,F36,F50,F84)</f>
        <v>0</v>
      </c>
      <c r="G109" s="678">
        <f>SUM(G10,G24,G36,G50,G84)</f>
        <v>0</v>
      </c>
      <c r="H109" s="678">
        <f>SUM(H10,H24,H36,H50,H84)</f>
        <v>0</v>
      </c>
      <c r="I109" s="678">
        <f t="shared" ref="I109:Y109" si="3">SUM(I10,I24,I36,I50,I84)</f>
        <v>0</v>
      </c>
      <c r="J109" s="678">
        <f t="shared" si="3"/>
        <v>0</v>
      </c>
      <c r="K109" s="678">
        <f t="shared" si="3"/>
        <v>0</v>
      </c>
      <c r="L109" s="678">
        <f t="shared" si="3"/>
        <v>0</v>
      </c>
      <c r="M109" s="678">
        <f t="shared" si="3"/>
        <v>0</v>
      </c>
      <c r="N109" s="678">
        <f t="shared" si="3"/>
        <v>0</v>
      </c>
      <c r="O109" s="678">
        <f t="shared" si="3"/>
        <v>0</v>
      </c>
      <c r="P109" s="678">
        <f t="shared" si="3"/>
        <v>0</v>
      </c>
      <c r="Q109" s="678">
        <f t="shared" si="3"/>
        <v>0</v>
      </c>
      <c r="R109" s="678">
        <f t="shared" si="3"/>
        <v>0</v>
      </c>
      <c r="S109" s="678">
        <f t="shared" si="3"/>
        <v>0</v>
      </c>
      <c r="T109" s="678">
        <f t="shared" si="3"/>
        <v>0</v>
      </c>
      <c r="U109" s="678">
        <f t="shared" si="3"/>
        <v>0</v>
      </c>
      <c r="V109" s="678">
        <f t="shared" si="3"/>
        <v>0</v>
      </c>
      <c r="W109" s="678">
        <f t="shared" si="3"/>
        <v>0</v>
      </c>
      <c r="X109" s="678">
        <f t="shared" si="3"/>
        <v>0</v>
      </c>
      <c r="Y109" s="797">
        <f t="shared" si="3"/>
        <v>0</v>
      </c>
    </row>
    <row r="110" spans="1:34">
      <c r="A110" s="652">
        <v>93000</v>
      </c>
      <c r="B110" s="789" t="s">
        <v>309</v>
      </c>
      <c r="C110" s="645"/>
      <c r="D110" s="645"/>
      <c r="E110" s="644"/>
      <c r="F110" s="678">
        <f>SUM(F11,F51)</f>
        <v>0</v>
      </c>
      <c r="G110" s="678">
        <f t="shared" ref="G110:Y110" si="4">SUM(G11,G51)</f>
        <v>0</v>
      </c>
      <c r="H110" s="678">
        <f>SUM(H11,H51)</f>
        <v>0</v>
      </c>
      <c r="I110" s="678">
        <f t="shared" si="4"/>
        <v>0</v>
      </c>
      <c r="J110" s="678">
        <f t="shared" si="4"/>
        <v>0</v>
      </c>
      <c r="K110" s="678">
        <f t="shared" si="4"/>
        <v>0</v>
      </c>
      <c r="L110" s="678">
        <f t="shared" si="4"/>
        <v>0</v>
      </c>
      <c r="M110" s="678">
        <f t="shared" si="4"/>
        <v>0</v>
      </c>
      <c r="N110" s="678">
        <f t="shared" si="4"/>
        <v>0</v>
      </c>
      <c r="O110" s="678">
        <f t="shared" si="4"/>
        <v>0</v>
      </c>
      <c r="P110" s="678">
        <f t="shared" si="4"/>
        <v>0</v>
      </c>
      <c r="Q110" s="678">
        <f t="shared" si="4"/>
        <v>0</v>
      </c>
      <c r="R110" s="678">
        <f t="shared" si="4"/>
        <v>0</v>
      </c>
      <c r="S110" s="678">
        <f t="shared" si="4"/>
        <v>0</v>
      </c>
      <c r="T110" s="678">
        <f t="shared" si="4"/>
        <v>0</v>
      </c>
      <c r="U110" s="678">
        <f t="shared" si="4"/>
        <v>0</v>
      </c>
      <c r="V110" s="678">
        <f t="shared" si="4"/>
        <v>0</v>
      </c>
      <c r="W110" s="678">
        <f t="shared" si="4"/>
        <v>0</v>
      </c>
      <c r="X110" s="678">
        <f t="shared" si="4"/>
        <v>0</v>
      </c>
      <c r="Y110" s="797">
        <f t="shared" si="4"/>
        <v>0</v>
      </c>
    </row>
    <row r="111" spans="1:34">
      <c r="A111" s="652">
        <v>94000</v>
      </c>
      <c r="B111" s="791" t="s">
        <v>310</v>
      </c>
      <c r="C111" s="643"/>
      <c r="D111" s="643"/>
      <c r="E111" s="644"/>
      <c r="F111" s="678">
        <f>SUM(F16,F29,F40,F56,F89)</f>
        <v>0</v>
      </c>
      <c r="G111" s="678">
        <f>SUM(G16,G29,G40,G56,G89)</f>
        <v>0</v>
      </c>
      <c r="H111" s="678">
        <f>SUM(H16,H29,H40,H56,H89)</f>
        <v>0</v>
      </c>
      <c r="I111" s="678">
        <f t="shared" ref="I111:Y111" si="5">SUM(I16,I29,I40,I56,I89)</f>
        <v>0</v>
      </c>
      <c r="J111" s="678">
        <f t="shared" si="5"/>
        <v>0</v>
      </c>
      <c r="K111" s="678">
        <f t="shared" si="5"/>
        <v>0</v>
      </c>
      <c r="L111" s="678">
        <f t="shared" si="5"/>
        <v>0</v>
      </c>
      <c r="M111" s="678">
        <f t="shared" si="5"/>
        <v>0</v>
      </c>
      <c r="N111" s="678">
        <f t="shared" si="5"/>
        <v>0</v>
      </c>
      <c r="O111" s="678">
        <f t="shared" si="5"/>
        <v>0</v>
      </c>
      <c r="P111" s="678">
        <f t="shared" si="5"/>
        <v>0</v>
      </c>
      <c r="Q111" s="678">
        <f t="shared" si="5"/>
        <v>0</v>
      </c>
      <c r="R111" s="678">
        <f t="shared" si="5"/>
        <v>0</v>
      </c>
      <c r="S111" s="678">
        <f t="shared" si="5"/>
        <v>0</v>
      </c>
      <c r="T111" s="678">
        <f t="shared" si="5"/>
        <v>0</v>
      </c>
      <c r="U111" s="678">
        <f t="shared" si="5"/>
        <v>0</v>
      </c>
      <c r="V111" s="678">
        <f t="shared" si="5"/>
        <v>0</v>
      </c>
      <c r="W111" s="678">
        <f t="shared" si="5"/>
        <v>0</v>
      </c>
      <c r="X111" s="678">
        <f t="shared" si="5"/>
        <v>0</v>
      </c>
      <c r="Y111" s="797">
        <f t="shared" si="5"/>
        <v>0</v>
      </c>
    </row>
    <row r="112" spans="1:34">
      <c r="A112" s="652">
        <v>95000</v>
      </c>
      <c r="B112" s="789"/>
      <c r="C112" s="645"/>
      <c r="D112" s="645"/>
      <c r="E112" s="644"/>
      <c r="F112" s="678"/>
      <c r="G112" s="678"/>
      <c r="H112" s="678"/>
      <c r="I112" s="678"/>
      <c r="J112" s="678"/>
      <c r="K112" s="678"/>
      <c r="L112" s="678"/>
      <c r="M112" s="678"/>
      <c r="N112" s="678"/>
      <c r="O112" s="678"/>
      <c r="P112" s="678"/>
      <c r="Q112" s="678"/>
      <c r="R112" s="678"/>
      <c r="S112" s="678"/>
      <c r="T112" s="678"/>
      <c r="U112" s="678"/>
      <c r="V112" s="678"/>
      <c r="W112" s="678"/>
      <c r="X112" s="678"/>
      <c r="Y112" s="797"/>
    </row>
    <row r="113" spans="1:25">
      <c r="A113" s="652">
        <v>96000</v>
      </c>
      <c r="B113" s="791" t="s">
        <v>311</v>
      </c>
      <c r="C113" s="643"/>
      <c r="D113" s="643"/>
      <c r="E113" s="644"/>
      <c r="F113" s="678">
        <f>SUM(F62,F94)</f>
        <v>0</v>
      </c>
      <c r="G113" s="678">
        <f>SUM(G62,G94)</f>
        <v>0</v>
      </c>
      <c r="H113" s="678">
        <f>SUM(H62,H94)</f>
        <v>0</v>
      </c>
      <c r="I113" s="678">
        <f t="shared" ref="I113:Y113" si="6">SUM(I62,I94)</f>
        <v>0</v>
      </c>
      <c r="J113" s="678">
        <f t="shared" si="6"/>
        <v>0</v>
      </c>
      <c r="K113" s="678">
        <f t="shared" si="6"/>
        <v>0</v>
      </c>
      <c r="L113" s="678">
        <f t="shared" si="6"/>
        <v>0</v>
      </c>
      <c r="M113" s="678">
        <f t="shared" si="6"/>
        <v>0</v>
      </c>
      <c r="N113" s="678">
        <f t="shared" si="6"/>
        <v>0</v>
      </c>
      <c r="O113" s="678">
        <f t="shared" si="6"/>
        <v>0</v>
      </c>
      <c r="P113" s="678">
        <f t="shared" si="6"/>
        <v>0</v>
      </c>
      <c r="Q113" s="678">
        <f t="shared" si="6"/>
        <v>0</v>
      </c>
      <c r="R113" s="678">
        <f t="shared" si="6"/>
        <v>0</v>
      </c>
      <c r="S113" s="678">
        <f t="shared" si="6"/>
        <v>0</v>
      </c>
      <c r="T113" s="678">
        <f t="shared" si="6"/>
        <v>0</v>
      </c>
      <c r="U113" s="678">
        <f t="shared" si="6"/>
        <v>0</v>
      </c>
      <c r="V113" s="678">
        <f t="shared" si="6"/>
        <v>0</v>
      </c>
      <c r="W113" s="678">
        <f t="shared" si="6"/>
        <v>0</v>
      </c>
      <c r="X113" s="678">
        <f t="shared" si="6"/>
        <v>0</v>
      </c>
      <c r="Y113" s="797">
        <f t="shared" si="6"/>
        <v>0</v>
      </c>
    </row>
    <row r="114" spans="1:25">
      <c r="A114" s="652">
        <v>97000</v>
      </c>
      <c r="B114" s="789"/>
      <c r="C114" s="645"/>
      <c r="D114" s="645"/>
      <c r="E114" s="644"/>
      <c r="F114" s="678"/>
      <c r="G114" s="678"/>
      <c r="H114" s="678"/>
      <c r="I114" s="678"/>
      <c r="J114" s="678"/>
      <c r="K114" s="678"/>
      <c r="L114" s="678"/>
      <c r="M114" s="678"/>
      <c r="N114" s="678"/>
      <c r="O114" s="678"/>
      <c r="P114" s="678"/>
      <c r="Q114" s="678"/>
      <c r="R114" s="678"/>
      <c r="S114" s="678"/>
      <c r="T114" s="678"/>
      <c r="U114" s="678"/>
      <c r="V114" s="678"/>
      <c r="W114" s="678"/>
      <c r="X114" s="678"/>
      <c r="Y114" s="797"/>
    </row>
    <row r="115" spans="1:25">
      <c r="A115" s="652">
        <v>98000</v>
      </c>
      <c r="B115" s="791" t="s">
        <v>312</v>
      </c>
      <c r="C115" s="643"/>
      <c r="D115" s="643"/>
      <c r="E115" s="644"/>
      <c r="F115" s="678">
        <f>F14+F15</f>
        <v>0</v>
      </c>
      <c r="G115" s="678">
        <f>G14+G15</f>
        <v>0</v>
      </c>
      <c r="H115" s="678">
        <f>H14+H15</f>
        <v>0</v>
      </c>
      <c r="I115" s="678">
        <f t="shared" ref="I115:R115" si="7">I14+I15</f>
        <v>0</v>
      </c>
      <c r="J115" s="678">
        <f t="shared" si="7"/>
        <v>0</v>
      </c>
      <c r="K115" s="678">
        <f t="shared" si="7"/>
        <v>0</v>
      </c>
      <c r="L115" s="678">
        <f t="shared" si="7"/>
        <v>0</v>
      </c>
      <c r="M115" s="678">
        <f t="shared" si="7"/>
        <v>0</v>
      </c>
      <c r="N115" s="678">
        <f t="shared" si="7"/>
        <v>0</v>
      </c>
      <c r="O115" s="678">
        <f t="shared" si="7"/>
        <v>0</v>
      </c>
      <c r="P115" s="678">
        <f t="shared" si="7"/>
        <v>0</v>
      </c>
      <c r="Q115" s="678">
        <f t="shared" si="7"/>
        <v>0</v>
      </c>
      <c r="R115" s="678">
        <f t="shared" si="7"/>
        <v>0</v>
      </c>
      <c r="S115" s="678">
        <f>S14+S15</f>
        <v>0</v>
      </c>
      <c r="T115" s="678">
        <f t="shared" ref="T115:Y115" si="8">T14+T15</f>
        <v>0</v>
      </c>
      <c r="U115" s="678">
        <f t="shared" si="8"/>
        <v>0</v>
      </c>
      <c r="V115" s="678">
        <f t="shared" si="8"/>
        <v>0</v>
      </c>
      <c r="W115" s="678">
        <f t="shared" si="8"/>
        <v>0</v>
      </c>
      <c r="X115" s="678">
        <f t="shared" si="8"/>
        <v>0</v>
      </c>
      <c r="Y115" s="797">
        <f t="shared" si="8"/>
        <v>0</v>
      </c>
    </row>
    <row r="116" spans="1:25">
      <c r="A116" s="652">
        <v>99000</v>
      </c>
      <c r="B116" s="789" t="s">
        <v>313</v>
      </c>
      <c r="C116" s="645"/>
      <c r="D116" s="645"/>
      <c r="E116" s="644"/>
      <c r="F116" s="678">
        <f>F38+F39</f>
        <v>0</v>
      </c>
      <c r="G116" s="678">
        <f>G38+G39</f>
        <v>0</v>
      </c>
      <c r="H116" s="678">
        <f>H38+H39</f>
        <v>0</v>
      </c>
      <c r="I116" s="678">
        <f t="shared" ref="I116:R116" si="9">I38+I39</f>
        <v>0</v>
      </c>
      <c r="J116" s="678">
        <f t="shared" si="9"/>
        <v>0</v>
      </c>
      <c r="K116" s="678">
        <f t="shared" si="9"/>
        <v>0</v>
      </c>
      <c r="L116" s="678">
        <f t="shared" si="9"/>
        <v>0</v>
      </c>
      <c r="M116" s="678">
        <f t="shared" si="9"/>
        <v>0</v>
      </c>
      <c r="N116" s="678">
        <f t="shared" si="9"/>
        <v>0</v>
      </c>
      <c r="O116" s="678">
        <f t="shared" si="9"/>
        <v>0</v>
      </c>
      <c r="P116" s="678">
        <f t="shared" si="9"/>
        <v>0</v>
      </c>
      <c r="Q116" s="678">
        <f t="shared" si="9"/>
        <v>0</v>
      </c>
      <c r="R116" s="678">
        <f t="shared" si="9"/>
        <v>0</v>
      </c>
      <c r="S116" s="678">
        <f>S38+S39</f>
        <v>0</v>
      </c>
      <c r="T116" s="678">
        <f t="shared" ref="T116:Y116" si="10">T38+T39</f>
        <v>0</v>
      </c>
      <c r="U116" s="678">
        <f t="shared" si="10"/>
        <v>0</v>
      </c>
      <c r="V116" s="678">
        <f t="shared" si="10"/>
        <v>0</v>
      </c>
      <c r="W116" s="678">
        <f t="shared" si="10"/>
        <v>0</v>
      </c>
      <c r="X116" s="678">
        <f t="shared" si="10"/>
        <v>0</v>
      </c>
      <c r="Y116" s="797">
        <f t="shared" si="10"/>
        <v>0</v>
      </c>
    </row>
    <row r="117" spans="1:25">
      <c r="A117" s="652">
        <v>100000</v>
      </c>
      <c r="B117" s="791" t="s">
        <v>314</v>
      </c>
      <c r="C117" s="643"/>
      <c r="D117" s="643"/>
      <c r="E117" s="644"/>
      <c r="F117" s="678">
        <f>F54+F55</f>
        <v>0</v>
      </c>
      <c r="G117" s="678">
        <f>G54+G55</f>
        <v>0</v>
      </c>
      <c r="H117" s="678">
        <f>H54+H55</f>
        <v>0</v>
      </c>
      <c r="I117" s="678">
        <f t="shared" ref="I117:Q117" si="11">I54+I55</f>
        <v>0</v>
      </c>
      <c r="J117" s="678">
        <f t="shared" si="11"/>
        <v>0</v>
      </c>
      <c r="K117" s="678">
        <f t="shared" si="11"/>
        <v>0</v>
      </c>
      <c r="L117" s="678">
        <f t="shared" si="11"/>
        <v>0</v>
      </c>
      <c r="M117" s="678">
        <f t="shared" si="11"/>
        <v>0</v>
      </c>
      <c r="N117" s="678">
        <f t="shared" si="11"/>
        <v>0</v>
      </c>
      <c r="O117" s="678">
        <f t="shared" si="11"/>
        <v>0</v>
      </c>
      <c r="P117" s="678">
        <f t="shared" si="11"/>
        <v>0</v>
      </c>
      <c r="Q117" s="678">
        <f t="shared" si="11"/>
        <v>0</v>
      </c>
      <c r="R117" s="678">
        <f>R54+R55</f>
        <v>0</v>
      </c>
      <c r="S117" s="678">
        <f>S54+S55</f>
        <v>0</v>
      </c>
      <c r="T117" s="678">
        <f t="shared" ref="T117:Y117" si="12">T54+T55</f>
        <v>0</v>
      </c>
      <c r="U117" s="678">
        <f t="shared" si="12"/>
        <v>0</v>
      </c>
      <c r="V117" s="678">
        <f t="shared" si="12"/>
        <v>0</v>
      </c>
      <c r="W117" s="678">
        <f t="shared" si="12"/>
        <v>0</v>
      </c>
      <c r="X117" s="678">
        <f t="shared" si="12"/>
        <v>0</v>
      </c>
      <c r="Y117" s="797">
        <f t="shared" si="12"/>
        <v>0</v>
      </c>
    </row>
    <row r="118" spans="1:25">
      <c r="A118" s="652">
        <v>101000</v>
      </c>
      <c r="B118" s="789"/>
      <c r="C118" s="645"/>
      <c r="D118" s="645"/>
      <c r="E118" s="644"/>
      <c r="F118" s="678"/>
      <c r="G118" s="678"/>
      <c r="H118" s="678"/>
      <c r="I118" s="678"/>
      <c r="J118" s="678"/>
      <c r="K118" s="678"/>
      <c r="L118" s="678"/>
      <c r="M118" s="678"/>
      <c r="N118" s="678"/>
      <c r="O118" s="678"/>
      <c r="P118" s="678"/>
      <c r="Q118" s="678"/>
      <c r="R118" s="678"/>
      <c r="S118" s="678"/>
      <c r="T118" s="678"/>
      <c r="U118" s="678"/>
      <c r="V118" s="678"/>
      <c r="W118" s="678"/>
      <c r="X118" s="678"/>
      <c r="Y118" s="797"/>
    </row>
    <row r="119" spans="1:25">
      <c r="A119" s="652">
        <v>102000</v>
      </c>
      <c r="B119" s="791"/>
      <c r="C119" s="643"/>
      <c r="D119" s="643"/>
      <c r="E119" s="644"/>
      <c r="F119" s="678"/>
      <c r="G119" s="678"/>
      <c r="H119" s="678"/>
      <c r="I119" s="678"/>
      <c r="J119" s="678"/>
      <c r="K119" s="678"/>
      <c r="L119" s="678"/>
      <c r="M119" s="678"/>
      <c r="N119" s="678"/>
      <c r="O119" s="678"/>
      <c r="P119" s="678"/>
      <c r="Q119" s="678"/>
      <c r="R119" s="678"/>
      <c r="S119" s="678"/>
      <c r="T119" s="678"/>
      <c r="U119" s="678"/>
      <c r="V119" s="678"/>
      <c r="W119" s="678"/>
      <c r="X119" s="678"/>
      <c r="Y119" s="797"/>
    </row>
    <row r="120" spans="1:25">
      <c r="A120" s="652">
        <v>103000</v>
      </c>
      <c r="B120" s="789" t="s">
        <v>688</v>
      </c>
      <c r="C120" s="645"/>
      <c r="D120" s="645"/>
      <c r="E120" s="644"/>
      <c r="F120" s="678">
        <f>SUM(F18,F31,F41,F58)</f>
        <v>0</v>
      </c>
      <c r="G120" s="678">
        <f t="shared" ref="G120:Y120" si="13">SUM(G18,G31,G41,G58)</f>
        <v>0</v>
      </c>
      <c r="H120" s="678">
        <f t="shared" si="13"/>
        <v>0</v>
      </c>
      <c r="I120" s="678">
        <f t="shared" si="13"/>
        <v>0</v>
      </c>
      <c r="J120" s="678">
        <f t="shared" si="13"/>
        <v>0</v>
      </c>
      <c r="K120" s="678">
        <f t="shared" si="13"/>
        <v>0</v>
      </c>
      <c r="L120" s="678">
        <f t="shared" si="13"/>
        <v>0</v>
      </c>
      <c r="M120" s="678">
        <f t="shared" si="13"/>
        <v>0</v>
      </c>
      <c r="N120" s="678">
        <f t="shared" si="13"/>
        <v>0</v>
      </c>
      <c r="O120" s="678">
        <f t="shared" si="13"/>
        <v>0</v>
      </c>
      <c r="P120" s="678">
        <f t="shared" si="13"/>
        <v>0</v>
      </c>
      <c r="Q120" s="678">
        <f t="shared" si="13"/>
        <v>0</v>
      </c>
      <c r="R120" s="678">
        <f t="shared" si="13"/>
        <v>0</v>
      </c>
      <c r="S120" s="678">
        <f t="shared" si="13"/>
        <v>0</v>
      </c>
      <c r="T120" s="678">
        <f t="shared" si="13"/>
        <v>0</v>
      </c>
      <c r="U120" s="678">
        <f t="shared" si="13"/>
        <v>0</v>
      </c>
      <c r="V120" s="678">
        <f t="shared" si="13"/>
        <v>0</v>
      </c>
      <c r="W120" s="678">
        <f t="shared" si="13"/>
        <v>0</v>
      </c>
      <c r="X120" s="678">
        <f t="shared" si="13"/>
        <v>0</v>
      </c>
      <c r="Y120" s="797">
        <f t="shared" si="13"/>
        <v>0</v>
      </c>
    </row>
    <row r="121" spans="1:25">
      <c r="A121" s="652">
        <v>104000</v>
      </c>
      <c r="B121" s="791" t="s">
        <v>689</v>
      </c>
      <c r="C121" s="643"/>
      <c r="D121" s="643"/>
      <c r="E121" s="644"/>
      <c r="F121" s="678">
        <f>SUM(F19,F32,F42,F59)</f>
        <v>0</v>
      </c>
      <c r="G121" s="678">
        <f t="shared" ref="G121:Y121" si="14">SUM(G19,G32,G42,G59)</f>
        <v>0</v>
      </c>
      <c r="H121" s="678">
        <f t="shared" si="14"/>
        <v>0</v>
      </c>
      <c r="I121" s="678">
        <f t="shared" si="14"/>
        <v>0</v>
      </c>
      <c r="J121" s="678">
        <f t="shared" si="14"/>
        <v>0</v>
      </c>
      <c r="K121" s="678">
        <f t="shared" si="14"/>
        <v>0</v>
      </c>
      <c r="L121" s="678">
        <f t="shared" si="14"/>
        <v>0</v>
      </c>
      <c r="M121" s="678">
        <f t="shared" si="14"/>
        <v>0</v>
      </c>
      <c r="N121" s="678">
        <f t="shared" si="14"/>
        <v>0</v>
      </c>
      <c r="O121" s="678">
        <f t="shared" si="14"/>
        <v>0</v>
      </c>
      <c r="P121" s="678">
        <f t="shared" si="14"/>
        <v>0</v>
      </c>
      <c r="Q121" s="678">
        <f t="shared" si="14"/>
        <v>0</v>
      </c>
      <c r="R121" s="678">
        <f t="shared" si="14"/>
        <v>0</v>
      </c>
      <c r="S121" s="678">
        <f t="shared" si="14"/>
        <v>0</v>
      </c>
      <c r="T121" s="678">
        <f t="shared" si="14"/>
        <v>0</v>
      </c>
      <c r="U121" s="678">
        <f t="shared" si="14"/>
        <v>0</v>
      </c>
      <c r="V121" s="678">
        <f t="shared" si="14"/>
        <v>0</v>
      </c>
      <c r="W121" s="678">
        <f t="shared" si="14"/>
        <v>0</v>
      </c>
      <c r="X121" s="678">
        <f t="shared" si="14"/>
        <v>0</v>
      </c>
      <c r="Y121" s="797">
        <f t="shared" si="14"/>
        <v>0</v>
      </c>
    </row>
    <row r="122" spans="1:25">
      <c r="A122" s="652">
        <v>105000</v>
      </c>
      <c r="B122" s="789" t="s">
        <v>690</v>
      </c>
      <c r="C122" s="645"/>
      <c r="D122" s="645"/>
      <c r="E122" s="644"/>
      <c r="F122" s="678">
        <f>F76+F78+F64+F66+F68+F70+F72</f>
        <v>0</v>
      </c>
      <c r="G122" s="678">
        <f t="shared" ref="G122:Y122" si="15">G76+G78+G64+G66+G68+G70+G72</f>
        <v>0</v>
      </c>
      <c r="H122" s="678">
        <f t="shared" si="15"/>
        <v>0</v>
      </c>
      <c r="I122" s="678">
        <f t="shared" si="15"/>
        <v>0</v>
      </c>
      <c r="J122" s="678">
        <f t="shared" si="15"/>
        <v>0</v>
      </c>
      <c r="K122" s="678">
        <f t="shared" si="15"/>
        <v>0</v>
      </c>
      <c r="L122" s="678">
        <f t="shared" si="15"/>
        <v>0</v>
      </c>
      <c r="M122" s="678">
        <f t="shared" si="15"/>
        <v>0</v>
      </c>
      <c r="N122" s="678">
        <f t="shared" si="15"/>
        <v>0</v>
      </c>
      <c r="O122" s="678">
        <f t="shared" si="15"/>
        <v>0</v>
      </c>
      <c r="P122" s="678">
        <f t="shared" si="15"/>
        <v>0</v>
      </c>
      <c r="Q122" s="678">
        <f t="shared" si="15"/>
        <v>0</v>
      </c>
      <c r="R122" s="678">
        <f t="shared" si="15"/>
        <v>0</v>
      </c>
      <c r="S122" s="678">
        <f t="shared" si="15"/>
        <v>0</v>
      </c>
      <c r="T122" s="678">
        <f t="shared" si="15"/>
        <v>0</v>
      </c>
      <c r="U122" s="678">
        <f t="shared" si="15"/>
        <v>0</v>
      </c>
      <c r="V122" s="678">
        <f t="shared" si="15"/>
        <v>0</v>
      </c>
      <c r="W122" s="678">
        <f t="shared" si="15"/>
        <v>0</v>
      </c>
      <c r="X122" s="678">
        <f t="shared" si="15"/>
        <v>0</v>
      </c>
      <c r="Y122" s="797">
        <f t="shared" si="15"/>
        <v>0</v>
      </c>
    </row>
    <row r="123" spans="1:25">
      <c r="A123" s="652">
        <v>106000</v>
      </c>
      <c r="B123" s="791" t="s">
        <v>691</v>
      </c>
      <c r="C123" s="643"/>
      <c r="D123" s="643"/>
      <c r="E123" s="644"/>
      <c r="F123" s="678">
        <f>F79+F77+F65+F67+F69+F71+F73</f>
        <v>0</v>
      </c>
      <c r="G123" s="678">
        <f t="shared" ref="G123:Y123" si="16">G79+G77+G65+G67+G69+G71+G73</f>
        <v>0</v>
      </c>
      <c r="H123" s="678">
        <f t="shared" si="16"/>
        <v>0</v>
      </c>
      <c r="I123" s="678">
        <f t="shared" si="16"/>
        <v>0</v>
      </c>
      <c r="J123" s="678">
        <f t="shared" si="16"/>
        <v>0</v>
      </c>
      <c r="K123" s="678">
        <f t="shared" si="16"/>
        <v>0</v>
      </c>
      <c r="L123" s="678">
        <f t="shared" si="16"/>
        <v>0</v>
      </c>
      <c r="M123" s="678">
        <f t="shared" si="16"/>
        <v>0</v>
      </c>
      <c r="N123" s="678">
        <f t="shared" si="16"/>
        <v>0</v>
      </c>
      <c r="O123" s="678">
        <f t="shared" si="16"/>
        <v>0</v>
      </c>
      <c r="P123" s="678">
        <f t="shared" si="16"/>
        <v>0</v>
      </c>
      <c r="Q123" s="678">
        <f t="shared" si="16"/>
        <v>0</v>
      </c>
      <c r="R123" s="678">
        <f t="shared" si="16"/>
        <v>0</v>
      </c>
      <c r="S123" s="678">
        <f t="shared" si="16"/>
        <v>0</v>
      </c>
      <c r="T123" s="678">
        <f t="shared" si="16"/>
        <v>0</v>
      </c>
      <c r="U123" s="678">
        <f t="shared" si="16"/>
        <v>0</v>
      </c>
      <c r="V123" s="678">
        <f t="shared" si="16"/>
        <v>0</v>
      </c>
      <c r="W123" s="678">
        <f t="shared" si="16"/>
        <v>0</v>
      </c>
      <c r="X123" s="678">
        <f t="shared" si="16"/>
        <v>0</v>
      </c>
      <c r="Y123" s="797">
        <f t="shared" si="16"/>
        <v>0</v>
      </c>
    </row>
    <row r="124" spans="1:25">
      <c r="A124" s="652">
        <v>107000</v>
      </c>
      <c r="B124" s="789" t="s">
        <v>692</v>
      </c>
      <c r="C124" s="645"/>
      <c r="D124" s="645"/>
      <c r="E124" s="644"/>
      <c r="F124" s="678">
        <f>SUM(F20,F33,F43,F60)</f>
        <v>0</v>
      </c>
      <c r="G124" s="678">
        <f t="shared" ref="G124:Y124" si="17">SUM(G20,G33,G43,G60)</f>
        <v>0</v>
      </c>
      <c r="H124" s="678">
        <f t="shared" si="17"/>
        <v>0</v>
      </c>
      <c r="I124" s="678">
        <f t="shared" si="17"/>
        <v>0</v>
      </c>
      <c r="J124" s="678">
        <f t="shared" si="17"/>
        <v>0</v>
      </c>
      <c r="K124" s="678">
        <f t="shared" si="17"/>
        <v>0</v>
      </c>
      <c r="L124" s="678">
        <f t="shared" si="17"/>
        <v>0</v>
      </c>
      <c r="M124" s="678">
        <f t="shared" si="17"/>
        <v>0</v>
      </c>
      <c r="N124" s="678">
        <f t="shared" si="17"/>
        <v>0</v>
      </c>
      <c r="O124" s="678">
        <f t="shared" si="17"/>
        <v>0</v>
      </c>
      <c r="P124" s="678">
        <f t="shared" si="17"/>
        <v>0</v>
      </c>
      <c r="Q124" s="678">
        <f t="shared" si="17"/>
        <v>0</v>
      </c>
      <c r="R124" s="678">
        <f t="shared" si="17"/>
        <v>0</v>
      </c>
      <c r="S124" s="678">
        <f t="shared" si="17"/>
        <v>0</v>
      </c>
      <c r="T124" s="678">
        <f t="shared" si="17"/>
        <v>0</v>
      </c>
      <c r="U124" s="678">
        <f t="shared" si="17"/>
        <v>0</v>
      </c>
      <c r="V124" s="678">
        <f t="shared" si="17"/>
        <v>0</v>
      </c>
      <c r="W124" s="678">
        <f t="shared" si="17"/>
        <v>0</v>
      </c>
      <c r="X124" s="678">
        <f t="shared" si="17"/>
        <v>0</v>
      </c>
      <c r="Y124" s="797">
        <f t="shared" si="17"/>
        <v>0</v>
      </c>
    </row>
    <row r="125" spans="1:25">
      <c r="A125" s="652">
        <v>108000</v>
      </c>
      <c r="B125" s="791" t="s">
        <v>315</v>
      </c>
      <c r="C125" s="643"/>
      <c r="D125" s="643"/>
      <c r="E125" s="644"/>
      <c r="F125" s="678">
        <f>SUM(F20,F33,F43,F60,F65,F67,F69,F71,F73,F77,F79)</f>
        <v>0</v>
      </c>
      <c r="G125" s="678">
        <f t="shared" ref="G125:Y125" si="18">SUM(G20,G33,G43,G60,G65,G67,G69,G71,G73,G77,G79)</f>
        <v>0</v>
      </c>
      <c r="H125" s="678">
        <f>SUM(H20,H33,H43,H60,H65,H67,H69,H71,H73,H77,H79)</f>
        <v>0</v>
      </c>
      <c r="I125" s="678">
        <f t="shared" si="18"/>
        <v>0</v>
      </c>
      <c r="J125" s="678">
        <f t="shared" si="18"/>
        <v>0</v>
      </c>
      <c r="K125" s="678">
        <f t="shared" si="18"/>
        <v>0</v>
      </c>
      <c r="L125" s="678">
        <f t="shared" si="18"/>
        <v>0</v>
      </c>
      <c r="M125" s="678">
        <f t="shared" si="18"/>
        <v>0</v>
      </c>
      <c r="N125" s="678">
        <f t="shared" si="18"/>
        <v>0</v>
      </c>
      <c r="O125" s="678">
        <f t="shared" si="18"/>
        <v>0</v>
      </c>
      <c r="P125" s="678">
        <f t="shared" si="18"/>
        <v>0</v>
      </c>
      <c r="Q125" s="678">
        <f t="shared" si="18"/>
        <v>0</v>
      </c>
      <c r="R125" s="678">
        <f t="shared" si="18"/>
        <v>0</v>
      </c>
      <c r="S125" s="678">
        <f t="shared" si="18"/>
        <v>0</v>
      </c>
      <c r="T125" s="678">
        <f t="shared" si="18"/>
        <v>0</v>
      </c>
      <c r="U125" s="678">
        <f t="shared" si="18"/>
        <v>0</v>
      </c>
      <c r="V125" s="678">
        <f t="shared" si="18"/>
        <v>0</v>
      </c>
      <c r="W125" s="678">
        <f t="shared" si="18"/>
        <v>0</v>
      </c>
      <c r="X125" s="678">
        <f t="shared" si="18"/>
        <v>0</v>
      </c>
      <c r="Y125" s="797">
        <f t="shared" si="18"/>
        <v>0</v>
      </c>
    </row>
    <row r="126" spans="1:25">
      <c r="A126" s="652">
        <v>109000</v>
      </c>
      <c r="B126" s="791" t="s">
        <v>316</v>
      </c>
      <c r="C126" s="643"/>
      <c r="D126" s="643"/>
      <c r="E126" s="644"/>
      <c r="F126" s="678">
        <f>SUM(F19,F32,F42,F59)</f>
        <v>0</v>
      </c>
      <c r="G126" s="678">
        <f t="shared" ref="G126:Y126" si="19">SUM(G19,G32,G42,G59)</f>
        <v>0</v>
      </c>
      <c r="H126" s="678">
        <f>SUM(H19,H32,H42,H59)</f>
        <v>0</v>
      </c>
      <c r="I126" s="678">
        <f t="shared" si="19"/>
        <v>0</v>
      </c>
      <c r="J126" s="678">
        <f t="shared" si="19"/>
        <v>0</v>
      </c>
      <c r="K126" s="678">
        <f t="shared" si="19"/>
        <v>0</v>
      </c>
      <c r="L126" s="678">
        <f t="shared" si="19"/>
        <v>0</v>
      </c>
      <c r="M126" s="678">
        <f t="shared" si="19"/>
        <v>0</v>
      </c>
      <c r="N126" s="678">
        <f t="shared" si="19"/>
        <v>0</v>
      </c>
      <c r="O126" s="678">
        <f t="shared" si="19"/>
        <v>0</v>
      </c>
      <c r="P126" s="678">
        <f t="shared" si="19"/>
        <v>0</v>
      </c>
      <c r="Q126" s="678">
        <f t="shared" si="19"/>
        <v>0</v>
      </c>
      <c r="R126" s="678">
        <f t="shared" si="19"/>
        <v>0</v>
      </c>
      <c r="S126" s="678">
        <f t="shared" si="19"/>
        <v>0</v>
      </c>
      <c r="T126" s="678">
        <f t="shared" si="19"/>
        <v>0</v>
      </c>
      <c r="U126" s="678">
        <f t="shared" si="19"/>
        <v>0</v>
      </c>
      <c r="V126" s="678">
        <f t="shared" si="19"/>
        <v>0</v>
      </c>
      <c r="W126" s="678">
        <f t="shared" si="19"/>
        <v>0</v>
      </c>
      <c r="X126" s="678">
        <f t="shared" si="19"/>
        <v>0</v>
      </c>
      <c r="Y126" s="797">
        <f t="shared" si="19"/>
        <v>0</v>
      </c>
    </row>
    <row r="127" spans="1:25">
      <c r="A127" s="652">
        <v>110000</v>
      </c>
      <c r="B127" s="789" t="s">
        <v>317</v>
      </c>
      <c r="C127" s="645"/>
      <c r="D127" s="645"/>
      <c r="E127" s="644"/>
      <c r="F127" s="678">
        <f>SUM(F18,F31,F41,F58)</f>
        <v>0</v>
      </c>
      <c r="G127" s="678">
        <f t="shared" ref="G127:Y127" si="20">SUM(G18,G31,G41,G58)</f>
        <v>0</v>
      </c>
      <c r="H127" s="678">
        <f>SUM(H18,H31,H41,H58)</f>
        <v>0</v>
      </c>
      <c r="I127" s="678">
        <f t="shared" si="20"/>
        <v>0</v>
      </c>
      <c r="J127" s="678">
        <f t="shared" si="20"/>
        <v>0</v>
      </c>
      <c r="K127" s="678">
        <f t="shared" si="20"/>
        <v>0</v>
      </c>
      <c r="L127" s="678">
        <f t="shared" si="20"/>
        <v>0</v>
      </c>
      <c r="M127" s="678">
        <f t="shared" si="20"/>
        <v>0</v>
      </c>
      <c r="N127" s="678">
        <f t="shared" si="20"/>
        <v>0</v>
      </c>
      <c r="O127" s="678">
        <f t="shared" si="20"/>
        <v>0</v>
      </c>
      <c r="P127" s="678">
        <f t="shared" si="20"/>
        <v>0</v>
      </c>
      <c r="Q127" s="678">
        <f t="shared" si="20"/>
        <v>0</v>
      </c>
      <c r="R127" s="678">
        <f t="shared" si="20"/>
        <v>0</v>
      </c>
      <c r="S127" s="678">
        <f t="shared" si="20"/>
        <v>0</v>
      </c>
      <c r="T127" s="678">
        <f t="shared" si="20"/>
        <v>0</v>
      </c>
      <c r="U127" s="678">
        <f t="shared" si="20"/>
        <v>0</v>
      </c>
      <c r="V127" s="678">
        <f t="shared" si="20"/>
        <v>0</v>
      </c>
      <c r="W127" s="678">
        <f t="shared" si="20"/>
        <v>0</v>
      </c>
      <c r="X127" s="678">
        <f t="shared" si="20"/>
        <v>0</v>
      </c>
      <c r="Y127" s="797">
        <f t="shared" si="20"/>
        <v>0</v>
      </c>
    </row>
    <row r="128" spans="1:25">
      <c r="A128" s="652">
        <v>111000</v>
      </c>
      <c r="B128" s="791" t="s">
        <v>318</v>
      </c>
      <c r="C128" s="643"/>
      <c r="D128" s="643"/>
      <c r="E128" s="644"/>
      <c r="F128" s="678">
        <f>F45+F46</f>
        <v>0</v>
      </c>
      <c r="G128" s="679">
        <f>G45+G46</f>
        <v>0</v>
      </c>
      <c r="H128" s="679">
        <f>H45+H46</f>
        <v>0</v>
      </c>
      <c r="I128" s="678">
        <f t="shared" ref="I128:Y128" si="21">I45+I46</f>
        <v>0</v>
      </c>
      <c r="J128" s="679">
        <f t="shared" si="21"/>
        <v>0</v>
      </c>
      <c r="K128" s="679">
        <f t="shared" si="21"/>
        <v>0</v>
      </c>
      <c r="L128" s="679">
        <f t="shared" si="21"/>
        <v>0</v>
      </c>
      <c r="M128" s="679">
        <f t="shared" si="21"/>
        <v>0</v>
      </c>
      <c r="N128" s="679">
        <f t="shared" si="21"/>
        <v>0</v>
      </c>
      <c r="O128" s="679">
        <f t="shared" si="21"/>
        <v>0</v>
      </c>
      <c r="P128" s="679">
        <f t="shared" si="21"/>
        <v>0</v>
      </c>
      <c r="Q128" s="679">
        <f t="shared" si="21"/>
        <v>0</v>
      </c>
      <c r="R128" s="679">
        <f t="shared" si="21"/>
        <v>0</v>
      </c>
      <c r="S128" s="679">
        <f t="shared" si="21"/>
        <v>0</v>
      </c>
      <c r="T128" s="679">
        <f t="shared" si="21"/>
        <v>0</v>
      </c>
      <c r="U128" s="679">
        <f t="shared" si="21"/>
        <v>0</v>
      </c>
      <c r="V128" s="679">
        <f t="shared" si="21"/>
        <v>0</v>
      </c>
      <c r="W128" s="679">
        <f t="shared" si="21"/>
        <v>0</v>
      </c>
      <c r="X128" s="679">
        <f t="shared" si="21"/>
        <v>0</v>
      </c>
      <c r="Y128" s="800">
        <f t="shared" si="21"/>
        <v>0</v>
      </c>
    </row>
    <row r="129" spans="1:25">
      <c r="A129" s="652">
        <v>112000</v>
      </c>
      <c r="B129" s="791"/>
      <c r="C129" s="643"/>
      <c r="D129" s="643"/>
      <c r="E129" s="644"/>
      <c r="F129" s="678"/>
      <c r="G129" s="679"/>
      <c r="H129" s="679"/>
      <c r="I129" s="678"/>
      <c r="J129" s="679"/>
      <c r="K129" s="679"/>
      <c r="L129" s="679"/>
      <c r="M129" s="679"/>
      <c r="N129" s="679"/>
      <c r="O129" s="679"/>
      <c r="P129" s="679"/>
      <c r="Q129" s="679"/>
      <c r="R129" s="679"/>
      <c r="S129" s="679"/>
      <c r="T129" s="679"/>
      <c r="U129" s="679"/>
      <c r="V129" s="679"/>
      <c r="W129" s="679"/>
      <c r="X129" s="679"/>
      <c r="Y129" s="800"/>
    </row>
    <row r="130" spans="1:25">
      <c r="A130" s="652">
        <v>113000</v>
      </c>
      <c r="B130" s="789"/>
      <c r="C130" s="645"/>
      <c r="D130" s="645"/>
      <c r="E130" s="644"/>
      <c r="F130" s="678"/>
      <c r="G130" s="679"/>
      <c r="H130" s="679"/>
      <c r="I130" s="678"/>
      <c r="J130" s="679"/>
      <c r="K130" s="679"/>
      <c r="L130" s="679"/>
      <c r="M130" s="679"/>
      <c r="N130" s="679"/>
      <c r="O130" s="679"/>
      <c r="P130" s="679"/>
      <c r="Q130" s="679"/>
      <c r="R130" s="679"/>
      <c r="S130" s="679"/>
      <c r="T130" s="679"/>
      <c r="U130" s="679"/>
      <c r="V130" s="679"/>
      <c r="W130" s="679"/>
      <c r="X130" s="679"/>
      <c r="Y130" s="800"/>
    </row>
    <row r="131" spans="1:25" ht="16.5" thickBot="1">
      <c r="A131" s="652">
        <v>114000</v>
      </c>
      <c r="B131" s="801"/>
      <c r="C131" s="802"/>
      <c r="D131" s="802"/>
      <c r="E131" s="803"/>
      <c r="F131" s="1278"/>
      <c r="G131" s="805"/>
      <c r="H131" s="805"/>
      <c r="I131" s="804"/>
      <c r="J131" s="805"/>
      <c r="K131" s="805"/>
      <c r="L131" s="805"/>
      <c r="M131" s="805"/>
      <c r="N131" s="805"/>
      <c r="O131" s="805"/>
      <c r="P131" s="805"/>
      <c r="Q131" s="805"/>
      <c r="R131" s="805"/>
      <c r="S131" s="805"/>
      <c r="T131" s="805"/>
      <c r="U131" s="805"/>
      <c r="V131" s="805"/>
      <c r="W131" s="805"/>
      <c r="X131" s="805"/>
      <c r="Y131" s="806"/>
    </row>
    <row r="132" spans="1:25" ht="16.5" thickTop="1"/>
    <row r="142" spans="1:25">
      <c r="R142" s="772"/>
    </row>
    <row r="147" spans="18:18">
      <c r="R147" s="773"/>
    </row>
    <row r="148" spans="18:18">
      <c r="R148" s="774"/>
    </row>
    <row r="149" spans="18:18">
      <c r="R149" s="774"/>
    </row>
    <row r="156" spans="18:18">
      <c r="R156" s="773"/>
    </row>
    <row r="157" spans="18:18">
      <c r="R157" s="775"/>
    </row>
  </sheetData>
  <phoneticPr fontId="0" type="noConversion"/>
  <conditionalFormatting sqref="B7:Y131">
    <cfRule type="expression" dxfId="4" priority="1" stopIfTrue="1">
      <formula>MOD(ROW(),2)=1</formula>
    </cfRule>
  </conditionalFormatting>
  <conditionalFormatting sqref="E2:Y4">
    <cfRule type="expression" dxfId="3" priority="2" stopIfTrue="1">
      <formula>MOD(ROW(),2)=1</formula>
    </cfRule>
  </conditionalFormatting>
  <hyperlinks>
    <hyperlink ref="A2" location="TOC!A1" display="TOC" xr:uid="{00000000-0004-0000-1000-000000000000}"/>
    <hyperlink ref="A3" location="'New Resources - Group'!A7" display="é" xr:uid="{00000000-0004-0000-1000-000001000000}"/>
    <hyperlink ref="A6" location="'New Resources - Group'!F1" display="é" xr:uid="{00000000-0004-0000-1000-000002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1" manualBreakCount="1">
    <brk id="81" min="1" max="7" man="1"/>
  </rowBreaks>
  <customProperties>
    <customPr name="xxe4aPID" r:id="rId2"/>
  </customPropertie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indexed="56"/>
  </sheetPr>
  <dimension ref="A1:FO496"/>
  <sheetViews>
    <sheetView view="pageLayout" topLeftCell="A32" zoomScaleNormal="90" zoomScaleSheetLayoutView="25" workbookViewId="0">
      <selection activeCell="A6" sqref="A1:XFD1048576"/>
    </sheetView>
  </sheetViews>
  <sheetFormatPr defaultRowHeight="15.75"/>
  <cols>
    <col min="1" max="1" width="8.625" customWidth="1"/>
    <col min="2" max="2" width="50.625" customWidth="1"/>
    <col min="3" max="3" width="24.5" customWidth="1"/>
    <col min="4" max="4" width="14.625" customWidth="1"/>
    <col min="5" max="5" width="10.625" customWidth="1"/>
    <col min="6" max="6" width="6.125" customWidth="1"/>
    <col min="7" max="10" width="16.625" customWidth="1"/>
    <col min="11" max="11" width="2.625" customWidth="1"/>
    <col min="12" max="12" width="25.75" customWidth="1"/>
    <col min="13" max="13" width="12.625" customWidth="1"/>
    <col min="14" max="14" width="17.5" customWidth="1"/>
    <col min="15" max="18" width="15.625" customWidth="1"/>
    <col min="19" max="19" width="2.625" customWidth="1"/>
    <col min="20" max="20" width="26.5" customWidth="1"/>
    <col min="21" max="26" width="15.625" customWidth="1"/>
    <col min="27" max="27" width="3" bestFit="1" customWidth="1"/>
    <col min="28" max="28" width="26.25" customWidth="1"/>
    <col min="29" max="34" width="15.625" customWidth="1"/>
    <col min="35" max="35" width="2.625" customWidth="1"/>
    <col min="36" max="36" width="26" customWidth="1"/>
    <col min="37" max="42" width="15.625" customWidth="1"/>
    <col min="43" max="43" width="2.625" customWidth="1"/>
    <col min="44" max="44" width="26.125" customWidth="1"/>
    <col min="45" max="50" width="15.625" customWidth="1"/>
    <col min="51" max="51" width="2.625" customWidth="1"/>
    <col min="52" max="52" width="26" customWidth="1"/>
    <col min="53" max="58" width="15.625" customWidth="1"/>
    <col min="59" max="59" width="2.625" customWidth="1"/>
    <col min="60" max="60" width="26.5" customWidth="1"/>
    <col min="61" max="66" width="15.625" customWidth="1"/>
    <col min="67" max="67" width="2.625" customWidth="1"/>
    <col min="68" max="68" width="26.75" customWidth="1"/>
    <col min="69" max="74" width="15.625" customWidth="1"/>
    <col min="75" max="75" width="2.625" customWidth="1"/>
    <col min="76" max="76" width="26.75" customWidth="1"/>
    <col min="77" max="82" width="15.625" customWidth="1"/>
    <col min="83" max="83" width="2.625" customWidth="1"/>
    <col min="84" max="84" width="26.75" customWidth="1"/>
    <col min="85" max="90" width="15.625" customWidth="1"/>
    <col min="91" max="91" width="2.625" customWidth="1"/>
    <col min="92" max="92" width="26.625" customWidth="1"/>
    <col min="93" max="98" width="15.625" customWidth="1"/>
    <col min="99" max="99" width="2.625" customWidth="1"/>
    <col min="100" max="100" width="26.625" customWidth="1"/>
    <col min="101" max="106" width="15.625" customWidth="1"/>
    <col min="107" max="107" width="2.625" customWidth="1"/>
    <col min="108" max="108" width="26.375" customWidth="1"/>
    <col min="109" max="114" width="15.625" customWidth="1"/>
    <col min="115" max="115" width="2.625" customWidth="1"/>
    <col min="116" max="116" width="25.875" customWidth="1"/>
    <col min="117" max="122" width="15.625" customWidth="1"/>
    <col min="123" max="123" width="2.625" customWidth="1"/>
    <col min="124" max="124" width="26.625" customWidth="1"/>
    <col min="125" max="130" width="15.625" customWidth="1"/>
    <col min="131" max="131" width="2.625" customWidth="1"/>
    <col min="132" max="132" width="27.5" customWidth="1"/>
    <col min="133" max="138" width="15.625" customWidth="1"/>
    <col min="139" max="139" width="2.625" customWidth="1"/>
    <col min="140" max="140" width="25.875" customWidth="1"/>
    <col min="141" max="146" width="15.625" customWidth="1"/>
    <col min="147" max="147" width="2.625" customWidth="1"/>
    <col min="148" max="148" width="26.25" customWidth="1"/>
    <col min="149" max="154" width="15.625" customWidth="1"/>
    <col min="155" max="155" width="2.625" customWidth="1"/>
    <col min="156" max="156" width="26.5" customWidth="1"/>
    <col min="157" max="162" width="15.625" customWidth="1"/>
    <col min="163" max="163" width="2.625" customWidth="1"/>
    <col min="164" max="164" width="25.75" customWidth="1"/>
    <col min="165" max="165" width="18.625" customWidth="1"/>
    <col min="166" max="170" width="15.625" customWidth="1"/>
    <col min="171" max="171" width="2.625" customWidth="1"/>
  </cols>
  <sheetData>
    <row r="1" spans="1:171">
      <c r="A1" s="865"/>
      <c r="B1" s="865"/>
      <c r="C1" s="865"/>
      <c r="D1" s="865"/>
      <c r="E1" s="865"/>
      <c r="F1" s="866" t="s">
        <v>619</v>
      </c>
      <c r="G1" s="865"/>
      <c r="H1" s="865"/>
      <c r="I1" s="865"/>
      <c r="J1" s="865"/>
      <c r="K1" s="903"/>
      <c r="M1" s="1107" t="s">
        <v>668</v>
      </c>
      <c r="N1" s="1108">
        <v>1</v>
      </c>
      <c r="S1" s="1109"/>
      <c r="U1" s="1107" t="s">
        <v>668</v>
      </c>
      <c r="V1" s="1108">
        <v>1</v>
      </c>
      <c r="AA1" s="1109"/>
      <c r="AC1" s="1107" t="s">
        <v>668</v>
      </c>
      <c r="AD1" s="1108">
        <v>1</v>
      </c>
      <c r="AI1" s="1109"/>
      <c r="AK1" s="1107" t="s">
        <v>668</v>
      </c>
      <c r="AL1" s="1108">
        <v>1</v>
      </c>
      <c r="AQ1" s="1109"/>
      <c r="AS1" s="1107" t="s">
        <v>668</v>
      </c>
      <c r="AT1" s="1108">
        <v>1</v>
      </c>
      <c r="AY1" s="1109"/>
      <c r="BA1" s="1107" t="s">
        <v>668</v>
      </c>
      <c r="BB1" s="1108">
        <v>1</v>
      </c>
      <c r="BG1" s="1109"/>
      <c r="BI1" s="1107" t="s">
        <v>668</v>
      </c>
      <c r="BJ1" s="1108">
        <v>1</v>
      </c>
      <c r="BO1" s="1109"/>
      <c r="BQ1" s="1107" t="s">
        <v>668</v>
      </c>
      <c r="BR1" s="1108">
        <v>1</v>
      </c>
      <c r="BW1" s="1109"/>
      <c r="BY1" s="1107" t="s">
        <v>668</v>
      </c>
      <c r="BZ1" s="1108">
        <v>1</v>
      </c>
      <c r="CE1" s="1109"/>
      <c r="CG1" s="1107" t="s">
        <v>668</v>
      </c>
      <c r="CH1" s="1108">
        <v>1</v>
      </c>
      <c r="CM1" s="1109"/>
      <c r="CO1" s="1107" t="s">
        <v>668</v>
      </c>
      <c r="CP1" s="1108">
        <v>1</v>
      </c>
      <c r="CU1" s="1109"/>
      <c r="CW1" s="1107" t="s">
        <v>668</v>
      </c>
      <c r="CX1" s="1108">
        <v>1</v>
      </c>
      <c r="DC1" s="1109"/>
      <c r="DE1" s="1107" t="s">
        <v>668</v>
      </c>
      <c r="DF1" s="1108">
        <v>1</v>
      </c>
      <c r="DK1" s="1109"/>
      <c r="DM1" s="1107" t="s">
        <v>668</v>
      </c>
      <c r="DN1" s="1108">
        <v>1</v>
      </c>
      <c r="DS1" s="1109"/>
      <c r="DU1" s="1107" t="s">
        <v>668</v>
      </c>
      <c r="DV1" s="1108">
        <v>1</v>
      </c>
      <c r="EA1" s="1109"/>
      <c r="EC1" s="1107" t="s">
        <v>668</v>
      </c>
      <c r="ED1" s="1108">
        <v>1</v>
      </c>
      <c r="EI1" s="1109"/>
      <c r="EK1" s="1107" t="s">
        <v>668</v>
      </c>
      <c r="EL1" s="1108">
        <v>1</v>
      </c>
      <c r="EQ1" s="1109"/>
      <c r="ES1" s="1107" t="s">
        <v>668</v>
      </c>
      <c r="ET1" s="1108">
        <v>1</v>
      </c>
      <c r="EY1" s="1109"/>
      <c r="FA1" s="1107" t="s">
        <v>668</v>
      </c>
      <c r="FB1" s="1108">
        <v>1</v>
      </c>
      <c r="FG1" s="1109"/>
      <c r="FI1" s="1107" t="s">
        <v>668</v>
      </c>
      <c r="FJ1" s="1108">
        <v>1</v>
      </c>
      <c r="FO1" s="1109"/>
    </row>
    <row r="2" spans="1:171">
      <c r="A2" s="867"/>
      <c r="B2" s="867"/>
      <c r="C2" s="867"/>
      <c r="D2" s="867"/>
      <c r="E2" s="867"/>
      <c r="F2" s="866" t="s">
        <v>620</v>
      </c>
      <c r="G2" s="867"/>
      <c r="H2" s="867"/>
      <c r="I2" s="867"/>
      <c r="J2" s="867"/>
      <c r="K2" s="903"/>
      <c r="M2" s="866" t="s">
        <v>669</v>
      </c>
      <c r="N2" s="1110">
        <v>6</v>
      </c>
      <c r="S2" s="1111"/>
      <c r="U2" s="866" t="s">
        <v>669</v>
      </c>
      <c r="V2" s="1110">
        <v>7</v>
      </c>
      <c r="AA2" s="1111"/>
      <c r="AC2" s="866" t="s">
        <v>669</v>
      </c>
      <c r="AD2" s="1110">
        <v>8</v>
      </c>
      <c r="AI2" s="1111"/>
      <c r="AK2" s="866" t="s">
        <v>669</v>
      </c>
      <c r="AL2" s="1110">
        <v>9</v>
      </c>
      <c r="AQ2" s="1111"/>
      <c r="AS2" s="866" t="s">
        <v>669</v>
      </c>
      <c r="AT2" s="1110">
        <v>10</v>
      </c>
      <c r="AY2" s="1111"/>
      <c r="BA2" s="866" t="s">
        <v>669</v>
      </c>
      <c r="BB2" s="1110">
        <v>11</v>
      </c>
      <c r="BG2" s="1111"/>
      <c r="BI2" s="866" t="s">
        <v>669</v>
      </c>
      <c r="BJ2" s="1110">
        <v>12</v>
      </c>
      <c r="BO2" s="1111"/>
      <c r="BQ2" s="866" t="s">
        <v>669</v>
      </c>
      <c r="BR2" s="1110">
        <v>13</v>
      </c>
      <c r="BW2" s="1111"/>
      <c r="BY2" s="866" t="s">
        <v>669</v>
      </c>
      <c r="BZ2" s="1110">
        <v>14</v>
      </c>
      <c r="CE2" s="1111"/>
      <c r="CG2" s="866" t="s">
        <v>669</v>
      </c>
      <c r="CH2" s="1110">
        <v>15</v>
      </c>
      <c r="CM2" s="1111"/>
      <c r="CO2" s="866" t="s">
        <v>669</v>
      </c>
      <c r="CP2" s="1110">
        <v>16</v>
      </c>
      <c r="CU2" s="1111"/>
      <c r="CW2" s="866" t="s">
        <v>669</v>
      </c>
      <c r="CX2" s="1110">
        <v>17</v>
      </c>
      <c r="DC2" s="1111"/>
      <c r="DE2" s="866" t="s">
        <v>669</v>
      </c>
      <c r="DF2" s="1110">
        <v>18</v>
      </c>
      <c r="DK2" s="1111"/>
      <c r="DM2" s="866" t="s">
        <v>669</v>
      </c>
      <c r="DN2" s="1110">
        <v>19</v>
      </c>
      <c r="DS2" s="1111"/>
      <c r="DU2" s="866" t="s">
        <v>669</v>
      </c>
      <c r="DV2" s="1110">
        <v>20</v>
      </c>
      <c r="EA2" s="1111"/>
      <c r="EC2" s="866" t="s">
        <v>669</v>
      </c>
      <c r="ED2" s="1110">
        <v>21</v>
      </c>
      <c r="EI2" s="1111"/>
      <c r="EK2" s="866" t="s">
        <v>669</v>
      </c>
      <c r="EL2" s="1110">
        <v>22</v>
      </c>
      <c r="EQ2" s="1111"/>
      <c r="ES2" s="866" t="s">
        <v>669</v>
      </c>
      <c r="ET2" s="1110">
        <v>23</v>
      </c>
      <c r="EY2" s="1111"/>
      <c r="FA2" s="866" t="s">
        <v>669</v>
      </c>
      <c r="FB2" s="1110">
        <v>24</v>
      </c>
      <c r="FG2" s="1111"/>
      <c r="FI2" s="866" t="s">
        <v>669</v>
      </c>
      <c r="FJ2" s="1110">
        <v>25</v>
      </c>
      <c r="FO2" s="1111"/>
    </row>
    <row r="3" spans="1:171">
      <c r="A3" s="865"/>
      <c r="B3" s="865"/>
      <c r="C3" s="865"/>
      <c r="D3" s="865"/>
      <c r="E3" s="865"/>
      <c r="F3" s="867" t="s">
        <v>621</v>
      </c>
      <c r="G3" s="865"/>
      <c r="H3" s="865"/>
      <c r="I3" s="865"/>
      <c r="J3" s="865"/>
      <c r="K3" s="903"/>
      <c r="L3" s="1112"/>
      <c r="O3" s="1113" t="str">
        <f ca="1">OFFSET('New Resources - Individual'!$A$1,3,N2-1)</f>
        <v/>
      </c>
      <c r="S3" s="1109"/>
      <c r="T3" s="1112"/>
      <c r="W3" s="1113" t="str">
        <f ca="1">OFFSET('New Resources - Individual'!$A$1,3,V2-1)</f>
        <v/>
      </c>
      <c r="AA3" s="1109"/>
      <c r="AB3" s="1112"/>
      <c r="AE3" s="1113" t="str">
        <f ca="1">OFFSET('New Resources - Individual'!$A$1,3,AD2-1)</f>
        <v/>
      </c>
      <c r="AI3" s="1109"/>
      <c r="AJ3" s="1112"/>
      <c r="AM3" s="1113" t="str">
        <f ca="1">OFFSET('New Resources - Individual'!$A$1,3,AL2-1)</f>
        <v/>
      </c>
      <c r="AQ3" s="1109"/>
      <c r="AR3" s="1112"/>
      <c r="AU3" s="1113" t="str">
        <f ca="1">OFFSET('New Resources - Individual'!$A$1,3,AT2-1)</f>
        <v/>
      </c>
      <c r="AY3" s="1109"/>
      <c r="AZ3" s="1112"/>
      <c r="BC3" s="1113" t="str">
        <f ca="1">OFFSET('New Resources - Individual'!$A$1,3,BB2-1)</f>
        <v/>
      </c>
      <c r="BG3" s="1109"/>
      <c r="BH3" s="1112"/>
      <c r="BK3" s="1113" t="str">
        <f ca="1">OFFSET('New Resources - Individual'!$A$1,3,BJ2-1)</f>
        <v/>
      </c>
      <c r="BO3" s="1109"/>
      <c r="BP3" s="1112"/>
      <c r="BS3" s="1113" t="str">
        <f ca="1">OFFSET('New Resources - Individual'!$A$1,3,BR2-1)</f>
        <v/>
      </c>
      <c r="BW3" s="1109"/>
      <c r="BX3" s="1112"/>
      <c r="CA3" s="1113" t="str">
        <f ca="1">OFFSET('New Resources - Individual'!$A$1,3,BZ2-1)</f>
        <v/>
      </c>
      <c r="CE3" s="1109"/>
      <c r="CF3" s="1112"/>
      <c r="CI3" s="1113" t="str">
        <f ca="1">OFFSET('New Resources - Individual'!$A$1,3,CH2-1)</f>
        <v/>
      </c>
      <c r="CM3" s="1109"/>
      <c r="CN3" s="1112"/>
      <c r="CQ3" s="1113" t="str">
        <f ca="1">OFFSET('New Resources - Individual'!$A$1,3,CP2-1)</f>
        <v/>
      </c>
      <c r="CU3" s="1109"/>
      <c r="CV3" s="1112"/>
      <c r="CY3" s="1113" t="str">
        <f ca="1">OFFSET('New Resources - Individual'!$A$1,3,CX2-1)</f>
        <v/>
      </c>
      <c r="DC3" s="1109"/>
      <c r="DD3" s="1112"/>
      <c r="DG3" s="1113" t="str">
        <f ca="1">OFFSET('New Resources - Individual'!$A$1,3,DF2-1)</f>
        <v/>
      </c>
      <c r="DK3" s="1109"/>
      <c r="DL3" s="1112"/>
      <c r="DO3" s="1113" t="str">
        <f ca="1">OFFSET('New Resources - Individual'!$A$1,3,DN2-1)</f>
        <v/>
      </c>
      <c r="DS3" s="1109"/>
      <c r="DT3" s="1112"/>
      <c r="DW3" s="1113" t="str">
        <f ca="1">OFFSET('New Resources - Individual'!$A$1,3,DV2-1)</f>
        <v/>
      </c>
      <c r="EA3" s="1109"/>
      <c r="EB3" s="1112"/>
      <c r="EE3" s="1113" t="str">
        <f ca="1">OFFSET('New Resources - Individual'!$A$1,3,ED2-1)</f>
        <v/>
      </c>
      <c r="EI3" s="1109"/>
      <c r="EJ3" s="1112"/>
      <c r="EM3" s="1113" t="str">
        <f ca="1">OFFSET('New Resources - Individual'!$A$1,3,EL2-1)</f>
        <v/>
      </c>
      <c r="EQ3" s="1109"/>
      <c r="ER3" s="1112"/>
      <c r="EU3" s="1113" t="str">
        <f ca="1">OFFSET('New Resources - Individual'!$A$1,3,ET2-1)</f>
        <v/>
      </c>
      <c r="EY3" s="1109"/>
      <c r="EZ3" s="1112"/>
      <c r="FC3" s="1113" t="str">
        <f ca="1">OFFSET('New Resources - Individual'!$A$1,3,FB2-1)</f>
        <v/>
      </c>
      <c r="FG3" s="1109"/>
      <c r="FH3" s="1112"/>
      <c r="FK3" s="1113" t="str">
        <f ca="1">OFFSET('New Resources - Individual'!$A$1,3,FJ2-1)</f>
        <v/>
      </c>
      <c r="FO3" s="1109"/>
    </row>
    <row r="4" spans="1:171" ht="16.5" thickBot="1">
      <c r="A4" s="180"/>
      <c r="B4" s="2"/>
      <c r="C4" s="3"/>
      <c r="D4" s="3"/>
      <c r="E4" s="4"/>
      <c r="F4" s="865"/>
      <c r="G4" s="865"/>
      <c r="H4" s="865"/>
      <c r="I4" s="865"/>
      <c r="J4" s="865"/>
      <c r="K4" s="903"/>
      <c r="M4" s="1112"/>
      <c r="N4" s="1115" t="s">
        <v>670</v>
      </c>
      <c r="O4" s="1112" t="s">
        <v>104</v>
      </c>
      <c r="P4" s="1112" t="s">
        <v>105</v>
      </c>
      <c r="Q4" s="1112" t="s">
        <v>106</v>
      </c>
      <c r="R4" s="1112" t="s">
        <v>516</v>
      </c>
      <c r="S4" s="1109"/>
      <c r="U4" s="1112"/>
      <c r="V4" s="1112" t="s">
        <v>670</v>
      </c>
      <c r="W4" s="1112" t="s">
        <v>104</v>
      </c>
      <c r="X4" s="1112" t="s">
        <v>105</v>
      </c>
      <c r="Y4" s="1112" t="s">
        <v>106</v>
      </c>
      <c r="Z4" s="1112" t="s">
        <v>516</v>
      </c>
      <c r="AA4" s="1109"/>
      <c r="AC4" s="1112"/>
      <c r="AD4" s="1112" t="s">
        <v>670</v>
      </c>
      <c r="AE4" s="1112" t="s">
        <v>104</v>
      </c>
      <c r="AF4" s="1112" t="s">
        <v>105</v>
      </c>
      <c r="AG4" s="1112" t="s">
        <v>106</v>
      </c>
      <c r="AH4" s="1112" t="s">
        <v>516</v>
      </c>
      <c r="AI4" s="1109"/>
      <c r="AK4" s="1112"/>
      <c r="AL4" s="1112" t="s">
        <v>670</v>
      </c>
      <c r="AM4" s="1112" t="s">
        <v>104</v>
      </c>
      <c r="AN4" s="1112" t="s">
        <v>105</v>
      </c>
      <c r="AO4" s="1112" t="s">
        <v>106</v>
      </c>
      <c r="AP4" s="1112" t="s">
        <v>516</v>
      </c>
      <c r="AQ4" s="1109"/>
      <c r="AS4" s="1112"/>
      <c r="AT4" s="1112" t="s">
        <v>670</v>
      </c>
      <c r="AU4" s="1112" t="s">
        <v>104</v>
      </c>
      <c r="AV4" s="1112" t="s">
        <v>105</v>
      </c>
      <c r="AW4" s="1112" t="s">
        <v>106</v>
      </c>
      <c r="AX4" s="1112" t="s">
        <v>516</v>
      </c>
      <c r="AY4" s="1109"/>
      <c r="BA4" s="1112"/>
      <c r="BB4" s="1112" t="s">
        <v>670</v>
      </c>
      <c r="BC4" s="1112" t="s">
        <v>104</v>
      </c>
      <c r="BD4" s="1112" t="s">
        <v>105</v>
      </c>
      <c r="BE4" s="1112" t="s">
        <v>106</v>
      </c>
      <c r="BF4" s="1112" t="s">
        <v>516</v>
      </c>
      <c r="BG4" s="1109"/>
      <c r="BI4" s="1112"/>
      <c r="BJ4" s="1112" t="s">
        <v>670</v>
      </c>
      <c r="BK4" s="1112" t="s">
        <v>104</v>
      </c>
      <c r="BL4" s="1112" t="s">
        <v>105</v>
      </c>
      <c r="BM4" s="1112" t="s">
        <v>106</v>
      </c>
      <c r="BN4" s="1112" t="s">
        <v>516</v>
      </c>
      <c r="BO4" s="1109"/>
      <c r="BQ4" s="1112"/>
      <c r="BR4" s="1112" t="s">
        <v>670</v>
      </c>
      <c r="BS4" s="1112" t="s">
        <v>104</v>
      </c>
      <c r="BT4" s="1112" t="s">
        <v>105</v>
      </c>
      <c r="BU4" s="1112" t="s">
        <v>106</v>
      </c>
      <c r="BV4" s="1112" t="s">
        <v>516</v>
      </c>
      <c r="BW4" s="1109"/>
      <c r="BY4" s="1112"/>
      <c r="BZ4" s="1112" t="s">
        <v>670</v>
      </c>
      <c r="CA4" s="1112" t="s">
        <v>104</v>
      </c>
      <c r="CB4" s="1112" t="s">
        <v>105</v>
      </c>
      <c r="CC4" s="1112" t="s">
        <v>106</v>
      </c>
      <c r="CD4" s="1112" t="s">
        <v>516</v>
      </c>
      <c r="CE4" s="1109"/>
      <c r="CG4" s="1112"/>
      <c r="CH4" s="1112" t="s">
        <v>670</v>
      </c>
      <c r="CI4" s="1112" t="s">
        <v>104</v>
      </c>
      <c r="CJ4" s="1112" t="s">
        <v>105</v>
      </c>
      <c r="CK4" s="1112" t="s">
        <v>106</v>
      </c>
      <c r="CL4" s="1112" t="s">
        <v>516</v>
      </c>
      <c r="CM4" s="1109"/>
      <c r="CO4" s="1112"/>
      <c r="CP4" s="1112" t="s">
        <v>670</v>
      </c>
      <c r="CQ4" s="1112" t="s">
        <v>104</v>
      </c>
      <c r="CR4" s="1112" t="s">
        <v>105</v>
      </c>
      <c r="CS4" s="1112" t="s">
        <v>106</v>
      </c>
      <c r="CT4" s="1112" t="s">
        <v>516</v>
      </c>
      <c r="CU4" s="1109"/>
      <c r="CW4" s="1112"/>
      <c r="CX4" s="1112" t="s">
        <v>670</v>
      </c>
      <c r="CY4" s="1112" t="s">
        <v>104</v>
      </c>
      <c r="CZ4" s="1112" t="s">
        <v>105</v>
      </c>
      <c r="DA4" s="1112" t="s">
        <v>106</v>
      </c>
      <c r="DB4" s="1112" t="s">
        <v>516</v>
      </c>
      <c r="DC4" s="1109"/>
      <c r="DE4" s="1112"/>
      <c r="DF4" s="1112" t="s">
        <v>670</v>
      </c>
      <c r="DG4" s="1112" t="s">
        <v>104</v>
      </c>
      <c r="DH4" s="1112" t="s">
        <v>105</v>
      </c>
      <c r="DI4" s="1112" t="s">
        <v>106</v>
      </c>
      <c r="DJ4" s="1112" t="s">
        <v>516</v>
      </c>
      <c r="DK4" s="1109"/>
      <c r="DM4" s="1112"/>
      <c r="DN4" s="1112" t="s">
        <v>670</v>
      </c>
      <c r="DO4" s="1112" t="s">
        <v>104</v>
      </c>
      <c r="DP4" s="1112" t="s">
        <v>105</v>
      </c>
      <c r="DQ4" s="1112" t="s">
        <v>106</v>
      </c>
      <c r="DR4" s="1112" t="s">
        <v>516</v>
      </c>
      <c r="DS4" s="1109"/>
      <c r="DU4" s="1112"/>
      <c r="DV4" s="1112" t="s">
        <v>670</v>
      </c>
      <c r="DW4" s="1112" t="s">
        <v>104</v>
      </c>
      <c r="DX4" s="1112" t="s">
        <v>105</v>
      </c>
      <c r="DY4" s="1112" t="s">
        <v>106</v>
      </c>
      <c r="DZ4" s="1112" t="s">
        <v>516</v>
      </c>
      <c r="EA4" s="1109"/>
      <c r="EC4" s="1112"/>
      <c r="ED4" s="1112" t="s">
        <v>670</v>
      </c>
      <c r="EE4" s="1112" t="s">
        <v>104</v>
      </c>
      <c r="EF4" s="1112" t="s">
        <v>105</v>
      </c>
      <c r="EG4" s="1112" t="s">
        <v>106</v>
      </c>
      <c r="EH4" s="1112" t="s">
        <v>516</v>
      </c>
      <c r="EI4" s="1109"/>
      <c r="EK4" s="1112"/>
      <c r="EL4" s="1112" t="s">
        <v>670</v>
      </c>
      <c r="EM4" s="1112" t="s">
        <v>104</v>
      </c>
      <c r="EN4" s="1112" t="s">
        <v>105</v>
      </c>
      <c r="EO4" s="1112" t="s">
        <v>106</v>
      </c>
      <c r="EP4" s="1112" t="s">
        <v>516</v>
      </c>
      <c r="EQ4" s="1109"/>
      <c r="ES4" s="1112"/>
      <c r="ET4" s="1112" t="s">
        <v>670</v>
      </c>
      <c r="EU4" s="1112" t="s">
        <v>104</v>
      </c>
      <c r="EV4" s="1112" t="s">
        <v>105</v>
      </c>
      <c r="EW4" s="1112" t="s">
        <v>106</v>
      </c>
      <c r="EX4" s="1112" t="s">
        <v>516</v>
      </c>
      <c r="EY4" s="1109"/>
      <c r="FA4" s="1112"/>
      <c r="FB4" s="1112" t="s">
        <v>670</v>
      </c>
      <c r="FC4" s="1112" t="s">
        <v>104</v>
      </c>
      <c r="FD4" s="1112" t="s">
        <v>105</v>
      </c>
      <c r="FE4" s="1112" t="s">
        <v>106</v>
      </c>
      <c r="FF4" s="1112" t="s">
        <v>516</v>
      </c>
      <c r="FG4" s="1109"/>
      <c r="FI4" s="1112"/>
      <c r="FJ4" s="1112" t="s">
        <v>670</v>
      </c>
      <c r="FK4" s="1112" t="s">
        <v>104</v>
      </c>
      <c r="FL4" s="1112" t="s">
        <v>105</v>
      </c>
      <c r="FM4" s="1112" t="s">
        <v>106</v>
      </c>
      <c r="FN4" s="1112" t="s">
        <v>516</v>
      </c>
      <c r="FO4" s="1109"/>
    </row>
    <row r="5" spans="1:171">
      <c r="A5" s="1236" t="s">
        <v>699</v>
      </c>
      <c r="B5" s="502" t="s">
        <v>576</v>
      </c>
      <c r="C5" s="868" t="str">
        <f>'Sch 1- Rate Base '!E5</f>
        <v>Utility Name</v>
      </c>
      <c r="D5" s="869"/>
      <c r="E5" s="870"/>
      <c r="F5" s="865"/>
      <c r="G5" s="871"/>
      <c r="H5" s="871"/>
      <c r="I5" s="871"/>
      <c r="J5" s="871"/>
      <c r="K5" s="903"/>
      <c r="S5" s="1109"/>
      <c r="AA5" s="1109"/>
      <c r="AI5" s="1109"/>
      <c r="AQ5" s="1109"/>
      <c r="AY5" s="1109"/>
      <c r="BG5" s="1109"/>
      <c r="BO5" s="1109"/>
      <c r="BW5" s="1109"/>
      <c r="CE5" s="1109"/>
      <c r="CM5" s="1109"/>
      <c r="CU5" s="1109"/>
      <c r="DC5" s="1109"/>
      <c r="DK5" s="1109"/>
      <c r="DS5" s="1109"/>
      <c r="EA5" s="1109"/>
      <c r="EI5" s="1109"/>
      <c r="EQ5" s="1109"/>
      <c r="EY5" s="1109"/>
      <c r="FG5" s="1109"/>
      <c r="FO5" s="1109"/>
    </row>
    <row r="6" spans="1:171">
      <c r="A6" s="1231" t="s">
        <v>700</v>
      </c>
      <c r="B6" s="502" t="s">
        <v>578</v>
      </c>
      <c r="C6" s="872">
        <f>'Sch 1- Rate Base '!E6</f>
        <v>2023</v>
      </c>
      <c r="D6" s="873"/>
      <c r="E6" s="874"/>
      <c r="F6" s="865"/>
      <c r="G6" s="871"/>
      <c r="H6" s="871"/>
      <c r="I6" s="871"/>
      <c r="J6" s="871"/>
      <c r="K6" s="903"/>
      <c r="S6" s="1109"/>
      <c r="AA6" s="1109"/>
      <c r="AI6" s="1109"/>
      <c r="AQ6" s="1109"/>
      <c r="AY6" s="1109"/>
      <c r="BG6" s="1109"/>
      <c r="BO6" s="1109"/>
      <c r="BW6" s="1109"/>
      <c r="CE6" s="1109"/>
      <c r="CM6" s="1109"/>
      <c r="CU6" s="1109"/>
      <c r="DC6" s="1109"/>
      <c r="DK6" s="1109"/>
      <c r="DS6" s="1109"/>
      <c r="EA6" s="1109"/>
      <c r="EI6" s="1109"/>
      <c r="EQ6" s="1109"/>
      <c r="EY6" s="1109"/>
      <c r="FG6" s="1109"/>
      <c r="FO6" s="1109"/>
    </row>
    <row r="7" spans="1:171" ht="16.5" thickBot="1">
      <c r="A7" s="865"/>
      <c r="B7" s="502" t="s">
        <v>579</v>
      </c>
      <c r="C7" s="875">
        <f>'Sch 1- Rate Base '!E7</f>
        <v>45446</v>
      </c>
      <c r="D7" s="876"/>
      <c r="E7" s="877"/>
      <c r="F7" s="865"/>
      <c r="G7" s="871"/>
      <c r="H7" s="871"/>
      <c r="I7" s="871"/>
      <c r="J7" s="871"/>
      <c r="K7" s="903"/>
      <c r="S7" s="1109"/>
      <c r="AA7" s="1109"/>
      <c r="AI7" s="1109"/>
      <c r="AQ7" s="1109"/>
      <c r="AY7" s="1109"/>
      <c r="BG7" s="1109"/>
      <c r="BO7" s="1109"/>
      <c r="BW7" s="1109"/>
      <c r="CE7" s="1109"/>
      <c r="CM7" s="1109"/>
      <c r="CU7" s="1109"/>
      <c r="DC7" s="1109"/>
      <c r="DK7" s="1109"/>
      <c r="DS7" s="1109"/>
      <c r="EA7" s="1109"/>
      <c r="EI7" s="1109"/>
      <c r="EQ7" s="1109"/>
      <c r="EY7" s="1109"/>
      <c r="FG7" s="1109"/>
      <c r="FO7" s="1109"/>
    </row>
    <row r="8" spans="1:171">
      <c r="A8" s="865"/>
      <c r="B8" s="2"/>
      <c r="C8" s="3"/>
      <c r="D8" s="3"/>
      <c r="E8" s="4"/>
      <c r="F8" s="865"/>
      <c r="G8" s="871"/>
      <c r="H8" s="871"/>
      <c r="I8" s="871"/>
      <c r="J8" s="871"/>
      <c r="K8" s="903"/>
      <c r="S8" s="1109"/>
      <c r="AA8" s="1109"/>
      <c r="AI8" s="1109"/>
      <c r="AQ8" s="1109"/>
      <c r="AY8" s="1109"/>
      <c r="BG8" s="1109"/>
      <c r="BO8" s="1109"/>
      <c r="BW8" s="1109"/>
      <c r="CE8" s="1109"/>
      <c r="CM8" s="1109"/>
      <c r="CU8" s="1109"/>
      <c r="DC8" s="1109"/>
      <c r="DK8" s="1109"/>
      <c r="DS8" s="1109"/>
      <c r="EA8" s="1109"/>
      <c r="EI8" s="1109"/>
      <c r="EQ8" s="1109"/>
      <c r="EY8" s="1109"/>
      <c r="FG8" s="1109"/>
      <c r="FO8" s="1109"/>
    </row>
    <row r="9" spans="1:171">
      <c r="A9" s="865">
        <v>1</v>
      </c>
      <c r="B9" s="865">
        <v>2</v>
      </c>
      <c r="C9" s="865">
        <v>3</v>
      </c>
      <c r="D9" s="865">
        <v>4</v>
      </c>
      <c r="E9" s="865">
        <v>5</v>
      </c>
      <c r="F9" s="865">
        <v>6</v>
      </c>
      <c r="G9" s="871"/>
      <c r="H9" s="871" t="s">
        <v>97</v>
      </c>
      <c r="I9" s="871"/>
      <c r="J9" s="871"/>
      <c r="K9" s="903"/>
      <c r="S9" s="1109"/>
      <c r="AA9" s="1109"/>
      <c r="AI9" s="1109"/>
      <c r="AQ9" s="1109"/>
      <c r="AY9" s="1109"/>
      <c r="BG9" s="1109"/>
      <c r="BO9" s="1109"/>
      <c r="BW9" s="1109"/>
      <c r="CE9" s="1109"/>
      <c r="CM9" s="1109"/>
      <c r="CU9" s="1109"/>
      <c r="DC9" s="1109"/>
      <c r="DK9" s="1109"/>
      <c r="DS9" s="1109"/>
      <c r="EA9" s="1109"/>
      <c r="EI9" s="1109"/>
      <c r="EQ9" s="1109"/>
      <c r="EY9" s="1109"/>
      <c r="FG9" s="1109"/>
      <c r="FO9" s="1109"/>
    </row>
    <row r="10" spans="1:171">
      <c r="A10" s="865"/>
      <c r="B10" s="865"/>
      <c r="C10" s="865"/>
      <c r="D10" s="865"/>
      <c r="E10" s="865"/>
      <c r="F10" s="865"/>
      <c r="G10" s="871"/>
      <c r="H10" s="871"/>
      <c r="I10" s="871"/>
      <c r="J10" s="871"/>
      <c r="K10" s="903"/>
      <c r="S10" s="1109"/>
      <c r="AA10" s="1109"/>
      <c r="AI10" s="1109"/>
      <c r="AQ10" s="1109"/>
      <c r="AY10" s="1109"/>
      <c r="BG10" s="1109"/>
      <c r="BO10" s="1109"/>
      <c r="BW10" s="1109"/>
      <c r="CE10" s="1109"/>
      <c r="CM10" s="1109"/>
      <c r="CU10" s="1109"/>
      <c r="DC10" s="1109"/>
      <c r="DK10" s="1109"/>
      <c r="DS10" s="1109"/>
      <c r="EA10" s="1109"/>
      <c r="EI10" s="1109"/>
      <c r="EQ10" s="1109"/>
      <c r="EY10" s="1109"/>
      <c r="FG10" s="1109"/>
      <c r="FO10" s="1109"/>
    </row>
    <row r="11" spans="1:171" ht="16.5" thickBot="1">
      <c r="A11" s="878" t="s">
        <v>325</v>
      </c>
      <c r="B11" s="879"/>
      <c r="C11" s="879"/>
      <c r="D11" s="879"/>
      <c r="E11" s="880"/>
      <c r="F11" s="880"/>
      <c r="G11" s="881"/>
      <c r="H11" s="881"/>
      <c r="I11" s="881"/>
      <c r="J11" s="881"/>
      <c r="K11" s="903"/>
      <c r="S11" s="1109"/>
      <c r="AA11" s="1109"/>
      <c r="AI11" s="1109"/>
      <c r="AQ11" s="1109"/>
      <c r="AY11" s="1109"/>
      <c r="BG11" s="1109"/>
      <c r="BO11" s="1109"/>
      <c r="BW11" s="1109"/>
      <c r="CE11" s="1109"/>
      <c r="CM11" s="1109"/>
      <c r="CU11" s="1109"/>
      <c r="DC11" s="1109"/>
      <c r="DK11" s="1109"/>
      <c r="DS11" s="1109"/>
      <c r="EA11" s="1109"/>
      <c r="EI11" s="1109"/>
      <c r="EQ11" s="1109"/>
      <c r="EY11" s="1109"/>
      <c r="FG11" s="1109"/>
      <c r="FO11" s="1109"/>
    </row>
    <row r="12" spans="1:171" ht="17.25" thickTop="1" thickBot="1">
      <c r="A12" s="1385"/>
      <c r="B12" s="2477" t="s">
        <v>100</v>
      </c>
      <c r="C12" s="325" t="s">
        <v>276</v>
      </c>
      <c r="D12" s="1386"/>
      <c r="E12" s="2480" t="s">
        <v>622</v>
      </c>
      <c r="F12" s="2481"/>
      <c r="G12" s="2482" t="s">
        <v>104</v>
      </c>
      <c r="H12" s="2484" t="s">
        <v>105</v>
      </c>
      <c r="I12" s="2460" t="s">
        <v>106</v>
      </c>
      <c r="J12" s="326"/>
      <c r="K12" s="903"/>
      <c r="S12" s="1109"/>
      <c r="AA12" s="1109"/>
      <c r="AI12" s="1109"/>
      <c r="AQ12" s="1109"/>
      <c r="AY12" s="1109"/>
      <c r="BG12" s="1109"/>
      <c r="BO12" s="1109"/>
      <c r="BW12" s="1109"/>
      <c r="CE12" s="1109"/>
      <c r="CM12" s="1109"/>
      <c r="CU12" s="1109"/>
      <c r="DC12" s="1109"/>
      <c r="DK12" s="1109"/>
      <c r="DS12" s="1109"/>
      <c r="EA12" s="1109"/>
      <c r="EI12" s="1109"/>
      <c r="EQ12" s="1109"/>
      <c r="EY12" s="1109"/>
      <c r="FG12" s="1109"/>
      <c r="FO12" s="1109"/>
    </row>
    <row r="13" spans="1:171" ht="24.75" customHeight="1" thickBot="1">
      <c r="A13" s="883"/>
      <c r="B13" s="2478"/>
      <c r="C13" s="308" t="s">
        <v>272</v>
      </c>
      <c r="D13" s="308" t="s">
        <v>96</v>
      </c>
      <c r="E13" s="2467"/>
      <c r="F13" s="2468"/>
      <c r="G13" s="2470"/>
      <c r="H13" s="2473"/>
      <c r="I13" s="2461"/>
      <c r="J13" s="310" t="s">
        <v>98</v>
      </c>
      <c r="K13" s="903"/>
      <c r="S13" s="1109"/>
      <c r="AA13" s="1109"/>
      <c r="AI13" s="1109"/>
      <c r="AQ13" s="1109"/>
      <c r="AY13" s="1109"/>
      <c r="BG13" s="1109"/>
      <c r="BO13" s="1109"/>
      <c r="BW13" s="1109"/>
      <c r="CE13" s="1109"/>
      <c r="CM13" s="1109"/>
      <c r="CU13" s="1109"/>
      <c r="DC13" s="1109"/>
      <c r="DK13" s="1109"/>
      <c r="DS13" s="1109"/>
      <c r="EA13" s="1109"/>
      <c r="EI13" s="1109"/>
      <c r="EQ13" s="1109"/>
      <c r="EY13" s="1109"/>
      <c r="FG13" s="1109"/>
      <c r="FO13" s="1109"/>
    </row>
    <row r="14" spans="1:171" ht="16.5" thickBot="1">
      <c r="A14" s="884"/>
      <c r="B14" s="2479"/>
      <c r="C14" s="323" t="s">
        <v>273</v>
      </c>
      <c r="D14" s="323" t="s">
        <v>252</v>
      </c>
      <c r="E14" s="323" t="s">
        <v>454</v>
      </c>
      <c r="F14" s="323" t="s">
        <v>623</v>
      </c>
      <c r="G14" s="2483"/>
      <c r="H14" s="2485"/>
      <c r="I14" s="2462"/>
      <c r="J14" s="314" t="s">
        <v>107</v>
      </c>
      <c r="K14" s="903"/>
      <c r="S14" s="1109"/>
      <c r="AA14" s="1109"/>
      <c r="AI14" s="1109"/>
      <c r="AQ14" s="1109"/>
      <c r="AY14" s="1109"/>
      <c r="BG14" s="1109"/>
      <c r="BO14" s="1109"/>
      <c r="BW14" s="1109"/>
      <c r="CE14" s="1109"/>
      <c r="CM14" s="1109"/>
      <c r="CU14" s="1109"/>
      <c r="DC14" s="1109"/>
      <c r="DK14" s="1109"/>
      <c r="DS14" s="1109"/>
      <c r="EA14" s="1109"/>
      <c r="EI14" s="1109"/>
      <c r="EQ14" s="1109"/>
      <c r="EY14" s="1109"/>
      <c r="FG14" s="1109"/>
      <c r="FO14" s="1109"/>
    </row>
    <row r="15" spans="1:171">
      <c r="A15" s="199" t="s">
        <v>477</v>
      </c>
      <c r="B15" s="157"/>
      <c r="C15" s="55"/>
      <c r="D15" s="55"/>
      <c r="E15" s="55"/>
      <c r="F15" s="55"/>
      <c r="G15" s="885"/>
      <c r="H15" s="885"/>
      <c r="I15" s="885"/>
      <c r="J15" s="936"/>
      <c r="K15" s="903"/>
      <c r="S15" s="1109"/>
      <c r="AA15" s="1109"/>
      <c r="AI15" s="1109"/>
      <c r="AQ15" s="1109"/>
      <c r="AY15" s="1109"/>
      <c r="BG15" s="1109"/>
      <c r="BO15" s="1109"/>
      <c r="BW15" s="1109"/>
      <c r="CE15" s="1109"/>
      <c r="CM15" s="1109"/>
      <c r="CU15" s="1109"/>
      <c r="DC15" s="1109"/>
      <c r="DK15" s="1109"/>
      <c r="DS15" s="1109"/>
      <c r="EA15" s="1109"/>
      <c r="EI15" s="1109"/>
      <c r="EQ15" s="1109"/>
      <c r="EY15" s="1109"/>
      <c r="FG15" s="1109"/>
      <c r="FO15" s="1109"/>
    </row>
    <row r="16" spans="1:171">
      <c r="A16" s="886"/>
      <c r="B16" s="220" t="s">
        <v>145</v>
      </c>
      <c r="C16" s="887" t="s">
        <v>70</v>
      </c>
      <c r="D16" s="888">
        <v>301</v>
      </c>
      <c r="E16" s="904" t="str">
        <f>'Sch 1- Rate Base '!E16</f>
        <v>DIST</v>
      </c>
      <c r="F16" s="889"/>
      <c r="G16" s="890">
        <f>'Sch 1- Rate Base '!G16</f>
        <v>0</v>
      </c>
      <c r="H16" s="890">
        <f>'Sch 1- Rate Base '!H16</f>
        <v>0</v>
      </c>
      <c r="I16" s="890">
        <f>'Sch 1- Rate Base '!I16</f>
        <v>0</v>
      </c>
      <c r="J16" s="1387">
        <f>'Sch 1- Rate Base '!J16</f>
        <v>0</v>
      </c>
      <c r="K16" s="903">
        <f>IF($E16="DIRECT",0,1)</f>
        <v>1</v>
      </c>
      <c r="O16" s="1116">
        <f>$G16</f>
        <v>0</v>
      </c>
      <c r="P16" s="1117">
        <f>VLOOKUP($E16,O$442:R$453,2,FALSE)*O16*($K16)+IF($G16&gt;0,($H16/$G16)*O16,0)*(1-$K16)</f>
        <v>0</v>
      </c>
      <c r="Q16" s="1117">
        <f>VLOOKUP($E16,O$442:R$453,3,FALSE)*O16*($K16)+IF($G16&gt;0,($I16/$G16)*O16,0)*(1-$K16)</f>
        <v>0</v>
      </c>
      <c r="R16" s="1117">
        <f>VLOOKUP($E16,O$442:R$453,4,FALSE)*O16*($K16)+(O16-P16-Q16)*(1-$K16)</f>
        <v>0</v>
      </c>
      <c r="S16" s="1118"/>
      <c r="W16" s="1116">
        <f>$G16</f>
        <v>0</v>
      </c>
      <c r="X16" s="1117">
        <f>VLOOKUP($E16,W$442:Z$453,2,FALSE)*W16*($K16)+IF($G16&gt;0,($H16/$G16)*W16,0)*(1-$K16)</f>
        <v>0</v>
      </c>
      <c r="Y16" s="1117">
        <f>VLOOKUP($E16,W$442:Z$453,3,FALSE)*W16*($K16)+IF($G16&gt;0,($I16/$G16)*W16,0)*(1-$K16)</f>
        <v>0</v>
      </c>
      <c r="Z16" s="1117">
        <f>VLOOKUP($E16,W$442:Z$453,4,FALSE)*W16*($K16)+(W16-X16-Y16)*(1-$K16)</f>
        <v>0</v>
      </c>
      <c r="AA16" s="1118">
        <v>1</v>
      </c>
      <c r="AE16" s="1116">
        <f>$G16</f>
        <v>0</v>
      </c>
      <c r="AF16" s="1117">
        <f>VLOOKUP($E16,AE$442:AH$453,2,FALSE)*AE16*($K16)+IF($G16&gt;0,($H16/$G16)*AE16,0)*(1-$K16)</f>
        <v>0</v>
      </c>
      <c r="AG16" s="1117">
        <f>VLOOKUP($E16,AE$442:AH$453,3,FALSE)*AE16*($K16)+IF($G16&gt;0,($I16/$G16)*AE16,0)*(1-$K16)</f>
        <v>0</v>
      </c>
      <c r="AH16" s="1117">
        <f>VLOOKUP($E16,AE$442:AH$453,4,FALSE)*AE16*($K16)+(AE16-AF16-AG16)*(1-$K16)</f>
        <v>0</v>
      </c>
      <c r="AI16" s="1118"/>
      <c r="AM16" s="1116">
        <f>$G16</f>
        <v>0</v>
      </c>
      <c r="AN16" s="1117">
        <f>VLOOKUP($E16,AM$442:AP$453,2,FALSE)*AM16*($K16)+IF($G16&gt;0,($H16/$G16)*AM16,0)*(1-$K16)</f>
        <v>0</v>
      </c>
      <c r="AO16" s="1117">
        <f>VLOOKUP($E16,AM$442:AP$453,3,FALSE)*AM16*($K16)+IF($G16&gt;0,($I16/$G16)*AM16,0)*(1-$K16)</f>
        <v>0</v>
      </c>
      <c r="AP16" s="1117">
        <f>VLOOKUP($E16,AM$442:AP$453,4,FALSE)*AM16*($K16)+(AM16-AN16-AO16)*(1-$K16)</f>
        <v>0</v>
      </c>
      <c r="AQ16" s="1118"/>
      <c r="AU16" s="1116">
        <f>$G16</f>
        <v>0</v>
      </c>
      <c r="AV16" s="1117">
        <f>VLOOKUP($E16,AU$442:AX$453,2,FALSE)*AU16*($K16)+IF($G16&gt;0,($H16/$G16)*AU16,0)*(1-$K16)</f>
        <v>0</v>
      </c>
      <c r="AW16" s="1117">
        <f>VLOOKUP($E16,AU$442:AX$453,3,FALSE)*AU16*($K16)+IF($G16&gt;0,($I16/$G16)*AU16,0)*(1-$K16)</f>
        <v>0</v>
      </c>
      <c r="AX16" s="1117">
        <f>VLOOKUP($E16,AU$442:AX$453,4,FALSE)*AU16*($K16)+(AU16-AV16-AW16)*(1-$K16)</f>
        <v>0</v>
      </c>
      <c r="AY16" s="1118"/>
      <c r="BC16" s="1116">
        <f>$G16</f>
        <v>0</v>
      </c>
      <c r="BD16" s="1117">
        <f>VLOOKUP($E16,BC$442:BF$453,2,FALSE)*BC16*($K16)+IF($G16&gt;0,($H16/$G16)*BC16,0)*(1-$K16)</f>
        <v>0</v>
      </c>
      <c r="BE16" s="1117">
        <f>VLOOKUP($E16,BC$442:BF$453,3,FALSE)*BC16*($K16)+IF($G16&gt;0,($I16/$G16)*BC16,0)*(1-$K16)</f>
        <v>0</v>
      </c>
      <c r="BF16" s="1117">
        <f>VLOOKUP($E16,BC$442:BF$453,4,FALSE)*BC16*($K16)+(BC16-BD16-BE16)*(1-$K16)</f>
        <v>0</v>
      </c>
      <c r="BG16" s="1118"/>
      <c r="BK16" s="1116">
        <f>$G16</f>
        <v>0</v>
      </c>
      <c r="BL16" s="1117">
        <f>VLOOKUP($E16,BK$442:BN$453,2,FALSE)*BK16*($K16)+IF($G16&gt;0,($H16/$G16)*BK16,0)*(1-$K16)</f>
        <v>0</v>
      </c>
      <c r="BM16" s="1117">
        <f>VLOOKUP($E16,BK$442:BN$453,3,FALSE)*BK16*($K16)+IF($G16&gt;0,($I16/$G16)*BK16,0)*(1-$K16)</f>
        <v>0</v>
      </c>
      <c r="BN16" s="1117">
        <f>VLOOKUP($E16,BK$442:BN$453,4,FALSE)*BK16*($K16)+(BK16-BL16-BM16)*(1-$K16)</f>
        <v>0</v>
      </c>
      <c r="BO16" s="1118"/>
      <c r="BS16" s="1116">
        <f>$G16</f>
        <v>0</v>
      </c>
      <c r="BT16" s="1117">
        <f>VLOOKUP($E16,BS$442:BV$453,2,FALSE)*BS16*($K16)+IF($G16&gt;0,($H16/$G16)*BS16,0)*(1-$K16)</f>
        <v>0</v>
      </c>
      <c r="BU16" s="1117">
        <f>VLOOKUP($E16,BS$442:BV$453,3,FALSE)*BS16*($K16)+IF($G16&gt;0,($I16/$G16)*BS16,0)*(1-$K16)</f>
        <v>0</v>
      </c>
      <c r="BV16" s="1117">
        <f>VLOOKUP($E16,BS$442:BV$453,4,FALSE)*BS16*($K16)+(BS16-BT16-BU16)*(1-$K16)</f>
        <v>0</v>
      </c>
      <c r="BW16" s="1118"/>
      <c r="CA16" s="1116">
        <f>$G16</f>
        <v>0</v>
      </c>
      <c r="CB16" s="1117">
        <f>VLOOKUP($E16,CA$442:CD$453,2,FALSE)*CA16*($K16)+IF($G16&gt;0,($H16/$G16)*CA16,0)*(1-$K16)</f>
        <v>0</v>
      </c>
      <c r="CC16" s="1117">
        <f>VLOOKUP($E16,CA$442:CD$453,3,FALSE)*CA16*($K16)+IF($G16&gt;0,($I16/$G16)*CA16,0)*(1-$K16)</f>
        <v>0</v>
      </c>
      <c r="CD16" s="1117">
        <f>VLOOKUP($E16,CA$442:CD$453,4,FALSE)*CA16*($K16)+(CA16-CB16-CC16)*(1-$K16)</f>
        <v>0</v>
      </c>
      <c r="CE16" s="1118"/>
      <c r="CI16" s="1116">
        <f>$G16</f>
        <v>0</v>
      </c>
      <c r="CJ16" s="1117">
        <f>VLOOKUP($E16,CI$442:CL$453,2,FALSE)*CI16*($K16)+IF($G16&gt;0,($H16/$G16)*CI16,0)*(1-$K16)</f>
        <v>0</v>
      </c>
      <c r="CK16" s="1117">
        <f>VLOOKUP($E16,CI$442:CL$453,3,FALSE)*CI16*($K16)+IF($G16&gt;0,($I16/$G16)*CI16,0)*(1-$K16)</f>
        <v>0</v>
      </c>
      <c r="CL16" s="1117">
        <f>VLOOKUP($E16,CI$442:CL$453,4,FALSE)*CI16*($K16)+(CI16-CJ16-CK16)*(1-$K16)</f>
        <v>0</v>
      </c>
      <c r="CM16" s="1118"/>
      <c r="CQ16" s="1116">
        <f>$G16</f>
        <v>0</v>
      </c>
      <c r="CR16" s="1117">
        <f>VLOOKUP($E16,CQ$442:CT$453,2,FALSE)*CQ16*($K16)+IF($G16&gt;0,($H16/$G16)*CQ16,0)*(1-$K16)</f>
        <v>0</v>
      </c>
      <c r="CS16" s="1117">
        <f>VLOOKUP($E16,CQ$442:CT$453,3,FALSE)*CQ16*($K16)+IF($G16&gt;0,($I16/$G16)*CQ16,0)*(1-$K16)</f>
        <v>0</v>
      </c>
      <c r="CT16" s="1117">
        <f>VLOOKUP($E16,CQ$442:CT$453,4,FALSE)*CQ16*($K16)+(CQ16-CR16-CS16)*(1-$K16)</f>
        <v>0</v>
      </c>
      <c r="CU16" s="1118"/>
      <c r="CY16" s="1116">
        <f>$G16</f>
        <v>0</v>
      </c>
      <c r="CZ16" s="1117">
        <f>VLOOKUP($E16,CY$442:DB$453,2,FALSE)*CY16*($K16)+IF($G16&gt;0,($H16/$G16)*CY16,0)*(1-$K16)</f>
        <v>0</v>
      </c>
      <c r="DA16" s="1117">
        <f>VLOOKUP($E16,CY$442:DB$453,3,FALSE)*CY16*($K16)+IF($G16&gt;0,($I16/$G16)*CY16,0)*(1-$K16)</f>
        <v>0</v>
      </c>
      <c r="DB16" s="1117">
        <f>VLOOKUP($E16,CY$442:DB$453,4,FALSE)*CY16*($K16)+(CY16-CZ16-DA16)*(1-$K16)</f>
        <v>0</v>
      </c>
      <c r="DC16" s="1118"/>
      <c r="DG16" s="1116">
        <f>$G16</f>
        <v>0</v>
      </c>
      <c r="DH16" s="1117">
        <f>VLOOKUP($E16,DG$442:DJ$453,2,FALSE)*DG16*($K16)+IF($G16&gt;0,($H16/$G16)*DG16,0)*(1-$K16)</f>
        <v>0</v>
      </c>
      <c r="DI16" s="1117">
        <f>VLOOKUP($E16,DG$442:DJ$453,3,FALSE)*DG16*($K16)+IF($G16&gt;0,($I16/$G16)*DG16,0)*(1-$K16)</f>
        <v>0</v>
      </c>
      <c r="DJ16" s="1117">
        <f>VLOOKUP($E16,DG$442:DJ$453,4,FALSE)*DG16*($K16)+(DG16-DH16-DI16)*(1-$K16)</f>
        <v>0</v>
      </c>
      <c r="DK16" s="1118"/>
      <c r="DO16" s="1116">
        <f>$G16</f>
        <v>0</v>
      </c>
      <c r="DP16" s="1117">
        <f>VLOOKUP($E16,DO$442:DR$453,2,FALSE)*DO16*($K16)+IF($G16&gt;0,($H16/$G16)*DO16,0)*(1-$K16)</f>
        <v>0</v>
      </c>
      <c r="DQ16" s="1117">
        <f>VLOOKUP($E16,DO$442:DR$453,3,FALSE)*DO16*($K16)+IF($G16&gt;0,($I16/$G16)*DO16,0)*(1-$K16)</f>
        <v>0</v>
      </c>
      <c r="DR16" s="1117">
        <f>VLOOKUP($E16,DO$442:DR$453,4,FALSE)*DO16*($K16)+(DO16-DP16-DQ16)*(1-$K16)</f>
        <v>0</v>
      </c>
      <c r="DS16" s="1118"/>
      <c r="DW16" s="1116">
        <f>$G16</f>
        <v>0</v>
      </c>
      <c r="DX16" s="1117">
        <f>VLOOKUP($E16,DW$442:DZ$453,2,FALSE)*DW16*($K16)+IF($G16&gt;0,($H16/$G16)*DW16,0)*(1-$K16)</f>
        <v>0</v>
      </c>
      <c r="DY16" s="1117">
        <f>VLOOKUP($E16,DW$442:DZ$453,3,FALSE)*DW16*($K16)+IF($G16&gt;0,($I16/$G16)*DW16,0)*(1-$K16)</f>
        <v>0</v>
      </c>
      <c r="DZ16" s="1117">
        <f>VLOOKUP($E16,DW$442:DZ$453,4,FALSE)*DW16*($K16)+(DW16-DX16-DY16)*(1-$K16)</f>
        <v>0</v>
      </c>
      <c r="EA16" s="1118"/>
      <c r="EE16" s="1116">
        <f>$G16</f>
        <v>0</v>
      </c>
      <c r="EF16" s="1117">
        <f>VLOOKUP($E16,EE$442:EH$453,2,FALSE)*EE16*($K16)+IF($G16&gt;0,($H16/$G16)*EE16,0)*(1-$K16)</f>
        <v>0</v>
      </c>
      <c r="EG16" s="1117">
        <f>VLOOKUP($E16,EE$442:EH$453,3,FALSE)*EE16*($K16)+IF($G16&gt;0,($I16/$G16)*EE16,0)*(1-$K16)</f>
        <v>0</v>
      </c>
      <c r="EH16" s="1117">
        <f>VLOOKUP($E16,EE$442:EH$453,4,FALSE)*EE16*($K16)+(EE16-EF16-EG16)*(1-$K16)</f>
        <v>0</v>
      </c>
      <c r="EI16" s="1118"/>
      <c r="EM16" s="1116">
        <f>$G16</f>
        <v>0</v>
      </c>
      <c r="EN16" s="1117">
        <f>VLOOKUP($E16,EM$442:EP$453,2,FALSE)*EM16*($K16)+IF($G16&gt;0,($H16/$G16)*EM16,0)*(1-$K16)</f>
        <v>0</v>
      </c>
      <c r="EO16" s="1117">
        <f>VLOOKUP($E16,EM$442:EP$453,3,FALSE)*EM16*($K16)+IF($G16&gt;0,($I16/$G16)*EM16,0)*(1-$K16)</f>
        <v>0</v>
      </c>
      <c r="EP16" s="1117">
        <f>VLOOKUP($E16,EM$442:EP$453,4,FALSE)*EM16*($K16)+(EM16-EN16-EO16)*(1-$K16)</f>
        <v>0</v>
      </c>
      <c r="EQ16" s="1118"/>
      <c r="EU16" s="1116">
        <f>$G16</f>
        <v>0</v>
      </c>
      <c r="EV16" s="1117">
        <f>VLOOKUP($E16,EU$442:EX$453,2,FALSE)*EU16*($K16)+IF($G16&gt;0,($H16/$G16)*EU16,0)*(1-$K16)</f>
        <v>0</v>
      </c>
      <c r="EW16" s="1117">
        <f>VLOOKUP($E16,EU$442:EX$453,3,FALSE)*EU16*($K16)+IF($G16&gt;0,($I16/$G16)*EU16,0)*(1-$K16)</f>
        <v>0</v>
      </c>
      <c r="EX16" s="1117">
        <f>VLOOKUP($E16,EU$442:EX$453,4,FALSE)*EU16*($K16)+(EU16-EV16-EW16)*(1-$K16)</f>
        <v>0</v>
      </c>
      <c r="EY16" s="1118"/>
      <c r="FC16" s="1116">
        <f>$G16</f>
        <v>0</v>
      </c>
      <c r="FD16" s="1117">
        <f>VLOOKUP($E16,FC$442:FF$453,2,FALSE)*FC16*($K16)+IF($G16&gt;0,($H16/$G16)*FC16,0)*(1-$K16)</f>
        <v>0</v>
      </c>
      <c r="FE16" s="1117">
        <f>VLOOKUP($E16,FC$442:FF$453,3,FALSE)*FC16*($K16)+IF($G16&gt;0,($I16/$G16)*FC16,0)*(1-$K16)</f>
        <v>0</v>
      </c>
      <c r="FF16" s="1117">
        <f>VLOOKUP($E16,FC$442:FF$453,4,FALSE)*FC16*($K16)+(FC16-FD16-FE16)*(1-$K16)</f>
        <v>0</v>
      </c>
      <c r="FG16" s="1118"/>
      <c r="FK16" s="1116">
        <f>$G16</f>
        <v>0</v>
      </c>
      <c r="FL16" s="1117">
        <f>VLOOKUP($E16,FK$442:FN$453,2,FALSE)*FK16*($K16)+IF($G16&gt;0,($H16/$G16)*FK16,0)*(1-$K16)</f>
        <v>0</v>
      </c>
      <c r="FM16" s="1117">
        <f>VLOOKUP($E16,FK$442:FN$453,3,FALSE)*FK16*($K16)+IF($G16&gt;0,($I16/$G16)*FK16,0)*(1-$K16)</f>
        <v>0</v>
      </c>
      <c r="FN16" s="1117">
        <f>VLOOKUP($E16,FK$442:FN$453,4,FALSE)*FK16*($K16)+(FK16-FL16-FM16)*(1-$K16)</f>
        <v>0</v>
      </c>
      <c r="FO16" s="1118"/>
    </row>
    <row r="17" spans="1:171">
      <c r="A17" s="886"/>
      <c r="B17" s="220" t="s">
        <v>146</v>
      </c>
      <c r="C17" s="887" t="s">
        <v>70</v>
      </c>
      <c r="D17" s="888">
        <v>302</v>
      </c>
      <c r="E17" s="904" t="str">
        <f>'Sch 1- Rate Base '!E17</f>
        <v>DIRECT</v>
      </c>
      <c r="F17" s="889"/>
      <c r="G17" s="890">
        <f>'Sch 1- Rate Base '!G17</f>
        <v>46804271</v>
      </c>
      <c r="H17" s="890">
        <f>'Sch 1- Rate Base '!H17</f>
        <v>42107007.580000006</v>
      </c>
      <c r="I17" s="890">
        <f>'Sch 1- Rate Base '!I17</f>
        <v>0</v>
      </c>
      <c r="J17" s="1387">
        <f>'Sch 1- Rate Base '!J17</f>
        <v>4697263.32</v>
      </c>
      <c r="K17" s="903">
        <f>IF($E17="DIRECT",0,1)</f>
        <v>0</v>
      </c>
      <c r="O17" s="1116">
        <f>$G17</f>
        <v>46804271</v>
      </c>
      <c r="P17" s="1117">
        <f>VLOOKUP($E17,O$442:R$453,2,FALSE)*O17*($K17)+IF($G17&gt;0,($H17/$G17)*O17,0)*(1-$K17)</f>
        <v>42107007.580000006</v>
      </c>
      <c r="Q17" s="1117">
        <f>VLOOKUP($E17,O$442:R$453,3,FALSE)*O17*($K17)+IF($G17&gt;0,($I17/$G17)*O17,0)*(1-$K17)</f>
        <v>0</v>
      </c>
      <c r="R17" s="1117">
        <f>VLOOKUP($E17,O$442:R$453,4,FALSE)*O17*($K17)+(O17-P17-Q17)*(1-$K17)</f>
        <v>4697263.4199999943</v>
      </c>
      <c r="S17" s="1118"/>
      <c r="W17" s="1116">
        <f>$G17</f>
        <v>46804271</v>
      </c>
      <c r="X17" s="1117">
        <f>VLOOKUP($E17,W$442:Z$453,2,FALSE)*W17*($K17)+IF($G17&gt;0,($H17/$G17)*W17,0)*(1-$K17)</f>
        <v>42107007.580000006</v>
      </c>
      <c r="Y17" s="1117">
        <f>VLOOKUP($E17,W$442:Z$453,3,FALSE)*W17*($K17)+IF($G17&gt;0,($I17/$G17)*W17,0)*(1-$K17)</f>
        <v>0</v>
      </c>
      <c r="Z17" s="1117">
        <f>VLOOKUP($E17,W$442:Z$453,4,FALSE)*W17*($K17)+(W17-X17-Y17)*(1-$K17)</f>
        <v>4697263.4199999943</v>
      </c>
      <c r="AA17" s="1118">
        <v>0</v>
      </c>
      <c r="AE17" s="1116">
        <f>$G17</f>
        <v>46804271</v>
      </c>
      <c r="AF17" s="1117">
        <f>VLOOKUP($E17,AE$442:AH$453,2,FALSE)*AE17*($K17)+IF($G17&gt;0,($H17/$G17)*AE17,0)*(1-$K17)</f>
        <v>42107007.580000006</v>
      </c>
      <c r="AG17" s="1117">
        <f>VLOOKUP($E17,AE$442:AH$453,3,FALSE)*AE17*($K17)+IF($G17&gt;0,($I17/$G17)*AE17,0)*(1-$K17)</f>
        <v>0</v>
      </c>
      <c r="AH17" s="1117">
        <f>VLOOKUP($E17,AE$442:AH$453,4,FALSE)*AE17*($K17)+(AE17-AF17-AG17)*(1-$K17)</f>
        <v>4697263.4199999943</v>
      </c>
      <c r="AI17" s="1118"/>
      <c r="AM17" s="1116">
        <f>$G17</f>
        <v>46804271</v>
      </c>
      <c r="AN17" s="1117">
        <f>VLOOKUP($E17,AM$442:AP$453,2,FALSE)*AM17*($K17)+IF($G17&gt;0,($H17/$G17)*AM17,0)*(1-$K17)</f>
        <v>42107007.580000006</v>
      </c>
      <c r="AO17" s="1117">
        <f>VLOOKUP($E17,AM$442:AP$453,3,FALSE)*AM17*($K17)+IF($G17&gt;0,($I17/$G17)*AM17,0)*(1-$K17)</f>
        <v>0</v>
      </c>
      <c r="AP17" s="1117">
        <f>VLOOKUP($E17,AM$442:AP$453,4,FALSE)*AM17*($K17)+(AM17-AN17-AO17)*(1-$K17)</f>
        <v>4697263.4199999943</v>
      </c>
      <c r="AQ17" s="1118"/>
      <c r="AU17" s="1116">
        <f>$G17</f>
        <v>46804271</v>
      </c>
      <c r="AV17" s="1117">
        <f>VLOOKUP($E17,AU$442:AX$453,2,FALSE)*AU17*($K17)+IF($G17&gt;0,($H17/$G17)*AU17,0)*(1-$K17)</f>
        <v>42107007.580000006</v>
      </c>
      <c r="AW17" s="1117">
        <f>VLOOKUP($E17,AU$442:AX$453,3,FALSE)*AU17*($K17)+IF($G17&gt;0,($I17/$G17)*AU17,0)*(1-$K17)</f>
        <v>0</v>
      </c>
      <c r="AX17" s="1117">
        <f>VLOOKUP($E17,AU$442:AX$453,4,FALSE)*AU17*($K17)+(AU17-AV17-AW17)*(1-$K17)</f>
        <v>4697263.4199999943</v>
      </c>
      <c r="AY17" s="1118"/>
      <c r="BC17" s="1116">
        <f>$G17</f>
        <v>46804271</v>
      </c>
      <c r="BD17" s="1117">
        <f>VLOOKUP($E17,BC$442:BF$453,2,FALSE)*BC17*($K17)+IF($G17&gt;0,($H17/$G17)*BC17,0)*(1-$K17)</f>
        <v>42107007.580000006</v>
      </c>
      <c r="BE17" s="1117">
        <f>VLOOKUP($E17,BC$442:BF$453,3,FALSE)*BC17*($K17)+IF($G17&gt;0,($I17/$G17)*BC17,0)*(1-$K17)</f>
        <v>0</v>
      </c>
      <c r="BF17" s="1117">
        <f>VLOOKUP($E17,BC$442:BF$453,4,FALSE)*BC17*($K17)+(BC17-BD17-BE17)*(1-$K17)</f>
        <v>4697263.4199999943</v>
      </c>
      <c r="BG17" s="1118"/>
      <c r="BK17" s="1116">
        <f>$G17</f>
        <v>46804271</v>
      </c>
      <c r="BL17" s="1117">
        <f>VLOOKUP($E17,BK$442:BN$453,2,FALSE)*BK17*($K17)+IF($G17&gt;0,($H17/$G17)*BK17,0)*(1-$K17)</f>
        <v>42107007.580000006</v>
      </c>
      <c r="BM17" s="1117">
        <f>VLOOKUP($E17,BK$442:BN$453,3,FALSE)*BK17*($K17)+IF($G17&gt;0,($I17/$G17)*BK17,0)*(1-$K17)</f>
        <v>0</v>
      </c>
      <c r="BN17" s="1117">
        <f>VLOOKUP($E17,BK$442:BN$453,4,FALSE)*BK17*($K17)+(BK17-BL17-BM17)*(1-$K17)</f>
        <v>4697263.4199999943</v>
      </c>
      <c r="BO17" s="1118"/>
      <c r="BS17" s="1116">
        <f>$G17</f>
        <v>46804271</v>
      </c>
      <c r="BT17" s="1117">
        <f>VLOOKUP($E17,BS$442:BV$453,2,FALSE)*BS17*($K17)+IF($G17&gt;0,($H17/$G17)*BS17,0)*(1-$K17)</f>
        <v>42107007.580000006</v>
      </c>
      <c r="BU17" s="1117">
        <f>VLOOKUP($E17,BS$442:BV$453,3,FALSE)*BS17*($K17)+IF($G17&gt;0,($I17/$G17)*BS17,0)*(1-$K17)</f>
        <v>0</v>
      </c>
      <c r="BV17" s="1117">
        <f>VLOOKUP($E17,BS$442:BV$453,4,FALSE)*BS17*($K17)+(BS17-BT17-BU17)*(1-$K17)</f>
        <v>4697263.4199999943</v>
      </c>
      <c r="BW17" s="1118"/>
      <c r="CA17" s="1116">
        <f>$G17</f>
        <v>46804271</v>
      </c>
      <c r="CB17" s="1117">
        <f>VLOOKUP($E17,CA$442:CD$453,2,FALSE)*CA17*($K17)+IF($G17&gt;0,($H17/$G17)*CA17,0)*(1-$K17)</f>
        <v>42107007.580000006</v>
      </c>
      <c r="CC17" s="1117">
        <f>VLOOKUP($E17,CA$442:CD$453,3,FALSE)*CA17*($K17)+IF($G17&gt;0,($I17/$G17)*CA17,0)*(1-$K17)</f>
        <v>0</v>
      </c>
      <c r="CD17" s="1117">
        <f>VLOOKUP($E17,CA$442:CD$453,4,FALSE)*CA17*($K17)+(CA17-CB17-CC17)*(1-$K17)</f>
        <v>4697263.4199999943</v>
      </c>
      <c r="CE17" s="1118"/>
      <c r="CI17" s="1116">
        <f>$G17</f>
        <v>46804271</v>
      </c>
      <c r="CJ17" s="1117">
        <f>VLOOKUP($E17,CI$442:CL$453,2,FALSE)*CI17*($K17)+IF($G17&gt;0,($H17/$G17)*CI17,0)*(1-$K17)</f>
        <v>42107007.580000006</v>
      </c>
      <c r="CK17" s="1117">
        <f>VLOOKUP($E17,CI$442:CL$453,3,FALSE)*CI17*($K17)+IF($G17&gt;0,($I17/$G17)*CI17,0)*(1-$K17)</f>
        <v>0</v>
      </c>
      <c r="CL17" s="1117">
        <f>VLOOKUP($E17,CI$442:CL$453,4,FALSE)*CI17*($K17)+(CI17-CJ17-CK17)*(1-$K17)</f>
        <v>4697263.4199999943</v>
      </c>
      <c r="CM17" s="1118"/>
      <c r="CQ17" s="1116">
        <f>$G17</f>
        <v>46804271</v>
      </c>
      <c r="CR17" s="1117">
        <f>VLOOKUP($E17,CQ$442:CT$453,2,FALSE)*CQ17*($K17)+IF($G17&gt;0,($H17/$G17)*CQ17,0)*(1-$K17)</f>
        <v>42107007.580000006</v>
      </c>
      <c r="CS17" s="1117">
        <f>VLOOKUP($E17,CQ$442:CT$453,3,FALSE)*CQ17*($K17)+IF($G17&gt;0,($I17/$G17)*CQ17,0)*(1-$K17)</f>
        <v>0</v>
      </c>
      <c r="CT17" s="1117">
        <f>VLOOKUP($E17,CQ$442:CT$453,4,FALSE)*CQ17*($K17)+(CQ17-CR17-CS17)*(1-$K17)</f>
        <v>4697263.4199999943</v>
      </c>
      <c r="CU17" s="1118"/>
      <c r="CY17" s="1116">
        <f>$G17</f>
        <v>46804271</v>
      </c>
      <c r="CZ17" s="1117">
        <f>VLOOKUP($E17,CY$442:DB$453,2,FALSE)*CY17*($K17)+IF($G17&gt;0,($H17/$G17)*CY17,0)*(1-$K17)</f>
        <v>42107007.580000006</v>
      </c>
      <c r="DA17" s="1117">
        <f>VLOOKUP($E17,CY$442:DB$453,3,FALSE)*CY17*($K17)+IF($G17&gt;0,($I17/$G17)*CY17,0)*(1-$K17)</f>
        <v>0</v>
      </c>
      <c r="DB17" s="1117">
        <f>VLOOKUP($E17,CY$442:DB$453,4,FALSE)*CY17*($K17)+(CY17-CZ17-DA17)*(1-$K17)</f>
        <v>4697263.4199999943</v>
      </c>
      <c r="DC17" s="1118"/>
      <c r="DG17" s="1116">
        <f>$G17</f>
        <v>46804271</v>
      </c>
      <c r="DH17" s="1117">
        <f>VLOOKUP($E17,DG$442:DJ$453,2,FALSE)*DG17*($K17)+IF($G17&gt;0,($H17/$G17)*DG17,0)*(1-$K17)</f>
        <v>42107007.580000006</v>
      </c>
      <c r="DI17" s="1117">
        <f>VLOOKUP($E17,DG$442:DJ$453,3,FALSE)*DG17*($K17)+IF($G17&gt;0,($I17/$G17)*DG17,0)*(1-$K17)</f>
        <v>0</v>
      </c>
      <c r="DJ17" s="1117">
        <f>VLOOKUP($E17,DG$442:DJ$453,4,FALSE)*DG17*($K17)+(DG17-DH17-DI17)*(1-$K17)</f>
        <v>4697263.4199999943</v>
      </c>
      <c r="DK17" s="1118"/>
      <c r="DO17" s="1116">
        <f>$G17</f>
        <v>46804271</v>
      </c>
      <c r="DP17" s="1117">
        <f>VLOOKUP($E17,DO$442:DR$453,2,FALSE)*DO17*($K17)+IF($G17&gt;0,($H17/$G17)*DO17,0)*(1-$K17)</f>
        <v>42107007.580000006</v>
      </c>
      <c r="DQ17" s="1117">
        <f>VLOOKUP($E17,DO$442:DR$453,3,FALSE)*DO17*($K17)+IF($G17&gt;0,($I17/$G17)*DO17,0)*(1-$K17)</f>
        <v>0</v>
      </c>
      <c r="DR17" s="1117">
        <f>VLOOKUP($E17,DO$442:DR$453,4,FALSE)*DO17*($K17)+(DO17-DP17-DQ17)*(1-$K17)</f>
        <v>4697263.4199999943</v>
      </c>
      <c r="DS17" s="1118"/>
      <c r="DW17" s="1116">
        <f>$G17</f>
        <v>46804271</v>
      </c>
      <c r="DX17" s="1117">
        <f>VLOOKUP($E17,DW$442:DZ$453,2,FALSE)*DW17*($K17)+IF($G17&gt;0,($H17/$G17)*DW17,0)*(1-$K17)</f>
        <v>42107007.580000006</v>
      </c>
      <c r="DY17" s="1117">
        <f>VLOOKUP($E17,DW$442:DZ$453,3,FALSE)*DW17*($K17)+IF($G17&gt;0,($I17/$G17)*DW17,0)*(1-$K17)</f>
        <v>0</v>
      </c>
      <c r="DZ17" s="1117">
        <f>VLOOKUP($E17,DW$442:DZ$453,4,FALSE)*DW17*($K17)+(DW17-DX17-DY17)*(1-$K17)</f>
        <v>4697263.4199999943</v>
      </c>
      <c r="EA17" s="1118"/>
      <c r="EE17" s="1116">
        <f>$G17</f>
        <v>46804271</v>
      </c>
      <c r="EF17" s="1117">
        <f>VLOOKUP($E17,EE$442:EH$453,2,FALSE)*EE17*($K17)+IF($G17&gt;0,($H17/$G17)*EE17,0)*(1-$K17)</f>
        <v>42107007.580000006</v>
      </c>
      <c r="EG17" s="1117">
        <f>VLOOKUP($E17,EE$442:EH$453,3,FALSE)*EE17*($K17)+IF($G17&gt;0,($I17/$G17)*EE17,0)*(1-$K17)</f>
        <v>0</v>
      </c>
      <c r="EH17" s="1117">
        <f>VLOOKUP($E17,EE$442:EH$453,4,FALSE)*EE17*($K17)+(EE17-EF17-EG17)*(1-$K17)</f>
        <v>4697263.4199999943</v>
      </c>
      <c r="EI17" s="1118"/>
      <c r="EM17" s="1116">
        <f>$G17</f>
        <v>46804271</v>
      </c>
      <c r="EN17" s="1117">
        <f>VLOOKUP($E17,EM$442:EP$453,2,FALSE)*EM17*($K17)+IF($G17&gt;0,($H17/$G17)*EM17,0)*(1-$K17)</f>
        <v>42107007.580000006</v>
      </c>
      <c r="EO17" s="1117">
        <f>VLOOKUP($E17,EM$442:EP$453,3,FALSE)*EM17*($K17)+IF($G17&gt;0,($I17/$G17)*EM17,0)*(1-$K17)</f>
        <v>0</v>
      </c>
      <c r="EP17" s="1117">
        <f>VLOOKUP($E17,EM$442:EP$453,4,FALSE)*EM17*($K17)+(EM17-EN17-EO17)*(1-$K17)</f>
        <v>4697263.4199999943</v>
      </c>
      <c r="EQ17" s="1118"/>
      <c r="EU17" s="1116">
        <f>$G17</f>
        <v>46804271</v>
      </c>
      <c r="EV17" s="1117">
        <f>VLOOKUP($E17,EU$442:EX$453,2,FALSE)*EU17*($K17)+IF($G17&gt;0,($H17/$G17)*EU17,0)*(1-$K17)</f>
        <v>42107007.580000006</v>
      </c>
      <c r="EW17" s="1117">
        <f>VLOOKUP($E17,EU$442:EX$453,3,FALSE)*EU17*($K17)+IF($G17&gt;0,($I17/$G17)*EU17,0)*(1-$K17)</f>
        <v>0</v>
      </c>
      <c r="EX17" s="1117">
        <f>VLOOKUP($E17,EU$442:EX$453,4,FALSE)*EU17*($K17)+(EU17-EV17-EW17)*(1-$K17)</f>
        <v>4697263.4199999943</v>
      </c>
      <c r="EY17" s="1118"/>
      <c r="FC17" s="1116">
        <f>$G17</f>
        <v>46804271</v>
      </c>
      <c r="FD17" s="1117">
        <f>VLOOKUP($E17,FC$442:FF$453,2,FALSE)*FC17*($K17)+IF($G17&gt;0,($H17/$G17)*FC17,0)*(1-$K17)</f>
        <v>42107007.580000006</v>
      </c>
      <c r="FE17" s="1117">
        <f>VLOOKUP($E17,FC$442:FF$453,3,FALSE)*FC17*($K17)+IF($G17&gt;0,($I17/$G17)*FC17,0)*(1-$K17)</f>
        <v>0</v>
      </c>
      <c r="FF17" s="1117">
        <f>VLOOKUP($E17,FC$442:FF$453,4,FALSE)*FC17*($K17)+(FC17-FD17-FE17)*(1-$K17)</f>
        <v>4697263.4199999943</v>
      </c>
      <c r="FG17" s="1118"/>
      <c r="FK17" s="1116">
        <f>$G17</f>
        <v>46804271</v>
      </c>
      <c r="FL17" s="1117">
        <f>VLOOKUP($E17,FK$442:FN$453,2,FALSE)*FK17*($K17)+IF($G17&gt;0,($H17/$G17)*FK17,0)*(1-$K17)</f>
        <v>42107007.580000006</v>
      </c>
      <c r="FM17" s="1117">
        <f>VLOOKUP($E17,FK$442:FN$453,3,FALSE)*FK17*($K17)+IF($G17&gt;0,($I17/$G17)*FK17,0)*(1-$K17)</f>
        <v>0</v>
      </c>
      <c r="FN17" s="1117">
        <f>VLOOKUP($E17,FK$442:FN$453,4,FALSE)*FK17*($K17)+(FK17-FL17-FM17)*(1-$K17)</f>
        <v>4697263.4199999943</v>
      </c>
      <c r="FO17" s="1118"/>
    </row>
    <row r="18" spans="1:171">
      <c r="A18" s="886"/>
      <c r="B18" s="220" t="s">
        <v>147</v>
      </c>
      <c r="C18" s="891" t="s">
        <v>70</v>
      </c>
      <c r="D18" s="892">
        <v>303</v>
      </c>
      <c r="E18" s="904" t="str">
        <f>'Sch 1- Rate Base '!E18</f>
        <v>DIRECT</v>
      </c>
      <c r="F18" s="893"/>
      <c r="G18" s="890">
        <f>'Sch 1- Rate Base '!G18</f>
        <v>57840902</v>
      </c>
      <c r="H18" s="890">
        <f>'Sch 1- Rate Base '!H18</f>
        <v>21321712.686072055</v>
      </c>
      <c r="I18" s="890">
        <f>'Sch 1- Rate Base '!I18</f>
        <v>0</v>
      </c>
      <c r="J18" s="1387">
        <f>'Sch 1- Rate Base '!J18</f>
        <v>36519188.863927945</v>
      </c>
      <c r="K18" s="903">
        <f>IF($E18="DIRECT",0,1)</f>
        <v>0</v>
      </c>
      <c r="O18" s="1116">
        <f>$G18</f>
        <v>57840902</v>
      </c>
      <c r="P18" s="1117">
        <f>VLOOKUP($E18,O$442:R$453,2,FALSE)*O18*($K18)+IF($G18&gt;0,($H18/$G18)*O18,0)*(1-$K18)</f>
        <v>21321712.686072055</v>
      </c>
      <c r="Q18" s="1117">
        <f>VLOOKUP($E18,O$442:R$453,3,FALSE)*O18*($K18)+IF($G18&gt;0,($I18/$G18)*O18,0)*(1-$K18)</f>
        <v>0</v>
      </c>
      <c r="R18" s="1117">
        <f>VLOOKUP($E18,O$442:R$453,4,FALSE)*O18*($K18)+(O18-P18-Q18)*(1-$K18)</f>
        <v>36519189.313927948</v>
      </c>
      <c r="S18" s="1118"/>
      <c r="W18" s="1116">
        <f>$G18</f>
        <v>57840902</v>
      </c>
      <c r="X18" s="1117">
        <f>VLOOKUP($E18,W$442:Z$453,2,FALSE)*W18*($K18)+IF($G18&gt;0,($H18/$G18)*W18,0)*(1-$K18)</f>
        <v>21321712.686072055</v>
      </c>
      <c r="Y18" s="1117">
        <f>VLOOKUP($E18,W$442:Z$453,3,FALSE)*W18*($K18)+IF($G18&gt;0,($I18/$G18)*W18,0)*(1-$K18)</f>
        <v>0</v>
      </c>
      <c r="Z18" s="1117">
        <f>VLOOKUP($E18,W$442:Z$453,4,FALSE)*W18*($K18)+(W18-X18-Y18)*(1-$K18)</f>
        <v>36519189.313927948</v>
      </c>
      <c r="AA18" s="1118">
        <v>0</v>
      </c>
      <c r="AE18" s="1116">
        <f>$G18</f>
        <v>57840902</v>
      </c>
      <c r="AF18" s="1117">
        <f>VLOOKUP($E18,AE$442:AH$453,2,FALSE)*AE18*($K18)+IF($G18&gt;0,($H18/$G18)*AE18,0)*(1-$K18)</f>
        <v>21321712.686072055</v>
      </c>
      <c r="AG18" s="1117">
        <f>VLOOKUP($E18,AE$442:AH$453,3,FALSE)*AE18*($K18)+IF($G18&gt;0,($I18/$G18)*AE18,0)*(1-$K18)</f>
        <v>0</v>
      </c>
      <c r="AH18" s="1117">
        <f>VLOOKUP($E18,AE$442:AH$453,4,FALSE)*AE18*($K18)+(AE18-AF18-AG18)*(1-$K18)</f>
        <v>36519189.313927948</v>
      </c>
      <c r="AI18" s="1118"/>
      <c r="AM18" s="1116">
        <f>$G18</f>
        <v>57840902</v>
      </c>
      <c r="AN18" s="1117">
        <f>VLOOKUP($E18,AM$442:AP$453,2,FALSE)*AM18*($K18)+IF($G18&gt;0,($H18/$G18)*AM18,0)*(1-$K18)</f>
        <v>21321712.686072055</v>
      </c>
      <c r="AO18" s="1117">
        <f>VLOOKUP($E18,AM$442:AP$453,3,FALSE)*AM18*($K18)+IF($G18&gt;0,($I18/$G18)*AM18,0)*(1-$K18)</f>
        <v>0</v>
      </c>
      <c r="AP18" s="1117">
        <f>VLOOKUP($E18,AM$442:AP$453,4,FALSE)*AM18*($K18)+(AM18-AN18-AO18)*(1-$K18)</f>
        <v>36519189.313927948</v>
      </c>
      <c r="AQ18" s="1118"/>
      <c r="AU18" s="1116">
        <f>$G18</f>
        <v>57840902</v>
      </c>
      <c r="AV18" s="1117">
        <f>VLOOKUP($E18,AU$442:AX$453,2,FALSE)*AU18*($K18)+IF($G18&gt;0,($H18/$G18)*AU18,0)*(1-$K18)</f>
        <v>21321712.686072055</v>
      </c>
      <c r="AW18" s="1117">
        <f>VLOOKUP($E18,AU$442:AX$453,3,FALSE)*AU18*($K18)+IF($G18&gt;0,($I18/$G18)*AU18,0)*(1-$K18)</f>
        <v>0</v>
      </c>
      <c r="AX18" s="1117">
        <f>VLOOKUP($E18,AU$442:AX$453,4,FALSE)*AU18*($K18)+(AU18-AV18-AW18)*(1-$K18)</f>
        <v>36519189.313927948</v>
      </c>
      <c r="AY18" s="1118"/>
      <c r="BC18" s="1116">
        <f>$G18</f>
        <v>57840902</v>
      </c>
      <c r="BD18" s="1117">
        <f>VLOOKUP($E18,BC$442:BF$453,2,FALSE)*BC18*($K18)+IF($G18&gt;0,($H18/$G18)*BC18,0)*(1-$K18)</f>
        <v>21321712.686072055</v>
      </c>
      <c r="BE18" s="1117">
        <f>VLOOKUP($E18,BC$442:BF$453,3,FALSE)*BC18*($K18)+IF($G18&gt;0,($I18/$G18)*BC18,0)*(1-$K18)</f>
        <v>0</v>
      </c>
      <c r="BF18" s="1117">
        <f>VLOOKUP($E18,BC$442:BF$453,4,FALSE)*BC18*($K18)+(BC18-BD18-BE18)*(1-$K18)</f>
        <v>36519189.313927948</v>
      </c>
      <c r="BG18" s="1118"/>
      <c r="BK18" s="1116">
        <f>$G18</f>
        <v>57840902</v>
      </c>
      <c r="BL18" s="1117">
        <f>VLOOKUP($E18,BK$442:BN$453,2,FALSE)*BK18*($K18)+IF($G18&gt;0,($H18/$G18)*BK18,0)*(1-$K18)</f>
        <v>21321712.686072055</v>
      </c>
      <c r="BM18" s="1117">
        <f>VLOOKUP($E18,BK$442:BN$453,3,FALSE)*BK18*($K18)+IF($G18&gt;0,($I18/$G18)*BK18,0)*(1-$K18)</f>
        <v>0</v>
      </c>
      <c r="BN18" s="1117">
        <f>VLOOKUP($E18,BK$442:BN$453,4,FALSE)*BK18*($K18)+(BK18-BL18-BM18)*(1-$K18)</f>
        <v>36519189.313927948</v>
      </c>
      <c r="BO18" s="1118"/>
      <c r="BS18" s="1116">
        <f>$G18</f>
        <v>57840902</v>
      </c>
      <c r="BT18" s="1117">
        <f>VLOOKUP($E18,BS$442:BV$453,2,FALSE)*BS18*($K18)+IF($G18&gt;0,($H18/$G18)*BS18,0)*(1-$K18)</f>
        <v>21321712.686072055</v>
      </c>
      <c r="BU18" s="1117">
        <f>VLOOKUP($E18,BS$442:BV$453,3,FALSE)*BS18*($K18)+IF($G18&gt;0,($I18/$G18)*BS18,0)*(1-$K18)</f>
        <v>0</v>
      </c>
      <c r="BV18" s="1117">
        <f>VLOOKUP($E18,BS$442:BV$453,4,FALSE)*BS18*($K18)+(BS18-BT18-BU18)*(1-$K18)</f>
        <v>36519189.313927948</v>
      </c>
      <c r="BW18" s="1118"/>
      <c r="CA18" s="1116">
        <f>$G18</f>
        <v>57840902</v>
      </c>
      <c r="CB18" s="1117">
        <f>VLOOKUP($E18,CA$442:CD$453,2,FALSE)*CA18*($K18)+IF($G18&gt;0,($H18/$G18)*CA18,0)*(1-$K18)</f>
        <v>21321712.686072055</v>
      </c>
      <c r="CC18" s="1117">
        <f>VLOOKUP($E18,CA$442:CD$453,3,FALSE)*CA18*($K18)+IF($G18&gt;0,($I18/$G18)*CA18,0)*(1-$K18)</f>
        <v>0</v>
      </c>
      <c r="CD18" s="1117">
        <f>VLOOKUP($E18,CA$442:CD$453,4,FALSE)*CA18*($K18)+(CA18-CB18-CC18)*(1-$K18)</f>
        <v>36519189.313927948</v>
      </c>
      <c r="CE18" s="1118"/>
      <c r="CI18" s="1116">
        <f>$G18</f>
        <v>57840902</v>
      </c>
      <c r="CJ18" s="1117">
        <f>VLOOKUP($E18,CI$442:CL$453,2,FALSE)*CI18*($K18)+IF($G18&gt;0,($H18/$G18)*CI18,0)*(1-$K18)</f>
        <v>21321712.686072055</v>
      </c>
      <c r="CK18" s="1117">
        <f>VLOOKUP($E18,CI$442:CL$453,3,FALSE)*CI18*($K18)+IF($G18&gt;0,($I18/$G18)*CI18,0)*(1-$K18)</f>
        <v>0</v>
      </c>
      <c r="CL18" s="1117">
        <f>VLOOKUP($E18,CI$442:CL$453,4,FALSE)*CI18*($K18)+(CI18-CJ18-CK18)*(1-$K18)</f>
        <v>36519189.313927948</v>
      </c>
      <c r="CM18" s="1118"/>
      <c r="CQ18" s="1116">
        <f>$G18</f>
        <v>57840902</v>
      </c>
      <c r="CR18" s="1117">
        <f>VLOOKUP($E18,CQ$442:CT$453,2,FALSE)*CQ18*($K18)+IF($G18&gt;0,($H18/$G18)*CQ18,0)*(1-$K18)</f>
        <v>21321712.686072055</v>
      </c>
      <c r="CS18" s="1117">
        <f>VLOOKUP($E18,CQ$442:CT$453,3,FALSE)*CQ18*($K18)+IF($G18&gt;0,($I18/$G18)*CQ18,0)*(1-$K18)</f>
        <v>0</v>
      </c>
      <c r="CT18" s="1117">
        <f>VLOOKUP($E18,CQ$442:CT$453,4,FALSE)*CQ18*($K18)+(CQ18-CR18-CS18)*(1-$K18)</f>
        <v>36519189.313927948</v>
      </c>
      <c r="CU18" s="1118"/>
      <c r="CY18" s="1116">
        <f>$G18</f>
        <v>57840902</v>
      </c>
      <c r="CZ18" s="1117">
        <f>VLOOKUP($E18,CY$442:DB$453,2,FALSE)*CY18*($K18)+IF($G18&gt;0,($H18/$G18)*CY18,0)*(1-$K18)</f>
        <v>21321712.686072055</v>
      </c>
      <c r="DA18" s="1117">
        <f>VLOOKUP($E18,CY$442:DB$453,3,FALSE)*CY18*($K18)+IF($G18&gt;0,($I18/$G18)*CY18,0)*(1-$K18)</f>
        <v>0</v>
      </c>
      <c r="DB18" s="1117">
        <f>VLOOKUP($E18,CY$442:DB$453,4,FALSE)*CY18*($K18)+(CY18-CZ18-DA18)*(1-$K18)</f>
        <v>36519189.313927948</v>
      </c>
      <c r="DC18" s="1118"/>
      <c r="DG18" s="1116">
        <f>$G18</f>
        <v>57840902</v>
      </c>
      <c r="DH18" s="1117">
        <f>VLOOKUP($E18,DG$442:DJ$453,2,FALSE)*DG18*($K18)+IF($G18&gt;0,($H18/$G18)*DG18,0)*(1-$K18)</f>
        <v>21321712.686072055</v>
      </c>
      <c r="DI18" s="1117">
        <f>VLOOKUP($E18,DG$442:DJ$453,3,FALSE)*DG18*($K18)+IF($G18&gt;0,($I18/$G18)*DG18,0)*(1-$K18)</f>
        <v>0</v>
      </c>
      <c r="DJ18" s="1117">
        <f>VLOOKUP($E18,DG$442:DJ$453,4,FALSE)*DG18*($K18)+(DG18-DH18-DI18)*(1-$K18)</f>
        <v>36519189.313927948</v>
      </c>
      <c r="DK18" s="1118"/>
      <c r="DO18" s="1116">
        <f>$G18</f>
        <v>57840902</v>
      </c>
      <c r="DP18" s="1117">
        <f>VLOOKUP($E18,DO$442:DR$453,2,FALSE)*DO18*($K18)+IF($G18&gt;0,($H18/$G18)*DO18,0)*(1-$K18)</f>
        <v>21321712.686072055</v>
      </c>
      <c r="DQ18" s="1117">
        <f>VLOOKUP($E18,DO$442:DR$453,3,FALSE)*DO18*($K18)+IF($G18&gt;0,($I18/$G18)*DO18,0)*(1-$K18)</f>
        <v>0</v>
      </c>
      <c r="DR18" s="1117">
        <f>VLOOKUP($E18,DO$442:DR$453,4,FALSE)*DO18*($K18)+(DO18-DP18-DQ18)*(1-$K18)</f>
        <v>36519189.313927948</v>
      </c>
      <c r="DS18" s="1118"/>
      <c r="DW18" s="1116">
        <f>$G18</f>
        <v>57840902</v>
      </c>
      <c r="DX18" s="1117">
        <f>VLOOKUP($E18,DW$442:DZ$453,2,FALSE)*DW18*($K18)+IF($G18&gt;0,($H18/$G18)*DW18,0)*(1-$K18)</f>
        <v>21321712.686072055</v>
      </c>
      <c r="DY18" s="1117">
        <f>VLOOKUP($E18,DW$442:DZ$453,3,FALSE)*DW18*($K18)+IF($G18&gt;0,($I18/$G18)*DW18,0)*(1-$K18)</f>
        <v>0</v>
      </c>
      <c r="DZ18" s="1117">
        <f>VLOOKUP($E18,DW$442:DZ$453,4,FALSE)*DW18*($K18)+(DW18-DX18-DY18)*(1-$K18)</f>
        <v>36519189.313927948</v>
      </c>
      <c r="EA18" s="1118"/>
      <c r="EE18" s="1116">
        <f>$G18</f>
        <v>57840902</v>
      </c>
      <c r="EF18" s="1117">
        <f>VLOOKUP($E18,EE$442:EH$453,2,FALSE)*EE18*($K18)+IF($G18&gt;0,($H18/$G18)*EE18,0)*(1-$K18)</f>
        <v>21321712.686072055</v>
      </c>
      <c r="EG18" s="1117">
        <f>VLOOKUP($E18,EE$442:EH$453,3,FALSE)*EE18*($K18)+IF($G18&gt;0,($I18/$G18)*EE18,0)*(1-$K18)</f>
        <v>0</v>
      </c>
      <c r="EH18" s="1117">
        <f>VLOOKUP($E18,EE$442:EH$453,4,FALSE)*EE18*($K18)+(EE18-EF18-EG18)*(1-$K18)</f>
        <v>36519189.313927948</v>
      </c>
      <c r="EI18" s="1118"/>
      <c r="EM18" s="1116">
        <f>$G18</f>
        <v>57840902</v>
      </c>
      <c r="EN18" s="1117">
        <f>VLOOKUP($E18,EM$442:EP$453,2,FALSE)*EM18*($K18)+IF($G18&gt;0,($H18/$G18)*EM18,0)*(1-$K18)</f>
        <v>21321712.686072055</v>
      </c>
      <c r="EO18" s="1117">
        <f>VLOOKUP($E18,EM$442:EP$453,3,FALSE)*EM18*($K18)+IF($G18&gt;0,($I18/$G18)*EM18,0)*(1-$K18)</f>
        <v>0</v>
      </c>
      <c r="EP18" s="1117">
        <f>VLOOKUP($E18,EM$442:EP$453,4,FALSE)*EM18*($K18)+(EM18-EN18-EO18)*(1-$K18)</f>
        <v>36519189.313927948</v>
      </c>
      <c r="EQ18" s="1118"/>
      <c r="EU18" s="1116">
        <f>$G18</f>
        <v>57840902</v>
      </c>
      <c r="EV18" s="1117">
        <f>VLOOKUP($E18,EU$442:EX$453,2,FALSE)*EU18*($K18)+IF($G18&gt;0,($H18/$G18)*EU18,0)*(1-$K18)</f>
        <v>21321712.686072055</v>
      </c>
      <c r="EW18" s="1117">
        <f>VLOOKUP($E18,EU$442:EX$453,3,FALSE)*EU18*($K18)+IF($G18&gt;0,($I18/$G18)*EU18,0)*(1-$K18)</f>
        <v>0</v>
      </c>
      <c r="EX18" s="1117">
        <f>VLOOKUP($E18,EU$442:EX$453,4,FALSE)*EU18*($K18)+(EU18-EV18-EW18)*(1-$K18)</f>
        <v>36519189.313927948</v>
      </c>
      <c r="EY18" s="1118"/>
      <c r="FC18" s="1116">
        <f>$G18</f>
        <v>57840902</v>
      </c>
      <c r="FD18" s="1117">
        <f>VLOOKUP($E18,FC$442:FF$453,2,FALSE)*FC18*($K18)+IF($G18&gt;0,($H18/$G18)*FC18,0)*(1-$K18)</f>
        <v>21321712.686072055</v>
      </c>
      <c r="FE18" s="1117">
        <f>VLOOKUP($E18,FC$442:FF$453,3,FALSE)*FC18*($K18)+IF($G18&gt;0,($I18/$G18)*FC18,0)*(1-$K18)</f>
        <v>0</v>
      </c>
      <c r="FF18" s="1117">
        <f>VLOOKUP($E18,FC$442:FF$453,4,FALSE)*FC18*($K18)+(FC18-FD18-FE18)*(1-$K18)</f>
        <v>36519189.313927948</v>
      </c>
      <c r="FG18" s="1118"/>
      <c r="FK18" s="1116">
        <f>$G18</f>
        <v>57840902</v>
      </c>
      <c r="FL18" s="1117">
        <f>VLOOKUP($E18,FK$442:FN$453,2,FALSE)*FK18*($K18)+IF($G18&gt;0,($H18/$G18)*FK18,0)*(1-$K18)</f>
        <v>21321712.686072055</v>
      </c>
      <c r="FM18" s="1117">
        <f>VLOOKUP($E18,FK$442:FN$453,3,FALSE)*FK18*($K18)+IF($G18&gt;0,($I18/$G18)*FK18,0)*(1-$K18)</f>
        <v>0</v>
      </c>
      <c r="FN18" s="1117">
        <f>VLOOKUP($E18,FK$442:FN$453,4,FALSE)*FK18*($K18)+(FK18-FL18-FM18)*(1-$K18)</f>
        <v>36519189.313927948</v>
      </c>
      <c r="FO18" s="1118"/>
    </row>
    <row r="19" spans="1:171">
      <c r="A19" s="163" t="s">
        <v>443</v>
      </c>
      <c r="B19" s="64"/>
      <c r="C19" s="894"/>
      <c r="D19" s="895"/>
      <c r="E19" s="895"/>
      <c r="F19" s="896"/>
      <c r="G19" s="905">
        <f>SUM(G16:G18)</f>
        <v>104645173</v>
      </c>
      <c r="H19" s="905">
        <f>SUM(H16:H18)</f>
        <v>63428720.266072065</v>
      </c>
      <c r="I19" s="905">
        <f>SUM(I16:I18)</f>
        <v>0</v>
      </c>
      <c r="J19" s="1388">
        <f>SUM(J16:J18)</f>
        <v>41216452.183927946</v>
      </c>
      <c r="K19" s="903"/>
      <c r="L19" s="1119"/>
      <c r="O19" s="1120">
        <f>SUM(O16:O18)</f>
        <v>104645173</v>
      </c>
      <c r="P19" s="1120">
        <f>SUM(P16:P18)</f>
        <v>63428720.266072065</v>
      </c>
      <c r="Q19" s="1120">
        <f>SUM(Q16:Q18)</f>
        <v>0</v>
      </c>
      <c r="R19" s="1120">
        <f>SUM(R16:R18)</f>
        <v>41216452.733927943</v>
      </c>
      <c r="S19" s="1118"/>
      <c r="T19" s="1119"/>
      <c r="W19" s="1120">
        <f>SUM(W16:W18)</f>
        <v>104645173</v>
      </c>
      <c r="X19" s="1120">
        <f>SUM(X16:X18)</f>
        <v>63428720.266072065</v>
      </c>
      <c r="Y19" s="1120">
        <f>SUM(Y16:Y18)</f>
        <v>0</v>
      </c>
      <c r="Z19" s="1120">
        <f>SUM(Z16:Z18)</f>
        <v>41216452.733927943</v>
      </c>
      <c r="AA19" s="1118"/>
      <c r="AB19" s="1119"/>
      <c r="AE19" s="1120">
        <f>SUM(AE16:AE18)</f>
        <v>104645173</v>
      </c>
      <c r="AF19" s="1120">
        <f>SUM(AF16:AF18)</f>
        <v>63428720.266072065</v>
      </c>
      <c r="AG19" s="1120">
        <f>SUM(AG16:AG18)</f>
        <v>0</v>
      </c>
      <c r="AH19" s="1120">
        <f>SUM(AH16:AH18)</f>
        <v>41216452.733927943</v>
      </c>
      <c r="AI19" s="1118"/>
      <c r="AJ19" s="1119"/>
      <c r="AM19" s="1120">
        <f>SUM(AM16:AM18)</f>
        <v>104645173</v>
      </c>
      <c r="AN19" s="1120">
        <f>SUM(AN16:AN18)</f>
        <v>63428720.266072065</v>
      </c>
      <c r="AO19" s="1120">
        <f>SUM(AO16:AO18)</f>
        <v>0</v>
      </c>
      <c r="AP19" s="1120">
        <f>SUM(AP16:AP18)</f>
        <v>41216452.733927943</v>
      </c>
      <c r="AQ19" s="1118"/>
      <c r="AR19" s="1119"/>
      <c r="AU19" s="1120">
        <f>SUM(AU16:AU18)</f>
        <v>104645173</v>
      </c>
      <c r="AV19" s="1120">
        <f>SUM(AV16:AV18)</f>
        <v>63428720.266072065</v>
      </c>
      <c r="AW19" s="1120">
        <f>SUM(AW16:AW18)</f>
        <v>0</v>
      </c>
      <c r="AX19" s="1120">
        <f>SUM(AX16:AX18)</f>
        <v>41216452.733927943</v>
      </c>
      <c r="AY19" s="1118"/>
      <c r="AZ19" s="1119"/>
      <c r="BC19" s="1120">
        <f>SUM(BC16:BC18)</f>
        <v>104645173</v>
      </c>
      <c r="BD19" s="1120">
        <f>SUM(BD16:BD18)</f>
        <v>63428720.266072065</v>
      </c>
      <c r="BE19" s="1120">
        <f>SUM(BE16:BE18)</f>
        <v>0</v>
      </c>
      <c r="BF19" s="1120">
        <f>SUM(BF16:BF18)</f>
        <v>41216452.733927943</v>
      </c>
      <c r="BG19" s="1118"/>
      <c r="BH19" s="1119"/>
      <c r="BK19" s="1120">
        <f>SUM(BK16:BK18)</f>
        <v>104645173</v>
      </c>
      <c r="BL19" s="1120">
        <f>SUM(BL16:BL18)</f>
        <v>63428720.266072065</v>
      </c>
      <c r="BM19" s="1120">
        <f>SUM(BM16:BM18)</f>
        <v>0</v>
      </c>
      <c r="BN19" s="1120">
        <f>SUM(BN16:BN18)</f>
        <v>41216452.733927943</v>
      </c>
      <c r="BO19" s="1118"/>
      <c r="BP19" s="1119"/>
      <c r="BS19" s="1120">
        <f>SUM(BS16:BS18)</f>
        <v>104645173</v>
      </c>
      <c r="BT19" s="1120">
        <f>SUM(BT16:BT18)</f>
        <v>63428720.266072065</v>
      </c>
      <c r="BU19" s="1120">
        <f>SUM(BU16:BU18)</f>
        <v>0</v>
      </c>
      <c r="BV19" s="1120">
        <f>SUM(BV16:BV18)</f>
        <v>41216452.733927943</v>
      </c>
      <c r="BW19" s="1118"/>
      <c r="BX19" s="1119"/>
      <c r="CA19" s="1120">
        <f>SUM(CA16:CA18)</f>
        <v>104645173</v>
      </c>
      <c r="CB19" s="1120">
        <f>SUM(CB16:CB18)</f>
        <v>63428720.266072065</v>
      </c>
      <c r="CC19" s="1120">
        <f>SUM(CC16:CC18)</f>
        <v>0</v>
      </c>
      <c r="CD19" s="1120">
        <f>SUM(CD16:CD18)</f>
        <v>41216452.733927943</v>
      </c>
      <c r="CE19" s="1118"/>
      <c r="CF19" s="1119"/>
      <c r="CI19" s="1120">
        <f>SUM(CI16:CI18)</f>
        <v>104645173</v>
      </c>
      <c r="CJ19" s="1120">
        <f>SUM(CJ16:CJ18)</f>
        <v>63428720.266072065</v>
      </c>
      <c r="CK19" s="1120">
        <f>SUM(CK16:CK18)</f>
        <v>0</v>
      </c>
      <c r="CL19" s="1120">
        <f>SUM(CL16:CL18)</f>
        <v>41216452.733927943</v>
      </c>
      <c r="CM19" s="1118"/>
      <c r="CN19" s="1119"/>
      <c r="CQ19" s="1120">
        <f>SUM(CQ16:CQ18)</f>
        <v>104645173</v>
      </c>
      <c r="CR19" s="1120">
        <f>SUM(CR16:CR18)</f>
        <v>63428720.266072065</v>
      </c>
      <c r="CS19" s="1120">
        <f>SUM(CS16:CS18)</f>
        <v>0</v>
      </c>
      <c r="CT19" s="1120">
        <f>SUM(CT16:CT18)</f>
        <v>41216452.733927943</v>
      </c>
      <c r="CU19" s="1118"/>
      <c r="CV19" s="1119"/>
      <c r="CY19" s="1120">
        <f>SUM(CY16:CY18)</f>
        <v>104645173</v>
      </c>
      <c r="CZ19" s="1120">
        <f>SUM(CZ16:CZ18)</f>
        <v>63428720.266072065</v>
      </c>
      <c r="DA19" s="1120">
        <f>SUM(DA16:DA18)</f>
        <v>0</v>
      </c>
      <c r="DB19" s="1120">
        <f>SUM(DB16:DB18)</f>
        <v>41216452.733927943</v>
      </c>
      <c r="DC19" s="1118"/>
      <c r="DD19" s="1119"/>
      <c r="DG19" s="1120">
        <f>SUM(DG16:DG18)</f>
        <v>104645173</v>
      </c>
      <c r="DH19" s="1120">
        <f>SUM(DH16:DH18)</f>
        <v>63428720.266072065</v>
      </c>
      <c r="DI19" s="1120">
        <f>SUM(DI16:DI18)</f>
        <v>0</v>
      </c>
      <c r="DJ19" s="1120">
        <f>SUM(DJ16:DJ18)</f>
        <v>41216452.733927943</v>
      </c>
      <c r="DK19" s="1118"/>
      <c r="DL19" s="1119"/>
      <c r="DO19" s="1120">
        <f>SUM(DO16:DO18)</f>
        <v>104645173</v>
      </c>
      <c r="DP19" s="1120">
        <f>SUM(DP16:DP18)</f>
        <v>63428720.266072065</v>
      </c>
      <c r="DQ19" s="1120">
        <f>SUM(DQ16:DQ18)</f>
        <v>0</v>
      </c>
      <c r="DR19" s="1120">
        <f>SUM(DR16:DR18)</f>
        <v>41216452.733927943</v>
      </c>
      <c r="DS19" s="1118"/>
      <c r="DT19" s="1119"/>
      <c r="DW19" s="1120">
        <f>SUM(DW16:DW18)</f>
        <v>104645173</v>
      </c>
      <c r="DX19" s="1120">
        <f>SUM(DX16:DX18)</f>
        <v>63428720.266072065</v>
      </c>
      <c r="DY19" s="1120">
        <f>SUM(DY16:DY18)</f>
        <v>0</v>
      </c>
      <c r="DZ19" s="1120">
        <f>SUM(DZ16:DZ18)</f>
        <v>41216452.733927943</v>
      </c>
      <c r="EA19" s="1118"/>
      <c r="EB19" s="1119"/>
      <c r="EE19" s="1120">
        <f>SUM(EE16:EE18)</f>
        <v>104645173</v>
      </c>
      <c r="EF19" s="1120">
        <f>SUM(EF16:EF18)</f>
        <v>63428720.266072065</v>
      </c>
      <c r="EG19" s="1120">
        <f>SUM(EG16:EG18)</f>
        <v>0</v>
      </c>
      <c r="EH19" s="1120">
        <f>SUM(EH16:EH18)</f>
        <v>41216452.733927943</v>
      </c>
      <c r="EI19" s="1118"/>
      <c r="EJ19" s="1119"/>
      <c r="EM19" s="1120">
        <f>SUM(EM16:EM18)</f>
        <v>104645173</v>
      </c>
      <c r="EN19" s="1120">
        <f>SUM(EN16:EN18)</f>
        <v>63428720.266072065</v>
      </c>
      <c r="EO19" s="1120">
        <f>SUM(EO16:EO18)</f>
        <v>0</v>
      </c>
      <c r="EP19" s="1120">
        <f>SUM(EP16:EP18)</f>
        <v>41216452.733927943</v>
      </c>
      <c r="EQ19" s="1118"/>
      <c r="ER19" s="1119"/>
      <c r="EU19" s="1120">
        <f>SUM(EU16:EU18)</f>
        <v>104645173</v>
      </c>
      <c r="EV19" s="1120">
        <f>SUM(EV16:EV18)</f>
        <v>63428720.266072065</v>
      </c>
      <c r="EW19" s="1120">
        <f>SUM(EW16:EW18)</f>
        <v>0</v>
      </c>
      <c r="EX19" s="1120">
        <f>SUM(EX16:EX18)</f>
        <v>41216452.733927943</v>
      </c>
      <c r="EY19" s="1118"/>
      <c r="EZ19" s="1119"/>
      <c r="FC19" s="1120">
        <f>SUM(FC16:FC18)</f>
        <v>104645173</v>
      </c>
      <c r="FD19" s="1120">
        <f>SUM(FD16:FD18)</f>
        <v>63428720.266072065</v>
      </c>
      <c r="FE19" s="1120">
        <f>SUM(FE16:FE18)</f>
        <v>0</v>
      </c>
      <c r="FF19" s="1120">
        <f>SUM(FF16:FF18)</f>
        <v>41216452.733927943</v>
      </c>
      <c r="FG19" s="1118"/>
      <c r="FH19" s="1119"/>
      <c r="FK19" s="1120">
        <f>SUM(FK16:FK18)</f>
        <v>104645173</v>
      </c>
      <c r="FL19" s="1120">
        <f>SUM(FL16:FL18)</f>
        <v>63428720.266072065</v>
      </c>
      <c r="FM19" s="1120">
        <f>SUM(FM16:FM18)</f>
        <v>0</v>
      </c>
      <c r="FN19" s="1120">
        <f>SUM(FN16:FN18)</f>
        <v>41216452.733927943</v>
      </c>
      <c r="FO19" s="1118"/>
    </row>
    <row r="20" spans="1:171">
      <c r="A20" s="1389"/>
      <c r="B20" s="897"/>
      <c r="C20" s="898"/>
      <c r="D20" s="898"/>
      <c r="E20" s="899"/>
      <c r="F20" s="899"/>
      <c r="G20" s="900"/>
      <c r="H20" s="900"/>
      <c r="I20" s="900"/>
      <c r="J20" s="1390"/>
      <c r="K20" s="903"/>
      <c r="L20" s="1119"/>
      <c r="M20" s="1079"/>
      <c r="N20" s="1079"/>
      <c r="O20" s="1116"/>
      <c r="P20" s="1116"/>
      <c r="Q20" s="1116"/>
      <c r="R20" s="1116"/>
      <c r="S20" s="1118"/>
      <c r="T20" s="1119"/>
      <c r="U20" s="1079"/>
      <c r="V20" s="1079"/>
      <c r="W20" s="1116"/>
      <c r="X20" s="1116"/>
      <c r="Y20" s="1116"/>
      <c r="Z20" s="1116"/>
      <c r="AA20" s="1118"/>
      <c r="AB20" s="1119"/>
      <c r="AC20" s="1079"/>
      <c r="AD20" s="1079"/>
      <c r="AE20" s="1116"/>
      <c r="AF20" s="1116"/>
      <c r="AG20" s="1116"/>
      <c r="AH20" s="1116"/>
      <c r="AI20" s="1118"/>
      <c r="AJ20" s="1119"/>
      <c r="AK20" s="1079"/>
      <c r="AL20" s="1079"/>
      <c r="AM20" s="1116"/>
      <c r="AN20" s="1116"/>
      <c r="AO20" s="1116"/>
      <c r="AP20" s="1116"/>
      <c r="AQ20" s="1118"/>
      <c r="AR20" s="1119"/>
      <c r="AS20" s="1079"/>
      <c r="AT20" s="1079"/>
      <c r="AU20" s="1116"/>
      <c r="AV20" s="1116"/>
      <c r="AW20" s="1116"/>
      <c r="AX20" s="1116"/>
      <c r="AY20" s="1118"/>
      <c r="AZ20" s="1119"/>
      <c r="BA20" s="1079"/>
      <c r="BB20" s="1079"/>
      <c r="BC20" s="1116"/>
      <c r="BD20" s="1116"/>
      <c r="BE20" s="1116"/>
      <c r="BF20" s="1116"/>
      <c r="BG20" s="1118"/>
      <c r="BH20" s="1119"/>
      <c r="BI20" s="1079"/>
      <c r="BJ20" s="1079"/>
      <c r="BK20" s="1116"/>
      <c r="BL20" s="1116"/>
      <c r="BM20" s="1116"/>
      <c r="BN20" s="1116"/>
      <c r="BO20" s="1118"/>
      <c r="BP20" s="1119"/>
      <c r="BQ20" s="1079"/>
      <c r="BR20" s="1079"/>
      <c r="BS20" s="1116"/>
      <c r="BT20" s="1116"/>
      <c r="BU20" s="1116"/>
      <c r="BV20" s="1116"/>
      <c r="BW20" s="1118"/>
      <c r="BX20" s="1119"/>
      <c r="BY20" s="1079"/>
      <c r="BZ20" s="1079"/>
      <c r="CA20" s="1116"/>
      <c r="CB20" s="1116"/>
      <c r="CC20" s="1116"/>
      <c r="CD20" s="1116"/>
      <c r="CE20" s="1118"/>
      <c r="CF20" s="1119"/>
      <c r="CG20" s="1079"/>
      <c r="CH20" s="1079"/>
      <c r="CI20" s="1116"/>
      <c r="CJ20" s="1116"/>
      <c r="CK20" s="1116"/>
      <c r="CL20" s="1116"/>
      <c r="CM20" s="1118"/>
      <c r="CN20" s="1119"/>
      <c r="CO20" s="1079"/>
      <c r="CP20" s="1079"/>
      <c r="CQ20" s="1116"/>
      <c r="CR20" s="1116"/>
      <c r="CS20" s="1116"/>
      <c r="CT20" s="1116"/>
      <c r="CU20" s="1118"/>
      <c r="CV20" s="1119"/>
      <c r="CW20" s="1079"/>
      <c r="CX20" s="1079"/>
      <c r="CY20" s="1116"/>
      <c r="CZ20" s="1116"/>
      <c r="DA20" s="1116"/>
      <c r="DB20" s="1116"/>
      <c r="DC20" s="1118"/>
      <c r="DD20" s="1119"/>
      <c r="DE20" s="1079"/>
      <c r="DF20" s="1079"/>
      <c r="DG20" s="1116"/>
      <c r="DH20" s="1116"/>
      <c r="DI20" s="1116"/>
      <c r="DJ20" s="1116"/>
      <c r="DK20" s="1118"/>
      <c r="DL20" s="1119"/>
      <c r="DM20" s="1079"/>
      <c r="DN20" s="1079"/>
      <c r="DO20" s="1116"/>
      <c r="DP20" s="1116"/>
      <c r="DQ20" s="1116"/>
      <c r="DR20" s="1116"/>
      <c r="DS20" s="1118"/>
      <c r="DT20" s="1119"/>
      <c r="DU20" s="1079"/>
      <c r="DV20" s="1079"/>
      <c r="DW20" s="1116"/>
      <c r="DX20" s="1116"/>
      <c r="DY20" s="1116"/>
      <c r="DZ20" s="1116"/>
      <c r="EA20" s="1118"/>
      <c r="EB20" s="1119"/>
      <c r="EC20" s="1079"/>
      <c r="ED20" s="1079"/>
      <c r="EE20" s="1116"/>
      <c r="EF20" s="1116"/>
      <c r="EG20" s="1116"/>
      <c r="EH20" s="1116"/>
      <c r="EI20" s="1118"/>
      <c r="EJ20" s="1119"/>
      <c r="EK20" s="1079"/>
      <c r="EL20" s="1079"/>
      <c r="EM20" s="1116"/>
      <c r="EN20" s="1116"/>
      <c r="EO20" s="1116"/>
      <c r="EP20" s="1116"/>
      <c r="EQ20" s="1118"/>
      <c r="ER20" s="1119"/>
      <c r="ES20" s="1079"/>
      <c r="ET20" s="1079"/>
      <c r="EU20" s="1116"/>
      <c r="EV20" s="1116"/>
      <c r="EW20" s="1116"/>
      <c r="EX20" s="1116"/>
      <c r="EY20" s="1118"/>
      <c r="EZ20" s="1119"/>
      <c r="FA20" s="1079"/>
      <c r="FB20" s="1079"/>
      <c r="FC20" s="1116"/>
      <c r="FD20" s="1116"/>
      <c r="FE20" s="1116"/>
      <c r="FF20" s="1116"/>
      <c r="FG20" s="1118"/>
      <c r="FH20" s="1119"/>
      <c r="FI20" s="1079"/>
      <c r="FJ20" s="1079"/>
      <c r="FK20" s="1116"/>
      <c r="FL20" s="1116"/>
      <c r="FM20" s="1116"/>
      <c r="FN20" s="1116"/>
      <c r="FO20" s="1118"/>
    </row>
    <row r="21" spans="1:171">
      <c r="A21" s="199" t="s">
        <v>110</v>
      </c>
      <c r="B21" s="901"/>
      <c r="C21" s="898"/>
      <c r="D21" s="898"/>
      <c r="E21" s="899"/>
      <c r="F21" s="899"/>
      <c r="G21" s="902"/>
      <c r="H21" s="902"/>
      <c r="I21" s="902"/>
      <c r="J21" s="1391"/>
      <c r="K21" s="903"/>
      <c r="L21" s="1121"/>
      <c r="M21" s="1079"/>
      <c r="N21" s="1079"/>
      <c r="O21" s="1079"/>
      <c r="P21" s="900"/>
      <c r="Q21" s="900"/>
      <c r="R21" s="900"/>
      <c r="S21" s="1118"/>
      <c r="T21" s="1121"/>
      <c r="U21" s="1079"/>
      <c r="V21" s="1079"/>
      <c r="W21" s="1079"/>
      <c r="X21" s="900"/>
      <c r="Y21" s="900"/>
      <c r="Z21" s="900"/>
      <c r="AA21" s="1118"/>
      <c r="AB21" s="1121"/>
      <c r="AC21" s="1079"/>
      <c r="AD21" s="1079"/>
      <c r="AE21" s="1079"/>
      <c r="AF21" s="900"/>
      <c r="AG21" s="900"/>
      <c r="AH21" s="900"/>
      <c r="AI21" s="1118"/>
      <c r="AJ21" s="1121"/>
      <c r="AK21" s="1079"/>
      <c r="AL21" s="1079"/>
      <c r="AM21" s="1079"/>
      <c r="AN21" s="900"/>
      <c r="AO21" s="900"/>
      <c r="AP21" s="900"/>
      <c r="AQ21" s="1118"/>
      <c r="AR21" s="1121"/>
      <c r="AS21" s="1079"/>
      <c r="AT21" s="1079"/>
      <c r="AU21" s="1079"/>
      <c r="AV21" s="900"/>
      <c r="AW21" s="900"/>
      <c r="AX21" s="900"/>
      <c r="AY21" s="1118"/>
      <c r="AZ21" s="1121"/>
      <c r="BA21" s="1079"/>
      <c r="BB21" s="1079"/>
      <c r="BC21" s="1079"/>
      <c r="BD21" s="900"/>
      <c r="BE21" s="900"/>
      <c r="BF21" s="900"/>
      <c r="BG21" s="1118"/>
      <c r="BH21" s="1121"/>
      <c r="BI21" s="1079"/>
      <c r="BJ21" s="1079"/>
      <c r="BK21" s="1079"/>
      <c r="BL21" s="900"/>
      <c r="BM21" s="900"/>
      <c r="BN21" s="900"/>
      <c r="BO21" s="1118"/>
      <c r="BP21" s="1121"/>
      <c r="BQ21" s="1079"/>
      <c r="BR21" s="1079"/>
      <c r="BS21" s="1079"/>
      <c r="BT21" s="900"/>
      <c r="BU21" s="900"/>
      <c r="BV21" s="900"/>
      <c r="BW21" s="1118"/>
      <c r="BX21" s="1121"/>
      <c r="BY21" s="1079"/>
      <c r="BZ21" s="1079"/>
      <c r="CA21" s="1079"/>
      <c r="CB21" s="900"/>
      <c r="CC21" s="900"/>
      <c r="CD21" s="900"/>
      <c r="CE21" s="1118"/>
      <c r="CF21" s="1121"/>
      <c r="CG21" s="1079"/>
      <c r="CH21" s="1079"/>
      <c r="CI21" s="1079"/>
      <c r="CJ21" s="900"/>
      <c r="CK21" s="900"/>
      <c r="CL21" s="900"/>
      <c r="CM21" s="1118"/>
      <c r="CN21" s="1121"/>
      <c r="CO21" s="1079"/>
      <c r="CP21" s="1079"/>
      <c r="CQ21" s="1079"/>
      <c r="CR21" s="900"/>
      <c r="CS21" s="900"/>
      <c r="CT21" s="900"/>
      <c r="CU21" s="1118"/>
      <c r="CV21" s="1121"/>
      <c r="CW21" s="1079"/>
      <c r="CX21" s="1079"/>
      <c r="CY21" s="1079"/>
      <c r="CZ21" s="900"/>
      <c r="DA21" s="900"/>
      <c r="DB21" s="900"/>
      <c r="DC21" s="1118"/>
      <c r="DD21" s="1121"/>
      <c r="DE21" s="1079"/>
      <c r="DF21" s="1079"/>
      <c r="DG21" s="1079"/>
      <c r="DH21" s="900"/>
      <c r="DI21" s="900"/>
      <c r="DJ21" s="900"/>
      <c r="DK21" s="1118"/>
      <c r="DL21" s="1121"/>
      <c r="DM21" s="1079"/>
      <c r="DN21" s="1079"/>
      <c r="DO21" s="1079"/>
      <c r="DP21" s="900"/>
      <c r="DQ21" s="900"/>
      <c r="DR21" s="900"/>
      <c r="DS21" s="1118"/>
      <c r="DT21" s="1121"/>
      <c r="DU21" s="1079"/>
      <c r="DV21" s="1079"/>
      <c r="DW21" s="1079"/>
      <c r="DX21" s="900"/>
      <c r="DY21" s="900"/>
      <c r="DZ21" s="900"/>
      <c r="EA21" s="1118"/>
      <c r="EB21" s="1121"/>
      <c r="EC21" s="1079"/>
      <c r="ED21" s="1079"/>
      <c r="EE21" s="1079"/>
      <c r="EF21" s="900"/>
      <c r="EG21" s="900"/>
      <c r="EH21" s="900"/>
      <c r="EI21" s="1118"/>
      <c r="EJ21" s="1121"/>
      <c r="EK21" s="1079"/>
      <c r="EL21" s="1079"/>
      <c r="EM21" s="1079"/>
      <c r="EN21" s="900"/>
      <c r="EO21" s="900"/>
      <c r="EP21" s="900"/>
      <c r="EQ21" s="1118"/>
      <c r="ER21" s="1121"/>
      <c r="ES21" s="1079"/>
      <c r="ET21" s="1079"/>
      <c r="EU21" s="1079"/>
      <c r="EV21" s="900"/>
      <c r="EW21" s="900"/>
      <c r="EX21" s="900"/>
      <c r="EY21" s="1118"/>
      <c r="EZ21" s="1121"/>
      <c r="FA21" s="1079"/>
      <c r="FB21" s="1079"/>
      <c r="FC21" s="1079"/>
      <c r="FD21" s="900"/>
      <c r="FE21" s="900"/>
      <c r="FF21" s="900"/>
      <c r="FG21" s="1118"/>
      <c r="FH21" s="1121"/>
      <c r="FI21" s="1079"/>
      <c r="FJ21" s="1079"/>
      <c r="FK21" s="1079"/>
      <c r="FL21" s="900"/>
      <c r="FM21" s="900"/>
      <c r="FN21" s="900"/>
      <c r="FO21" s="1118"/>
    </row>
    <row r="22" spans="1:171">
      <c r="A22" s="1392">
        <v>110</v>
      </c>
      <c r="B22" s="220" t="s">
        <v>111</v>
      </c>
      <c r="C22" s="887" t="s">
        <v>70</v>
      </c>
      <c r="D22" s="888" t="s">
        <v>112</v>
      </c>
      <c r="E22" s="904" t="str">
        <f>'Sch 1- Rate Base '!E22</f>
        <v>PROD</v>
      </c>
      <c r="F22" s="889"/>
      <c r="G22" s="890">
        <f>'Sch 1- Rate Base '!G22</f>
        <v>494693042</v>
      </c>
      <c r="H22" s="890">
        <f>'Sch 1- Rate Base '!H22</f>
        <v>494693042</v>
      </c>
      <c r="I22" s="890">
        <f>'Sch 1- Rate Base '!I22</f>
        <v>0</v>
      </c>
      <c r="J22" s="1387">
        <f>'Sch 1- Rate Base '!J22</f>
        <v>0</v>
      </c>
      <c r="K22" s="903">
        <f>IF($E22="DIRECT",0,1)</f>
        <v>1</v>
      </c>
      <c r="N22" s="1154">
        <f>VLOOKUP($A22,'New Resources - Individual'!$A$4:$Y$133,N$2,FALSE)*N$1</f>
        <v>0</v>
      </c>
      <c r="O22" s="1116">
        <f>$G22+N22</f>
        <v>494693042</v>
      </c>
      <c r="P22" s="1117">
        <f>VLOOKUP($E22,O$442:R$453,2,FALSE)*O22*($K22)+IF($G22&gt;0,($H22/$G22)*O22,0)*(1-$K22)</f>
        <v>494693042</v>
      </c>
      <c r="Q22" s="1117">
        <f>VLOOKUP($E22,O$442:R$453,3,FALSE)*O22*($K22)+IF($G22&gt;0,($I22/$G22)*O22,0)*(1-$K22)</f>
        <v>0</v>
      </c>
      <c r="R22" s="1117">
        <f>VLOOKUP($E22,O$442:R$453,4,FALSE)*O22*($K22)+(O22-P22-Q22)*(1-$K22)</f>
        <v>0</v>
      </c>
      <c r="S22" s="1118"/>
      <c r="V22" s="1154">
        <f>VLOOKUP($A22,'New Resources - Individual'!$A$4:$Y$133,V$2,FALSE)*V$1</f>
        <v>0</v>
      </c>
      <c r="W22" s="1116">
        <f>$G22+V22</f>
        <v>494693042</v>
      </c>
      <c r="X22" s="1117">
        <f>VLOOKUP($E22,W$442:Z$453,2,FALSE)*W22*($K22)+IF($G22&gt;0,($H22/$G22)*W22,0)*(1-$K22)</f>
        <v>494693042</v>
      </c>
      <c r="Y22" s="1117">
        <f>VLOOKUP($E22,W$442:Z$453,3,FALSE)*W22*($K22)+IF($G22&gt;0,($I22/$G22)*W22,0)*(1-$K22)</f>
        <v>0</v>
      </c>
      <c r="Z22" s="1117">
        <f>VLOOKUP($E22,W$442:Z$453,4,FALSE)*W22*($K22)+(W22-X22-Y22)*(1-$K22)</f>
        <v>0</v>
      </c>
      <c r="AA22" s="1118">
        <v>1</v>
      </c>
      <c r="AD22" s="1154">
        <f>VLOOKUP($A22,'New Resources - Individual'!$A$4:$Y$133,AD$2,FALSE)*AD$1</f>
        <v>0</v>
      </c>
      <c r="AE22" s="1116">
        <f>$G22+AD22</f>
        <v>494693042</v>
      </c>
      <c r="AF22" s="1117">
        <f>VLOOKUP($E22,AE$442:AH$453,2,FALSE)*AE22*($K22)+IF($G22&gt;0,($H22/$G22)*AE22,0)*(1-$K22)</f>
        <v>494693042</v>
      </c>
      <c r="AG22" s="1117">
        <f>VLOOKUP($E22,AE$442:AH$453,3,FALSE)*AE22*($K22)+IF($G22&gt;0,($I22/$G22)*AE22,0)*(1-$K22)</f>
        <v>0</v>
      </c>
      <c r="AH22" s="1117">
        <f>VLOOKUP($E22,AE$442:AH$453,4,FALSE)*AE22*($K22)+(AE22-AF22-AG22)*(1-$K22)</f>
        <v>0</v>
      </c>
      <c r="AI22" s="1118"/>
      <c r="AL22" s="1154">
        <f>VLOOKUP($A22,'New Resources - Individual'!$A$4:$Y$133,AL$2,FALSE)*AL$1</f>
        <v>0</v>
      </c>
      <c r="AM22" s="1116">
        <f>$G22+AL22</f>
        <v>494693042</v>
      </c>
      <c r="AN22" s="1117">
        <f>VLOOKUP($E22,AM$442:AP$453,2,FALSE)*AM22*($K22)+IF($G22&gt;0,($H22/$G22)*AM22,0)*(1-$K22)</f>
        <v>494693042</v>
      </c>
      <c r="AO22" s="1117">
        <f>VLOOKUP($E22,AM$442:AP$453,3,FALSE)*AM22*($K22)+IF($G22&gt;0,($I22/$G22)*AM22,0)*(1-$K22)</f>
        <v>0</v>
      </c>
      <c r="AP22" s="1117">
        <f>VLOOKUP($E22,AM$442:AP$453,4,FALSE)*AM22*($K22)+(AM22-AN22-AO22)*(1-$K22)</f>
        <v>0</v>
      </c>
      <c r="AQ22" s="1118"/>
      <c r="AT22" s="1154">
        <f>VLOOKUP($A22,'New Resources - Individual'!$A$4:$Y$133,AT$2,FALSE)*AT$1</f>
        <v>0</v>
      </c>
      <c r="AU22" s="1116">
        <f>$G22+AT22</f>
        <v>494693042</v>
      </c>
      <c r="AV22" s="1117">
        <f>VLOOKUP($E22,AU$442:AX$453,2,FALSE)*AU22*($K22)+IF($G22&gt;0,($H22/$G22)*AU22,0)*(1-$K22)</f>
        <v>494693042</v>
      </c>
      <c r="AW22" s="1117">
        <f>VLOOKUP($E22,AU$442:AX$453,3,FALSE)*AU22*($K22)+IF($G22&gt;0,($I22/$G22)*AU22,0)*(1-$K22)</f>
        <v>0</v>
      </c>
      <c r="AX22" s="1117">
        <f>VLOOKUP($E22,AU$442:AX$453,4,FALSE)*AU22*($K22)+(AU22-AV22-AW22)*(1-$K22)</f>
        <v>0</v>
      </c>
      <c r="AY22" s="1118"/>
      <c r="BB22" s="1154">
        <f>VLOOKUP($A22,'New Resources - Individual'!$A$4:$Y$133,BB$2,FALSE)*BB$1</f>
        <v>0</v>
      </c>
      <c r="BC22" s="1116">
        <f>$G22+BB22</f>
        <v>494693042</v>
      </c>
      <c r="BD22" s="1117">
        <f>VLOOKUP($E22,BC$442:BF$453,2,FALSE)*BC22*($K22)+IF($G22&gt;0,($H22/$G22)*BC22,0)*(1-$K22)</f>
        <v>494693042</v>
      </c>
      <c r="BE22" s="1117">
        <f>VLOOKUP($E22,BC$442:BF$453,3,FALSE)*BC22*($K22)+IF($G22&gt;0,($I22/$G22)*BC22,0)*(1-$K22)</f>
        <v>0</v>
      </c>
      <c r="BF22" s="1117">
        <f>VLOOKUP($E22,BC$442:BF$453,4,FALSE)*BC22*($K22)+(BC22-BD22-BE22)*(1-$K22)</f>
        <v>0</v>
      </c>
      <c r="BG22" s="1118"/>
      <c r="BJ22" s="1154">
        <f>VLOOKUP($A22,'New Resources - Individual'!$A$4:$Y$133,BJ$2,FALSE)*BJ$1</f>
        <v>0</v>
      </c>
      <c r="BK22" s="1116">
        <f>$G22+BJ22</f>
        <v>494693042</v>
      </c>
      <c r="BL22" s="1117">
        <f>VLOOKUP($E22,BK$442:BN$453,2,FALSE)*BK22*($K22)+IF($G22&gt;0,($H22/$G22)*BK22,0)*(1-$K22)</f>
        <v>494693042</v>
      </c>
      <c r="BM22" s="1117">
        <f>VLOOKUP($E22,BK$442:BN$453,3,FALSE)*BK22*($K22)+IF($G22&gt;0,($I22/$G22)*BK22,0)*(1-$K22)</f>
        <v>0</v>
      </c>
      <c r="BN22" s="1117">
        <f>VLOOKUP($E22,BK$442:BN$453,4,FALSE)*BK22*($K22)+(BK22-BL22-BM22)*(1-$K22)</f>
        <v>0</v>
      </c>
      <c r="BO22" s="1118"/>
      <c r="BR22" s="1154">
        <f>VLOOKUP($A22,'New Resources - Individual'!$A$4:$Y$133,BR$2,FALSE)*BR$1</f>
        <v>0</v>
      </c>
      <c r="BS22" s="1116">
        <f>$G22+BR22</f>
        <v>494693042</v>
      </c>
      <c r="BT22" s="1117">
        <f>VLOOKUP($E22,BS$442:BV$453,2,FALSE)*BS22*($K22)+IF($G22&gt;0,($H22/$G22)*BS22,0)*(1-$K22)</f>
        <v>494693042</v>
      </c>
      <c r="BU22" s="1117">
        <f>VLOOKUP($E22,BS$442:BV$453,3,FALSE)*BS22*($K22)+IF($G22&gt;0,($I22/$G22)*BS22,0)*(1-$K22)</f>
        <v>0</v>
      </c>
      <c r="BV22" s="1117">
        <f>VLOOKUP($E22,BS$442:BV$453,4,FALSE)*BS22*($K22)+(BS22-BT22-BU22)*(1-$K22)</f>
        <v>0</v>
      </c>
      <c r="BW22" s="1118"/>
      <c r="BZ22" s="1154">
        <f>VLOOKUP($A22,'New Resources - Individual'!$A$4:$Y$133,BZ$2,FALSE)*BZ$1</f>
        <v>0</v>
      </c>
      <c r="CA22" s="1116">
        <f>$G22+BZ22</f>
        <v>494693042</v>
      </c>
      <c r="CB22" s="1117">
        <f>VLOOKUP($E22,CA$442:CD$453,2,FALSE)*CA22*($K22)+IF($G22&gt;0,($H22/$G22)*CA22,0)*(1-$K22)</f>
        <v>494693042</v>
      </c>
      <c r="CC22" s="1117">
        <f>VLOOKUP($E22,CA$442:CD$453,3,FALSE)*CA22*($K22)+IF($G22&gt;0,($I22/$G22)*CA22,0)*(1-$K22)</f>
        <v>0</v>
      </c>
      <c r="CD22" s="1117">
        <f>VLOOKUP($E22,CA$442:CD$453,4,FALSE)*CA22*($K22)+(CA22-CB22-CC22)*(1-$K22)</f>
        <v>0</v>
      </c>
      <c r="CE22" s="1118"/>
      <c r="CH22" s="1154">
        <f>VLOOKUP($A22,'New Resources - Individual'!$A$4:$Y$133,CH$2,FALSE)*CH$1</f>
        <v>0</v>
      </c>
      <c r="CI22" s="1116">
        <f>$G22+CH22</f>
        <v>494693042</v>
      </c>
      <c r="CJ22" s="1117">
        <f>VLOOKUP($E22,CI$442:CL$453,2,FALSE)*CI22*($K22)+IF($G22&gt;0,($H22/$G22)*CI22,0)*(1-$K22)</f>
        <v>494693042</v>
      </c>
      <c r="CK22" s="1117">
        <f>VLOOKUP($E22,CI$442:CL$453,3,FALSE)*CI22*($K22)+IF($G22&gt;0,($I22/$G22)*CI22,0)*(1-$K22)</f>
        <v>0</v>
      </c>
      <c r="CL22" s="1117">
        <f>VLOOKUP($E22,CI$442:CL$453,4,FALSE)*CI22*($K22)+(CI22-CJ22-CK22)*(1-$K22)</f>
        <v>0</v>
      </c>
      <c r="CM22" s="1118"/>
      <c r="CP22" s="1154">
        <f>VLOOKUP($A22,'New Resources - Individual'!$A$4:$Y$133,CP$2,FALSE)*CP$1</f>
        <v>0</v>
      </c>
      <c r="CQ22" s="1116">
        <f>$G22+CP22</f>
        <v>494693042</v>
      </c>
      <c r="CR22" s="1117">
        <f>VLOOKUP($E22,CQ$442:CT$453,2,FALSE)*CQ22*($K22)+IF($G22&gt;0,($H22/$G22)*CQ22,0)*(1-$K22)</f>
        <v>494693042</v>
      </c>
      <c r="CS22" s="1117">
        <f>VLOOKUP($E22,CQ$442:CT$453,3,FALSE)*CQ22*($K22)+IF($G22&gt;0,($I22/$G22)*CQ22,0)*(1-$K22)</f>
        <v>0</v>
      </c>
      <c r="CT22" s="1117">
        <f>VLOOKUP($E22,CQ$442:CT$453,4,FALSE)*CQ22*($K22)+(CQ22-CR22-CS22)*(1-$K22)</f>
        <v>0</v>
      </c>
      <c r="CU22" s="1118"/>
      <c r="CX22" s="1154">
        <f>VLOOKUP($A22,'New Resources - Individual'!$A$4:$Y$133,CX$2,FALSE)*CX$1</f>
        <v>0</v>
      </c>
      <c r="CY22" s="1116">
        <f>$G22+CX22</f>
        <v>494693042</v>
      </c>
      <c r="CZ22" s="1117">
        <f>VLOOKUP($E22,CY$442:DB$453,2,FALSE)*CY22*($K22)+IF($G22&gt;0,($H22/$G22)*CY22,0)*(1-$K22)</f>
        <v>494693042</v>
      </c>
      <c r="DA22" s="1117">
        <f>VLOOKUP($E22,CY$442:DB$453,3,FALSE)*CY22*($K22)+IF($G22&gt;0,($I22/$G22)*CY22,0)*(1-$K22)</f>
        <v>0</v>
      </c>
      <c r="DB22" s="1117">
        <f>VLOOKUP($E22,CY$442:DB$453,4,FALSE)*CY22*($K22)+(CY22-CZ22-DA22)*(1-$K22)</f>
        <v>0</v>
      </c>
      <c r="DC22" s="1118"/>
      <c r="DF22" s="1154">
        <f>VLOOKUP($A22,'New Resources - Individual'!$A$4:$Y$133,DF$2,FALSE)*DF$1</f>
        <v>0</v>
      </c>
      <c r="DG22" s="1116">
        <f>$G22+DF22</f>
        <v>494693042</v>
      </c>
      <c r="DH22" s="1117">
        <f>VLOOKUP($E22,DG$442:DJ$453,2,FALSE)*DG22*($K22)+IF($G22&gt;0,($H22/$G22)*DG22,0)*(1-$K22)</f>
        <v>494693042</v>
      </c>
      <c r="DI22" s="1117">
        <f>VLOOKUP($E22,DG$442:DJ$453,3,FALSE)*DG22*($K22)+IF($G22&gt;0,($I22/$G22)*DG22,0)*(1-$K22)</f>
        <v>0</v>
      </c>
      <c r="DJ22" s="1117">
        <f>VLOOKUP($E22,DG$442:DJ$453,4,FALSE)*DG22*($K22)+(DG22-DH22-DI22)*(1-$K22)</f>
        <v>0</v>
      </c>
      <c r="DK22" s="1118"/>
      <c r="DN22" s="1154">
        <f>VLOOKUP($A22,'New Resources - Individual'!$A$4:$Y$133,DN$2,FALSE)*DN$1</f>
        <v>0</v>
      </c>
      <c r="DO22" s="1116">
        <f>$G22+DN22</f>
        <v>494693042</v>
      </c>
      <c r="DP22" s="1117">
        <f>VLOOKUP($E22,DO$442:DR$453,2,FALSE)*DO22*($K22)+IF($G22&gt;0,($H22/$G22)*DO22,0)*(1-$K22)</f>
        <v>494693042</v>
      </c>
      <c r="DQ22" s="1117">
        <f>VLOOKUP($E22,DO$442:DR$453,3,FALSE)*DO22*($K22)+IF($G22&gt;0,($I22/$G22)*DO22,0)*(1-$K22)</f>
        <v>0</v>
      </c>
      <c r="DR22" s="1117">
        <f>VLOOKUP($E22,DO$442:DR$453,4,FALSE)*DO22*($K22)+(DO22-DP22-DQ22)*(1-$K22)</f>
        <v>0</v>
      </c>
      <c r="DS22" s="1118"/>
      <c r="DV22" s="1154">
        <f>VLOOKUP($A22,'New Resources - Individual'!$A$4:$Y$133,DV$2,FALSE)*DV$1</f>
        <v>0</v>
      </c>
      <c r="DW22" s="1116">
        <f>$G22+DV22</f>
        <v>494693042</v>
      </c>
      <c r="DX22" s="1117">
        <f>VLOOKUP($E22,DW$442:DZ$453,2,FALSE)*DW22*($K22)+IF($G22&gt;0,($H22/$G22)*DW22,0)*(1-$K22)</f>
        <v>494693042</v>
      </c>
      <c r="DY22" s="1117">
        <f>VLOOKUP($E22,DW$442:DZ$453,3,FALSE)*DW22*($K22)+IF($G22&gt;0,($I22/$G22)*DW22,0)*(1-$K22)</f>
        <v>0</v>
      </c>
      <c r="DZ22" s="1117">
        <f>VLOOKUP($E22,DW$442:DZ$453,4,FALSE)*DW22*($K22)+(DW22-DX22-DY22)*(1-$K22)</f>
        <v>0</v>
      </c>
      <c r="EA22" s="1118"/>
      <c r="ED22" s="1154">
        <f>VLOOKUP($A22,'New Resources - Individual'!$A$4:$Y$133,ED$2,FALSE)*ED$1</f>
        <v>0</v>
      </c>
      <c r="EE22" s="1116">
        <f>$G22+ED22</f>
        <v>494693042</v>
      </c>
      <c r="EF22" s="1117">
        <f>VLOOKUP($E22,EE$442:EH$453,2,FALSE)*EE22*($K22)+IF($G22&gt;0,($H22/$G22)*EE22,0)*(1-$K22)</f>
        <v>494693042</v>
      </c>
      <c r="EG22" s="1117">
        <f>VLOOKUP($E22,EE$442:EH$453,3,FALSE)*EE22*($K22)+IF($G22&gt;0,($I22/$G22)*EE22,0)*(1-$K22)</f>
        <v>0</v>
      </c>
      <c r="EH22" s="1117">
        <f>VLOOKUP($E22,EE$442:EH$453,4,FALSE)*EE22*($K22)+(EE22-EF22-EG22)*(1-$K22)</f>
        <v>0</v>
      </c>
      <c r="EI22" s="1118"/>
      <c r="EL22" s="1154">
        <f>VLOOKUP($A22,'New Resources - Individual'!$A$4:$Y$133,EL$2,FALSE)*EL$1</f>
        <v>0</v>
      </c>
      <c r="EM22" s="1116">
        <f>$G22+EL22</f>
        <v>494693042</v>
      </c>
      <c r="EN22" s="1117">
        <f>VLOOKUP($E22,EM$442:EP$453,2,FALSE)*EM22*($K22)+IF($G22&gt;0,($H22/$G22)*EM22,0)*(1-$K22)</f>
        <v>494693042</v>
      </c>
      <c r="EO22" s="1117">
        <f>VLOOKUP($E22,EM$442:EP$453,3,FALSE)*EM22*($K22)+IF($G22&gt;0,($I22/$G22)*EM22,0)*(1-$K22)</f>
        <v>0</v>
      </c>
      <c r="EP22" s="1117">
        <f>VLOOKUP($E22,EM$442:EP$453,4,FALSE)*EM22*($K22)+(EM22-EN22-EO22)*(1-$K22)</f>
        <v>0</v>
      </c>
      <c r="EQ22" s="1118"/>
      <c r="ET22" s="1154">
        <f>VLOOKUP($A22,'New Resources - Individual'!$A$4:$Y$133,ET$2,FALSE)*ET$1</f>
        <v>0</v>
      </c>
      <c r="EU22" s="1116">
        <f>$G22+ET22</f>
        <v>494693042</v>
      </c>
      <c r="EV22" s="1117">
        <f>VLOOKUP($E22,EU$442:EX$453,2,FALSE)*EU22*($K22)+IF($G22&gt;0,($H22/$G22)*EU22,0)*(1-$K22)</f>
        <v>494693042</v>
      </c>
      <c r="EW22" s="1117">
        <f>VLOOKUP($E22,EU$442:EX$453,3,FALSE)*EU22*($K22)+IF($G22&gt;0,($I22/$G22)*EU22,0)*(1-$K22)</f>
        <v>0</v>
      </c>
      <c r="EX22" s="1117">
        <f>VLOOKUP($E22,EU$442:EX$453,4,FALSE)*EU22*($K22)+(EU22-EV22-EW22)*(1-$K22)</f>
        <v>0</v>
      </c>
      <c r="EY22" s="1118"/>
      <c r="FB22" s="1154">
        <f>VLOOKUP($A22,'New Resources - Individual'!$A$4:$Y$133,FB$2,FALSE)*FB$1</f>
        <v>0</v>
      </c>
      <c r="FC22" s="1116">
        <f>$G22+FB22</f>
        <v>494693042</v>
      </c>
      <c r="FD22" s="1117">
        <f>VLOOKUP($E22,FC$442:FF$453,2,FALSE)*FC22*($K22)+IF($G22&gt;0,($H22/$G22)*FC22,0)*(1-$K22)</f>
        <v>494693042</v>
      </c>
      <c r="FE22" s="1117">
        <f>VLOOKUP($E22,FC$442:FF$453,3,FALSE)*FC22*($K22)+IF($G22&gt;0,($I22/$G22)*FC22,0)*(1-$K22)</f>
        <v>0</v>
      </c>
      <c r="FF22" s="1117">
        <f>VLOOKUP($E22,FC$442:FF$453,4,FALSE)*FC22*($K22)+(FC22-FD22-FE22)*(1-$K22)</f>
        <v>0</v>
      </c>
      <c r="FG22" s="1118"/>
      <c r="FJ22" s="1154">
        <f>VLOOKUP($A22,'New Resources - Individual'!$A$4:$Y$133,FJ$2,FALSE)*FJ$1</f>
        <v>0</v>
      </c>
      <c r="FK22" s="1116">
        <f>$G22+FJ22</f>
        <v>494693042</v>
      </c>
      <c r="FL22" s="1117">
        <f>VLOOKUP($E22,FK$442:FN$453,2,FALSE)*FK22*($K22)+IF($G22&gt;0,($H22/$G22)*FK22,0)*(1-$K22)</f>
        <v>494693042</v>
      </c>
      <c r="FM22" s="1117">
        <f>VLOOKUP($E22,FK$442:FN$453,3,FALSE)*FK22*($K22)+IF($G22&gt;0,($I22/$G22)*FK22,0)*(1-$K22)</f>
        <v>0</v>
      </c>
      <c r="FN22" s="1117">
        <f>VLOOKUP($E22,FK$442:FN$453,4,FALSE)*FK22*($K22)+(FK22-FL22-FM22)*(1-$K22)</f>
        <v>0</v>
      </c>
      <c r="FO22" s="1118"/>
    </row>
    <row r="23" spans="1:171">
      <c r="A23" s="1392">
        <v>250</v>
      </c>
      <c r="B23" s="220" t="s">
        <v>113</v>
      </c>
      <c r="C23" s="887" t="s">
        <v>70</v>
      </c>
      <c r="D23" s="888" t="s">
        <v>114</v>
      </c>
      <c r="E23" s="904" t="str">
        <f>'Sch 1- Rate Base '!E23</f>
        <v>PROD</v>
      </c>
      <c r="F23" s="889"/>
      <c r="G23" s="890">
        <f>'Sch 1- Rate Base '!G23</f>
        <v>0</v>
      </c>
      <c r="H23" s="890">
        <f>'Sch 1- Rate Base '!H23</f>
        <v>0</v>
      </c>
      <c r="I23" s="890">
        <f>'Sch 1- Rate Base '!I23</f>
        <v>0</v>
      </c>
      <c r="J23" s="1387">
        <f>'Sch 1- Rate Base '!J23</f>
        <v>0</v>
      </c>
      <c r="K23" s="903">
        <f>IF($E23="DIRECT",0,1)</f>
        <v>1</v>
      </c>
      <c r="N23" s="1154">
        <f>VLOOKUP($A23,'New Resources - Individual'!$A$4:$Y$133,N$2,FALSE)*N$1</f>
        <v>0</v>
      </c>
      <c r="O23" s="1116">
        <f>$G23+N23</f>
        <v>0</v>
      </c>
      <c r="P23" s="1117">
        <f>VLOOKUP($E23,O$442:R$453,2,FALSE)*O23*($K23)+IF($G23&gt;0,($H23/$G23)*O23,0)*(1-$K23)</f>
        <v>0</v>
      </c>
      <c r="Q23" s="1117">
        <f>VLOOKUP($E23,O$442:R$453,3,FALSE)*O23*($K23)+IF($G23&gt;0,($I23/$G23)*O23,0)*(1-$K23)</f>
        <v>0</v>
      </c>
      <c r="R23" s="1117">
        <f>VLOOKUP($E23,O$442:R$453,4,FALSE)*O23*($K23)+(O23-P23-Q23)*(1-$K23)</f>
        <v>0</v>
      </c>
      <c r="S23" s="1118"/>
      <c r="V23" s="1154">
        <f>VLOOKUP($A23,'New Resources - Individual'!$A$4:$Y$133,V$2,FALSE)*V$1</f>
        <v>0</v>
      </c>
      <c r="W23" s="1116">
        <f>$G23+V23</f>
        <v>0</v>
      </c>
      <c r="X23" s="1117">
        <f>VLOOKUP($E23,W$442:Z$453,2,FALSE)*W23*($K23)+IF($G23&gt;0,($H23/$G23)*W23,0)*(1-$K23)</f>
        <v>0</v>
      </c>
      <c r="Y23" s="1117">
        <f>VLOOKUP($E23,W$442:Z$453,3,FALSE)*W23*($K23)+IF($G23&gt;0,($I23/$G23)*W23,0)*(1-$K23)</f>
        <v>0</v>
      </c>
      <c r="Z23" s="1117">
        <f>VLOOKUP($E23,W$442:Z$453,4,FALSE)*W23*($K23)+(W23-X23-Y23)*(1-$K23)</f>
        <v>0</v>
      </c>
      <c r="AA23" s="1118">
        <v>1</v>
      </c>
      <c r="AD23" s="1154">
        <f>VLOOKUP($A23,'New Resources - Individual'!$A$4:$Y$133,AD$2,FALSE)*AD$1</f>
        <v>0</v>
      </c>
      <c r="AE23" s="1116">
        <f>$G23+AD23</f>
        <v>0</v>
      </c>
      <c r="AF23" s="1117">
        <f>VLOOKUP($E23,AE$442:AH$453,2,FALSE)*AE23*($K23)+IF($G23&gt;0,($H23/$G23)*AE23,0)*(1-$K23)</f>
        <v>0</v>
      </c>
      <c r="AG23" s="1117">
        <f>VLOOKUP($E23,AE$442:AH$453,3,FALSE)*AE23*($K23)+IF($G23&gt;0,($I23/$G23)*AE23,0)*(1-$K23)</f>
        <v>0</v>
      </c>
      <c r="AH23" s="1117">
        <f>VLOOKUP($E23,AE$442:AH$453,4,FALSE)*AE23*($K23)+(AE23-AF23-AG23)*(1-$K23)</f>
        <v>0</v>
      </c>
      <c r="AI23" s="1118"/>
      <c r="AL23" s="1154">
        <f>VLOOKUP($A23,'New Resources - Individual'!$A$4:$Y$133,AL$2,FALSE)*AL$1</f>
        <v>0</v>
      </c>
      <c r="AM23" s="1116">
        <f>$G23+AL23</f>
        <v>0</v>
      </c>
      <c r="AN23" s="1117">
        <f>VLOOKUP($E23,AM$442:AP$453,2,FALSE)*AM23*($K23)+IF($G23&gt;0,($H23/$G23)*AM23,0)*(1-$K23)</f>
        <v>0</v>
      </c>
      <c r="AO23" s="1117">
        <f>VLOOKUP($E23,AM$442:AP$453,3,FALSE)*AM23*($K23)+IF($G23&gt;0,($I23/$G23)*AM23,0)*(1-$K23)</f>
        <v>0</v>
      </c>
      <c r="AP23" s="1117">
        <f>VLOOKUP($E23,AM$442:AP$453,4,FALSE)*AM23*($K23)+(AM23-AN23-AO23)*(1-$K23)</f>
        <v>0</v>
      </c>
      <c r="AQ23" s="1118"/>
      <c r="AT23" s="1154">
        <f>VLOOKUP($A23,'New Resources - Individual'!$A$4:$Y$133,AT$2,FALSE)*AT$1</f>
        <v>0</v>
      </c>
      <c r="AU23" s="1116">
        <f>$G23+AT23</f>
        <v>0</v>
      </c>
      <c r="AV23" s="1117">
        <f>VLOOKUP($E23,AU$442:AX$453,2,FALSE)*AU23*($K23)+IF($G23&gt;0,($H23/$G23)*AU23,0)*(1-$K23)</f>
        <v>0</v>
      </c>
      <c r="AW23" s="1117">
        <f>VLOOKUP($E23,AU$442:AX$453,3,FALSE)*AU23*($K23)+IF($G23&gt;0,($I23/$G23)*AU23,0)*(1-$K23)</f>
        <v>0</v>
      </c>
      <c r="AX23" s="1117">
        <f>VLOOKUP($E23,AU$442:AX$453,4,FALSE)*AU23*($K23)+(AU23-AV23-AW23)*(1-$K23)</f>
        <v>0</v>
      </c>
      <c r="AY23" s="1118"/>
      <c r="BB23" s="1154">
        <f>VLOOKUP($A23,'New Resources - Individual'!$A$4:$Y$133,BB$2,FALSE)*BB$1</f>
        <v>0</v>
      </c>
      <c r="BC23" s="1116">
        <f>$G23+BB23</f>
        <v>0</v>
      </c>
      <c r="BD23" s="1117">
        <f>VLOOKUP($E23,BC$442:BF$453,2,FALSE)*BC23*($K23)+IF($G23&gt;0,($H23/$G23)*BC23,0)*(1-$K23)</f>
        <v>0</v>
      </c>
      <c r="BE23" s="1117">
        <f>VLOOKUP($E23,BC$442:BF$453,3,FALSE)*BC23*($K23)+IF($G23&gt;0,($I23/$G23)*BC23,0)*(1-$K23)</f>
        <v>0</v>
      </c>
      <c r="BF23" s="1117">
        <f>VLOOKUP($E23,BC$442:BF$453,4,FALSE)*BC23*($K23)+(BC23-BD23-BE23)*(1-$K23)</f>
        <v>0</v>
      </c>
      <c r="BG23" s="1118"/>
      <c r="BJ23" s="1154">
        <f>VLOOKUP($A23,'New Resources - Individual'!$A$4:$Y$133,BJ$2,FALSE)*BJ$1</f>
        <v>0</v>
      </c>
      <c r="BK23" s="1116">
        <f>$G23+BJ23</f>
        <v>0</v>
      </c>
      <c r="BL23" s="1117">
        <f>VLOOKUP($E23,BK$442:BN$453,2,FALSE)*BK23*($K23)+IF($G23&gt;0,($H23/$G23)*BK23,0)*(1-$K23)</f>
        <v>0</v>
      </c>
      <c r="BM23" s="1117">
        <f>VLOOKUP($E23,BK$442:BN$453,3,FALSE)*BK23*($K23)+IF($G23&gt;0,($I23/$G23)*BK23,0)*(1-$K23)</f>
        <v>0</v>
      </c>
      <c r="BN23" s="1117">
        <f>VLOOKUP($E23,BK$442:BN$453,4,FALSE)*BK23*($K23)+(BK23-BL23-BM23)*(1-$K23)</f>
        <v>0</v>
      </c>
      <c r="BO23" s="1118"/>
      <c r="BR23" s="1154">
        <f>VLOOKUP($A23,'New Resources - Individual'!$A$4:$Y$133,BR$2,FALSE)*BR$1</f>
        <v>0</v>
      </c>
      <c r="BS23" s="1116">
        <f>$G23+BR23</f>
        <v>0</v>
      </c>
      <c r="BT23" s="1117">
        <f>VLOOKUP($E23,BS$442:BV$453,2,FALSE)*BS23*($K23)+IF($G23&gt;0,($H23/$G23)*BS23,0)*(1-$K23)</f>
        <v>0</v>
      </c>
      <c r="BU23" s="1117">
        <f>VLOOKUP($E23,BS$442:BV$453,3,FALSE)*BS23*($K23)+IF($G23&gt;0,($I23/$G23)*BS23,0)*(1-$K23)</f>
        <v>0</v>
      </c>
      <c r="BV23" s="1117">
        <f>VLOOKUP($E23,BS$442:BV$453,4,FALSE)*BS23*($K23)+(BS23-BT23-BU23)*(1-$K23)</f>
        <v>0</v>
      </c>
      <c r="BW23" s="1118"/>
      <c r="BZ23" s="1154">
        <f>VLOOKUP($A23,'New Resources - Individual'!$A$4:$Y$133,BZ$2,FALSE)*BZ$1</f>
        <v>0</v>
      </c>
      <c r="CA23" s="1116">
        <f>$G23+BZ23</f>
        <v>0</v>
      </c>
      <c r="CB23" s="1117">
        <f>VLOOKUP($E23,CA$442:CD$453,2,FALSE)*CA23*($K23)+IF($G23&gt;0,($H23/$G23)*CA23,0)*(1-$K23)</f>
        <v>0</v>
      </c>
      <c r="CC23" s="1117">
        <f>VLOOKUP($E23,CA$442:CD$453,3,FALSE)*CA23*($K23)+IF($G23&gt;0,($I23/$G23)*CA23,0)*(1-$K23)</f>
        <v>0</v>
      </c>
      <c r="CD23" s="1117">
        <f>VLOOKUP($E23,CA$442:CD$453,4,FALSE)*CA23*($K23)+(CA23-CB23-CC23)*(1-$K23)</f>
        <v>0</v>
      </c>
      <c r="CE23" s="1118"/>
      <c r="CH23" s="1154">
        <f>VLOOKUP($A23,'New Resources - Individual'!$A$4:$Y$133,CH$2,FALSE)*CH$1</f>
        <v>0</v>
      </c>
      <c r="CI23" s="1116">
        <f>$G23+CH23</f>
        <v>0</v>
      </c>
      <c r="CJ23" s="1117">
        <f>VLOOKUP($E23,CI$442:CL$453,2,FALSE)*CI23*($K23)+IF($G23&gt;0,($H23/$G23)*CI23,0)*(1-$K23)</f>
        <v>0</v>
      </c>
      <c r="CK23" s="1117">
        <f>VLOOKUP($E23,CI$442:CL$453,3,FALSE)*CI23*($K23)+IF($G23&gt;0,($I23/$G23)*CI23,0)*(1-$K23)</f>
        <v>0</v>
      </c>
      <c r="CL23" s="1117">
        <f>VLOOKUP($E23,CI$442:CL$453,4,FALSE)*CI23*($K23)+(CI23-CJ23-CK23)*(1-$K23)</f>
        <v>0</v>
      </c>
      <c r="CM23" s="1118"/>
      <c r="CP23" s="1154">
        <f>VLOOKUP($A23,'New Resources - Individual'!$A$4:$Y$133,CP$2,FALSE)*CP$1</f>
        <v>0</v>
      </c>
      <c r="CQ23" s="1116">
        <f>$G23+CP23</f>
        <v>0</v>
      </c>
      <c r="CR23" s="1117">
        <f>VLOOKUP($E23,CQ$442:CT$453,2,FALSE)*CQ23*($K23)+IF($G23&gt;0,($H23/$G23)*CQ23,0)*(1-$K23)</f>
        <v>0</v>
      </c>
      <c r="CS23" s="1117">
        <f>VLOOKUP($E23,CQ$442:CT$453,3,FALSE)*CQ23*($K23)+IF($G23&gt;0,($I23/$G23)*CQ23,0)*(1-$K23)</f>
        <v>0</v>
      </c>
      <c r="CT23" s="1117">
        <f>VLOOKUP($E23,CQ$442:CT$453,4,FALSE)*CQ23*($K23)+(CQ23-CR23-CS23)*(1-$K23)</f>
        <v>0</v>
      </c>
      <c r="CU23" s="1118"/>
      <c r="CX23" s="1154">
        <f>VLOOKUP($A23,'New Resources - Individual'!$A$4:$Y$133,CX$2,FALSE)*CX$1</f>
        <v>0</v>
      </c>
      <c r="CY23" s="1116">
        <f>$G23+CX23</f>
        <v>0</v>
      </c>
      <c r="CZ23" s="1117">
        <f>VLOOKUP($E23,CY$442:DB$453,2,FALSE)*CY23*($K23)+IF($G23&gt;0,($H23/$G23)*CY23,0)*(1-$K23)</f>
        <v>0</v>
      </c>
      <c r="DA23" s="1117">
        <f>VLOOKUP($E23,CY$442:DB$453,3,FALSE)*CY23*($K23)+IF($G23&gt;0,($I23/$G23)*CY23,0)*(1-$K23)</f>
        <v>0</v>
      </c>
      <c r="DB23" s="1117">
        <f>VLOOKUP($E23,CY$442:DB$453,4,FALSE)*CY23*($K23)+(CY23-CZ23-DA23)*(1-$K23)</f>
        <v>0</v>
      </c>
      <c r="DC23" s="1118"/>
      <c r="DF23" s="1154">
        <f>VLOOKUP($A23,'New Resources - Individual'!$A$4:$Y$133,DF$2,FALSE)*DF$1</f>
        <v>0</v>
      </c>
      <c r="DG23" s="1116">
        <f>$G23+DF23</f>
        <v>0</v>
      </c>
      <c r="DH23" s="1117">
        <f>VLOOKUP($E23,DG$442:DJ$453,2,FALSE)*DG23*($K23)+IF($G23&gt;0,($H23/$G23)*DG23,0)*(1-$K23)</f>
        <v>0</v>
      </c>
      <c r="DI23" s="1117">
        <f>VLOOKUP($E23,DG$442:DJ$453,3,FALSE)*DG23*($K23)+IF($G23&gt;0,($I23/$G23)*DG23,0)*(1-$K23)</f>
        <v>0</v>
      </c>
      <c r="DJ23" s="1117">
        <f>VLOOKUP($E23,DG$442:DJ$453,4,FALSE)*DG23*($K23)+(DG23-DH23-DI23)*(1-$K23)</f>
        <v>0</v>
      </c>
      <c r="DK23" s="1118"/>
      <c r="DN23" s="1154">
        <f>VLOOKUP($A23,'New Resources - Individual'!$A$4:$Y$133,DN$2,FALSE)*DN$1</f>
        <v>0</v>
      </c>
      <c r="DO23" s="1116">
        <f>$G23+DN23</f>
        <v>0</v>
      </c>
      <c r="DP23" s="1117">
        <f>VLOOKUP($E23,DO$442:DR$453,2,FALSE)*DO23*($K23)+IF($G23&gt;0,($H23/$G23)*DO23,0)*(1-$K23)</f>
        <v>0</v>
      </c>
      <c r="DQ23" s="1117">
        <f>VLOOKUP($E23,DO$442:DR$453,3,FALSE)*DO23*($K23)+IF($G23&gt;0,($I23/$G23)*DO23,0)*(1-$K23)</f>
        <v>0</v>
      </c>
      <c r="DR23" s="1117">
        <f>VLOOKUP($E23,DO$442:DR$453,4,FALSE)*DO23*($K23)+(DO23-DP23-DQ23)*(1-$K23)</f>
        <v>0</v>
      </c>
      <c r="DS23" s="1118"/>
      <c r="DV23" s="1154">
        <f>VLOOKUP($A23,'New Resources - Individual'!$A$4:$Y$133,DV$2,FALSE)*DV$1</f>
        <v>0</v>
      </c>
      <c r="DW23" s="1116">
        <f>$G23+DV23</f>
        <v>0</v>
      </c>
      <c r="DX23" s="1117">
        <f>VLOOKUP($E23,DW$442:DZ$453,2,FALSE)*DW23*($K23)+IF($G23&gt;0,($H23/$G23)*DW23,0)*(1-$K23)</f>
        <v>0</v>
      </c>
      <c r="DY23" s="1117">
        <f>VLOOKUP($E23,DW$442:DZ$453,3,FALSE)*DW23*($K23)+IF($G23&gt;0,($I23/$G23)*DW23,0)*(1-$K23)</f>
        <v>0</v>
      </c>
      <c r="DZ23" s="1117">
        <f>VLOOKUP($E23,DW$442:DZ$453,4,FALSE)*DW23*($K23)+(DW23-DX23-DY23)*(1-$K23)</f>
        <v>0</v>
      </c>
      <c r="EA23" s="1118"/>
      <c r="ED23" s="1154">
        <f>VLOOKUP($A23,'New Resources - Individual'!$A$4:$Y$133,ED$2,FALSE)*ED$1</f>
        <v>0</v>
      </c>
      <c r="EE23" s="1116">
        <f>$G23+ED23</f>
        <v>0</v>
      </c>
      <c r="EF23" s="1117">
        <f>VLOOKUP($E23,EE$442:EH$453,2,FALSE)*EE23*($K23)+IF($G23&gt;0,($H23/$G23)*EE23,0)*(1-$K23)</f>
        <v>0</v>
      </c>
      <c r="EG23" s="1117">
        <f>VLOOKUP($E23,EE$442:EH$453,3,FALSE)*EE23*($K23)+IF($G23&gt;0,($I23/$G23)*EE23,0)*(1-$K23)</f>
        <v>0</v>
      </c>
      <c r="EH23" s="1117">
        <f>VLOOKUP($E23,EE$442:EH$453,4,FALSE)*EE23*($K23)+(EE23-EF23-EG23)*(1-$K23)</f>
        <v>0</v>
      </c>
      <c r="EI23" s="1118"/>
      <c r="EL23" s="1154">
        <f>VLOOKUP($A23,'New Resources - Individual'!$A$4:$Y$133,EL$2,FALSE)*EL$1</f>
        <v>0</v>
      </c>
      <c r="EM23" s="1116">
        <f>$G23+EL23</f>
        <v>0</v>
      </c>
      <c r="EN23" s="1117">
        <f>VLOOKUP($E23,EM$442:EP$453,2,FALSE)*EM23*($K23)+IF($G23&gt;0,($H23/$G23)*EM23,0)*(1-$K23)</f>
        <v>0</v>
      </c>
      <c r="EO23" s="1117">
        <f>VLOOKUP($E23,EM$442:EP$453,3,FALSE)*EM23*($K23)+IF($G23&gt;0,($I23/$G23)*EM23,0)*(1-$K23)</f>
        <v>0</v>
      </c>
      <c r="EP23" s="1117">
        <f>VLOOKUP($E23,EM$442:EP$453,4,FALSE)*EM23*($K23)+(EM23-EN23-EO23)*(1-$K23)</f>
        <v>0</v>
      </c>
      <c r="EQ23" s="1118"/>
      <c r="ET23" s="1154">
        <f>VLOOKUP($A23,'New Resources - Individual'!$A$4:$Y$133,ET$2,FALSE)*ET$1</f>
        <v>0</v>
      </c>
      <c r="EU23" s="1116">
        <f>$G23+ET23</f>
        <v>0</v>
      </c>
      <c r="EV23" s="1117">
        <f>VLOOKUP($E23,EU$442:EX$453,2,FALSE)*EU23*($K23)+IF($G23&gt;0,($H23/$G23)*EU23,0)*(1-$K23)</f>
        <v>0</v>
      </c>
      <c r="EW23" s="1117">
        <f>VLOOKUP($E23,EU$442:EX$453,3,FALSE)*EU23*($K23)+IF($G23&gt;0,($I23/$G23)*EU23,0)*(1-$K23)</f>
        <v>0</v>
      </c>
      <c r="EX23" s="1117">
        <f>VLOOKUP($E23,EU$442:EX$453,4,FALSE)*EU23*($K23)+(EU23-EV23-EW23)*(1-$K23)</f>
        <v>0</v>
      </c>
      <c r="EY23" s="1118"/>
      <c r="FB23" s="1154">
        <f>VLOOKUP($A23,'New Resources - Individual'!$A$4:$Y$133,FB$2,FALSE)*FB$1</f>
        <v>0</v>
      </c>
      <c r="FC23" s="1116">
        <f>$G23+FB23</f>
        <v>0</v>
      </c>
      <c r="FD23" s="1117">
        <f>VLOOKUP($E23,FC$442:FF$453,2,FALSE)*FC23*($K23)+IF($G23&gt;0,($H23/$G23)*FC23,0)*(1-$K23)</f>
        <v>0</v>
      </c>
      <c r="FE23" s="1117">
        <f>VLOOKUP($E23,FC$442:FF$453,3,FALSE)*FC23*($K23)+IF($G23&gt;0,($I23/$G23)*FC23,0)*(1-$K23)</f>
        <v>0</v>
      </c>
      <c r="FF23" s="1117">
        <f>VLOOKUP($E23,FC$442:FF$453,4,FALSE)*FC23*($K23)+(FC23-FD23-FE23)*(1-$K23)</f>
        <v>0</v>
      </c>
      <c r="FG23" s="1118"/>
      <c r="FJ23" s="1154">
        <f>VLOOKUP($A23,'New Resources - Individual'!$A$4:$Y$133,FJ$2,FALSE)*FJ$1</f>
        <v>0</v>
      </c>
      <c r="FK23" s="1116">
        <f>$G23+FJ23</f>
        <v>0</v>
      </c>
      <c r="FL23" s="1117">
        <f>VLOOKUP($E23,FK$442:FN$453,2,FALSE)*FK23*($K23)+IF($G23&gt;0,($H23/$G23)*FK23,0)*(1-$K23)</f>
        <v>0</v>
      </c>
      <c r="FM23" s="1117">
        <f>VLOOKUP($E23,FK$442:FN$453,3,FALSE)*FK23*($K23)+IF($G23&gt;0,($I23/$G23)*FK23,0)*(1-$K23)</f>
        <v>0</v>
      </c>
      <c r="FN23" s="1117">
        <f>VLOOKUP($E23,FK$442:FN$453,4,FALSE)*FK23*($K23)+(FK23-FL23-FM23)*(1-$K23)</f>
        <v>0</v>
      </c>
      <c r="FO23" s="1118"/>
    </row>
    <row r="24" spans="1:171">
      <c r="A24" s="1392">
        <v>380</v>
      </c>
      <c r="B24" s="220" t="s">
        <v>115</v>
      </c>
      <c r="C24" s="887" t="s">
        <v>70</v>
      </c>
      <c r="D24" s="888" t="s">
        <v>116</v>
      </c>
      <c r="E24" s="904" t="str">
        <f>'Sch 1- Rate Base '!E24</f>
        <v>PROD</v>
      </c>
      <c r="F24" s="889"/>
      <c r="G24" s="890">
        <f>'Sch 1- Rate Base '!G24</f>
        <v>791656686</v>
      </c>
      <c r="H24" s="890">
        <f>'Sch 1- Rate Base '!H24</f>
        <v>791656686</v>
      </c>
      <c r="I24" s="890">
        <f>'Sch 1- Rate Base '!I24</f>
        <v>0</v>
      </c>
      <c r="J24" s="1387">
        <f>'Sch 1- Rate Base '!J24</f>
        <v>0</v>
      </c>
      <c r="K24" s="903">
        <f>IF($E24="DIRECT",0,1)</f>
        <v>1</v>
      </c>
      <c r="N24" s="1154">
        <f>VLOOKUP($A24,'New Resources - Individual'!$A$4:$Y$133,N$2,FALSE)*N$1</f>
        <v>0</v>
      </c>
      <c r="O24" s="1116">
        <f>$G24+N24</f>
        <v>791656686</v>
      </c>
      <c r="P24" s="1117">
        <f>VLOOKUP($E24,O$442:R$453,2,FALSE)*O24*($K24)+IF($G24&gt;0,($H24/$G24)*O24,0)*(1-$K24)</f>
        <v>791656686</v>
      </c>
      <c r="Q24" s="1117">
        <f>VLOOKUP($E24,O$442:R$453,3,FALSE)*O24*($K24)+IF($G24&gt;0,($I24/$G24)*O24,0)*(1-$K24)</f>
        <v>0</v>
      </c>
      <c r="R24" s="1117">
        <f>VLOOKUP($E24,O$442:R$453,4,FALSE)*O24*($K24)+(O24-P24-Q24)*(1-$K24)</f>
        <v>0</v>
      </c>
      <c r="S24" s="1118"/>
      <c r="V24" s="1154">
        <f>VLOOKUP($A24,'New Resources - Individual'!$A$4:$Y$133,V$2,FALSE)*V$1</f>
        <v>0</v>
      </c>
      <c r="W24" s="1116">
        <f>$G24+V24</f>
        <v>791656686</v>
      </c>
      <c r="X24" s="1117">
        <f>VLOOKUP($E24,W$442:Z$453,2,FALSE)*W24*($K24)+IF($G24&gt;0,($H24/$G24)*W24,0)*(1-$K24)</f>
        <v>791656686</v>
      </c>
      <c r="Y24" s="1117">
        <f>VLOOKUP($E24,W$442:Z$453,3,FALSE)*W24*($K24)+IF($G24&gt;0,($I24/$G24)*W24,0)*(1-$K24)</f>
        <v>0</v>
      </c>
      <c r="Z24" s="1117">
        <f>VLOOKUP($E24,W$442:Z$453,4,FALSE)*W24*($K24)+(W24-X24-Y24)*(1-$K24)</f>
        <v>0</v>
      </c>
      <c r="AA24" s="1118">
        <v>1</v>
      </c>
      <c r="AD24" s="1154">
        <f>VLOOKUP($A24,'New Resources - Individual'!$A$4:$Y$133,AD$2,FALSE)*AD$1</f>
        <v>0</v>
      </c>
      <c r="AE24" s="1116">
        <f>$G24+AD24</f>
        <v>791656686</v>
      </c>
      <c r="AF24" s="1117">
        <f>VLOOKUP($E24,AE$442:AH$453,2,FALSE)*AE24*($K24)+IF($G24&gt;0,($H24/$G24)*AE24,0)*(1-$K24)</f>
        <v>791656686</v>
      </c>
      <c r="AG24" s="1117">
        <f>VLOOKUP($E24,AE$442:AH$453,3,FALSE)*AE24*($K24)+IF($G24&gt;0,($I24/$G24)*AE24,0)*(1-$K24)</f>
        <v>0</v>
      </c>
      <c r="AH24" s="1117">
        <f>VLOOKUP($E24,AE$442:AH$453,4,FALSE)*AE24*($K24)+(AE24-AF24-AG24)*(1-$K24)</f>
        <v>0</v>
      </c>
      <c r="AI24" s="1118"/>
      <c r="AL24" s="1154">
        <f>VLOOKUP($A24,'New Resources - Individual'!$A$4:$Y$133,AL$2,FALSE)*AL$1</f>
        <v>0</v>
      </c>
      <c r="AM24" s="1116">
        <f>$G24+AL24</f>
        <v>791656686</v>
      </c>
      <c r="AN24" s="1117">
        <f>VLOOKUP($E24,AM$442:AP$453,2,FALSE)*AM24*($K24)+IF($G24&gt;0,($H24/$G24)*AM24,0)*(1-$K24)</f>
        <v>791656686</v>
      </c>
      <c r="AO24" s="1117">
        <f>VLOOKUP($E24,AM$442:AP$453,3,FALSE)*AM24*($K24)+IF($G24&gt;0,($I24/$G24)*AM24,0)*(1-$K24)</f>
        <v>0</v>
      </c>
      <c r="AP24" s="1117">
        <f>VLOOKUP($E24,AM$442:AP$453,4,FALSE)*AM24*($K24)+(AM24-AN24-AO24)*(1-$K24)</f>
        <v>0</v>
      </c>
      <c r="AQ24" s="1118"/>
      <c r="AT24" s="1154">
        <f>VLOOKUP($A24,'New Resources - Individual'!$A$4:$Y$133,AT$2,FALSE)*AT$1</f>
        <v>0</v>
      </c>
      <c r="AU24" s="1116">
        <f>$G24+AT24</f>
        <v>791656686</v>
      </c>
      <c r="AV24" s="1117">
        <f>VLOOKUP($E24,AU$442:AX$453,2,FALSE)*AU24*($K24)+IF($G24&gt;0,($H24/$G24)*AU24,0)*(1-$K24)</f>
        <v>791656686</v>
      </c>
      <c r="AW24" s="1117">
        <f>VLOOKUP($E24,AU$442:AX$453,3,FALSE)*AU24*($K24)+IF($G24&gt;0,($I24/$G24)*AU24,0)*(1-$K24)</f>
        <v>0</v>
      </c>
      <c r="AX24" s="1117">
        <f>VLOOKUP($E24,AU$442:AX$453,4,FALSE)*AU24*($K24)+(AU24-AV24-AW24)*(1-$K24)</f>
        <v>0</v>
      </c>
      <c r="AY24" s="1118"/>
      <c r="BB24" s="1154">
        <f>VLOOKUP($A24,'New Resources - Individual'!$A$4:$Y$133,BB$2,FALSE)*BB$1</f>
        <v>0</v>
      </c>
      <c r="BC24" s="1116">
        <f>$G24+BB24</f>
        <v>791656686</v>
      </c>
      <c r="BD24" s="1117">
        <f>VLOOKUP($E24,BC$442:BF$453,2,FALSE)*BC24*($K24)+IF($G24&gt;0,($H24/$G24)*BC24,0)*(1-$K24)</f>
        <v>791656686</v>
      </c>
      <c r="BE24" s="1117">
        <f>VLOOKUP($E24,BC$442:BF$453,3,FALSE)*BC24*($K24)+IF($G24&gt;0,($I24/$G24)*BC24,0)*(1-$K24)</f>
        <v>0</v>
      </c>
      <c r="BF24" s="1117">
        <f>VLOOKUP($E24,BC$442:BF$453,4,FALSE)*BC24*($K24)+(BC24-BD24-BE24)*(1-$K24)</f>
        <v>0</v>
      </c>
      <c r="BG24" s="1118"/>
      <c r="BJ24" s="1154">
        <f>VLOOKUP($A24,'New Resources - Individual'!$A$4:$Y$133,BJ$2,FALSE)*BJ$1</f>
        <v>0</v>
      </c>
      <c r="BK24" s="1116">
        <f>$G24+BJ24</f>
        <v>791656686</v>
      </c>
      <c r="BL24" s="1117">
        <f>VLOOKUP($E24,BK$442:BN$453,2,FALSE)*BK24*($K24)+IF($G24&gt;0,($H24/$G24)*BK24,0)*(1-$K24)</f>
        <v>791656686</v>
      </c>
      <c r="BM24" s="1117">
        <f>VLOOKUP($E24,BK$442:BN$453,3,FALSE)*BK24*($K24)+IF($G24&gt;0,($I24/$G24)*BK24,0)*(1-$K24)</f>
        <v>0</v>
      </c>
      <c r="BN24" s="1117">
        <f>VLOOKUP($E24,BK$442:BN$453,4,FALSE)*BK24*($K24)+(BK24-BL24-BM24)*(1-$K24)</f>
        <v>0</v>
      </c>
      <c r="BO24" s="1118"/>
      <c r="BR24" s="1154">
        <f>VLOOKUP($A24,'New Resources - Individual'!$A$4:$Y$133,BR$2,FALSE)*BR$1</f>
        <v>0</v>
      </c>
      <c r="BS24" s="1116">
        <f>$G24+BR24</f>
        <v>791656686</v>
      </c>
      <c r="BT24" s="1117">
        <f>VLOOKUP($E24,BS$442:BV$453,2,FALSE)*BS24*($K24)+IF($G24&gt;0,($H24/$G24)*BS24,0)*(1-$K24)</f>
        <v>791656686</v>
      </c>
      <c r="BU24" s="1117">
        <f>VLOOKUP($E24,BS$442:BV$453,3,FALSE)*BS24*($K24)+IF($G24&gt;0,($I24/$G24)*BS24,0)*(1-$K24)</f>
        <v>0</v>
      </c>
      <c r="BV24" s="1117">
        <f>VLOOKUP($E24,BS$442:BV$453,4,FALSE)*BS24*($K24)+(BS24-BT24-BU24)*(1-$K24)</f>
        <v>0</v>
      </c>
      <c r="BW24" s="1118"/>
      <c r="BZ24" s="1154">
        <f>VLOOKUP($A24,'New Resources - Individual'!$A$4:$Y$133,BZ$2,FALSE)*BZ$1</f>
        <v>0</v>
      </c>
      <c r="CA24" s="1116">
        <f>$G24+BZ24</f>
        <v>791656686</v>
      </c>
      <c r="CB24" s="1117">
        <f>VLOOKUP($E24,CA$442:CD$453,2,FALSE)*CA24*($K24)+IF($G24&gt;0,($H24/$G24)*CA24,0)*(1-$K24)</f>
        <v>791656686</v>
      </c>
      <c r="CC24" s="1117">
        <f>VLOOKUP($E24,CA$442:CD$453,3,FALSE)*CA24*($K24)+IF($G24&gt;0,($I24/$G24)*CA24,0)*(1-$K24)</f>
        <v>0</v>
      </c>
      <c r="CD24" s="1117">
        <f>VLOOKUP($E24,CA$442:CD$453,4,FALSE)*CA24*($K24)+(CA24-CB24-CC24)*(1-$K24)</f>
        <v>0</v>
      </c>
      <c r="CE24" s="1118"/>
      <c r="CH24" s="1154">
        <f>VLOOKUP($A24,'New Resources - Individual'!$A$4:$Y$133,CH$2,FALSE)*CH$1</f>
        <v>0</v>
      </c>
      <c r="CI24" s="1116">
        <f>$G24+CH24</f>
        <v>791656686</v>
      </c>
      <c r="CJ24" s="1117">
        <f>VLOOKUP($E24,CI$442:CL$453,2,FALSE)*CI24*($K24)+IF($G24&gt;0,($H24/$G24)*CI24,0)*(1-$K24)</f>
        <v>791656686</v>
      </c>
      <c r="CK24" s="1117">
        <f>VLOOKUP($E24,CI$442:CL$453,3,FALSE)*CI24*($K24)+IF($G24&gt;0,($I24/$G24)*CI24,0)*(1-$K24)</f>
        <v>0</v>
      </c>
      <c r="CL24" s="1117">
        <f>VLOOKUP($E24,CI$442:CL$453,4,FALSE)*CI24*($K24)+(CI24-CJ24-CK24)*(1-$K24)</f>
        <v>0</v>
      </c>
      <c r="CM24" s="1118"/>
      <c r="CP24" s="1154">
        <f>VLOOKUP($A24,'New Resources - Individual'!$A$4:$Y$133,CP$2,FALSE)*CP$1</f>
        <v>0</v>
      </c>
      <c r="CQ24" s="1116">
        <f>$G24+CP24</f>
        <v>791656686</v>
      </c>
      <c r="CR24" s="1117">
        <f>VLOOKUP($E24,CQ$442:CT$453,2,FALSE)*CQ24*($K24)+IF($G24&gt;0,($H24/$G24)*CQ24,0)*(1-$K24)</f>
        <v>791656686</v>
      </c>
      <c r="CS24" s="1117">
        <f>VLOOKUP($E24,CQ$442:CT$453,3,FALSE)*CQ24*($K24)+IF($G24&gt;0,($I24/$G24)*CQ24,0)*(1-$K24)</f>
        <v>0</v>
      </c>
      <c r="CT24" s="1117">
        <f>VLOOKUP($E24,CQ$442:CT$453,4,FALSE)*CQ24*($K24)+(CQ24-CR24-CS24)*(1-$K24)</f>
        <v>0</v>
      </c>
      <c r="CU24" s="1118"/>
      <c r="CX24" s="1154">
        <f>VLOOKUP($A24,'New Resources - Individual'!$A$4:$Y$133,CX$2,FALSE)*CX$1</f>
        <v>0</v>
      </c>
      <c r="CY24" s="1116">
        <f>$G24+CX24</f>
        <v>791656686</v>
      </c>
      <c r="CZ24" s="1117">
        <f>VLOOKUP($E24,CY$442:DB$453,2,FALSE)*CY24*($K24)+IF($G24&gt;0,($H24/$G24)*CY24,0)*(1-$K24)</f>
        <v>791656686</v>
      </c>
      <c r="DA24" s="1117">
        <f>VLOOKUP($E24,CY$442:DB$453,3,FALSE)*CY24*($K24)+IF($G24&gt;0,($I24/$G24)*CY24,0)*(1-$K24)</f>
        <v>0</v>
      </c>
      <c r="DB24" s="1117">
        <f>VLOOKUP($E24,CY$442:DB$453,4,FALSE)*CY24*($K24)+(CY24-CZ24-DA24)*(1-$K24)</f>
        <v>0</v>
      </c>
      <c r="DC24" s="1118"/>
      <c r="DF24" s="1154">
        <f>VLOOKUP($A24,'New Resources - Individual'!$A$4:$Y$133,DF$2,FALSE)*DF$1</f>
        <v>0</v>
      </c>
      <c r="DG24" s="1116">
        <f>$G24+DF24</f>
        <v>791656686</v>
      </c>
      <c r="DH24" s="1117">
        <f>VLOOKUP($E24,DG$442:DJ$453,2,FALSE)*DG24*($K24)+IF($G24&gt;0,($H24/$G24)*DG24,0)*(1-$K24)</f>
        <v>791656686</v>
      </c>
      <c r="DI24" s="1117">
        <f>VLOOKUP($E24,DG$442:DJ$453,3,FALSE)*DG24*($K24)+IF($G24&gt;0,($I24/$G24)*DG24,0)*(1-$K24)</f>
        <v>0</v>
      </c>
      <c r="DJ24" s="1117">
        <f>VLOOKUP($E24,DG$442:DJ$453,4,FALSE)*DG24*($K24)+(DG24-DH24-DI24)*(1-$K24)</f>
        <v>0</v>
      </c>
      <c r="DK24" s="1118"/>
      <c r="DN24" s="1154">
        <f>VLOOKUP($A24,'New Resources - Individual'!$A$4:$Y$133,DN$2,FALSE)*DN$1</f>
        <v>0</v>
      </c>
      <c r="DO24" s="1116">
        <f>$G24+DN24</f>
        <v>791656686</v>
      </c>
      <c r="DP24" s="1117">
        <f>VLOOKUP($E24,DO$442:DR$453,2,FALSE)*DO24*($K24)+IF($G24&gt;0,($H24/$G24)*DO24,0)*(1-$K24)</f>
        <v>791656686</v>
      </c>
      <c r="DQ24" s="1117">
        <f>VLOOKUP($E24,DO$442:DR$453,3,FALSE)*DO24*($K24)+IF($G24&gt;0,($I24/$G24)*DO24,0)*(1-$K24)</f>
        <v>0</v>
      </c>
      <c r="DR24" s="1117">
        <f>VLOOKUP($E24,DO$442:DR$453,4,FALSE)*DO24*($K24)+(DO24-DP24-DQ24)*(1-$K24)</f>
        <v>0</v>
      </c>
      <c r="DS24" s="1118"/>
      <c r="DV24" s="1154">
        <f>VLOOKUP($A24,'New Resources - Individual'!$A$4:$Y$133,DV$2,FALSE)*DV$1</f>
        <v>0</v>
      </c>
      <c r="DW24" s="1116">
        <f>$G24+DV24</f>
        <v>791656686</v>
      </c>
      <c r="DX24" s="1117">
        <f>VLOOKUP($E24,DW$442:DZ$453,2,FALSE)*DW24*($K24)+IF($G24&gt;0,($H24/$G24)*DW24,0)*(1-$K24)</f>
        <v>791656686</v>
      </c>
      <c r="DY24" s="1117">
        <f>VLOOKUP($E24,DW$442:DZ$453,3,FALSE)*DW24*($K24)+IF($G24&gt;0,($I24/$G24)*DW24,0)*(1-$K24)</f>
        <v>0</v>
      </c>
      <c r="DZ24" s="1117">
        <f>VLOOKUP($E24,DW$442:DZ$453,4,FALSE)*DW24*($K24)+(DW24-DX24-DY24)*(1-$K24)</f>
        <v>0</v>
      </c>
      <c r="EA24" s="1118"/>
      <c r="ED24" s="1154">
        <f>VLOOKUP($A24,'New Resources - Individual'!$A$4:$Y$133,ED$2,FALSE)*ED$1</f>
        <v>0</v>
      </c>
      <c r="EE24" s="1116">
        <f>$G24+ED24</f>
        <v>791656686</v>
      </c>
      <c r="EF24" s="1117">
        <f>VLOOKUP($E24,EE$442:EH$453,2,FALSE)*EE24*($K24)+IF($G24&gt;0,($H24/$G24)*EE24,0)*(1-$K24)</f>
        <v>791656686</v>
      </c>
      <c r="EG24" s="1117">
        <f>VLOOKUP($E24,EE$442:EH$453,3,FALSE)*EE24*($K24)+IF($G24&gt;0,($I24/$G24)*EE24,0)*(1-$K24)</f>
        <v>0</v>
      </c>
      <c r="EH24" s="1117">
        <f>VLOOKUP($E24,EE$442:EH$453,4,FALSE)*EE24*($K24)+(EE24-EF24-EG24)*(1-$K24)</f>
        <v>0</v>
      </c>
      <c r="EI24" s="1118"/>
      <c r="EL24" s="1154">
        <f>VLOOKUP($A24,'New Resources - Individual'!$A$4:$Y$133,EL$2,FALSE)*EL$1</f>
        <v>0</v>
      </c>
      <c r="EM24" s="1116">
        <f>$G24+EL24</f>
        <v>791656686</v>
      </c>
      <c r="EN24" s="1117">
        <f>VLOOKUP($E24,EM$442:EP$453,2,FALSE)*EM24*($K24)+IF($G24&gt;0,($H24/$G24)*EM24,0)*(1-$K24)</f>
        <v>791656686</v>
      </c>
      <c r="EO24" s="1117">
        <f>VLOOKUP($E24,EM$442:EP$453,3,FALSE)*EM24*($K24)+IF($G24&gt;0,($I24/$G24)*EM24,0)*(1-$K24)</f>
        <v>0</v>
      </c>
      <c r="EP24" s="1117">
        <f>VLOOKUP($E24,EM$442:EP$453,4,FALSE)*EM24*($K24)+(EM24-EN24-EO24)*(1-$K24)</f>
        <v>0</v>
      </c>
      <c r="EQ24" s="1118"/>
      <c r="ET24" s="1154">
        <f>VLOOKUP($A24,'New Resources - Individual'!$A$4:$Y$133,ET$2,FALSE)*ET$1</f>
        <v>0</v>
      </c>
      <c r="EU24" s="1116">
        <f>$G24+ET24</f>
        <v>791656686</v>
      </c>
      <c r="EV24" s="1117">
        <f>VLOOKUP($E24,EU$442:EX$453,2,FALSE)*EU24*($K24)+IF($G24&gt;0,($H24/$G24)*EU24,0)*(1-$K24)</f>
        <v>791656686</v>
      </c>
      <c r="EW24" s="1117">
        <f>VLOOKUP($E24,EU$442:EX$453,3,FALSE)*EU24*($K24)+IF($G24&gt;0,($I24/$G24)*EU24,0)*(1-$K24)</f>
        <v>0</v>
      </c>
      <c r="EX24" s="1117">
        <f>VLOOKUP($E24,EU$442:EX$453,4,FALSE)*EU24*($K24)+(EU24-EV24-EW24)*(1-$K24)</f>
        <v>0</v>
      </c>
      <c r="EY24" s="1118"/>
      <c r="FB24" s="1154">
        <f>VLOOKUP($A24,'New Resources - Individual'!$A$4:$Y$133,FB$2,FALSE)*FB$1</f>
        <v>0</v>
      </c>
      <c r="FC24" s="1116">
        <f>$G24+FB24</f>
        <v>791656686</v>
      </c>
      <c r="FD24" s="1117">
        <f>VLOOKUP($E24,FC$442:FF$453,2,FALSE)*FC24*($K24)+IF($G24&gt;0,($H24/$G24)*FC24,0)*(1-$K24)</f>
        <v>791656686</v>
      </c>
      <c r="FE24" s="1117">
        <f>VLOOKUP($E24,FC$442:FF$453,3,FALSE)*FC24*($K24)+IF($G24&gt;0,($I24/$G24)*FC24,0)*(1-$K24)</f>
        <v>0</v>
      </c>
      <c r="FF24" s="1117">
        <f>VLOOKUP($E24,FC$442:FF$453,4,FALSE)*FC24*($K24)+(FC24-FD24-FE24)*(1-$K24)</f>
        <v>0</v>
      </c>
      <c r="FG24" s="1118"/>
      <c r="FJ24" s="1154">
        <f>VLOOKUP($A24,'New Resources - Individual'!$A$4:$Y$133,FJ$2,FALSE)*FJ$1</f>
        <v>0</v>
      </c>
      <c r="FK24" s="1116">
        <f>$G24+FJ24</f>
        <v>791656686</v>
      </c>
      <c r="FL24" s="1117">
        <f>VLOOKUP($E24,FK$442:FN$453,2,FALSE)*FK24*($K24)+IF($G24&gt;0,($H24/$G24)*FK24,0)*(1-$K24)</f>
        <v>791656686</v>
      </c>
      <c r="FM24" s="1117">
        <f>VLOOKUP($E24,FK$442:FN$453,3,FALSE)*FK24*($K24)+IF($G24&gt;0,($I24/$G24)*FK24,0)*(1-$K24)</f>
        <v>0</v>
      </c>
      <c r="FN24" s="1117">
        <f>VLOOKUP($E24,FK$442:FN$453,4,FALSE)*FK24*($K24)+(FK24-FL24-FM24)*(1-$K24)</f>
        <v>0</v>
      </c>
      <c r="FO24" s="1118"/>
    </row>
    <row r="25" spans="1:171">
      <c r="A25" s="1392">
        <v>480</v>
      </c>
      <c r="B25" s="220" t="s">
        <v>117</v>
      </c>
      <c r="C25" s="887" t="s">
        <v>70</v>
      </c>
      <c r="D25" s="888" t="s">
        <v>118</v>
      </c>
      <c r="E25" s="904" t="str">
        <f>'Sch 1- Rate Base '!E25</f>
        <v>PROD</v>
      </c>
      <c r="F25" s="889"/>
      <c r="G25" s="890">
        <f>'Sch 1- Rate Base '!G25</f>
        <v>327526210</v>
      </c>
      <c r="H25" s="890">
        <f>'Sch 1- Rate Base '!H25</f>
        <v>327526210</v>
      </c>
      <c r="I25" s="890">
        <f>'Sch 1- Rate Base '!I25</f>
        <v>0</v>
      </c>
      <c r="J25" s="1387">
        <f>'Sch 1- Rate Base '!J25</f>
        <v>0</v>
      </c>
      <c r="K25" s="903">
        <f>IF($E25="DIRECT",0,1)</f>
        <v>1</v>
      </c>
      <c r="N25" s="1154">
        <f>VLOOKUP($A25,'New Resources - Individual'!$A$4:$Y$133,N$2,FALSE)*N$1</f>
        <v>0</v>
      </c>
      <c r="O25" s="1116">
        <f>$G25+N25</f>
        <v>327526210</v>
      </c>
      <c r="P25" s="1117">
        <f>VLOOKUP($E25,O$442:R$453,2,FALSE)*O25*($K25)+IF($G25&gt;0,($H25/$G25)*O25,0)*(1-$K25)</f>
        <v>327526210</v>
      </c>
      <c r="Q25" s="1117">
        <f>VLOOKUP($E25,O$442:R$453,3,FALSE)*O25*($K25)+IF($G25&gt;0,($I25/$G25)*O25,0)*(1-$K25)</f>
        <v>0</v>
      </c>
      <c r="R25" s="1117">
        <f>VLOOKUP($E25,O$442:R$453,4,FALSE)*O25*($K25)+(O25-P25-Q25)*(1-$K25)</f>
        <v>0</v>
      </c>
      <c r="S25" s="1118"/>
      <c r="V25" s="1154">
        <f>VLOOKUP($A25,'New Resources - Individual'!$A$4:$Y$133,V$2,FALSE)*V$1</f>
        <v>0</v>
      </c>
      <c r="W25" s="1116">
        <f>$G25+V25</f>
        <v>327526210</v>
      </c>
      <c r="X25" s="1117">
        <f>VLOOKUP($E25,W$442:Z$453,2,FALSE)*W25*($K25)+IF($G25&gt;0,($H25/$G25)*W25,0)*(1-$K25)</f>
        <v>327526210</v>
      </c>
      <c r="Y25" s="1117">
        <f>VLOOKUP($E25,W$442:Z$453,3,FALSE)*W25*($K25)+IF($G25&gt;0,($I25/$G25)*W25,0)*(1-$K25)</f>
        <v>0</v>
      </c>
      <c r="Z25" s="1117">
        <f>VLOOKUP($E25,W$442:Z$453,4,FALSE)*W25*($K25)+(W25-X25-Y25)*(1-$K25)</f>
        <v>0</v>
      </c>
      <c r="AA25" s="1118">
        <v>1</v>
      </c>
      <c r="AD25" s="1154">
        <f>VLOOKUP($A25,'New Resources - Individual'!$A$4:$Y$133,AD$2,FALSE)*AD$1</f>
        <v>0</v>
      </c>
      <c r="AE25" s="1116">
        <f>$G25+AD25</f>
        <v>327526210</v>
      </c>
      <c r="AF25" s="1117">
        <f>VLOOKUP($E25,AE$442:AH$453,2,FALSE)*AE25*($K25)+IF($G25&gt;0,($H25/$G25)*AE25,0)*(1-$K25)</f>
        <v>327526210</v>
      </c>
      <c r="AG25" s="1117">
        <f>VLOOKUP($E25,AE$442:AH$453,3,FALSE)*AE25*($K25)+IF($G25&gt;0,($I25/$G25)*AE25,0)*(1-$K25)</f>
        <v>0</v>
      </c>
      <c r="AH25" s="1117">
        <f>VLOOKUP($E25,AE$442:AH$453,4,FALSE)*AE25*($K25)+(AE25-AF25-AG25)*(1-$K25)</f>
        <v>0</v>
      </c>
      <c r="AI25" s="1118"/>
      <c r="AL25" s="1154">
        <f>VLOOKUP($A25,'New Resources - Individual'!$A$4:$Y$133,AL$2,FALSE)*AL$1</f>
        <v>0</v>
      </c>
      <c r="AM25" s="1116">
        <f>$G25+AL25</f>
        <v>327526210</v>
      </c>
      <c r="AN25" s="1117">
        <f>VLOOKUP($E25,AM$442:AP$453,2,FALSE)*AM25*($K25)+IF($G25&gt;0,($H25/$G25)*AM25,0)*(1-$K25)</f>
        <v>327526210</v>
      </c>
      <c r="AO25" s="1117">
        <f>VLOOKUP($E25,AM$442:AP$453,3,FALSE)*AM25*($K25)+IF($G25&gt;0,($I25/$G25)*AM25,0)*(1-$K25)</f>
        <v>0</v>
      </c>
      <c r="AP25" s="1117">
        <f>VLOOKUP($E25,AM$442:AP$453,4,FALSE)*AM25*($K25)+(AM25-AN25-AO25)*(1-$K25)</f>
        <v>0</v>
      </c>
      <c r="AQ25" s="1118"/>
      <c r="AT25" s="1154">
        <f>VLOOKUP($A25,'New Resources - Individual'!$A$4:$Y$133,AT$2,FALSE)*AT$1</f>
        <v>0</v>
      </c>
      <c r="AU25" s="1116">
        <f>$G25+AT25</f>
        <v>327526210</v>
      </c>
      <c r="AV25" s="1117">
        <f>VLOOKUP($E25,AU$442:AX$453,2,FALSE)*AU25*($K25)+IF($G25&gt;0,($H25/$G25)*AU25,0)*(1-$K25)</f>
        <v>327526210</v>
      </c>
      <c r="AW25" s="1117">
        <f>VLOOKUP($E25,AU$442:AX$453,3,FALSE)*AU25*($K25)+IF($G25&gt;0,($I25/$G25)*AU25,0)*(1-$K25)</f>
        <v>0</v>
      </c>
      <c r="AX25" s="1117">
        <f>VLOOKUP($E25,AU$442:AX$453,4,FALSE)*AU25*($K25)+(AU25-AV25-AW25)*(1-$K25)</f>
        <v>0</v>
      </c>
      <c r="AY25" s="1118"/>
      <c r="BB25" s="1154">
        <f>VLOOKUP($A25,'New Resources - Individual'!$A$4:$Y$133,BB$2,FALSE)*BB$1</f>
        <v>0</v>
      </c>
      <c r="BC25" s="1116">
        <f>$G25+BB25</f>
        <v>327526210</v>
      </c>
      <c r="BD25" s="1117">
        <f>VLOOKUP($E25,BC$442:BF$453,2,FALSE)*BC25*($K25)+IF($G25&gt;0,($H25/$G25)*BC25,0)*(1-$K25)</f>
        <v>327526210</v>
      </c>
      <c r="BE25" s="1117">
        <f>VLOOKUP($E25,BC$442:BF$453,3,FALSE)*BC25*($K25)+IF($G25&gt;0,($I25/$G25)*BC25,0)*(1-$K25)</f>
        <v>0</v>
      </c>
      <c r="BF25" s="1117">
        <f>VLOOKUP($E25,BC$442:BF$453,4,FALSE)*BC25*($K25)+(BC25-BD25-BE25)*(1-$K25)</f>
        <v>0</v>
      </c>
      <c r="BG25" s="1118"/>
      <c r="BJ25" s="1154">
        <f>VLOOKUP($A25,'New Resources - Individual'!$A$4:$Y$133,BJ$2,FALSE)*BJ$1</f>
        <v>0</v>
      </c>
      <c r="BK25" s="1116">
        <f>$G25+BJ25</f>
        <v>327526210</v>
      </c>
      <c r="BL25" s="1117">
        <f>VLOOKUP($E25,BK$442:BN$453,2,FALSE)*BK25*($K25)+IF($G25&gt;0,($H25/$G25)*BK25,0)*(1-$K25)</f>
        <v>327526210</v>
      </c>
      <c r="BM25" s="1117">
        <f>VLOOKUP($E25,BK$442:BN$453,3,FALSE)*BK25*($K25)+IF($G25&gt;0,($I25/$G25)*BK25,0)*(1-$K25)</f>
        <v>0</v>
      </c>
      <c r="BN25" s="1117">
        <f>VLOOKUP($E25,BK$442:BN$453,4,FALSE)*BK25*($K25)+(BK25-BL25-BM25)*(1-$K25)</f>
        <v>0</v>
      </c>
      <c r="BO25" s="1118"/>
      <c r="BR25" s="1154">
        <f>VLOOKUP($A25,'New Resources - Individual'!$A$4:$Y$133,BR$2,FALSE)*BR$1</f>
        <v>0</v>
      </c>
      <c r="BS25" s="1116">
        <f>$G25+BR25</f>
        <v>327526210</v>
      </c>
      <c r="BT25" s="1117">
        <f>VLOOKUP($E25,BS$442:BV$453,2,FALSE)*BS25*($K25)+IF($G25&gt;0,($H25/$G25)*BS25,0)*(1-$K25)</f>
        <v>327526210</v>
      </c>
      <c r="BU25" s="1117">
        <f>VLOOKUP($E25,BS$442:BV$453,3,FALSE)*BS25*($K25)+IF($G25&gt;0,($I25/$G25)*BS25,0)*(1-$K25)</f>
        <v>0</v>
      </c>
      <c r="BV25" s="1117">
        <f>VLOOKUP($E25,BS$442:BV$453,4,FALSE)*BS25*($K25)+(BS25-BT25-BU25)*(1-$K25)</f>
        <v>0</v>
      </c>
      <c r="BW25" s="1118"/>
      <c r="BZ25" s="1154">
        <f>VLOOKUP($A25,'New Resources - Individual'!$A$4:$Y$133,BZ$2,FALSE)*BZ$1</f>
        <v>0</v>
      </c>
      <c r="CA25" s="1116">
        <f>$G25+BZ25</f>
        <v>327526210</v>
      </c>
      <c r="CB25" s="1117">
        <f>VLOOKUP($E25,CA$442:CD$453,2,FALSE)*CA25*($K25)+IF($G25&gt;0,($H25/$G25)*CA25,0)*(1-$K25)</f>
        <v>327526210</v>
      </c>
      <c r="CC25" s="1117">
        <f>VLOOKUP($E25,CA$442:CD$453,3,FALSE)*CA25*($K25)+IF($G25&gt;0,($I25/$G25)*CA25,0)*(1-$K25)</f>
        <v>0</v>
      </c>
      <c r="CD25" s="1117">
        <f>VLOOKUP($E25,CA$442:CD$453,4,FALSE)*CA25*($K25)+(CA25-CB25-CC25)*(1-$K25)</f>
        <v>0</v>
      </c>
      <c r="CE25" s="1118"/>
      <c r="CH25" s="1154">
        <f>VLOOKUP($A25,'New Resources - Individual'!$A$4:$Y$133,CH$2,FALSE)*CH$1</f>
        <v>0</v>
      </c>
      <c r="CI25" s="1116">
        <f>$G25+CH25</f>
        <v>327526210</v>
      </c>
      <c r="CJ25" s="1117">
        <f>VLOOKUP($E25,CI$442:CL$453,2,FALSE)*CI25*($K25)+IF($G25&gt;0,($H25/$G25)*CI25,0)*(1-$K25)</f>
        <v>327526210</v>
      </c>
      <c r="CK25" s="1117">
        <f>VLOOKUP($E25,CI$442:CL$453,3,FALSE)*CI25*($K25)+IF($G25&gt;0,($I25/$G25)*CI25,0)*(1-$K25)</f>
        <v>0</v>
      </c>
      <c r="CL25" s="1117">
        <f>VLOOKUP($E25,CI$442:CL$453,4,FALSE)*CI25*($K25)+(CI25-CJ25-CK25)*(1-$K25)</f>
        <v>0</v>
      </c>
      <c r="CM25" s="1118"/>
      <c r="CP25" s="1154">
        <f>VLOOKUP($A25,'New Resources - Individual'!$A$4:$Y$133,CP$2,FALSE)*CP$1</f>
        <v>0</v>
      </c>
      <c r="CQ25" s="1116">
        <f>$G25+CP25</f>
        <v>327526210</v>
      </c>
      <c r="CR25" s="1117">
        <f>VLOOKUP($E25,CQ$442:CT$453,2,FALSE)*CQ25*($K25)+IF($G25&gt;0,($H25/$G25)*CQ25,0)*(1-$K25)</f>
        <v>327526210</v>
      </c>
      <c r="CS25" s="1117">
        <f>VLOOKUP($E25,CQ$442:CT$453,3,FALSE)*CQ25*($K25)+IF($G25&gt;0,($I25/$G25)*CQ25,0)*(1-$K25)</f>
        <v>0</v>
      </c>
      <c r="CT25" s="1117">
        <f>VLOOKUP($E25,CQ$442:CT$453,4,FALSE)*CQ25*($K25)+(CQ25-CR25-CS25)*(1-$K25)</f>
        <v>0</v>
      </c>
      <c r="CU25" s="1118"/>
      <c r="CX25" s="1154">
        <f>VLOOKUP($A25,'New Resources - Individual'!$A$4:$Y$133,CX$2,FALSE)*CX$1</f>
        <v>0</v>
      </c>
      <c r="CY25" s="1116">
        <f>$G25+CX25</f>
        <v>327526210</v>
      </c>
      <c r="CZ25" s="1117">
        <f>VLOOKUP($E25,CY$442:DB$453,2,FALSE)*CY25*($K25)+IF($G25&gt;0,($H25/$G25)*CY25,0)*(1-$K25)</f>
        <v>327526210</v>
      </c>
      <c r="DA25" s="1117">
        <f>VLOOKUP($E25,CY$442:DB$453,3,FALSE)*CY25*($K25)+IF($G25&gt;0,($I25/$G25)*CY25,0)*(1-$K25)</f>
        <v>0</v>
      </c>
      <c r="DB25" s="1117">
        <f>VLOOKUP($E25,CY$442:DB$453,4,FALSE)*CY25*($K25)+(CY25-CZ25-DA25)*(1-$K25)</f>
        <v>0</v>
      </c>
      <c r="DC25" s="1118"/>
      <c r="DF25" s="1154">
        <f>VLOOKUP($A25,'New Resources - Individual'!$A$4:$Y$133,DF$2,FALSE)*DF$1</f>
        <v>0</v>
      </c>
      <c r="DG25" s="1116">
        <f>$G25+DF25</f>
        <v>327526210</v>
      </c>
      <c r="DH25" s="1117">
        <f>VLOOKUP($E25,DG$442:DJ$453,2,FALSE)*DG25*($K25)+IF($G25&gt;0,($H25/$G25)*DG25,0)*(1-$K25)</f>
        <v>327526210</v>
      </c>
      <c r="DI25" s="1117">
        <f>VLOOKUP($E25,DG$442:DJ$453,3,FALSE)*DG25*($K25)+IF($G25&gt;0,($I25/$G25)*DG25,0)*(1-$K25)</f>
        <v>0</v>
      </c>
      <c r="DJ25" s="1117">
        <f>VLOOKUP($E25,DG$442:DJ$453,4,FALSE)*DG25*($K25)+(DG25-DH25-DI25)*(1-$K25)</f>
        <v>0</v>
      </c>
      <c r="DK25" s="1118"/>
      <c r="DN25" s="1154">
        <f>VLOOKUP($A25,'New Resources - Individual'!$A$4:$Y$133,DN$2,FALSE)*DN$1</f>
        <v>0</v>
      </c>
      <c r="DO25" s="1116">
        <f>$G25+DN25</f>
        <v>327526210</v>
      </c>
      <c r="DP25" s="1117">
        <f>VLOOKUP($E25,DO$442:DR$453,2,FALSE)*DO25*($K25)+IF($G25&gt;0,($H25/$G25)*DO25,0)*(1-$K25)</f>
        <v>327526210</v>
      </c>
      <c r="DQ25" s="1117">
        <f>VLOOKUP($E25,DO$442:DR$453,3,FALSE)*DO25*($K25)+IF($G25&gt;0,($I25/$G25)*DO25,0)*(1-$K25)</f>
        <v>0</v>
      </c>
      <c r="DR25" s="1117">
        <f>VLOOKUP($E25,DO$442:DR$453,4,FALSE)*DO25*($K25)+(DO25-DP25-DQ25)*(1-$K25)</f>
        <v>0</v>
      </c>
      <c r="DS25" s="1118"/>
      <c r="DV25" s="1154">
        <f>VLOOKUP($A25,'New Resources - Individual'!$A$4:$Y$133,DV$2,FALSE)*DV$1</f>
        <v>0</v>
      </c>
      <c r="DW25" s="1116">
        <f>$G25+DV25</f>
        <v>327526210</v>
      </c>
      <c r="DX25" s="1117">
        <f>VLOOKUP($E25,DW$442:DZ$453,2,FALSE)*DW25*($K25)+IF($G25&gt;0,($H25/$G25)*DW25,0)*(1-$K25)</f>
        <v>327526210</v>
      </c>
      <c r="DY25" s="1117">
        <f>VLOOKUP($E25,DW$442:DZ$453,3,FALSE)*DW25*($K25)+IF($G25&gt;0,($I25/$G25)*DW25,0)*(1-$K25)</f>
        <v>0</v>
      </c>
      <c r="DZ25" s="1117">
        <f>VLOOKUP($E25,DW$442:DZ$453,4,FALSE)*DW25*($K25)+(DW25-DX25-DY25)*(1-$K25)</f>
        <v>0</v>
      </c>
      <c r="EA25" s="1118"/>
      <c r="ED25" s="1154">
        <f>VLOOKUP($A25,'New Resources - Individual'!$A$4:$Y$133,ED$2,FALSE)*ED$1</f>
        <v>0</v>
      </c>
      <c r="EE25" s="1116">
        <f>$G25+ED25</f>
        <v>327526210</v>
      </c>
      <c r="EF25" s="1117">
        <f>VLOOKUP($E25,EE$442:EH$453,2,FALSE)*EE25*($K25)+IF($G25&gt;0,($H25/$G25)*EE25,0)*(1-$K25)</f>
        <v>327526210</v>
      </c>
      <c r="EG25" s="1117">
        <f>VLOOKUP($E25,EE$442:EH$453,3,FALSE)*EE25*($K25)+IF($G25&gt;0,($I25/$G25)*EE25,0)*(1-$K25)</f>
        <v>0</v>
      </c>
      <c r="EH25" s="1117">
        <f>VLOOKUP($E25,EE$442:EH$453,4,FALSE)*EE25*($K25)+(EE25-EF25-EG25)*(1-$K25)</f>
        <v>0</v>
      </c>
      <c r="EI25" s="1118"/>
      <c r="EL25" s="1154">
        <f>VLOOKUP($A25,'New Resources - Individual'!$A$4:$Y$133,EL$2,FALSE)*EL$1</f>
        <v>0</v>
      </c>
      <c r="EM25" s="1116">
        <f>$G25+EL25</f>
        <v>327526210</v>
      </c>
      <c r="EN25" s="1117">
        <f>VLOOKUP($E25,EM$442:EP$453,2,FALSE)*EM25*($K25)+IF($G25&gt;0,($H25/$G25)*EM25,0)*(1-$K25)</f>
        <v>327526210</v>
      </c>
      <c r="EO25" s="1117">
        <f>VLOOKUP($E25,EM$442:EP$453,3,FALSE)*EM25*($K25)+IF($G25&gt;0,($I25/$G25)*EM25,0)*(1-$K25)</f>
        <v>0</v>
      </c>
      <c r="EP25" s="1117">
        <f>VLOOKUP($E25,EM$442:EP$453,4,FALSE)*EM25*($K25)+(EM25-EN25-EO25)*(1-$K25)</f>
        <v>0</v>
      </c>
      <c r="EQ25" s="1118"/>
      <c r="ET25" s="1154">
        <f>VLOOKUP($A25,'New Resources - Individual'!$A$4:$Y$133,ET$2,FALSE)*ET$1</f>
        <v>0</v>
      </c>
      <c r="EU25" s="1116">
        <f>$G25+ET25</f>
        <v>327526210</v>
      </c>
      <c r="EV25" s="1117">
        <f>VLOOKUP($E25,EU$442:EX$453,2,FALSE)*EU25*($K25)+IF($G25&gt;0,($H25/$G25)*EU25,0)*(1-$K25)</f>
        <v>327526210</v>
      </c>
      <c r="EW25" s="1117">
        <f>VLOOKUP($E25,EU$442:EX$453,3,FALSE)*EU25*($K25)+IF($G25&gt;0,($I25/$G25)*EU25,0)*(1-$K25)</f>
        <v>0</v>
      </c>
      <c r="EX25" s="1117">
        <f>VLOOKUP($E25,EU$442:EX$453,4,FALSE)*EU25*($K25)+(EU25-EV25-EW25)*(1-$K25)</f>
        <v>0</v>
      </c>
      <c r="EY25" s="1118"/>
      <c r="FB25" s="1154">
        <f>VLOOKUP($A25,'New Resources - Individual'!$A$4:$Y$133,FB$2,FALSE)*FB$1</f>
        <v>0</v>
      </c>
      <c r="FC25" s="1116">
        <f>$G25+FB25</f>
        <v>327526210</v>
      </c>
      <c r="FD25" s="1117">
        <f>VLOOKUP($E25,FC$442:FF$453,2,FALSE)*FC25*($K25)+IF($G25&gt;0,($H25/$G25)*FC25,0)*(1-$K25)</f>
        <v>327526210</v>
      </c>
      <c r="FE25" s="1117">
        <f>VLOOKUP($E25,FC$442:FF$453,3,FALSE)*FC25*($K25)+IF($G25&gt;0,($I25/$G25)*FC25,0)*(1-$K25)</f>
        <v>0</v>
      </c>
      <c r="FF25" s="1117">
        <f>VLOOKUP($E25,FC$442:FF$453,4,FALSE)*FC25*($K25)+(FC25-FD25-FE25)*(1-$K25)</f>
        <v>0</v>
      </c>
      <c r="FG25" s="1118"/>
      <c r="FJ25" s="1154">
        <f>VLOOKUP($A25,'New Resources - Individual'!$A$4:$Y$133,FJ$2,FALSE)*FJ$1</f>
        <v>0</v>
      </c>
      <c r="FK25" s="1116">
        <f>$G25+FJ25</f>
        <v>327526210</v>
      </c>
      <c r="FL25" s="1117">
        <f>VLOOKUP($E25,FK$442:FN$453,2,FALSE)*FK25*($K25)+IF($G25&gt;0,($H25/$G25)*FK25,0)*(1-$K25)</f>
        <v>327526210</v>
      </c>
      <c r="FM25" s="1117">
        <f>VLOOKUP($E25,FK$442:FN$453,3,FALSE)*FK25*($K25)+IF($G25&gt;0,($I25/$G25)*FK25,0)*(1-$K25)</f>
        <v>0</v>
      </c>
      <c r="FN25" s="1117">
        <f>VLOOKUP($E25,FK$442:FN$453,4,FALSE)*FK25*($K25)+(FK25-FL25-FM25)*(1-$K25)</f>
        <v>0</v>
      </c>
      <c r="FO25" s="1118"/>
    </row>
    <row r="26" spans="1:171">
      <c r="A26" s="1389" t="s">
        <v>119</v>
      </c>
      <c r="B26" s="897"/>
      <c r="C26" s="894"/>
      <c r="D26" s="895"/>
      <c r="E26" s="895"/>
      <c r="F26" s="896"/>
      <c r="G26" s="905">
        <f>SUM(G22:G25)</f>
        <v>1613875938</v>
      </c>
      <c r="H26" s="905">
        <f>SUM(H22:H25)</f>
        <v>1613875938</v>
      </c>
      <c r="I26" s="905">
        <f>SUM(I22:I25)</f>
        <v>0</v>
      </c>
      <c r="J26" s="1388">
        <f>SUM(J22:J25)</f>
        <v>0</v>
      </c>
      <c r="K26" s="903"/>
      <c r="O26" s="905">
        <f>SUM(O22:O25)</f>
        <v>1613875938</v>
      </c>
      <c r="P26" s="905">
        <f>SUM(P22:P25)</f>
        <v>1613875938</v>
      </c>
      <c r="Q26" s="905">
        <f>SUM(Q22:Q25)</f>
        <v>0</v>
      </c>
      <c r="R26" s="905">
        <f>SUM(R22:R25)</f>
        <v>0</v>
      </c>
      <c r="S26" s="1118"/>
      <c r="W26" s="905">
        <f>SUM(W22:W25)</f>
        <v>1613875938</v>
      </c>
      <c r="X26" s="905">
        <f>SUM(X22:X25)</f>
        <v>1613875938</v>
      </c>
      <c r="Y26" s="905">
        <f>SUM(Y22:Y25)</f>
        <v>0</v>
      </c>
      <c r="Z26" s="905">
        <f>SUM(Z22:Z25)</f>
        <v>0</v>
      </c>
      <c r="AA26" s="1118"/>
      <c r="AE26" s="905">
        <f>SUM(AE22:AE25)</f>
        <v>1613875938</v>
      </c>
      <c r="AF26" s="905">
        <f>SUM(AF22:AF25)</f>
        <v>1613875938</v>
      </c>
      <c r="AG26" s="905">
        <f>SUM(AG22:AG25)</f>
        <v>0</v>
      </c>
      <c r="AH26" s="905">
        <f>SUM(AH22:AH25)</f>
        <v>0</v>
      </c>
      <c r="AI26" s="1118"/>
      <c r="AM26" s="905">
        <f>SUM(AM22:AM25)</f>
        <v>1613875938</v>
      </c>
      <c r="AN26" s="905">
        <f>SUM(AN22:AN25)</f>
        <v>1613875938</v>
      </c>
      <c r="AO26" s="905">
        <f>SUM(AO22:AO25)</f>
        <v>0</v>
      </c>
      <c r="AP26" s="905">
        <f>SUM(AP22:AP25)</f>
        <v>0</v>
      </c>
      <c r="AQ26" s="1118"/>
      <c r="AU26" s="905">
        <f>SUM(AU22:AU25)</f>
        <v>1613875938</v>
      </c>
      <c r="AV26" s="905">
        <f>SUM(AV22:AV25)</f>
        <v>1613875938</v>
      </c>
      <c r="AW26" s="905">
        <f>SUM(AW22:AW25)</f>
        <v>0</v>
      </c>
      <c r="AX26" s="905">
        <f>SUM(AX22:AX25)</f>
        <v>0</v>
      </c>
      <c r="AY26" s="1118"/>
      <c r="BC26" s="905">
        <f>SUM(BC22:BC25)</f>
        <v>1613875938</v>
      </c>
      <c r="BD26" s="905">
        <f>SUM(BD22:BD25)</f>
        <v>1613875938</v>
      </c>
      <c r="BE26" s="905">
        <f>SUM(BE22:BE25)</f>
        <v>0</v>
      </c>
      <c r="BF26" s="905">
        <f>SUM(BF22:BF25)</f>
        <v>0</v>
      </c>
      <c r="BG26" s="1118"/>
      <c r="BK26" s="905">
        <f>SUM(BK22:BK25)</f>
        <v>1613875938</v>
      </c>
      <c r="BL26" s="905">
        <f>SUM(BL22:BL25)</f>
        <v>1613875938</v>
      </c>
      <c r="BM26" s="905">
        <f>SUM(BM22:BM25)</f>
        <v>0</v>
      </c>
      <c r="BN26" s="905">
        <f>SUM(BN22:BN25)</f>
        <v>0</v>
      </c>
      <c r="BO26" s="1118"/>
      <c r="BS26" s="905">
        <f>SUM(BS22:BS25)</f>
        <v>1613875938</v>
      </c>
      <c r="BT26" s="905">
        <f>SUM(BT22:BT25)</f>
        <v>1613875938</v>
      </c>
      <c r="BU26" s="905">
        <f>SUM(BU22:BU25)</f>
        <v>0</v>
      </c>
      <c r="BV26" s="905">
        <f>SUM(BV22:BV25)</f>
        <v>0</v>
      </c>
      <c r="BW26" s="1118"/>
      <c r="CA26" s="905">
        <f>SUM(CA22:CA25)</f>
        <v>1613875938</v>
      </c>
      <c r="CB26" s="905">
        <f>SUM(CB22:CB25)</f>
        <v>1613875938</v>
      </c>
      <c r="CC26" s="905">
        <f>SUM(CC22:CC25)</f>
        <v>0</v>
      </c>
      <c r="CD26" s="905">
        <f>SUM(CD22:CD25)</f>
        <v>0</v>
      </c>
      <c r="CE26" s="1118"/>
      <c r="CI26" s="905">
        <f>SUM(CI22:CI25)</f>
        <v>1613875938</v>
      </c>
      <c r="CJ26" s="905">
        <f>SUM(CJ22:CJ25)</f>
        <v>1613875938</v>
      </c>
      <c r="CK26" s="905">
        <f>SUM(CK22:CK25)</f>
        <v>0</v>
      </c>
      <c r="CL26" s="905">
        <f>SUM(CL22:CL25)</f>
        <v>0</v>
      </c>
      <c r="CM26" s="1118"/>
      <c r="CQ26" s="905">
        <f>SUM(CQ22:CQ25)</f>
        <v>1613875938</v>
      </c>
      <c r="CR26" s="905">
        <f>SUM(CR22:CR25)</f>
        <v>1613875938</v>
      </c>
      <c r="CS26" s="905">
        <f>SUM(CS22:CS25)</f>
        <v>0</v>
      </c>
      <c r="CT26" s="905">
        <f>SUM(CT22:CT25)</f>
        <v>0</v>
      </c>
      <c r="CU26" s="1118"/>
      <c r="CY26" s="905">
        <f>SUM(CY22:CY25)</f>
        <v>1613875938</v>
      </c>
      <c r="CZ26" s="905">
        <f>SUM(CZ22:CZ25)</f>
        <v>1613875938</v>
      </c>
      <c r="DA26" s="905">
        <f>SUM(DA22:DA25)</f>
        <v>0</v>
      </c>
      <c r="DB26" s="905">
        <f>SUM(DB22:DB25)</f>
        <v>0</v>
      </c>
      <c r="DC26" s="1118"/>
      <c r="DG26" s="905">
        <f>SUM(DG22:DG25)</f>
        <v>1613875938</v>
      </c>
      <c r="DH26" s="905">
        <f>SUM(DH22:DH25)</f>
        <v>1613875938</v>
      </c>
      <c r="DI26" s="905">
        <f>SUM(DI22:DI25)</f>
        <v>0</v>
      </c>
      <c r="DJ26" s="905">
        <f>SUM(DJ22:DJ25)</f>
        <v>0</v>
      </c>
      <c r="DK26" s="1118"/>
      <c r="DO26" s="905">
        <f>SUM(DO22:DO25)</f>
        <v>1613875938</v>
      </c>
      <c r="DP26" s="905">
        <f>SUM(DP22:DP25)</f>
        <v>1613875938</v>
      </c>
      <c r="DQ26" s="905">
        <f>SUM(DQ22:DQ25)</f>
        <v>0</v>
      </c>
      <c r="DR26" s="905">
        <f>SUM(DR22:DR25)</f>
        <v>0</v>
      </c>
      <c r="DS26" s="1118"/>
      <c r="DW26" s="905">
        <f>SUM(DW22:DW25)</f>
        <v>1613875938</v>
      </c>
      <c r="DX26" s="905">
        <f>SUM(DX22:DX25)</f>
        <v>1613875938</v>
      </c>
      <c r="DY26" s="905">
        <f>SUM(DY22:DY25)</f>
        <v>0</v>
      </c>
      <c r="DZ26" s="905">
        <f>SUM(DZ22:DZ25)</f>
        <v>0</v>
      </c>
      <c r="EA26" s="1118"/>
      <c r="EE26" s="905">
        <f>SUM(EE22:EE25)</f>
        <v>1613875938</v>
      </c>
      <c r="EF26" s="905">
        <f>SUM(EF22:EF25)</f>
        <v>1613875938</v>
      </c>
      <c r="EG26" s="905">
        <f>SUM(EG22:EG25)</f>
        <v>0</v>
      </c>
      <c r="EH26" s="905">
        <f>SUM(EH22:EH25)</f>
        <v>0</v>
      </c>
      <c r="EI26" s="1118"/>
      <c r="EM26" s="905">
        <f>SUM(EM22:EM25)</f>
        <v>1613875938</v>
      </c>
      <c r="EN26" s="905">
        <f>SUM(EN22:EN25)</f>
        <v>1613875938</v>
      </c>
      <c r="EO26" s="905">
        <f>SUM(EO22:EO25)</f>
        <v>0</v>
      </c>
      <c r="EP26" s="905">
        <f>SUM(EP22:EP25)</f>
        <v>0</v>
      </c>
      <c r="EQ26" s="1118"/>
      <c r="EU26" s="905">
        <f>SUM(EU22:EU25)</f>
        <v>1613875938</v>
      </c>
      <c r="EV26" s="905">
        <f>SUM(EV22:EV25)</f>
        <v>1613875938</v>
      </c>
      <c r="EW26" s="905">
        <f>SUM(EW22:EW25)</f>
        <v>0</v>
      </c>
      <c r="EX26" s="905">
        <f>SUM(EX22:EX25)</f>
        <v>0</v>
      </c>
      <c r="EY26" s="1118"/>
      <c r="FC26" s="905">
        <f>SUM(FC22:FC25)</f>
        <v>1613875938</v>
      </c>
      <c r="FD26" s="905">
        <f>SUM(FD22:FD25)</f>
        <v>1613875938</v>
      </c>
      <c r="FE26" s="905">
        <f>SUM(FE22:FE25)</f>
        <v>0</v>
      </c>
      <c r="FF26" s="905">
        <f>SUM(FF22:FF25)</f>
        <v>0</v>
      </c>
      <c r="FG26" s="1118"/>
      <c r="FK26" s="905">
        <f>SUM(FK22:FK25)</f>
        <v>1613875938</v>
      </c>
      <c r="FL26" s="905">
        <f>SUM(FL22:FL25)</f>
        <v>1613875938</v>
      </c>
      <c r="FM26" s="905">
        <f>SUM(FM22:FM25)</f>
        <v>0</v>
      </c>
      <c r="FN26" s="905">
        <f>SUM(FN22:FN25)</f>
        <v>0</v>
      </c>
      <c r="FO26" s="1118"/>
    </row>
    <row r="27" spans="1:171">
      <c r="A27" s="906"/>
      <c r="B27" s="907"/>
      <c r="C27" s="51"/>
      <c r="D27" s="51"/>
      <c r="E27" s="908"/>
      <c r="F27" s="908"/>
      <c r="G27" s="39"/>
      <c r="H27" s="39"/>
      <c r="I27" s="39"/>
      <c r="J27" s="909"/>
      <c r="K27" s="903"/>
      <c r="S27" s="1118"/>
      <c r="AA27" s="1118"/>
      <c r="AI27" s="1118"/>
      <c r="AQ27" s="1118"/>
      <c r="AY27" s="1118"/>
      <c r="BG27" s="1118"/>
      <c r="BO27" s="1118"/>
      <c r="BW27" s="1118"/>
      <c r="CE27" s="1118"/>
      <c r="CM27" s="1118"/>
      <c r="CU27" s="1118"/>
      <c r="DC27" s="1118"/>
      <c r="DK27" s="1118"/>
      <c r="DS27" s="1118"/>
      <c r="EA27" s="1118"/>
      <c r="EI27" s="1118"/>
      <c r="EQ27" s="1118"/>
      <c r="EY27" s="1118"/>
      <c r="FG27" s="1118"/>
      <c r="FO27" s="1118"/>
    </row>
    <row r="28" spans="1:171">
      <c r="A28" s="199" t="s">
        <v>142</v>
      </c>
      <c r="B28" s="220"/>
      <c r="C28" s="55"/>
      <c r="D28" s="55"/>
      <c r="E28" s="180"/>
      <c r="F28" s="180"/>
      <c r="G28" s="910"/>
      <c r="H28" s="910"/>
      <c r="I28" s="910"/>
      <c r="J28" s="911"/>
      <c r="K28" s="903"/>
      <c r="S28" s="1118"/>
      <c r="AA28" s="1118"/>
      <c r="AI28" s="1118"/>
      <c r="AQ28" s="1118"/>
      <c r="AY28" s="1118"/>
      <c r="BG28" s="1118"/>
      <c r="BO28" s="1118"/>
      <c r="BW28" s="1118"/>
      <c r="CE28" s="1118"/>
      <c r="CM28" s="1118"/>
      <c r="CU28" s="1118"/>
      <c r="DC28" s="1118"/>
      <c r="DK28" s="1118"/>
      <c r="DS28" s="1118"/>
      <c r="EA28" s="1118"/>
      <c r="EI28" s="1118"/>
      <c r="EQ28" s="1118"/>
      <c r="EY28" s="1118"/>
      <c r="FG28" s="1118"/>
      <c r="FO28" s="1118"/>
    </row>
    <row r="29" spans="1:171">
      <c r="A29" s="1392">
        <v>840</v>
      </c>
      <c r="B29" s="220" t="s">
        <v>530</v>
      </c>
      <c r="C29" s="887" t="s">
        <v>70</v>
      </c>
      <c r="D29" s="888" t="s">
        <v>120</v>
      </c>
      <c r="E29" s="904" t="str">
        <f>'Sch 1- Rate Base '!E29</f>
        <v>TRANS</v>
      </c>
      <c r="F29" s="889"/>
      <c r="G29" s="890">
        <f>'Sch 1- Rate Base '!G29</f>
        <v>1057719030</v>
      </c>
      <c r="H29" s="890">
        <f>'Sch 1- Rate Base '!H29</f>
        <v>0</v>
      </c>
      <c r="I29" s="890">
        <f>'Sch 1- Rate Base '!I29</f>
        <v>0</v>
      </c>
      <c r="J29" s="1387">
        <f>'Sch 1- Rate Base '!J29</f>
        <v>1057719030</v>
      </c>
      <c r="K29" s="903">
        <f>IF($E29="DIRECT",0,1)</f>
        <v>1</v>
      </c>
      <c r="N29" s="1154">
        <f>VLOOKUP($A29,'New Resources - Individual'!$A$4:$Y$133,N$2,FALSE)*N$1</f>
        <v>0</v>
      </c>
      <c r="O29" s="1116">
        <f>$G29+N29</f>
        <v>1057719030</v>
      </c>
      <c r="P29" s="1117">
        <f>VLOOKUP($E29,O$442:R$453,2,FALSE)*O29*($K29)+IF($G29&gt;0,($H29/$G29)*O29,0)*(1-$K29)</f>
        <v>0</v>
      </c>
      <c r="Q29" s="1117">
        <f>VLOOKUP($E29,O$442:R$453,3,FALSE)*O29*($K29)+IF($G29&gt;0,($I29/$G29)*O29,0)*(1-$K29)</f>
        <v>1057719030</v>
      </c>
      <c r="R29" s="1117">
        <f>VLOOKUP($E29,O$442:R$453,4,FALSE)*O29*($K29)+(O29-P29-Q29)*(1-$K29)</f>
        <v>0</v>
      </c>
      <c r="S29" s="1118"/>
      <c r="V29" s="1154">
        <f>VLOOKUP($A29,'New Resources - Individual'!$A$4:$Y$133,V$2,FALSE)*V$1</f>
        <v>0</v>
      </c>
      <c r="W29" s="1116">
        <f>$G29+V29</f>
        <v>1057719030</v>
      </c>
      <c r="X29" s="1117">
        <f>VLOOKUP($E29,W$442:Z$453,2,FALSE)*W29*($K29)+IF($G29&gt;0,($H29/$G29)*W29,0)*(1-$K29)</f>
        <v>0</v>
      </c>
      <c r="Y29" s="1117">
        <f>VLOOKUP($E29,W$442:Z$453,3,FALSE)*W29*($K29)+IF($G29&gt;0,($I29/$G29)*W29,0)*(1-$K29)</f>
        <v>1057719030</v>
      </c>
      <c r="Z29" s="1117">
        <f>VLOOKUP($E29,W$442:Z$453,4,FALSE)*W29*($K29)+(W29-X29-Y29)*(1-$K29)</f>
        <v>0</v>
      </c>
      <c r="AA29" s="1118"/>
      <c r="AD29" s="1154">
        <f>VLOOKUP($A29,'New Resources - Individual'!$A$4:$Y$133,AD$2,FALSE)*AD$1</f>
        <v>0</v>
      </c>
      <c r="AE29" s="1116">
        <f>$G29+AD29</f>
        <v>1057719030</v>
      </c>
      <c r="AF29" s="1117">
        <f>VLOOKUP($E29,AE$442:AH$453,2,FALSE)*AE29*($K29)+IF($G29&gt;0,($H29/$G29)*AE29,0)*(1-$K29)</f>
        <v>0</v>
      </c>
      <c r="AG29" s="1117">
        <f>VLOOKUP($E29,AE$442:AH$453,3,FALSE)*AE29*($K29)+IF($G29&gt;0,($I29/$G29)*AE29,0)*(1-$K29)</f>
        <v>1057719030</v>
      </c>
      <c r="AH29" s="1117">
        <f>VLOOKUP($E29,AE$442:AH$453,4,FALSE)*AE29*($K29)+(AE29-AF29-AG29)*(1-$K29)</f>
        <v>0</v>
      </c>
      <c r="AI29" s="1118"/>
      <c r="AL29" s="1154">
        <f>VLOOKUP($A29,'New Resources - Individual'!$A$4:$Y$133,AL$2,FALSE)*AL$1</f>
        <v>0</v>
      </c>
      <c r="AM29" s="1116">
        <f>$G29+AL29</f>
        <v>1057719030</v>
      </c>
      <c r="AN29" s="1117">
        <f>VLOOKUP($E29,AM$442:AP$453,2,FALSE)*AM29*($K29)+IF($G29&gt;0,($H29/$G29)*AM29,0)*(1-$K29)</f>
        <v>0</v>
      </c>
      <c r="AO29" s="1117">
        <f>VLOOKUP($E29,AM$442:AP$453,3,FALSE)*AM29*($K29)+IF($G29&gt;0,($I29/$G29)*AM29,0)*(1-$K29)</f>
        <v>1057719030</v>
      </c>
      <c r="AP29" s="1117">
        <f>VLOOKUP($E29,AM$442:AP$453,4,FALSE)*AM29*($K29)+(AM29-AN29-AO29)*(1-$K29)</f>
        <v>0</v>
      </c>
      <c r="AQ29" s="1118"/>
      <c r="AT29" s="1154">
        <f>VLOOKUP($A29,'New Resources - Individual'!$A$4:$Y$133,AT$2,FALSE)*AT$1</f>
        <v>0</v>
      </c>
      <c r="AU29" s="1116">
        <f>$G29+AT29</f>
        <v>1057719030</v>
      </c>
      <c r="AV29" s="1117">
        <f>VLOOKUP($E29,AU$442:AX$453,2,FALSE)*AU29*($K29)+IF($G29&gt;0,($H29/$G29)*AU29,0)*(1-$K29)</f>
        <v>0</v>
      </c>
      <c r="AW29" s="1117">
        <f>VLOOKUP($E29,AU$442:AX$453,3,FALSE)*AU29*($K29)+IF($G29&gt;0,($I29/$G29)*AU29,0)*(1-$K29)</f>
        <v>1057719030</v>
      </c>
      <c r="AX29" s="1117">
        <f>VLOOKUP($E29,AU$442:AX$453,4,FALSE)*AU29*($K29)+(AU29-AV29-AW29)*(1-$K29)</f>
        <v>0</v>
      </c>
      <c r="AY29" s="1118"/>
      <c r="BB29" s="1154">
        <f>VLOOKUP($A29,'New Resources - Individual'!$A$4:$Y$133,BB$2,FALSE)*BB$1</f>
        <v>0</v>
      </c>
      <c r="BC29" s="1116">
        <f>$G29+BB29</f>
        <v>1057719030</v>
      </c>
      <c r="BD29" s="1117">
        <f>VLOOKUP($E29,BC$442:BF$453,2,FALSE)*BC29*($K29)+IF($G29&gt;0,($H29/$G29)*BC29,0)*(1-$K29)</f>
        <v>0</v>
      </c>
      <c r="BE29" s="1117">
        <f>VLOOKUP($E29,BC$442:BF$453,3,FALSE)*BC29*($K29)+IF($G29&gt;0,($I29/$G29)*BC29,0)*(1-$K29)</f>
        <v>1057719030</v>
      </c>
      <c r="BF29" s="1117">
        <f>VLOOKUP($E29,BC$442:BF$453,4,FALSE)*BC29*($K29)+(BC29-BD29-BE29)*(1-$K29)</f>
        <v>0</v>
      </c>
      <c r="BG29" s="1118"/>
      <c r="BJ29" s="1154">
        <f>VLOOKUP($A29,'New Resources - Individual'!$A$4:$Y$133,BJ$2,FALSE)*BJ$1</f>
        <v>0</v>
      </c>
      <c r="BK29" s="1116">
        <f>$G29+BJ29</f>
        <v>1057719030</v>
      </c>
      <c r="BL29" s="1117">
        <f>VLOOKUP($E29,BK$442:BN$453,2,FALSE)*BK29*($K29)+IF($G29&gt;0,($H29/$G29)*BK29,0)*(1-$K29)</f>
        <v>0</v>
      </c>
      <c r="BM29" s="1117">
        <f>VLOOKUP($E29,BK$442:BN$453,3,FALSE)*BK29*($K29)+IF($G29&gt;0,($I29/$G29)*BK29,0)*(1-$K29)</f>
        <v>1057719030</v>
      </c>
      <c r="BN29" s="1117">
        <f>VLOOKUP($E29,BK$442:BN$453,4,FALSE)*BK29*($K29)+(BK29-BL29-BM29)*(1-$K29)</f>
        <v>0</v>
      </c>
      <c r="BO29" s="1118"/>
      <c r="BR29" s="1154">
        <f>VLOOKUP($A29,'New Resources - Individual'!$A$4:$Y$133,BR$2,FALSE)*BR$1</f>
        <v>0</v>
      </c>
      <c r="BS29" s="1116">
        <f>$G29+BR29</f>
        <v>1057719030</v>
      </c>
      <c r="BT29" s="1117">
        <f>VLOOKUP($E29,BS$442:BV$453,2,FALSE)*BS29*($K29)+IF($G29&gt;0,($H29/$G29)*BS29,0)*(1-$K29)</f>
        <v>0</v>
      </c>
      <c r="BU29" s="1117">
        <f>VLOOKUP($E29,BS$442:BV$453,3,FALSE)*BS29*($K29)+IF($G29&gt;0,($I29/$G29)*BS29,0)*(1-$K29)</f>
        <v>1057719030</v>
      </c>
      <c r="BV29" s="1117">
        <f>VLOOKUP($E29,BS$442:BV$453,4,FALSE)*BS29*($K29)+(BS29-BT29-BU29)*(1-$K29)</f>
        <v>0</v>
      </c>
      <c r="BW29" s="1118"/>
      <c r="BZ29" s="1154">
        <f>VLOOKUP($A29,'New Resources - Individual'!$A$4:$Y$133,BZ$2,FALSE)*BZ$1</f>
        <v>0</v>
      </c>
      <c r="CA29" s="1116">
        <f>$G29+BZ29</f>
        <v>1057719030</v>
      </c>
      <c r="CB29" s="1117">
        <f>VLOOKUP($E29,CA$442:CD$453,2,FALSE)*CA29*($K29)+IF($G29&gt;0,($H29/$G29)*CA29,0)*(1-$K29)</f>
        <v>0</v>
      </c>
      <c r="CC29" s="1117">
        <f>VLOOKUP($E29,CA$442:CD$453,3,FALSE)*CA29*($K29)+IF($G29&gt;0,($I29/$G29)*CA29,0)*(1-$K29)</f>
        <v>1057719030</v>
      </c>
      <c r="CD29" s="1117">
        <f>VLOOKUP($E29,CA$442:CD$453,4,FALSE)*CA29*($K29)+(CA29-CB29-CC29)*(1-$K29)</f>
        <v>0</v>
      </c>
      <c r="CE29" s="1118"/>
      <c r="CH29" s="1154">
        <f>VLOOKUP($A29,'New Resources - Individual'!$A$4:$Y$133,CH$2,FALSE)*CH$1</f>
        <v>0</v>
      </c>
      <c r="CI29" s="1116">
        <f>$G29+CH29</f>
        <v>1057719030</v>
      </c>
      <c r="CJ29" s="1117">
        <f>VLOOKUP($E29,CI$442:CL$453,2,FALSE)*CI29*($K29)+IF($G29&gt;0,($H29/$G29)*CI29,0)*(1-$K29)</f>
        <v>0</v>
      </c>
      <c r="CK29" s="1117">
        <f>VLOOKUP($E29,CI$442:CL$453,3,FALSE)*CI29*($K29)+IF($G29&gt;0,($I29/$G29)*CI29,0)*(1-$K29)</f>
        <v>1057719030</v>
      </c>
      <c r="CL29" s="1117">
        <f>VLOOKUP($E29,CI$442:CL$453,4,FALSE)*CI29*($K29)+(CI29-CJ29-CK29)*(1-$K29)</f>
        <v>0</v>
      </c>
      <c r="CM29" s="1118"/>
      <c r="CP29" s="1154">
        <f>VLOOKUP($A29,'New Resources - Individual'!$A$4:$Y$133,CP$2,FALSE)*CP$1</f>
        <v>0</v>
      </c>
      <c r="CQ29" s="1116">
        <f>$G29+CP29</f>
        <v>1057719030</v>
      </c>
      <c r="CR29" s="1117">
        <f>VLOOKUP($E29,CQ$442:CT$453,2,FALSE)*CQ29*($K29)+IF($G29&gt;0,($H29/$G29)*CQ29,0)*(1-$K29)</f>
        <v>0</v>
      </c>
      <c r="CS29" s="1117">
        <f>VLOOKUP($E29,CQ$442:CT$453,3,FALSE)*CQ29*($K29)+IF($G29&gt;0,($I29/$G29)*CQ29,0)*(1-$K29)</f>
        <v>1057719030</v>
      </c>
      <c r="CT29" s="1117">
        <f>VLOOKUP($E29,CQ$442:CT$453,4,FALSE)*CQ29*($K29)+(CQ29-CR29-CS29)*(1-$K29)</f>
        <v>0</v>
      </c>
      <c r="CU29" s="1118"/>
      <c r="CX29" s="1154">
        <f>VLOOKUP($A29,'New Resources - Individual'!$A$4:$Y$133,CX$2,FALSE)*CX$1</f>
        <v>0</v>
      </c>
      <c r="CY29" s="1116">
        <f>$G29+CX29</f>
        <v>1057719030</v>
      </c>
      <c r="CZ29" s="1117">
        <f>VLOOKUP($E29,CY$442:DB$453,2,FALSE)*CY29*($K29)+IF($G29&gt;0,($H29/$G29)*CY29,0)*(1-$K29)</f>
        <v>0</v>
      </c>
      <c r="DA29" s="1117">
        <f>VLOOKUP($E29,CY$442:DB$453,3,FALSE)*CY29*($K29)+IF($G29&gt;0,($I29/$G29)*CY29,0)*(1-$K29)</f>
        <v>1057719030</v>
      </c>
      <c r="DB29" s="1117">
        <f>VLOOKUP($E29,CY$442:DB$453,4,FALSE)*CY29*($K29)+(CY29-CZ29-DA29)*(1-$K29)</f>
        <v>0</v>
      </c>
      <c r="DC29" s="1118"/>
      <c r="DF29" s="1154">
        <f>VLOOKUP($A29,'New Resources - Individual'!$A$4:$Y$133,DF$2,FALSE)*DF$1</f>
        <v>0</v>
      </c>
      <c r="DG29" s="1116">
        <f>$G29+DF29</f>
        <v>1057719030</v>
      </c>
      <c r="DH29" s="1117">
        <f>VLOOKUP($E29,DG$442:DJ$453,2,FALSE)*DG29*($K29)+IF($G29&gt;0,($H29/$G29)*DG29,0)*(1-$K29)</f>
        <v>0</v>
      </c>
      <c r="DI29" s="1117">
        <f>VLOOKUP($E29,DG$442:DJ$453,3,FALSE)*DG29*($K29)+IF($G29&gt;0,($I29/$G29)*DG29,0)*(1-$K29)</f>
        <v>1057719030</v>
      </c>
      <c r="DJ29" s="1117">
        <f>VLOOKUP($E29,DG$442:DJ$453,4,FALSE)*DG29*($K29)+(DG29-DH29-DI29)*(1-$K29)</f>
        <v>0</v>
      </c>
      <c r="DK29" s="1118"/>
      <c r="DN29" s="1154">
        <f>VLOOKUP($A29,'New Resources - Individual'!$A$4:$Y$133,DN$2,FALSE)*DN$1</f>
        <v>0</v>
      </c>
      <c r="DO29" s="1116">
        <f>$G29+DN29</f>
        <v>1057719030</v>
      </c>
      <c r="DP29" s="1117">
        <f>VLOOKUP($E29,DO$442:DR$453,2,FALSE)*DO29*($K29)+IF($G29&gt;0,($H29/$G29)*DO29,0)*(1-$K29)</f>
        <v>0</v>
      </c>
      <c r="DQ29" s="1117">
        <f>VLOOKUP($E29,DO$442:DR$453,3,FALSE)*DO29*($K29)+IF($G29&gt;0,($I29/$G29)*DO29,0)*(1-$K29)</f>
        <v>1057719030</v>
      </c>
      <c r="DR29" s="1117">
        <f>VLOOKUP($E29,DO$442:DR$453,4,FALSE)*DO29*($K29)+(DO29-DP29-DQ29)*(1-$K29)</f>
        <v>0</v>
      </c>
      <c r="DS29" s="1118"/>
      <c r="DV29" s="1154">
        <f>VLOOKUP($A29,'New Resources - Individual'!$A$4:$Y$133,DV$2,FALSE)*DV$1</f>
        <v>0</v>
      </c>
      <c r="DW29" s="1116">
        <f>$G29+DV29</f>
        <v>1057719030</v>
      </c>
      <c r="DX29" s="1117">
        <f>VLOOKUP($E29,DW$442:DZ$453,2,FALSE)*DW29*($K29)+IF($G29&gt;0,($H29/$G29)*DW29,0)*(1-$K29)</f>
        <v>0</v>
      </c>
      <c r="DY29" s="1117">
        <f>VLOOKUP($E29,DW$442:DZ$453,3,FALSE)*DW29*($K29)+IF($G29&gt;0,($I29/$G29)*DW29,0)*(1-$K29)</f>
        <v>1057719030</v>
      </c>
      <c r="DZ29" s="1117">
        <f>VLOOKUP($E29,DW$442:DZ$453,4,FALSE)*DW29*($K29)+(DW29-DX29-DY29)*(1-$K29)</f>
        <v>0</v>
      </c>
      <c r="EA29" s="1118"/>
      <c r="ED29" s="1154">
        <f>VLOOKUP($A29,'New Resources - Individual'!$A$4:$Y$133,ED$2,FALSE)*ED$1</f>
        <v>0</v>
      </c>
      <c r="EE29" s="1116">
        <f>$G29+ED29</f>
        <v>1057719030</v>
      </c>
      <c r="EF29" s="1117">
        <f>VLOOKUP($E29,EE$442:EH$453,2,FALSE)*EE29*($K29)+IF($G29&gt;0,($H29/$G29)*EE29,0)*(1-$K29)</f>
        <v>0</v>
      </c>
      <c r="EG29" s="1117">
        <f>VLOOKUP($E29,EE$442:EH$453,3,FALSE)*EE29*($K29)+IF($G29&gt;0,($I29/$G29)*EE29,0)*(1-$K29)</f>
        <v>1057719030</v>
      </c>
      <c r="EH29" s="1117">
        <f>VLOOKUP($E29,EE$442:EH$453,4,FALSE)*EE29*($K29)+(EE29-EF29-EG29)*(1-$K29)</f>
        <v>0</v>
      </c>
      <c r="EI29" s="1118"/>
      <c r="EL29" s="1154">
        <f>VLOOKUP($A29,'New Resources - Individual'!$A$4:$Y$133,EL$2,FALSE)*EL$1</f>
        <v>0</v>
      </c>
      <c r="EM29" s="1116">
        <f>$G29+EL29</f>
        <v>1057719030</v>
      </c>
      <c r="EN29" s="1117">
        <f>VLOOKUP($E29,EM$442:EP$453,2,FALSE)*EM29*($K29)+IF($G29&gt;0,($H29/$G29)*EM29,0)*(1-$K29)</f>
        <v>0</v>
      </c>
      <c r="EO29" s="1117">
        <f>VLOOKUP($E29,EM$442:EP$453,3,FALSE)*EM29*($K29)+IF($G29&gt;0,($I29/$G29)*EM29,0)*(1-$K29)</f>
        <v>1057719030</v>
      </c>
      <c r="EP29" s="1117">
        <f>VLOOKUP($E29,EM$442:EP$453,4,FALSE)*EM29*($K29)+(EM29-EN29-EO29)*(1-$K29)</f>
        <v>0</v>
      </c>
      <c r="EQ29" s="1118"/>
      <c r="ET29" s="1154">
        <f>VLOOKUP($A29,'New Resources - Individual'!$A$4:$Y$133,ET$2,FALSE)*ET$1</f>
        <v>0</v>
      </c>
      <c r="EU29" s="1116">
        <f>$G29+ET29</f>
        <v>1057719030</v>
      </c>
      <c r="EV29" s="1117">
        <f>VLOOKUP($E29,EU$442:EX$453,2,FALSE)*EU29*($K29)+IF($G29&gt;0,($H29/$G29)*EU29,0)*(1-$K29)</f>
        <v>0</v>
      </c>
      <c r="EW29" s="1117">
        <f>VLOOKUP($E29,EU$442:EX$453,3,FALSE)*EU29*($K29)+IF($G29&gt;0,($I29/$G29)*EU29,0)*(1-$K29)</f>
        <v>1057719030</v>
      </c>
      <c r="EX29" s="1117">
        <f>VLOOKUP($E29,EU$442:EX$453,4,FALSE)*EU29*($K29)+(EU29-EV29-EW29)*(1-$K29)</f>
        <v>0</v>
      </c>
      <c r="EY29" s="1118"/>
      <c r="FB29" s="1154">
        <f>VLOOKUP($A29,'New Resources - Individual'!$A$4:$Y$133,FB$2,FALSE)*FB$1</f>
        <v>0</v>
      </c>
      <c r="FC29" s="1116">
        <f>$G29+FB29</f>
        <v>1057719030</v>
      </c>
      <c r="FD29" s="1117">
        <f>VLOOKUP($E29,FC$442:FF$453,2,FALSE)*FC29*($K29)+IF($G29&gt;0,($H29/$G29)*FC29,0)*(1-$K29)</f>
        <v>0</v>
      </c>
      <c r="FE29" s="1117">
        <f>VLOOKUP($E29,FC$442:FF$453,3,FALSE)*FC29*($K29)+IF($G29&gt;0,($I29/$G29)*FC29,0)*(1-$K29)</f>
        <v>1057719030</v>
      </c>
      <c r="FF29" s="1117">
        <f>VLOOKUP($E29,FC$442:FF$453,4,FALSE)*FC29*($K29)+(FC29-FD29-FE29)*(1-$K29)</f>
        <v>0</v>
      </c>
      <c r="FG29" s="1118"/>
      <c r="FJ29" s="1154">
        <f>VLOOKUP($A29,'New Resources - Individual'!$A$4:$Y$133,FJ$2,FALSE)*FJ$1</f>
        <v>0</v>
      </c>
      <c r="FK29" s="1116">
        <f>$G29+FJ29</f>
        <v>1057719030</v>
      </c>
      <c r="FL29" s="1117">
        <f>VLOOKUP($E29,FK$442:FN$453,2,FALSE)*FK29*($K29)+IF($G29&gt;0,($H29/$G29)*FK29,0)*(1-$K29)</f>
        <v>0</v>
      </c>
      <c r="FM29" s="1117">
        <f>VLOOKUP($E29,FK$442:FN$453,3,FALSE)*FK29*($K29)+IF($G29&gt;0,($I29/$G29)*FK29,0)*(1-$K29)</f>
        <v>1057719030</v>
      </c>
      <c r="FN29" s="1117">
        <f>VLOOKUP($E29,FK$442:FN$453,4,FALSE)*FK29*($K29)+(FK29-FL29-FM29)*(1-$K29)</f>
        <v>0</v>
      </c>
      <c r="FO29" s="1118"/>
    </row>
    <row r="30" spans="1:171">
      <c r="A30" s="163" t="s">
        <v>121</v>
      </c>
      <c r="B30" s="64"/>
      <c r="C30" s="914"/>
      <c r="D30" s="915"/>
      <c r="E30" s="915"/>
      <c r="F30" s="916"/>
      <c r="G30" s="905">
        <f>SUM(G29)</f>
        <v>1057719030</v>
      </c>
      <c r="H30" s="905">
        <f>SUM(H29)</f>
        <v>0</v>
      </c>
      <c r="I30" s="905">
        <f>SUM(I29)</f>
        <v>0</v>
      </c>
      <c r="J30" s="1388">
        <f>SUM(J29)</f>
        <v>1057719030</v>
      </c>
      <c r="K30" s="903"/>
      <c r="O30" s="905">
        <f>SUM(O29)</f>
        <v>1057719030</v>
      </c>
      <c r="P30" s="905">
        <f>SUM(P29)</f>
        <v>0</v>
      </c>
      <c r="Q30" s="905">
        <f>SUM(Q29)</f>
        <v>1057719030</v>
      </c>
      <c r="R30" s="905">
        <f>SUM(R29)</f>
        <v>0</v>
      </c>
      <c r="S30" s="1118"/>
      <c r="W30" s="905">
        <f>SUM(W29)</f>
        <v>1057719030</v>
      </c>
      <c r="X30" s="905">
        <f>SUM(X29)</f>
        <v>0</v>
      </c>
      <c r="Y30" s="905">
        <f>SUM(Y29)</f>
        <v>1057719030</v>
      </c>
      <c r="Z30" s="905">
        <f>SUM(Z29)</f>
        <v>0</v>
      </c>
      <c r="AA30" s="1118"/>
      <c r="AE30" s="905">
        <f>SUM(AE29)</f>
        <v>1057719030</v>
      </c>
      <c r="AF30" s="905">
        <f>SUM(AF29)</f>
        <v>0</v>
      </c>
      <c r="AG30" s="905">
        <f>SUM(AG29)</f>
        <v>1057719030</v>
      </c>
      <c r="AH30" s="905">
        <f>SUM(AH29)</f>
        <v>0</v>
      </c>
      <c r="AI30" s="1118"/>
      <c r="AM30" s="905">
        <f>SUM(AM29)</f>
        <v>1057719030</v>
      </c>
      <c r="AN30" s="905">
        <f>SUM(AN29)</f>
        <v>0</v>
      </c>
      <c r="AO30" s="905">
        <f>SUM(AO29)</f>
        <v>1057719030</v>
      </c>
      <c r="AP30" s="905">
        <f>SUM(AP29)</f>
        <v>0</v>
      </c>
      <c r="AQ30" s="1118"/>
      <c r="AU30" s="905">
        <f>SUM(AU29)</f>
        <v>1057719030</v>
      </c>
      <c r="AV30" s="905">
        <f>SUM(AV29)</f>
        <v>0</v>
      </c>
      <c r="AW30" s="905">
        <f>SUM(AW29)</f>
        <v>1057719030</v>
      </c>
      <c r="AX30" s="905">
        <f>SUM(AX29)</f>
        <v>0</v>
      </c>
      <c r="AY30" s="1118"/>
      <c r="BC30" s="905">
        <f>SUM(BC29)</f>
        <v>1057719030</v>
      </c>
      <c r="BD30" s="905">
        <f>SUM(BD29)</f>
        <v>0</v>
      </c>
      <c r="BE30" s="905">
        <f>SUM(BE29)</f>
        <v>1057719030</v>
      </c>
      <c r="BF30" s="905">
        <f>SUM(BF29)</f>
        <v>0</v>
      </c>
      <c r="BG30" s="1118"/>
      <c r="BK30" s="905">
        <f>SUM(BK29)</f>
        <v>1057719030</v>
      </c>
      <c r="BL30" s="905">
        <f>SUM(BL29)</f>
        <v>0</v>
      </c>
      <c r="BM30" s="905">
        <f>SUM(BM29)</f>
        <v>1057719030</v>
      </c>
      <c r="BN30" s="905">
        <f>SUM(BN29)</f>
        <v>0</v>
      </c>
      <c r="BO30" s="1118"/>
      <c r="BS30" s="905">
        <f>SUM(BS29)</f>
        <v>1057719030</v>
      </c>
      <c r="BT30" s="905">
        <f>SUM(BT29)</f>
        <v>0</v>
      </c>
      <c r="BU30" s="905">
        <f>SUM(BU29)</f>
        <v>1057719030</v>
      </c>
      <c r="BV30" s="905">
        <f>SUM(BV29)</f>
        <v>0</v>
      </c>
      <c r="BW30" s="1118"/>
      <c r="CA30" s="905">
        <f>SUM(CA29)</f>
        <v>1057719030</v>
      </c>
      <c r="CB30" s="905">
        <f>SUM(CB29)</f>
        <v>0</v>
      </c>
      <c r="CC30" s="905">
        <f>SUM(CC29)</f>
        <v>1057719030</v>
      </c>
      <c r="CD30" s="905">
        <f>SUM(CD29)</f>
        <v>0</v>
      </c>
      <c r="CE30" s="1118"/>
      <c r="CI30" s="905">
        <f>SUM(CI29)</f>
        <v>1057719030</v>
      </c>
      <c r="CJ30" s="905">
        <f>SUM(CJ29)</f>
        <v>0</v>
      </c>
      <c r="CK30" s="905">
        <f>SUM(CK29)</f>
        <v>1057719030</v>
      </c>
      <c r="CL30" s="905">
        <f>SUM(CL29)</f>
        <v>0</v>
      </c>
      <c r="CM30" s="1118"/>
      <c r="CQ30" s="905">
        <f>SUM(CQ29)</f>
        <v>1057719030</v>
      </c>
      <c r="CR30" s="905">
        <f>SUM(CR29)</f>
        <v>0</v>
      </c>
      <c r="CS30" s="905">
        <f>SUM(CS29)</f>
        <v>1057719030</v>
      </c>
      <c r="CT30" s="905">
        <f>SUM(CT29)</f>
        <v>0</v>
      </c>
      <c r="CU30" s="1118"/>
      <c r="CY30" s="905">
        <f>SUM(CY29)</f>
        <v>1057719030</v>
      </c>
      <c r="CZ30" s="905">
        <f>SUM(CZ29)</f>
        <v>0</v>
      </c>
      <c r="DA30" s="905">
        <f>SUM(DA29)</f>
        <v>1057719030</v>
      </c>
      <c r="DB30" s="905">
        <f>SUM(DB29)</f>
        <v>0</v>
      </c>
      <c r="DC30" s="1118"/>
      <c r="DG30" s="905">
        <f>SUM(DG29)</f>
        <v>1057719030</v>
      </c>
      <c r="DH30" s="905">
        <f>SUM(DH29)</f>
        <v>0</v>
      </c>
      <c r="DI30" s="905">
        <f>SUM(DI29)</f>
        <v>1057719030</v>
      </c>
      <c r="DJ30" s="905">
        <f>SUM(DJ29)</f>
        <v>0</v>
      </c>
      <c r="DK30" s="1118"/>
      <c r="DO30" s="905">
        <f>SUM(DO29)</f>
        <v>1057719030</v>
      </c>
      <c r="DP30" s="905">
        <f>SUM(DP29)</f>
        <v>0</v>
      </c>
      <c r="DQ30" s="905">
        <f>SUM(DQ29)</f>
        <v>1057719030</v>
      </c>
      <c r="DR30" s="905">
        <f>SUM(DR29)</f>
        <v>0</v>
      </c>
      <c r="DS30" s="1118"/>
      <c r="DW30" s="905">
        <f>SUM(DW29)</f>
        <v>1057719030</v>
      </c>
      <c r="DX30" s="905">
        <f>SUM(DX29)</f>
        <v>0</v>
      </c>
      <c r="DY30" s="905">
        <f>SUM(DY29)</f>
        <v>1057719030</v>
      </c>
      <c r="DZ30" s="905">
        <f>SUM(DZ29)</f>
        <v>0</v>
      </c>
      <c r="EA30" s="1118"/>
      <c r="EE30" s="905">
        <f>SUM(EE29)</f>
        <v>1057719030</v>
      </c>
      <c r="EF30" s="905">
        <f>SUM(EF29)</f>
        <v>0</v>
      </c>
      <c r="EG30" s="905">
        <f>SUM(EG29)</f>
        <v>1057719030</v>
      </c>
      <c r="EH30" s="905">
        <f>SUM(EH29)</f>
        <v>0</v>
      </c>
      <c r="EI30" s="1118"/>
      <c r="EM30" s="905">
        <f>SUM(EM29)</f>
        <v>1057719030</v>
      </c>
      <c r="EN30" s="905">
        <f>SUM(EN29)</f>
        <v>0</v>
      </c>
      <c r="EO30" s="905">
        <f>SUM(EO29)</f>
        <v>1057719030</v>
      </c>
      <c r="EP30" s="905">
        <f>SUM(EP29)</f>
        <v>0</v>
      </c>
      <c r="EQ30" s="1118"/>
      <c r="EU30" s="905">
        <f>SUM(EU29)</f>
        <v>1057719030</v>
      </c>
      <c r="EV30" s="905">
        <f>SUM(EV29)</f>
        <v>0</v>
      </c>
      <c r="EW30" s="905">
        <f>SUM(EW29)</f>
        <v>1057719030</v>
      </c>
      <c r="EX30" s="905">
        <f>SUM(EX29)</f>
        <v>0</v>
      </c>
      <c r="EY30" s="1118"/>
      <c r="FC30" s="905">
        <f>SUM(FC29)</f>
        <v>1057719030</v>
      </c>
      <c r="FD30" s="905">
        <f>SUM(FD29)</f>
        <v>0</v>
      </c>
      <c r="FE30" s="905">
        <f>SUM(FE29)</f>
        <v>1057719030</v>
      </c>
      <c r="FF30" s="905">
        <f>SUM(FF29)</f>
        <v>0</v>
      </c>
      <c r="FG30" s="1118"/>
      <c r="FK30" s="905">
        <f>SUM(FK29)</f>
        <v>1057719030</v>
      </c>
      <c r="FL30" s="905">
        <f>SUM(FL29)</f>
        <v>0</v>
      </c>
      <c r="FM30" s="905">
        <f>SUM(FM29)</f>
        <v>1057719030</v>
      </c>
      <c r="FN30" s="905">
        <f>SUM(FN29)</f>
        <v>0</v>
      </c>
      <c r="FO30" s="1118"/>
    </row>
    <row r="31" spans="1:171">
      <c r="A31" s="163"/>
      <c r="B31" s="64"/>
      <c r="C31" s="55"/>
      <c r="D31" s="55"/>
      <c r="E31" s="55"/>
      <c r="F31" s="55"/>
      <c r="G31" s="917"/>
      <c r="H31" s="917"/>
      <c r="I31" s="917"/>
      <c r="J31" s="918"/>
      <c r="K31" s="903"/>
      <c r="S31" s="1118"/>
      <c r="AA31" s="1118"/>
      <c r="AI31" s="1118"/>
      <c r="AQ31" s="1118"/>
      <c r="AY31" s="1118"/>
      <c r="BG31" s="1118"/>
      <c r="BO31" s="1118"/>
      <c r="BW31" s="1118"/>
      <c r="CE31" s="1118"/>
      <c r="CM31" s="1118"/>
      <c r="CU31" s="1118"/>
      <c r="DC31" s="1118"/>
      <c r="DK31" s="1118"/>
      <c r="DS31" s="1118"/>
      <c r="EA31" s="1118"/>
      <c r="EI31" s="1118"/>
      <c r="EQ31" s="1118"/>
      <c r="EY31" s="1118"/>
      <c r="FG31" s="1118"/>
      <c r="FO31" s="1118"/>
    </row>
    <row r="32" spans="1:171">
      <c r="A32" s="199" t="s">
        <v>476</v>
      </c>
      <c r="B32" s="220"/>
      <c r="C32" s="55"/>
      <c r="D32" s="55"/>
      <c r="E32" s="64"/>
      <c r="F32" s="64"/>
      <c r="G32" s="910"/>
      <c r="H32" s="910"/>
      <c r="I32" s="910"/>
      <c r="J32" s="911"/>
      <c r="K32" s="903"/>
      <c r="S32" s="1118"/>
      <c r="AA32" s="1118"/>
      <c r="AI32" s="1118"/>
      <c r="AQ32" s="1118"/>
      <c r="AY32" s="1118"/>
      <c r="BG32" s="1118"/>
      <c r="BO32" s="1118"/>
      <c r="BW32" s="1118"/>
      <c r="CE32" s="1118"/>
      <c r="CM32" s="1118"/>
      <c r="CU32" s="1118"/>
      <c r="DC32" s="1118"/>
      <c r="DK32" s="1118"/>
      <c r="DS32" s="1118"/>
      <c r="EA32" s="1118"/>
      <c r="EI32" s="1118"/>
      <c r="EQ32" s="1118"/>
      <c r="EY32" s="1118"/>
      <c r="FG32" s="1118"/>
      <c r="FO32" s="1118"/>
    </row>
    <row r="33" spans="1:171">
      <c r="A33" s="912"/>
      <c r="B33" s="913" t="s">
        <v>140</v>
      </c>
      <c r="C33" s="887" t="s">
        <v>70</v>
      </c>
      <c r="D33" s="888" t="s">
        <v>123</v>
      </c>
      <c r="E33" s="182" t="str">
        <f>'Sch 1- Rate Base '!E33</f>
        <v>DIST</v>
      </c>
      <c r="F33" s="889"/>
      <c r="G33" s="182">
        <f>'Sch 1- Rate Base '!G33</f>
        <v>2407306658</v>
      </c>
      <c r="H33" s="182">
        <f>'Sch 1- Rate Base '!H33</f>
        <v>0</v>
      </c>
      <c r="I33" s="182">
        <f>'Sch 1- Rate Base '!I33</f>
        <v>0</v>
      </c>
      <c r="J33" s="183">
        <f>'Sch 1- Rate Base '!J33</f>
        <v>2407306658</v>
      </c>
      <c r="K33" s="903">
        <f>IF($E33="DIRECT",0,1)</f>
        <v>1</v>
      </c>
      <c r="O33" s="1116">
        <f>$G33</f>
        <v>2407306658</v>
      </c>
      <c r="P33" s="1117">
        <f>VLOOKUP($E33,O$442:R$453,2,FALSE)*O33*($K33)+IF($G33&gt;0,($H33/$G33)*O33,0)*(1-$K33)</f>
        <v>0</v>
      </c>
      <c r="Q33" s="1117">
        <f>VLOOKUP($E33,O$442:R$453,3,FALSE)*O33*($K33)+IF($G33&gt;0,($I33/$G33)*O33,0)*(1-$K33)</f>
        <v>0</v>
      </c>
      <c r="R33" s="1117">
        <f>VLOOKUP($E33,O$442:R$453,4,FALSE)*O33*($K33)+(O33-P33-Q33)*(1-$K33)</f>
        <v>2407306658</v>
      </c>
      <c r="S33" s="1118"/>
      <c r="W33" s="1116">
        <f>$G33</f>
        <v>2407306658</v>
      </c>
      <c r="X33" s="1117">
        <f>VLOOKUP($E33,W$442:Z$453,2,FALSE)*W33*($K33)+IF($G33&gt;0,($H33/$G33)*W33,0)*(1-$K33)</f>
        <v>0</v>
      </c>
      <c r="Y33" s="1117">
        <f>VLOOKUP($E33,W$442:Z$453,3,FALSE)*W33*($K33)+IF($G33&gt;0,($I33/$G33)*W33,0)*(1-$K33)</f>
        <v>0</v>
      </c>
      <c r="Z33" s="1117">
        <f>VLOOKUP($E33,W$442:Z$453,4,FALSE)*W33*($K33)+(W33-X33-Y33)*(1-$K33)</f>
        <v>2407306658</v>
      </c>
      <c r="AA33" s="1118"/>
      <c r="AE33" s="1116">
        <f>$G33</f>
        <v>2407306658</v>
      </c>
      <c r="AF33" s="1117">
        <f>VLOOKUP($E33,AE$442:AH$453,2,FALSE)*AE33*($K33)+IF($G33&gt;0,($H33/$G33)*AE33,0)*(1-$K33)</f>
        <v>0</v>
      </c>
      <c r="AG33" s="1117">
        <f>VLOOKUP($E33,AE$442:AH$453,3,FALSE)*AE33*($K33)+IF($G33&gt;0,($I33/$G33)*AE33,0)*(1-$K33)</f>
        <v>0</v>
      </c>
      <c r="AH33" s="1117">
        <f>VLOOKUP($E33,AE$442:AH$453,4,FALSE)*AE33*($K33)+(AE33-AF33-AG33)*(1-$K33)</f>
        <v>2407306658</v>
      </c>
      <c r="AI33" s="1118"/>
      <c r="AM33" s="1116">
        <f>$G33</f>
        <v>2407306658</v>
      </c>
      <c r="AN33" s="1117">
        <f>VLOOKUP($E33,AM$442:AP$453,2,FALSE)*AM33*($K33)+IF($G33&gt;0,($H33/$G33)*AM33,0)*(1-$K33)</f>
        <v>0</v>
      </c>
      <c r="AO33" s="1117">
        <f>VLOOKUP($E33,AM$442:AP$453,3,FALSE)*AM33*($K33)+IF($G33&gt;0,($I33/$G33)*AM33,0)*(1-$K33)</f>
        <v>0</v>
      </c>
      <c r="AP33" s="1117">
        <f>VLOOKUP($E33,AM$442:AP$453,4,FALSE)*AM33*($K33)+(AM33-AN33-AO33)*(1-$K33)</f>
        <v>2407306658</v>
      </c>
      <c r="AQ33" s="1118"/>
      <c r="AU33" s="1116">
        <f>$G33</f>
        <v>2407306658</v>
      </c>
      <c r="AV33" s="1117">
        <f>VLOOKUP($E33,AU$442:AX$453,2,FALSE)*AU33*($K33)+IF($G33&gt;0,($H33/$G33)*AU33,0)*(1-$K33)</f>
        <v>0</v>
      </c>
      <c r="AW33" s="1117">
        <f>VLOOKUP($E33,AU$442:AX$453,3,FALSE)*AU33*($K33)+IF($G33&gt;0,($I33/$G33)*AU33,0)*(1-$K33)</f>
        <v>0</v>
      </c>
      <c r="AX33" s="1117">
        <f>VLOOKUP($E33,AU$442:AX$453,4,FALSE)*AU33*($K33)+(AU33-AV33-AW33)*(1-$K33)</f>
        <v>2407306658</v>
      </c>
      <c r="AY33" s="1118"/>
      <c r="BC33" s="1116">
        <f>$G33</f>
        <v>2407306658</v>
      </c>
      <c r="BD33" s="1117">
        <f>VLOOKUP($E33,BC$442:BF$453,2,FALSE)*BC33*($K33)+IF($G33&gt;0,($H33/$G33)*BC33,0)*(1-$K33)</f>
        <v>0</v>
      </c>
      <c r="BE33" s="1117">
        <f>VLOOKUP($E33,BC$442:BF$453,3,FALSE)*BC33*($K33)+IF($G33&gt;0,($I33/$G33)*BC33,0)*(1-$K33)</f>
        <v>0</v>
      </c>
      <c r="BF33" s="1117">
        <f>VLOOKUP($E33,BC$442:BF$453,4,FALSE)*BC33*($K33)+(BC33-BD33-BE33)*(1-$K33)</f>
        <v>2407306658</v>
      </c>
      <c r="BG33" s="1118"/>
      <c r="BK33" s="1116">
        <f>$G33</f>
        <v>2407306658</v>
      </c>
      <c r="BL33" s="1117">
        <f>VLOOKUP($E33,BK$442:BN$453,2,FALSE)*BK33*($K33)+IF($G33&gt;0,($H33/$G33)*BK33,0)*(1-$K33)</f>
        <v>0</v>
      </c>
      <c r="BM33" s="1117">
        <f>VLOOKUP($E33,BK$442:BN$453,3,FALSE)*BK33*($K33)+IF($G33&gt;0,($I33/$G33)*BK33,0)*(1-$K33)</f>
        <v>0</v>
      </c>
      <c r="BN33" s="1117">
        <f>VLOOKUP($E33,BK$442:BN$453,4,FALSE)*BK33*($K33)+(BK33-BL33-BM33)*(1-$K33)</f>
        <v>2407306658</v>
      </c>
      <c r="BO33" s="1118"/>
      <c r="BS33" s="1116">
        <f>$G33</f>
        <v>2407306658</v>
      </c>
      <c r="BT33" s="1117">
        <f>VLOOKUP($E33,BS$442:BV$453,2,FALSE)*BS33*($K33)+IF($G33&gt;0,($H33/$G33)*BS33,0)*(1-$K33)</f>
        <v>0</v>
      </c>
      <c r="BU33" s="1117">
        <f>VLOOKUP($E33,BS$442:BV$453,3,FALSE)*BS33*($K33)+IF($G33&gt;0,($I33/$G33)*BS33,0)*(1-$K33)</f>
        <v>0</v>
      </c>
      <c r="BV33" s="1117">
        <f>VLOOKUP($E33,BS$442:BV$453,4,FALSE)*BS33*($K33)+(BS33-BT33-BU33)*(1-$K33)</f>
        <v>2407306658</v>
      </c>
      <c r="BW33" s="1118"/>
      <c r="CA33" s="1116">
        <f>$G33</f>
        <v>2407306658</v>
      </c>
      <c r="CB33" s="1117">
        <f>VLOOKUP($E33,CA$442:CD$453,2,FALSE)*CA33*($K33)+IF($G33&gt;0,($H33/$G33)*CA33,0)*(1-$K33)</f>
        <v>0</v>
      </c>
      <c r="CC33" s="1117">
        <f>VLOOKUP($E33,CA$442:CD$453,3,FALSE)*CA33*($K33)+IF($G33&gt;0,($I33/$G33)*CA33,0)*(1-$K33)</f>
        <v>0</v>
      </c>
      <c r="CD33" s="1117">
        <f>VLOOKUP($E33,CA$442:CD$453,4,FALSE)*CA33*($K33)+(CA33-CB33-CC33)*(1-$K33)</f>
        <v>2407306658</v>
      </c>
      <c r="CE33" s="1118"/>
      <c r="CI33" s="1116">
        <f>$G33</f>
        <v>2407306658</v>
      </c>
      <c r="CJ33" s="1117">
        <f>VLOOKUP($E33,CI$442:CL$453,2,FALSE)*CI33*($K33)+IF($G33&gt;0,($H33/$G33)*CI33,0)*(1-$K33)</f>
        <v>0</v>
      </c>
      <c r="CK33" s="1117">
        <f>VLOOKUP($E33,CI$442:CL$453,3,FALSE)*CI33*($K33)+IF($G33&gt;0,($I33/$G33)*CI33,0)*(1-$K33)</f>
        <v>0</v>
      </c>
      <c r="CL33" s="1117">
        <f>VLOOKUP($E33,CI$442:CL$453,4,FALSE)*CI33*($K33)+(CI33-CJ33-CK33)*(1-$K33)</f>
        <v>2407306658</v>
      </c>
      <c r="CM33" s="1118"/>
      <c r="CQ33" s="1116">
        <f>$G33</f>
        <v>2407306658</v>
      </c>
      <c r="CR33" s="1117">
        <f>VLOOKUP($E33,CQ$442:CT$453,2,FALSE)*CQ33*($K33)+IF($G33&gt;0,($H33/$G33)*CQ33,0)*(1-$K33)</f>
        <v>0</v>
      </c>
      <c r="CS33" s="1117">
        <f>VLOOKUP($E33,CQ$442:CT$453,3,FALSE)*CQ33*($K33)+IF($G33&gt;0,($I33/$G33)*CQ33,0)*(1-$K33)</f>
        <v>0</v>
      </c>
      <c r="CT33" s="1117">
        <f>VLOOKUP($E33,CQ$442:CT$453,4,FALSE)*CQ33*($K33)+(CQ33-CR33-CS33)*(1-$K33)</f>
        <v>2407306658</v>
      </c>
      <c r="CU33" s="1118"/>
      <c r="CY33" s="1116">
        <f>$G33</f>
        <v>2407306658</v>
      </c>
      <c r="CZ33" s="1117">
        <f>VLOOKUP($E33,CY$442:DB$453,2,FALSE)*CY33*($K33)+IF($G33&gt;0,($H33/$G33)*CY33,0)*(1-$K33)</f>
        <v>0</v>
      </c>
      <c r="DA33" s="1117">
        <f>VLOOKUP($E33,CY$442:DB$453,3,FALSE)*CY33*($K33)+IF($G33&gt;0,($I33/$G33)*CY33,0)*(1-$K33)</f>
        <v>0</v>
      </c>
      <c r="DB33" s="1117">
        <f>VLOOKUP($E33,CY$442:DB$453,4,FALSE)*CY33*($K33)+(CY33-CZ33-DA33)*(1-$K33)</f>
        <v>2407306658</v>
      </c>
      <c r="DC33" s="1118"/>
      <c r="DG33" s="1116">
        <f>$G33</f>
        <v>2407306658</v>
      </c>
      <c r="DH33" s="1117">
        <f>VLOOKUP($E33,DG$442:DJ$453,2,FALSE)*DG33*($K33)+IF($G33&gt;0,($H33/$G33)*DG33,0)*(1-$K33)</f>
        <v>0</v>
      </c>
      <c r="DI33" s="1117">
        <f>VLOOKUP($E33,DG$442:DJ$453,3,FALSE)*DG33*($K33)+IF($G33&gt;0,($I33/$G33)*DG33,0)*(1-$K33)</f>
        <v>0</v>
      </c>
      <c r="DJ33" s="1117">
        <f>VLOOKUP($E33,DG$442:DJ$453,4,FALSE)*DG33*($K33)+(DG33-DH33-DI33)*(1-$K33)</f>
        <v>2407306658</v>
      </c>
      <c r="DK33" s="1118"/>
      <c r="DO33" s="1116">
        <f>$G33</f>
        <v>2407306658</v>
      </c>
      <c r="DP33" s="1117">
        <f>VLOOKUP($E33,DO$442:DR$453,2,FALSE)*DO33*($K33)+IF($G33&gt;0,($H33/$G33)*DO33,0)*(1-$K33)</f>
        <v>0</v>
      </c>
      <c r="DQ33" s="1117">
        <f>VLOOKUP($E33,DO$442:DR$453,3,FALSE)*DO33*($K33)+IF($G33&gt;0,($I33/$G33)*DO33,0)*(1-$K33)</f>
        <v>0</v>
      </c>
      <c r="DR33" s="1117">
        <f>VLOOKUP($E33,DO$442:DR$453,4,FALSE)*DO33*($K33)+(DO33-DP33-DQ33)*(1-$K33)</f>
        <v>2407306658</v>
      </c>
      <c r="DS33" s="1118"/>
      <c r="DW33" s="1116">
        <f>$G33</f>
        <v>2407306658</v>
      </c>
      <c r="DX33" s="1117">
        <f>VLOOKUP($E33,DW$442:DZ$453,2,FALSE)*DW33*($K33)+IF($G33&gt;0,($H33/$G33)*DW33,0)*(1-$K33)</f>
        <v>0</v>
      </c>
      <c r="DY33" s="1117">
        <f>VLOOKUP($E33,DW$442:DZ$453,3,FALSE)*DW33*($K33)+IF($G33&gt;0,($I33/$G33)*DW33,0)*(1-$K33)</f>
        <v>0</v>
      </c>
      <c r="DZ33" s="1117">
        <f>VLOOKUP($E33,DW$442:DZ$453,4,FALSE)*DW33*($K33)+(DW33-DX33-DY33)*(1-$K33)</f>
        <v>2407306658</v>
      </c>
      <c r="EA33" s="1118"/>
      <c r="EE33" s="1116">
        <f>$G33</f>
        <v>2407306658</v>
      </c>
      <c r="EF33" s="1117">
        <f>VLOOKUP($E33,EE$442:EH$453,2,FALSE)*EE33*($K33)+IF($G33&gt;0,($H33/$G33)*EE33,0)*(1-$K33)</f>
        <v>0</v>
      </c>
      <c r="EG33" s="1117">
        <f>VLOOKUP($E33,EE$442:EH$453,3,FALSE)*EE33*($K33)+IF($G33&gt;0,($I33/$G33)*EE33,0)*(1-$K33)</f>
        <v>0</v>
      </c>
      <c r="EH33" s="1117">
        <f>VLOOKUP($E33,EE$442:EH$453,4,FALSE)*EE33*($K33)+(EE33-EF33-EG33)*(1-$K33)</f>
        <v>2407306658</v>
      </c>
      <c r="EI33" s="1118"/>
      <c r="EM33" s="1116">
        <f>$G33</f>
        <v>2407306658</v>
      </c>
      <c r="EN33" s="1117">
        <f>VLOOKUP($E33,EM$442:EP$453,2,FALSE)*EM33*($K33)+IF($G33&gt;0,($H33/$G33)*EM33,0)*(1-$K33)</f>
        <v>0</v>
      </c>
      <c r="EO33" s="1117">
        <f>VLOOKUP($E33,EM$442:EP$453,3,FALSE)*EM33*($K33)+IF($G33&gt;0,($I33/$G33)*EM33,0)*(1-$K33)</f>
        <v>0</v>
      </c>
      <c r="EP33" s="1117">
        <f>VLOOKUP($E33,EM$442:EP$453,4,FALSE)*EM33*($K33)+(EM33-EN33-EO33)*(1-$K33)</f>
        <v>2407306658</v>
      </c>
      <c r="EQ33" s="1118"/>
      <c r="EU33" s="1116">
        <f>$G33</f>
        <v>2407306658</v>
      </c>
      <c r="EV33" s="1117">
        <f>VLOOKUP($E33,EU$442:EX$453,2,FALSE)*EU33*($K33)+IF($G33&gt;0,($H33/$G33)*EU33,0)*(1-$K33)</f>
        <v>0</v>
      </c>
      <c r="EW33" s="1117">
        <f>VLOOKUP($E33,EU$442:EX$453,3,FALSE)*EU33*($K33)+IF($G33&gt;0,($I33/$G33)*EU33,0)*(1-$K33)</f>
        <v>0</v>
      </c>
      <c r="EX33" s="1117">
        <f>VLOOKUP($E33,EU$442:EX$453,4,FALSE)*EU33*($K33)+(EU33-EV33-EW33)*(1-$K33)</f>
        <v>2407306658</v>
      </c>
      <c r="EY33" s="1118"/>
      <c r="FC33" s="1116">
        <f>$G33</f>
        <v>2407306658</v>
      </c>
      <c r="FD33" s="1117">
        <f>VLOOKUP($E33,FC$442:FF$453,2,FALSE)*FC33*($K33)+IF($G33&gt;0,($H33/$G33)*FC33,0)*(1-$K33)</f>
        <v>0</v>
      </c>
      <c r="FE33" s="1117">
        <f>VLOOKUP($E33,FC$442:FF$453,3,FALSE)*FC33*($K33)+IF($G33&gt;0,($I33/$G33)*FC33,0)*(1-$K33)</f>
        <v>0</v>
      </c>
      <c r="FF33" s="1117">
        <f>VLOOKUP($E33,FC$442:FF$453,4,FALSE)*FC33*($K33)+(FC33-FD33-FE33)*(1-$K33)</f>
        <v>2407306658</v>
      </c>
      <c r="FG33" s="1118"/>
      <c r="FK33" s="1116">
        <f>$G33</f>
        <v>2407306658</v>
      </c>
      <c r="FL33" s="1117">
        <f>VLOOKUP($E33,FK$442:FN$453,2,FALSE)*FK33*($K33)+IF($G33&gt;0,($H33/$G33)*FK33,0)*(1-$K33)</f>
        <v>0</v>
      </c>
      <c r="FM33" s="1117">
        <f>VLOOKUP($E33,FK$442:FN$453,3,FALSE)*FK33*($K33)+IF($G33&gt;0,($I33/$G33)*FK33,0)*(1-$K33)</f>
        <v>0</v>
      </c>
      <c r="FN33" s="1117">
        <f>VLOOKUP($E33,FK$442:FN$453,4,FALSE)*FK33*($K33)+(FK33-FL33-FM33)*(1-$K33)</f>
        <v>2407306658</v>
      </c>
      <c r="FO33" s="1118"/>
    </row>
    <row r="34" spans="1:171">
      <c r="A34" s="209" t="s">
        <v>122</v>
      </c>
      <c r="B34" s="220"/>
      <c r="C34" s="914"/>
      <c r="D34" s="915"/>
      <c r="E34" s="915"/>
      <c r="F34" s="916"/>
      <c r="G34" s="905">
        <f>SUM(G33)</f>
        <v>2407306658</v>
      </c>
      <c r="H34" s="905">
        <f>SUM(H33)</f>
        <v>0</v>
      </c>
      <c r="I34" s="905">
        <f>SUM(I33)</f>
        <v>0</v>
      </c>
      <c r="J34" s="1388">
        <f>SUM(J33)</f>
        <v>2407306658</v>
      </c>
      <c r="K34" s="903"/>
      <c r="O34" s="905">
        <f>SUM(O33)</f>
        <v>2407306658</v>
      </c>
      <c r="P34" s="905">
        <f>SUM(P33)</f>
        <v>0</v>
      </c>
      <c r="Q34" s="905">
        <f>SUM(Q33)</f>
        <v>0</v>
      </c>
      <c r="R34" s="905">
        <f>SUM(R33)</f>
        <v>2407306658</v>
      </c>
      <c r="S34" s="1118"/>
      <c r="W34" s="905">
        <f>SUM(W33)</f>
        <v>2407306658</v>
      </c>
      <c r="X34" s="905">
        <f>SUM(X33)</f>
        <v>0</v>
      </c>
      <c r="Y34" s="905">
        <f>SUM(Y33)</f>
        <v>0</v>
      </c>
      <c r="Z34" s="905">
        <f>SUM(Z33)</f>
        <v>2407306658</v>
      </c>
      <c r="AA34" s="1118"/>
      <c r="AE34" s="905">
        <f>SUM(AE33)</f>
        <v>2407306658</v>
      </c>
      <c r="AF34" s="905">
        <f>SUM(AF33)</f>
        <v>0</v>
      </c>
      <c r="AG34" s="905">
        <f>SUM(AG33)</f>
        <v>0</v>
      </c>
      <c r="AH34" s="905">
        <f>SUM(AH33)</f>
        <v>2407306658</v>
      </c>
      <c r="AI34" s="1118"/>
      <c r="AM34" s="905">
        <f>SUM(AM33)</f>
        <v>2407306658</v>
      </c>
      <c r="AN34" s="905">
        <f>SUM(AN33)</f>
        <v>0</v>
      </c>
      <c r="AO34" s="905">
        <f>SUM(AO33)</f>
        <v>0</v>
      </c>
      <c r="AP34" s="905">
        <f>SUM(AP33)</f>
        <v>2407306658</v>
      </c>
      <c r="AQ34" s="1118"/>
      <c r="AU34" s="905">
        <f>SUM(AU33)</f>
        <v>2407306658</v>
      </c>
      <c r="AV34" s="905">
        <f>SUM(AV33)</f>
        <v>0</v>
      </c>
      <c r="AW34" s="905">
        <f>SUM(AW33)</f>
        <v>0</v>
      </c>
      <c r="AX34" s="905">
        <f>SUM(AX33)</f>
        <v>2407306658</v>
      </c>
      <c r="AY34" s="1118"/>
      <c r="BC34" s="905">
        <f>SUM(BC33)</f>
        <v>2407306658</v>
      </c>
      <c r="BD34" s="905">
        <f>SUM(BD33)</f>
        <v>0</v>
      </c>
      <c r="BE34" s="905">
        <f>SUM(BE33)</f>
        <v>0</v>
      </c>
      <c r="BF34" s="905">
        <f>SUM(BF33)</f>
        <v>2407306658</v>
      </c>
      <c r="BG34" s="1118"/>
      <c r="BK34" s="905">
        <f>SUM(BK33)</f>
        <v>2407306658</v>
      </c>
      <c r="BL34" s="905">
        <f>SUM(BL33)</f>
        <v>0</v>
      </c>
      <c r="BM34" s="905">
        <f>SUM(BM33)</f>
        <v>0</v>
      </c>
      <c r="BN34" s="905">
        <f>SUM(BN33)</f>
        <v>2407306658</v>
      </c>
      <c r="BO34" s="1118"/>
      <c r="BS34" s="905">
        <f>SUM(BS33)</f>
        <v>2407306658</v>
      </c>
      <c r="BT34" s="905">
        <f>SUM(BT33)</f>
        <v>0</v>
      </c>
      <c r="BU34" s="905">
        <f>SUM(BU33)</f>
        <v>0</v>
      </c>
      <c r="BV34" s="905">
        <f>SUM(BV33)</f>
        <v>2407306658</v>
      </c>
      <c r="BW34" s="1118"/>
      <c r="CA34" s="905">
        <f>SUM(CA33)</f>
        <v>2407306658</v>
      </c>
      <c r="CB34" s="905">
        <f>SUM(CB33)</f>
        <v>0</v>
      </c>
      <c r="CC34" s="905">
        <f>SUM(CC33)</f>
        <v>0</v>
      </c>
      <c r="CD34" s="905">
        <f>SUM(CD33)</f>
        <v>2407306658</v>
      </c>
      <c r="CE34" s="1118"/>
      <c r="CI34" s="905">
        <f>SUM(CI33)</f>
        <v>2407306658</v>
      </c>
      <c r="CJ34" s="905">
        <f>SUM(CJ33)</f>
        <v>0</v>
      </c>
      <c r="CK34" s="905">
        <f>SUM(CK33)</f>
        <v>0</v>
      </c>
      <c r="CL34" s="905">
        <f>SUM(CL33)</f>
        <v>2407306658</v>
      </c>
      <c r="CM34" s="1118"/>
      <c r="CQ34" s="905">
        <f>SUM(CQ33)</f>
        <v>2407306658</v>
      </c>
      <c r="CR34" s="905">
        <f>SUM(CR33)</f>
        <v>0</v>
      </c>
      <c r="CS34" s="905">
        <f>SUM(CS33)</f>
        <v>0</v>
      </c>
      <c r="CT34" s="905">
        <f>SUM(CT33)</f>
        <v>2407306658</v>
      </c>
      <c r="CU34" s="1118"/>
      <c r="CY34" s="905">
        <f>SUM(CY33)</f>
        <v>2407306658</v>
      </c>
      <c r="CZ34" s="905">
        <f>SUM(CZ33)</f>
        <v>0</v>
      </c>
      <c r="DA34" s="905">
        <f>SUM(DA33)</f>
        <v>0</v>
      </c>
      <c r="DB34" s="905">
        <f>SUM(DB33)</f>
        <v>2407306658</v>
      </c>
      <c r="DC34" s="1118"/>
      <c r="DG34" s="905">
        <f>SUM(DG33)</f>
        <v>2407306658</v>
      </c>
      <c r="DH34" s="905">
        <f>SUM(DH33)</f>
        <v>0</v>
      </c>
      <c r="DI34" s="905">
        <f>SUM(DI33)</f>
        <v>0</v>
      </c>
      <c r="DJ34" s="905">
        <f>SUM(DJ33)</f>
        <v>2407306658</v>
      </c>
      <c r="DK34" s="1118"/>
      <c r="DO34" s="905">
        <f>SUM(DO33)</f>
        <v>2407306658</v>
      </c>
      <c r="DP34" s="905">
        <f>SUM(DP33)</f>
        <v>0</v>
      </c>
      <c r="DQ34" s="905">
        <f>SUM(DQ33)</f>
        <v>0</v>
      </c>
      <c r="DR34" s="905">
        <f>SUM(DR33)</f>
        <v>2407306658</v>
      </c>
      <c r="DS34" s="1118"/>
      <c r="DW34" s="905">
        <f>SUM(DW33)</f>
        <v>2407306658</v>
      </c>
      <c r="DX34" s="905">
        <f>SUM(DX33)</f>
        <v>0</v>
      </c>
      <c r="DY34" s="905">
        <f>SUM(DY33)</f>
        <v>0</v>
      </c>
      <c r="DZ34" s="905">
        <f>SUM(DZ33)</f>
        <v>2407306658</v>
      </c>
      <c r="EA34" s="1118"/>
      <c r="EE34" s="905">
        <f>SUM(EE33)</f>
        <v>2407306658</v>
      </c>
      <c r="EF34" s="905">
        <f>SUM(EF33)</f>
        <v>0</v>
      </c>
      <c r="EG34" s="905">
        <f>SUM(EG33)</f>
        <v>0</v>
      </c>
      <c r="EH34" s="905">
        <f>SUM(EH33)</f>
        <v>2407306658</v>
      </c>
      <c r="EI34" s="1118"/>
      <c r="EM34" s="905">
        <f>SUM(EM33)</f>
        <v>2407306658</v>
      </c>
      <c r="EN34" s="905">
        <f>SUM(EN33)</f>
        <v>0</v>
      </c>
      <c r="EO34" s="905">
        <f>SUM(EO33)</f>
        <v>0</v>
      </c>
      <c r="EP34" s="905">
        <f>SUM(EP33)</f>
        <v>2407306658</v>
      </c>
      <c r="EQ34" s="1118"/>
      <c r="EU34" s="905">
        <f>SUM(EU33)</f>
        <v>2407306658</v>
      </c>
      <c r="EV34" s="905">
        <f>SUM(EV33)</f>
        <v>0</v>
      </c>
      <c r="EW34" s="905">
        <f>SUM(EW33)</f>
        <v>0</v>
      </c>
      <c r="EX34" s="905">
        <f>SUM(EX33)</f>
        <v>2407306658</v>
      </c>
      <c r="EY34" s="1118"/>
      <c r="FC34" s="905">
        <f>SUM(FC33)</f>
        <v>2407306658</v>
      </c>
      <c r="FD34" s="905">
        <f>SUM(FD33)</f>
        <v>0</v>
      </c>
      <c r="FE34" s="905">
        <f>SUM(FE33)</f>
        <v>0</v>
      </c>
      <c r="FF34" s="905">
        <f>SUM(FF33)</f>
        <v>2407306658</v>
      </c>
      <c r="FG34" s="1118"/>
      <c r="FK34" s="905">
        <f>SUM(FK33)</f>
        <v>2407306658</v>
      </c>
      <c r="FL34" s="905">
        <f>SUM(FL33)</f>
        <v>0</v>
      </c>
      <c r="FM34" s="905">
        <f>SUM(FM33)</f>
        <v>0</v>
      </c>
      <c r="FN34" s="905">
        <f>SUM(FN33)</f>
        <v>2407306658</v>
      </c>
      <c r="FO34" s="1118"/>
    </row>
    <row r="35" spans="1:171">
      <c r="A35" s="209"/>
      <c r="B35" s="220"/>
      <c r="C35" s="55"/>
      <c r="D35" s="55"/>
      <c r="E35" s="55"/>
      <c r="F35" s="55"/>
      <c r="G35" s="919"/>
      <c r="H35" s="919"/>
      <c r="I35" s="919"/>
      <c r="J35" s="920"/>
      <c r="K35" s="903"/>
      <c r="S35" s="1118"/>
      <c r="AA35" s="1118"/>
      <c r="AI35" s="1118"/>
      <c r="AQ35" s="1118"/>
      <c r="AY35" s="1118"/>
      <c r="BG35" s="1118"/>
      <c r="BO35" s="1118"/>
      <c r="BW35" s="1118"/>
      <c r="CE35" s="1118"/>
      <c r="CM35" s="1118"/>
      <c r="CU35" s="1118"/>
      <c r="DC35" s="1118"/>
      <c r="DK35" s="1118"/>
      <c r="DS35" s="1118"/>
      <c r="EA35" s="1118"/>
      <c r="EI35" s="1118"/>
      <c r="EQ35" s="1118"/>
      <c r="EY35" s="1118"/>
      <c r="FG35" s="1118"/>
      <c r="FO35" s="1118"/>
    </row>
    <row r="36" spans="1:171">
      <c r="A36" s="199" t="s">
        <v>124</v>
      </c>
      <c r="B36" s="64"/>
      <c r="C36" s="55"/>
      <c r="D36" s="196"/>
      <c r="E36" s="196"/>
      <c r="F36" s="196"/>
      <c r="G36" s="221"/>
      <c r="H36" s="221"/>
      <c r="I36" s="221"/>
      <c r="J36" s="222"/>
      <c r="K36" s="903"/>
      <c r="S36" s="1118"/>
      <c r="AA36" s="1118"/>
      <c r="AI36" s="1118"/>
      <c r="AQ36" s="1118"/>
      <c r="AY36" s="1118"/>
      <c r="BG36" s="1118"/>
      <c r="BO36" s="1118"/>
      <c r="BW36" s="1118"/>
      <c r="CE36" s="1118"/>
      <c r="CM36" s="1118"/>
      <c r="CU36" s="1118"/>
      <c r="DC36" s="1118"/>
      <c r="DK36" s="1118"/>
      <c r="DS36" s="1118"/>
      <c r="EA36" s="1118"/>
      <c r="EI36" s="1118"/>
      <c r="EQ36" s="1118"/>
      <c r="EY36" s="1118"/>
      <c r="FG36" s="1118"/>
      <c r="FO36" s="1118"/>
    </row>
    <row r="37" spans="1:171">
      <c r="A37" s="912"/>
      <c r="B37" s="10" t="s">
        <v>125</v>
      </c>
      <c r="C37" s="887" t="s">
        <v>70</v>
      </c>
      <c r="D37" s="888">
        <v>389</v>
      </c>
      <c r="E37" s="182" t="str">
        <f>'Sch 1- Rate Base '!E37</f>
        <v>PTD</v>
      </c>
      <c r="F37" s="889"/>
      <c r="G37" s="182">
        <f>'Sch 1- Rate Base '!G37</f>
        <v>1083006</v>
      </c>
      <c r="H37" s="182">
        <f>'Sch 1- Rate Base '!H37</f>
        <v>344136.87305185618</v>
      </c>
      <c r="I37" s="182">
        <f>'Sch 1- Rate Base '!I37</f>
        <v>0</v>
      </c>
      <c r="J37" s="183">
        <f>'Sch 1- Rate Base '!J37</f>
        <v>738869.1269481437</v>
      </c>
      <c r="K37" s="903">
        <f t="shared" ref="K37:K48" si="0">IF($E37="DIRECT",0,1)</f>
        <v>1</v>
      </c>
      <c r="L37" s="1123">
        <f t="shared" ref="L37:L48" si="1">$G37/($G$26+$G$30+$G$34)</f>
        <v>2.1323626243435336E-4</v>
      </c>
      <c r="O37" s="1116">
        <f>(O$26+O$30+O$34)*$L37</f>
        <v>1083006</v>
      </c>
      <c r="P37" s="1117">
        <f>VLOOKUP($E37,O$442:R$453,2,FALSE)*O37*($K37)+IF($G37&gt;0,($H37/$G37)*O37,0)*(1-$K37)</f>
        <v>344136.87305185618</v>
      </c>
      <c r="Q37" s="1117">
        <f>VLOOKUP($E37,O$442:R$453,3,FALSE)*O37*($K37)+IF($G37&gt;0,($I37/$G37)*O37,0)*(1-$K37)</f>
        <v>225544.05266288968</v>
      </c>
      <c r="R37" s="1117">
        <f>VLOOKUP($E37,O$442:R$453,4,FALSE)*O37*($K37)+(O37-P37-Q37)*(1-$K37)</f>
        <v>513325.07428525412</v>
      </c>
      <c r="S37" s="1118"/>
      <c r="W37" s="1116">
        <f>(W$26+W$30+W$34)*$L37</f>
        <v>1083006</v>
      </c>
      <c r="X37" s="1117">
        <f>VLOOKUP($E37,W$442:Z$453,2,FALSE)*W37*($K37)+IF($G37&gt;0,($H37/$G37)*W37,0)*(1-$K37)</f>
        <v>344136.87305185618</v>
      </c>
      <c r="Y37" s="1117">
        <f>VLOOKUP($E37,W$442:Z$453,3,FALSE)*W37*($K37)+IF($G37&gt;0,($I37/$G37)*W37,0)*(1-$K37)</f>
        <v>225544.05266288968</v>
      </c>
      <c r="Z37" s="1117">
        <f>VLOOKUP($E37,W$442:Z$453,4,FALSE)*W37*($K37)+(W37-X37-Y37)*(1-$K37)</f>
        <v>513325.07428525412</v>
      </c>
      <c r="AA37" s="1118"/>
      <c r="AE37" s="1116">
        <f>(AE$26+AE$30+AE$34)*$L37</f>
        <v>1083006</v>
      </c>
      <c r="AF37" s="1117">
        <f>VLOOKUP($E37,AE$442:AH$453,2,FALSE)*AE37*($K37)+IF($G37&gt;0,($H37/$G37)*AE37,0)*(1-$K37)</f>
        <v>344136.87305185618</v>
      </c>
      <c r="AG37" s="1117">
        <f>VLOOKUP($E37,AE$442:AH$453,3,FALSE)*AE37*($K37)+IF($G37&gt;0,($I37/$G37)*AE37,0)*(1-$K37)</f>
        <v>225544.05266288968</v>
      </c>
      <c r="AH37" s="1117">
        <f>VLOOKUP($E37,AE$442:AH$453,4,FALSE)*AE37*($K37)+(AE37-AF37-AG37)*(1-$K37)</f>
        <v>513325.07428525412</v>
      </c>
      <c r="AI37" s="1118"/>
      <c r="AM37" s="1116">
        <f>(AM$26+AM$30+AM$34)*$L37</f>
        <v>1083006</v>
      </c>
      <c r="AN37" s="1117">
        <f>VLOOKUP($E37,AM$442:AP$453,2,FALSE)*AM37*($K37)+IF($G37&gt;0,($H37/$G37)*AM37,0)*(1-$K37)</f>
        <v>344136.87305185618</v>
      </c>
      <c r="AO37" s="1117">
        <f>VLOOKUP($E37,AM$442:AP$453,3,FALSE)*AM37*($K37)+IF($G37&gt;0,($I37/$G37)*AM37,0)*(1-$K37)</f>
        <v>225544.05266288968</v>
      </c>
      <c r="AP37" s="1117">
        <f>VLOOKUP($E37,AM$442:AP$453,4,FALSE)*AM37*($K37)+(AM37-AN37-AO37)*(1-$K37)</f>
        <v>513325.07428525412</v>
      </c>
      <c r="AQ37" s="1118"/>
      <c r="AU37" s="1116">
        <f>(AU$26+AU$30+AU$34)*$L37</f>
        <v>1083006</v>
      </c>
      <c r="AV37" s="1117">
        <f>VLOOKUP($E37,AU$442:AX$453,2,FALSE)*AU37*($K37)+IF($G37&gt;0,($H37/$G37)*AU37,0)*(1-$K37)</f>
        <v>344136.87305185618</v>
      </c>
      <c r="AW37" s="1117">
        <f>VLOOKUP($E37,AU$442:AX$453,3,FALSE)*AU37*($K37)+IF($G37&gt;0,($I37/$G37)*AU37,0)*(1-$K37)</f>
        <v>225544.05266288968</v>
      </c>
      <c r="AX37" s="1117">
        <f>VLOOKUP($E37,AU$442:AX$453,4,FALSE)*AU37*($K37)+(AU37-AV37-AW37)*(1-$K37)</f>
        <v>513325.07428525412</v>
      </c>
      <c r="AY37" s="1118"/>
      <c r="BC37" s="1116">
        <f>(BC$26+BC$30+BC$34)*$L37</f>
        <v>1083006</v>
      </c>
      <c r="BD37" s="1117">
        <f>VLOOKUP($E37,BC$442:BF$453,2,FALSE)*BC37*($K37)+IF($G37&gt;0,($H37/$G37)*BC37,0)*(1-$K37)</f>
        <v>344136.87305185618</v>
      </c>
      <c r="BE37" s="1117">
        <f>VLOOKUP($E37,BC$442:BF$453,3,FALSE)*BC37*($K37)+IF($G37&gt;0,($I37/$G37)*BC37,0)*(1-$K37)</f>
        <v>225544.05266288968</v>
      </c>
      <c r="BF37" s="1117">
        <f>VLOOKUP($E37,BC$442:BF$453,4,FALSE)*BC37*($K37)+(BC37-BD37-BE37)*(1-$K37)</f>
        <v>513325.07428525412</v>
      </c>
      <c r="BG37" s="1118"/>
      <c r="BK37" s="1116">
        <f>(BK$26+BK$30+BK$34)*$L37</f>
        <v>1083006</v>
      </c>
      <c r="BL37" s="1117">
        <f>VLOOKUP($E37,BK$442:BN$453,2,FALSE)*BK37*($K37)+IF($G37&gt;0,($H37/$G37)*BK37,0)*(1-$K37)</f>
        <v>344136.87305185618</v>
      </c>
      <c r="BM37" s="1117">
        <f>VLOOKUP($E37,BK$442:BN$453,3,FALSE)*BK37*($K37)+IF($G37&gt;0,($I37/$G37)*BK37,0)*(1-$K37)</f>
        <v>225544.05266288968</v>
      </c>
      <c r="BN37" s="1117">
        <f>VLOOKUP($E37,BK$442:BN$453,4,FALSE)*BK37*($K37)+(BK37-BL37-BM37)*(1-$K37)</f>
        <v>513325.07428525412</v>
      </c>
      <c r="BO37" s="1118"/>
      <c r="BS37" s="1116">
        <f>(BS$26+BS$30+BS$34)*$L37</f>
        <v>1083006</v>
      </c>
      <c r="BT37" s="1117">
        <f>VLOOKUP($E37,BS$442:BV$453,2,FALSE)*BS37*($K37)+IF($G37&gt;0,($H37/$G37)*BS37,0)*(1-$K37)</f>
        <v>344136.87305185618</v>
      </c>
      <c r="BU37" s="1117">
        <f>VLOOKUP($E37,BS$442:BV$453,3,FALSE)*BS37*($K37)+IF($G37&gt;0,($I37/$G37)*BS37,0)*(1-$K37)</f>
        <v>225544.05266288968</v>
      </c>
      <c r="BV37" s="1117">
        <f>VLOOKUP($E37,BS$442:BV$453,4,FALSE)*BS37*($K37)+(BS37-BT37-BU37)*(1-$K37)</f>
        <v>513325.07428525412</v>
      </c>
      <c r="BW37" s="1118"/>
      <c r="CA37" s="1116">
        <f>(CA$26+CA$30+CA$34)*$L37</f>
        <v>1083006</v>
      </c>
      <c r="CB37" s="1117">
        <f>VLOOKUP($E37,CA$442:CD$453,2,FALSE)*CA37*($K37)+IF($G37&gt;0,($H37/$G37)*CA37,0)*(1-$K37)</f>
        <v>344136.87305185618</v>
      </c>
      <c r="CC37" s="1117">
        <f>VLOOKUP($E37,CA$442:CD$453,3,FALSE)*CA37*($K37)+IF($G37&gt;0,($I37/$G37)*CA37,0)*(1-$K37)</f>
        <v>225544.05266288968</v>
      </c>
      <c r="CD37" s="1117">
        <f>VLOOKUP($E37,CA$442:CD$453,4,FALSE)*CA37*($K37)+(CA37-CB37-CC37)*(1-$K37)</f>
        <v>513325.07428525412</v>
      </c>
      <c r="CE37" s="1118"/>
      <c r="CI37" s="1116">
        <f>(CI$26+CI$30+CI$34)*$L37</f>
        <v>1083006</v>
      </c>
      <c r="CJ37" s="1117">
        <f>VLOOKUP($E37,CI$442:CL$453,2,FALSE)*CI37*($K37)+IF($G37&gt;0,($H37/$G37)*CI37,0)*(1-$K37)</f>
        <v>344136.87305185618</v>
      </c>
      <c r="CK37" s="1117">
        <f>VLOOKUP($E37,CI$442:CL$453,3,FALSE)*CI37*($K37)+IF($G37&gt;0,($I37/$G37)*CI37,0)*(1-$K37)</f>
        <v>225544.05266288968</v>
      </c>
      <c r="CL37" s="1117">
        <f>VLOOKUP($E37,CI$442:CL$453,4,FALSE)*CI37*($K37)+(CI37-CJ37-CK37)*(1-$K37)</f>
        <v>513325.07428525412</v>
      </c>
      <c r="CM37" s="1118"/>
      <c r="CQ37" s="1116">
        <f>(CQ$26+CQ$30+CQ$34)*$L37</f>
        <v>1083006</v>
      </c>
      <c r="CR37" s="1117">
        <f>VLOOKUP($E37,CQ$442:CT$453,2,FALSE)*CQ37*($K37)+IF($G37&gt;0,($H37/$G37)*CQ37,0)*(1-$K37)</f>
        <v>344136.87305185618</v>
      </c>
      <c r="CS37" s="1117">
        <f>VLOOKUP($E37,CQ$442:CT$453,3,FALSE)*CQ37*($K37)+IF($G37&gt;0,($I37/$G37)*CQ37,0)*(1-$K37)</f>
        <v>225544.05266288968</v>
      </c>
      <c r="CT37" s="1117">
        <f>VLOOKUP($E37,CQ$442:CT$453,4,FALSE)*CQ37*($K37)+(CQ37-CR37-CS37)*(1-$K37)</f>
        <v>513325.07428525412</v>
      </c>
      <c r="CU37" s="1118"/>
      <c r="CY37" s="1116">
        <f>(CY$26+CY$30+CY$34)*$L37</f>
        <v>1083006</v>
      </c>
      <c r="CZ37" s="1117">
        <f>VLOOKUP($E37,CY$442:DB$453,2,FALSE)*CY37*($K37)+IF($G37&gt;0,($H37/$G37)*CY37,0)*(1-$K37)</f>
        <v>344136.87305185618</v>
      </c>
      <c r="DA37" s="1117">
        <f>VLOOKUP($E37,CY$442:DB$453,3,FALSE)*CY37*($K37)+IF($G37&gt;0,($I37/$G37)*CY37,0)*(1-$K37)</f>
        <v>225544.05266288968</v>
      </c>
      <c r="DB37" s="1117">
        <f>VLOOKUP($E37,CY$442:DB$453,4,FALSE)*CY37*($K37)+(CY37-CZ37-DA37)*(1-$K37)</f>
        <v>513325.07428525412</v>
      </c>
      <c r="DC37" s="1118"/>
      <c r="DG37" s="1116">
        <f>(DG$26+DG$30+DG$34)*$L37</f>
        <v>1083006</v>
      </c>
      <c r="DH37" s="1117">
        <f>VLOOKUP($E37,DG$442:DJ$453,2,FALSE)*DG37*($K37)+IF($G37&gt;0,($H37/$G37)*DG37,0)*(1-$K37)</f>
        <v>344136.87305185618</v>
      </c>
      <c r="DI37" s="1117">
        <f>VLOOKUP($E37,DG$442:DJ$453,3,FALSE)*DG37*($K37)+IF($G37&gt;0,($I37/$G37)*DG37,0)*(1-$K37)</f>
        <v>225544.05266288968</v>
      </c>
      <c r="DJ37" s="1117">
        <f>VLOOKUP($E37,DG$442:DJ$453,4,FALSE)*DG37*($K37)+(DG37-DH37-DI37)*(1-$K37)</f>
        <v>513325.07428525412</v>
      </c>
      <c r="DK37" s="1118"/>
      <c r="DO37" s="1116">
        <f>(DO$26+DO$30+DO$34)*$L37</f>
        <v>1083006</v>
      </c>
      <c r="DP37" s="1117">
        <f>VLOOKUP($E37,DO$442:DR$453,2,FALSE)*DO37*($K37)+IF($G37&gt;0,($H37/$G37)*DO37,0)*(1-$K37)</f>
        <v>344136.87305185618</v>
      </c>
      <c r="DQ37" s="1117">
        <f>VLOOKUP($E37,DO$442:DR$453,3,FALSE)*DO37*($K37)+IF($G37&gt;0,($I37/$G37)*DO37,0)*(1-$K37)</f>
        <v>225544.05266288968</v>
      </c>
      <c r="DR37" s="1117">
        <f>VLOOKUP($E37,DO$442:DR$453,4,FALSE)*DO37*($K37)+(DO37-DP37-DQ37)*(1-$K37)</f>
        <v>513325.07428525412</v>
      </c>
      <c r="DS37" s="1118"/>
      <c r="DW37" s="1116">
        <f>(DW$26+DW$30+DW$34)*$L37</f>
        <v>1083006</v>
      </c>
      <c r="DX37" s="1117">
        <f>VLOOKUP($E37,DW$442:DZ$453,2,FALSE)*DW37*($K37)+IF($G37&gt;0,($H37/$G37)*DW37,0)*(1-$K37)</f>
        <v>344136.87305185618</v>
      </c>
      <c r="DY37" s="1117">
        <f>VLOOKUP($E37,DW$442:DZ$453,3,FALSE)*DW37*($K37)+IF($G37&gt;0,($I37/$G37)*DW37,0)*(1-$K37)</f>
        <v>225544.05266288968</v>
      </c>
      <c r="DZ37" s="1117">
        <f>VLOOKUP($E37,DW$442:DZ$453,4,FALSE)*DW37*($K37)+(DW37-DX37-DY37)*(1-$K37)</f>
        <v>513325.07428525412</v>
      </c>
      <c r="EA37" s="1118"/>
      <c r="EE37" s="1116">
        <f>(EE$26+EE$30+EE$34)*$L37</f>
        <v>1083006</v>
      </c>
      <c r="EF37" s="1117">
        <f>VLOOKUP($E37,EE$442:EH$453,2,FALSE)*EE37*($K37)+IF($G37&gt;0,($H37/$G37)*EE37,0)*(1-$K37)</f>
        <v>344136.87305185618</v>
      </c>
      <c r="EG37" s="1117">
        <f>VLOOKUP($E37,EE$442:EH$453,3,FALSE)*EE37*($K37)+IF($G37&gt;0,($I37/$G37)*EE37,0)*(1-$K37)</f>
        <v>225544.05266288968</v>
      </c>
      <c r="EH37" s="1117">
        <f>VLOOKUP($E37,EE$442:EH$453,4,FALSE)*EE37*($K37)+(EE37-EF37-EG37)*(1-$K37)</f>
        <v>513325.07428525412</v>
      </c>
      <c r="EI37" s="1118"/>
      <c r="EM37" s="1116">
        <f>(EM$26+EM$30+EM$34)*$L37</f>
        <v>1083006</v>
      </c>
      <c r="EN37" s="1117">
        <f>VLOOKUP($E37,EM$442:EP$453,2,FALSE)*EM37*($K37)+IF($G37&gt;0,($H37/$G37)*EM37,0)*(1-$K37)</f>
        <v>344136.87305185618</v>
      </c>
      <c r="EO37" s="1117">
        <f>VLOOKUP($E37,EM$442:EP$453,3,FALSE)*EM37*($K37)+IF($G37&gt;0,($I37/$G37)*EM37,0)*(1-$K37)</f>
        <v>225544.05266288968</v>
      </c>
      <c r="EP37" s="1117">
        <f>VLOOKUP($E37,EM$442:EP$453,4,FALSE)*EM37*($K37)+(EM37-EN37-EO37)*(1-$K37)</f>
        <v>513325.07428525412</v>
      </c>
      <c r="EQ37" s="1118"/>
      <c r="EU37" s="1116">
        <f>(EU$26+EU$30+EU$34)*$L37</f>
        <v>1083006</v>
      </c>
      <c r="EV37" s="1117">
        <f>VLOOKUP($E37,EU$442:EX$453,2,FALSE)*EU37*($K37)+IF($G37&gt;0,($H37/$G37)*EU37,0)*(1-$K37)</f>
        <v>344136.87305185618</v>
      </c>
      <c r="EW37" s="1117">
        <f>VLOOKUP($E37,EU$442:EX$453,3,FALSE)*EU37*($K37)+IF($G37&gt;0,($I37/$G37)*EU37,0)*(1-$K37)</f>
        <v>225544.05266288968</v>
      </c>
      <c r="EX37" s="1117">
        <f>VLOOKUP($E37,EU$442:EX$453,4,FALSE)*EU37*($K37)+(EU37-EV37-EW37)*(1-$K37)</f>
        <v>513325.07428525412</v>
      </c>
      <c r="EY37" s="1118"/>
      <c r="FC37" s="1116">
        <f>(FC$26+FC$30+FC$34)*$L37</f>
        <v>1083006</v>
      </c>
      <c r="FD37" s="1117">
        <f>VLOOKUP($E37,FC$442:FF$453,2,FALSE)*FC37*($K37)+IF($G37&gt;0,($H37/$G37)*FC37,0)*(1-$K37)</f>
        <v>344136.87305185618</v>
      </c>
      <c r="FE37" s="1117">
        <f>VLOOKUP($E37,FC$442:FF$453,3,FALSE)*FC37*($K37)+IF($G37&gt;0,($I37/$G37)*FC37,0)*(1-$K37)</f>
        <v>225544.05266288968</v>
      </c>
      <c r="FF37" s="1117">
        <f>VLOOKUP($E37,FC$442:FF$453,4,FALSE)*FC37*($K37)+(FC37-FD37-FE37)*(1-$K37)</f>
        <v>513325.07428525412</v>
      </c>
      <c r="FG37" s="1118"/>
      <c r="FK37" s="1116">
        <f>(FK$26+FK$30+FK$34)*$L37</f>
        <v>1083006</v>
      </c>
      <c r="FL37" s="1117">
        <f>VLOOKUP($E37,FK$442:FN$453,2,FALSE)*FK37*($K37)+IF($G37&gt;0,($H37/$G37)*FK37,0)*(1-$K37)</f>
        <v>344136.87305185618</v>
      </c>
      <c r="FM37" s="1117">
        <f>VLOOKUP($E37,FK$442:FN$453,3,FALSE)*FK37*($K37)+IF($G37&gt;0,($I37/$G37)*FK37,0)*(1-$K37)</f>
        <v>225544.05266288968</v>
      </c>
      <c r="FN37" s="1117">
        <f>VLOOKUP($E37,FK$442:FN$453,4,FALSE)*FK37*($K37)+(FK37-FL37-FM37)*(1-$K37)</f>
        <v>513325.07428525412</v>
      </c>
      <c r="FO37" s="1118"/>
    </row>
    <row r="38" spans="1:171">
      <c r="A38" s="912"/>
      <c r="B38" s="10" t="s">
        <v>126</v>
      </c>
      <c r="C38" s="887" t="s">
        <v>70</v>
      </c>
      <c r="D38" s="888">
        <v>390</v>
      </c>
      <c r="E38" s="182" t="str">
        <f>'Sch 1- Rate Base '!E38</f>
        <v>PTD</v>
      </c>
      <c r="F38" s="889"/>
      <c r="G38" s="182">
        <f>'Sch 1- Rate Base '!G38</f>
        <v>21045508</v>
      </c>
      <c r="H38" s="182">
        <f>'Sch 1- Rate Base '!H38</f>
        <v>6687437.8488280065</v>
      </c>
      <c r="I38" s="182">
        <f>'Sch 1- Rate Base '!I38</f>
        <v>0</v>
      </c>
      <c r="J38" s="183">
        <f>'Sch 1- Rate Base '!J38</f>
        <v>14358070.151171993</v>
      </c>
      <c r="K38" s="903">
        <f t="shared" si="0"/>
        <v>1</v>
      </c>
      <c r="L38" s="1123">
        <f t="shared" si="1"/>
        <v>4.1437124696929502E-3</v>
      </c>
      <c r="O38" s="1116">
        <f t="shared" ref="O38:O48" si="2">(O$26+O$30+O$34)*$L38</f>
        <v>21045508</v>
      </c>
      <c r="P38" s="1117">
        <f t="shared" ref="P38:P48" si="3">VLOOKUP($E38,O$442:R$453,2,FALSE)*O38*($K38)+IF($G38&gt;0,($H38/$G38)*O38,0)*(1-$K38)</f>
        <v>6687437.8488280065</v>
      </c>
      <c r="Q38" s="1117">
        <f t="shared" ref="Q38:Q48" si="4">VLOOKUP($E38,O$442:R$453,3,FALSE)*O38*($K38)+IF($G38&gt;0,($I38/$G38)*O38,0)*(1-$K38)</f>
        <v>4382883.5340425316</v>
      </c>
      <c r="R38" s="1117">
        <f t="shared" ref="R38:R48" si="5">VLOOKUP($E38,O$442:R$453,4,FALSE)*O38*($K38)+(O38-P38-Q38)*(1-$K38)</f>
        <v>9975186.6171294618</v>
      </c>
      <c r="S38" s="1118"/>
      <c r="W38" s="1116">
        <f t="shared" ref="W38:W48" si="6">(W$26+W$30+W$34)*$L38</f>
        <v>21045508</v>
      </c>
      <c r="X38" s="1117">
        <f t="shared" ref="X38:X48" si="7">VLOOKUP($E38,W$442:Z$453,2,FALSE)*W38*($K38)+IF($G38&gt;0,($H38/$G38)*W38,0)*(1-$K38)</f>
        <v>6687437.8488280065</v>
      </c>
      <c r="Y38" s="1117">
        <f t="shared" ref="Y38:Y48" si="8">VLOOKUP($E38,W$442:Z$453,3,FALSE)*W38*($K38)+IF($G38&gt;0,($I38/$G38)*W38,0)*(1-$K38)</f>
        <v>4382883.5340425316</v>
      </c>
      <c r="Z38" s="1117">
        <f t="shared" ref="Z38:Z48" si="9">VLOOKUP($E38,W$442:Z$453,4,FALSE)*W38*($K38)+(W38-X38-Y38)*(1-$K38)</f>
        <v>9975186.6171294618</v>
      </c>
      <c r="AA38" s="1118"/>
      <c r="AE38" s="1116">
        <f t="shared" ref="AE38:AE48" si="10">(AE$26+AE$30+AE$34)*$L38</f>
        <v>21045508</v>
      </c>
      <c r="AF38" s="1117">
        <f t="shared" ref="AF38:AF48" si="11">VLOOKUP($E38,AE$442:AH$453,2,FALSE)*AE38*($K38)+IF($G38&gt;0,($H38/$G38)*AE38,0)*(1-$K38)</f>
        <v>6687437.8488280065</v>
      </c>
      <c r="AG38" s="1117">
        <f t="shared" ref="AG38:AG48" si="12">VLOOKUP($E38,AE$442:AH$453,3,FALSE)*AE38*($K38)+IF($G38&gt;0,($I38/$G38)*AE38,0)*(1-$K38)</f>
        <v>4382883.5340425316</v>
      </c>
      <c r="AH38" s="1117">
        <f t="shared" ref="AH38:AH48" si="13">VLOOKUP($E38,AE$442:AH$453,4,FALSE)*AE38*($K38)+(AE38-AF38-AG38)*(1-$K38)</f>
        <v>9975186.6171294618</v>
      </c>
      <c r="AI38" s="1118"/>
      <c r="AM38" s="1116">
        <f t="shared" ref="AM38:AM48" si="14">(AM$26+AM$30+AM$34)*$L38</f>
        <v>21045508</v>
      </c>
      <c r="AN38" s="1117">
        <f t="shared" ref="AN38:AN48" si="15">VLOOKUP($E38,AM$442:AP$453,2,FALSE)*AM38*($K38)+IF($G38&gt;0,($H38/$G38)*AM38,0)*(1-$K38)</f>
        <v>6687437.8488280065</v>
      </c>
      <c r="AO38" s="1117">
        <f t="shared" ref="AO38:AO48" si="16">VLOOKUP($E38,AM$442:AP$453,3,FALSE)*AM38*($K38)+IF($G38&gt;0,($I38/$G38)*AM38,0)*(1-$K38)</f>
        <v>4382883.5340425316</v>
      </c>
      <c r="AP38" s="1117">
        <f t="shared" ref="AP38:AP48" si="17">VLOOKUP($E38,AM$442:AP$453,4,FALSE)*AM38*($K38)+(AM38-AN38-AO38)*(1-$K38)</f>
        <v>9975186.6171294618</v>
      </c>
      <c r="AQ38" s="1118"/>
      <c r="AU38" s="1116">
        <f t="shared" ref="AU38:AU48" si="18">(AU$26+AU$30+AU$34)*$L38</f>
        <v>21045508</v>
      </c>
      <c r="AV38" s="1117">
        <f t="shared" ref="AV38:AV48" si="19">VLOOKUP($E38,AU$442:AX$453,2,FALSE)*AU38*($K38)+IF($G38&gt;0,($H38/$G38)*AU38,0)*(1-$K38)</f>
        <v>6687437.8488280065</v>
      </c>
      <c r="AW38" s="1117">
        <f t="shared" ref="AW38:AW48" si="20">VLOOKUP($E38,AU$442:AX$453,3,FALSE)*AU38*($K38)+IF($G38&gt;0,($I38/$G38)*AU38,0)*(1-$K38)</f>
        <v>4382883.5340425316</v>
      </c>
      <c r="AX38" s="1117">
        <f t="shared" ref="AX38:AX48" si="21">VLOOKUP($E38,AU$442:AX$453,4,FALSE)*AU38*($K38)+(AU38-AV38-AW38)*(1-$K38)</f>
        <v>9975186.6171294618</v>
      </c>
      <c r="AY38" s="1118"/>
      <c r="BC38" s="1116">
        <f t="shared" ref="BC38:BC48" si="22">(BC$26+BC$30+BC$34)*$L38</f>
        <v>21045508</v>
      </c>
      <c r="BD38" s="1117">
        <f t="shared" ref="BD38:BD48" si="23">VLOOKUP($E38,BC$442:BF$453,2,FALSE)*BC38*($K38)+IF($G38&gt;0,($H38/$G38)*BC38,0)*(1-$K38)</f>
        <v>6687437.8488280065</v>
      </c>
      <c r="BE38" s="1117">
        <f t="shared" ref="BE38:BE48" si="24">VLOOKUP($E38,BC$442:BF$453,3,FALSE)*BC38*($K38)+IF($G38&gt;0,($I38/$G38)*BC38,0)*(1-$K38)</f>
        <v>4382883.5340425316</v>
      </c>
      <c r="BF38" s="1117">
        <f t="shared" ref="BF38:BF48" si="25">VLOOKUP($E38,BC$442:BF$453,4,FALSE)*BC38*($K38)+(BC38-BD38-BE38)*(1-$K38)</f>
        <v>9975186.6171294618</v>
      </c>
      <c r="BG38" s="1118"/>
      <c r="BK38" s="1116">
        <f t="shared" ref="BK38:BK48" si="26">(BK$26+BK$30+BK$34)*$L38</f>
        <v>21045508</v>
      </c>
      <c r="BL38" s="1117">
        <f t="shared" ref="BL38:BL48" si="27">VLOOKUP($E38,BK$442:BN$453,2,FALSE)*BK38*($K38)+IF($G38&gt;0,($H38/$G38)*BK38,0)*(1-$K38)</f>
        <v>6687437.8488280065</v>
      </c>
      <c r="BM38" s="1117">
        <f t="shared" ref="BM38:BM48" si="28">VLOOKUP($E38,BK$442:BN$453,3,FALSE)*BK38*($K38)+IF($G38&gt;0,($I38/$G38)*BK38,0)*(1-$K38)</f>
        <v>4382883.5340425316</v>
      </c>
      <c r="BN38" s="1117">
        <f t="shared" ref="BN38:BN48" si="29">VLOOKUP($E38,BK$442:BN$453,4,FALSE)*BK38*($K38)+(BK38-BL38-BM38)*(1-$K38)</f>
        <v>9975186.6171294618</v>
      </c>
      <c r="BO38" s="1118"/>
      <c r="BS38" s="1116">
        <f t="shared" ref="BS38:BS48" si="30">(BS$26+BS$30+BS$34)*$L38</f>
        <v>21045508</v>
      </c>
      <c r="BT38" s="1117">
        <f t="shared" ref="BT38:BT48" si="31">VLOOKUP($E38,BS$442:BV$453,2,FALSE)*BS38*($K38)+IF($G38&gt;0,($H38/$G38)*BS38,0)*(1-$K38)</f>
        <v>6687437.8488280065</v>
      </c>
      <c r="BU38" s="1117">
        <f t="shared" ref="BU38:BU48" si="32">VLOOKUP($E38,BS$442:BV$453,3,FALSE)*BS38*($K38)+IF($G38&gt;0,($I38/$G38)*BS38,0)*(1-$K38)</f>
        <v>4382883.5340425316</v>
      </c>
      <c r="BV38" s="1117">
        <f t="shared" ref="BV38:BV48" si="33">VLOOKUP($E38,BS$442:BV$453,4,FALSE)*BS38*($K38)+(BS38-BT38-BU38)*(1-$K38)</f>
        <v>9975186.6171294618</v>
      </c>
      <c r="BW38" s="1118"/>
      <c r="CA38" s="1116">
        <f t="shared" ref="CA38:CA48" si="34">(CA$26+CA$30+CA$34)*$L38</f>
        <v>21045508</v>
      </c>
      <c r="CB38" s="1117">
        <f t="shared" ref="CB38:CB48" si="35">VLOOKUP($E38,CA$442:CD$453,2,FALSE)*CA38*($K38)+IF($G38&gt;0,($H38/$G38)*CA38,0)*(1-$K38)</f>
        <v>6687437.8488280065</v>
      </c>
      <c r="CC38" s="1117">
        <f t="shared" ref="CC38:CC48" si="36">VLOOKUP($E38,CA$442:CD$453,3,FALSE)*CA38*($K38)+IF($G38&gt;0,($I38/$G38)*CA38,0)*(1-$K38)</f>
        <v>4382883.5340425316</v>
      </c>
      <c r="CD38" s="1117">
        <f t="shared" ref="CD38:CD48" si="37">VLOOKUP($E38,CA$442:CD$453,4,FALSE)*CA38*($K38)+(CA38-CB38-CC38)*(1-$K38)</f>
        <v>9975186.6171294618</v>
      </c>
      <c r="CE38" s="1118"/>
      <c r="CI38" s="1116">
        <f t="shared" ref="CI38:CI48" si="38">(CI$26+CI$30+CI$34)*$L38</f>
        <v>21045508</v>
      </c>
      <c r="CJ38" s="1117">
        <f t="shared" ref="CJ38:CJ48" si="39">VLOOKUP($E38,CI$442:CL$453,2,FALSE)*CI38*($K38)+IF($G38&gt;0,($H38/$G38)*CI38,0)*(1-$K38)</f>
        <v>6687437.8488280065</v>
      </c>
      <c r="CK38" s="1117">
        <f t="shared" ref="CK38:CK48" si="40">VLOOKUP($E38,CI$442:CL$453,3,FALSE)*CI38*($K38)+IF($G38&gt;0,($I38/$G38)*CI38,0)*(1-$K38)</f>
        <v>4382883.5340425316</v>
      </c>
      <c r="CL38" s="1117">
        <f t="shared" ref="CL38:CL48" si="41">VLOOKUP($E38,CI$442:CL$453,4,FALSE)*CI38*($K38)+(CI38-CJ38-CK38)*(1-$K38)</f>
        <v>9975186.6171294618</v>
      </c>
      <c r="CM38" s="1118"/>
      <c r="CQ38" s="1116">
        <f t="shared" ref="CQ38:CQ48" si="42">(CQ$26+CQ$30+CQ$34)*$L38</f>
        <v>21045508</v>
      </c>
      <c r="CR38" s="1117">
        <f t="shared" ref="CR38:CR48" si="43">VLOOKUP($E38,CQ$442:CT$453,2,FALSE)*CQ38*($K38)+IF($G38&gt;0,($H38/$G38)*CQ38,0)*(1-$K38)</f>
        <v>6687437.8488280065</v>
      </c>
      <c r="CS38" s="1117">
        <f t="shared" ref="CS38:CS48" si="44">VLOOKUP($E38,CQ$442:CT$453,3,FALSE)*CQ38*($K38)+IF($G38&gt;0,($I38/$G38)*CQ38,0)*(1-$K38)</f>
        <v>4382883.5340425316</v>
      </c>
      <c r="CT38" s="1117">
        <f t="shared" ref="CT38:CT48" si="45">VLOOKUP($E38,CQ$442:CT$453,4,FALSE)*CQ38*($K38)+(CQ38-CR38-CS38)*(1-$K38)</f>
        <v>9975186.6171294618</v>
      </c>
      <c r="CU38" s="1118"/>
      <c r="CY38" s="1116">
        <f t="shared" ref="CY38:CY48" si="46">(CY$26+CY$30+CY$34)*$L38</f>
        <v>21045508</v>
      </c>
      <c r="CZ38" s="1117">
        <f t="shared" ref="CZ38:CZ48" si="47">VLOOKUP($E38,CY$442:DB$453,2,FALSE)*CY38*($K38)+IF($G38&gt;0,($H38/$G38)*CY38,0)*(1-$K38)</f>
        <v>6687437.8488280065</v>
      </c>
      <c r="DA38" s="1117">
        <f t="shared" ref="DA38:DA48" si="48">VLOOKUP($E38,CY$442:DB$453,3,FALSE)*CY38*($K38)+IF($G38&gt;0,($I38/$G38)*CY38,0)*(1-$K38)</f>
        <v>4382883.5340425316</v>
      </c>
      <c r="DB38" s="1117">
        <f t="shared" ref="DB38:DB48" si="49">VLOOKUP($E38,CY$442:DB$453,4,FALSE)*CY38*($K38)+(CY38-CZ38-DA38)*(1-$K38)</f>
        <v>9975186.6171294618</v>
      </c>
      <c r="DC38" s="1118"/>
      <c r="DG38" s="1116">
        <f t="shared" ref="DG38:DG48" si="50">(DG$26+DG$30+DG$34)*$L38</f>
        <v>21045508</v>
      </c>
      <c r="DH38" s="1117">
        <f t="shared" ref="DH38:DH48" si="51">VLOOKUP($E38,DG$442:DJ$453,2,FALSE)*DG38*($K38)+IF($G38&gt;0,($H38/$G38)*DG38,0)*(1-$K38)</f>
        <v>6687437.8488280065</v>
      </c>
      <c r="DI38" s="1117">
        <f t="shared" ref="DI38:DI48" si="52">VLOOKUP($E38,DG$442:DJ$453,3,FALSE)*DG38*($K38)+IF($G38&gt;0,($I38/$G38)*DG38,0)*(1-$K38)</f>
        <v>4382883.5340425316</v>
      </c>
      <c r="DJ38" s="1117">
        <f t="shared" ref="DJ38:DJ48" si="53">VLOOKUP($E38,DG$442:DJ$453,4,FALSE)*DG38*($K38)+(DG38-DH38-DI38)*(1-$K38)</f>
        <v>9975186.6171294618</v>
      </c>
      <c r="DK38" s="1118"/>
      <c r="DO38" s="1116">
        <f t="shared" ref="DO38:DO48" si="54">(DO$26+DO$30+DO$34)*$L38</f>
        <v>21045508</v>
      </c>
      <c r="DP38" s="1117">
        <f t="shared" ref="DP38:DP48" si="55">VLOOKUP($E38,DO$442:DR$453,2,FALSE)*DO38*($K38)+IF($G38&gt;0,($H38/$G38)*DO38,0)*(1-$K38)</f>
        <v>6687437.8488280065</v>
      </c>
      <c r="DQ38" s="1117">
        <f t="shared" ref="DQ38:DQ48" si="56">VLOOKUP($E38,DO$442:DR$453,3,FALSE)*DO38*($K38)+IF($G38&gt;0,($I38/$G38)*DO38,0)*(1-$K38)</f>
        <v>4382883.5340425316</v>
      </c>
      <c r="DR38" s="1117">
        <f t="shared" ref="DR38:DR48" si="57">VLOOKUP($E38,DO$442:DR$453,4,FALSE)*DO38*($K38)+(DO38-DP38-DQ38)*(1-$K38)</f>
        <v>9975186.6171294618</v>
      </c>
      <c r="DS38" s="1118"/>
      <c r="DW38" s="1116">
        <f t="shared" ref="DW38:DW48" si="58">(DW$26+DW$30+DW$34)*$L38</f>
        <v>21045508</v>
      </c>
      <c r="DX38" s="1117">
        <f t="shared" ref="DX38:DX48" si="59">VLOOKUP($E38,DW$442:DZ$453,2,FALSE)*DW38*($K38)+IF($G38&gt;0,($H38/$G38)*DW38,0)*(1-$K38)</f>
        <v>6687437.8488280065</v>
      </c>
      <c r="DY38" s="1117">
        <f t="shared" ref="DY38:DY48" si="60">VLOOKUP($E38,DW$442:DZ$453,3,FALSE)*DW38*($K38)+IF($G38&gt;0,($I38/$G38)*DW38,0)*(1-$K38)</f>
        <v>4382883.5340425316</v>
      </c>
      <c r="DZ38" s="1117">
        <f t="shared" ref="DZ38:DZ48" si="61">VLOOKUP($E38,DW$442:DZ$453,4,FALSE)*DW38*($K38)+(DW38-DX38-DY38)*(1-$K38)</f>
        <v>9975186.6171294618</v>
      </c>
      <c r="EA38" s="1118"/>
      <c r="EE38" s="1116">
        <f t="shared" ref="EE38:EE48" si="62">(EE$26+EE$30+EE$34)*$L38</f>
        <v>21045508</v>
      </c>
      <c r="EF38" s="1117">
        <f t="shared" ref="EF38:EF48" si="63">VLOOKUP($E38,EE$442:EH$453,2,FALSE)*EE38*($K38)+IF($G38&gt;0,($H38/$G38)*EE38,0)*(1-$K38)</f>
        <v>6687437.8488280065</v>
      </c>
      <c r="EG38" s="1117">
        <f t="shared" ref="EG38:EG48" si="64">VLOOKUP($E38,EE$442:EH$453,3,FALSE)*EE38*($K38)+IF($G38&gt;0,($I38/$G38)*EE38,0)*(1-$K38)</f>
        <v>4382883.5340425316</v>
      </c>
      <c r="EH38" s="1117">
        <f t="shared" ref="EH38:EH48" si="65">VLOOKUP($E38,EE$442:EH$453,4,FALSE)*EE38*($K38)+(EE38-EF38-EG38)*(1-$K38)</f>
        <v>9975186.6171294618</v>
      </c>
      <c r="EI38" s="1118"/>
      <c r="EM38" s="1116">
        <f t="shared" ref="EM38:EM48" si="66">(EM$26+EM$30+EM$34)*$L38</f>
        <v>21045508</v>
      </c>
      <c r="EN38" s="1117">
        <f t="shared" ref="EN38:EN48" si="67">VLOOKUP($E38,EM$442:EP$453,2,FALSE)*EM38*($K38)+IF($G38&gt;0,($H38/$G38)*EM38,0)*(1-$K38)</f>
        <v>6687437.8488280065</v>
      </c>
      <c r="EO38" s="1117">
        <f t="shared" ref="EO38:EO48" si="68">VLOOKUP($E38,EM$442:EP$453,3,FALSE)*EM38*($K38)+IF($G38&gt;0,($I38/$G38)*EM38,0)*(1-$K38)</f>
        <v>4382883.5340425316</v>
      </c>
      <c r="EP38" s="1117">
        <f t="shared" ref="EP38:EP48" si="69">VLOOKUP($E38,EM$442:EP$453,4,FALSE)*EM38*($K38)+(EM38-EN38-EO38)*(1-$K38)</f>
        <v>9975186.6171294618</v>
      </c>
      <c r="EQ38" s="1118"/>
      <c r="EU38" s="1116">
        <f t="shared" ref="EU38:EU48" si="70">(EU$26+EU$30+EU$34)*$L38</f>
        <v>21045508</v>
      </c>
      <c r="EV38" s="1117">
        <f t="shared" ref="EV38:EV48" si="71">VLOOKUP($E38,EU$442:EX$453,2,FALSE)*EU38*($K38)+IF($G38&gt;0,($H38/$G38)*EU38,0)*(1-$K38)</f>
        <v>6687437.8488280065</v>
      </c>
      <c r="EW38" s="1117">
        <f t="shared" ref="EW38:EW48" si="72">VLOOKUP($E38,EU$442:EX$453,3,FALSE)*EU38*($K38)+IF($G38&gt;0,($I38/$G38)*EU38,0)*(1-$K38)</f>
        <v>4382883.5340425316</v>
      </c>
      <c r="EX38" s="1117">
        <f t="shared" ref="EX38:EX48" si="73">VLOOKUP($E38,EU$442:EX$453,4,FALSE)*EU38*($K38)+(EU38-EV38-EW38)*(1-$K38)</f>
        <v>9975186.6171294618</v>
      </c>
      <c r="EY38" s="1118"/>
      <c r="FC38" s="1116">
        <f t="shared" ref="FC38:FC48" si="74">(FC$26+FC$30+FC$34)*$L38</f>
        <v>21045508</v>
      </c>
      <c r="FD38" s="1117">
        <f t="shared" ref="FD38:FD48" si="75">VLOOKUP($E38,FC$442:FF$453,2,FALSE)*FC38*($K38)+IF($G38&gt;0,($H38/$G38)*FC38,0)*(1-$K38)</f>
        <v>6687437.8488280065</v>
      </c>
      <c r="FE38" s="1117">
        <f t="shared" ref="FE38:FE48" si="76">VLOOKUP($E38,FC$442:FF$453,3,FALSE)*FC38*($K38)+IF($G38&gt;0,($I38/$G38)*FC38,0)*(1-$K38)</f>
        <v>4382883.5340425316</v>
      </c>
      <c r="FF38" s="1117">
        <f t="shared" ref="FF38:FF48" si="77">VLOOKUP($E38,FC$442:FF$453,4,FALSE)*FC38*($K38)+(FC38-FD38-FE38)*(1-$K38)</f>
        <v>9975186.6171294618</v>
      </c>
      <c r="FG38" s="1118"/>
      <c r="FK38" s="1116">
        <f t="shared" ref="FK38:FK48" si="78">(FK$26+FK$30+FK$34)*$L38</f>
        <v>21045508</v>
      </c>
      <c r="FL38" s="1117">
        <f t="shared" ref="FL38:FL48" si="79">VLOOKUP($E38,FK$442:FN$453,2,FALSE)*FK38*($K38)+IF($G38&gt;0,($H38/$G38)*FK38,0)*(1-$K38)</f>
        <v>6687437.8488280065</v>
      </c>
      <c r="FM38" s="1117">
        <f t="shared" ref="FM38:FM48" si="80">VLOOKUP($E38,FK$442:FN$453,3,FALSE)*FK38*($K38)+IF($G38&gt;0,($I38/$G38)*FK38,0)*(1-$K38)</f>
        <v>4382883.5340425316</v>
      </c>
      <c r="FN38" s="1117">
        <f t="shared" ref="FN38:FN48" si="81">VLOOKUP($E38,FK$442:FN$453,4,FALSE)*FK38*($K38)+(FK38-FL38-FM38)*(1-$K38)</f>
        <v>9975186.6171294618</v>
      </c>
      <c r="FO38" s="1118"/>
    </row>
    <row r="39" spans="1:171">
      <c r="A39" s="912"/>
      <c r="B39" s="10" t="s">
        <v>127</v>
      </c>
      <c r="C39" s="887" t="s">
        <v>70</v>
      </c>
      <c r="D39" s="888">
        <v>391</v>
      </c>
      <c r="E39" s="182" t="str">
        <f>'Sch 1- Rate Base '!E39</f>
        <v>LABOR</v>
      </c>
      <c r="F39" s="889"/>
      <c r="G39" s="182">
        <f>'Sch 1- Rate Base '!G39</f>
        <v>3976622</v>
      </c>
      <c r="H39" s="182">
        <f>'Sch 1- Rate Base '!H39</f>
        <v>1455724.5705582532</v>
      </c>
      <c r="I39" s="182">
        <f>'Sch 1- Rate Base '!I39</f>
        <v>0</v>
      </c>
      <c r="J39" s="183">
        <f>'Sch 1- Rate Base '!J39</f>
        <v>2520897.4294417468</v>
      </c>
      <c r="K39" s="903">
        <f t="shared" si="0"/>
        <v>1</v>
      </c>
      <c r="L39" s="1123">
        <f t="shared" si="1"/>
        <v>7.8296889619653364E-4</v>
      </c>
      <c r="O39" s="1116">
        <f t="shared" si="2"/>
        <v>3976622</v>
      </c>
      <c r="P39" s="1117">
        <f t="shared" si="3"/>
        <v>1455724.5705582532</v>
      </c>
      <c r="Q39" s="1117">
        <f t="shared" si="4"/>
        <v>305059.74741504656</v>
      </c>
      <c r="R39" s="1117">
        <f t="shared" si="5"/>
        <v>2215837.6820267001</v>
      </c>
      <c r="S39" s="1118"/>
      <c r="W39" s="1116">
        <f t="shared" si="6"/>
        <v>3976622</v>
      </c>
      <c r="X39" s="1117">
        <f t="shared" si="7"/>
        <v>1455724.5705582532</v>
      </c>
      <c r="Y39" s="1117">
        <f t="shared" si="8"/>
        <v>305059.74741504656</v>
      </c>
      <c r="Z39" s="1117">
        <f t="shared" si="9"/>
        <v>2215837.6820267001</v>
      </c>
      <c r="AA39" s="1118"/>
      <c r="AE39" s="1116">
        <f t="shared" si="10"/>
        <v>3976622</v>
      </c>
      <c r="AF39" s="1117">
        <f t="shared" si="11"/>
        <v>1455724.5705582532</v>
      </c>
      <c r="AG39" s="1117">
        <f t="shared" si="12"/>
        <v>305059.74741504656</v>
      </c>
      <c r="AH39" s="1117">
        <f t="shared" si="13"/>
        <v>2215837.6820267001</v>
      </c>
      <c r="AI39" s="1118"/>
      <c r="AM39" s="1116">
        <f t="shared" si="14"/>
        <v>3976622</v>
      </c>
      <c r="AN39" s="1117">
        <f t="shared" si="15"/>
        <v>1455724.5705582532</v>
      </c>
      <c r="AO39" s="1117">
        <f t="shared" si="16"/>
        <v>305059.74741504656</v>
      </c>
      <c r="AP39" s="1117">
        <f t="shared" si="17"/>
        <v>2215837.6820267001</v>
      </c>
      <c r="AQ39" s="1118"/>
      <c r="AU39" s="1116">
        <f t="shared" si="18"/>
        <v>3976622</v>
      </c>
      <c r="AV39" s="1117">
        <f t="shared" si="19"/>
        <v>1455724.5705582532</v>
      </c>
      <c r="AW39" s="1117">
        <f t="shared" si="20"/>
        <v>305059.74741504656</v>
      </c>
      <c r="AX39" s="1117">
        <f t="shared" si="21"/>
        <v>2215837.6820267001</v>
      </c>
      <c r="AY39" s="1118"/>
      <c r="BC39" s="1116">
        <f t="shared" si="22"/>
        <v>3976622</v>
      </c>
      <c r="BD39" s="1117">
        <f t="shared" si="23"/>
        <v>1455724.5705582532</v>
      </c>
      <c r="BE39" s="1117">
        <f t="shared" si="24"/>
        <v>305059.74741504656</v>
      </c>
      <c r="BF39" s="1117">
        <f t="shared" si="25"/>
        <v>2215837.6820267001</v>
      </c>
      <c r="BG39" s="1118"/>
      <c r="BK39" s="1116">
        <f t="shared" si="26"/>
        <v>3976622</v>
      </c>
      <c r="BL39" s="1117">
        <f t="shared" si="27"/>
        <v>1455724.5705582532</v>
      </c>
      <c r="BM39" s="1117">
        <f t="shared" si="28"/>
        <v>305059.74741504656</v>
      </c>
      <c r="BN39" s="1117">
        <f t="shared" si="29"/>
        <v>2215837.6820267001</v>
      </c>
      <c r="BO39" s="1118"/>
      <c r="BS39" s="1116">
        <f t="shared" si="30"/>
        <v>3976622</v>
      </c>
      <c r="BT39" s="1117">
        <f t="shared" si="31"/>
        <v>1455724.5705582532</v>
      </c>
      <c r="BU39" s="1117">
        <f t="shared" si="32"/>
        <v>305059.74741504656</v>
      </c>
      <c r="BV39" s="1117">
        <f t="shared" si="33"/>
        <v>2215837.6820267001</v>
      </c>
      <c r="BW39" s="1118"/>
      <c r="CA39" s="1116">
        <f t="shared" si="34"/>
        <v>3976622</v>
      </c>
      <c r="CB39" s="1117">
        <f t="shared" si="35"/>
        <v>1455724.5705582532</v>
      </c>
      <c r="CC39" s="1117">
        <f t="shared" si="36"/>
        <v>305059.74741504656</v>
      </c>
      <c r="CD39" s="1117">
        <f t="shared" si="37"/>
        <v>2215837.6820267001</v>
      </c>
      <c r="CE39" s="1118"/>
      <c r="CI39" s="1116">
        <f t="shared" si="38"/>
        <v>3976622</v>
      </c>
      <c r="CJ39" s="1117">
        <f t="shared" si="39"/>
        <v>1455724.5705582532</v>
      </c>
      <c r="CK39" s="1117">
        <f t="shared" si="40"/>
        <v>305059.74741504656</v>
      </c>
      <c r="CL39" s="1117">
        <f t="shared" si="41"/>
        <v>2215837.6820267001</v>
      </c>
      <c r="CM39" s="1118"/>
      <c r="CQ39" s="1116">
        <f t="shared" si="42"/>
        <v>3976622</v>
      </c>
      <c r="CR39" s="1117">
        <f t="shared" si="43"/>
        <v>1455724.5705582532</v>
      </c>
      <c r="CS39" s="1117">
        <f t="shared" si="44"/>
        <v>305059.74741504656</v>
      </c>
      <c r="CT39" s="1117">
        <f t="shared" si="45"/>
        <v>2215837.6820267001</v>
      </c>
      <c r="CU39" s="1118"/>
      <c r="CY39" s="1116">
        <f t="shared" si="46"/>
        <v>3976622</v>
      </c>
      <c r="CZ39" s="1117">
        <f t="shared" si="47"/>
        <v>1455724.5705582532</v>
      </c>
      <c r="DA39" s="1117">
        <f t="shared" si="48"/>
        <v>305059.74741504656</v>
      </c>
      <c r="DB39" s="1117">
        <f t="shared" si="49"/>
        <v>2215837.6820267001</v>
      </c>
      <c r="DC39" s="1118"/>
      <c r="DG39" s="1116">
        <f t="shared" si="50"/>
        <v>3976622</v>
      </c>
      <c r="DH39" s="1117">
        <f t="shared" si="51"/>
        <v>1455724.5705582532</v>
      </c>
      <c r="DI39" s="1117">
        <f t="shared" si="52"/>
        <v>305059.74741504656</v>
      </c>
      <c r="DJ39" s="1117">
        <f t="shared" si="53"/>
        <v>2215837.6820267001</v>
      </c>
      <c r="DK39" s="1118"/>
      <c r="DO39" s="1116">
        <f t="shared" si="54"/>
        <v>3976622</v>
      </c>
      <c r="DP39" s="1117">
        <f t="shared" si="55"/>
        <v>1455724.5705582532</v>
      </c>
      <c r="DQ39" s="1117">
        <f t="shared" si="56"/>
        <v>305059.74741504656</v>
      </c>
      <c r="DR39" s="1117">
        <f t="shared" si="57"/>
        <v>2215837.6820267001</v>
      </c>
      <c r="DS39" s="1118"/>
      <c r="DW39" s="1116">
        <f t="shared" si="58"/>
        <v>3976622</v>
      </c>
      <c r="DX39" s="1117">
        <f t="shared" si="59"/>
        <v>1455724.5705582532</v>
      </c>
      <c r="DY39" s="1117">
        <f t="shared" si="60"/>
        <v>305059.74741504656</v>
      </c>
      <c r="DZ39" s="1117">
        <f t="shared" si="61"/>
        <v>2215837.6820267001</v>
      </c>
      <c r="EA39" s="1118"/>
      <c r="EE39" s="1116">
        <f t="shared" si="62"/>
        <v>3976622</v>
      </c>
      <c r="EF39" s="1117">
        <f t="shared" si="63"/>
        <v>1455724.5705582532</v>
      </c>
      <c r="EG39" s="1117">
        <f t="shared" si="64"/>
        <v>305059.74741504656</v>
      </c>
      <c r="EH39" s="1117">
        <f t="shared" si="65"/>
        <v>2215837.6820267001</v>
      </c>
      <c r="EI39" s="1118"/>
      <c r="EM39" s="1116">
        <f t="shared" si="66"/>
        <v>3976622</v>
      </c>
      <c r="EN39" s="1117">
        <f t="shared" si="67"/>
        <v>1455724.5705582532</v>
      </c>
      <c r="EO39" s="1117">
        <f t="shared" si="68"/>
        <v>305059.74741504656</v>
      </c>
      <c r="EP39" s="1117">
        <f t="shared" si="69"/>
        <v>2215837.6820267001</v>
      </c>
      <c r="EQ39" s="1118"/>
      <c r="EU39" s="1116">
        <f t="shared" si="70"/>
        <v>3976622</v>
      </c>
      <c r="EV39" s="1117">
        <f t="shared" si="71"/>
        <v>1455724.5705582532</v>
      </c>
      <c r="EW39" s="1117">
        <f t="shared" si="72"/>
        <v>305059.74741504656</v>
      </c>
      <c r="EX39" s="1117">
        <f t="shared" si="73"/>
        <v>2215837.6820267001</v>
      </c>
      <c r="EY39" s="1118"/>
      <c r="FC39" s="1116">
        <f t="shared" si="74"/>
        <v>3976622</v>
      </c>
      <c r="FD39" s="1117">
        <f t="shared" si="75"/>
        <v>1455724.5705582532</v>
      </c>
      <c r="FE39" s="1117">
        <f t="shared" si="76"/>
        <v>305059.74741504656</v>
      </c>
      <c r="FF39" s="1117">
        <f t="shared" si="77"/>
        <v>2215837.6820267001</v>
      </c>
      <c r="FG39" s="1118"/>
      <c r="FK39" s="1116">
        <f t="shared" si="78"/>
        <v>3976622</v>
      </c>
      <c r="FL39" s="1117">
        <f t="shared" si="79"/>
        <v>1455724.5705582532</v>
      </c>
      <c r="FM39" s="1117">
        <f t="shared" si="80"/>
        <v>305059.74741504656</v>
      </c>
      <c r="FN39" s="1117">
        <f t="shared" si="81"/>
        <v>2215837.6820267001</v>
      </c>
      <c r="FO39" s="1118"/>
    </row>
    <row r="40" spans="1:171">
      <c r="A40" s="912"/>
      <c r="B40" s="10" t="s">
        <v>128</v>
      </c>
      <c r="C40" s="887" t="s">
        <v>70</v>
      </c>
      <c r="D40" s="888">
        <v>392</v>
      </c>
      <c r="E40" s="182" t="str">
        <f>'Sch 1- Rate Base '!E40</f>
        <v>TD</v>
      </c>
      <c r="F40" s="889"/>
      <c r="G40" s="182">
        <f>'Sch 1- Rate Base '!G40</f>
        <v>62357831</v>
      </c>
      <c r="H40" s="182">
        <f>'Sch 1- Rate Base '!H40</f>
        <v>0</v>
      </c>
      <c r="I40" s="182">
        <f>'Sch 1- Rate Base '!I40</f>
        <v>0</v>
      </c>
      <c r="J40" s="183">
        <f>'Sch 1- Rate Base '!J40</f>
        <v>62357831</v>
      </c>
      <c r="K40" s="903">
        <f t="shared" si="0"/>
        <v>1</v>
      </c>
      <c r="L40" s="1123">
        <f t="shared" si="1"/>
        <v>1.2277818235497362E-2</v>
      </c>
      <c r="O40" s="1116">
        <f t="shared" si="2"/>
        <v>62357831.000000007</v>
      </c>
      <c r="P40" s="1117">
        <f t="shared" si="3"/>
        <v>0</v>
      </c>
      <c r="Q40" s="1117">
        <f t="shared" si="4"/>
        <v>19035086.737349447</v>
      </c>
      <c r="R40" s="1117">
        <f t="shared" si="5"/>
        <v>43322744.262650557</v>
      </c>
      <c r="S40" s="1118"/>
      <c r="W40" s="1116">
        <f t="shared" si="6"/>
        <v>62357831.000000007</v>
      </c>
      <c r="X40" s="1117">
        <f t="shared" si="7"/>
        <v>0</v>
      </c>
      <c r="Y40" s="1117">
        <f t="shared" si="8"/>
        <v>19035086.737349447</v>
      </c>
      <c r="Z40" s="1117">
        <f t="shared" si="9"/>
        <v>43322744.262650557</v>
      </c>
      <c r="AA40" s="1118"/>
      <c r="AE40" s="1116">
        <f t="shared" si="10"/>
        <v>62357831.000000007</v>
      </c>
      <c r="AF40" s="1117">
        <f t="shared" si="11"/>
        <v>0</v>
      </c>
      <c r="AG40" s="1117">
        <f t="shared" si="12"/>
        <v>19035086.737349447</v>
      </c>
      <c r="AH40" s="1117">
        <f t="shared" si="13"/>
        <v>43322744.262650557</v>
      </c>
      <c r="AI40" s="1118"/>
      <c r="AM40" s="1116">
        <f t="shared" si="14"/>
        <v>62357831.000000007</v>
      </c>
      <c r="AN40" s="1117">
        <f t="shared" si="15"/>
        <v>0</v>
      </c>
      <c r="AO40" s="1117">
        <f t="shared" si="16"/>
        <v>19035086.737349447</v>
      </c>
      <c r="AP40" s="1117">
        <f t="shared" si="17"/>
        <v>43322744.262650557</v>
      </c>
      <c r="AQ40" s="1118"/>
      <c r="AU40" s="1116">
        <f t="shared" si="18"/>
        <v>62357831.000000007</v>
      </c>
      <c r="AV40" s="1117">
        <f t="shared" si="19"/>
        <v>0</v>
      </c>
      <c r="AW40" s="1117">
        <f t="shared" si="20"/>
        <v>19035086.737349447</v>
      </c>
      <c r="AX40" s="1117">
        <f t="shared" si="21"/>
        <v>43322744.262650557</v>
      </c>
      <c r="AY40" s="1118"/>
      <c r="BC40" s="1116">
        <f t="shared" si="22"/>
        <v>62357831.000000007</v>
      </c>
      <c r="BD40" s="1117">
        <f t="shared" si="23"/>
        <v>0</v>
      </c>
      <c r="BE40" s="1117">
        <f t="shared" si="24"/>
        <v>19035086.737349447</v>
      </c>
      <c r="BF40" s="1117">
        <f t="shared" si="25"/>
        <v>43322744.262650557</v>
      </c>
      <c r="BG40" s="1118"/>
      <c r="BK40" s="1116">
        <f t="shared" si="26"/>
        <v>62357831.000000007</v>
      </c>
      <c r="BL40" s="1117">
        <f t="shared" si="27"/>
        <v>0</v>
      </c>
      <c r="BM40" s="1117">
        <f t="shared" si="28"/>
        <v>19035086.737349447</v>
      </c>
      <c r="BN40" s="1117">
        <f t="shared" si="29"/>
        <v>43322744.262650557</v>
      </c>
      <c r="BO40" s="1118"/>
      <c r="BS40" s="1116">
        <f t="shared" si="30"/>
        <v>62357831.000000007</v>
      </c>
      <c r="BT40" s="1117">
        <f t="shared" si="31"/>
        <v>0</v>
      </c>
      <c r="BU40" s="1117">
        <f t="shared" si="32"/>
        <v>19035086.737349447</v>
      </c>
      <c r="BV40" s="1117">
        <f t="shared" si="33"/>
        <v>43322744.262650557</v>
      </c>
      <c r="BW40" s="1118"/>
      <c r="CA40" s="1116">
        <f t="shared" si="34"/>
        <v>62357831.000000007</v>
      </c>
      <c r="CB40" s="1117">
        <f t="shared" si="35"/>
        <v>0</v>
      </c>
      <c r="CC40" s="1117">
        <f t="shared" si="36"/>
        <v>19035086.737349447</v>
      </c>
      <c r="CD40" s="1117">
        <f t="shared" si="37"/>
        <v>43322744.262650557</v>
      </c>
      <c r="CE40" s="1118"/>
      <c r="CI40" s="1116">
        <f t="shared" si="38"/>
        <v>62357831.000000007</v>
      </c>
      <c r="CJ40" s="1117">
        <f t="shared" si="39"/>
        <v>0</v>
      </c>
      <c r="CK40" s="1117">
        <f t="shared" si="40"/>
        <v>19035086.737349447</v>
      </c>
      <c r="CL40" s="1117">
        <f t="shared" si="41"/>
        <v>43322744.262650557</v>
      </c>
      <c r="CM40" s="1118"/>
      <c r="CQ40" s="1116">
        <f t="shared" si="42"/>
        <v>62357831.000000007</v>
      </c>
      <c r="CR40" s="1117">
        <f t="shared" si="43"/>
        <v>0</v>
      </c>
      <c r="CS40" s="1117">
        <f t="shared" si="44"/>
        <v>19035086.737349447</v>
      </c>
      <c r="CT40" s="1117">
        <f t="shared" si="45"/>
        <v>43322744.262650557</v>
      </c>
      <c r="CU40" s="1118"/>
      <c r="CY40" s="1116">
        <f t="shared" si="46"/>
        <v>62357831.000000007</v>
      </c>
      <c r="CZ40" s="1117">
        <f t="shared" si="47"/>
        <v>0</v>
      </c>
      <c r="DA40" s="1117">
        <f t="shared" si="48"/>
        <v>19035086.737349447</v>
      </c>
      <c r="DB40" s="1117">
        <f t="shared" si="49"/>
        <v>43322744.262650557</v>
      </c>
      <c r="DC40" s="1118"/>
      <c r="DG40" s="1116">
        <f t="shared" si="50"/>
        <v>62357831.000000007</v>
      </c>
      <c r="DH40" s="1117">
        <f t="shared" si="51"/>
        <v>0</v>
      </c>
      <c r="DI40" s="1117">
        <f t="shared" si="52"/>
        <v>19035086.737349447</v>
      </c>
      <c r="DJ40" s="1117">
        <f t="shared" si="53"/>
        <v>43322744.262650557</v>
      </c>
      <c r="DK40" s="1118"/>
      <c r="DO40" s="1116">
        <f t="shared" si="54"/>
        <v>62357831.000000007</v>
      </c>
      <c r="DP40" s="1117">
        <f t="shared" si="55"/>
        <v>0</v>
      </c>
      <c r="DQ40" s="1117">
        <f t="shared" si="56"/>
        <v>19035086.737349447</v>
      </c>
      <c r="DR40" s="1117">
        <f t="shared" si="57"/>
        <v>43322744.262650557</v>
      </c>
      <c r="DS40" s="1118"/>
      <c r="DW40" s="1116">
        <f t="shared" si="58"/>
        <v>62357831.000000007</v>
      </c>
      <c r="DX40" s="1117">
        <f t="shared" si="59"/>
        <v>0</v>
      </c>
      <c r="DY40" s="1117">
        <f t="shared" si="60"/>
        <v>19035086.737349447</v>
      </c>
      <c r="DZ40" s="1117">
        <f t="shared" si="61"/>
        <v>43322744.262650557</v>
      </c>
      <c r="EA40" s="1118"/>
      <c r="EE40" s="1116">
        <f t="shared" si="62"/>
        <v>62357831.000000007</v>
      </c>
      <c r="EF40" s="1117">
        <f t="shared" si="63"/>
        <v>0</v>
      </c>
      <c r="EG40" s="1117">
        <f t="shared" si="64"/>
        <v>19035086.737349447</v>
      </c>
      <c r="EH40" s="1117">
        <f t="shared" si="65"/>
        <v>43322744.262650557</v>
      </c>
      <c r="EI40" s="1118"/>
      <c r="EM40" s="1116">
        <f t="shared" si="66"/>
        <v>62357831.000000007</v>
      </c>
      <c r="EN40" s="1117">
        <f t="shared" si="67"/>
        <v>0</v>
      </c>
      <c r="EO40" s="1117">
        <f t="shared" si="68"/>
        <v>19035086.737349447</v>
      </c>
      <c r="EP40" s="1117">
        <f t="shared" si="69"/>
        <v>43322744.262650557</v>
      </c>
      <c r="EQ40" s="1118"/>
      <c r="EU40" s="1116">
        <f t="shared" si="70"/>
        <v>62357831.000000007</v>
      </c>
      <c r="EV40" s="1117">
        <f t="shared" si="71"/>
        <v>0</v>
      </c>
      <c r="EW40" s="1117">
        <f t="shared" si="72"/>
        <v>19035086.737349447</v>
      </c>
      <c r="EX40" s="1117">
        <f t="shared" si="73"/>
        <v>43322744.262650557</v>
      </c>
      <c r="EY40" s="1118"/>
      <c r="FC40" s="1116">
        <f t="shared" si="74"/>
        <v>62357831.000000007</v>
      </c>
      <c r="FD40" s="1117">
        <f t="shared" si="75"/>
        <v>0</v>
      </c>
      <c r="FE40" s="1117">
        <f t="shared" si="76"/>
        <v>19035086.737349447</v>
      </c>
      <c r="FF40" s="1117">
        <f t="shared" si="77"/>
        <v>43322744.262650557</v>
      </c>
      <c r="FG40" s="1118"/>
      <c r="FK40" s="1116">
        <f t="shared" si="78"/>
        <v>62357831.000000007</v>
      </c>
      <c r="FL40" s="1117">
        <f t="shared" si="79"/>
        <v>0</v>
      </c>
      <c r="FM40" s="1117">
        <f t="shared" si="80"/>
        <v>19035086.737349447</v>
      </c>
      <c r="FN40" s="1117">
        <f t="shared" si="81"/>
        <v>43322744.262650557</v>
      </c>
      <c r="FO40" s="1118"/>
    </row>
    <row r="41" spans="1:171">
      <c r="A41" s="912"/>
      <c r="B41" s="10" t="s">
        <v>129</v>
      </c>
      <c r="C41" s="887" t="s">
        <v>70</v>
      </c>
      <c r="D41" s="888">
        <v>393</v>
      </c>
      <c r="E41" s="182" t="str">
        <f>'Sch 1- Rate Base '!E41</f>
        <v>PTD</v>
      </c>
      <c r="F41" s="889"/>
      <c r="G41" s="182">
        <f>'Sch 1- Rate Base '!G41</f>
        <v>472784</v>
      </c>
      <c r="H41" s="182">
        <f>'Sch 1- Rate Base '!H41</f>
        <v>150232.23083616229</v>
      </c>
      <c r="I41" s="182">
        <f>'Sch 1- Rate Base '!I41</f>
        <v>0</v>
      </c>
      <c r="J41" s="183">
        <f>'Sch 1- Rate Base '!J41</f>
        <v>322551.76916383771</v>
      </c>
      <c r="K41" s="903">
        <f t="shared" si="0"/>
        <v>1</v>
      </c>
      <c r="L41" s="1123">
        <f t="shared" si="1"/>
        <v>9.308784355651152E-5</v>
      </c>
      <c r="O41" s="1116">
        <f t="shared" si="2"/>
        <v>472784</v>
      </c>
      <c r="P41" s="1117">
        <f t="shared" si="3"/>
        <v>150232.23083616229</v>
      </c>
      <c r="Q41" s="1117">
        <f t="shared" si="4"/>
        <v>98460.78359138513</v>
      </c>
      <c r="R41" s="1117">
        <f t="shared" si="5"/>
        <v>224090.9855724526</v>
      </c>
      <c r="S41" s="1118"/>
      <c r="W41" s="1116">
        <f t="shared" si="6"/>
        <v>472784</v>
      </c>
      <c r="X41" s="1117">
        <f t="shared" si="7"/>
        <v>150232.23083616229</v>
      </c>
      <c r="Y41" s="1117">
        <f t="shared" si="8"/>
        <v>98460.78359138513</v>
      </c>
      <c r="Z41" s="1117">
        <f t="shared" si="9"/>
        <v>224090.9855724526</v>
      </c>
      <c r="AA41" s="1118"/>
      <c r="AE41" s="1116">
        <f t="shared" si="10"/>
        <v>472784</v>
      </c>
      <c r="AF41" s="1117">
        <f t="shared" si="11"/>
        <v>150232.23083616229</v>
      </c>
      <c r="AG41" s="1117">
        <f t="shared" si="12"/>
        <v>98460.78359138513</v>
      </c>
      <c r="AH41" s="1117">
        <f t="shared" si="13"/>
        <v>224090.9855724526</v>
      </c>
      <c r="AI41" s="1118"/>
      <c r="AM41" s="1116">
        <f t="shared" si="14"/>
        <v>472784</v>
      </c>
      <c r="AN41" s="1117">
        <f t="shared" si="15"/>
        <v>150232.23083616229</v>
      </c>
      <c r="AO41" s="1117">
        <f t="shared" si="16"/>
        <v>98460.78359138513</v>
      </c>
      <c r="AP41" s="1117">
        <f t="shared" si="17"/>
        <v>224090.9855724526</v>
      </c>
      <c r="AQ41" s="1118"/>
      <c r="AU41" s="1116">
        <f t="shared" si="18"/>
        <v>472784</v>
      </c>
      <c r="AV41" s="1117">
        <f t="shared" si="19"/>
        <v>150232.23083616229</v>
      </c>
      <c r="AW41" s="1117">
        <f t="shared" si="20"/>
        <v>98460.78359138513</v>
      </c>
      <c r="AX41" s="1117">
        <f t="shared" si="21"/>
        <v>224090.9855724526</v>
      </c>
      <c r="AY41" s="1118"/>
      <c r="BC41" s="1116">
        <f t="shared" si="22"/>
        <v>472784</v>
      </c>
      <c r="BD41" s="1117">
        <f t="shared" si="23"/>
        <v>150232.23083616229</v>
      </c>
      <c r="BE41" s="1117">
        <f t="shared" si="24"/>
        <v>98460.78359138513</v>
      </c>
      <c r="BF41" s="1117">
        <f t="shared" si="25"/>
        <v>224090.9855724526</v>
      </c>
      <c r="BG41" s="1118"/>
      <c r="BK41" s="1116">
        <f t="shared" si="26"/>
        <v>472784</v>
      </c>
      <c r="BL41" s="1117">
        <f t="shared" si="27"/>
        <v>150232.23083616229</v>
      </c>
      <c r="BM41" s="1117">
        <f t="shared" si="28"/>
        <v>98460.78359138513</v>
      </c>
      <c r="BN41" s="1117">
        <f t="shared" si="29"/>
        <v>224090.9855724526</v>
      </c>
      <c r="BO41" s="1118"/>
      <c r="BS41" s="1116">
        <f t="shared" si="30"/>
        <v>472784</v>
      </c>
      <c r="BT41" s="1117">
        <f t="shared" si="31"/>
        <v>150232.23083616229</v>
      </c>
      <c r="BU41" s="1117">
        <f t="shared" si="32"/>
        <v>98460.78359138513</v>
      </c>
      <c r="BV41" s="1117">
        <f t="shared" si="33"/>
        <v>224090.9855724526</v>
      </c>
      <c r="BW41" s="1118"/>
      <c r="CA41" s="1116">
        <f t="shared" si="34"/>
        <v>472784</v>
      </c>
      <c r="CB41" s="1117">
        <f t="shared" si="35"/>
        <v>150232.23083616229</v>
      </c>
      <c r="CC41" s="1117">
        <f t="shared" si="36"/>
        <v>98460.78359138513</v>
      </c>
      <c r="CD41" s="1117">
        <f t="shared" si="37"/>
        <v>224090.9855724526</v>
      </c>
      <c r="CE41" s="1118"/>
      <c r="CI41" s="1116">
        <f t="shared" si="38"/>
        <v>472784</v>
      </c>
      <c r="CJ41" s="1117">
        <f t="shared" si="39"/>
        <v>150232.23083616229</v>
      </c>
      <c r="CK41" s="1117">
        <f t="shared" si="40"/>
        <v>98460.78359138513</v>
      </c>
      <c r="CL41" s="1117">
        <f t="shared" si="41"/>
        <v>224090.9855724526</v>
      </c>
      <c r="CM41" s="1118"/>
      <c r="CQ41" s="1116">
        <f t="shared" si="42"/>
        <v>472784</v>
      </c>
      <c r="CR41" s="1117">
        <f t="shared" si="43"/>
        <v>150232.23083616229</v>
      </c>
      <c r="CS41" s="1117">
        <f t="shared" si="44"/>
        <v>98460.78359138513</v>
      </c>
      <c r="CT41" s="1117">
        <f t="shared" si="45"/>
        <v>224090.9855724526</v>
      </c>
      <c r="CU41" s="1118"/>
      <c r="CY41" s="1116">
        <f t="shared" si="46"/>
        <v>472784</v>
      </c>
      <c r="CZ41" s="1117">
        <f t="shared" si="47"/>
        <v>150232.23083616229</v>
      </c>
      <c r="DA41" s="1117">
        <f t="shared" si="48"/>
        <v>98460.78359138513</v>
      </c>
      <c r="DB41" s="1117">
        <f t="shared" si="49"/>
        <v>224090.9855724526</v>
      </c>
      <c r="DC41" s="1118"/>
      <c r="DG41" s="1116">
        <f t="shared" si="50"/>
        <v>472784</v>
      </c>
      <c r="DH41" s="1117">
        <f t="shared" si="51"/>
        <v>150232.23083616229</v>
      </c>
      <c r="DI41" s="1117">
        <f t="shared" si="52"/>
        <v>98460.78359138513</v>
      </c>
      <c r="DJ41" s="1117">
        <f t="shared" si="53"/>
        <v>224090.9855724526</v>
      </c>
      <c r="DK41" s="1118"/>
      <c r="DO41" s="1116">
        <f t="shared" si="54"/>
        <v>472784</v>
      </c>
      <c r="DP41" s="1117">
        <f t="shared" si="55"/>
        <v>150232.23083616229</v>
      </c>
      <c r="DQ41" s="1117">
        <f t="shared" si="56"/>
        <v>98460.78359138513</v>
      </c>
      <c r="DR41" s="1117">
        <f t="shared" si="57"/>
        <v>224090.9855724526</v>
      </c>
      <c r="DS41" s="1118"/>
      <c r="DW41" s="1116">
        <f t="shared" si="58"/>
        <v>472784</v>
      </c>
      <c r="DX41" s="1117">
        <f t="shared" si="59"/>
        <v>150232.23083616229</v>
      </c>
      <c r="DY41" s="1117">
        <f t="shared" si="60"/>
        <v>98460.78359138513</v>
      </c>
      <c r="DZ41" s="1117">
        <f t="shared" si="61"/>
        <v>224090.9855724526</v>
      </c>
      <c r="EA41" s="1118"/>
      <c r="EE41" s="1116">
        <f t="shared" si="62"/>
        <v>472784</v>
      </c>
      <c r="EF41" s="1117">
        <f t="shared" si="63"/>
        <v>150232.23083616229</v>
      </c>
      <c r="EG41" s="1117">
        <f t="shared" si="64"/>
        <v>98460.78359138513</v>
      </c>
      <c r="EH41" s="1117">
        <f t="shared" si="65"/>
        <v>224090.9855724526</v>
      </c>
      <c r="EI41" s="1118"/>
      <c r="EM41" s="1116">
        <f t="shared" si="66"/>
        <v>472784</v>
      </c>
      <c r="EN41" s="1117">
        <f t="shared" si="67"/>
        <v>150232.23083616229</v>
      </c>
      <c r="EO41" s="1117">
        <f t="shared" si="68"/>
        <v>98460.78359138513</v>
      </c>
      <c r="EP41" s="1117">
        <f t="shared" si="69"/>
        <v>224090.9855724526</v>
      </c>
      <c r="EQ41" s="1118"/>
      <c r="EU41" s="1116">
        <f t="shared" si="70"/>
        <v>472784</v>
      </c>
      <c r="EV41" s="1117">
        <f t="shared" si="71"/>
        <v>150232.23083616229</v>
      </c>
      <c r="EW41" s="1117">
        <f t="shared" si="72"/>
        <v>98460.78359138513</v>
      </c>
      <c r="EX41" s="1117">
        <f t="shared" si="73"/>
        <v>224090.9855724526</v>
      </c>
      <c r="EY41" s="1118"/>
      <c r="FC41" s="1116">
        <f t="shared" si="74"/>
        <v>472784</v>
      </c>
      <c r="FD41" s="1117">
        <f t="shared" si="75"/>
        <v>150232.23083616229</v>
      </c>
      <c r="FE41" s="1117">
        <f t="shared" si="76"/>
        <v>98460.78359138513</v>
      </c>
      <c r="FF41" s="1117">
        <f t="shared" si="77"/>
        <v>224090.9855724526</v>
      </c>
      <c r="FG41" s="1118"/>
      <c r="FK41" s="1116">
        <f t="shared" si="78"/>
        <v>472784</v>
      </c>
      <c r="FL41" s="1117">
        <f t="shared" si="79"/>
        <v>150232.23083616229</v>
      </c>
      <c r="FM41" s="1117">
        <f t="shared" si="80"/>
        <v>98460.78359138513</v>
      </c>
      <c r="FN41" s="1117">
        <f t="shared" si="81"/>
        <v>224090.9855724526</v>
      </c>
      <c r="FO41" s="1118"/>
    </row>
    <row r="42" spans="1:171">
      <c r="A42" s="912"/>
      <c r="B42" s="10" t="s">
        <v>130</v>
      </c>
      <c r="C42" s="887" t="s">
        <v>70</v>
      </c>
      <c r="D42" s="888">
        <v>394</v>
      </c>
      <c r="E42" s="182" t="str">
        <f>'Sch 1- Rate Base '!E42</f>
        <v>PTD</v>
      </c>
      <c r="F42" s="889"/>
      <c r="G42" s="182">
        <f>'Sch 1- Rate Base '!G42</f>
        <v>9005539</v>
      </c>
      <c r="H42" s="182">
        <f>'Sch 1- Rate Base '!H42</f>
        <v>2861607.4441014547</v>
      </c>
      <c r="I42" s="182">
        <f>'Sch 1- Rate Base '!I42</f>
        <v>0</v>
      </c>
      <c r="J42" s="183">
        <f>'Sch 1- Rate Base '!J42</f>
        <v>6143931.5558985453</v>
      </c>
      <c r="K42" s="903">
        <f t="shared" si="0"/>
        <v>1</v>
      </c>
      <c r="L42" s="1123">
        <f t="shared" si="1"/>
        <v>1.7731272749798284E-3</v>
      </c>
      <c r="O42" s="1116">
        <f t="shared" si="2"/>
        <v>9005539</v>
      </c>
      <c r="P42" s="1117">
        <f t="shared" si="3"/>
        <v>2861607.4441014547</v>
      </c>
      <c r="Q42" s="1117">
        <f t="shared" si="4"/>
        <v>1875470.4613582075</v>
      </c>
      <c r="R42" s="1117">
        <f t="shared" si="5"/>
        <v>4268461.094540338</v>
      </c>
      <c r="S42" s="1118"/>
      <c r="W42" s="1116">
        <f t="shared" si="6"/>
        <v>9005539</v>
      </c>
      <c r="X42" s="1117">
        <f t="shared" si="7"/>
        <v>2861607.4441014547</v>
      </c>
      <c r="Y42" s="1117">
        <f t="shared" si="8"/>
        <v>1875470.4613582075</v>
      </c>
      <c r="Z42" s="1117">
        <f t="shared" si="9"/>
        <v>4268461.094540338</v>
      </c>
      <c r="AA42" s="1118"/>
      <c r="AE42" s="1116">
        <f t="shared" si="10"/>
        <v>9005539</v>
      </c>
      <c r="AF42" s="1117">
        <f t="shared" si="11"/>
        <v>2861607.4441014547</v>
      </c>
      <c r="AG42" s="1117">
        <f t="shared" si="12"/>
        <v>1875470.4613582075</v>
      </c>
      <c r="AH42" s="1117">
        <f t="shared" si="13"/>
        <v>4268461.094540338</v>
      </c>
      <c r="AI42" s="1118"/>
      <c r="AM42" s="1116">
        <f t="shared" si="14"/>
        <v>9005539</v>
      </c>
      <c r="AN42" s="1117">
        <f t="shared" si="15"/>
        <v>2861607.4441014547</v>
      </c>
      <c r="AO42" s="1117">
        <f t="shared" si="16"/>
        <v>1875470.4613582075</v>
      </c>
      <c r="AP42" s="1117">
        <f t="shared" si="17"/>
        <v>4268461.094540338</v>
      </c>
      <c r="AQ42" s="1118"/>
      <c r="AU42" s="1116">
        <f t="shared" si="18"/>
        <v>9005539</v>
      </c>
      <c r="AV42" s="1117">
        <f t="shared" si="19"/>
        <v>2861607.4441014547</v>
      </c>
      <c r="AW42" s="1117">
        <f t="shared" si="20"/>
        <v>1875470.4613582075</v>
      </c>
      <c r="AX42" s="1117">
        <f t="shared" si="21"/>
        <v>4268461.094540338</v>
      </c>
      <c r="AY42" s="1118"/>
      <c r="BC42" s="1116">
        <f t="shared" si="22"/>
        <v>9005539</v>
      </c>
      <c r="BD42" s="1117">
        <f t="shared" si="23"/>
        <v>2861607.4441014547</v>
      </c>
      <c r="BE42" s="1117">
        <f t="shared" si="24"/>
        <v>1875470.4613582075</v>
      </c>
      <c r="BF42" s="1117">
        <f t="shared" si="25"/>
        <v>4268461.094540338</v>
      </c>
      <c r="BG42" s="1118"/>
      <c r="BK42" s="1116">
        <f t="shared" si="26"/>
        <v>9005539</v>
      </c>
      <c r="BL42" s="1117">
        <f t="shared" si="27"/>
        <v>2861607.4441014547</v>
      </c>
      <c r="BM42" s="1117">
        <f t="shared" si="28"/>
        <v>1875470.4613582075</v>
      </c>
      <c r="BN42" s="1117">
        <f t="shared" si="29"/>
        <v>4268461.094540338</v>
      </c>
      <c r="BO42" s="1118"/>
      <c r="BS42" s="1116">
        <f t="shared" si="30"/>
        <v>9005539</v>
      </c>
      <c r="BT42" s="1117">
        <f t="shared" si="31"/>
        <v>2861607.4441014547</v>
      </c>
      <c r="BU42" s="1117">
        <f t="shared" si="32"/>
        <v>1875470.4613582075</v>
      </c>
      <c r="BV42" s="1117">
        <f t="shared" si="33"/>
        <v>4268461.094540338</v>
      </c>
      <c r="BW42" s="1118"/>
      <c r="CA42" s="1116">
        <f t="shared" si="34"/>
        <v>9005539</v>
      </c>
      <c r="CB42" s="1117">
        <f t="shared" si="35"/>
        <v>2861607.4441014547</v>
      </c>
      <c r="CC42" s="1117">
        <f t="shared" si="36"/>
        <v>1875470.4613582075</v>
      </c>
      <c r="CD42" s="1117">
        <f t="shared" si="37"/>
        <v>4268461.094540338</v>
      </c>
      <c r="CE42" s="1118"/>
      <c r="CI42" s="1116">
        <f t="shared" si="38"/>
        <v>9005539</v>
      </c>
      <c r="CJ42" s="1117">
        <f t="shared" si="39"/>
        <v>2861607.4441014547</v>
      </c>
      <c r="CK42" s="1117">
        <f t="shared" si="40"/>
        <v>1875470.4613582075</v>
      </c>
      <c r="CL42" s="1117">
        <f t="shared" si="41"/>
        <v>4268461.094540338</v>
      </c>
      <c r="CM42" s="1118"/>
      <c r="CQ42" s="1116">
        <f t="shared" si="42"/>
        <v>9005539</v>
      </c>
      <c r="CR42" s="1117">
        <f t="shared" si="43"/>
        <v>2861607.4441014547</v>
      </c>
      <c r="CS42" s="1117">
        <f t="shared" si="44"/>
        <v>1875470.4613582075</v>
      </c>
      <c r="CT42" s="1117">
        <f t="shared" si="45"/>
        <v>4268461.094540338</v>
      </c>
      <c r="CU42" s="1118"/>
      <c r="CY42" s="1116">
        <f t="shared" si="46"/>
        <v>9005539</v>
      </c>
      <c r="CZ42" s="1117">
        <f t="shared" si="47"/>
        <v>2861607.4441014547</v>
      </c>
      <c r="DA42" s="1117">
        <f t="shared" si="48"/>
        <v>1875470.4613582075</v>
      </c>
      <c r="DB42" s="1117">
        <f t="shared" si="49"/>
        <v>4268461.094540338</v>
      </c>
      <c r="DC42" s="1118"/>
      <c r="DG42" s="1116">
        <f t="shared" si="50"/>
        <v>9005539</v>
      </c>
      <c r="DH42" s="1117">
        <f t="shared" si="51"/>
        <v>2861607.4441014547</v>
      </c>
      <c r="DI42" s="1117">
        <f t="shared" si="52"/>
        <v>1875470.4613582075</v>
      </c>
      <c r="DJ42" s="1117">
        <f t="shared" si="53"/>
        <v>4268461.094540338</v>
      </c>
      <c r="DK42" s="1118"/>
      <c r="DO42" s="1116">
        <f t="shared" si="54"/>
        <v>9005539</v>
      </c>
      <c r="DP42" s="1117">
        <f t="shared" si="55"/>
        <v>2861607.4441014547</v>
      </c>
      <c r="DQ42" s="1117">
        <f t="shared" si="56"/>
        <v>1875470.4613582075</v>
      </c>
      <c r="DR42" s="1117">
        <f t="shared" si="57"/>
        <v>4268461.094540338</v>
      </c>
      <c r="DS42" s="1118"/>
      <c r="DW42" s="1116">
        <f t="shared" si="58"/>
        <v>9005539</v>
      </c>
      <c r="DX42" s="1117">
        <f t="shared" si="59"/>
        <v>2861607.4441014547</v>
      </c>
      <c r="DY42" s="1117">
        <f t="shared" si="60"/>
        <v>1875470.4613582075</v>
      </c>
      <c r="DZ42" s="1117">
        <f t="shared" si="61"/>
        <v>4268461.094540338</v>
      </c>
      <c r="EA42" s="1118"/>
      <c r="EE42" s="1116">
        <f t="shared" si="62"/>
        <v>9005539</v>
      </c>
      <c r="EF42" s="1117">
        <f t="shared" si="63"/>
        <v>2861607.4441014547</v>
      </c>
      <c r="EG42" s="1117">
        <f t="shared" si="64"/>
        <v>1875470.4613582075</v>
      </c>
      <c r="EH42" s="1117">
        <f t="shared" si="65"/>
        <v>4268461.094540338</v>
      </c>
      <c r="EI42" s="1118"/>
      <c r="EM42" s="1116">
        <f t="shared" si="66"/>
        <v>9005539</v>
      </c>
      <c r="EN42" s="1117">
        <f t="shared" si="67"/>
        <v>2861607.4441014547</v>
      </c>
      <c r="EO42" s="1117">
        <f t="shared" si="68"/>
        <v>1875470.4613582075</v>
      </c>
      <c r="EP42" s="1117">
        <f t="shared" si="69"/>
        <v>4268461.094540338</v>
      </c>
      <c r="EQ42" s="1118"/>
      <c r="EU42" s="1116">
        <f t="shared" si="70"/>
        <v>9005539</v>
      </c>
      <c r="EV42" s="1117">
        <f t="shared" si="71"/>
        <v>2861607.4441014547</v>
      </c>
      <c r="EW42" s="1117">
        <f t="shared" si="72"/>
        <v>1875470.4613582075</v>
      </c>
      <c r="EX42" s="1117">
        <f t="shared" si="73"/>
        <v>4268461.094540338</v>
      </c>
      <c r="EY42" s="1118"/>
      <c r="FC42" s="1116">
        <f t="shared" si="74"/>
        <v>9005539</v>
      </c>
      <c r="FD42" s="1117">
        <f t="shared" si="75"/>
        <v>2861607.4441014547</v>
      </c>
      <c r="FE42" s="1117">
        <f t="shared" si="76"/>
        <v>1875470.4613582075</v>
      </c>
      <c r="FF42" s="1117">
        <f t="shared" si="77"/>
        <v>4268461.094540338</v>
      </c>
      <c r="FG42" s="1118"/>
      <c r="FK42" s="1116">
        <f t="shared" si="78"/>
        <v>9005539</v>
      </c>
      <c r="FL42" s="1117">
        <f t="shared" si="79"/>
        <v>2861607.4441014547</v>
      </c>
      <c r="FM42" s="1117">
        <f t="shared" si="80"/>
        <v>1875470.4613582075</v>
      </c>
      <c r="FN42" s="1117">
        <f t="shared" si="81"/>
        <v>4268461.094540338</v>
      </c>
      <c r="FO42" s="1118"/>
    </row>
    <row r="43" spans="1:171">
      <c r="A43" s="912"/>
      <c r="B43" s="10" t="s">
        <v>131</v>
      </c>
      <c r="C43" s="887" t="s">
        <v>70</v>
      </c>
      <c r="D43" s="888">
        <v>395</v>
      </c>
      <c r="E43" s="182" t="str">
        <f>'Sch 1- Rate Base '!E43</f>
        <v>PTD</v>
      </c>
      <c r="F43" s="889"/>
      <c r="G43" s="182">
        <f>'Sch 1- Rate Base '!G43</f>
        <v>3305287</v>
      </c>
      <c r="H43" s="182">
        <f>'Sch 1- Rate Base '!H43</f>
        <v>1050290.7026544178</v>
      </c>
      <c r="I43" s="182">
        <f>'Sch 1- Rate Base '!I43</f>
        <v>0</v>
      </c>
      <c r="J43" s="183">
        <f>'Sch 1- Rate Base '!J43</f>
        <v>2254996.2973455819</v>
      </c>
      <c r="K43" s="903">
        <f t="shared" si="0"/>
        <v>1</v>
      </c>
      <c r="L43" s="1123">
        <f t="shared" si="1"/>
        <v>6.5078775754968715E-4</v>
      </c>
      <c r="O43" s="1116">
        <f t="shared" si="2"/>
        <v>3305287</v>
      </c>
      <c r="P43" s="1117">
        <f t="shared" si="3"/>
        <v>1050290.7026544178</v>
      </c>
      <c r="Q43" s="1117">
        <f t="shared" si="4"/>
        <v>688350.59565133031</v>
      </c>
      <c r="R43" s="1117">
        <f t="shared" si="5"/>
        <v>1566645.7016942517</v>
      </c>
      <c r="S43" s="1118"/>
      <c r="W43" s="1116">
        <f t="shared" si="6"/>
        <v>3305287</v>
      </c>
      <c r="X43" s="1117">
        <f t="shared" si="7"/>
        <v>1050290.7026544178</v>
      </c>
      <c r="Y43" s="1117">
        <f t="shared" si="8"/>
        <v>688350.59565133031</v>
      </c>
      <c r="Z43" s="1117">
        <f t="shared" si="9"/>
        <v>1566645.7016942517</v>
      </c>
      <c r="AA43" s="1118"/>
      <c r="AE43" s="1116">
        <f t="shared" si="10"/>
        <v>3305287</v>
      </c>
      <c r="AF43" s="1117">
        <f t="shared" si="11"/>
        <v>1050290.7026544178</v>
      </c>
      <c r="AG43" s="1117">
        <f t="shared" si="12"/>
        <v>688350.59565133031</v>
      </c>
      <c r="AH43" s="1117">
        <f t="shared" si="13"/>
        <v>1566645.7016942517</v>
      </c>
      <c r="AI43" s="1118"/>
      <c r="AM43" s="1116">
        <f t="shared" si="14"/>
        <v>3305287</v>
      </c>
      <c r="AN43" s="1117">
        <f t="shared" si="15"/>
        <v>1050290.7026544178</v>
      </c>
      <c r="AO43" s="1117">
        <f t="shared" si="16"/>
        <v>688350.59565133031</v>
      </c>
      <c r="AP43" s="1117">
        <f t="shared" si="17"/>
        <v>1566645.7016942517</v>
      </c>
      <c r="AQ43" s="1118"/>
      <c r="AU43" s="1116">
        <f t="shared" si="18"/>
        <v>3305287</v>
      </c>
      <c r="AV43" s="1117">
        <f t="shared" si="19"/>
        <v>1050290.7026544178</v>
      </c>
      <c r="AW43" s="1117">
        <f t="shared" si="20"/>
        <v>688350.59565133031</v>
      </c>
      <c r="AX43" s="1117">
        <f t="shared" si="21"/>
        <v>1566645.7016942517</v>
      </c>
      <c r="AY43" s="1118"/>
      <c r="BC43" s="1116">
        <f t="shared" si="22"/>
        <v>3305287</v>
      </c>
      <c r="BD43" s="1117">
        <f t="shared" si="23"/>
        <v>1050290.7026544178</v>
      </c>
      <c r="BE43" s="1117">
        <f t="shared" si="24"/>
        <v>688350.59565133031</v>
      </c>
      <c r="BF43" s="1117">
        <f t="shared" si="25"/>
        <v>1566645.7016942517</v>
      </c>
      <c r="BG43" s="1118"/>
      <c r="BK43" s="1116">
        <f t="shared" si="26"/>
        <v>3305287</v>
      </c>
      <c r="BL43" s="1117">
        <f t="shared" si="27"/>
        <v>1050290.7026544178</v>
      </c>
      <c r="BM43" s="1117">
        <f t="shared" si="28"/>
        <v>688350.59565133031</v>
      </c>
      <c r="BN43" s="1117">
        <f t="shared" si="29"/>
        <v>1566645.7016942517</v>
      </c>
      <c r="BO43" s="1118"/>
      <c r="BS43" s="1116">
        <f t="shared" si="30"/>
        <v>3305287</v>
      </c>
      <c r="BT43" s="1117">
        <f t="shared" si="31"/>
        <v>1050290.7026544178</v>
      </c>
      <c r="BU43" s="1117">
        <f t="shared" si="32"/>
        <v>688350.59565133031</v>
      </c>
      <c r="BV43" s="1117">
        <f t="shared" si="33"/>
        <v>1566645.7016942517</v>
      </c>
      <c r="BW43" s="1118"/>
      <c r="CA43" s="1116">
        <f t="shared" si="34"/>
        <v>3305287</v>
      </c>
      <c r="CB43" s="1117">
        <f t="shared" si="35"/>
        <v>1050290.7026544178</v>
      </c>
      <c r="CC43" s="1117">
        <f t="shared" si="36"/>
        <v>688350.59565133031</v>
      </c>
      <c r="CD43" s="1117">
        <f t="shared" si="37"/>
        <v>1566645.7016942517</v>
      </c>
      <c r="CE43" s="1118"/>
      <c r="CI43" s="1116">
        <f t="shared" si="38"/>
        <v>3305287</v>
      </c>
      <c r="CJ43" s="1117">
        <f t="shared" si="39"/>
        <v>1050290.7026544178</v>
      </c>
      <c r="CK43" s="1117">
        <f t="shared" si="40"/>
        <v>688350.59565133031</v>
      </c>
      <c r="CL43" s="1117">
        <f t="shared" si="41"/>
        <v>1566645.7016942517</v>
      </c>
      <c r="CM43" s="1118"/>
      <c r="CQ43" s="1116">
        <f t="shared" si="42"/>
        <v>3305287</v>
      </c>
      <c r="CR43" s="1117">
        <f t="shared" si="43"/>
        <v>1050290.7026544178</v>
      </c>
      <c r="CS43" s="1117">
        <f t="shared" si="44"/>
        <v>688350.59565133031</v>
      </c>
      <c r="CT43" s="1117">
        <f t="shared" si="45"/>
        <v>1566645.7016942517</v>
      </c>
      <c r="CU43" s="1118"/>
      <c r="CY43" s="1116">
        <f t="shared" si="46"/>
        <v>3305287</v>
      </c>
      <c r="CZ43" s="1117">
        <f t="shared" si="47"/>
        <v>1050290.7026544178</v>
      </c>
      <c r="DA43" s="1117">
        <f t="shared" si="48"/>
        <v>688350.59565133031</v>
      </c>
      <c r="DB43" s="1117">
        <f t="shared" si="49"/>
        <v>1566645.7016942517</v>
      </c>
      <c r="DC43" s="1118"/>
      <c r="DG43" s="1116">
        <f t="shared" si="50"/>
        <v>3305287</v>
      </c>
      <c r="DH43" s="1117">
        <f t="shared" si="51"/>
        <v>1050290.7026544178</v>
      </c>
      <c r="DI43" s="1117">
        <f t="shared" si="52"/>
        <v>688350.59565133031</v>
      </c>
      <c r="DJ43" s="1117">
        <f t="shared" si="53"/>
        <v>1566645.7016942517</v>
      </c>
      <c r="DK43" s="1118"/>
      <c r="DO43" s="1116">
        <f t="shared" si="54"/>
        <v>3305287</v>
      </c>
      <c r="DP43" s="1117">
        <f t="shared" si="55"/>
        <v>1050290.7026544178</v>
      </c>
      <c r="DQ43" s="1117">
        <f t="shared" si="56"/>
        <v>688350.59565133031</v>
      </c>
      <c r="DR43" s="1117">
        <f t="shared" si="57"/>
        <v>1566645.7016942517</v>
      </c>
      <c r="DS43" s="1118"/>
      <c r="DW43" s="1116">
        <f t="shared" si="58"/>
        <v>3305287</v>
      </c>
      <c r="DX43" s="1117">
        <f t="shared" si="59"/>
        <v>1050290.7026544178</v>
      </c>
      <c r="DY43" s="1117">
        <f t="shared" si="60"/>
        <v>688350.59565133031</v>
      </c>
      <c r="DZ43" s="1117">
        <f t="shared" si="61"/>
        <v>1566645.7016942517</v>
      </c>
      <c r="EA43" s="1118"/>
      <c r="EE43" s="1116">
        <f t="shared" si="62"/>
        <v>3305287</v>
      </c>
      <c r="EF43" s="1117">
        <f t="shared" si="63"/>
        <v>1050290.7026544178</v>
      </c>
      <c r="EG43" s="1117">
        <f t="shared" si="64"/>
        <v>688350.59565133031</v>
      </c>
      <c r="EH43" s="1117">
        <f t="shared" si="65"/>
        <v>1566645.7016942517</v>
      </c>
      <c r="EI43" s="1118"/>
      <c r="EM43" s="1116">
        <f t="shared" si="66"/>
        <v>3305287</v>
      </c>
      <c r="EN43" s="1117">
        <f t="shared" si="67"/>
        <v>1050290.7026544178</v>
      </c>
      <c r="EO43" s="1117">
        <f t="shared" si="68"/>
        <v>688350.59565133031</v>
      </c>
      <c r="EP43" s="1117">
        <f t="shared" si="69"/>
        <v>1566645.7016942517</v>
      </c>
      <c r="EQ43" s="1118"/>
      <c r="EU43" s="1116">
        <f t="shared" si="70"/>
        <v>3305287</v>
      </c>
      <c r="EV43" s="1117">
        <f t="shared" si="71"/>
        <v>1050290.7026544178</v>
      </c>
      <c r="EW43" s="1117">
        <f t="shared" si="72"/>
        <v>688350.59565133031</v>
      </c>
      <c r="EX43" s="1117">
        <f t="shared" si="73"/>
        <v>1566645.7016942517</v>
      </c>
      <c r="EY43" s="1118"/>
      <c r="FC43" s="1116">
        <f t="shared" si="74"/>
        <v>3305287</v>
      </c>
      <c r="FD43" s="1117">
        <f t="shared" si="75"/>
        <v>1050290.7026544178</v>
      </c>
      <c r="FE43" s="1117">
        <f t="shared" si="76"/>
        <v>688350.59565133031</v>
      </c>
      <c r="FF43" s="1117">
        <f t="shared" si="77"/>
        <v>1566645.7016942517</v>
      </c>
      <c r="FG43" s="1118"/>
      <c r="FK43" s="1116">
        <f t="shared" si="78"/>
        <v>3305287</v>
      </c>
      <c r="FL43" s="1117">
        <f t="shared" si="79"/>
        <v>1050290.7026544178</v>
      </c>
      <c r="FM43" s="1117">
        <f t="shared" si="80"/>
        <v>688350.59565133031</v>
      </c>
      <c r="FN43" s="1117">
        <f t="shared" si="81"/>
        <v>1566645.7016942517</v>
      </c>
      <c r="FO43" s="1118"/>
    </row>
    <row r="44" spans="1:171">
      <c r="A44" s="912"/>
      <c r="B44" s="10" t="s">
        <v>132</v>
      </c>
      <c r="C44" s="887" t="s">
        <v>70</v>
      </c>
      <c r="D44" s="888">
        <v>396</v>
      </c>
      <c r="E44" s="182" t="str">
        <f>'Sch 1- Rate Base '!E44</f>
        <v>TD</v>
      </c>
      <c r="F44" s="889"/>
      <c r="G44" s="182">
        <f>'Sch 1- Rate Base '!G44</f>
        <v>25432532</v>
      </c>
      <c r="H44" s="182">
        <f>'Sch 1- Rate Base '!H44</f>
        <v>0</v>
      </c>
      <c r="I44" s="182">
        <f>'Sch 1- Rate Base '!I44</f>
        <v>0</v>
      </c>
      <c r="J44" s="183">
        <f>'Sch 1- Rate Base '!J44</f>
        <v>25432532</v>
      </c>
      <c r="K44" s="903">
        <f t="shared" si="0"/>
        <v>1</v>
      </c>
      <c r="L44" s="1123">
        <f t="shared" si="1"/>
        <v>5.0074866325044275E-3</v>
      </c>
      <c r="O44" s="1116">
        <f t="shared" si="2"/>
        <v>25432532</v>
      </c>
      <c r="P44" s="1117">
        <f t="shared" si="3"/>
        <v>0</v>
      </c>
      <c r="Q44" s="1117">
        <f t="shared" si="4"/>
        <v>7763426.7389835175</v>
      </c>
      <c r="R44" s="1117">
        <f t="shared" si="5"/>
        <v>17669105.261016481</v>
      </c>
      <c r="S44" s="1118"/>
      <c r="W44" s="1116">
        <f t="shared" si="6"/>
        <v>25432532</v>
      </c>
      <c r="X44" s="1117">
        <f t="shared" si="7"/>
        <v>0</v>
      </c>
      <c r="Y44" s="1117">
        <f t="shared" si="8"/>
        <v>7763426.7389835175</v>
      </c>
      <c r="Z44" s="1117">
        <f t="shared" si="9"/>
        <v>17669105.261016481</v>
      </c>
      <c r="AA44" s="1118"/>
      <c r="AE44" s="1116">
        <f t="shared" si="10"/>
        <v>25432532</v>
      </c>
      <c r="AF44" s="1117">
        <f t="shared" si="11"/>
        <v>0</v>
      </c>
      <c r="AG44" s="1117">
        <f t="shared" si="12"/>
        <v>7763426.7389835175</v>
      </c>
      <c r="AH44" s="1117">
        <f t="shared" si="13"/>
        <v>17669105.261016481</v>
      </c>
      <c r="AI44" s="1118"/>
      <c r="AM44" s="1116">
        <f t="shared" si="14"/>
        <v>25432532</v>
      </c>
      <c r="AN44" s="1117">
        <f t="shared" si="15"/>
        <v>0</v>
      </c>
      <c r="AO44" s="1117">
        <f t="shared" si="16"/>
        <v>7763426.7389835175</v>
      </c>
      <c r="AP44" s="1117">
        <f t="shared" si="17"/>
        <v>17669105.261016481</v>
      </c>
      <c r="AQ44" s="1118"/>
      <c r="AU44" s="1116">
        <f t="shared" si="18"/>
        <v>25432532</v>
      </c>
      <c r="AV44" s="1117">
        <f t="shared" si="19"/>
        <v>0</v>
      </c>
      <c r="AW44" s="1117">
        <f t="shared" si="20"/>
        <v>7763426.7389835175</v>
      </c>
      <c r="AX44" s="1117">
        <f t="shared" si="21"/>
        <v>17669105.261016481</v>
      </c>
      <c r="AY44" s="1118"/>
      <c r="BC44" s="1116">
        <f t="shared" si="22"/>
        <v>25432532</v>
      </c>
      <c r="BD44" s="1117">
        <f t="shared" si="23"/>
        <v>0</v>
      </c>
      <c r="BE44" s="1117">
        <f t="shared" si="24"/>
        <v>7763426.7389835175</v>
      </c>
      <c r="BF44" s="1117">
        <f t="shared" si="25"/>
        <v>17669105.261016481</v>
      </c>
      <c r="BG44" s="1118"/>
      <c r="BK44" s="1116">
        <f t="shared" si="26"/>
        <v>25432532</v>
      </c>
      <c r="BL44" s="1117">
        <f t="shared" si="27"/>
        <v>0</v>
      </c>
      <c r="BM44" s="1117">
        <f t="shared" si="28"/>
        <v>7763426.7389835175</v>
      </c>
      <c r="BN44" s="1117">
        <f t="shared" si="29"/>
        <v>17669105.261016481</v>
      </c>
      <c r="BO44" s="1118"/>
      <c r="BS44" s="1116">
        <f t="shared" si="30"/>
        <v>25432532</v>
      </c>
      <c r="BT44" s="1117">
        <f t="shared" si="31"/>
        <v>0</v>
      </c>
      <c r="BU44" s="1117">
        <f t="shared" si="32"/>
        <v>7763426.7389835175</v>
      </c>
      <c r="BV44" s="1117">
        <f t="shared" si="33"/>
        <v>17669105.261016481</v>
      </c>
      <c r="BW44" s="1118"/>
      <c r="CA44" s="1116">
        <f t="shared" si="34"/>
        <v>25432532</v>
      </c>
      <c r="CB44" s="1117">
        <f t="shared" si="35"/>
        <v>0</v>
      </c>
      <c r="CC44" s="1117">
        <f t="shared" si="36"/>
        <v>7763426.7389835175</v>
      </c>
      <c r="CD44" s="1117">
        <f t="shared" si="37"/>
        <v>17669105.261016481</v>
      </c>
      <c r="CE44" s="1118"/>
      <c r="CI44" s="1116">
        <f t="shared" si="38"/>
        <v>25432532</v>
      </c>
      <c r="CJ44" s="1117">
        <f t="shared" si="39"/>
        <v>0</v>
      </c>
      <c r="CK44" s="1117">
        <f t="shared" si="40"/>
        <v>7763426.7389835175</v>
      </c>
      <c r="CL44" s="1117">
        <f t="shared" si="41"/>
        <v>17669105.261016481</v>
      </c>
      <c r="CM44" s="1118"/>
      <c r="CQ44" s="1116">
        <f t="shared" si="42"/>
        <v>25432532</v>
      </c>
      <c r="CR44" s="1117">
        <f t="shared" si="43"/>
        <v>0</v>
      </c>
      <c r="CS44" s="1117">
        <f t="shared" si="44"/>
        <v>7763426.7389835175</v>
      </c>
      <c r="CT44" s="1117">
        <f t="shared" si="45"/>
        <v>17669105.261016481</v>
      </c>
      <c r="CU44" s="1118"/>
      <c r="CY44" s="1116">
        <f t="shared" si="46"/>
        <v>25432532</v>
      </c>
      <c r="CZ44" s="1117">
        <f t="shared" si="47"/>
        <v>0</v>
      </c>
      <c r="DA44" s="1117">
        <f t="shared" si="48"/>
        <v>7763426.7389835175</v>
      </c>
      <c r="DB44" s="1117">
        <f t="shared" si="49"/>
        <v>17669105.261016481</v>
      </c>
      <c r="DC44" s="1118"/>
      <c r="DG44" s="1116">
        <f t="shared" si="50"/>
        <v>25432532</v>
      </c>
      <c r="DH44" s="1117">
        <f t="shared" si="51"/>
        <v>0</v>
      </c>
      <c r="DI44" s="1117">
        <f t="shared" si="52"/>
        <v>7763426.7389835175</v>
      </c>
      <c r="DJ44" s="1117">
        <f t="shared" si="53"/>
        <v>17669105.261016481</v>
      </c>
      <c r="DK44" s="1118"/>
      <c r="DO44" s="1116">
        <f t="shared" si="54"/>
        <v>25432532</v>
      </c>
      <c r="DP44" s="1117">
        <f t="shared" si="55"/>
        <v>0</v>
      </c>
      <c r="DQ44" s="1117">
        <f t="shared" si="56"/>
        <v>7763426.7389835175</v>
      </c>
      <c r="DR44" s="1117">
        <f t="shared" si="57"/>
        <v>17669105.261016481</v>
      </c>
      <c r="DS44" s="1118"/>
      <c r="DW44" s="1116">
        <f t="shared" si="58"/>
        <v>25432532</v>
      </c>
      <c r="DX44" s="1117">
        <f t="shared" si="59"/>
        <v>0</v>
      </c>
      <c r="DY44" s="1117">
        <f t="shared" si="60"/>
        <v>7763426.7389835175</v>
      </c>
      <c r="DZ44" s="1117">
        <f t="shared" si="61"/>
        <v>17669105.261016481</v>
      </c>
      <c r="EA44" s="1118"/>
      <c r="EE44" s="1116">
        <f t="shared" si="62"/>
        <v>25432532</v>
      </c>
      <c r="EF44" s="1117">
        <f t="shared" si="63"/>
        <v>0</v>
      </c>
      <c r="EG44" s="1117">
        <f t="shared" si="64"/>
        <v>7763426.7389835175</v>
      </c>
      <c r="EH44" s="1117">
        <f t="shared" si="65"/>
        <v>17669105.261016481</v>
      </c>
      <c r="EI44" s="1118"/>
      <c r="EM44" s="1116">
        <f t="shared" si="66"/>
        <v>25432532</v>
      </c>
      <c r="EN44" s="1117">
        <f t="shared" si="67"/>
        <v>0</v>
      </c>
      <c r="EO44" s="1117">
        <f t="shared" si="68"/>
        <v>7763426.7389835175</v>
      </c>
      <c r="EP44" s="1117">
        <f t="shared" si="69"/>
        <v>17669105.261016481</v>
      </c>
      <c r="EQ44" s="1118"/>
      <c r="EU44" s="1116">
        <f t="shared" si="70"/>
        <v>25432532</v>
      </c>
      <c r="EV44" s="1117">
        <f t="shared" si="71"/>
        <v>0</v>
      </c>
      <c r="EW44" s="1117">
        <f t="shared" si="72"/>
        <v>7763426.7389835175</v>
      </c>
      <c r="EX44" s="1117">
        <f t="shared" si="73"/>
        <v>17669105.261016481</v>
      </c>
      <c r="EY44" s="1118"/>
      <c r="FC44" s="1116">
        <f t="shared" si="74"/>
        <v>25432532</v>
      </c>
      <c r="FD44" s="1117">
        <f t="shared" si="75"/>
        <v>0</v>
      </c>
      <c r="FE44" s="1117">
        <f t="shared" si="76"/>
        <v>7763426.7389835175</v>
      </c>
      <c r="FF44" s="1117">
        <f t="shared" si="77"/>
        <v>17669105.261016481</v>
      </c>
      <c r="FG44" s="1118"/>
      <c r="FK44" s="1116">
        <f t="shared" si="78"/>
        <v>25432532</v>
      </c>
      <c r="FL44" s="1117">
        <f t="shared" si="79"/>
        <v>0</v>
      </c>
      <c r="FM44" s="1117">
        <f t="shared" si="80"/>
        <v>7763426.7389835175</v>
      </c>
      <c r="FN44" s="1117">
        <f t="shared" si="81"/>
        <v>17669105.261016481</v>
      </c>
      <c r="FO44" s="1118"/>
    </row>
    <row r="45" spans="1:171">
      <c r="A45" s="912"/>
      <c r="B45" s="10" t="s">
        <v>133</v>
      </c>
      <c r="C45" s="887" t="s">
        <v>70</v>
      </c>
      <c r="D45" s="888">
        <v>397</v>
      </c>
      <c r="E45" s="182" t="str">
        <f>'Sch 1- Rate Base '!E45</f>
        <v>PTD</v>
      </c>
      <c r="F45" s="889"/>
      <c r="G45" s="182">
        <f>'Sch 1- Rate Base '!G45</f>
        <v>42279271</v>
      </c>
      <c r="H45" s="182">
        <f>'Sch 1- Rate Base '!H45</f>
        <v>13434695.760551672</v>
      </c>
      <c r="I45" s="182">
        <f>'Sch 1- Rate Base '!I45</f>
        <v>0</v>
      </c>
      <c r="J45" s="183">
        <f>'Sch 1- Rate Base '!J45</f>
        <v>28844575.239448324</v>
      </c>
      <c r="K45" s="903">
        <f t="shared" si="0"/>
        <v>1</v>
      </c>
      <c r="L45" s="1123">
        <f t="shared" si="1"/>
        <v>8.3244910245087698E-3</v>
      </c>
      <c r="O45" s="1116">
        <f t="shared" si="2"/>
        <v>42279271</v>
      </c>
      <c r="P45" s="1117">
        <f t="shared" si="3"/>
        <v>13434695.760551672</v>
      </c>
      <c r="Q45" s="1117">
        <f t="shared" si="4"/>
        <v>8804972.5716871228</v>
      </c>
      <c r="R45" s="1117">
        <f t="shared" si="5"/>
        <v>20039602.667761203</v>
      </c>
      <c r="S45" s="1118"/>
      <c r="W45" s="1116">
        <f t="shared" si="6"/>
        <v>42279271</v>
      </c>
      <c r="X45" s="1117">
        <f t="shared" si="7"/>
        <v>13434695.760551672</v>
      </c>
      <c r="Y45" s="1117">
        <f t="shared" si="8"/>
        <v>8804972.5716871228</v>
      </c>
      <c r="Z45" s="1117">
        <f t="shared" si="9"/>
        <v>20039602.667761203</v>
      </c>
      <c r="AA45" s="1118"/>
      <c r="AE45" s="1116">
        <f t="shared" si="10"/>
        <v>42279271</v>
      </c>
      <c r="AF45" s="1117">
        <f t="shared" si="11"/>
        <v>13434695.760551672</v>
      </c>
      <c r="AG45" s="1117">
        <f t="shared" si="12"/>
        <v>8804972.5716871228</v>
      </c>
      <c r="AH45" s="1117">
        <f t="shared" si="13"/>
        <v>20039602.667761203</v>
      </c>
      <c r="AI45" s="1118"/>
      <c r="AM45" s="1116">
        <f t="shared" si="14"/>
        <v>42279271</v>
      </c>
      <c r="AN45" s="1117">
        <f t="shared" si="15"/>
        <v>13434695.760551672</v>
      </c>
      <c r="AO45" s="1117">
        <f t="shared" si="16"/>
        <v>8804972.5716871228</v>
      </c>
      <c r="AP45" s="1117">
        <f t="shared" si="17"/>
        <v>20039602.667761203</v>
      </c>
      <c r="AQ45" s="1118"/>
      <c r="AU45" s="1116">
        <f t="shared" si="18"/>
        <v>42279271</v>
      </c>
      <c r="AV45" s="1117">
        <f t="shared" si="19"/>
        <v>13434695.760551672</v>
      </c>
      <c r="AW45" s="1117">
        <f t="shared" si="20"/>
        <v>8804972.5716871228</v>
      </c>
      <c r="AX45" s="1117">
        <f t="shared" si="21"/>
        <v>20039602.667761203</v>
      </c>
      <c r="AY45" s="1118"/>
      <c r="BC45" s="1116">
        <f t="shared" si="22"/>
        <v>42279271</v>
      </c>
      <c r="BD45" s="1117">
        <f t="shared" si="23"/>
        <v>13434695.760551672</v>
      </c>
      <c r="BE45" s="1117">
        <f t="shared" si="24"/>
        <v>8804972.5716871228</v>
      </c>
      <c r="BF45" s="1117">
        <f t="shared" si="25"/>
        <v>20039602.667761203</v>
      </c>
      <c r="BG45" s="1118"/>
      <c r="BK45" s="1116">
        <f t="shared" si="26"/>
        <v>42279271</v>
      </c>
      <c r="BL45" s="1117">
        <f t="shared" si="27"/>
        <v>13434695.760551672</v>
      </c>
      <c r="BM45" s="1117">
        <f t="shared" si="28"/>
        <v>8804972.5716871228</v>
      </c>
      <c r="BN45" s="1117">
        <f t="shared" si="29"/>
        <v>20039602.667761203</v>
      </c>
      <c r="BO45" s="1118"/>
      <c r="BS45" s="1116">
        <f t="shared" si="30"/>
        <v>42279271</v>
      </c>
      <c r="BT45" s="1117">
        <f t="shared" si="31"/>
        <v>13434695.760551672</v>
      </c>
      <c r="BU45" s="1117">
        <f t="shared" si="32"/>
        <v>8804972.5716871228</v>
      </c>
      <c r="BV45" s="1117">
        <f t="shared" si="33"/>
        <v>20039602.667761203</v>
      </c>
      <c r="BW45" s="1118"/>
      <c r="CA45" s="1116">
        <f t="shared" si="34"/>
        <v>42279271</v>
      </c>
      <c r="CB45" s="1117">
        <f t="shared" si="35"/>
        <v>13434695.760551672</v>
      </c>
      <c r="CC45" s="1117">
        <f t="shared" si="36"/>
        <v>8804972.5716871228</v>
      </c>
      <c r="CD45" s="1117">
        <f t="shared" si="37"/>
        <v>20039602.667761203</v>
      </c>
      <c r="CE45" s="1118"/>
      <c r="CI45" s="1116">
        <f t="shared" si="38"/>
        <v>42279271</v>
      </c>
      <c r="CJ45" s="1117">
        <f t="shared" si="39"/>
        <v>13434695.760551672</v>
      </c>
      <c r="CK45" s="1117">
        <f t="shared" si="40"/>
        <v>8804972.5716871228</v>
      </c>
      <c r="CL45" s="1117">
        <f t="shared" si="41"/>
        <v>20039602.667761203</v>
      </c>
      <c r="CM45" s="1118"/>
      <c r="CQ45" s="1116">
        <f t="shared" si="42"/>
        <v>42279271</v>
      </c>
      <c r="CR45" s="1117">
        <f t="shared" si="43"/>
        <v>13434695.760551672</v>
      </c>
      <c r="CS45" s="1117">
        <f t="shared" si="44"/>
        <v>8804972.5716871228</v>
      </c>
      <c r="CT45" s="1117">
        <f t="shared" si="45"/>
        <v>20039602.667761203</v>
      </c>
      <c r="CU45" s="1118"/>
      <c r="CY45" s="1116">
        <f t="shared" si="46"/>
        <v>42279271</v>
      </c>
      <c r="CZ45" s="1117">
        <f t="shared" si="47"/>
        <v>13434695.760551672</v>
      </c>
      <c r="DA45" s="1117">
        <f t="shared" si="48"/>
        <v>8804972.5716871228</v>
      </c>
      <c r="DB45" s="1117">
        <f t="shared" si="49"/>
        <v>20039602.667761203</v>
      </c>
      <c r="DC45" s="1118"/>
      <c r="DG45" s="1116">
        <f t="shared" si="50"/>
        <v>42279271</v>
      </c>
      <c r="DH45" s="1117">
        <f t="shared" si="51"/>
        <v>13434695.760551672</v>
      </c>
      <c r="DI45" s="1117">
        <f t="shared" si="52"/>
        <v>8804972.5716871228</v>
      </c>
      <c r="DJ45" s="1117">
        <f t="shared" si="53"/>
        <v>20039602.667761203</v>
      </c>
      <c r="DK45" s="1118"/>
      <c r="DO45" s="1116">
        <f t="shared" si="54"/>
        <v>42279271</v>
      </c>
      <c r="DP45" s="1117">
        <f t="shared" si="55"/>
        <v>13434695.760551672</v>
      </c>
      <c r="DQ45" s="1117">
        <f t="shared" si="56"/>
        <v>8804972.5716871228</v>
      </c>
      <c r="DR45" s="1117">
        <f t="shared" si="57"/>
        <v>20039602.667761203</v>
      </c>
      <c r="DS45" s="1118"/>
      <c r="DW45" s="1116">
        <f t="shared" si="58"/>
        <v>42279271</v>
      </c>
      <c r="DX45" s="1117">
        <f t="shared" si="59"/>
        <v>13434695.760551672</v>
      </c>
      <c r="DY45" s="1117">
        <f t="shared" si="60"/>
        <v>8804972.5716871228</v>
      </c>
      <c r="DZ45" s="1117">
        <f t="shared" si="61"/>
        <v>20039602.667761203</v>
      </c>
      <c r="EA45" s="1118"/>
      <c r="EE45" s="1116">
        <f t="shared" si="62"/>
        <v>42279271</v>
      </c>
      <c r="EF45" s="1117">
        <f t="shared" si="63"/>
        <v>13434695.760551672</v>
      </c>
      <c r="EG45" s="1117">
        <f t="shared" si="64"/>
        <v>8804972.5716871228</v>
      </c>
      <c r="EH45" s="1117">
        <f t="shared" si="65"/>
        <v>20039602.667761203</v>
      </c>
      <c r="EI45" s="1118"/>
      <c r="EM45" s="1116">
        <f t="shared" si="66"/>
        <v>42279271</v>
      </c>
      <c r="EN45" s="1117">
        <f t="shared" si="67"/>
        <v>13434695.760551672</v>
      </c>
      <c r="EO45" s="1117">
        <f t="shared" si="68"/>
        <v>8804972.5716871228</v>
      </c>
      <c r="EP45" s="1117">
        <f t="shared" si="69"/>
        <v>20039602.667761203</v>
      </c>
      <c r="EQ45" s="1118"/>
      <c r="EU45" s="1116">
        <f t="shared" si="70"/>
        <v>42279271</v>
      </c>
      <c r="EV45" s="1117">
        <f t="shared" si="71"/>
        <v>13434695.760551672</v>
      </c>
      <c r="EW45" s="1117">
        <f t="shared" si="72"/>
        <v>8804972.5716871228</v>
      </c>
      <c r="EX45" s="1117">
        <f t="shared" si="73"/>
        <v>20039602.667761203</v>
      </c>
      <c r="EY45" s="1118"/>
      <c r="FC45" s="1116">
        <f t="shared" si="74"/>
        <v>42279271</v>
      </c>
      <c r="FD45" s="1117">
        <f t="shared" si="75"/>
        <v>13434695.760551672</v>
      </c>
      <c r="FE45" s="1117">
        <f t="shared" si="76"/>
        <v>8804972.5716871228</v>
      </c>
      <c r="FF45" s="1117">
        <f t="shared" si="77"/>
        <v>20039602.667761203</v>
      </c>
      <c r="FG45" s="1118"/>
      <c r="FK45" s="1116">
        <f t="shared" si="78"/>
        <v>42279271</v>
      </c>
      <c r="FL45" s="1117">
        <f t="shared" si="79"/>
        <v>13434695.760551672</v>
      </c>
      <c r="FM45" s="1117">
        <f t="shared" si="80"/>
        <v>8804972.5716871228</v>
      </c>
      <c r="FN45" s="1117">
        <f t="shared" si="81"/>
        <v>20039602.667761203</v>
      </c>
      <c r="FO45" s="1118"/>
    </row>
    <row r="46" spans="1:171">
      <c r="A46" s="912"/>
      <c r="B46" s="10" t="s">
        <v>134</v>
      </c>
      <c r="C46" s="887" t="s">
        <v>70</v>
      </c>
      <c r="D46" s="888">
        <v>398</v>
      </c>
      <c r="E46" s="182" t="str">
        <f>'Sch 1- Rate Base '!E46</f>
        <v>PTD</v>
      </c>
      <c r="F46" s="889"/>
      <c r="G46" s="182">
        <f>'Sch 1- Rate Base '!G46</f>
        <v>258773</v>
      </c>
      <c r="H46" s="182">
        <f>'Sch 1- Rate Base '!H46</f>
        <v>82227.920297992794</v>
      </c>
      <c r="I46" s="182">
        <f>'Sch 1- Rate Base '!I46</f>
        <v>0</v>
      </c>
      <c r="J46" s="183">
        <f>'Sch 1- Rate Base '!J46</f>
        <v>176545.07970200721</v>
      </c>
      <c r="K46" s="903">
        <f t="shared" si="0"/>
        <v>1</v>
      </c>
      <c r="L46" s="1123">
        <f t="shared" si="1"/>
        <v>5.0950583227539755E-5</v>
      </c>
      <c r="O46" s="1116">
        <f t="shared" si="2"/>
        <v>258773</v>
      </c>
      <c r="P46" s="1117">
        <f t="shared" si="3"/>
        <v>82227.920297992794</v>
      </c>
      <c r="Q46" s="1117">
        <f t="shared" si="4"/>
        <v>53891.401469367622</v>
      </c>
      <c r="R46" s="1117">
        <f t="shared" si="5"/>
        <v>122653.67823263959</v>
      </c>
      <c r="S46" s="1118"/>
      <c r="W46" s="1116">
        <f t="shared" si="6"/>
        <v>258773</v>
      </c>
      <c r="X46" s="1117">
        <f t="shared" si="7"/>
        <v>82227.920297992794</v>
      </c>
      <c r="Y46" s="1117">
        <f t="shared" si="8"/>
        <v>53891.401469367622</v>
      </c>
      <c r="Z46" s="1117">
        <f t="shared" si="9"/>
        <v>122653.67823263959</v>
      </c>
      <c r="AA46" s="1118"/>
      <c r="AE46" s="1116">
        <f t="shared" si="10"/>
        <v>258773</v>
      </c>
      <c r="AF46" s="1117">
        <f t="shared" si="11"/>
        <v>82227.920297992794</v>
      </c>
      <c r="AG46" s="1117">
        <f t="shared" si="12"/>
        <v>53891.401469367622</v>
      </c>
      <c r="AH46" s="1117">
        <f t="shared" si="13"/>
        <v>122653.67823263959</v>
      </c>
      <c r="AI46" s="1118"/>
      <c r="AM46" s="1116">
        <f t="shared" si="14"/>
        <v>258773</v>
      </c>
      <c r="AN46" s="1117">
        <f t="shared" si="15"/>
        <v>82227.920297992794</v>
      </c>
      <c r="AO46" s="1117">
        <f t="shared" si="16"/>
        <v>53891.401469367622</v>
      </c>
      <c r="AP46" s="1117">
        <f t="shared" si="17"/>
        <v>122653.67823263959</v>
      </c>
      <c r="AQ46" s="1118"/>
      <c r="AU46" s="1116">
        <f t="shared" si="18"/>
        <v>258773</v>
      </c>
      <c r="AV46" s="1117">
        <f t="shared" si="19"/>
        <v>82227.920297992794</v>
      </c>
      <c r="AW46" s="1117">
        <f t="shared" si="20"/>
        <v>53891.401469367622</v>
      </c>
      <c r="AX46" s="1117">
        <f t="shared" si="21"/>
        <v>122653.67823263959</v>
      </c>
      <c r="AY46" s="1118"/>
      <c r="BC46" s="1116">
        <f t="shared" si="22"/>
        <v>258773</v>
      </c>
      <c r="BD46" s="1117">
        <f t="shared" si="23"/>
        <v>82227.920297992794</v>
      </c>
      <c r="BE46" s="1117">
        <f t="shared" si="24"/>
        <v>53891.401469367622</v>
      </c>
      <c r="BF46" s="1117">
        <f t="shared" si="25"/>
        <v>122653.67823263959</v>
      </c>
      <c r="BG46" s="1118"/>
      <c r="BK46" s="1116">
        <f t="shared" si="26"/>
        <v>258773</v>
      </c>
      <c r="BL46" s="1117">
        <f t="shared" si="27"/>
        <v>82227.920297992794</v>
      </c>
      <c r="BM46" s="1117">
        <f t="shared" si="28"/>
        <v>53891.401469367622</v>
      </c>
      <c r="BN46" s="1117">
        <f t="shared" si="29"/>
        <v>122653.67823263959</v>
      </c>
      <c r="BO46" s="1118"/>
      <c r="BS46" s="1116">
        <f t="shared" si="30"/>
        <v>258773</v>
      </c>
      <c r="BT46" s="1117">
        <f t="shared" si="31"/>
        <v>82227.920297992794</v>
      </c>
      <c r="BU46" s="1117">
        <f t="shared" si="32"/>
        <v>53891.401469367622</v>
      </c>
      <c r="BV46" s="1117">
        <f t="shared" si="33"/>
        <v>122653.67823263959</v>
      </c>
      <c r="BW46" s="1118"/>
      <c r="CA46" s="1116">
        <f t="shared" si="34"/>
        <v>258773</v>
      </c>
      <c r="CB46" s="1117">
        <f t="shared" si="35"/>
        <v>82227.920297992794</v>
      </c>
      <c r="CC46" s="1117">
        <f t="shared" si="36"/>
        <v>53891.401469367622</v>
      </c>
      <c r="CD46" s="1117">
        <f t="shared" si="37"/>
        <v>122653.67823263959</v>
      </c>
      <c r="CE46" s="1118"/>
      <c r="CI46" s="1116">
        <f t="shared" si="38"/>
        <v>258773</v>
      </c>
      <c r="CJ46" s="1117">
        <f t="shared" si="39"/>
        <v>82227.920297992794</v>
      </c>
      <c r="CK46" s="1117">
        <f t="shared" si="40"/>
        <v>53891.401469367622</v>
      </c>
      <c r="CL46" s="1117">
        <f t="shared" si="41"/>
        <v>122653.67823263959</v>
      </c>
      <c r="CM46" s="1118"/>
      <c r="CQ46" s="1116">
        <f t="shared" si="42"/>
        <v>258773</v>
      </c>
      <c r="CR46" s="1117">
        <f t="shared" si="43"/>
        <v>82227.920297992794</v>
      </c>
      <c r="CS46" s="1117">
        <f t="shared" si="44"/>
        <v>53891.401469367622</v>
      </c>
      <c r="CT46" s="1117">
        <f t="shared" si="45"/>
        <v>122653.67823263959</v>
      </c>
      <c r="CU46" s="1118"/>
      <c r="CY46" s="1116">
        <f t="shared" si="46"/>
        <v>258773</v>
      </c>
      <c r="CZ46" s="1117">
        <f t="shared" si="47"/>
        <v>82227.920297992794</v>
      </c>
      <c r="DA46" s="1117">
        <f t="shared" si="48"/>
        <v>53891.401469367622</v>
      </c>
      <c r="DB46" s="1117">
        <f t="shared" si="49"/>
        <v>122653.67823263959</v>
      </c>
      <c r="DC46" s="1118"/>
      <c r="DG46" s="1116">
        <f t="shared" si="50"/>
        <v>258773</v>
      </c>
      <c r="DH46" s="1117">
        <f t="shared" si="51"/>
        <v>82227.920297992794</v>
      </c>
      <c r="DI46" s="1117">
        <f t="shared" si="52"/>
        <v>53891.401469367622</v>
      </c>
      <c r="DJ46" s="1117">
        <f t="shared" si="53"/>
        <v>122653.67823263959</v>
      </c>
      <c r="DK46" s="1118"/>
      <c r="DO46" s="1116">
        <f t="shared" si="54"/>
        <v>258773</v>
      </c>
      <c r="DP46" s="1117">
        <f t="shared" si="55"/>
        <v>82227.920297992794</v>
      </c>
      <c r="DQ46" s="1117">
        <f t="shared" si="56"/>
        <v>53891.401469367622</v>
      </c>
      <c r="DR46" s="1117">
        <f t="shared" si="57"/>
        <v>122653.67823263959</v>
      </c>
      <c r="DS46" s="1118"/>
      <c r="DW46" s="1116">
        <f t="shared" si="58"/>
        <v>258773</v>
      </c>
      <c r="DX46" s="1117">
        <f t="shared" si="59"/>
        <v>82227.920297992794</v>
      </c>
      <c r="DY46" s="1117">
        <f t="shared" si="60"/>
        <v>53891.401469367622</v>
      </c>
      <c r="DZ46" s="1117">
        <f t="shared" si="61"/>
        <v>122653.67823263959</v>
      </c>
      <c r="EA46" s="1118"/>
      <c r="EE46" s="1116">
        <f t="shared" si="62"/>
        <v>258773</v>
      </c>
      <c r="EF46" s="1117">
        <f t="shared" si="63"/>
        <v>82227.920297992794</v>
      </c>
      <c r="EG46" s="1117">
        <f t="shared" si="64"/>
        <v>53891.401469367622</v>
      </c>
      <c r="EH46" s="1117">
        <f t="shared" si="65"/>
        <v>122653.67823263959</v>
      </c>
      <c r="EI46" s="1118"/>
      <c r="EM46" s="1116">
        <f t="shared" si="66"/>
        <v>258773</v>
      </c>
      <c r="EN46" s="1117">
        <f t="shared" si="67"/>
        <v>82227.920297992794</v>
      </c>
      <c r="EO46" s="1117">
        <f t="shared" si="68"/>
        <v>53891.401469367622</v>
      </c>
      <c r="EP46" s="1117">
        <f t="shared" si="69"/>
        <v>122653.67823263959</v>
      </c>
      <c r="EQ46" s="1118"/>
      <c r="EU46" s="1116">
        <f t="shared" si="70"/>
        <v>258773</v>
      </c>
      <c r="EV46" s="1117">
        <f t="shared" si="71"/>
        <v>82227.920297992794</v>
      </c>
      <c r="EW46" s="1117">
        <f t="shared" si="72"/>
        <v>53891.401469367622</v>
      </c>
      <c r="EX46" s="1117">
        <f t="shared" si="73"/>
        <v>122653.67823263959</v>
      </c>
      <c r="EY46" s="1118"/>
      <c r="FC46" s="1116">
        <f t="shared" si="74"/>
        <v>258773</v>
      </c>
      <c r="FD46" s="1117">
        <f t="shared" si="75"/>
        <v>82227.920297992794</v>
      </c>
      <c r="FE46" s="1117">
        <f t="shared" si="76"/>
        <v>53891.401469367622</v>
      </c>
      <c r="FF46" s="1117">
        <f t="shared" si="77"/>
        <v>122653.67823263959</v>
      </c>
      <c r="FG46" s="1118"/>
      <c r="FK46" s="1116">
        <f t="shared" si="78"/>
        <v>258773</v>
      </c>
      <c r="FL46" s="1117">
        <f t="shared" si="79"/>
        <v>82227.920297992794</v>
      </c>
      <c r="FM46" s="1117">
        <f t="shared" si="80"/>
        <v>53891.401469367622</v>
      </c>
      <c r="FN46" s="1117">
        <f t="shared" si="81"/>
        <v>122653.67823263959</v>
      </c>
      <c r="FO46" s="1118"/>
    </row>
    <row r="47" spans="1:171">
      <c r="A47" s="912"/>
      <c r="B47" s="10" t="s">
        <v>256</v>
      </c>
      <c r="C47" s="887" t="s">
        <v>70</v>
      </c>
      <c r="D47" s="888">
        <v>399</v>
      </c>
      <c r="E47" s="182" t="str">
        <f>'Sch 1- Rate Base '!E47</f>
        <v>DIRECT</v>
      </c>
      <c r="F47" s="889"/>
      <c r="G47" s="182">
        <f>'Sch 1- Rate Base '!G47</f>
        <v>0</v>
      </c>
      <c r="H47" s="182">
        <f>'Sch 1- Rate Base '!H47</f>
        <v>0</v>
      </c>
      <c r="I47" s="182">
        <f>'Sch 1- Rate Base '!I47</f>
        <v>0</v>
      </c>
      <c r="J47" s="183">
        <f>'Sch 1- Rate Base '!J47</f>
        <v>0</v>
      </c>
      <c r="K47" s="903">
        <f t="shared" si="0"/>
        <v>0</v>
      </c>
      <c r="L47" s="1123">
        <f t="shared" si="1"/>
        <v>0</v>
      </c>
      <c r="O47" s="1116">
        <f t="shared" si="2"/>
        <v>0</v>
      </c>
      <c r="P47" s="1117">
        <f t="shared" si="3"/>
        <v>0</v>
      </c>
      <c r="Q47" s="1117">
        <f t="shared" si="4"/>
        <v>0</v>
      </c>
      <c r="R47" s="1117">
        <f t="shared" si="5"/>
        <v>0</v>
      </c>
      <c r="S47" s="1118"/>
      <c r="W47" s="1116">
        <f t="shared" si="6"/>
        <v>0</v>
      </c>
      <c r="X47" s="1117">
        <f t="shared" si="7"/>
        <v>0</v>
      </c>
      <c r="Y47" s="1117">
        <f t="shared" si="8"/>
        <v>0</v>
      </c>
      <c r="Z47" s="1117">
        <f t="shared" si="9"/>
        <v>0</v>
      </c>
      <c r="AA47" s="1118"/>
      <c r="AE47" s="1116">
        <f t="shared" si="10"/>
        <v>0</v>
      </c>
      <c r="AF47" s="1117">
        <f t="shared" si="11"/>
        <v>0</v>
      </c>
      <c r="AG47" s="1117">
        <f t="shared" si="12"/>
        <v>0</v>
      </c>
      <c r="AH47" s="1117">
        <f t="shared" si="13"/>
        <v>0</v>
      </c>
      <c r="AI47" s="1118"/>
      <c r="AM47" s="1116">
        <f t="shared" si="14"/>
        <v>0</v>
      </c>
      <c r="AN47" s="1117">
        <f t="shared" si="15"/>
        <v>0</v>
      </c>
      <c r="AO47" s="1117">
        <f t="shared" si="16"/>
        <v>0</v>
      </c>
      <c r="AP47" s="1117">
        <f t="shared" si="17"/>
        <v>0</v>
      </c>
      <c r="AQ47" s="1118"/>
      <c r="AU47" s="1116">
        <f t="shared" si="18"/>
        <v>0</v>
      </c>
      <c r="AV47" s="1117">
        <f t="shared" si="19"/>
        <v>0</v>
      </c>
      <c r="AW47" s="1117">
        <f t="shared" si="20"/>
        <v>0</v>
      </c>
      <c r="AX47" s="1117">
        <f t="shared" si="21"/>
        <v>0</v>
      </c>
      <c r="AY47" s="1118"/>
      <c r="BC47" s="1116">
        <f t="shared" si="22"/>
        <v>0</v>
      </c>
      <c r="BD47" s="1117">
        <f t="shared" si="23"/>
        <v>0</v>
      </c>
      <c r="BE47" s="1117">
        <f t="shared" si="24"/>
        <v>0</v>
      </c>
      <c r="BF47" s="1117">
        <f t="shared" si="25"/>
        <v>0</v>
      </c>
      <c r="BG47" s="1118"/>
      <c r="BK47" s="1116">
        <f t="shared" si="26"/>
        <v>0</v>
      </c>
      <c r="BL47" s="1117">
        <f t="shared" si="27"/>
        <v>0</v>
      </c>
      <c r="BM47" s="1117">
        <f t="shared" si="28"/>
        <v>0</v>
      </c>
      <c r="BN47" s="1117">
        <f t="shared" si="29"/>
        <v>0</v>
      </c>
      <c r="BO47" s="1118"/>
      <c r="BS47" s="1116">
        <f t="shared" si="30"/>
        <v>0</v>
      </c>
      <c r="BT47" s="1117">
        <f t="shared" si="31"/>
        <v>0</v>
      </c>
      <c r="BU47" s="1117">
        <f t="shared" si="32"/>
        <v>0</v>
      </c>
      <c r="BV47" s="1117">
        <f t="shared" si="33"/>
        <v>0</v>
      </c>
      <c r="BW47" s="1118"/>
      <c r="CA47" s="1116">
        <f t="shared" si="34"/>
        <v>0</v>
      </c>
      <c r="CB47" s="1117">
        <f t="shared" si="35"/>
        <v>0</v>
      </c>
      <c r="CC47" s="1117">
        <f t="shared" si="36"/>
        <v>0</v>
      </c>
      <c r="CD47" s="1117">
        <f t="shared" si="37"/>
        <v>0</v>
      </c>
      <c r="CE47" s="1118"/>
      <c r="CI47" s="1116">
        <f t="shared" si="38"/>
        <v>0</v>
      </c>
      <c r="CJ47" s="1117">
        <f t="shared" si="39"/>
        <v>0</v>
      </c>
      <c r="CK47" s="1117">
        <f t="shared" si="40"/>
        <v>0</v>
      </c>
      <c r="CL47" s="1117">
        <f t="shared" si="41"/>
        <v>0</v>
      </c>
      <c r="CM47" s="1118"/>
      <c r="CQ47" s="1116">
        <f t="shared" si="42"/>
        <v>0</v>
      </c>
      <c r="CR47" s="1117">
        <f t="shared" si="43"/>
        <v>0</v>
      </c>
      <c r="CS47" s="1117">
        <f t="shared" si="44"/>
        <v>0</v>
      </c>
      <c r="CT47" s="1117">
        <f t="shared" si="45"/>
        <v>0</v>
      </c>
      <c r="CU47" s="1118"/>
      <c r="CY47" s="1116">
        <f t="shared" si="46"/>
        <v>0</v>
      </c>
      <c r="CZ47" s="1117">
        <f t="shared" si="47"/>
        <v>0</v>
      </c>
      <c r="DA47" s="1117">
        <f t="shared" si="48"/>
        <v>0</v>
      </c>
      <c r="DB47" s="1117">
        <f t="shared" si="49"/>
        <v>0</v>
      </c>
      <c r="DC47" s="1118"/>
      <c r="DG47" s="1116">
        <f t="shared" si="50"/>
        <v>0</v>
      </c>
      <c r="DH47" s="1117">
        <f t="shared" si="51"/>
        <v>0</v>
      </c>
      <c r="DI47" s="1117">
        <f t="shared" si="52"/>
        <v>0</v>
      </c>
      <c r="DJ47" s="1117">
        <f t="shared" si="53"/>
        <v>0</v>
      </c>
      <c r="DK47" s="1118"/>
      <c r="DO47" s="1116">
        <f t="shared" si="54"/>
        <v>0</v>
      </c>
      <c r="DP47" s="1117">
        <f t="shared" si="55"/>
        <v>0</v>
      </c>
      <c r="DQ47" s="1117">
        <f t="shared" si="56"/>
        <v>0</v>
      </c>
      <c r="DR47" s="1117">
        <f t="shared" si="57"/>
        <v>0</v>
      </c>
      <c r="DS47" s="1118"/>
      <c r="DW47" s="1116">
        <f t="shared" si="58"/>
        <v>0</v>
      </c>
      <c r="DX47" s="1117">
        <f t="shared" si="59"/>
        <v>0</v>
      </c>
      <c r="DY47" s="1117">
        <f t="shared" si="60"/>
        <v>0</v>
      </c>
      <c r="DZ47" s="1117">
        <f t="shared" si="61"/>
        <v>0</v>
      </c>
      <c r="EA47" s="1118"/>
      <c r="EE47" s="1116">
        <f t="shared" si="62"/>
        <v>0</v>
      </c>
      <c r="EF47" s="1117">
        <f t="shared" si="63"/>
        <v>0</v>
      </c>
      <c r="EG47" s="1117">
        <f t="shared" si="64"/>
        <v>0</v>
      </c>
      <c r="EH47" s="1117">
        <f t="shared" si="65"/>
        <v>0</v>
      </c>
      <c r="EI47" s="1118"/>
      <c r="EM47" s="1116">
        <f t="shared" si="66"/>
        <v>0</v>
      </c>
      <c r="EN47" s="1117">
        <f t="shared" si="67"/>
        <v>0</v>
      </c>
      <c r="EO47" s="1117">
        <f t="shared" si="68"/>
        <v>0</v>
      </c>
      <c r="EP47" s="1117">
        <f t="shared" si="69"/>
        <v>0</v>
      </c>
      <c r="EQ47" s="1118"/>
      <c r="EU47" s="1116">
        <f t="shared" si="70"/>
        <v>0</v>
      </c>
      <c r="EV47" s="1117">
        <f t="shared" si="71"/>
        <v>0</v>
      </c>
      <c r="EW47" s="1117">
        <f t="shared" si="72"/>
        <v>0</v>
      </c>
      <c r="EX47" s="1117">
        <f t="shared" si="73"/>
        <v>0</v>
      </c>
      <c r="EY47" s="1118"/>
      <c r="FC47" s="1116">
        <f t="shared" si="74"/>
        <v>0</v>
      </c>
      <c r="FD47" s="1117">
        <f t="shared" si="75"/>
        <v>0</v>
      </c>
      <c r="FE47" s="1117">
        <f t="shared" si="76"/>
        <v>0</v>
      </c>
      <c r="FF47" s="1117">
        <f t="shared" si="77"/>
        <v>0</v>
      </c>
      <c r="FG47" s="1118"/>
      <c r="FK47" s="1116">
        <f t="shared" si="78"/>
        <v>0</v>
      </c>
      <c r="FL47" s="1117">
        <f t="shared" si="79"/>
        <v>0</v>
      </c>
      <c r="FM47" s="1117">
        <f t="shared" si="80"/>
        <v>0</v>
      </c>
      <c r="FN47" s="1117">
        <f t="shared" si="81"/>
        <v>0</v>
      </c>
      <c r="FO47" s="1118"/>
    </row>
    <row r="48" spans="1:171">
      <c r="A48" s="912"/>
      <c r="B48" s="10" t="s">
        <v>446</v>
      </c>
      <c r="C48" s="887" t="s">
        <v>447</v>
      </c>
      <c r="D48" s="888">
        <v>399.1</v>
      </c>
      <c r="E48" s="182" t="str">
        <f>'Sch 1- Rate Base '!E48</f>
        <v>PTD</v>
      </c>
      <c r="F48" s="889"/>
      <c r="G48" s="182">
        <f>'Sch 1- Rate Base '!G48</f>
        <v>0</v>
      </c>
      <c r="H48" s="182">
        <f>'Sch 1- Rate Base '!H48</f>
        <v>0</v>
      </c>
      <c r="I48" s="182">
        <f>'Sch 1- Rate Base '!I48</f>
        <v>0</v>
      </c>
      <c r="J48" s="183">
        <f>'Sch 1- Rate Base '!J48</f>
        <v>0</v>
      </c>
      <c r="K48" s="903">
        <f t="shared" si="0"/>
        <v>1</v>
      </c>
      <c r="L48" s="1123">
        <f t="shared" si="1"/>
        <v>0</v>
      </c>
      <c r="M48" s="1124">
        <f>SUM(L37:L48)</f>
        <v>3.3317666980147966E-2</v>
      </c>
      <c r="O48" s="1116">
        <f t="shared" si="2"/>
        <v>0</v>
      </c>
      <c r="P48" s="1117">
        <f t="shared" si="3"/>
        <v>0</v>
      </c>
      <c r="Q48" s="1117">
        <f t="shared" si="4"/>
        <v>0</v>
      </c>
      <c r="R48" s="1117">
        <f t="shared" si="5"/>
        <v>0</v>
      </c>
      <c r="S48" s="1118"/>
      <c r="W48" s="1116">
        <f t="shared" si="6"/>
        <v>0</v>
      </c>
      <c r="X48" s="1117">
        <f t="shared" si="7"/>
        <v>0</v>
      </c>
      <c r="Y48" s="1117">
        <f t="shared" si="8"/>
        <v>0</v>
      </c>
      <c r="Z48" s="1117">
        <f t="shared" si="9"/>
        <v>0</v>
      </c>
      <c r="AA48" s="1118"/>
      <c r="AE48" s="1116">
        <f t="shared" si="10"/>
        <v>0</v>
      </c>
      <c r="AF48" s="1117">
        <f t="shared" si="11"/>
        <v>0</v>
      </c>
      <c r="AG48" s="1117">
        <f t="shared" si="12"/>
        <v>0</v>
      </c>
      <c r="AH48" s="1117">
        <f t="shared" si="13"/>
        <v>0</v>
      </c>
      <c r="AI48" s="1118"/>
      <c r="AM48" s="1116">
        <f t="shared" si="14"/>
        <v>0</v>
      </c>
      <c r="AN48" s="1117">
        <f t="shared" si="15"/>
        <v>0</v>
      </c>
      <c r="AO48" s="1117">
        <f t="shared" si="16"/>
        <v>0</v>
      </c>
      <c r="AP48" s="1117">
        <f t="shared" si="17"/>
        <v>0</v>
      </c>
      <c r="AQ48" s="1118"/>
      <c r="AU48" s="1116">
        <f t="shared" si="18"/>
        <v>0</v>
      </c>
      <c r="AV48" s="1117">
        <f t="shared" si="19"/>
        <v>0</v>
      </c>
      <c r="AW48" s="1117">
        <f t="shared" si="20"/>
        <v>0</v>
      </c>
      <c r="AX48" s="1117">
        <f t="shared" si="21"/>
        <v>0</v>
      </c>
      <c r="AY48" s="1118"/>
      <c r="BC48" s="1116">
        <f t="shared" si="22"/>
        <v>0</v>
      </c>
      <c r="BD48" s="1117">
        <f t="shared" si="23"/>
        <v>0</v>
      </c>
      <c r="BE48" s="1117">
        <f t="shared" si="24"/>
        <v>0</v>
      </c>
      <c r="BF48" s="1117">
        <f t="shared" si="25"/>
        <v>0</v>
      </c>
      <c r="BG48" s="1118"/>
      <c r="BK48" s="1116">
        <f t="shared" si="26"/>
        <v>0</v>
      </c>
      <c r="BL48" s="1117">
        <f t="shared" si="27"/>
        <v>0</v>
      </c>
      <c r="BM48" s="1117">
        <f t="shared" si="28"/>
        <v>0</v>
      </c>
      <c r="BN48" s="1117">
        <f t="shared" si="29"/>
        <v>0</v>
      </c>
      <c r="BO48" s="1118"/>
      <c r="BS48" s="1116">
        <f t="shared" si="30"/>
        <v>0</v>
      </c>
      <c r="BT48" s="1117">
        <f t="shared" si="31"/>
        <v>0</v>
      </c>
      <c r="BU48" s="1117">
        <f t="shared" si="32"/>
        <v>0</v>
      </c>
      <c r="BV48" s="1117">
        <f t="shared" si="33"/>
        <v>0</v>
      </c>
      <c r="BW48" s="1118"/>
      <c r="CA48" s="1116">
        <f t="shared" si="34"/>
        <v>0</v>
      </c>
      <c r="CB48" s="1117">
        <f t="shared" si="35"/>
        <v>0</v>
      </c>
      <c r="CC48" s="1117">
        <f t="shared" si="36"/>
        <v>0</v>
      </c>
      <c r="CD48" s="1117">
        <f t="shared" si="37"/>
        <v>0</v>
      </c>
      <c r="CE48" s="1118"/>
      <c r="CI48" s="1116">
        <f t="shared" si="38"/>
        <v>0</v>
      </c>
      <c r="CJ48" s="1117">
        <f t="shared" si="39"/>
        <v>0</v>
      </c>
      <c r="CK48" s="1117">
        <f t="shared" si="40"/>
        <v>0</v>
      </c>
      <c r="CL48" s="1117">
        <f t="shared" si="41"/>
        <v>0</v>
      </c>
      <c r="CM48" s="1118"/>
      <c r="CQ48" s="1116">
        <f t="shared" si="42"/>
        <v>0</v>
      </c>
      <c r="CR48" s="1117">
        <f t="shared" si="43"/>
        <v>0</v>
      </c>
      <c r="CS48" s="1117">
        <f t="shared" si="44"/>
        <v>0</v>
      </c>
      <c r="CT48" s="1117">
        <f t="shared" si="45"/>
        <v>0</v>
      </c>
      <c r="CU48" s="1118"/>
      <c r="CY48" s="1116">
        <f t="shared" si="46"/>
        <v>0</v>
      </c>
      <c r="CZ48" s="1117">
        <f t="shared" si="47"/>
        <v>0</v>
      </c>
      <c r="DA48" s="1117">
        <f t="shared" si="48"/>
        <v>0</v>
      </c>
      <c r="DB48" s="1117">
        <f t="shared" si="49"/>
        <v>0</v>
      </c>
      <c r="DC48" s="1118"/>
      <c r="DG48" s="1116">
        <f t="shared" si="50"/>
        <v>0</v>
      </c>
      <c r="DH48" s="1117">
        <f t="shared" si="51"/>
        <v>0</v>
      </c>
      <c r="DI48" s="1117">
        <f t="shared" si="52"/>
        <v>0</v>
      </c>
      <c r="DJ48" s="1117">
        <f t="shared" si="53"/>
        <v>0</v>
      </c>
      <c r="DK48" s="1118"/>
      <c r="DO48" s="1116">
        <f t="shared" si="54"/>
        <v>0</v>
      </c>
      <c r="DP48" s="1117">
        <f t="shared" si="55"/>
        <v>0</v>
      </c>
      <c r="DQ48" s="1117">
        <f t="shared" si="56"/>
        <v>0</v>
      </c>
      <c r="DR48" s="1117">
        <f t="shared" si="57"/>
        <v>0</v>
      </c>
      <c r="DS48" s="1118"/>
      <c r="DW48" s="1116">
        <f t="shared" si="58"/>
        <v>0</v>
      </c>
      <c r="DX48" s="1117">
        <f t="shared" si="59"/>
        <v>0</v>
      </c>
      <c r="DY48" s="1117">
        <f t="shared" si="60"/>
        <v>0</v>
      </c>
      <c r="DZ48" s="1117">
        <f t="shared" si="61"/>
        <v>0</v>
      </c>
      <c r="EA48" s="1118"/>
      <c r="EE48" s="1116">
        <f t="shared" si="62"/>
        <v>0</v>
      </c>
      <c r="EF48" s="1117">
        <f t="shared" si="63"/>
        <v>0</v>
      </c>
      <c r="EG48" s="1117">
        <f t="shared" si="64"/>
        <v>0</v>
      </c>
      <c r="EH48" s="1117">
        <f t="shared" si="65"/>
        <v>0</v>
      </c>
      <c r="EI48" s="1118"/>
      <c r="EM48" s="1116">
        <f t="shared" si="66"/>
        <v>0</v>
      </c>
      <c r="EN48" s="1117">
        <f t="shared" si="67"/>
        <v>0</v>
      </c>
      <c r="EO48" s="1117">
        <f t="shared" si="68"/>
        <v>0</v>
      </c>
      <c r="EP48" s="1117">
        <f t="shared" si="69"/>
        <v>0</v>
      </c>
      <c r="EQ48" s="1118"/>
      <c r="EU48" s="1116">
        <f t="shared" si="70"/>
        <v>0</v>
      </c>
      <c r="EV48" s="1117">
        <f t="shared" si="71"/>
        <v>0</v>
      </c>
      <c r="EW48" s="1117">
        <f t="shared" si="72"/>
        <v>0</v>
      </c>
      <c r="EX48" s="1117">
        <f t="shared" si="73"/>
        <v>0</v>
      </c>
      <c r="EY48" s="1118"/>
      <c r="FC48" s="1116">
        <f t="shared" si="74"/>
        <v>0</v>
      </c>
      <c r="FD48" s="1117">
        <f t="shared" si="75"/>
        <v>0</v>
      </c>
      <c r="FE48" s="1117">
        <f t="shared" si="76"/>
        <v>0</v>
      </c>
      <c r="FF48" s="1117">
        <f t="shared" si="77"/>
        <v>0</v>
      </c>
      <c r="FG48" s="1118"/>
      <c r="FK48" s="1116">
        <f t="shared" si="78"/>
        <v>0</v>
      </c>
      <c r="FL48" s="1117">
        <f t="shared" si="79"/>
        <v>0</v>
      </c>
      <c r="FM48" s="1117">
        <f t="shared" si="80"/>
        <v>0</v>
      </c>
      <c r="FN48" s="1117">
        <f t="shared" si="81"/>
        <v>0</v>
      </c>
      <c r="FO48" s="1118"/>
    </row>
    <row r="49" spans="1:171">
      <c r="A49" s="160"/>
      <c r="B49" s="10"/>
      <c r="C49" s="55"/>
      <c r="D49" s="196"/>
      <c r="E49" s="196"/>
      <c r="F49" s="196"/>
      <c r="G49" s="921"/>
      <c r="H49" s="198"/>
      <c r="I49" s="198"/>
      <c r="J49" s="200"/>
      <c r="K49" s="903"/>
      <c r="S49" s="1118"/>
      <c r="AA49" s="1118"/>
      <c r="AI49" s="1118"/>
      <c r="AQ49" s="1118"/>
      <c r="AY49" s="1118"/>
      <c r="BG49" s="1118"/>
      <c r="BO49" s="1118"/>
      <c r="BW49" s="1118"/>
      <c r="CE49" s="1118"/>
      <c r="CM49" s="1118"/>
      <c r="CU49" s="1118"/>
      <c r="DC49" s="1118"/>
      <c r="DK49" s="1118"/>
      <c r="DS49" s="1118"/>
      <c r="EA49" s="1118"/>
      <c r="EI49" s="1118"/>
      <c r="EQ49" s="1118"/>
      <c r="EY49" s="1118"/>
      <c r="FG49" s="1118"/>
      <c r="FO49" s="1118"/>
    </row>
    <row r="50" spans="1:171">
      <c r="A50" s="209" t="s">
        <v>135</v>
      </c>
      <c r="B50" s="64"/>
      <c r="C50" s="914"/>
      <c r="D50" s="915"/>
      <c r="E50" s="915"/>
      <c r="F50" s="916"/>
      <c r="G50" s="905">
        <f>SUM(G37:G49)</f>
        <v>169217153</v>
      </c>
      <c r="H50" s="905">
        <f>SUM(H37:H49)</f>
        <v>26066353.350879814</v>
      </c>
      <c r="I50" s="905">
        <f>SUM(I37:I49)</f>
        <v>0</v>
      </c>
      <c r="J50" s="1388">
        <f>SUM(J37:J49)</f>
        <v>143150799.64912018</v>
      </c>
      <c r="K50" s="903"/>
      <c r="O50" s="1122">
        <f>SUM(O37:O49)</f>
        <v>169217153</v>
      </c>
      <c r="P50" s="1122">
        <f>SUM(P37:P49)</f>
        <v>26066353.350879814</v>
      </c>
      <c r="Q50" s="1122">
        <f>SUM(Q37:Q49)</f>
        <v>43233146.624210842</v>
      </c>
      <c r="R50" s="1122">
        <f>SUM(R37:R49)</f>
        <v>99917653.024909347</v>
      </c>
      <c r="S50" s="1073"/>
      <c r="W50" s="1122">
        <f>SUM(W37:W49)</f>
        <v>169217153</v>
      </c>
      <c r="X50" s="1122">
        <f>SUM(X37:X49)</f>
        <v>26066353.350879814</v>
      </c>
      <c r="Y50" s="1122">
        <f>SUM(Y37:Y49)</f>
        <v>43233146.624210842</v>
      </c>
      <c r="Z50" s="1122">
        <f>SUM(Z37:Z49)</f>
        <v>99917653.024909347</v>
      </c>
      <c r="AA50" s="1073"/>
      <c r="AE50" s="1122">
        <f>SUM(AE37:AE49)</f>
        <v>169217153</v>
      </c>
      <c r="AF50" s="1122">
        <f>SUM(AF37:AF49)</f>
        <v>26066353.350879814</v>
      </c>
      <c r="AG50" s="1122">
        <f>SUM(AG37:AG49)</f>
        <v>43233146.624210842</v>
      </c>
      <c r="AH50" s="1122">
        <f>SUM(AH37:AH49)</f>
        <v>99917653.024909347</v>
      </c>
      <c r="AI50" s="1073"/>
      <c r="AM50" s="1122">
        <f>SUM(AM37:AM49)</f>
        <v>169217153</v>
      </c>
      <c r="AN50" s="1122">
        <f>SUM(AN37:AN49)</f>
        <v>26066353.350879814</v>
      </c>
      <c r="AO50" s="1122">
        <f>SUM(AO37:AO49)</f>
        <v>43233146.624210842</v>
      </c>
      <c r="AP50" s="1122">
        <f>SUM(AP37:AP49)</f>
        <v>99917653.024909347</v>
      </c>
      <c r="AQ50" s="1073"/>
      <c r="AU50" s="1122">
        <f>SUM(AU37:AU49)</f>
        <v>169217153</v>
      </c>
      <c r="AV50" s="1122">
        <f>SUM(AV37:AV49)</f>
        <v>26066353.350879814</v>
      </c>
      <c r="AW50" s="1122">
        <f>SUM(AW37:AW49)</f>
        <v>43233146.624210842</v>
      </c>
      <c r="AX50" s="1122">
        <f>SUM(AX37:AX49)</f>
        <v>99917653.024909347</v>
      </c>
      <c r="AY50" s="1073"/>
      <c r="BC50" s="1122">
        <f>SUM(BC37:BC49)</f>
        <v>169217153</v>
      </c>
      <c r="BD50" s="1122">
        <f>SUM(BD37:BD49)</f>
        <v>26066353.350879814</v>
      </c>
      <c r="BE50" s="1122">
        <f>SUM(BE37:BE49)</f>
        <v>43233146.624210842</v>
      </c>
      <c r="BF50" s="1122">
        <f>SUM(BF37:BF49)</f>
        <v>99917653.024909347</v>
      </c>
      <c r="BG50" s="1073"/>
      <c r="BK50" s="1122">
        <f>SUM(BK37:BK49)</f>
        <v>169217153</v>
      </c>
      <c r="BL50" s="1122">
        <f>SUM(BL37:BL49)</f>
        <v>26066353.350879814</v>
      </c>
      <c r="BM50" s="1122">
        <f>SUM(BM37:BM49)</f>
        <v>43233146.624210842</v>
      </c>
      <c r="BN50" s="1122">
        <f>SUM(BN37:BN49)</f>
        <v>99917653.024909347</v>
      </c>
      <c r="BO50" s="1073"/>
      <c r="BS50" s="1122">
        <f>SUM(BS37:BS49)</f>
        <v>169217153</v>
      </c>
      <c r="BT50" s="1122">
        <f>SUM(BT37:BT49)</f>
        <v>26066353.350879814</v>
      </c>
      <c r="BU50" s="1122">
        <f>SUM(BU37:BU49)</f>
        <v>43233146.624210842</v>
      </c>
      <c r="BV50" s="1122">
        <f>SUM(BV37:BV49)</f>
        <v>99917653.024909347</v>
      </c>
      <c r="BW50" s="1073"/>
      <c r="CA50" s="1122">
        <f>SUM(CA37:CA49)</f>
        <v>169217153</v>
      </c>
      <c r="CB50" s="1122">
        <f>SUM(CB37:CB49)</f>
        <v>26066353.350879814</v>
      </c>
      <c r="CC50" s="1122">
        <f>SUM(CC37:CC49)</f>
        <v>43233146.624210842</v>
      </c>
      <c r="CD50" s="1122">
        <f>SUM(CD37:CD49)</f>
        <v>99917653.024909347</v>
      </c>
      <c r="CE50" s="1073"/>
      <c r="CI50" s="1122">
        <f>SUM(CI37:CI49)</f>
        <v>169217153</v>
      </c>
      <c r="CJ50" s="1122">
        <f>SUM(CJ37:CJ49)</f>
        <v>26066353.350879814</v>
      </c>
      <c r="CK50" s="1122">
        <f>SUM(CK37:CK49)</f>
        <v>43233146.624210842</v>
      </c>
      <c r="CL50" s="1122">
        <f>SUM(CL37:CL49)</f>
        <v>99917653.024909347</v>
      </c>
      <c r="CM50" s="1073"/>
      <c r="CQ50" s="1122">
        <f>SUM(CQ37:CQ49)</f>
        <v>169217153</v>
      </c>
      <c r="CR50" s="1122">
        <f>SUM(CR37:CR49)</f>
        <v>26066353.350879814</v>
      </c>
      <c r="CS50" s="1122">
        <f>SUM(CS37:CS49)</f>
        <v>43233146.624210842</v>
      </c>
      <c r="CT50" s="1122">
        <f>SUM(CT37:CT49)</f>
        <v>99917653.024909347</v>
      </c>
      <c r="CU50" s="1073"/>
      <c r="CY50" s="1122">
        <f>SUM(CY37:CY49)</f>
        <v>169217153</v>
      </c>
      <c r="CZ50" s="1122">
        <f>SUM(CZ37:CZ49)</f>
        <v>26066353.350879814</v>
      </c>
      <c r="DA50" s="1122">
        <f>SUM(DA37:DA49)</f>
        <v>43233146.624210842</v>
      </c>
      <c r="DB50" s="1122">
        <f>SUM(DB37:DB49)</f>
        <v>99917653.024909347</v>
      </c>
      <c r="DC50" s="1073"/>
      <c r="DG50" s="1122">
        <f>SUM(DG37:DG49)</f>
        <v>169217153</v>
      </c>
      <c r="DH50" s="1122">
        <f>SUM(DH37:DH49)</f>
        <v>26066353.350879814</v>
      </c>
      <c r="DI50" s="1122">
        <f>SUM(DI37:DI49)</f>
        <v>43233146.624210842</v>
      </c>
      <c r="DJ50" s="1122">
        <f>SUM(DJ37:DJ49)</f>
        <v>99917653.024909347</v>
      </c>
      <c r="DK50" s="1073"/>
      <c r="DO50" s="1122">
        <f>SUM(DO37:DO49)</f>
        <v>169217153</v>
      </c>
      <c r="DP50" s="1122">
        <f>SUM(DP37:DP49)</f>
        <v>26066353.350879814</v>
      </c>
      <c r="DQ50" s="1122">
        <f>SUM(DQ37:DQ49)</f>
        <v>43233146.624210842</v>
      </c>
      <c r="DR50" s="1122">
        <f>SUM(DR37:DR49)</f>
        <v>99917653.024909347</v>
      </c>
      <c r="DS50" s="1073"/>
      <c r="DW50" s="1122">
        <f>SUM(DW37:DW49)</f>
        <v>169217153</v>
      </c>
      <c r="DX50" s="1122">
        <f>SUM(DX37:DX49)</f>
        <v>26066353.350879814</v>
      </c>
      <c r="DY50" s="1122">
        <f>SUM(DY37:DY49)</f>
        <v>43233146.624210842</v>
      </c>
      <c r="DZ50" s="1122">
        <f>SUM(DZ37:DZ49)</f>
        <v>99917653.024909347</v>
      </c>
      <c r="EA50" s="1073"/>
      <c r="EE50" s="1122">
        <f>SUM(EE37:EE49)</f>
        <v>169217153</v>
      </c>
      <c r="EF50" s="1122">
        <f>SUM(EF37:EF49)</f>
        <v>26066353.350879814</v>
      </c>
      <c r="EG50" s="1122">
        <f>SUM(EG37:EG49)</f>
        <v>43233146.624210842</v>
      </c>
      <c r="EH50" s="1122">
        <f>SUM(EH37:EH49)</f>
        <v>99917653.024909347</v>
      </c>
      <c r="EI50" s="1073"/>
      <c r="EM50" s="1122">
        <f>SUM(EM37:EM49)</f>
        <v>169217153</v>
      </c>
      <c r="EN50" s="1122">
        <f>SUM(EN37:EN49)</f>
        <v>26066353.350879814</v>
      </c>
      <c r="EO50" s="1122">
        <f>SUM(EO37:EO49)</f>
        <v>43233146.624210842</v>
      </c>
      <c r="EP50" s="1122">
        <f>SUM(EP37:EP49)</f>
        <v>99917653.024909347</v>
      </c>
      <c r="EQ50" s="1073"/>
      <c r="EU50" s="1122">
        <f>SUM(EU37:EU49)</f>
        <v>169217153</v>
      </c>
      <c r="EV50" s="1122">
        <f>SUM(EV37:EV49)</f>
        <v>26066353.350879814</v>
      </c>
      <c r="EW50" s="1122">
        <f>SUM(EW37:EW49)</f>
        <v>43233146.624210842</v>
      </c>
      <c r="EX50" s="1122">
        <f>SUM(EX37:EX49)</f>
        <v>99917653.024909347</v>
      </c>
      <c r="EY50" s="1073"/>
      <c r="FC50" s="1122">
        <f>SUM(FC37:FC49)</f>
        <v>169217153</v>
      </c>
      <c r="FD50" s="1122">
        <f>SUM(FD37:FD49)</f>
        <v>26066353.350879814</v>
      </c>
      <c r="FE50" s="1122">
        <f>SUM(FE37:FE49)</f>
        <v>43233146.624210842</v>
      </c>
      <c r="FF50" s="1122">
        <f>SUM(FF37:FF49)</f>
        <v>99917653.024909347</v>
      </c>
      <c r="FG50" s="1073"/>
      <c r="FK50" s="1122">
        <f>SUM(FK37:FK49)</f>
        <v>169217153</v>
      </c>
      <c r="FL50" s="1122">
        <f>SUM(FL37:FL49)</f>
        <v>26066353.350879814</v>
      </c>
      <c r="FM50" s="1122">
        <f>SUM(FM37:FM49)</f>
        <v>43233146.624210842</v>
      </c>
      <c r="FN50" s="1122">
        <f>SUM(FN37:FN49)</f>
        <v>99917653.024909347</v>
      </c>
      <c r="FO50" s="1073"/>
    </row>
    <row r="51" spans="1:171">
      <c r="A51" s="922"/>
      <c r="B51" s="64"/>
      <c r="C51" s="55"/>
      <c r="D51" s="55"/>
      <c r="E51" s="64"/>
      <c r="F51" s="64"/>
      <c r="G51" s="221"/>
      <c r="H51" s="221"/>
      <c r="I51" s="221"/>
      <c r="J51" s="222"/>
      <c r="K51" s="903"/>
      <c r="O51" s="1079"/>
      <c r="P51" s="1079"/>
      <c r="Q51" s="1079"/>
      <c r="R51" s="1079"/>
      <c r="S51" s="1073"/>
      <c r="W51" s="1079"/>
      <c r="X51" s="1079"/>
      <c r="Y51" s="1079"/>
      <c r="Z51" s="1079"/>
      <c r="AA51" s="1073"/>
      <c r="AE51" s="1079"/>
      <c r="AF51" s="1079"/>
      <c r="AG51" s="1079"/>
      <c r="AH51" s="1079"/>
      <c r="AI51" s="1073"/>
      <c r="AM51" s="1079"/>
      <c r="AN51" s="1079"/>
      <c r="AO51" s="1079"/>
      <c r="AP51" s="1079"/>
      <c r="AQ51" s="1073"/>
      <c r="AU51" s="1079"/>
      <c r="AV51" s="1079"/>
      <c r="AW51" s="1079"/>
      <c r="AX51" s="1079"/>
      <c r="AY51" s="1073"/>
      <c r="BC51" s="1079"/>
      <c r="BD51" s="1079"/>
      <c r="BE51" s="1079"/>
      <c r="BF51" s="1079"/>
      <c r="BG51" s="1073"/>
      <c r="BK51" s="1079"/>
      <c r="BL51" s="1079"/>
      <c r="BM51" s="1079"/>
      <c r="BN51" s="1079"/>
      <c r="BO51" s="1073"/>
      <c r="BS51" s="1079"/>
      <c r="BT51" s="1079"/>
      <c r="BU51" s="1079"/>
      <c r="BV51" s="1079"/>
      <c r="BW51" s="1073"/>
      <c r="CA51" s="1079"/>
      <c r="CB51" s="1079"/>
      <c r="CC51" s="1079"/>
      <c r="CD51" s="1079"/>
      <c r="CE51" s="1073"/>
      <c r="CI51" s="1079"/>
      <c r="CJ51" s="1079"/>
      <c r="CK51" s="1079"/>
      <c r="CL51" s="1079"/>
      <c r="CM51" s="1073"/>
      <c r="CQ51" s="1079"/>
      <c r="CR51" s="1079"/>
      <c r="CS51" s="1079"/>
      <c r="CT51" s="1079"/>
      <c r="CU51" s="1073"/>
      <c r="CY51" s="1079"/>
      <c r="CZ51" s="1079"/>
      <c r="DA51" s="1079"/>
      <c r="DB51" s="1079"/>
      <c r="DC51" s="1073"/>
      <c r="DG51" s="1079"/>
      <c r="DH51" s="1079"/>
      <c r="DI51" s="1079"/>
      <c r="DJ51" s="1079"/>
      <c r="DK51" s="1073"/>
      <c r="DO51" s="1079"/>
      <c r="DP51" s="1079"/>
      <c r="DQ51" s="1079"/>
      <c r="DR51" s="1079"/>
      <c r="DS51" s="1073"/>
      <c r="DW51" s="1079"/>
      <c r="DX51" s="1079"/>
      <c r="DY51" s="1079"/>
      <c r="DZ51" s="1079"/>
      <c r="EA51" s="1073"/>
      <c r="EE51" s="1079"/>
      <c r="EF51" s="1079"/>
      <c r="EG51" s="1079"/>
      <c r="EH51" s="1079"/>
      <c r="EI51" s="1073"/>
      <c r="EM51" s="1079"/>
      <c r="EN51" s="1079"/>
      <c r="EO51" s="1079"/>
      <c r="EP51" s="1079"/>
      <c r="EQ51" s="1073"/>
      <c r="EU51" s="1079"/>
      <c r="EV51" s="1079"/>
      <c r="EW51" s="1079"/>
      <c r="EX51" s="1079"/>
      <c r="EY51" s="1073"/>
      <c r="FC51" s="1079"/>
      <c r="FD51" s="1079"/>
      <c r="FE51" s="1079"/>
      <c r="FF51" s="1079"/>
      <c r="FG51" s="1073"/>
      <c r="FK51" s="1079"/>
      <c r="FL51" s="1079"/>
      <c r="FM51" s="1079"/>
      <c r="FN51" s="1079"/>
      <c r="FO51" s="1073"/>
    </row>
    <row r="52" spans="1:171">
      <c r="A52" s="209" t="s">
        <v>136</v>
      </c>
      <c r="B52" s="64"/>
      <c r="C52" s="914"/>
      <c r="D52" s="915"/>
      <c r="E52" s="915"/>
      <c r="F52" s="916"/>
      <c r="G52" s="923">
        <f>G19+G26+G30+G34+G50</f>
        <v>5352763952</v>
      </c>
      <c r="H52" s="923">
        <f>H19+H26+H30+H34+H50</f>
        <v>1703371011.6169519</v>
      </c>
      <c r="I52" s="923">
        <f>I19+I26+I30+I34+I50</f>
        <v>0</v>
      </c>
      <c r="J52" s="1393">
        <f>J19+J26+J30+J34+J50</f>
        <v>3649392939.8330483</v>
      </c>
      <c r="K52" s="903"/>
      <c r="O52" s="1122">
        <f>O19+O26+O30+O34+O50</f>
        <v>5352763952</v>
      </c>
      <c r="P52" s="1122">
        <f>P19+P26+P30+P34+P50</f>
        <v>1703371011.6169519</v>
      </c>
      <c r="Q52" s="1122">
        <f>Q19+Q26+Q30+Q34+Q50</f>
        <v>1100952176.6242108</v>
      </c>
      <c r="R52" s="1122">
        <f>R19+R26+R30+R34+R50</f>
        <v>2548440763.7588372</v>
      </c>
      <c r="S52" s="1073"/>
      <c r="W52" s="1122">
        <f>W19+W26+W30+W34+W50</f>
        <v>5352763952</v>
      </c>
      <c r="X52" s="1122">
        <f>X19+X26+X30+X34+X50</f>
        <v>1703371011.6169519</v>
      </c>
      <c r="Y52" s="1122">
        <f>Y19+Y26+Y30+Y34+Y50</f>
        <v>1100952176.6242108</v>
      </c>
      <c r="Z52" s="1122">
        <f>Z19+Z26+Z30+Z34+Z50</f>
        <v>2548440763.7588372</v>
      </c>
      <c r="AA52" s="1073"/>
      <c r="AE52" s="1122">
        <f>AE19+AE26+AE30+AE34+AE50</f>
        <v>5352763952</v>
      </c>
      <c r="AF52" s="1122">
        <f>AF19+AF26+AF30+AF34+AF50</f>
        <v>1703371011.6169519</v>
      </c>
      <c r="AG52" s="1122">
        <f>AG19+AG26+AG30+AG34+AG50</f>
        <v>1100952176.6242108</v>
      </c>
      <c r="AH52" s="1122">
        <f>AH19+AH26+AH30+AH34+AH50</f>
        <v>2548440763.7588372</v>
      </c>
      <c r="AI52" s="1073"/>
      <c r="AM52" s="1122">
        <f>AM19+AM26+AM30+AM34+AM50</f>
        <v>5352763952</v>
      </c>
      <c r="AN52" s="1122">
        <f>AN19+AN26+AN30+AN34+AN50</f>
        <v>1703371011.6169519</v>
      </c>
      <c r="AO52" s="1122">
        <f>AO19+AO26+AO30+AO34+AO50</f>
        <v>1100952176.6242108</v>
      </c>
      <c r="AP52" s="1122">
        <f>AP19+AP26+AP30+AP34+AP50</f>
        <v>2548440763.7588372</v>
      </c>
      <c r="AQ52" s="1073"/>
      <c r="AU52" s="1122">
        <f>AU19+AU26+AU30+AU34+AU50</f>
        <v>5352763952</v>
      </c>
      <c r="AV52" s="1122">
        <f>AV19+AV26+AV30+AV34+AV50</f>
        <v>1703371011.6169519</v>
      </c>
      <c r="AW52" s="1122">
        <f>AW19+AW26+AW30+AW34+AW50</f>
        <v>1100952176.6242108</v>
      </c>
      <c r="AX52" s="1122">
        <f>AX19+AX26+AX30+AX34+AX50</f>
        <v>2548440763.7588372</v>
      </c>
      <c r="AY52" s="1073"/>
      <c r="BC52" s="1122">
        <f>BC19+BC26+BC30+BC34+BC50</f>
        <v>5352763952</v>
      </c>
      <c r="BD52" s="1122">
        <f>BD19+BD26+BD30+BD34+BD50</f>
        <v>1703371011.6169519</v>
      </c>
      <c r="BE52" s="1122">
        <f>BE19+BE26+BE30+BE34+BE50</f>
        <v>1100952176.6242108</v>
      </c>
      <c r="BF52" s="1122">
        <f>BF19+BF26+BF30+BF34+BF50</f>
        <v>2548440763.7588372</v>
      </c>
      <c r="BG52" s="1073"/>
      <c r="BK52" s="1122">
        <f>BK19+BK26+BK30+BK34+BK50</f>
        <v>5352763952</v>
      </c>
      <c r="BL52" s="1122">
        <f>BL19+BL26+BL30+BL34+BL50</f>
        <v>1703371011.6169519</v>
      </c>
      <c r="BM52" s="1122">
        <f>BM19+BM26+BM30+BM34+BM50</f>
        <v>1100952176.6242108</v>
      </c>
      <c r="BN52" s="1122">
        <f>BN19+BN26+BN30+BN34+BN50</f>
        <v>2548440763.7588372</v>
      </c>
      <c r="BO52" s="1073"/>
      <c r="BS52" s="1122">
        <f>BS19+BS26+BS30+BS34+BS50</f>
        <v>5352763952</v>
      </c>
      <c r="BT52" s="1122">
        <f>BT19+BT26+BT30+BT34+BT50</f>
        <v>1703371011.6169519</v>
      </c>
      <c r="BU52" s="1122">
        <f>BU19+BU26+BU30+BU34+BU50</f>
        <v>1100952176.6242108</v>
      </c>
      <c r="BV52" s="1122">
        <f>BV19+BV26+BV30+BV34+BV50</f>
        <v>2548440763.7588372</v>
      </c>
      <c r="BW52" s="1073"/>
      <c r="CA52" s="1122">
        <f>CA19+CA26+CA30+CA34+CA50</f>
        <v>5352763952</v>
      </c>
      <c r="CB52" s="1122">
        <f>CB19+CB26+CB30+CB34+CB50</f>
        <v>1703371011.6169519</v>
      </c>
      <c r="CC52" s="1122">
        <f>CC19+CC26+CC30+CC34+CC50</f>
        <v>1100952176.6242108</v>
      </c>
      <c r="CD52" s="1122">
        <f>CD19+CD26+CD30+CD34+CD50</f>
        <v>2548440763.7588372</v>
      </c>
      <c r="CE52" s="1073"/>
      <c r="CI52" s="1122">
        <f>CI19+CI26+CI30+CI34+CI50</f>
        <v>5352763952</v>
      </c>
      <c r="CJ52" s="1122">
        <f>CJ19+CJ26+CJ30+CJ34+CJ50</f>
        <v>1703371011.6169519</v>
      </c>
      <c r="CK52" s="1122">
        <f>CK19+CK26+CK30+CK34+CK50</f>
        <v>1100952176.6242108</v>
      </c>
      <c r="CL52" s="1122">
        <f>CL19+CL26+CL30+CL34+CL50</f>
        <v>2548440763.7588372</v>
      </c>
      <c r="CM52" s="1073"/>
      <c r="CQ52" s="1122">
        <f>CQ19+CQ26+CQ30+CQ34+CQ50</f>
        <v>5352763952</v>
      </c>
      <c r="CR52" s="1122">
        <f>CR19+CR26+CR30+CR34+CR50</f>
        <v>1703371011.6169519</v>
      </c>
      <c r="CS52" s="1122">
        <f>CS19+CS26+CS30+CS34+CS50</f>
        <v>1100952176.6242108</v>
      </c>
      <c r="CT52" s="1122">
        <f>CT19+CT26+CT30+CT34+CT50</f>
        <v>2548440763.7588372</v>
      </c>
      <c r="CU52" s="1073"/>
      <c r="CY52" s="1122">
        <f>CY19+CY26+CY30+CY34+CY50</f>
        <v>5352763952</v>
      </c>
      <c r="CZ52" s="1122">
        <f>CZ19+CZ26+CZ30+CZ34+CZ50</f>
        <v>1703371011.6169519</v>
      </c>
      <c r="DA52" s="1122">
        <f>DA19+DA26+DA30+DA34+DA50</f>
        <v>1100952176.6242108</v>
      </c>
      <c r="DB52" s="1122">
        <f>DB19+DB26+DB30+DB34+DB50</f>
        <v>2548440763.7588372</v>
      </c>
      <c r="DC52" s="1073"/>
      <c r="DG52" s="1122">
        <f>DG19+DG26+DG30+DG34+DG50</f>
        <v>5352763952</v>
      </c>
      <c r="DH52" s="1122">
        <f>DH19+DH26+DH30+DH34+DH50</f>
        <v>1703371011.6169519</v>
      </c>
      <c r="DI52" s="1122">
        <f>DI19+DI26+DI30+DI34+DI50</f>
        <v>1100952176.6242108</v>
      </c>
      <c r="DJ52" s="1122">
        <f>DJ19+DJ26+DJ30+DJ34+DJ50</f>
        <v>2548440763.7588372</v>
      </c>
      <c r="DK52" s="1073"/>
      <c r="DO52" s="1122">
        <f>DO19+DO26+DO30+DO34+DO50</f>
        <v>5352763952</v>
      </c>
      <c r="DP52" s="1122">
        <f>DP19+DP26+DP30+DP34+DP50</f>
        <v>1703371011.6169519</v>
      </c>
      <c r="DQ52" s="1122">
        <f>DQ19+DQ26+DQ30+DQ34+DQ50</f>
        <v>1100952176.6242108</v>
      </c>
      <c r="DR52" s="1122">
        <f>DR19+DR26+DR30+DR34+DR50</f>
        <v>2548440763.7588372</v>
      </c>
      <c r="DS52" s="1073"/>
      <c r="DW52" s="1122">
        <f>DW19+DW26+DW30+DW34+DW50</f>
        <v>5352763952</v>
      </c>
      <c r="DX52" s="1122">
        <f>DX19+DX26+DX30+DX34+DX50</f>
        <v>1703371011.6169519</v>
      </c>
      <c r="DY52" s="1122">
        <f>DY19+DY26+DY30+DY34+DY50</f>
        <v>1100952176.6242108</v>
      </c>
      <c r="DZ52" s="1122">
        <f>DZ19+DZ26+DZ30+DZ34+DZ50</f>
        <v>2548440763.7588372</v>
      </c>
      <c r="EA52" s="1073"/>
      <c r="EE52" s="1122">
        <f>EE19+EE26+EE30+EE34+EE50</f>
        <v>5352763952</v>
      </c>
      <c r="EF52" s="1122">
        <f>EF19+EF26+EF30+EF34+EF50</f>
        <v>1703371011.6169519</v>
      </c>
      <c r="EG52" s="1122">
        <f>EG19+EG26+EG30+EG34+EG50</f>
        <v>1100952176.6242108</v>
      </c>
      <c r="EH52" s="1122">
        <f>EH19+EH26+EH30+EH34+EH50</f>
        <v>2548440763.7588372</v>
      </c>
      <c r="EI52" s="1073"/>
      <c r="EM52" s="1122">
        <f>EM19+EM26+EM30+EM34+EM50</f>
        <v>5352763952</v>
      </c>
      <c r="EN52" s="1122">
        <f>EN19+EN26+EN30+EN34+EN50</f>
        <v>1703371011.6169519</v>
      </c>
      <c r="EO52" s="1122">
        <f>EO19+EO26+EO30+EO34+EO50</f>
        <v>1100952176.6242108</v>
      </c>
      <c r="EP52" s="1122">
        <f>EP19+EP26+EP30+EP34+EP50</f>
        <v>2548440763.7588372</v>
      </c>
      <c r="EQ52" s="1073"/>
      <c r="EU52" s="1122">
        <f>EU19+EU26+EU30+EU34+EU50</f>
        <v>5352763952</v>
      </c>
      <c r="EV52" s="1122">
        <f>EV19+EV26+EV30+EV34+EV50</f>
        <v>1703371011.6169519</v>
      </c>
      <c r="EW52" s="1122">
        <f>EW19+EW26+EW30+EW34+EW50</f>
        <v>1100952176.6242108</v>
      </c>
      <c r="EX52" s="1122">
        <f>EX19+EX26+EX30+EX34+EX50</f>
        <v>2548440763.7588372</v>
      </c>
      <c r="EY52" s="1073"/>
      <c r="FC52" s="1122">
        <f>FC19+FC26+FC30+FC34+FC50</f>
        <v>5352763952</v>
      </c>
      <c r="FD52" s="1122">
        <f>FD19+FD26+FD30+FD34+FD50</f>
        <v>1703371011.6169519</v>
      </c>
      <c r="FE52" s="1122">
        <f>FE19+FE26+FE30+FE34+FE50</f>
        <v>1100952176.6242108</v>
      </c>
      <c r="FF52" s="1122">
        <f>FF19+FF26+FF30+FF34+FF50</f>
        <v>2548440763.7588372</v>
      </c>
      <c r="FG52" s="1073"/>
      <c r="FK52" s="1122">
        <f>FK19+FK26+FK30+FK34+FK50</f>
        <v>5352763952</v>
      </c>
      <c r="FL52" s="1122">
        <f>FL19+FL26+FL30+FL34+FL50</f>
        <v>1703371011.6169519</v>
      </c>
      <c r="FM52" s="1122">
        <f>FM19+FM26+FM30+FM34+FM50</f>
        <v>1100952176.6242108</v>
      </c>
      <c r="FN52" s="1122">
        <f>FN19+FN26+FN30+FN34+FN50</f>
        <v>2548440763.7588372</v>
      </c>
      <c r="FO52" s="1073"/>
    </row>
    <row r="53" spans="1:171">
      <c r="A53" s="213" t="s">
        <v>444</v>
      </c>
      <c r="B53" s="64"/>
      <c r="C53" s="55"/>
      <c r="D53" s="55"/>
      <c r="E53" s="64"/>
      <c r="F53" s="64"/>
      <c r="G53" s="221"/>
      <c r="H53" s="221"/>
      <c r="I53" s="221"/>
      <c r="J53" s="222"/>
      <c r="K53" s="903"/>
      <c r="S53" s="1118"/>
      <c r="AA53" s="1118"/>
      <c r="AI53" s="1118"/>
      <c r="AQ53" s="1118"/>
      <c r="AY53" s="1118"/>
      <c r="BG53" s="1118"/>
      <c r="BO53" s="1118"/>
      <c r="BW53" s="1118"/>
      <c r="CE53" s="1118"/>
      <c r="CM53" s="1118"/>
      <c r="CU53" s="1118"/>
      <c r="DC53" s="1118"/>
      <c r="DK53" s="1118"/>
      <c r="DS53" s="1118"/>
      <c r="EA53" s="1118"/>
      <c r="EI53" s="1118"/>
      <c r="EQ53" s="1118"/>
      <c r="EY53" s="1118"/>
      <c r="FG53" s="1118"/>
      <c r="FO53" s="1118"/>
    </row>
    <row r="54" spans="1:171">
      <c r="A54" s="199"/>
      <c r="B54" s="220"/>
      <c r="C54" s="55"/>
      <c r="D54" s="55"/>
      <c r="E54" s="55"/>
      <c r="F54" s="55"/>
      <c r="G54" s="221"/>
      <c r="H54" s="221"/>
      <c r="I54" s="221"/>
      <c r="J54" s="222"/>
      <c r="K54" s="903"/>
      <c r="S54" s="1118"/>
      <c r="AA54" s="1118"/>
      <c r="AI54" s="1118"/>
      <c r="AQ54" s="1118"/>
      <c r="AY54" s="1118"/>
      <c r="BG54" s="1118"/>
      <c r="BO54" s="1118"/>
      <c r="BW54" s="1118"/>
      <c r="CE54" s="1118"/>
      <c r="CM54" s="1118"/>
      <c r="CU54" s="1118"/>
      <c r="DC54" s="1118"/>
      <c r="DK54" s="1118"/>
      <c r="DS54" s="1118"/>
      <c r="EA54" s="1118"/>
      <c r="EI54" s="1118"/>
      <c r="EQ54" s="1118"/>
      <c r="EY54" s="1118"/>
      <c r="FG54" s="1118"/>
      <c r="FO54" s="1118"/>
    </row>
    <row r="55" spans="1:171">
      <c r="A55" s="199" t="s">
        <v>478</v>
      </c>
      <c r="B55" s="220"/>
      <c r="C55" s="55"/>
      <c r="D55" s="55"/>
      <c r="E55" s="55"/>
      <c r="F55" s="55"/>
      <c r="G55" s="910"/>
      <c r="H55" s="910"/>
      <c r="I55" s="910"/>
      <c r="J55" s="911"/>
      <c r="K55" s="903"/>
      <c r="S55" s="1118"/>
      <c r="AA55" s="1118"/>
      <c r="AI55" s="1118"/>
      <c r="AQ55" s="1118"/>
      <c r="AY55" s="1118"/>
      <c r="BG55" s="1118"/>
      <c r="BO55" s="1118"/>
      <c r="BW55" s="1118"/>
      <c r="CE55" s="1118"/>
      <c r="CM55" s="1118"/>
      <c r="CU55" s="1118"/>
      <c r="DC55" s="1118"/>
      <c r="DK55" s="1118"/>
      <c r="DS55" s="1118"/>
      <c r="EA55" s="1118"/>
      <c r="EI55" s="1118"/>
      <c r="EQ55" s="1118"/>
      <c r="EY55" s="1118"/>
      <c r="FG55" s="1118"/>
      <c r="FO55" s="1118"/>
    </row>
    <row r="56" spans="1:171">
      <c r="A56" s="199" t="s">
        <v>624</v>
      </c>
      <c r="B56" s="220"/>
      <c r="C56" s="55"/>
      <c r="D56" s="55"/>
      <c r="E56" s="55"/>
      <c r="F56" s="55"/>
      <c r="G56" s="910"/>
      <c r="H56" s="910"/>
      <c r="I56" s="910"/>
      <c r="J56" s="911"/>
      <c r="K56" s="903"/>
      <c r="S56" s="1118"/>
      <c r="AA56" s="1118"/>
      <c r="AI56" s="1118"/>
      <c r="AQ56" s="1118"/>
      <c r="AY56" s="1118"/>
      <c r="BG56" s="1118"/>
      <c r="BO56" s="1118"/>
      <c r="BW56" s="1118"/>
      <c r="CE56" s="1118"/>
      <c r="CM56" s="1118"/>
      <c r="CU56" s="1118"/>
      <c r="DC56" s="1118"/>
      <c r="DK56" s="1118"/>
      <c r="DS56" s="1118"/>
      <c r="EA56" s="1118"/>
      <c r="EI56" s="1118"/>
      <c r="EQ56" s="1118"/>
      <c r="EY56" s="1118"/>
      <c r="FG56" s="1118"/>
      <c r="FO56" s="1118"/>
    </row>
    <row r="57" spans="1:171">
      <c r="A57" s="912"/>
      <c r="B57" s="913" t="s">
        <v>88</v>
      </c>
      <c r="C57" s="888">
        <v>219</v>
      </c>
      <c r="D57" s="888">
        <v>108</v>
      </c>
      <c r="E57" s="182" t="str">
        <f>'Sch 1- Rate Base '!E57</f>
        <v>PROD</v>
      </c>
      <c r="F57" s="889"/>
      <c r="G57" s="182">
        <f>'Sch 1- Rate Base '!G57</f>
        <v>394650809</v>
      </c>
      <c r="H57" s="182">
        <f>'Sch 1- Rate Base '!H57</f>
        <v>394650809</v>
      </c>
      <c r="I57" s="182">
        <f>'Sch 1- Rate Base '!I57</f>
        <v>0</v>
      </c>
      <c r="J57" s="183">
        <f>'Sch 1- Rate Base '!J57</f>
        <v>0</v>
      </c>
      <c r="K57" s="903">
        <f t="shared" ref="K57:K75" si="82">IF($E57="DIRECT",0,1)</f>
        <v>1</v>
      </c>
      <c r="O57" s="1116">
        <f t="shared" ref="O57:O73" si="83">$G57</f>
        <v>394650809</v>
      </c>
      <c r="P57" s="1117">
        <f t="shared" ref="P57:P73" si="84">VLOOKUP($E57,O$442:R$453,2,FALSE)*O57*($K57)+IF($G57&gt;0,($H57/$G57)*O57,0)*(1-$K57)</f>
        <v>394650809</v>
      </c>
      <c r="Q57" s="1117">
        <f t="shared" ref="Q57:Q73" si="85">VLOOKUP($E57,O$442:R$453,3,FALSE)*O57*($K57)+IF($G57&gt;0,($I57/$G57)*O57,0)*(1-$K57)</f>
        <v>0</v>
      </c>
      <c r="R57" s="1117">
        <f t="shared" ref="R57:R73" si="86">VLOOKUP($E57,O$442:R$453,4,FALSE)*O57*($K57)+(O57-P57-Q57)*(1-$K57)</f>
        <v>0</v>
      </c>
      <c r="S57" s="1118"/>
      <c r="W57" s="1116">
        <f t="shared" ref="W57:W73" si="87">$G57</f>
        <v>394650809</v>
      </c>
      <c r="X57" s="1117">
        <f t="shared" ref="X57:X73" si="88">VLOOKUP($E57,W$442:Z$453,2,FALSE)*W57*($K57)+IF($G57&gt;0,($H57/$G57)*W57,0)*(1-$K57)</f>
        <v>394650809</v>
      </c>
      <c r="Y57" s="1117">
        <f t="shared" ref="Y57:Y73" si="89">VLOOKUP($E57,W$442:Z$453,3,FALSE)*W57*($K57)+IF($G57&gt;0,($I57/$G57)*W57,0)*(1-$K57)</f>
        <v>0</v>
      </c>
      <c r="Z57" s="1117">
        <f t="shared" ref="Z57:Z73" si="90">VLOOKUP($E57,W$442:Z$453,4,FALSE)*W57*($K57)+(W57-X57-Y57)*(1-$K57)</f>
        <v>0</v>
      </c>
      <c r="AA57" s="1118"/>
      <c r="AE57" s="1116">
        <f t="shared" ref="AE57:AE73" si="91">$G57</f>
        <v>394650809</v>
      </c>
      <c r="AF57" s="1117">
        <f t="shared" ref="AF57:AF73" si="92">VLOOKUP($E57,AE$442:AH$453,2,FALSE)*AE57*($K57)+IF($G57&gt;0,($H57/$G57)*AE57,0)*(1-$K57)</f>
        <v>394650809</v>
      </c>
      <c r="AG57" s="1117">
        <f t="shared" ref="AG57:AG73" si="93">VLOOKUP($E57,AE$442:AH$453,3,FALSE)*AE57*($K57)+IF($G57&gt;0,($I57/$G57)*AE57,0)*(1-$K57)</f>
        <v>0</v>
      </c>
      <c r="AH57" s="1117">
        <f t="shared" ref="AH57:AH73" si="94">VLOOKUP($E57,AE$442:AH$453,4,FALSE)*AE57*($K57)+(AE57-AF57-AG57)*(1-$K57)</f>
        <v>0</v>
      </c>
      <c r="AI57" s="1118"/>
      <c r="AM57" s="1116">
        <f t="shared" ref="AM57:AM73" si="95">$G57</f>
        <v>394650809</v>
      </c>
      <c r="AN57" s="1117">
        <f t="shared" ref="AN57:AN73" si="96">VLOOKUP($E57,AM$442:AP$453,2,FALSE)*AM57*($K57)+IF($G57&gt;0,($H57/$G57)*AM57,0)*(1-$K57)</f>
        <v>394650809</v>
      </c>
      <c r="AO57" s="1117">
        <f t="shared" ref="AO57:AO73" si="97">VLOOKUP($E57,AM$442:AP$453,3,FALSE)*AM57*($K57)+IF($G57&gt;0,($I57/$G57)*AM57,0)*(1-$K57)</f>
        <v>0</v>
      </c>
      <c r="AP57" s="1117">
        <f t="shared" ref="AP57:AP73" si="98">VLOOKUP($E57,AM$442:AP$453,4,FALSE)*AM57*($K57)+(AM57-AN57-AO57)*(1-$K57)</f>
        <v>0</v>
      </c>
      <c r="AQ57" s="1118"/>
      <c r="AU57" s="1116">
        <f t="shared" ref="AU57:AU73" si="99">$G57</f>
        <v>394650809</v>
      </c>
      <c r="AV57" s="1117">
        <f t="shared" ref="AV57:AV73" si="100">VLOOKUP($E57,AU$442:AX$453,2,FALSE)*AU57*($K57)+IF($G57&gt;0,($H57/$G57)*AU57,0)*(1-$K57)</f>
        <v>394650809</v>
      </c>
      <c r="AW57" s="1117">
        <f t="shared" ref="AW57:AW73" si="101">VLOOKUP($E57,AU$442:AX$453,3,FALSE)*AU57*($K57)+IF($G57&gt;0,($I57/$G57)*AU57,0)*(1-$K57)</f>
        <v>0</v>
      </c>
      <c r="AX57" s="1117">
        <f t="shared" ref="AX57:AX73" si="102">VLOOKUP($E57,AU$442:AX$453,4,FALSE)*AU57*($K57)+(AU57-AV57-AW57)*(1-$K57)</f>
        <v>0</v>
      </c>
      <c r="AY57" s="1118"/>
      <c r="BC57" s="1116">
        <f t="shared" ref="BC57:BC73" si="103">$G57</f>
        <v>394650809</v>
      </c>
      <c r="BD57" s="1117">
        <f t="shared" ref="BD57:BD73" si="104">VLOOKUP($E57,BC$442:BF$453,2,FALSE)*BC57*($K57)+IF($G57&gt;0,($H57/$G57)*BC57,0)*(1-$K57)</f>
        <v>394650809</v>
      </c>
      <c r="BE57" s="1117">
        <f t="shared" ref="BE57:BE73" si="105">VLOOKUP($E57,BC$442:BF$453,3,FALSE)*BC57*($K57)+IF($G57&gt;0,($I57/$G57)*BC57,0)*(1-$K57)</f>
        <v>0</v>
      </c>
      <c r="BF57" s="1117">
        <f t="shared" ref="BF57:BF73" si="106">VLOOKUP($E57,BC$442:BF$453,4,FALSE)*BC57*($K57)+(BC57-BD57-BE57)*(1-$K57)</f>
        <v>0</v>
      </c>
      <c r="BG57" s="1118"/>
      <c r="BK57" s="1116">
        <f t="shared" ref="BK57:BK73" si="107">$G57</f>
        <v>394650809</v>
      </c>
      <c r="BL57" s="1117">
        <f t="shared" ref="BL57:BL73" si="108">VLOOKUP($E57,BK$442:BN$453,2,FALSE)*BK57*($K57)+IF($G57&gt;0,($H57/$G57)*BK57,0)*(1-$K57)</f>
        <v>394650809</v>
      </c>
      <c r="BM57" s="1117">
        <f t="shared" ref="BM57:BM73" si="109">VLOOKUP($E57,BK$442:BN$453,3,FALSE)*BK57*($K57)+IF($G57&gt;0,($I57/$G57)*BK57,0)*(1-$K57)</f>
        <v>0</v>
      </c>
      <c r="BN57" s="1117">
        <f t="shared" ref="BN57:BN73" si="110">VLOOKUP($E57,BK$442:BN$453,4,FALSE)*BK57*($K57)+(BK57-BL57-BM57)*(1-$K57)</f>
        <v>0</v>
      </c>
      <c r="BO57" s="1118"/>
      <c r="BS57" s="1116">
        <f t="shared" ref="BS57:BS73" si="111">$G57</f>
        <v>394650809</v>
      </c>
      <c r="BT57" s="1117">
        <f t="shared" ref="BT57:BT73" si="112">VLOOKUP($E57,BS$442:BV$453,2,FALSE)*BS57*($K57)+IF($G57&gt;0,($H57/$G57)*BS57,0)*(1-$K57)</f>
        <v>394650809</v>
      </c>
      <c r="BU57" s="1117">
        <f t="shared" ref="BU57:BU73" si="113">VLOOKUP($E57,BS$442:BV$453,3,FALSE)*BS57*($K57)+IF($G57&gt;0,($I57/$G57)*BS57,0)*(1-$K57)</f>
        <v>0</v>
      </c>
      <c r="BV57" s="1117">
        <f t="shared" ref="BV57:BV73" si="114">VLOOKUP($E57,BS$442:BV$453,4,FALSE)*BS57*($K57)+(BS57-BT57-BU57)*(1-$K57)</f>
        <v>0</v>
      </c>
      <c r="BW57" s="1118"/>
      <c r="CA57" s="1116">
        <f t="shared" ref="CA57:CA73" si="115">$G57</f>
        <v>394650809</v>
      </c>
      <c r="CB57" s="1117">
        <f t="shared" ref="CB57:CB73" si="116">VLOOKUP($E57,CA$442:CD$453,2,FALSE)*CA57*($K57)+IF($G57&gt;0,($H57/$G57)*CA57,0)*(1-$K57)</f>
        <v>394650809</v>
      </c>
      <c r="CC57" s="1117">
        <f t="shared" ref="CC57:CC73" si="117">VLOOKUP($E57,CA$442:CD$453,3,FALSE)*CA57*($K57)+IF($G57&gt;0,($I57/$G57)*CA57,0)*(1-$K57)</f>
        <v>0</v>
      </c>
      <c r="CD57" s="1117">
        <f t="shared" ref="CD57:CD73" si="118">VLOOKUP($E57,CA$442:CD$453,4,FALSE)*CA57*($K57)+(CA57-CB57-CC57)*(1-$K57)</f>
        <v>0</v>
      </c>
      <c r="CE57" s="1118"/>
      <c r="CI57" s="1116">
        <f t="shared" ref="CI57:CI73" si="119">$G57</f>
        <v>394650809</v>
      </c>
      <c r="CJ57" s="1117">
        <f t="shared" ref="CJ57:CJ73" si="120">VLOOKUP($E57,CI$442:CL$453,2,FALSE)*CI57*($K57)+IF($G57&gt;0,($H57/$G57)*CI57,0)*(1-$K57)</f>
        <v>394650809</v>
      </c>
      <c r="CK57" s="1117">
        <f t="shared" ref="CK57:CK73" si="121">VLOOKUP($E57,CI$442:CL$453,3,FALSE)*CI57*($K57)+IF($G57&gt;0,($I57/$G57)*CI57,0)*(1-$K57)</f>
        <v>0</v>
      </c>
      <c r="CL57" s="1117">
        <f t="shared" ref="CL57:CL73" si="122">VLOOKUP($E57,CI$442:CL$453,4,FALSE)*CI57*($K57)+(CI57-CJ57-CK57)*(1-$K57)</f>
        <v>0</v>
      </c>
      <c r="CM57" s="1118"/>
      <c r="CQ57" s="1116">
        <f t="shared" ref="CQ57:CQ73" si="123">$G57</f>
        <v>394650809</v>
      </c>
      <c r="CR57" s="1117">
        <f t="shared" ref="CR57:CR73" si="124">VLOOKUP($E57,CQ$442:CT$453,2,FALSE)*CQ57*($K57)+IF($G57&gt;0,($H57/$G57)*CQ57,0)*(1-$K57)</f>
        <v>394650809</v>
      </c>
      <c r="CS57" s="1117">
        <f t="shared" ref="CS57:CS73" si="125">VLOOKUP($E57,CQ$442:CT$453,3,FALSE)*CQ57*($K57)+IF($G57&gt;0,($I57/$G57)*CQ57,0)*(1-$K57)</f>
        <v>0</v>
      </c>
      <c r="CT57" s="1117">
        <f t="shared" ref="CT57:CT73" si="126">VLOOKUP($E57,CQ$442:CT$453,4,FALSE)*CQ57*($K57)+(CQ57-CR57-CS57)*(1-$K57)</f>
        <v>0</v>
      </c>
      <c r="CU57" s="1118"/>
      <c r="CY57" s="1116">
        <f t="shared" ref="CY57:CY73" si="127">$G57</f>
        <v>394650809</v>
      </c>
      <c r="CZ57" s="1117">
        <f t="shared" ref="CZ57:CZ73" si="128">VLOOKUP($E57,CY$442:DB$453,2,FALSE)*CY57*($K57)+IF($G57&gt;0,($H57/$G57)*CY57,0)*(1-$K57)</f>
        <v>394650809</v>
      </c>
      <c r="DA57" s="1117">
        <f t="shared" ref="DA57:DA73" si="129">VLOOKUP($E57,CY$442:DB$453,3,FALSE)*CY57*($K57)+IF($G57&gt;0,($I57/$G57)*CY57,0)*(1-$K57)</f>
        <v>0</v>
      </c>
      <c r="DB57" s="1117">
        <f t="shared" ref="DB57:DB73" si="130">VLOOKUP($E57,CY$442:DB$453,4,FALSE)*CY57*($K57)+(CY57-CZ57-DA57)*(1-$K57)</f>
        <v>0</v>
      </c>
      <c r="DC57" s="1118"/>
      <c r="DG57" s="1116">
        <f t="shared" ref="DG57:DG73" si="131">$G57</f>
        <v>394650809</v>
      </c>
      <c r="DH57" s="1117">
        <f t="shared" ref="DH57:DH73" si="132">VLOOKUP($E57,DG$442:DJ$453,2,FALSE)*DG57*($K57)+IF($G57&gt;0,($H57/$G57)*DG57,0)*(1-$K57)</f>
        <v>394650809</v>
      </c>
      <c r="DI57" s="1117">
        <f t="shared" ref="DI57:DI73" si="133">VLOOKUP($E57,DG$442:DJ$453,3,FALSE)*DG57*($K57)+IF($G57&gt;0,($I57/$G57)*DG57,0)*(1-$K57)</f>
        <v>0</v>
      </c>
      <c r="DJ57" s="1117">
        <f t="shared" ref="DJ57:DJ73" si="134">VLOOKUP($E57,DG$442:DJ$453,4,FALSE)*DG57*($K57)+(DG57-DH57-DI57)*(1-$K57)</f>
        <v>0</v>
      </c>
      <c r="DK57" s="1118"/>
      <c r="DO57" s="1116">
        <f t="shared" ref="DO57:DO73" si="135">$G57</f>
        <v>394650809</v>
      </c>
      <c r="DP57" s="1117">
        <f t="shared" ref="DP57:DP73" si="136">VLOOKUP($E57,DO$442:DR$453,2,FALSE)*DO57*($K57)+IF($G57&gt;0,($H57/$G57)*DO57,0)*(1-$K57)</f>
        <v>394650809</v>
      </c>
      <c r="DQ57" s="1117">
        <f t="shared" ref="DQ57:DQ73" si="137">VLOOKUP($E57,DO$442:DR$453,3,FALSE)*DO57*($K57)+IF($G57&gt;0,($I57/$G57)*DO57,0)*(1-$K57)</f>
        <v>0</v>
      </c>
      <c r="DR57" s="1117">
        <f t="shared" ref="DR57:DR73" si="138">VLOOKUP($E57,DO$442:DR$453,4,FALSE)*DO57*($K57)+(DO57-DP57-DQ57)*(1-$K57)</f>
        <v>0</v>
      </c>
      <c r="DS57" s="1118"/>
      <c r="DW57" s="1116">
        <f t="shared" ref="DW57:DW73" si="139">$G57</f>
        <v>394650809</v>
      </c>
      <c r="DX57" s="1117">
        <f t="shared" ref="DX57:DX73" si="140">VLOOKUP($E57,DW$442:DZ$453,2,FALSE)*DW57*($K57)+IF($G57&gt;0,($H57/$G57)*DW57,0)*(1-$K57)</f>
        <v>394650809</v>
      </c>
      <c r="DY57" s="1117">
        <f t="shared" ref="DY57:DY73" si="141">VLOOKUP($E57,DW$442:DZ$453,3,FALSE)*DW57*($K57)+IF($G57&gt;0,($I57/$G57)*DW57,0)*(1-$K57)</f>
        <v>0</v>
      </c>
      <c r="DZ57" s="1117">
        <f t="shared" ref="DZ57:DZ73" si="142">VLOOKUP($E57,DW$442:DZ$453,4,FALSE)*DW57*($K57)+(DW57-DX57-DY57)*(1-$K57)</f>
        <v>0</v>
      </c>
      <c r="EA57" s="1118"/>
      <c r="EE57" s="1116">
        <f t="shared" ref="EE57:EE73" si="143">$G57</f>
        <v>394650809</v>
      </c>
      <c r="EF57" s="1117">
        <f t="shared" ref="EF57:EF73" si="144">VLOOKUP($E57,EE$442:EH$453,2,FALSE)*EE57*($K57)+IF($G57&gt;0,($H57/$G57)*EE57,0)*(1-$K57)</f>
        <v>394650809</v>
      </c>
      <c r="EG57" s="1117">
        <f t="shared" ref="EG57:EG73" si="145">VLOOKUP($E57,EE$442:EH$453,3,FALSE)*EE57*($K57)+IF($G57&gt;0,($I57/$G57)*EE57,0)*(1-$K57)</f>
        <v>0</v>
      </c>
      <c r="EH57" s="1117">
        <f t="shared" ref="EH57:EH73" si="146">VLOOKUP($E57,EE$442:EH$453,4,FALSE)*EE57*($K57)+(EE57-EF57-EG57)*(1-$K57)</f>
        <v>0</v>
      </c>
      <c r="EI57" s="1118"/>
      <c r="EM57" s="1116">
        <f t="shared" ref="EM57:EM73" si="147">$G57</f>
        <v>394650809</v>
      </c>
      <c r="EN57" s="1117">
        <f t="shared" ref="EN57:EN73" si="148">VLOOKUP($E57,EM$442:EP$453,2,FALSE)*EM57*($K57)+IF($G57&gt;0,($H57/$G57)*EM57,0)*(1-$K57)</f>
        <v>394650809</v>
      </c>
      <c r="EO57" s="1117">
        <f t="shared" ref="EO57:EO73" si="149">VLOOKUP($E57,EM$442:EP$453,3,FALSE)*EM57*($K57)+IF($G57&gt;0,($I57/$G57)*EM57,0)*(1-$K57)</f>
        <v>0</v>
      </c>
      <c r="EP57" s="1117">
        <f t="shared" ref="EP57:EP73" si="150">VLOOKUP($E57,EM$442:EP$453,4,FALSE)*EM57*($K57)+(EM57-EN57-EO57)*(1-$K57)</f>
        <v>0</v>
      </c>
      <c r="EQ57" s="1118"/>
      <c r="EU57" s="1116">
        <f t="shared" ref="EU57:EU73" si="151">$G57</f>
        <v>394650809</v>
      </c>
      <c r="EV57" s="1117">
        <f t="shared" ref="EV57:EV73" si="152">VLOOKUP($E57,EU$442:EX$453,2,FALSE)*EU57*($K57)+IF($G57&gt;0,($H57/$G57)*EU57,0)*(1-$K57)</f>
        <v>394650809</v>
      </c>
      <c r="EW57" s="1117">
        <f t="shared" ref="EW57:EW73" si="153">VLOOKUP($E57,EU$442:EX$453,3,FALSE)*EU57*($K57)+IF($G57&gt;0,($I57/$G57)*EU57,0)*(1-$K57)</f>
        <v>0</v>
      </c>
      <c r="EX57" s="1117">
        <f t="shared" ref="EX57:EX73" si="154">VLOOKUP($E57,EU$442:EX$453,4,FALSE)*EU57*($K57)+(EU57-EV57-EW57)*(1-$K57)</f>
        <v>0</v>
      </c>
      <c r="EY57" s="1118"/>
      <c r="FC57" s="1116">
        <f t="shared" ref="FC57:FC73" si="155">$G57</f>
        <v>394650809</v>
      </c>
      <c r="FD57" s="1117">
        <f t="shared" ref="FD57:FD73" si="156">VLOOKUP($E57,FC$442:FF$453,2,FALSE)*FC57*($K57)+IF($G57&gt;0,($H57/$G57)*FC57,0)*(1-$K57)</f>
        <v>394650809</v>
      </c>
      <c r="FE57" s="1117">
        <f t="shared" ref="FE57:FE73" si="157">VLOOKUP($E57,FC$442:FF$453,3,FALSE)*FC57*($K57)+IF($G57&gt;0,($I57/$G57)*FC57,0)*(1-$K57)</f>
        <v>0</v>
      </c>
      <c r="FF57" s="1117">
        <f t="shared" ref="FF57:FF73" si="158">VLOOKUP($E57,FC$442:FF$453,4,FALSE)*FC57*($K57)+(FC57-FD57-FE57)*(1-$K57)</f>
        <v>0</v>
      </c>
      <c r="FG57" s="1118"/>
      <c r="FK57" s="1116">
        <f t="shared" ref="FK57:FK73" si="159">$G57</f>
        <v>394650809</v>
      </c>
      <c r="FL57" s="1117">
        <f t="shared" ref="FL57:FL73" si="160">VLOOKUP($E57,FK$442:FN$453,2,FALSE)*FK57*($K57)+IF($G57&gt;0,($H57/$G57)*FK57,0)*(1-$K57)</f>
        <v>394650809</v>
      </c>
      <c r="FM57" s="1117">
        <f t="shared" ref="FM57:FM73" si="161">VLOOKUP($E57,FK$442:FN$453,3,FALSE)*FK57*($K57)+IF($G57&gt;0,($I57/$G57)*FK57,0)*(1-$K57)</f>
        <v>0</v>
      </c>
      <c r="FN57" s="1117">
        <f t="shared" ref="FN57:FN73" si="162">VLOOKUP($E57,FK$442:FN$453,4,FALSE)*FK57*($K57)+(FK57-FL57-FM57)*(1-$K57)</f>
        <v>0</v>
      </c>
      <c r="FO57" s="1118"/>
    </row>
    <row r="58" spans="1:171">
      <c r="A58" s="912"/>
      <c r="B58" s="913" t="s">
        <v>89</v>
      </c>
      <c r="C58" s="888">
        <v>219</v>
      </c>
      <c r="D58" s="888">
        <v>108</v>
      </c>
      <c r="E58" s="182" t="str">
        <f>'Sch 1- Rate Base '!E58</f>
        <v>PROD</v>
      </c>
      <c r="F58" s="889"/>
      <c r="G58" s="182">
        <f>'Sch 1- Rate Base '!G58</f>
        <v>0</v>
      </c>
      <c r="H58" s="182">
        <f>'Sch 1- Rate Base '!H58</f>
        <v>0</v>
      </c>
      <c r="I58" s="182">
        <f>'Sch 1- Rate Base '!I58</f>
        <v>0</v>
      </c>
      <c r="J58" s="183">
        <f>'Sch 1- Rate Base '!J58</f>
        <v>0</v>
      </c>
      <c r="K58" s="903">
        <f t="shared" si="82"/>
        <v>1</v>
      </c>
      <c r="O58" s="1116">
        <f t="shared" si="83"/>
        <v>0</v>
      </c>
      <c r="P58" s="1117">
        <f t="shared" si="84"/>
        <v>0</v>
      </c>
      <c r="Q58" s="1117">
        <f t="shared" si="85"/>
        <v>0</v>
      </c>
      <c r="R58" s="1117">
        <f t="shared" si="86"/>
        <v>0</v>
      </c>
      <c r="S58" s="1118"/>
      <c r="W58" s="1116">
        <f t="shared" si="87"/>
        <v>0</v>
      </c>
      <c r="X58" s="1117">
        <f t="shared" si="88"/>
        <v>0</v>
      </c>
      <c r="Y58" s="1117">
        <f t="shared" si="89"/>
        <v>0</v>
      </c>
      <c r="Z58" s="1117">
        <f t="shared" si="90"/>
        <v>0</v>
      </c>
      <c r="AA58" s="1118"/>
      <c r="AE58" s="1116">
        <f t="shared" si="91"/>
        <v>0</v>
      </c>
      <c r="AF58" s="1117">
        <f t="shared" si="92"/>
        <v>0</v>
      </c>
      <c r="AG58" s="1117">
        <f t="shared" si="93"/>
        <v>0</v>
      </c>
      <c r="AH58" s="1117">
        <f t="shared" si="94"/>
        <v>0</v>
      </c>
      <c r="AI58" s="1118"/>
      <c r="AM58" s="1116">
        <f t="shared" si="95"/>
        <v>0</v>
      </c>
      <c r="AN58" s="1117">
        <f t="shared" si="96"/>
        <v>0</v>
      </c>
      <c r="AO58" s="1117">
        <f t="shared" si="97"/>
        <v>0</v>
      </c>
      <c r="AP58" s="1117">
        <f t="shared" si="98"/>
        <v>0</v>
      </c>
      <c r="AQ58" s="1118"/>
      <c r="AU58" s="1116">
        <f t="shared" si="99"/>
        <v>0</v>
      </c>
      <c r="AV58" s="1117">
        <f t="shared" si="100"/>
        <v>0</v>
      </c>
      <c r="AW58" s="1117">
        <f t="shared" si="101"/>
        <v>0</v>
      </c>
      <c r="AX58" s="1117">
        <f t="shared" si="102"/>
        <v>0</v>
      </c>
      <c r="AY58" s="1118"/>
      <c r="BC58" s="1116">
        <f t="shared" si="103"/>
        <v>0</v>
      </c>
      <c r="BD58" s="1117">
        <f t="shared" si="104"/>
        <v>0</v>
      </c>
      <c r="BE58" s="1117">
        <f t="shared" si="105"/>
        <v>0</v>
      </c>
      <c r="BF58" s="1117">
        <f t="shared" si="106"/>
        <v>0</v>
      </c>
      <c r="BG58" s="1118"/>
      <c r="BK58" s="1116">
        <f t="shared" si="107"/>
        <v>0</v>
      </c>
      <c r="BL58" s="1117">
        <f t="shared" si="108"/>
        <v>0</v>
      </c>
      <c r="BM58" s="1117">
        <f t="shared" si="109"/>
        <v>0</v>
      </c>
      <c r="BN58" s="1117">
        <f t="shared" si="110"/>
        <v>0</v>
      </c>
      <c r="BO58" s="1118"/>
      <c r="BS58" s="1116">
        <f t="shared" si="111"/>
        <v>0</v>
      </c>
      <c r="BT58" s="1117">
        <f t="shared" si="112"/>
        <v>0</v>
      </c>
      <c r="BU58" s="1117">
        <f t="shared" si="113"/>
        <v>0</v>
      </c>
      <c r="BV58" s="1117">
        <f t="shared" si="114"/>
        <v>0</v>
      </c>
      <c r="BW58" s="1118"/>
      <c r="CA58" s="1116">
        <f t="shared" si="115"/>
        <v>0</v>
      </c>
      <c r="CB58" s="1117">
        <f t="shared" si="116"/>
        <v>0</v>
      </c>
      <c r="CC58" s="1117">
        <f t="shared" si="117"/>
        <v>0</v>
      </c>
      <c r="CD58" s="1117">
        <f t="shared" si="118"/>
        <v>0</v>
      </c>
      <c r="CE58" s="1118"/>
      <c r="CI58" s="1116">
        <f t="shared" si="119"/>
        <v>0</v>
      </c>
      <c r="CJ58" s="1117">
        <f t="shared" si="120"/>
        <v>0</v>
      </c>
      <c r="CK58" s="1117">
        <f t="shared" si="121"/>
        <v>0</v>
      </c>
      <c r="CL58" s="1117">
        <f t="shared" si="122"/>
        <v>0</v>
      </c>
      <c r="CM58" s="1118"/>
      <c r="CQ58" s="1116">
        <f t="shared" si="123"/>
        <v>0</v>
      </c>
      <c r="CR58" s="1117">
        <f t="shared" si="124"/>
        <v>0</v>
      </c>
      <c r="CS58" s="1117">
        <f t="shared" si="125"/>
        <v>0</v>
      </c>
      <c r="CT58" s="1117">
        <f t="shared" si="126"/>
        <v>0</v>
      </c>
      <c r="CU58" s="1118"/>
      <c r="CY58" s="1116">
        <f t="shared" si="127"/>
        <v>0</v>
      </c>
      <c r="CZ58" s="1117">
        <f t="shared" si="128"/>
        <v>0</v>
      </c>
      <c r="DA58" s="1117">
        <f t="shared" si="129"/>
        <v>0</v>
      </c>
      <c r="DB58" s="1117">
        <f t="shared" si="130"/>
        <v>0</v>
      </c>
      <c r="DC58" s="1118"/>
      <c r="DG58" s="1116">
        <f t="shared" si="131"/>
        <v>0</v>
      </c>
      <c r="DH58" s="1117">
        <f t="shared" si="132"/>
        <v>0</v>
      </c>
      <c r="DI58" s="1117">
        <f t="shared" si="133"/>
        <v>0</v>
      </c>
      <c r="DJ58" s="1117">
        <f t="shared" si="134"/>
        <v>0</v>
      </c>
      <c r="DK58" s="1118"/>
      <c r="DO58" s="1116">
        <f t="shared" si="135"/>
        <v>0</v>
      </c>
      <c r="DP58" s="1117">
        <f t="shared" si="136"/>
        <v>0</v>
      </c>
      <c r="DQ58" s="1117">
        <f t="shared" si="137"/>
        <v>0</v>
      </c>
      <c r="DR58" s="1117">
        <f t="shared" si="138"/>
        <v>0</v>
      </c>
      <c r="DS58" s="1118"/>
      <c r="DW58" s="1116">
        <f t="shared" si="139"/>
        <v>0</v>
      </c>
      <c r="DX58" s="1117">
        <f t="shared" si="140"/>
        <v>0</v>
      </c>
      <c r="DY58" s="1117">
        <f t="shared" si="141"/>
        <v>0</v>
      </c>
      <c r="DZ58" s="1117">
        <f t="shared" si="142"/>
        <v>0</v>
      </c>
      <c r="EA58" s="1118"/>
      <c r="EE58" s="1116">
        <f t="shared" si="143"/>
        <v>0</v>
      </c>
      <c r="EF58" s="1117">
        <f t="shared" si="144"/>
        <v>0</v>
      </c>
      <c r="EG58" s="1117">
        <f t="shared" si="145"/>
        <v>0</v>
      </c>
      <c r="EH58" s="1117">
        <f t="shared" si="146"/>
        <v>0</v>
      </c>
      <c r="EI58" s="1118"/>
      <c r="EM58" s="1116">
        <f t="shared" si="147"/>
        <v>0</v>
      </c>
      <c r="EN58" s="1117">
        <f t="shared" si="148"/>
        <v>0</v>
      </c>
      <c r="EO58" s="1117">
        <f t="shared" si="149"/>
        <v>0</v>
      </c>
      <c r="EP58" s="1117">
        <f t="shared" si="150"/>
        <v>0</v>
      </c>
      <c r="EQ58" s="1118"/>
      <c r="EU58" s="1116">
        <f t="shared" si="151"/>
        <v>0</v>
      </c>
      <c r="EV58" s="1117">
        <f t="shared" si="152"/>
        <v>0</v>
      </c>
      <c r="EW58" s="1117">
        <f t="shared" si="153"/>
        <v>0</v>
      </c>
      <c r="EX58" s="1117">
        <f t="shared" si="154"/>
        <v>0</v>
      </c>
      <c r="EY58" s="1118"/>
      <c r="FC58" s="1116">
        <f t="shared" si="155"/>
        <v>0</v>
      </c>
      <c r="FD58" s="1117">
        <f t="shared" si="156"/>
        <v>0</v>
      </c>
      <c r="FE58" s="1117">
        <f t="shared" si="157"/>
        <v>0</v>
      </c>
      <c r="FF58" s="1117">
        <f t="shared" si="158"/>
        <v>0</v>
      </c>
      <c r="FG58" s="1118"/>
      <c r="FK58" s="1116">
        <f t="shared" si="159"/>
        <v>0</v>
      </c>
      <c r="FL58" s="1117">
        <f t="shared" si="160"/>
        <v>0</v>
      </c>
      <c r="FM58" s="1117">
        <f t="shared" si="161"/>
        <v>0</v>
      </c>
      <c r="FN58" s="1117">
        <f t="shared" si="162"/>
        <v>0</v>
      </c>
      <c r="FO58" s="1118"/>
    </row>
    <row r="59" spans="1:171">
      <c r="A59" s="912"/>
      <c r="B59" s="913" t="s">
        <v>326</v>
      </c>
      <c r="C59" s="888">
        <v>219</v>
      </c>
      <c r="D59" s="888">
        <v>108</v>
      </c>
      <c r="E59" s="182" t="str">
        <f>'Sch 1- Rate Base '!E59</f>
        <v>PROD</v>
      </c>
      <c r="F59" s="889"/>
      <c r="G59" s="182">
        <f>'Sch 1- Rate Base '!G59</f>
        <v>202979974</v>
      </c>
      <c r="H59" s="182">
        <f>'Sch 1- Rate Base '!H59</f>
        <v>202979974</v>
      </c>
      <c r="I59" s="182">
        <f>'Sch 1- Rate Base '!I59</f>
        <v>0</v>
      </c>
      <c r="J59" s="183">
        <f>'Sch 1- Rate Base '!J59</f>
        <v>0</v>
      </c>
      <c r="K59" s="903">
        <f t="shared" si="82"/>
        <v>1</v>
      </c>
      <c r="O59" s="1116">
        <f t="shared" si="83"/>
        <v>202979974</v>
      </c>
      <c r="P59" s="1117">
        <f t="shared" si="84"/>
        <v>202979974</v>
      </c>
      <c r="Q59" s="1117">
        <f t="shared" si="85"/>
        <v>0</v>
      </c>
      <c r="R59" s="1117">
        <f t="shared" si="86"/>
        <v>0</v>
      </c>
      <c r="S59" s="1118"/>
      <c r="W59" s="1116">
        <f t="shared" si="87"/>
        <v>202979974</v>
      </c>
      <c r="X59" s="1117">
        <f t="shared" si="88"/>
        <v>202979974</v>
      </c>
      <c r="Y59" s="1117">
        <f t="shared" si="89"/>
        <v>0</v>
      </c>
      <c r="Z59" s="1117">
        <f t="shared" si="90"/>
        <v>0</v>
      </c>
      <c r="AA59" s="1118"/>
      <c r="AE59" s="1116">
        <f t="shared" si="91"/>
        <v>202979974</v>
      </c>
      <c r="AF59" s="1117">
        <f t="shared" si="92"/>
        <v>202979974</v>
      </c>
      <c r="AG59" s="1117">
        <f t="shared" si="93"/>
        <v>0</v>
      </c>
      <c r="AH59" s="1117">
        <f t="shared" si="94"/>
        <v>0</v>
      </c>
      <c r="AI59" s="1118"/>
      <c r="AM59" s="1116">
        <f t="shared" si="95"/>
        <v>202979974</v>
      </c>
      <c r="AN59" s="1117">
        <f t="shared" si="96"/>
        <v>202979974</v>
      </c>
      <c r="AO59" s="1117">
        <f t="shared" si="97"/>
        <v>0</v>
      </c>
      <c r="AP59" s="1117">
        <f t="shared" si="98"/>
        <v>0</v>
      </c>
      <c r="AQ59" s="1118"/>
      <c r="AU59" s="1116">
        <f t="shared" si="99"/>
        <v>202979974</v>
      </c>
      <c r="AV59" s="1117">
        <f t="shared" si="100"/>
        <v>202979974</v>
      </c>
      <c r="AW59" s="1117">
        <f t="shared" si="101"/>
        <v>0</v>
      </c>
      <c r="AX59" s="1117">
        <f t="shared" si="102"/>
        <v>0</v>
      </c>
      <c r="AY59" s="1118"/>
      <c r="BC59" s="1116">
        <f t="shared" si="103"/>
        <v>202979974</v>
      </c>
      <c r="BD59" s="1117">
        <f t="shared" si="104"/>
        <v>202979974</v>
      </c>
      <c r="BE59" s="1117">
        <f t="shared" si="105"/>
        <v>0</v>
      </c>
      <c r="BF59" s="1117">
        <f t="shared" si="106"/>
        <v>0</v>
      </c>
      <c r="BG59" s="1118"/>
      <c r="BK59" s="1116">
        <f t="shared" si="107"/>
        <v>202979974</v>
      </c>
      <c r="BL59" s="1117">
        <f t="shared" si="108"/>
        <v>202979974</v>
      </c>
      <c r="BM59" s="1117">
        <f t="shared" si="109"/>
        <v>0</v>
      </c>
      <c r="BN59" s="1117">
        <f t="shared" si="110"/>
        <v>0</v>
      </c>
      <c r="BO59" s="1118"/>
      <c r="BS59" s="1116">
        <f t="shared" si="111"/>
        <v>202979974</v>
      </c>
      <c r="BT59" s="1117">
        <f t="shared" si="112"/>
        <v>202979974</v>
      </c>
      <c r="BU59" s="1117">
        <f t="shared" si="113"/>
        <v>0</v>
      </c>
      <c r="BV59" s="1117">
        <f t="shared" si="114"/>
        <v>0</v>
      </c>
      <c r="BW59" s="1118"/>
      <c r="CA59" s="1116">
        <f t="shared" si="115"/>
        <v>202979974</v>
      </c>
      <c r="CB59" s="1117">
        <f t="shared" si="116"/>
        <v>202979974</v>
      </c>
      <c r="CC59" s="1117">
        <f t="shared" si="117"/>
        <v>0</v>
      </c>
      <c r="CD59" s="1117">
        <f t="shared" si="118"/>
        <v>0</v>
      </c>
      <c r="CE59" s="1118"/>
      <c r="CI59" s="1116">
        <f t="shared" si="119"/>
        <v>202979974</v>
      </c>
      <c r="CJ59" s="1117">
        <f t="shared" si="120"/>
        <v>202979974</v>
      </c>
      <c r="CK59" s="1117">
        <f t="shared" si="121"/>
        <v>0</v>
      </c>
      <c r="CL59" s="1117">
        <f t="shared" si="122"/>
        <v>0</v>
      </c>
      <c r="CM59" s="1118"/>
      <c r="CQ59" s="1116">
        <f t="shared" si="123"/>
        <v>202979974</v>
      </c>
      <c r="CR59" s="1117">
        <f t="shared" si="124"/>
        <v>202979974</v>
      </c>
      <c r="CS59" s="1117">
        <f t="shared" si="125"/>
        <v>0</v>
      </c>
      <c r="CT59" s="1117">
        <f t="shared" si="126"/>
        <v>0</v>
      </c>
      <c r="CU59" s="1118"/>
      <c r="CY59" s="1116">
        <f t="shared" si="127"/>
        <v>202979974</v>
      </c>
      <c r="CZ59" s="1117">
        <f t="shared" si="128"/>
        <v>202979974</v>
      </c>
      <c r="DA59" s="1117">
        <f t="shared" si="129"/>
        <v>0</v>
      </c>
      <c r="DB59" s="1117">
        <f t="shared" si="130"/>
        <v>0</v>
      </c>
      <c r="DC59" s="1118"/>
      <c r="DG59" s="1116">
        <f t="shared" si="131"/>
        <v>202979974</v>
      </c>
      <c r="DH59" s="1117">
        <f t="shared" si="132"/>
        <v>202979974</v>
      </c>
      <c r="DI59" s="1117">
        <f t="shared" si="133"/>
        <v>0</v>
      </c>
      <c r="DJ59" s="1117">
        <f t="shared" si="134"/>
        <v>0</v>
      </c>
      <c r="DK59" s="1118"/>
      <c r="DO59" s="1116">
        <f t="shared" si="135"/>
        <v>202979974</v>
      </c>
      <c r="DP59" s="1117">
        <f t="shared" si="136"/>
        <v>202979974</v>
      </c>
      <c r="DQ59" s="1117">
        <f t="shared" si="137"/>
        <v>0</v>
      </c>
      <c r="DR59" s="1117">
        <f t="shared" si="138"/>
        <v>0</v>
      </c>
      <c r="DS59" s="1118"/>
      <c r="DW59" s="1116">
        <f t="shared" si="139"/>
        <v>202979974</v>
      </c>
      <c r="DX59" s="1117">
        <f t="shared" si="140"/>
        <v>202979974</v>
      </c>
      <c r="DY59" s="1117">
        <f t="shared" si="141"/>
        <v>0</v>
      </c>
      <c r="DZ59" s="1117">
        <f t="shared" si="142"/>
        <v>0</v>
      </c>
      <c r="EA59" s="1118"/>
      <c r="EE59" s="1116">
        <f t="shared" si="143"/>
        <v>202979974</v>
      </c>
      <c r="EF59" s="1117">
        <f t="shared" si="144"/>
        <v>202979974</v>
      </c>
      <c r="EG59" s="1117">
        <f t="shared" si="145"/>
        <v>0</v>
      </c>
      <c r="EH59" s="1117">
        <f t="shared" si="146"/>
        <v>0</v>
      </c>
      <c r="EI59" s="1118"/>
      <c r="EM59" s="1116">
        <f t="shared" si="147"/>
        <v>202979974</v>
      </c>
      <c r="EN59" s="1117">
        <f t="shared" si="148"/>
        <v>202979974</v>
      </c>
      <c r="EO59" s="1117">
        <f t="shared" si="149"/>
        <v>0</v>
      </c>
      <c r="EP59" s="1117">
        <f t="shared" si="150"/>
        <v>0</v>
      </c>
      <c r="EQ59" s="1118"/>
      <c r="EU59" s="1116">
        <f t="shared" si="151"/>
        <v>202979974</v>
      </c>
      <c r="EV59" s="1117">
        <f t="shared" si="152"/>
        <v>202979974</v>
      </c>
      <c r="EW59" s="1117">
        <f t="shared" si="153"/>
        <v>0</v>
      </c>
      <c r="EX59" s="1117">
        <f t="shared" si="154"/>
        <v>0</v>
      </c>
      <c r="EY59" s="1118"/>
      <c r="FC59" s="1116">
        <f t="shared" si="155"/>
        <v>202979974</v>
      </c>
      <c r="FD59" s="1117">
        <f t="shared" si="156"/>
        <v>202979974</v>
      </c>
      <c r="FE59" s="1117">
        <f t="shared" si="157"/>
        <v>0</v>
      </c>
      <c r="FF59" s="1117">
        <f t="shared" si="158"/>
        <v>0</v>
      </c>
      <c r="FG59" s="1118"/>
      <c r="FK59" s="1116">
        <f t="shared" si="159"/>
        <v>202979974</v>
      </c>
      <c r="FL59" s="1117">
        <f t="shared" si="160"/>
        <v>202979974</v>
      </c>
      <c r="FM59" s="1117">
        <f t="shared" si="161"/>
        <v>0</v>
      </c>
      <c r="FN59" s="1117">
        <f t="shared" si="162"/>
        <v>0</v>
      </c>
      <c r="FO59" s="1118"/>
    </row>
    <row r="60" spans="1:171">
      <c r="A60" s="912"/>
      <c r="B60" s="913" t="s">
        <v>137</v>
      </c>
      <c r="C60" s="888">
        <v>219</v>
      </c>
      <c r="D60" s="888">
        <v>108</v>
      </c>
      <c r="E60" s="182" t="str">
        <f>'Sch 1- Rate Base '!E60</f>
        <v>PROD</v>
      </c>
      <c r="F60" s="889"/>
      <c r="G60" s="182">
        <f>'Sch 1- Rate Base '!G60</f>
        <v>177969738</v>
      </c>
      <c r="H60" s="182">
        <f>'Sch 1- Rate Base '!H60</f>
        <v>177969738</v>
      </c>
      <c r="I60" s="182">
        <f>'Sch 1- Rate Base '!I60</f>
        <v>0</v>
      </c>
      <c r="J60" s="183">
        <f>'Sch 1- Rate Base '!J60</f>
        <v>0</v>
      </c>
      <c r="K60" s="903">
        <f t="shared" si="82"/>
        <v>1</v>
      </c>
      <c r="O60" s="1116">
        <f t="shared" si="83"/>
        <v>177969738</v>
      </c>
      <c r="P60" s="1117">
        <f t="shared" si="84"/>
        <v>177969738</v>
      </c>
      <c r="Q60" s="1117">
        <f t="shared" si="85"/>
        <v>0</v>
      </c>
      <c r="R60" s="1117">
        <f t="shared" si="86"/>
        <v>0</v>
      </c>
      <c r="S60" s="1118"/>
      <c r="W60" s="1116">
        <f t="shared" si="87"/>
        <v>177969738</v>
      </c>
      <c r="X60" s="1117">
        <f t="shared" si="88"/>
        <v>177969738</v>
      </c>
      <c r="Y60" s="1117">
        <f t="shared" si="89"/>
        <v>0</v>
      </c>
      <c r="Z60" s="1117">
        <f t="shared" si="90"/>
        <v>0</v>
      </c>
      <c r="AA60" s="1118"/>
      <c r="AE60" s="1116">
        <f t="shared" si="91"/>
        <v>177969738</v>
      </c>
      <c r="AF60" s="1117">
        <f t="shared" si="92"/>
        <v>177969738</v>
      </c>
      <c r="AG60" s="1117">
        <f t="shared" si="93"/>
        <v>0</v>
      </c>
      <c r="AH60" s="1117">
        <f t="shared" si="94"/>
        <v>0</v>
      </c>
      <c r="AI60" s="1118"/>
      <c r="AM60" s="1116">
        <f t="shared" si="95"/>
        <v>177969738</v>
      </c>
      <c r="AN60" s="1117">
        <f t="shared" si="96"/>
        <v>177969738</v>
      </c>
      <c r="AO60" s="1117">
        <f t="shared" si="97"/>
        <v>0</v>
      </c>
      <c r="AP60" s="1117">
        <f t="shared" si="98"/>
        <v>0</v>
      </c>
      <c r="AQ60" s="1118"/>
      <c r="AU60" s="1116">
        <f t="shared" si="99"/>
        <v>177969738</v>
      </c>
      <c r="AV60" s="1117">
        <f t="shared" si="100"/>
        <v>177969738</v>
      </c>
      <c r="AW60" s="1117">
        <f t="shared" si="101"/>
        <v>0</v>
      </c>
      <c r="AX60" s="1117">
        <f t="shared" si="102"/>
        <v>0</v>
      </c>
      <c r="AY60" s="1118"/>
      <c r="BC60" s="1116">
        <f t="shared" si="103"/>
        <v>177969738</v>
      </c>
      <c r="BD60" s="1117">
        <f t="shared" si="104"/>
        <v>177969738</v>
      </c>
      <c r="BE60" s="1117">
        <f t="shared" si="105"/>
        <v>0</v>
      </c>
      <c r="BF60" s="1117">
        <f t="shared" si="106"/>
        <v>0</v>
      </c>
      <c r="BG60" s="1118"/>
      <c r="BK60" s="1116">
        <f t="shared" si="107"/>
        <v>177969738</v>
      </c>
      <c r="BL60" s="1117">
        <f t="shared" si="108"/>
        <v>177969738</v>
      </c>
      <c r="BM60" s="1117">
        <f t="shared" si="109"/>
        <v>0</v>
      </c>
      <c r="BN60" s="1117">
        <f t="shared" si="110"/>
        <v>0</v>
      </c>
      <c r="BO60" s="1118"/>
      <c r="BS60" s="1116">
        <f t="shared" si="111"/>
        <v>177969738</v>
      </c>
      <c r="BT60" s="1117">
        <f t="shared" si="112"/>
        <v>177969738</v>
      </c>
      <c r="BU60" s="1117">
        <f t="shared" si="113"/>
        <v>0</v>
      </c>
      <c r="BV60" s="1117">
        <f t="shared" si="114"/>
        <v>0</v>
      </c>
      <c r="BW60" s="1118"/>
      <c r="CA60" s="1116">
        <f t="shared" si="115"/>
        <v>177969738</v>
      </c>
      <c r="CB60" s="1117">
        <f t="shared" si="116"/>
        <v>177969738</v>
      </c>
      <c r="CC60" s="1117">
        <f t="shared" si="117"/>
        <v>0</v>
      </c>
      <c r="CD60" s="1117">
        <f t="shared" si="118"/>
        <v>0</v>
      </c>
      <c r="CE60" s="1118"/>
      <c r="CI60" s="1116">
        <f t="shared" si="119"/>
        <v>177969738</v>
      </c>
      <c r="CJ60" s="1117">
        <f t="shared" si="120"/>
        <v>177969738</v>
      </c>
      <c r="CK60" s="1117">
        <f t="shared" si="121"/>
        <v>0</v>
      </c>
      <c r="CL60" s="1117">
        <f t="shared" si="122"/>
        <v>0</v>
      </c>
      <c r="CM60" s="1118"/>
      <c r="CQ60" s="1116">
        <f t="shared" si="123"/>
        <v>177969738</v>
      </c>
      <c r="CR60" s="1117">
        <f t="shared" si="124"/>
        <v>177969738</v>
      </c>
      <c r="CS60" s="1117">
        <f t="shared" si="125"/>
        <v>0</v>
      </c>
      <c r="CT60" s="1117">
        <f t="shared" si="126"/>
        <v>0</v>
      </c>
      <c r="CU60" s="1118"/>
      <c r="CY60" s="1116">
        <f t="shared" si="127"/>
        <v>177969738</v>
      </c>
      <c r="CZ60" s="1117">
        <f t="shared" si="128"/>
        <v>177969738</v>
      </c>
      <c r="DA60" s="1117">
        <f t="shared" si="129"/>
        <v>0</v>
      </c>
      <c r="DB60" s="1117">
        <f t="shared" si="130"/>
        <v>0</v>
      </c>
      <c r="DC60" s="1118"/>
      <c r="DG60" s="1116">
        <f t="shared" si="131"/>
        <v>177969738</v>
      </c>
      <c r="DH60" s="1117">
        <f t="shared" si="132"/>
        <v>177969738</v>
      </c>
      <c r="DI60" s="1117">
        <f t="shared" si="133"/>
        <v>0</v>
      </c>
      <c r="DJ60" s="1117">
        <f t="shared" si="134"/>
        <v>0</v>
      </c>
      <c r="DK60" s="1118"/>
      <c r="DO60" s="1116">
        <f t="shared" si="135"/>
        <v>177969738</v>
      </c>
      <c r="DP60" s="1117">
        <f t="shared" si="136"/>
        <v>177969738</v>
      </c>
      <c r="DQ60" s="1117">
        <f t="shared" si="137"/>
        <v>0</v>
      </c>
      <c r="DR60" s="1117">
        <f t="shared" si="138"/>
        <v>0</v>
      </c>
      <c r="DS60" s="1118"/>
      <c r="DW60" s="1116">
        <f t="shared" si="139"/>
        <v>177969738</v>
      </c>
      <c r="DX60" s="1117">
        <f t="shared" si="140"/>
        <v>177969738</v>
      </c>
      <c r="DY60" s="1117">
        <f t="shared" si="141"/>
        <v>0</v>
      </c>
      <c r="DZ60" s="1117">
        <f t="shared" si="142"/>
        <v>0</v>
      </c>
      <c r="EA60" s="1118"/>
      <c r="EE60" s="1116">
        <f t="shared" si="143"/>
        <v>177969738</v>
      </c>
      <c r="EF60" s="1117">
        <f t="shared" si="144"/>
        <v>177969738</v>
      </c>
      <c r="EG60" s="1117">
        <f t="shared" si="145"/>
        <v>0</v>
      </c>
      <c r="EH60" s="1117">
        <f t="shared" si="146"/>
        <v>0</v>
      </c>
      <c r="EI60" s="1118"/>
      <c r="EM60" s="1116">
        <f t="shared" si="147"/>
        <v>177969738</v>
      </c>
      <c r="EN60" s="1117">
        <f t="shared" si="148"/>
        <v>177969738</v>
      </c>
      <c r="EO60" s="1117">
        <f t="shared" si="149"/>
        <v>0</v>
      </c>
      <c r="EP60" s="1117">
        <f t="shared" si="150"/>
        <v>0</v>
      </c>
      <c r="EQ60" s="1118"/>
      <c r="EU60" s="1116">
        <f t="shared" si="151"/>
        <v>177969738</v>
      </c>
      <c r="EV60" s="1117">
        <f t="shared" si="152"/>
        <v>177969738</v>
      </c>
      <c r="EW60" s="1117">
        <f t="shared" si="153"/>
        <v>0</v>
      </c>
      <c r="EX60" s="1117">
        <f t="shared" si="154"/>
        <v>0</v>
      </c>
      <c r="EY60" s="1118"/>
      <c r="FC60" s="1116">
        <f t="shared" si="155"/>
        <v>177969738</v>
      </c>
      <c r="FD60" s="1117">
        <f t="shared" si="156"/>
        <v>177969738</v>
      </c>
      <c r="FE60" s="1117">
        <f t="shared" si="157"/>
        <v>0</v>
      </c>
      <c r="FF60" s="1117">
        <f t="shared" si="158"/>
        <v>0</v>
      </c>
      <c r="FG60" s="1118"/>
      <c r="FK60" s="1116">
        <f t="shared" si="159"/>
        <v>177969738</v>
      </c>
      <c r="FL60" s="1117">
        <f t="shared" si="160"/>
        <v>177969738</v>
      </c>
      <c r="FM60" s="1117">
        <f t="shared" si="161"/>
        <v>0</v>
      </c>
      <c r="FN60" s="1117">
        <f t="shared" si="162"/>
        <v>0</v>
      </c>
      <c r="FO60" s="1118"/>
    </row>
    <row r="61" spans="1:171">
      <c r="A61" s="912"/>
      <c r="B61" s="913" t="s">
        <v>143</v>
      </c>
      <c r="C61" s="888">
        <v>219</v>
      </c>
      <c r="D61" s="888">
        <v>108</v>
      </c>
      <c r="E61" s="182" t="str">
        <f>'Sch 1- Rate Base '!E61</f>
        <v>TRANS</v>
      </c>
      <c r="F61" s="889"/>
      <c r="G61" s="182">
        <f>'Sch 1- Rate Base '!G61</f>
        <v>285851148</v>
      </c>
      <c r="H61" s="182">
        <f>'Sch 1- Rate Base '!H61</f>
        <v>0</v>
      </c>
      <c r="I61" s="182">
        <f>'Sch 1- Rate Base '!I61</f>
        <v>0</v>
      </c>
      <c r="J61" s="183">
        <f>'Sch 1- Rate Base '!J61</f>
        <v>285851148</v>
      </c>
      <c r="K61" s="903">
        <f t="shared" si="82"/>
        <v>1</v>
      </c>
      <c r="O61" s="1116">
        <f t="shared" si="83"/>
        <v>285851148</v>
      </c>
      <c r="P61" s="1117">
        <f t="shared" si="84"/>
        <v>0</v>
      </c>
      <c r="Q61" s="1117">
        <f t="shared" si="85"/>
        <v>285851148</v>
      </c>
      <c r="R61" s="1117">
        <f t="shared" si="86"/>
        <v>0</v>
      </c>
      <c r="S61" s="1118"/>
      <c r="W61" s="1116">
        <f t="shared" si="87"/>
        <v>285851148</v>
      </c>
      <c r="X61" s="1117">
        <f t="shared" si="88"/>
        <v>0</v>
      </c>
      <c r="Y61" s="1117">
        <f t="shared" si="89"/>
        <v>285851148</v>
      </c>
      <c r="Z61" s="1117">
        <f t="shared" si="90"/>
        <v>0</v>
      </c>
      <c r="AA61" s="1118"/>
      <c r="AE61" s="1116">
        <f t="shared" si="91"/>
        <v>285851148</v>
      </c>
      <c r="AF61" s="1117">
        <f t="shared" si="92"/>
        <v>0</v>
      </c>
      <c r="AG61" s="1117">
        <f t="shared" si="93"/>
        <v>285851148</v>
      </c>
      <c r="AH61" s="1117">
        <f t="shared" si="94"/>
        <v>0</v>
      </c>
      <c r="AI61" s="1118"/>
      <c r="AM61" s="1116">
        <f t="shared" si="95"/>
        <v>285851148</v>
      </c>
      <c r="AN61" s="1117">
        <f t="shared" si="96"/>
        <v>0</v>
      </c>
      <c r="AO61" s="1117">
        <f t="shared" si="97"/>
        <v>285851148</v>
      </c>
      <c r="AP61" s="1117">
        <f t="shared" si="98"/>
        <v>0</v>
      </c>
      <c r="AQ61" s="1118"/>
      <c r="AU61" s="1116">
        <f t="shared" si="99"/>
        <v>285851148</v>
      </c>
      <c r="AV61" s="1117">
        <f t="shared" si="100"/>
        <v>0</v>
      </c>
      <c r="AW61" s="1117">
        <f t="shared" si="101"/>
        <v>285851148</v>
      </c>
      <c r="AX61" s="1117">
        <f t="shared" si="102"/>
        <v>0</v>
      </c>
      <c r="AY61" s="1118"/>
      <c r="BC61" s="1116">
        <f t="shared" si="103"/>
        <v>285851148</v>
      </c>
      <c r="BD61" s="1117">
        <f t="shared" si="104"/>
        <v>0</v>
      </c>
      <c r="BE61" s="1117">
        <f t="shared" si="105"/>
        <v>285851148</v>
      </c>
      <c r="BF61" s="1117">
        <f t="shared" si="106"/>
        <v>0</v>
      </c>
      <c r="BG61" s="1118"/>
      <c r="BK61" s="1116">
        <f t="shared" si="107"/>
        <v>285851148</v>
      </c>
      <c r="BL61" s="1117">
        <f t="shared" si="108"/>
        <v>0</v>
      </c>
      <c r="BM61" s="1117">
        <f t="shared" si="109"/>
        <v>285851148</v>
      </c>
      <c r="BN61" s="1117">
        <f t="shared" si="110"/>
        <v>0</v>
      </c>
      <c r="BO61" s="1118"/>
      <c r="BS61" s="1116">
        <f t="shared" si="111"/>
        <v>285851148</v>
      </c>
      <c r="BT61" s="1117">
        <f t="shared" si="112"/>
        <v>0</v>
      </c>
      <c r="BU61" s="1117">
        <f t="shared" si="113"/>
        <v>285851148</v>
      </c>
      <c r="BV61" s="1117">
        <f t="shared" si="114"/>
        <v>0</v>
      </c>
      <c r="BW61" s="1118"/>
      <c r="CA61" s="1116">
        <f t="shared" si="115"/>
        <v>285851148</v>
      </c>
      <c r="CB61" s="1117">
        <f t="shared" si="116"/>
        <v>0</v>
      </c>
      <c r="CC61" s="1117">
        <f t="shared" si="117"/>
        <v>285851148</v>
      </c>
      <c r="CD61" s="1117">
        <f t="shared" si="118"/>
        <v>0</v>
      </c>
      <c r="CE61" s="1118"/>
      <c r="CI61" s="1116">
        <f t="shared" si="119"/>
        <v>285851148</v>
      </c>
      <c r="CJ61" s="1117">
        <f t="shared" si="120"/>
        <v>0</v>
      </c>
      <c r="CK61" s="1117">
        <f t="shared" si="121"/>
        <v>285851148</v>
      </c>
      <c r="CL61" s="1117">
        <f t="shared" si="122"/>
        <v>0</v>
      </c>
      <c r="CM61" s="1118"/>
      <c r="CQ61" s="1116">
        <f t="shared" si="123"/>
        <v>285851148</v>
      </c>
      <c r="CR61" s="1117">
        <f t="shared" si="124"/>
        <v>0</v>
      </c>
      <c r="CS61" s="1117">
        <f t="shared" si="125"/>
        <v>285851148</v>
      </c>
      <c r="CT61" s="1117">
        <f t="shared" si="126"/>
        <v>0</v>
      </c>
      <c r="CU61" s="1118"/>
      <c r="CY61" s="1116">
        <f t="shared" si="127"/>
        <v>285851148</v>
      </c>
      <c r="CZ61" s="1117">
        <f t="shared" si="128"/>
        <v>0</v>
      </c>
      <c r="DA61" s="1117">
        <f t="shared" si="129"/>
        <v>285851148</v>
      </c>
      <c r="DB61" s="1117">
        <f t="shared" si="130"/>
        <v>0</v>
      </c>
      <c r="DC61" s="1118"/>
      <c r="DG61" s="1116">
        <f t="shared" si="131"/>
        <v>285851148</v>
      </c>
      <c r="DH61" s="1117">
        <f t="shared" si="132"/>
        <v>0</v>
      </c>
      <c r="DI61" s="1117">
        <f t="shared" si="133"/>
        <v>285851148</v>
      </c>
      <c r="DJ61" s="1117">
        <f t="shared" si="134"/>
        <v>0</v>
      </c>
      <c r="DK61" s="1118"/>
      <c r="DO61" s="1116">
        <f t="shared" si="135"/>
        <v>285851148</v>
      </c>
      <c r="DP61" s="1117">
        <f t="shared" si="136"/>
        <v>0</v>
      </c>
      <c r="DQ61" s="1117">
        <f t="shared" si="137"/>
        <v>285851148</v>
      </c>
      <c r="DR61" s="1117">
        <f t="shared" si="138"/>
        <v>0</v>
      </c>
      <c r="DS61" s="1118"/>
      <c r="DW61" s="1116">
        <f t="shared" si="139"/>
        <v>285851148</v>
      </c>
      <c r="DX61" s="1117">
        <f t="shared" si="140"/>
        <v>0</v>
      </c>
      <c r="DY61" s="1117">
        <f t="shared" si="141"/>
        <v>285851148</v>
      </c>
      <c r="DZ61" s="1117">
        <f t="shared" si="142"/>
        <v>0</v>
      </c>
      <c r="EA61" s="1118"/>
      <c r="EE61" s="1116">
        <f t="shared" si="143"/>
        <v>285851148</v>
      </c>
      <c r="EF61" s="1117">
        <f t="shared" si="144"/>
        <v>0</v>
      </c>
      <c r="EG61" s="1117">
        <f t="shared" si="145"/>
        <v>285851148</v>
      </c>
      <c r="EH61" s="1117">
        <f t="shared" si="146"/>
        <v>0</v>
      </c>
      <c r="EI61" s="1118"/>
      <c r="EM61" s="1116">
        <f t="shared" si="147"/>
        <v>285851148</v>
      </c>
      <c r="EN61" s="1117">
        <f t="shared" si="148"/>
        <v>0</v>
      </c>
      <c r="EO61" s="1117">
        <f t="shared" si="149"/>
        <v>285851148</v>
      </c>
      <c r="EP61" s="1117">
        <f t="shared" si="150"/>
        <v>0</v>
      </c>
      <c r="EQ61" s="1118"/>
      <c r="EU61" s="1116">
        <f t="shared" si="151"/>
        <v>285851148</v>
      </c>
      <c r="EV61" s="1117">
        <f t="shared" si="152"/>
        <v>0</v>
      </c>
      <c r="EW61" s="1117">
        <f t="shared" si="153"/>
        <v>285851148</v>
      </c>
      <c r="EX61" s="1117">
        <f t="shared" si="154"/>
        <v>0</v>
      </c>
      <c r="EY61" s="1118"/>
      <c r="FC61" s="1116">
        <f t="shared" si="155"/>
        <v>285851148</v>
      </c>
      <c r="FD61" s="1117">
        <f t="shared" si="156"/>
        <v>0</v>
      </c>
      <c r="FE61" s="1117">
        <f t="shared" si="157"/>
        <v>285851148</v>
      </c>
      <c r="FF61" s="1117">
        <f t="shared" si="158"/>
        <v>0</v>
      </c>
      <c r="FG61" s="1118"/>
      <c r="FK61" s="1116">
        <f t="shared" si="159"/>
        <v>285851148</v>
      </c>
      <c r="FL61" s="1117">
        <f t="shared" si="160"/>
        <v>0</v>
      </c>
      <c r="FM61" s="1117">
        <f t="shared" si="161"/>
        <v>285851148</v>
      </c>
      <c r="FN61" s="1117">
        <f t="shared" si="162"/>
        <v>0</v>
      </c>
      <c r="FO61" s="1118"/>
    </row>
    <row r="62" spans="1:171">
      <c r="A62" s="912"/>
      <c r="B62" s="913" t="s">
        <v>474</v>
      </c>
      <c r="C62" s="888">
        <v>219</v>
      </c>
      <c r="D62" s="888">
        <v>108</v>
      </c>
      <c r="E62" s="182" t="str">
        <f>'Sch 1- Rate Base '!E62</f>
        <v>DIST</v>
      </c>
      <c r="F62" s="889"/>
      <c r="G62" s="182">
        <f>'Sch 1- Rate Base '!G62</f>
        <v>788670773</v>
      </c>
      <c r="H62" s="182">
        <f>'Sch 1- Rate Base '!H62</f>
        <v>0</v>
      </c>
      <c r="I62" s="182">
        <f>'Sch 1- Rate Base '!I62</f>
        <v>0</v>
      </c>
      <c r="J62" s="183">
        <f>'Sch 1- Rate Base '!J62</f>
        <v>788670773</v>
      </c>
      <c r="K62" s="903">
        <f t="shared" si="82"/>
        <v>1</v>
      </c>
      <c r="O62" s="1116">
        <f t="shared" si="83"/>
        <v>788670773</v>
      </c>
      <c r="P62" s="1117">
        <f t="shared" si="84"/>
        <v>0</v>
      </c>
      <c r="Q62" s="1117">
        <f t="shared" si="85"/>
        <v>0</v>
      </c>
      <c r="R62" s="1117">
        <f t="shared" si="86"/>
        <v>788670773</v>
      </c>
      <c r="S62" s="1118"/>
      <c r="W62" s="1116">
        <f t="shared" si="87"/>
        <v>788670773</v>
      </c>
      <c r="X62" s="1117">
        <f t="shared" si="88"/>
        <v>0</v>
      </c>
      <c r="Y62" s="1117">
        <f t="shared" si="89"/>
        <v>0</v>
      </c>
      <c r="Z62" s="1117">
        <f t="shared" si="90"/>
        <v>788670773</v>
      </c>
      <c r="AA62" s="1118"/>
      <c r="AE62" s="1116">
        <f t="shared" si="91"/>
        <v>788670773</v>
      </c>
      <c r="AF62" s="1117">
        <f t="shared" si="92"/>
        <v>0</v>
      </c>
      <c r="AG62" s="1117">
        <f t="shared" si="93"/>
        <v>0</v>
      </c>
      <c r="AH62" s="1117">
        <f t="shared" si="94"/>
        <v>788670773</v>
      </c>
      <c r="AI62" s="1118"/>
      <c r="AM62" s="1116">
        <f t="shared" si="95"/>
        <v>788670773</v>
      </c>
      <c r="AN62" s="1117">
        <f t="shared" si="96"/>
        <v>0</v>
      </c>
      <c r="AO62" s="1117">
        <f t="shared" si="97"/>
        <v>0</v>
      </c>
      <c r="AP62" s="1117">
        <f t="shared" si="98"/>
        <v>788670773</v>
      </c>
      <c r="AQ62" s="1118"/>
      <c r="AU62" s="1116">
        <f t="shared" si="99"/>
        <v>788670773</v>
      </c>
      <c r="AV62" s="1117">
        <f t="shared" si="100"/>
        <v>0</v>
      </c>
      <c r="AW62" s="1117">
        <f t="shared" si="101"/>
        <v>0</v>
      </c>
      <c r="AX62" s="1117">
        <f t="shared" si="102"/>
        <v>788670773</v>
      </c>
      <c r="AY62" s="1118"/>
      <c r="BC62" s="1116">
        <f t="shared" si="103"/>
        <v>788670773</v>
      </c>
      <c r="BD62" s="1117">
        <f t="shared" si="104"/>
        <v>0</v>
      </c>
      <c r="BE62" s="1117">
        <f t="shared" si="105"/>
        <v>0</v>
      </c>
      <c r="BF62" s="1117">
        <f t="shared" si="106"/>
        <v>788670773</v>
      </c>
      <c r="BG62" s="1118"/>
      <c r="BK62" s="1116">
        <f t="shared" si="107"/>
        <v>788670773</v>
      </c>
      <c r="BL62" s="1117">
        <f t="shared" si="108"/>
        <v>0</v>
      </c>
      <c r="BM62" s="1117">
        <f t="shared" si="109"/>
        <v>0</v>
      </c>
      <c r="BN62" s="1117">
        <f t="shared" si="110"/>
        <v>788670773</v>
      </c>
      <c r="BO62" s="1118"/>
      <c r="BS62" s="1116">
        <f t="shared" si="111"/>
        <v>788670773</v>
      </c>
      <c r="BT62" s="1117">
        <f t="shared" si="112"/>
        <v>0</v>
      </c>
      <c r="BU62" s="1117">
        <f t="shared" si="113"/>
        <v>0</v>
      </c>
      <c r="BV62" s="1117">
        <f t="shared" si="114"/>
        <v>788670773</v>
      </c>
      <c r="BW62" s="1118"/>
      <c r="CA62" s="1116">
        <f t="shared" si="115"/>
        <v>788670773</v>
      </c>
      <c r="CB62" s="1117">
        <f t="shared" si="116"/>
        <v>0</v>
      </c>
      <c r="CC62" s="1117">
        <f t="shared" si="117"/>
        <v>0</v>
      </c>
      <c r="CD62" s="1117">
        <f t="shared" si="118"/>
        <v>788670773</v>
      </c>
      <c r="CE62" s="1118"/>
      <c r="CI62" s="1116">
        <f t="shared" si="119"/>
        <v>788670773</v>
      </c>
      <c r="CJ62" s="1117">
        <f t="shared" si="120"/>
        <v>0</v>
      </c>
      <c r="CK62" s="1117">
        <f t="shared" si="121"/>
        <v>0</v>
      </c>
      <c r="CL62" s="1117">
        <f t="shared" si="122"/>
        <v>788670773</v>
      </c>
      <c r="CM62" s="1118"/>
      <c r="CQ62" s="1116">
        <f t="shared" si="123"/>
        <v>788670773</v>
      </c>
      <c r="CR62" s="1117">
        <f t="shared" si="124"/>
        <v>0</v>
      </c>
      <c r="CS62" s="1117">
        <f t="shared" si="125"/>
        <v>0</v>
      </c>
      <c r="CT62" s="1117">
        <f t="shared" si="126"/>
        <v>788670773</v>
      </c>
      <c r="CU62" s="1118"/>
      <c r="CY62" s="1116">
        <f t="shared" si="127"/>
        <v>788670773</v>
      </c>
      <c r="CZ62" s="1117">
        <f t="shared" si="128"/>
        <v>0</v>
      </c>
      <c r="DA62" s="1117">
        <f t="shared" si="129"/>
        <v>0</v>
      </c>
      <c r="DB62" s="1117">
        <f t="shared" si="130"/>
        <v>788670773</v>
      </c>
      <c r="DC62" s="1118"/>
      <c r="DG62" s="1116">
        <f t="shared" si="131"/>
        <v>788670773</v>
      </c>
      <c r="DH62" s="1117">
        <f t="shared" si="132"/>
        <v>0</v>
      </c>
      <c r="DI62" s="1117">
        <f t="shared" si="133"/>
        <v>0</v>
      </c>
      <c r="DJ62" s="1117">
        <f t="shared" si="134"/>
        <v>788670773</v>
      </c>
      <c r="DK62" s="1118"/>
      <c r="DO62" s="1116">
        <f t="shared" si="135"/>
        <v>788670773</v>
      </c>
      <c r="DP62" s="1117">
        <f t="shared" si="136"/>
        <v>0</v>
      </c>
      <c r="DQ62" s="1117">
        <f t="shared" si="137"/>
        <v>0</v>
      </c>
      <c r="DR62" s="1117">
        <f t="shared" si="138"/>
        <v>788670773</v>
      </c>
      <c r="DS62" s="1118"/>
      <c r="DW62" s="1116">
        <f t="shared" si="139"/>
        <v>788670773</v>
      </c>
      <c r="DX62" s="1117">
        <f t="shared" si="140"/>
        <v>0</v>
      </c>
      <c r="DY62" s="1117">
        <f t="shared" si="141"/>
        <v>0</v>
      </c>
      <c r="DZ62" s="1117">
        <f t="shared" si="142"/>
        <v>788670773</v>
      </c>
      <c r="EA62" s="1118"/>
      <c r="EE62" s="1116">
        <f t="shared" si="143"/>
        <v>788670773</v>
      </c>
      <c r="EF62" s="1117">
        <f t="shared" si="144"/>
        <v>0</v>
      </c>
      <c r="EG62" s="1117">
        <f t="shared" si="145"/>
        <v>0</v>
      </c>
      <c r="EH62" s="1117">
        <f t="shared" si="146"/>
        <v>788670773</v>
      </c>
      <c r="EI62" s="1118"/>
      <c r="EM62" s="1116">
        <f t="shared" si="147"/>
        <v>788670773</v>
      </c>
      <c r="EN62" s="1117">
        <f t="shared" si="148"/>
        <v>0</v>
      </c>
      <c r="EO62" s="1117">
        <f t="shared" si="149"/>
        <v>0</v>
      </c>
      <c r="EP62" s="1117">
        <f t="shared" si="150"/>
        <v>788670773</v>
      </c>
      <c r="EQ62" s="1118"/>
      <c r="EU62" s="1116">
        <f t="shared" si="151"/>
        <v>788670773</v>
      </c>
      <c r="EV62" s="1117">
        <f t="shared" si="152"/>
        <v>0</v>
      </c>
      <c r="EW62" s="1117">
        <f t="shared" si="153"/>
        <v>0</v>
      </c>
      <c r="EX62" s="1117">
        <f t="shared" si="154"/>
        <v>788670773</v>
      </c>
      <c r="EY62" s="1118"/>
      <c r="FC62" s="1116">
        <f t="shared" si="155"/>
        <v>788670773</v>
      </c>
      <c r="FD62" s="1117">
        <f t="shared" si="156"/>
        <v>0</v>
      </c>
      <c r="FE62" s="1117">
        <f t="shared" si="157"/>
        <v>0</v>
      </c>
      <c r="FF62" s="1117">
        <f t="shared" si="158"/>
        <v>788670773</v>
      </c>
      <c r="FG62" s="1118"/>
      <c r="FK62" s="1116">
        <f t="shared" si="159"/>
        <v>788670773</v>
      </c>
      <c r="FL62" s="1117">
        <f t="shared" si="160"/>
        <v>0</v>
      </c>
      <c r="FM62" s="1117">
        <f t="shared" si="161"/>
        <v>0</v>
      </c>
      <c r="FN62" s="1117">
        <f t="shared" si="162"/>
        <v>788670773</v>
      </c>
      <c r="FO62" s="1118"/>
    </row>
    <row r="63" spans="1:171">
      <c r="A63" s="912"/>
      <c r="B63" s="913" t="s">
        <v>92</v>
      </c>
      <c r="C63" s="888">
        <v>219</v>
      </c>
      <c r="D63" s="888">
        <v>108</v>
      </c>
      <c r="E63" s="182" t="str">
        <f>'Sch 1- Rate Base '!E63</f>
        <v>GP</v>
      </c>
      <c r="F63" s="889"/>
      <c r="G63" s="182">
        <f>'Sch 1- Rate Base '!G63</f>
        <v>78045959</v>
      </c>
      <c r="H63" s="182">
        <f>'Sch 1- Rate Base '!H63</f>
        <v>12022265.525896648</v>
      </c>
      <c r="I63" s="182">
        <f>'Sch 1- Rate Base '!I63</f>
        <v>0</v>
      </c>
      <c r="J63" s="183">
        <f>'Sch 1- Rate Base '!J63</f>
        <v>66023693.474103346</v>
      </c>
      <c r="K63" s="903">
        <f t="shared" si="82"/>
        <v>1</v>
      </c>
      <c r="O63" s="1116">
        <f t="shared" si="83"/>
        <v>78045959</v>
      </c>
      <c r="P63" s="1117">
        <f t="shared" si="84"/>
        <v>12022265.525896648</v>
      </c>
      <c r="Q63" s="1117">
        <f t="shared" si="85"/>
        <v>19939895.743749738</v>
      </c>
      <c r="R63" s="1117">
        <f t="shared" si="86"/>
        <v>46083797.730353624</v>
      </c>
      <c r="S63" s="1118"/>
      <c r="W63" s="1116">
        <f t="shared" si="87"/>
        <v>78045959</v>
      </c>
      <c r="X63" s="1117">
        <f t="shared" si="88"/>
        <v>12022265.525896648</v>
      </c>
      <c r="Y63" s="1117">
        <f t="shared" si="89"/>
        <v>19939895.743749738</v>
      </c>
      <c r="Z63" s="1117">
        <f t="shared" si="90"/>
        <v>46083797.730353624</v>
      </c>
      <c r="AA63" s="1118"/>
      <c r="AE63" s="1116">
        <f t="shared" si="91"/>
        <v>78045959</v>
      </c>
      <c r="AF63" s="1117">
        <f t="shared" si="92"/>
        <v>12022265.525896648</v>
      </c>
      <c r="AG63" s="1117">
        <f t="shared" si="93"/>
        <v>19939895.743749738</v>
      </c>
      <c r="AH63" s="1117">
        <f t="shared" si="94"/>
        <v>46083797.730353624</v>
      </c>
      <c r="AI63" s="1118"/>
      <c r="AM63" s="1116">
        <f t="shared" si="95"/>
        <v>78045959</v>
      </c>
      <c r="AN63" s="1117">
        <f t="shared" si="96"/>
        <v>12022265.525896648</v>
      </c>
      <c r="AO63" s="1117">
        <f t="shared" si="97"/>
        <v>19939895.743749738</v>
      </c>
      <c r="AP63" s="1117">
        <f t="shared" si="98"/>
        <v>46083797.730353624</v>
      </c>
      <c r="AQ63" s="1118"/>
      <c r="AU63" s="1116">
        <f t="shared" si="99"/>
        <v>78045959</v>
      </c>
      <c r="AV63" s="1117">
        <f t="shared" si="100"/>
        <v>12022265.525896648</v>
      </c>
      <c r="AW63" s="1117">
        <f t="shared" si="101"/>
        <v>19939895.743749738</v>
      </c>
      <c r="AX63" s="1117">
        <f t="shared" si="102"/>
        <v>46083797.730353624</v>
      </c>
      <c r="AY63" s="1118"/>
      <c r="BC63" s="1116">
        <f t="shared" si="103"/>
        <v>78045959</v>
      </c>
      <c r="BD63" s="1117">
        <f t="shared" si="104"/>
        <v>12022265.525896648</v>
      </c>
      <c r="BE63" s="1117">
        <f t="shared" si="105"/>
        <v>19939895.743749738</v>
      </c>
      <c r="BF63" s="1117">
        <f t="shared" si="106"/>
        <v>46083797.730353624</v>
      </c>
      <c r="BG63" s="1118"/>
      <c r="BK63" s="1116">
        <f t="shared" si="107"/>
        <v>78045959</v>
      </c>
      <c r="BL63" s="1117">
        <f t="shared" si="108"/>
        <v>12022265.525896648</v>
      </c>
      <c r="BM63" s="1117">
        <f t="shared" si="109"/>
        <v>19939895.743749738</v>
      </c>
      <c r="BN63" s="1117">
        <f t="shared" si="110"/>
        <v>46083797.730353624</v>
      </c>
      <c r="BO63" s="1118"/>
      <c r="BS63" s="1116">
        <f t="shared" si="111"/>
        <v>78045959</v>
      </c>
      <c r="BT63" s="1117">
        <f t="shared" si="112"/>
        <v>12022265.525896648</v>
      </c>
      <c r="BU63" s="1117">
        <f t="shared" si="113"/>
        <v>19939895.743749738</v>
      </c>
      <c r="BV63" s="1117">
        <f t="shared" si="114"/>
        <v>46083797.730353624</v>
      </c>
      <c r="BW63" s="1118"/>
      <c r="CA63" s="1116">
        <f t="shared" si="115"/>
        <v>78045959</v>
      </c>
      <c r="CB63" s="1117">
        <f t="shared" si="116"/>
        <v>12022265.525896648</v>
      </c>
      <c r="CC63" s="1117">
        <f t="shared" si="117"/>
        <v>19939895.743749738</v>
      </c>
      <c r="CD63" s="1117">
        <f t="shared" si="118"/>
        <v>46083797.730353624</v>
      </c>
      <c r="CE63" s="1118"/>
      <c r="CI63" s="1116">
        <f t="shared" si="119"/>
        <v>78045959</v>
      </c>
      <c r="CJ63" s="1117">
        <f t="shared" si="120"/>
        <v>12022265.525896648</v>
      </c>
      <c r="CK63" s="1117">
        <f t="shared" si="121"/>
        <v>19939895.743749738</v>
      </c>
      <c r="CL63" s="1117">
        <f t="shared" si="122"/>
        <v>46083797.730353624</v>
      </c>
      <c r="CM63" s="1118"/>
      <c r="CQ63" s="1116">
        <f t="shared" si="123"/>
        <v>78045959</v>
      </c>
      <c r="CR63" s="1117">
        <f t="shared" si="124"/>
        <v>12022265.525896648</v>
      </c>
      <c r="CS63" s="1117">
        <f t="shared" si="125"/>
        <v>19939895.743749738</v>
      </c>
      <c r="CT63" s="1117">
        <f t="shared" si="126"/>
        <v>46083797.730353624</v>
      </c>
      <c r="CU63" s="1118"/>
      <c r="CY63" s="1116">
        <f t="shared" si="127"/>
        <v>78045959</v>
      </c>
      <c r="CZ63" s="1117">
        <f t="shared" si="128"/>
        <v>12022265.525896648</v>
      </c>
      <c r="DA63" s="1117">
        <f t="shared" si="129"/>
        <v>19939895.743749738</v>
      </c>
      <c r="DB63" s="1117">
        <f t="shared" si="130"/>
        <v>46083797.730353624</v>
      </c>
      <c r="DC63" s="1118"/>
      <c r="DG63" s="1116">
        <f t="shared" si="131"/>
        <v>78045959</v>
      </c>
      <c r="DH63" s="1117">
        <f t="shared" si="132"/>
        <v>12022265.525896648</v>
      </c>
      <c r="DI63" s="1117">
        <f t="shared" si="133"/>
        <v>19939895.743749738</v>
      </c>
      <c r="DJ63" s="1117">
        <f t="shared" si="134"/>
        <v>46083797.730353624</v>
      </c>
      <c r="DK63" s="1118"/>
      <c r="DO63" s="1116">
        <f t="shared" si="135"/>
        <v>78045959</v>
      </c>
      <c r="DP63" s="1117">
        <f t="shared" si="136"/>
        <v>12022265.525896648</v>
      </c>
      <c r="DQ63" s="1117">
        <f t="shared" si="137"/>
        <v>19939895.743749738</v>
      </c>
      <c r="DR63" s="1117">
        <f t="shared" si="138"/>
        <v>46083797.730353624</v>
      </c>
      <c r="DS63" s="1118"/>
      <c r="DW63" s="1116">
        <f t="shared" si="139"/>
        <v>78045959</v>
      </c>
      <c r="DX63" s="1117">
        <f t="shared" si="140"/>
        <v>12022265.525896648</v>
      </c>
      <c r="DY63" s="1117">
        <f t="shared" si="141"/>
        <v>19939895.743749738</v>
      </c>
      <c r="DZ63" s="1117">
        <f t="shared" si="142"/>
        <v>46083797.730353624</v>
      </c>
      <c r="EA63" s="1118"/>
      <c r="EE63" s="1116">
        <f t="shared" si="143"/>
        <v>78045959</v>
      </c>
      <c r="EF63" s="1117">
        <f t="shared" si="144"/>
        <v>12022265.525896648</v>
      </c>
      <c r="EG63" s="1117">
        <f t="shared" si="145"/>
        <v>19939895.743749738</v>
      </c>
      <c r="EH63" s="1117">
        <f t="shared" si="146"/>
        <v>46083797.730353624</v>
      </c>
      <c r="EI63" s="1118"/>
      <c r="EM63" s="1116">
        <f t="shared" si="147"/>
        <v>78045959</v>
      </c>
      <c r="EN63" s="1117">
        <f t="shared" si="148"/>
        <v>12022265.525896648</v>
      </c>
      <c r="EO63" s="1117">
        <f t="shared" si="149"/>
        <v>19939895.743749738</v>
      </c>
      <c r="EP63" s="1117">
        <f t="shared" si="150"/>
        <v>46083797.730353624</v>
      </c>
      <c r="EQ63" s="1118"/>
      <c r="EU63" s="1116">
        <f t="shared" si="151"/>
        <v>78045959</v>
      </c>
      <c r="EV63" s="1117">
        <f t="shared" si="152"/>
        <v>12022265.525896648</v>
      </c>
      <c r="EW63" s="1117">
        <f t="shared" si="153"/>
        <v>19939895.743749738</v>
      </c>
      <c r="EX63" s="1117">
        <f t="shared" si="154"/>
        <v>46083797.730353624</v>
      </c>
      <c r="EY63" s="1118"/>
      <c r="FC63" s="1116">
        <f t="shared" si="155"/>
        <v>78045959</v>
      </c>
      <c r="FD63" s="1117">
        <f t="shared" si="156"/>
        <v>12022265.525896648</v>
      </c>
      <c r="FE63" s="1117">
        <f t="shared" si="157"/>
        <v>19939895.743749738</v>
      </c>
      <c r="FF63" s="1117">
        <f t="shared" si="158"/>
        <v>46083797.730353624</v>
      </c>
      <c r="FG63" s="1118"/>
      <c r="FK63" s="1116">
        <f t="shared" si="159"/>
        <v>78045959</v>
      </c>
      <c r="FL63" s="1117">
        <f t="shared" si="160"/>
        <v>12022265.525896648</v>
      </c>
      <c r="FM63" s="1117">
        <f t="shared" si="161"/>
        <v>19939895.743749738</v>
      </c>
      <c r="FN63" s="1117">
        <f t="shared" si="162"/>
        <v>46083797.730353624</v>
      </c>
      <c r="FO63" s="1118"/>
    </row>
    <row r="64" spans="1:171">
      <c r="A64" s="912"/>
      <c r="B64" s="913" t="s">
        <v>373</v>
      </c>
      <c r="C64" s="888">
        <v>219</v>
      </c>
      <c r="D64" s="888">
        <v>108</v>
      </c>
      <c r="E64" s="182" t="str">
        <f>'Sch 1- Rate Base '!E64</f>
        <v>DIST</v>
      </c>
      <c r="F64" s="889"/>
      <c r="G64" s="182">
        <f>'Sch 1- Rate Base '!G64</f>
        <v>0</v>
      </c>
      <c r="H64" s="182">
        <f>'Sch 1- Rate Base '!H64</f>
        <v>0</v>
      </c>
      <c r="I64" s="182">
        <f>'Sch 1- Rate Base '!I64</f>
        <v>0</v>
      </c>
      <c r="J64" s="183">
        <f>'Sch 1- Rate Base '!J64</f>
        <v>0</v>
      </c>
      <c r="K64" s="903">
        <f t="shared" si="82"/>
        <v>1</v>
      </c>
      <c r="O64" s="1116">
        <f t="shared" si="83"/>
        <v>0</v>
      </c>
      <c r="P64" s="1117">
        <f t="shared" si="84"/>
        <v>0</v>
      </c>
      <c r="Q64" s="1117">
        <f t="shared" si="85"/>
        <v>0</v>
      </c>
      <c r="R64" s="1117">
        <f t="shared" si="86"/>
        <v>0</v>
      </c>
      <c r="S64" s="1118"/>
      <c r="W64" s="1116">
        <f t="shared" si="87"/>
        <v>0</v>
      </c>
      <c r="X64" s="1117">
        <f t="shared" si="88"/>
        <v>0</v>
      </c>
      <c r="Y64" s="1117">
        <f t="shared" si="89"/>
        <v>0</v>
      </c>
      <c r="Z64" s="1117">
        <f t="shared" si="90"/>
        <v>0</v>
      </c>
      <c r="AA64" s="1118"/>
      <c r="AE64" s="1116">
        <f t="shared" si="91"/>
        <v>0</v>
      </c>
      <c r="AF64" s="1117">
        <f t="shared" si="92"/>
        <v>0</v>
      </c>
      <c r="AG64" s="1117">
        <f t="shared" si="93"/>
        <v>0</v>
      </c>
      <c r="AH64" s="1117">
        <f t="shared" si="94"/>
        <v>0</v>
      </c>
      <c r="AI64" s="1118"/>
      <c r="AM64" s="1116">
        <f t="shared" si="95"/>
        <v>0</v>
      </c>
      <c r="AN64" s="1117">
        <f t="shared" si="96"/>
        <v>0</v>
      </c>
      <c r="AO64" s="1117">
        <f t="shared" si="97"/>
        <v>0</v>
      </c>
      <c r="AP64" s="1117">
        <f t="shared" si="98"/>
        <v>0</v>
      </c>
      <c r="AQ64" s="1118"/>
      <c r="AU64" s="1116">
        <f t="shared" si="99"/>
        <v>0</v>
      </c>
      <c r="AV64" s="1117">
        <f t="shared" si="100"/>
        <v>0</v>
      </c>
      <c r="AW64" s="1117">
        <f t="shared" si="101"/>
        <v>0</v>
      </c>
      <c r="AX64" s="1117">
        <f t="shared" si="102"/>
        <v>0</v>
      </c>
      <c r="AY64" s="1118"/>
      <c r="BC64" s="1116">
        <f t="shared" si="103"/>
        <v>0</v>
      </c>
      <c r="BD64" s="1117">
        <f t="shared" si="104"/>
        <v>0</v>
      </c>
      <c r="BE64" s="1117">
        <f t="shared" si="105"/>
        <v>0</v>
      </c>
      <c r="BF64" s="1117">
        <f t="shared" si="106"/>
        <v>0</v>
      </c>
      <c r="BG64" s="1118"/>
      <c r="BK64" s="1116">
        <f t="shared" si="107"/>
        <v>0</v>
      </c>
      <c r="BL64" s="1117">
        <f t="shared" si="108"/>
        <v>0</v>
      </c>
      <c r="BM64" s="1117">
        <f t="shared" si="109"/>
        <v>0</v>
      </c>
      <c r="BN64" s="1117">
        <f t="shared" si="110"/>
        <v>0</v>
      </c>
      <c r="BO64" s="1118"/>
      <c r="BS64" s="1116">
        <f t="shared" si="111"/>
        <v>0</v>
      </c>
      <c r="BT64" s="1117">
        <f t="shared" si="112"/>
        <v>0</v>
      </c>
      <c r="BU64" s="1117">
        <f t="shared" si="113"/>
        <v>0</v>
      </c>
      <c r="BV64" s="1117">
        <f t="shared" si="114"/>
        <v>0</v>
      </c>
      <c r="BW64" s="1118"/>
      <c r="CA64" s="1116">
        <f t="shared" si="115"/>
        <v>0</v>
      </c>
      <c r="CB64" s="1117">
        <f t="shared" si="116"/>
        <v>0</v>
      </c>
      <c r="CC64" s="1117">
        <f t="shared" si="117"/>
        <v>0</v>
      </c>
      <c r="CD64" s="1117">
        <f t="shared" si="118"/>
        <v>0</v>
      </c>
      <c r="CE64" s="1118"/>
      <c r="CI64" s="1116">
        <f t="shared" si="119"/>
        <v>0</v>
      </c>
      <c r="CJ64" s="1117">
        <f t="shared" si="120"/>
        <v>0</v>
      </c>
      <c r="CK64" s="1117">
        <f t="shared" si="121"/>
        <v>0</v>
      </c>
      <c r="CL64" s="1117">
        <f t="shared" si="122"/>
        <v>0</v>
      </c>
      <c r="CM64" s="1118"/>
      <c r="CQ64" s="1116">
        <f t="shared" si="123"/>
        <v>0</v>
      </c>
      <c r="CR64" s="1117">
        <f t="shared" si="124"/>
        <v>0</v>
      </c>
      <c r="CS64" s="1117">
        <f t="shared" si="125"/>
        <v>0</v>
      </c>
      <c r="CT64" s="1117">
        <f t="shared" si="126"/>
        <v>0</v>
      </c>
      <c r="CU64" s="1118"/>
      <c r="CY64" s="1116">
        <f t="shared" si="127"/>
        <v>0</v>
      </c>
      <c r="CZ64" s="1117">
        <f t="shared" si="128"/>
        <v>0</v>
      </c>
      <c r="DA64" s="1117">
        <f t="shared" si="129"/>
        <v>0</v>
      </c>
      <c r="DB64" s="1117">
        <f t="shared" si="130"/>
        <v>0</v>
      </c>
      <c r="DC64" s="1118"/>
      <c r="DG64" s="1116">
        <f t="shared" si="131"/>
        <v>0</v>
      </c>
      <c r="DH64" s="1117">
        <f t="shared" si="132"/>
        <v>0</v>
      </c>
      <c r="DI64" s="1117">
        <f t="shared" si="133"/>
        <v>0</v>
      </c>
      <c r="DJ64" s="1117">
        <f t="shared" si="134"/>
        <v>0</v>
      </c>
      <c r="DK64" s="1118"/>
      <c r="DO64" s="1116">
        <f t="shared" si="135"/>
        <v>0</v>
      </c>
      <c r="DP64" s="1117">
        <f t="shared" si="136"/>
        <v>0</v>
      </c>
      <c r="DQ64" s="1117">
        <f t="shared" si="137"/>
        <v>0</v>
      </c>
      <c r="DR64" s="1117">
        <f t="shared" si="138"/>
        <v>0</v>
      </c>
      <c r="DS64" s="1118"/>
      <c r="DW64" s="1116">
        <f t="shared" si="139"/>
        <v>0</v>
      </c>
      <c r="DX64" s="1117">
        <f t="shared" si="140"/>
        <v>0</v>
      </c>
      <c r="DY64" s="1117">
        <f t="shared" si="141"/>
        <v>0</v>
      </c>
      <c r="DZ64" s="1117">
        <f t="shared" si="142"/>
        <v>0</v>
      </c>
      <c r="EA64" s="1118"/>
      <c r="EE64" s="1116">
        <f t="shared" si="143"/>
        <v>0</v>
      </c>
      <c r="EF64" s="1117">
        <f t="shared" si="144"/>
        <v>0</v>
      </c>
      <c r="EG64" s="1117">
        <f t="shared" si="145"/>
        <v>0</v>
      </c>
      <c r="EH64" s="1117">
        <f t="shared" si="146"/>
        <v>0</v>
      </c>
      <c r="EI64" s="1118"/>
      <c r="EM64" s="1116">
        <f t="shared" si="147"/>
        <v>0</v>
      </c>
      <c r="EN64" s="1117">
        <f t="shared" si="148"/>
        <v>0</v>
      </c>
      <c r="EO64" s="1117">
        <f t="shared" si="149"/>
        <v>0</v>
      </c>
      <c r="EP64" s="1117">
        <f t="shared" si="150"/>
        <v>0</v>
      </c>
      <c r="EQ64" s="1118"/>
      <c r="EU64" s="1116">
        <f t="shared" si="151"/>
        <v>0</v>
      </c>
      <c r="EV64" s="1117">
        <f t="shared" si="152"/>
        <v>0</v>
      </c>
      <c r="EW64" s="1117">
        <f t="shared" si="153"/>
        <v>0</v>
      </c>
      <c r="EX64" s="1117">
        <f t="shared" si="154"/>
        <v>0</v>
      </c>
      <c r="EY64" s="1118"/>
      <c r="FC64" s="1116">
        <f t="shared" si="155"/>
        <v>0</v>
      </c>
      <c r="FD64" s="1117">
        <f t="shared" si="156"/>
        <v>0</v>
      </c>
      <c r="FE64" s="1117">
        <f t="shared" si="157"/>
        <v>0</v>
      </c>
      <c r="FF64" s="1117">
        <f t="shared" si="158"/>
        <v>0</v>
      </c>
      <c r="FG64" s="1118"/>
      <c r="FK64" s="1116">
        <f t="shared" si="159"/>
        <v>0</v>
      </c>
      <c r="FL64" s="1117">
        <f t="shared" si="160"/>
        <v>0</v>
      </c>
      <c r="FM64" s="1117">
        <f t="shared" si="161"/>
        <v>0</v>
      </c>
      <c r="FN64" s="1117">
        <f t="shared" si="162"/>
        <v>0</v>
      </c>
      <c r="FO64" s="1118"/>
    </row>
    <row r="65" spans="1:171">
      <c r="A65" s="912"/>
      <c r="B65" s="913" t="s">
        <v>374</v>
      </c>
      <c r="C65" s="888">
        <v>219</v>
      </c>
      <c r="D65" s="888">
        <v>108</v>
      </c>
      <c r="E65" s="182" t="str">
        <f>'Sch 1- Rate Base '!E65</f>
        <v>DIRECT</v>
      </c>
      <c r="F65" s="889"/>
      <c r="G65" s="182">
        <f>'Sch 1- Rate Base '!G65</f>
        <v>9306035.6400000025</v>
      </c>
      <c r="H65" s="182">
        <f>'Sch 1- Rate Base '!H65</f>
        <v>8402719.4400000013</v>
      </c>
      <c r="I65" s="182">
        <f>'Sch 1- Rate Base '!I65</f>
        <v>0</v>
      </c>
      <c r="J65" s="183">
        <f>'Sch 1- Rate Base '!J65</f>
        <v>903316.2</v>
      </c>
      <c r="K65" s="903">
        <f t="shared" si="82"/>
        <v>0</v>
      </c>
      <c r="O65" s="1116">
        <f t="shared" si="83"/>
        <v>9306035.6400000025</v>
      </c>
      <c r="P65" s="1117">
        <f t="shared" si="84"/>
        <v>8402719.4400000013</v>
      </c>
      <c r="Q65" s="1117">
        <f t="shared" si="85"/>
        <v>0</v>
      </c>
      <c r="R65" s="1117">
        <f t="shared" si="86"/>
        <v>903316.20000000112</v>
      </c>
      <c r="S65" s="1118"/>
      <c r="W65" s="1116">
        <f t="shared" si="87"/>
        <v>9306035.6400000025</v>
      </c>
      <c r="X65" s="1117">
        <f t="shared" si="88"/>
        <v>8402719.4400000013</v>
      </c>
      <c r="Y65" s="1117">
        <f t="shared" si="89"/>
        <v>0</v>
      </c>
      <c r="Z65" s="1117">
        <f t="shared" si="90"/>
        <v>903316.20000000112</v>
      </c>
      <c r="AA65" s="1118"/>
      <c r="AE65" s="1116">
        <f t="shared" si="91"/>
        <v>9306035.6400000025</v>
      </c>
      <c r="AF65" s="1117">
        <f t="shared" si="92"/>
        <v>8402719.4400000013</v>
      </c>
      <c r="AG65" s="1117">
        <f t="shared" si="93"/>
        <v>0</v>
      </c>
      <c r="AH65" s="1117">
        <f t="shared" si="94"/>
        <v>903316.20000000112</v>
      </c>
      <c r="AI65" s="1118"/>
      <c r="AM65" s="1116">
        <f t="shared" si="95"/>
        <v>9306035.6400000025</v>
      </c>
      <c r="AN65" s="1117">
        <f t="shared" si="96"/>
        <v>8402719.4400000013</v>
      </c>
      <c r="AO65" s="1117">
        <f t="shared" si="97"/>
        <v>0</v>
      </c>
      <c r="AP65" s="1117">
        <f t="shared" si="98"/>
        <v>903316.20000000112</v>
      </c>
      <c r="AQ65" s="1118"/>
      <c r="AU65" s="1116">
        <f t="shared" si="99"/>
        <v>9306035.6400000025</v>
      </c>
      <c r="AV65" s="1117">
        <f t="shared" si="100"/>
        <v>8402719.4400000013</v>
      </c>
      <c r="AW65" s="1117">
        <f t="shared" si="101"/>
        <v>0</v>
      </c>
      <c r="AX65" s="1117">
        <f t="shared" si="102"/>
        <v>903316.20000000112</v>
      </c>
      <c r="AY65" s="1118"/>
      <c r="BC65" s="1116">
        <f t="shared" si="103"/>
        <v>9306035.6400000025</v>
      </c>
      <c r="BD65" s="1117">
        <f t="shared" si="104"/>
        <v>8402719.4400000013</v>
      </c>
      <c r="BE65" s="1117">
        <f t="shared" si="105"/>
        <v>0</v>
      </c>
      <c r="BF65" s="1117">
        <f t="shared" si="106"/>
        <v>903316.20000000112</v>
      </c>
      <c r="BG65" s="1118"/>
      <c r="BK65" s="1116">
        <f t="shared" si="107"/>
        <v>9306035.6400000025</v>
      </c>
      <c r="BL65" s="1117">
        <f t="shared" si="108"/>
        <v>8402719.4400000013</v>
      </c>
      <c r="BM65" s="1117">
        <f t="shared" si="109"/>
        <v>0</v>
      </c>
      <c r="BN65" s="1117">
        <f t="shared" si="110"/>
        <v>903316.20000000112</v>
      </c>
      <c r="BO65" s="1118"/>
      <c r="BS65" s="1116">
        <f t="shared" si="111"/>
        <v>9306035.6400000025</v>
      </c>
      <c r="BT65" s="1117">
        <f t="shared" si="112"/>
        <v>8402719.4400000013</v>
      </c>
      <c r="BU65" s="1117">
        <f t="shared" si="113"/>
        <v>0</v>
      </c>
      <c r="BV65" s="1117">
        <f t="shared" si="114"/>
        <v>903316.20000000112</v>
      </c>
      <c r="BW65" s="1118"/>
      <c r="CA65" s="1116">
        <f t="shared" si="115"/>
        <v>9306035.6400000025</v>
      </c>
      <c r="CB65" s="1117">
        <f t="shared" si="116"/>
        <v>8402719.4400000013</v>
      </c>
      <c r="CC65" s="1117">
        <f t="shared" si="117"/>
        <v>0</v>
      </c>
      <c r="CD65" s="1117">
        <f t="shared" si="118"/>
        <v>903316.20000000112</v>
      </c>
      <c r="CE65" s="1118"/>
      <c r="CI65" s="1116">
        <f t="shared" si="119"/>
        <v>9306035.6400000025</v>
      </c>
      <c r="CJ65" s="1117">
        <f t="shared" si="120"/>
        <v>8402719.4400000013</v>
      </c>
      <c r="CK65" s="1117">
        <f t="shared" si="121"/>
        <v>0</v>
      </c>
      <c r="CL65" s="1117">
        <f t="shared" si="122"/>
        <v>903316.20000000112</v>
      </c>
      <c r="CM65" s="1118"/>
      <c r="CQ65" s="1116">
        <f t="shared" si="123"/>
        <v>9306035.6400000025</v>
      </c>
      <c r="CR65" s="1117">
        <f t="shared" si="124"/>
        <v>8402719.4400000013</v>
      </c>
      <c r="CS65" s="1117">
        <f t="shared" si="125"/>
        <v>0</v>
      </c>
      <c r="CT65" s="1117">
        <f t="shared" si="126"/>
        <v>903316.20000000112</v>
      </c>
      <c r="CU65" s="1118"/>
      <c r="CY65" s="1116">
        <f t="shared" si="127"/>
        <v>9306035.6400000025</v>
      </c>
      <c r="CZ65" s="1117">
        <f t="shared" si="128"/>
        <v>8402719.4400000013</v>
      </c>
      <c r="DA65" s="1117">
        <f t="shared" si="129"/>
        <v>0</v>
      </c>
      <c r="DB65" s="1117">
        <f t="shared" si="130"/>
        <v>903316.20000000112</v>
      </c>
      <c r="DC65" s="1118"/>
      <c r="DG65" s="1116">
        <f t="shared" si="131"/>
        <v>9306035.6400000025</v>
      </c>
      <c r="DH65" s="1117">
        <f t="shared" si="132"/>
        <v>8402719.4400000013</v>
      </c>
      <c r="DI65" s="1117">
        <f t="shared" si="133"/>
        <v>0</v>
      </c>
      <c r="DJ65" s="1117">
        <f t="shared" si="134"/>
        <v>903316.20000000112</v>
      </c>
      <c r="DK65" s="1118"/>
      <c r="DO65" s="1116">
        <f t="shared" si="135"/>
        <v>9306035.6400000025</v>
      </c>
      <c r="DP65" s="1117">
        <f t="shared" si="136"/>
        <v>8402719.4400000013</v>
      </c>
      <c r="DQ65" s="1117">
        <f t="shared" si="137"/>
        <v>0</v>
      </c>
      <c r="DR65" s="1117">
        <f t="shared" si="138"/>
        <v>903316.20000000112</v>
      </c>
      <c r="DS65" s="1118"/>
      <c r="DW65" s="1116">
        <f t="shared" si="139"/>
        <v>9306035.6400000025</v>
      </c>
      <c r="DX65" s="1117">
        <f t="shared" si="140"/>
        <v>8402719.4400000013</v>
      </c>
      <c r="DY65" s="1117">
        <f t="shared" si="141"/>
        <v>0</v>
      </c>
      <c r="DZ65" s="1117">
        <f t="shared" si="142"/>
        <v>903316.20000000112</v>
      </c>
      <c r="EA65" s="1118"/>
      <c r="EE65" s="1116">
        <f t="shared" si="143"/>
        <v>9306035.6400000025</v>
      </c>
      <c r="EF65" s="1117">
        <f t="shared" si="144"/>
        <v>8402719.4400000013</v>
      </c>
      <c r="EG65" s="1117">
        <f t="shared" si="145"/>
        <v>0</v>
      </c>
      <c r="EH65" s="1117">
        <f t="shared" si="146"/>
        <v>903316.20000000112</v>
      </c>
      <c r="EI65" s="1118"/>
      <c r="EM65" s="1116">
        <f t="shared" si="147"/>
        <v>9306035.6400000025</v>
      </c>
      <c r="EN65" s="1117">
        <f t="shared" si="148"/>
        <v>8402719.4400000013</v>
      </c>
      <c r="EO65" s="1117">
        <f t="shared" si="149"/>
        <v>0</v>
      </c>
      <c r="EP65" s="1117">
        <f t="shared" si="150"/>
        <v>903316.20000000112</v>
      </c>
      <c r="EQ65" s="1118"/>
      <c r="EU65" s="1116">
        <f t="shared" si="151"/>
        <v>9306035.6400000025</v>
      </c>
      <c r="EV65" s="1117">
        <f t="shared" si="152"/>
        <v>8402719.4400000013</v>
      </c>
      <c r="EW65" s="1117">
        <f t="shared" si="153"/>
        <v>0</v>
      </c>
      <c r="EX65" s="1117">
        <f t="shared" si="154"/>
        <v>903316.20000000112</v>
      </c>
      <c r="EY65" s="1118"/>
      <c r="FC65" s="1116">
        <f t="shared" si="155"/>
        <v>9306035.6400000025</v>
      </c>
      <c r="FD65" s="1117">
        <f t="shared" si="156"/>
        <v>8402719.4400000013</v>
      </c>
      <c r="FE65" s="1117">
        <f t="shared" si="157"/>
        <v>0</v>
      </c>
      <c r="FF65" s="1117">
        <f t="shared" si="158"/>
        <v>903316.20000000112</v>
      </c>
      <c r="FG65" s="1118"/>
      <c r="FK65" s="1116">
        <f t="shared" si="159"/>
        <v>9306035.6400000025</v>
      </c>
      <c r="FL65" s="1117">
        <f t="shared" si="160"/>
        <v>8402719.4400000013</v>
      </c>
      <c r="FM65" s="1117">
        <f t="shared" si="161"/>
        <v>0</v>
      </c>
      <c r="FN65" s="1117">
        <f t="shared" si="162"/>
        <v>903316.20000000112</v>
      </c>
      <c r="FO65" s="1118"/>
    </row>
    <row r="66" spans="1:171">
      <c r="A66" s="912"/>
      <c r="B66" s="913" t="s">
        <v>403</v>
      </c>
      <c r="C66" s="888">
        <v>219</v>
      </c>
      <c r="D66" s="888">
        <v>108</v>
      </c>
      <c r="E66" s="182" t="str">
        <f>'Sch 1- Rate Base '!E66</f>
        <v>DIRECT</v>
      </c>
      <c r="F66" s="889"/>
      <c r="G66" s="182">
        <f>'Sch 1- Rate Base '!G66</f>
        <v>8218633.7199999997</v>
      </c>
      <c r="H66" s="182">
        <f>'Sch 1- Rate Base '!H66</f>
        <v>4395779.3655016273</v>
      </c>
      <c r="I66" s="182">
        <f>'Sch 1- Rate Base '!I66</f>
        <v>0</v>
      </c>
      <c r="J66" s="183">
        <f>'Sch 1- Rate Base '!J66</f>
        <v>3822854.3512011645</v>
      </c>
      <c r="K66" s="903">
        <f t="shared" si="82"/>
        <v>0</v>
      </c>
      <c r="O66" s="1116">
        <f t="shared" si="83"/>
        <v>8218633.7199999997</v>
      </c>
      <c r="P66" s="1117">
        <f t="shared" si="84"/>
        <v>4395779.3655016273</v>
      </c>
      <c r="Q66" s="1117">
        <f t="shared" si="85"/>
        <v>0</v>
      </c>
      <c r="R66" s="1117">
        <f t="shared" si="86"/>
        <v>3822854.3544983724</v>
      </c>
      <c r="S66" s="1118"/>
      <c r="W66" s="1116">
        <f t="shared" si="87"/>
        <v>8218633.7199999997</v>
      </c>
      <c r="X66" s="1117">
        <f t="shared" si="88"/>
        <v>4395779.3655016273</v>
      </c>
      <c r="Y66" s="1117">
        <f t="shared" si="89"/>
        <v>0</v>
      </c>
      <c r="Z66" s="1117">
        <f t="shared" si="90"/>
        <v>3822854.3544983724</v>
      </c>
      <c r="AA66" s="1118"/>
      <c r="AE66" s="1116">
        <f t="shared" si="91"/>
        <v>8218633.7199999997</v>
      </c>
      <c r="AF66" s="1117">
        <f t="shared" si="92"/>
        <v>4395779.3655016273</v>
      </c>
      <c r="AG66" s="1117">
        <f t="shared" si="93"/>
        <v>0</v>
      </c>
      <c r="AH66" s="1117">
        <f t="shared" si="94"/>
        <v>3822854.3544983724</v>
      </c>
      <c r="AI66" s="1118"/>
      <c r="AM66" s="1116">
        <f t="shared" si="95"/>
        <v>8218633.7199999997</v>
      </c>
      <c r="AN66" s="1117">
        <f t="shared" si="96"/>
        <v>4395779.3655016273</v>
      </c>
      <c r="AO66" s="1117">
        <f t="shared" si="97"/>
        <v>0</v>
      </c>
      <c r="AP66" s="1117">
        <f t="shared" si="98"/>
        <v>3822854.3544983724</v>
      </c>
      <c r="AQ66" s="1118"/>
      <c r="AU66" s="1116">
        <f t="shared" si="99"/>
        <v>8218633.7199999997</v>
      </c>
      <c r="AV66" s="1117">
        <f t="shared" si="100"/>
        <v>4395779.3655016273</v>
      </c>
      <c r="AW66" s="1117">
        <f t="shared" si="101"/>
        <v>0</v>
      </c>
      <c r="AX66" s="1117">
        <f t="shared" si="102"/>
        <v>3822854.3544983724</v>
      </c>
      <c r="AY66" s="1118"/>
      <c r="BC66" s="1116">
        <f t="shared" si="103"/>
        <v>8218633.7199999997</v>
      </c>
      <c r="BD66" s="1117">
        <f t="shared" si="104"/>
        <v>4395779.3655016273</v>
      </c>
      <c r="BE66" s="1117">
        <f t="shared" si="105"/>
        <v>0</v>
      </c>
      <c r="BF66" s="1117">
        <f t="shared" si="106"/>
        <v>3822854.3544983724</v>
      </c>
      <c r="BG66" s="1118"/>
      <c r="BK66" s="1116">
        <f t="shared" si="107"/>
        <v>8218633.7199999997</v>
      </c>
      <c r="BL66" s="1117">
        <f t="shared" si="108"/>
        <v>4395779.3655016273</v>
      </c>
      <c r="BM66" s="1117">
        <f t="shared" si="109"/>
        <v>0</v>
      </c>
      <c r="BN66" s="1117">
        <f t="shared" si="110"/>
        <v>3822854.3544983724</v>
      </c>
      <c r="BO66" s="1118"/>
      <c r="BS66" s="1116">
        <f t="shared" si="111"/>
        <v>8218633.7199999997</v>
      </c>
      <c r="BT66" s="1117">
        <f t="shared" si="112"/>
        <v>4395779.3655016273</v>
      </c>
      <c r="BU66" s="1117">
        <f t="shared" si="113"/>
        <v>0</v>
      </c>
      <c r="BV66" s="1117">
        <f t="shared" si="114"/>
        <v>3822854.3544983724</v>
      </c>
      <c r="BW66" s="1118"/>
      <c r="CA66" s="1116">
        <f t="shared" si="115"/>
        <v>8218633.7199999997</v>
      </c>
      <c r="CB66" s="1117">
        <f t="shared" si="116"/>
        <v>4395779.3655016273</v>
      </c>
      <c r="CC66" s="1117">
        <f t="shared" si="117"/>
        <v>0</v>
      </c>
      <c r="CD66" s="1117">
        <f t="shared" si="118"/>
        <v>3822854.3544983724</v>
      </c>
      <c r="CE66" s="1118"/>
      <c r="CI66" s="1116">
        <f t="shared" si="119"/>
        <v>8218633.7199999997</v>
      </c>
      <c r="CJ66" s="1117">
        <f t="shared" si="120"/>
        <v>4395779.3655016273</v>
      </c>
      <c r="CK66" s="1117">
        <f t="shared" si="121"/>
        <v>0</v>
      </c>
      <c r="CL66" s="1117">
        <f t="shared" si="122"/>
        <v>3822854.3544983724</v>
      </c>
      <c r="CM66" s="1118"/>
      <c r="CQ66" s="1116">
        <f t="shared" si="123"/>
        <v>8218633.7199999997</v>
      </c>
      <c r="CR66" s="1117">
        <f t="shared" si="124"/>
        <v>4395779.3655016273</v>
      </c>
      <c r="CS66" s="1117">
        <f t="shared" si="125"/>
        <v>0</v>
      </c>
      <c r="CT66" s="1117">
        <f t="shared" si="126"/>
        <v>3822854.3544983724</v>
      </c>
      <c r="CU66" s="1118"/>
      <c r="CY66" s="1116">
        <f t="shared" si="127"/>
        <v>8218633.7199999997</v>
      </c>
      <c r="CZ66" s="1117">
        <f t="shared" si="128"/>
        <v>4395779.3655016273</v>
      </c>
      <c r="DA66" s="1117">
        <f t="shared" si="129"/>
        <v>0</v>
      </c>
      <c r="DB66" s="1117">
        <f t="shared" si="130"/>
        <v>3822854.3544983724</v>
      </c>
      <c r="DC66" s="1118"/>
      <c r="DG66" s="1116">
        <f t="shared" si="131"/>
        <v>8218633.7199999997</v>
      </c>
      <c r="DH66" s="1117">
        <f t="shared" si="132"/>
        <v>4395779.3655016273</v>
      </c>
      <c r="DI66" s="1117">
        <f t="shared" si="133"/>
        <v>0</v>
      </c>
      <c r="DJ66" s="1117">
        <f t="shared" si="134"/>
        <v>3822854.3544983724</v>
      </c>
      <c r="DK66" s="1118"/>
      <c r="DO66" s="1116">
        <f t="shared" si="135"/>
        <v>8218633.7199999997</v>
      </c>
      <c r="DP66" s="1117">
        <f t="shared" si="136"/>
        <v>4395779.3655016273</v>
      </c>
      <c r="DQ66" s="1117">
        <f t="shared" si="137"/>
        <v>0</v>
      </c>
      <c r="DR66" s="1117">
        <f t="shared" si="138"/>
        <v>3822854.3544983724</v>
      </c>
      <c r="DS66" s="1118"/>
      <c r="DW66" s="1116">
        <f t="shared" si="139"/>
        <v>8218633.7199999997</v>
      </c>
      <c r="DX66" s="1117">
        <f t="shared" si="140"/>
        <v>4395779.3655016273</v>
      </c>
      <c r="DY66" s="1117">
        <f t="shared" si="141"/>
        <v>0</v>
      </c>
      <c r="DZ66" s="1117">
        <f t="shared" si="142"/>
        <v>3822854.3544983724</v>
      </c>
      <c r="EA66" s="1118"/>
      <c r="EE66" s="1116">
        <f t="shared" si="143"/>
        <v>8218633.7199999997</v>
      </c>
      <c r="EF66" s="1117">
        <f t="shared" si="144"/>
        <v>4395779.3655016273</v>
      </c>
      <c r="EG66" s="1117">
        <f t="shared" si="145"/>
        <v>0</v>
      </c>
      <c r="EH66" s="1117">
        <f t="shared" si="146"/>
        <v>3822854.3544983724</v>
      </c>
      <c r="EI66" s="1118"/>
      <c r="EM66" s="1116">
        <f t="shared" si="147"/>
        <v>8218633.7199999997</v>
      </c>
      <c r="EN66" s="1117">
        <f t="shared" si="148"/>
        <v>4395779.3655016273</v>
      </c>
      <c r="EO66" s="1117">
        <f t="shared" si="149"/>
        <v>0</v>
      </c>
      <c r="EP66" s="1117">
        <f t="shared" si="150"/>
        <v>3822854.3544983724</v>
      </c>
      <c r="EQ66" s="1118"/>
      <c r="EU66" s="1116">
        <f t="shared" si="151"/>
        <v>8218633.7199999997</v>
      </c>
      <c r="EV66" s="1117">
        <f t="shared" si="152"/>
        <v>4395779.3655016273</v>
      </c>
      <c r="EW66" s="1117">
        <f t="shared" si="153"/>
        <v>0</v>
      </c>
      <c r="EX66" s="1117">
        <f t="shared" si="154"/>
        <v>3822854.3544983724</v>
      </c>
      <c r="EY66" s="1118"/>
      <c r="FC66" s="1116">
        <f t="shared" si="155"/>
        <v>8218633.7199999997</v>
      </c>
      <c r="FD66" s="1117">
        <f t="shared" si="156"/>
        <v>4395779.3655016273</v>
      </c>
      <c r="FE66" s="1117">
        <f t="shared" si="157"/>
        <v>0</v>
      </c>
      <c r="FF66" s="1117">
        <f t="shared" si="158"/>
        <v>3822854.3544983724</v>
      </c>
      <c r="FG66" s="1118"/>
      <c r="FK66" s="1116">
        <f t="shared" si="159"/>
        <v>8218633.7199999997</v>
      </c>
      <c r="FL66" s="1117">
        <f t="shared" si="160"/>
        <v>4395779.3655016273</v>
      </c>
      <c r="FM66" s="1117">
        <f t="shared" si="161"/>
        <v>0</v>
      </c>
      <c r="FN66" s="1117">
        <f t="shared" si="162"/>
        <v>3822854.3544983724</v>
      </c>
      <c r="FO66" s="1118"/>
    </row>
    <row r="67" spans="1:171">
      <c r="A67" s="912"/>
      <c r="B67" s="913" t="s">
        <v>253</v>
      </c>
      <c r="C67" s="888">
        <v>219</v>
      </c>
      <c r="D67" s="888">
        <v>108</v>
      </c>
      <c r="E67" s="182" t="str">
        <f>'Sch 1- Rate Base '!E67</f>
        <v>PROD</v>
      </c>
      <c r="F67" s="889"/>
      <c r="G67" s="182">
        <f>'Sch 1- Rate Base '!G67</f>
        <v>0</v>
      </c>
      <c r="H67" s="182">
        <f>'Sch 1- Rate Base '!H67</f>
        <v>0</v>
      </c>
      <c r="I67" s="182">
        <f>'Sch 1- Rate Base '!I67</f>
        <v>0</v>
      </c>
      <c r="J67" s="183">
        <f>'Sch 1- Rate Base '!J67</f>
        <v>0</v>
      </c>
      <c r="K67" s="903">
        <f t="shared" si="82"/>
        <v>1</v>
      </c>
      <c r="O67" s="1116">
        <f t="shared" si="83"/>
        <v>0</v>
      </c>
      <c r="P67" s="1117">
        <f t="shared" si="84"/>
        <v>0</v>
      </c>
      <c r="Q67" s="1117">
        <f t="shared" si="85"/>
        <v>0</v>
      </c>
      <c r="R67" s="1117">
        <f t="shared" si="86"/>
        <v>0</v>
      </c>
      <c r="S67" s="1118"/>
      <c r="W67" s="1116">
        <f t="shared" si="87"/>
        <v>0</v>
      </c>
      <c r="X67" s="1117">
        <f t="shared" si="88"/>
        <v>0</v>
      </c>
      <c r="Y67" s="1117">
        <f t="shared" si="89"/>
        <v>0</v>
      </c>
      <c r="Z67" s="1117">
        <f t="shared" si="90"/>
        <v>0</v>
      </c>
      <c r="AA67" s="1118"/>
      <c r="AE67" s="1116">
        <f t="shared" si="91"/>
        <v>0</v>
      </c>
      <c r="AF67" s="1117">
        <f t="shared" si="92"/>
        <v>0</v>
      </c>
      <c r="AG67" s="1117">
        <f t="shared" si="93"/>
        <v>0</v>
      </c>
      <c r="AH67" s="1117">
        <f t="shared" si="94"/>
        <v>0</v>
      </c>
      <c r="AI67" s="1118"/>
      <c r="AM67" s="1116">
        <f t="shared" si="95"/>
        <v>0</v>
      </c>
      <c r="AN67" s="1117">
        <f t="shared" si="96"/>
        <v>0</v>
      </c>
      <c r="AO67" s="1117">
        <f t="shared" si="97"/>
        <v>0</v>
      </c>
      <c r="AP67" s="1117">
        <f t="shared" si="98"/>
        <v>0</v>
      </c>
      <c r="AQ67" s="1118"/>
      <c r="AU67" s="1116">
        <f t="shared" si="99"/>
        <v>0</v>
      </c>
      <c r="AV67" s="1117">
        <f t="shared" si="100"/>
        <v>0</v>
      </c>
      <c r="AW67" s="1117">
        <f t="shared" si="101"/>
        <v>0</v>
      </c>
      <c r="AX67" s="1117">
        <f t="shared" si="102"/>
        <v>0</v>
      </c>
      <c r="AY67" s="1118"/>
      <c r="BC67" s="1116">
        <f t="shared" si="103"/>
        <v>0</v>
      </c>
      <c r="BD67" s="1117">
        <f t="shared" si="104"/>
        <v>0</v>
      </c>
      <c r="BE67" s="1117">
        <f t="shared" si="105"/>
        <v>0</v>
      </c>
      <c r="BF67" s="1117">
        <f t="shared" si="106"/>
        <v>0</v>
      </c>
      <c r="BG67" s="1118"/>
      <c r="BK67" s="1116">
        <f t="shared" si="107"/>
        <v>0</v>
      </c>
      <c r="BL67" s="1117">
        <f t="shared" si="108"/>
        <v>0</v>
      </c>
      <c r="BM67" s="1117">
        <f t="shared" si="109"/>
        <v>0</v>
      </c>
      <c r="BN67" s="1117">
        <f t="shared" si="110"/>
        <v>0</v>
      </c>
      <c r="BO67" s="1118"/>
      <c r="BS67" s="1116">
        <f t="shared" si="111"/>
        <v>0</v>
      </c>
      <c r="BT67" s="1117">
        <f t="shared" si="112"/>
        <v>0</v>
      </c>
      <c r="BU67" s="1117">
        <f t="shared" si="113"/>
        <v>0</v>
      </c>
      <c r="BV67" s="1117">
        <f t="shared" si="114"/>
        <v>0</v>
      </c>
      <c r="BW67" s="1118"/>
      <c r="CA67" s="1116">
        <f t="shared" si="115"/>
        <v>0</v>
      </c>
      <c r="CB67" s="1117">
        <f t="shared" si="116"/>
        <v>0</v>
      </c>
      <c r="CC67" s="1117">
        <f t="shared" si="117"/>
        <v>0</v>
      </c>
      <c r="CD67" s="1117">
        <f t="shared" si="118"/>
        <v>0</v>
      </c>
      <c r="CE67" s="1118"/>
      <c r="CI67" s="1116">
        <f t="shared" si="119"/>
        <v>0</v>
      </c>
      <c r="CJ67" s="1117">
        <f t="shared" si="120"/>
        <v>0</v>
      </c>
      <c r="CK67" s="1117">
        <f t="shared" si="121"/>
        <v>0</v>
      </c>
      <c r="CL67" s="1117">
        <f t="shared" si="122"/>
        <v>0</v>
      </c>
      <c r="CM67" s="1118"/>
      <c r="CQ67" s="1116">
        <f t="shared" si="123"/>
        <v>0</v>
      </c>
      <c r="CR67" s="1117">
        <f t="shared" si="124"/>
        <v>0</v>
      </c>
      <c r="CS67" s="1117">
        <f t="shared" si="125"/>
        <v>0</v>
      </c>
      <c r="CT67" s="1117">
        <f t="shared" si="126"/>
        <v>0</v>
      </c>
      <c r="CU67" s="1118"/>
      <c r="CY67" s="1116">
        <f t="shared" si="127"/>
        <v>0</v>
      </c>
      <c r="CZ67" s="1117">
        <f t="shared" si="128"/>
        <v>0</v>
      </c>
      <c r="DA67" s="1117">
        <f t="shared" si="129"/>
        <v>0</v>
      </c>
      <c r="DB67" s="1117">
        <f t="shared" si="130"/>
        <v>0</v>
      </c>
      <c r="DC67" s="1118"/>
      <c r="DG67" s="1116">
        <f t="shared" si="131"/>
        <v>0</v>
      </c>
      <c r="DH67" s="1117">
        <f t="shared" si="132"/>
        <v>0</v>
      </c>
      <c r="DI67" s="1117">
        <f t="shared" si="133"/>
        <v>0</v>
      </c>
      <c r="DJ67" s="1117">
        <f t="shared" si="134"/>
        <v>0</v>
      </c>
      <c r="DK67" s="1118"/>
      <c r="DO67" s="1116">
        <f t="shared" si="135"/>
        <v>0</v>
      </c>
      <c r="DP67" s="1117">
        <f t="shared" si="136"/>
        <v>0</v>
      </c>
      <c r="DQ67" s="1117">
        <f t="shared" si="137"/>
        <v>0</v>
      </c>
      <c r="DR67" s="1117">
        <f t="shared" si="138"/>
        <v>0</v>
      </c>
      <c r="DS67" s="1118"/>
      <c r="DW67" s="1116">
        <f t="shared" si="139"/>
        <v>0</v>
      </c>
      <c r="DX67" s="1117">
        <f t="shared" si="140"/>
        <v>0</v>
      </c>
      <c r="DY67" s="1117">
        <f t="shared" si="141"/>
        <v>0</v>
      </c>
      <c r="DZ67" s="1117">
        <f t="shared" si="142"/>
        <v>0</v>
      </c>
      <c r="EA67" s="1118"/>
      <c r="EE67" s="1116">
        <f t="shared" si="143"/>
        <v>0</v>
      </c>
      <c r="EF67" s="1117">
        <f t="shared" si="144"/>
        <v>0</v>
      </c>
      <c r="EG67" s="1117">
        <f t="shared" si="145"/>
        <v>0</v>
      </c>
      <c r="EH67" s="1117">
        <f t="shared" si="146"/>
        <v>0</v>
      </c>
      <c r="EI67" s="1118"/>
      <c r="EM67" s="1116">
        <f t="shared" si="147"/>
        <v>0</v>
      </c>
      <c r="EN67" s="1117">
        <f t="shared" si="148"/>
        <v>0</v>
      </c>
      <c r="EO67" s="1117">
        <f t="shared" si="149"/>
        <v>0</v>
      </c>
      <c r="EP67" s="1117">
        <f t="shared" si="150"/>
        <v>0</v>
      </c>
      <c r="EQ67" s="1118"/>
      <c r="EU67" s="1116">
        <f t="shared" si="151"/>
        <v>0</v>
      </c>
      <c r="EV67" s="1117">
        <f t="shared" si="152"/>
        <v>0</v>
      </c>
      <c r="EW67" s="1117">
        <f t="shared" si="153"/>
        <v>0</v>
      </c>
      <c r="EX67" s="1117">
        <f t="shared" si="154"/>
        <v>0</v>
      </c>
      <c r="EY67" s="1118"/>
      <c r="FC67" s="1116">
        <f t="shared" si="155"/>
        <v>0</v>
      </c>
      <c r="FD67" s="1117">
        <f t="shared" si="156"/>
        <v>0</v>
      </c>
      <c r="FE67" s="1117">
        <f t="shared" si="157"/>
        <v>0</v>
      </c>
      <c r="FF67" s="1117">
        <f t="shared" si="158"/>
        <v>0</v>
      </c>
      <c r="FG67" s="1118"/>
      <c r="FK67" s="1116">
        <f t="shared" si="159"/>
        <v>0</v>
      </c>
      <c r="FL67" s="1117">
        <f t="shared" si="160"/>
        <v>0</v>
      </c>
      <c r="FM67" s="1117">
        <f t="shared" si="161"/>
        <v>0</v>
      </c>
      <c r="FN67" s="1117">
        <f t="shared" si="162"/>
        <v>0</v>
      </c>
      <c r="FO67" s="1118"/>
    </row>
    <row r="68" spans="1:171">
      <c r="A68" s="912"/>
      <c r="B68" s="913" t="s">
        <v>28</v>
      </c>
      <c r="C68" s="888">
        <v>219</v>
      </c>
      <c r="D68" s="888">
        <v>108</v>
      </c>
      <c r="E68" s="182" t="str">
        <f>'Sch 1- Rate Base '!E68</f>
        <v>DIST</v>
      </c>
      <c r="F68" s="889"/>
      <c r="G68" s="182">
        <f>'Sch 1- Rate Base '!G68</f>
        <v>0</v>
      </c>
      <c r="H68" s="182">
        <f>'Sch 1- Rate Base '!H68</f>
        <v>0</v>
      </c>
      <c r="I68" s="182">
        <f>'Sch 1- Rate Base '!I68</f>
        <v>0</v>
      </c>
      <c r="J68" s="183">
        <f>'Sch 1- Rate Base '!J68</f>
        <v>0</v>
      </c>
      <c r="K68" s="903">
        <f t="shared" si="82"/>
        <v>1</v>
      </c>
      <c r="O68" s="1116">
        <f t="shared" si="83"/>
        <v>0</v>
      </c>
      <c r="P68" s="1117">
        <f t="shared" si="84"/>
        <v>0</v>
      </c>
      <c r="Q68" s="1117">
        <f t="shared" si="85"/>
        <v>0</v>
      </c>
      <c r="R68" s="1117">
        <f t="shared" si="86"/>
        <v>0</v>
      </c>
      <c r="S68" s="1118"/>
      <c r="W68" s="1116">
        <f t="shared" si="87"/>
        <v>0</v>
      </c>
      <c r="X68" s="1117">
        <f t="shared" si="88"/>
        <v>0</v>
      </c>
      <c r="Y68" s="1117">
        <f t="shared" si="89"/>
        <v>0</v>
      </c>
      <c r="Z68" s="1117">
        <f t="shared" si="90"/>
        <v>0</v>
      </c>
      <c r="AA68" s="1118"/>
      <c r="AE68" s="1116">
        <f t="shared" si="91"/>
        <v>0</v>
      </c>
      <c r="AF68" s="1117">
        <f t="shared" si="92"/>
        <v>0</v>
      </c>
      <c r="AG68" s="1117">
        <f t="shared" si="93"/>
        <v>0</v>
      </c>
      <c r="AH68" s="1117">
        <f t="shared" si="94"/>
        <v>0</v>
      </c>
      <c r="AI68" s="1118"/>
      <c r="AM68" s="1116">
        <f t="shared" si="95"/>
        <v>0</v>
      </c>
      <c r="AN68" s="1117">
        <f t="shared" si="96"/>
        <v>0</v>
      </c>
      <c r="AO68" s="1117">
        <f t="shared" si="97"/>
        <v>0</v>
      </c>
      <c r="AP68" s="1117">
        <f t="shared" si="98"/>
        <v>0</v>
      </c>
      <c r="AQ68" s="1118"/>
      <c r="AU68" s="1116">
        <f t="shared" si="99"/>
        <v>0</v>
      </c>
      <c r="AV68" s="1117">
        <f t="shared" si="100"/>
        <v>0</v>
      </c>
      <c r="AW68" s="1117">
        <f t="shared" si="101"/>
        <v>0</v>
      </c>
      <c r="AX68" s="1117">
        <f t="shared" si="102"/>
        <v>0</v>
      </c>
      <c r="AY68" s="1118"/>
      <c r="BC68" s="1116">
        <f t="shared" si="103"/>
        <v>0</v>
      </c>
      <c r="BD68" s="1117">
        <f t="shared" si="104"/>
        <v>0</v>
      </c>
      <c r="BE68" s="1117">
        <f t="shared" si="105"/>
        <v>0</v>
      </c>
      <c r="BF68" s="1117">
        <f t="shared" si="106"/>
        <v>0</v>
      </c>
      <c r="BG68" s="1118"/>
      <c r="BK68" s="1116">
        <f t="shared" si="107"/>
        <v>0</v>
      </c>
      <c r="BL68" s="1117">
        <f t="shared" si="108"/>
        <v>0</v>
      </c>
      <c r="BM68" s="1117">
        <f t="shared" si="109"/>
        <v>0</v>
      </c>
      <c r="BN68" s="1117">
        <f t="shared" si="110"/>
        <v>0</v>
      </c>
      <c r="BO68" s="1118"/>
      <c r="BS68" s="1116">
        <f t="shared" si="111"/>
        <v>0</v>
      </c>
      <c r="BT68" s="1117">
        <f t="shared" si="112"/>
        <v>0</v>
      </c>
      <c r="BU68" s="1117">
        <f t="shared" si="113"/>
        <v>0</v>
      </c>
      <c r="BV68" s="1117">
        <f t="shared" si="114"/>
        <v>0</v>
      </c>
      <c r="BW68" s="1118"/>
      <c r="CA68" s="1116">
        <f t="shared" si="115"/>
        <v>0</v>
      </c>
      <c r="CB68" s="1117">
        <f t="shared" si="116"/>
        <v>0</v>
      </c>
      <c r="CC68" s="1117">
        <f t="shared" si="117"/>
        <v>0</v>
      </c>
      <c r="CD68" s="1117">
        <f t="shared" si="118"/>
        <v>0</v>
      </c>
      <c r="CE68" s="1118"/>
      <c r="CI68" s="1116">
        <f t="shared" si="119"/>
        <v>0</v>
      </c>
      <c r="CJ68" s="1117">
        <f t="shared" si="120"/>
        <v>0</v>
      </c>
      <c r="CK68" s="1117">
        <f t="shared" si="121"/>
        <v>0</v>
      </c>
      <c r="CL68" s="1117">
        <f t="shared" si="122"/>
        <v>0</v>
      </c>
      <c r="CM68" s="1118"/>
      <c r="CQ68" s="1116">
        <f t="shared" si="123"/>
        <v>0</v>
      </c>
      <c r="CR68" s="1117">
        <f t="shared" si="124"/>
        <v>0</v>
      </c>
      <c r="CS68" s="1117">
        <f t="shared" si="125"/>
        <v>0</v>
      </c>
      <c r="CT68" s="1117">
        <f t="shared" si="126"/>
        <v>0</v>
      </c>
      <c r="CU68" s="1118"/>
      <c r="CY68" s="1116">
        <f t="shared" si="127"/>
        <v>0</v>
      </c>
      <c r="CZ68" s="1117">
        <f t="shared" si="128"/>
        <v>0</v>
      </c>
      <c r="DA68" s="1117">
        <f t="shared" si="129"/>
        <v>0</v>
      </c>
      <c r="DB68" s="1117">
        <f t="shared" si="130"/>
        <v>0</v>
      </c>
      <c r="DC68" s="1118"/>
      <c r="DG68" s="1116">
        <f t="shared" si="131"/>
        <v>0</v>
      </c>
      <c r="DH68" s="1117">
        <f t="shared" si="132"/>
        <v>0</v>
      </c>
      <c r="DI68" s="1117">
        <f t="shared" si="133"/>
        <v>0</v>
      </c>
      <c r="DJ68" s="1117">
        <f t="shared" si="134"/>
        <v>0</v>
      </c>
      <c r="DK68" s="1118"/>
      <c r="DO68" s="1116">
        <f t="shared" si="135"/>
        <v>0</v>
      </c>
      <c r="DP68" s="1117">
        <f t="shared" si="136"/>
        <v>0</v>
      </c>
      <c r="DQ68" s="1117">
        <f t="shared" si="137"/>
        <v>0</v>
      </c>
      <c r="DR68" s="1117">
        <f t="shared" si="138"/>
        <v>0</v>
      </c>
      <c r="DS68" s="1118"/>
      <c r="DW68" s="1116">
        <f t="shared" si="139"/>
        <v>0</v>
      </c>
      <c r="DX68" s="1117">
        <f t="shared" si="140"/>
        <v>0</v>
      </c>
      <c r="DY68" s="1117">
        <f t="shared" si="141"/>
        <v>0</v>
      </c>
      <c r="DZ68" s="1117">
        <f t="shared" si="142"/>
        <v>0</v>
      </c>
      <c r="EA68" s="1118"/>
      <c r="EE68" s="1116">
        <f t="shared" si="143"/>
        <v>0</v>
      </c>
      <c r="EF68" s="1117">
        <f t="shared" si="144"/>
        <v>0</v>
      </c>
      <c r="EG68" s="1117">
        <f t="shared" si="145"/>
        <v>0</v>
      </c>
      <c r="EH68" s="1117">
        <f t="shared" si="146"/>
        <v>0</v>
      </c>
      <c r="EI68" s="1118"/>
      <c r="EM68" s="1116">
        <f t="shared" si="147"/>
        <v>0</v>
      </c>
      <c r="EN68" s="1117">
        <f t="shared" si="148"/>
        <v>0</v>
      </c>
      <c r="EO68" s="1117">
        <f t="shared" si="149"/>
        <v>0</v>
      </c>
      <c r="EP68" s="1117">
        <f t="shared" si="150"/>
        <v>0</v>
      </c>
      <c r="EQ68" s="1118"/>
      <c r="EU68" s="1116">
        <f t="shared" si="151"/>
        <v>0</v>
      </c>
      <c r="EV68" s="1117">
        <f t="shared" si="152"/>
        <v>0</v>
      </c>
      <c r="EW68" s="1117">
        <f t="shared" si="153"/>
        <v>0</v>
      </c>
      <c r="EX68" s="1117">
        <f t="shared" si="154"/>
        <v>0</v>
      </c>
      <c r="EY68" s="1118"/>
      <c r="FC68" s="1116">
        <f t="shared" si="155"/>
        <v>0</v>
      </c>
      <c r="FD68" s="1117">
        <f t="shared" si="156"/>
        <v>0</v>
      </c>
      <c r="FE68" s="1117">
        <f t="shared" si="157"/>
        <v>0</v>
      </c>
      <c r="FF68" s="1117">
        <f t="shared" si="158"/>
        <v>0</v>
      </c>
      <c r="FG68" s="1118"/>
      <c r="FK68" s="1116">
        <f t="shared" si="159"/>
        <v>0</v>
      </c>
      <c r="FL68" s="1117">
        <f t="shared" si="160"/>
        <v>0</v>
      </c>
      <c r="FM68" s="1117">
        <f t="shared" si="161"/>
        <v>0</v>
      </c>
      <c r="FN68" s="1117">
        <f t="shared" si="162"/>
        <v>0</v>
      </c>
      <c r="FO68" s="1118"/>
    </row>
    <row r="69" spans="1:171">
      <c r="A69" s="912"/>
      <c r="B69" s="913" t="s">
        <v>29</v>
      </c>
      <c r="C69" s="888">
        <v>219</v>
      </c>
      <c r="D69" s="888">
        <v>108</v>
      </c>
      <c r="E69" s="182" t="str">
        <f>'Sch 1- Rate Base '!E69</f>
        <v>DIRECT</v>
      </c>
      <c r="F69" s="889"/>
      <c r="G69" s="182">
        <f>'Sch 1- Rate Base '!G69</f>
        <v>0</v>
      </c>
      <c r="H69" s="182">
        <f>'Sch 1- Rate Base '!H69</f>
        <v>0</v>
      </c>
      <c r="I69" s="182">
        <f>'Sch 1- Rate Base '!I69</f>
        <v>0</v>
      </c>
      <c r="J69" s="183">
        <f>'Sch 1- Rate Base '!J69</f>
        <v>0</v>
      </c>
      <c r="K69" s="903">
        <f t="shared" si="82"/>
        <v>0</v>
      </c>
      <c r="O69" s="1116">
        <f t="shared" si="83"/>
        <v>0</v>
      </c>
      <c r="P69" s="1117">
        <f t="shared" si="84"/>
        <v>0</v>
      </c>
      <c r="Q69" s="1117">
        <f t="shared" si="85"/>
        <v>0</v>
      </c>
      <c r="R69" s="1117">
        <f t="shared" si="86"/>
        <v>0</v>
      </c>
      <c r="S69" s="1118"/>
      <c r="W69" s="1116">
        <f t="shared" si="87"/>
        <v>0</v>
      </c>
      <c r="X69" s="1117">
        <f t="shared" si="88"/>
        <v>0</v>
      </c>
      <c r="Y69" s="1117">
        <f t="shared" si="89"/>
        <v>0</v>
      </c>
      <c r="Z69" s="1117">
        <f t="shared" si="90"/>
        <v>0</v>
      </c>
      <c r="AA69" s="1118"/>
      <c r="AE69" s="1116">
        <f t="shared" si="91"/>
        <v>0</v>
      </c>
      <c r="AF69" s="1117">
        <f t="shared" si="92"/>
        <v>0</v>
      </c>
      <c r="AG69" s="1117">
        <f t="shared" si="93"/>
        <v>0</v>
      </c>
      <c r="AH69" s="1117">
        <f t="shared" si="94"/>
        <v>0</v>
      </c>
      <c r="AI69" s="1118"/>
      <c r="AM69" s="1116">
        <f t="shared" si="95"/>
        <v>0</v>
      </c>
      <c r="AN69" s="1117">
        <f t="shared" si="96"/>
        <v>0</v>
      </c>
      <c r="AO69" s="1117">
        <f t="shared" si="97"/>
        <v>0</v>
      </c>
      <c r="AP69" s="1117">
        <f t="shared" si="98"/>
        <v>0</v>
      </c>
      <c r="AQ69" s="1118"/>
      <c r="AU69" s="1116">
        <f t="shared" si="99"/>
        <v>0</v>
      </c>
      <c r="AV69" s="1117">
        <f t="shared" si="100"/>
        <v>0</v>
      </c>
      <c r="AW69" s="1117">
        <f t="shared" si="101"/>
        <v>0</v>
      </c>
      <c r="AX69" s="1117">
        <f t="shared" si="102"/>
        <v>0</v>
      </c>
      <c r="AY69" s="1118"/>
      <c r="BC69" s="1116">
        <f t="shared" si="103"/>
        <v>0</v>
      </c>
      <c r="BD69" s="1117">
        <f t="shared" si="104"/>
        <v>0</v>
      </c>
      <c r="BE69" s="1117">
        <f t="shared" si="105"/>
        <v>0</v>
      </c>
      <c r="BF69" s="1117">
        <f t="shared" si="106"/>
        <v>0</v>
      </c>
      <c r="BG69" s="1118"/>
      <c r="BK69" s="1116">
        <f t="shared" si="107"/>
        <v>0</v>
      </c>
      <c r="BL69" s="1117">
        <f t="shared" si="108"/>
        <v>0</v>
      </c>
      <c r="BM69" s="1117">
        <f t="shared" si="109"/>
        <v>0</v>
      </c>
      <c r="BN69" s="1117">
        <f t="shared" si="110"/>
        <v>0</v>
      </c>
      <c r="BO69" s="1118"/>
      <c r="BS69" s="1116">
        <f t="shared" si="111"/>
        <v>0</v>
      </c>
      <c r="BT69" s="1117">
        <f t="shared" si="112"/>
        <v>0</v>
      </c>
      <c r="BU69" s="1117">
        <f t="shared" si="113"/>
        <v>0</v>
      </c>
      <c r="BV69" s="1117">
        <f t="shared" si="114"/>
        <v>0</v>
      </c>
      <c r="BW69" s="1118"/>
      <c r="CA69" s="1116">
        <f t="shared" si="115"/>
        <v>0</v>
      </c>
      <c r="CB69" s="1117">
        <f t="shared" si="116"/>
        <v>0</v>
      </c>
      <c r="CC69" s="1117">
        <f t="shared" si="117"/>
        <v>0</v>
      </c>
      <c r="CD69" s="1117">
        <f t="shared" si="118"/>
        <v>0</v>
      </c>
      <c r="CE69" s="1118"/>
      <c r="CI69" s="1116">
        <f t="shared" si="119"/>
        <v>0</v>
      </c>
      <c r="CJ69" s="1117">
        <f t="shared" si="120"/>
        <v>0</v>
      </c>
      <c r="CK69" s="1117">
        <f t="shared" si="121"/>
        <v>0</v>
      </c>
      <c r="CL69" s="1117">
        <f t="shared" si="122"/>
        <v>0</v>
      </c>
      <c r="CM69" s="1118"/>
      <c r="CQ69" s="1116">
        <f t="shared" si="123"/>
        <v>0</v>
      </c>
      <c r="CR69" s="1117">
        <f t="shared" si="124"/>
        <v>0</v>
      </c>
      <c r="CS69" s="1117">
        <f t="shared" si="125"/>
        <v>0</v>
      </c>
      <c r="CT69" s="1117">
        <f t="shared" si="126"/>
        <v>0</v>
      </c>
      <c r="CU69" s="1118"/>
      <c r="CY69" s="1116">
        <f t="shared" si="127"/>
        <v>0</v>
      </c>
      <c r="CZ69" s="1117">
        <f t="shared" si="128"/>
        <v>0</v>
      </c>
      <c r="DA69" s="1117">
        <f t="shared" si="129"/>
        <v>0</v>
      </c>
      <c r="DB69" s="1117">
        <f t="shared" si="130"/>
        <v>0</v>
      </c>
      <c r="DC69" s="1118"/>
      <c r="DG69" s="1116">
        <f t="shared" si="131"/>
        <v>0</v>
      </c>
      <c r="DH69" s="1117">
        <f t="shared" si="132"/>
        <v>0</v>
      </c>
      <c r="DI69" s="1117">
        <f t="shared" si="133"/>
        <v>0</v>
      </c>
      <c r="DJ69" s="1117">
        <f t="shared" si="134"/>
        <v>0</v>
      </c>
      <c r="DK69" s="1118"/>
      <c r="DO69" s="1116">
        <f t="shared" si="135"/>
        <v>0</v>
      </c>
      <c r="DP69" s="1117">
        <f t="shared" si="136"/>
        <v>0</v>
      </c>
      <c r="DQ69" s="1117">
        <f t="shared" si="137"/>
        <v>0</v>
      </c>
      <c r="DR69" s="1117">
        <f t="shared" si="138"/>
        <v>0</v>
      </c>
      <c r="DS69" s="1118"/>
      <c r="DW69" s="1116">
        <f t="shared" si="139"/>
        <v>0</v>
      </c>
      <c r="DX69" s="1117">
        <f t="shared" si="140"/>
        <v>0</v>
      </c>
      <c r="DY69" s="1117">
        <f t="shared" si="141"/>
        <v>0</v>
      </c>
      <c r="DZ69" s="1117">
        <f t="shared" si="142"/>
        <v>0</v>
      </c>
      <c r="EA69" s="1118"/>
      <c r="EE69" s="1116">
        <f t="shared" si="143"/>
        <v>0</v>
      </c>
      <c r="EF69" s="1117">
        <f t="shared" si="144"/>
        <v>0</v>
      </c>
      <c r="EG69" s="1117">
        <f t="shared" si="145"/>
        <v>0</v>
      </c>
      <c r="EH69" s="1117">
        <f t="shared" si="146"/>
        <v>0</v>
      </c>
      <c r="EI69" s="1118"/>
      <c r="EM69" s="1116">
        <f t="shared" si="147"/>
        <v>0</v>
      </c>
      <c r="EN69" s="1117">
        <f t="shared" si="148"/>
        <v>0</v>
      </c>
      <c r="EO69" s="1117">
        <f t="shared" si="149"/>
        <v>0</v>
      </c>
      <c r="EP69" s="1117">
        <f t="shared" si="150"/>
        <v>0</v>
      </c>
      <c r="EQ69" s="1118"/>
      <c r="EU69" s="1116">
        <f t="shared" si="151"/>
        <v>0</v>
      </c>
      <c r="EV69" s="1117">
        <f t="shared" si="152"/>
        <v>0</v>
      </c>
      <c r="EW69" s="1117">
        <f t="shared" si="153"/>
        <v>0</v>
      </c>
      <c r="EX69" s="1117">
        <f t="shared" si="154"/>
        <v>0</v>
      </c>
      <c r="EY69" s="1118"/>
      <c r="FC69" s="1116">
        <f t="shared" si="155"/>
        <v>0</v>
      </c>
      <c r="FD69" s="1117">
        <f t="shared" si="156"/>
        <v>0</v>
      </c>
      <c r="FE69" s="1117">
        <f t="shared" si="157"/>
        <v>0</v>
      </c>
      <c r="FF69" s="1117">
        <f t="shared" si="158"/>
        <v>0</v>
      </c>
      <c r="FG69" s="1118"/>
      <c r="FK69" s="1116">
        <f t="shared" si="159"/>
        <v>0</v>
      </c>
      <c r="FL69" s="1117">
        <f t="shared" si="160"/>
        <v>0</v>
      </c>
      <c r="FM69" s="1117">
        <f t="shared" si="161"/>
        <v>0</v>
      </c>
      <c r="FN69" s="1117">
        <f t="shared" si="162"/>
        <v>0</v>
      </c>
      <c r="FO69" s="1118"/>
    </row>
    <row r="70" spans="1:171">
      <c r="A70" s="912"/>
      <c r="B70" s="913" t="s">
        <v>162</v>
      </c>
      <c r="C70" s="888" t="s">
        <v>69</v>
      </c>
      <c r="D70" s="888">
        <v>108</v>
      </c>
      <c r="E70" s="182" t="str">
        <f>'Sch 1- Rate Base '!E70</f>
        <v>DIRECT</v>
      </c>
      <c r="F70" s="889"/>
      <c r="G70" s="182">
        <f>'Sch 1- Rate Base '!G70</f>
        <v>0</v>
      </c>
      <c r="H70" s="182">
        <f>'Sch 1- Rate Base '!H70</f>
        <v>0</v>
      </c>
      <c r="I70" s="182">
        <f>'Sch 1- Rate Base '!I70</f>
        <v>0</v>
      </c>
      <c r="J70" s="183">
        <f>'Sch 1- Rate Base '!J70</f>
        <v>0</v>
      </c>
      <c r="K70" s="903">
        <f t="shared" si="82"/>
        <v>0</v>
      </c>
      <c r="O70" s="1116">
        <f t="shared" si="83"/>
        <v>0</v>
      </c>
      <c r="P70" s="1117">
        <f t="shared" si="84"/>
        <v>0</v>
      </c>
      <c r="Q70" s="1117">
        <f t="shared" si="85"/>
        <v>0</v>
      </c>
      <c r="R70" s="1117">
        <f t="shared" si="86"/>
        <v>0</v>
      </c>
      <c r="S70" s="1118"/>
      <c r="W70" s="1116">
        <f t="shared" si="87"/>
        <v>0</v>
      </c>
      <c r="X70" s="1117">
        <f t="shared" si="88"/>
        <v>0</v>
      </c>
      <c r="Y70" s="1117">
        <f t="shared" si="89"/>
        <v>0</v>
      </c>
      <c r="Z70" s="1117">
        <f t="shared" si="90"/>
        <v>0</v>
      </c>
      <c r="AA70" s="1118"/>
      <c r="AE70" s="1116">
        <f t="shared" si="91"/>
        <v>0</v>
      </c>
      <c r="AF70" s="1117">
        <f t="shared" si="92"/>
        <v>0</v>
      </c>
      <c r="AG70" s="1117">
        <f t="shared" si="93"/>
        <v>0</v>
      </c>
      <c r="AH70" s="1117">
        <f t="shared" si="94"/>
        <v>0</v>
      </c>
      <c r="AI70" s="1118"/>
      <c r="AM70" s="1116">
        <f t="shared" si="95"/>
        <v>0</v>
      </c>
      <c r="AN70" s="1117">
        <f t="shared" si="96"/>
        <v>0</v>
      </c>
      <c r="AO70" s="1117">
        <f t="shared" si="97"/>
        <v>0</v>
      </c>
      <c r="AP70" s="1117">
        <f t="shared" si="98"/>
        <v>0</v>
      </c>
      <c r="AQ70" s="1118"/>
      <c r="AU70" s="1116">
        <f t="shared" si="99"/>
        <v>0</v>
      </c>
      <c r="AV70" s="1117">
        <f t="shared" si="100"/>
        <v>0</v>
      </c>
      <c r="AW70" s="1117">
        <f t="shared" si="101"/>
        <v>0</v>
      </c>
      <c r="AX70" s="1117">
        <f t="shared" si="102"/>
        <v>0</v>
      </c>
      <c r="AY70" s="1118"/>
      <c r="BC70" s="1116">
        <f t="shared" si="103"/>
        <v>0</v>
      </c>
      <c r="BD70" s="1117">
        <f t="shared" si="104"/>
        <v>0</v>
      </c>
      <c r="BE70" s="1117">
        <f t="shared" si="105"/>
        <v>0</v>
      </c>
      <c r="BF70" s="1117">
        <f t="shared" si="106"/>
        <v>0</v>
      </c>
      <c r="BG70" s="1118"/>
      <c r="BK70" s="1116">
        <f t="shared" si="107"/>
        <v>0</v>
      </c>
      <c r="BL70" s="1117">
        <f t="shared" si="108"/>
        <v>0</v>
      </c>
      <c r="BM70" s="1117">
        <f t="shared" si="109"/>
        <v>0</v>
      </c>
      <c r="BN70" s="1117">
        <f t="shared" si="110"/>
        <v>0</v>
      </c>
      <c r="BO70" s="1118"/>
      <c r="BS70" s="1116">
        <f t="shared" si="111"/>
        <v>0</v>
      </c>
      <c r="BT70" s="1117">
        <f t="shared" si="112"/>
        <v>0</v>
      </c>
      <c r="BU70" s="1117">
        <f t="shared" si="113"/>
        <v>0</v>
      </c>
      <c r="BV70" s="1117">
        <f t="shared" si="114"/>
        <v>0</v>
      </c>
      <c r="BW70" s="1118"/>
      <c r="CA70" s="1116">
        <f t="shared" si="115"/>
        <v>0</v>
      </c>
      <c r="CB70" s="1117">
        <f t="shared" si="116"/>
        <v>0</v>
      </c>
      <c r="CC70" s="1117">
        <f t="shared" si="117"/>
        <v>0</v>
      </c>
      <c r="CD70" s="1117">
        <f t="shared" si="118"/>
        <v>0</v>
      </c>
      <c r="CE70" s="1118"/>
      <c r="CI70" s="1116">
        <f t="shared" si="119"/>
        <v>0</v>
      </c>
      <c r="CJ70" s="1117">
        <f t="shared" si="120"/>
        <v>0</v>
      </c>
      <c r="CK70" s="1117">
        <f t="shared" si="121"/>
        <v>0</v>
      </c>
      <c r="CL70" s="1117">
        <f t="shared" si="122"/>
        <v>0</v>
      </c>
      <c r="CM70" s="1118"/>
      <c r="CQ70" s="1116">
        <f t="shared" si="123"/>
        <v>0</v>
      </c>
      <c r="CR70" s="1117">
        <f t="shared" si="124"/>
        <v>0</v>
      </c>
      <c r="CS70" s="1117">
        <f t="shared" si="125"/>
        <v>0</v>
      </c>
      <c r="CT70" s="1117">
        <f t="shared" si="126"/>
        <v>0</v>
      </c>
      <c r="CU70" s="1118"/>
      <c r="CY70" s="1116">
        <f t="shared" si="127"/>
        <v>0</v>
      </c>
      <c r="CZ70" s="1117">
        <f t="shared" si="128"/>
        <v>0</v>
      </c>
      <c r="DA70" s="1117">
        <f t="shared" si="129"/>
        <v>0</v>
      </c>
      <c r="DB70" s="1117">
        <f t="shared" si="130"/>
        <v>0</v>
      </c>
      <c r="DC70" s="1118"/>
      <c r="DG70" s="1116">
        <f t="shared" si="131"/>
        <v>0</v>
      </c>
      <c r="DH70" s="1117">
        <f t="shared" si="132"/>
        <v>0</v>
      </c>
      <c r="DI70" s="1117">
        <f t="shared" si="133"/>
        <v>0</v>
      </c>
      <c r="DJ70" s="1117">
        <f t="shared" si="134"/>
        <v>0</v>
      </c>
      <c r="DK70" s="1118"/>
      <c r="DO70" s="1116">
        <f t="shared" si="135"/>
        <v>0</v>
      </c>
      <c r="DP70" s="1117">
        <f t="shared" si="136"/>
        <v>0</v>
      </c>
      <c r="DQ70" s="1117">
        <f t="shared" si="137"/>
        <v>0</v>
      </c>
      <c r="DR70" s="1117">
        <f t="shared" si="138"/>
        <v>0</v>
      </c>
      <c r="DS70" s="1118"/>
      <c r="DW70" s="1116">
        <f t="shared" si="139"/>
        <v>0</v>
      </c>
      <c r="DX70" s="1117">
        <f t="shared" si="140"/>
        <v>0</v>
      </c>
      <c r="DY70" s="1117">
        <f t="shared" si="141"/>
        <v>0</v>
      </c>
      <c r="DZ70" s="1117">
        <f t="shared" si="142"/>
        <v>0</v>
      </c>
      <c r="EA70" s="1118"/>
      <c r="EE70" s="1116">
        <f t="shared" si="143"/>
        <v>0</v>
      </c>
      <c r="EF70" s="1117">
        <f t="shared" si="144"/>
        <v>0</v>
      </c>
      <c r="EG70" s="1117">
        <f t="shared" si="145"/>
        <v>0</v>
      </c>
      <c r="EH70" s="1117">
        <f t="shared" si="146"/>
        <v>0</v>
      </c>
      <c r="EI70" s="1118"/>
      <c r="EM70" s="1116">
        <f t="shared" si="147"/>
        <v>0</v>
      </c>
      <c r="EN70" s="1117">
        <f t="shared" si="148"/>
        <v>0</v>
      </c>
      <c r="EO70" s="1117">
        <f t="shared" si="149"/>
        <v>0</v>
      </c>
      <c r="EP70" s="1117">
        <f t="shared" si="150"/>
        <v>0</v>
      </c>
      <c r="EQ70" s="1118"/>
      <c r="EU70" s="1116">
        <f t="shared" si="151"/>
        <v>0</v>
      </c>
      <c r="EV70" s="1117">
        <f t="shared" si="152"/>
        <v>0</v>
      </c>
      <c r="EW70" s="1117">
        <f t="shared" si="153"/>
        <v>0</v>
      </c>
      <c r="EX70" s="1117">
        <f t="shared" si="154"/>
        <v>0</v>
      </c>
      <c r="EY70" s="1118"/>
      <c r="FC70" s="1116">
        <f t="shared" si="155"/>
        <v>0</v>
      </c>
      <c r="FD70" s="1117">
        <f t="shared" si="156"/>
        <v>0</v>
      </c>
      <c r="FE70" s="1117">
        <f t="shared" si="157"/>
        <v>0</v>
      </c>
      <c r="FF70" s="1117">
        <f t="shared" si="158"/>
        <v>0</v>
      </c>
      <c r="FG70" s="1118"/>
      <c r="FK70" s="1116">
        <f t="shared" si="159"/>
        <v>0</v>
      </c>
      <c r="FL70" s="1117">
        <f t="shared" si="160"/>
        <v>0</v>
      </c>
      <c r="FM70" s="1117">
        <f t="shared" si="161"/>
        <v>0</v>
      </c>
      <c r="FN70" s="1117">
        <f t="shared" si="162"/>
        <v>0</v>
      </c>
      <c r="FO70" s="1118"/>
    </row>
    <row r="71" spans="1:171">
      <c r="A71" s="912"/>
      <c r="B71" s="913" t="s">
        <v>404</v>
      </c>
      <c r="C71" s="888" t="s">
        <v>69</v>
      </c>
      <c r="D71" s="888">
        <v>108</v>
      </c>
      <c r="E71" s="182" t="str">
        <f>'Sch 1- Rate Base '!E71</f>
        <v>DIRECT</v>
      </c>
      <c r="F71" s="889"/>
      <c r="G71" s="182">
        <f>'Sch 1- Rate Base '!G71</f>
        <v>219309854</v>
      </c>
      <c r="H71" s="182">
        <f>'Sch 1- Rate Base '!H71</f>
        <v>61406759.120000005</v>
      </c>
      <c r="I71" s="182">
        <f>'Sch 1- Rate Base '!I71</f>
        <v>0</v>
      </c>
      <c r="J71" s="183">
        <f>'Sch 1- Rate Base '!J71</f>
        <v>157903094.88</v>
      </c>
      <c r="K71" s="903">
        <f t="shared" si="82"/>
        <v>0</v>
      </c>
      <c r="O71" s="1116">
        <f t="shared" si="83"/>
        <v>219309854</v>
      </c>
      <c r="P71" s="1117">
        <f t="shared" si="84"/>
        <v>61406759.120000005</v>
      </c>
      <c r="Q71" s="1117">
        <f t="shared" si="85"/>
        <v>0</v>
      </c>
      <c r="R71" s="1117">
        <f t="shared" si="86"/>
        <v>157903094.88</v>
      </c>
      <c r="S71" s="1118"/>
      <c r="W71" s="1116">
        <f t="shared" si="87"/>
        <v>219309854</v>
      </c>
      <c r="X71" s="1117">
        <f t="shared" si="88"/>
        <v>61406759.120000005</v>
      </c>
      <c r="Y71" s="1117">
        <f t="shared" si="89"/>
        <v>0</v>
      </c>
      <c r="Z71" s="1117">
        <f t="shared" si="90"/>
        <v>157903094.88</v>
      </c>
      <c r="AA71" s="1118"/>
      <c r="AE71" s="1116">
        <f t="shared" si="91"/>
        <v>219309854</v>
      </c>
      <c r="AF71" s="1117">
        <f t="shared" si="92"/>
        <v>61406759.120000005</v>
      </c>
      <c r="AG71" s="1117">
        <f t="shared" si="93"/>
        <v>0</v>
      </c>
      <c r="AH71" s="1117">
        <f t="shared" si="94"/>
        <v>157903094.88</v>
      </c>
      <c r="AI71" s="1118"/>
      <c r="AM71" s="1116">
        <f t="shared" si="95"/>
        <v>219309854</v>
      </c>
      <c r="AN71" s="1117">
        <f t="shared" si="96"/>
        <v>61406759.120000005</v>
      </c>
      <c r="AO71" s="1117">
        <f t="shared" si="97"/>
        <v>0</v>
      </c>
      <c r="AP71" s="1117">
        <f t="shared" si="98"/>
        <v>157903094.88</v>
      </c>
      <c r="AQ71" s="1118"/>
      <c r="AU71" s="1116">
        <f t="shared" si="99"/>
        <v>219309854</v>
      </c>
      <c r="AV71" s="1117">
        <f t="shared" si="100"/>
        <v>61406759.120000005</v>
      </c>
      <c r="AW71" s="1117">
        <f t="shared" si="101"/>
        <v>0</v>
      </c>
      <c r="AX71" s="1117">
        <f t="shared" si="102"/>
        <v>157903094.88</v>
      </c>
      <c r="AY71" s="1118"/>
      <c r="BC71" s="1116">
        <f t="shared" si="103"/>
        <v>219309854</v>
      </c>
      <c r="BD71" s="1117">
        <f t="shared" si="104"/>
        <v>61406759.120000005</v>
      </c>
      <c r="BE71" s="1117">
        <f t="shared" si="105"/>
        <v>0</v>
      </c>
      <c r="BF71" s="1117">
        <f t="shared" si="106"/>
        <v>157903094.88</v>
      </c>
      <c r="BG71" s="1118"/>
      <c r="BK71" s="1116">
        <f t="shared" si="107"/>
        <v>219309854</v>
      </c>
      <c r="BL71" s="1117">
        <f t="shared" si="108"/>
        <v>61406759.120000005</v>
      </c>
      <c r="BM71" s="1117">
        <f t="shared" si="109"/>
        <v>0</v>
      </c>
      <c r="BN71" s="1117">
        <f t="shared" si="110"/>
        <v>157903094.88</v>
      </c>
      <c r="BO71" s="1118"/>
      <c r="BS71" s="1116">
        <f t="shared" si="111"/>
        <v>219309854</v>
      </c>
      <c r="BT71" s="1117">
        <f t="shared" si="112"/>
        <v>61406759.120000005</v>
      </c>
      <c r="BU71" s="1117">
        <f t="shared" si="113"/>
        <v>0</v>
      </c>
      <c r="BV71" s="1117">
        <f t="shared" si="114"/>
        <v>157903094.88</v>
      </c>
      <c r="BW71" s="1118"/>
      <c r="CA71" s="1116">
        <f t="shared" si="115"/>
        <v>219309854</v>
      </c>
      <c r="CB71" s="1117">
        <f t="shared" si="116"/>
        <v>61406759.120000005</v>
      </c>
      <c r="CC71" s="1117">
        <f t="shared" si="117"/>
        <v>0</v>
      </c>
      <c r="CD71" s="1117">
        <f t="shared" si="118"/>
        <v>157903094.88</v>
      </c>
      <c r="CE71" s="1118"/>
      <c r="CI71" s="1116">
        <f t="shared" si="119"/>
        <v>219309854</v>
      </c>
      <c r="CJ71" s="1117">
        <f t="shared" si="120"/>
        <v>61406759.120000005</v>
      </c>
      <c r="CK71" s="1117">
        <f t="shared" si="121"/>
        <v>0</v>
      </c>
      <c r="CL71" s="1117">
        <f t="shared" si="122"/>
        <v>157903094.88</v>
      </c>
      <c r="CM71" s="1118"/>
      <c r="CQ71" s="1116">
        <f t="shared" si="123"/>
        <v>219309854</v>
      </c>
      <c r="CR71" s="1117">
        <f t="shared" si="124"/>
        <v>61406759.120000005</v>
      </c>
      <c r="CS71" s="1117">
        <f t="shared" si="125"/>
        <v>0</v>
      </c>
      <c r="CT71" s="1117">
        <f t="shared" si="126"/>
        <v>157903094.88</v>
      </c>
      <c r="CU71" s="1118"/>
      <c r="CY71" s="1116">
        <f t="shared" si="127"/>
        <v>219309854</v>
      </c>
      <c r="CZ71" s="1117">
        <f t="shared" si="128"/>
        <v>61406759.120000005</v>
      </c>
      <c r="DA71" s="1117">
        <f t="shared" si="129"/>
        <v>0</v>
      </c>
      <c r="DB71" s="1117">
        <f t="shared" si="130"/>
        <v>157903094.88</v>
      </c>
      <c r="DC71" s="1118"/>
      <c r="DG71" s="1116">
        <f t="shared" si="131"/>
        <v>219309854</v>
      </c>
      <c r="DH71" s="1117">
        <f t="shared" si="132"/>
        <v>61406759.120000005</v>
      </c>
      <c r="DI71" s="1117">
        <f t="shared" si="133"/>
        <v>0</v>
      </c>
      <c r="DJ71" s="1117">
        <f t="shared" si="134"/>
        <v>157903094.88</v>
      </c>
      <c r="DK71" s="1118"/>
      <c r="DO71" s="1116">
        <f t="shared" si="135"/>
        <v>219309854</v>
      </c>
      <c r="DP71" s="1117">
        <f t="shared" si="136"/>
        <v>61406759.120000005</v>
      </c>
      <c r="DQ71" s="1117">
        <f t="shared" si="137"/>
        <v>0</v>
      </c>
      <c r="DR71" s="1117">
        <f t="shared" si="138"/>
        <v>157903094.88</v>
      </c>
      <c r="DS71" s="1118"/>
      <c r="DW71" s="1116">
        <f t="shared" si="139"/>
        <v>219309854</v>
      </c>
      <c r="DX71" s="1117">
        <f t="shared" si="140"/>
        <v>61406759.120000005</v>
      </c>
      <c r="DY71" s="1117">
        <f t="shared" si="141"/>
        <v>0</v>
      </c>
      <c r="DZ71" s="1117">
        <f t="shared" si="142"/>
        <v>157903094.88</v>
      </c>
      <c r="EA71" s="1118"/>
      <c r="EE71" s="1116">
        <f t="shared" si="143"/>
        <v>219309854</v>
      </c>
      <c r="EF71" s="1117">
        <f t="shared" si="144"/>
        <v>61406759.120000005</v>
      </c>
      <c r="EG71" s="1117">
        <f t="shared" si="145"/>
        <v>0</v>
      </c>
      <c r="EH71" s="1117">
        <f t="shared" si="146"/>
        <v>157903094.88</v>
      </c>
      <c r="EI71" s="1118"/>
      <c r="EM71" s="1116">
        <f t="shared" si="147"/>
        <v>219309854</v>
      </c>
      <c r="EN71" s="1117">
        <f t="shared" si="148"/>
        <v>61406759.120000005</v>
      </c>
      <c r="EO71" s="1117">
        <f t="shared" si="149"/>
        <v>0</v>
      </c>
      <c r="EP71" s="1117">
        <f t="shared" si="150"/>
        <v>157903094.88</v>
      </c>
      <c r="EQ71" s="1118"/>
      <c r="EU71" s="1116">
        <f t="shared" si="151"/>
        <v>219309854</v>
      </c>
      <c r="EV71" s="1117">
        <f t="shared" si="152"/>
        <v>61406759.120000005</v>
      </c>
      <c r="EW71" s="1117">
        <f t="shared" si="153"/>
        <v>0</v>
      </c>
      <c r="EX71" s="1117">
        <f t="shared" si="154"/>
        <v>157903094.88</v>
      </c>
      <c r="EY71" s="1118"/>
      <c r="FC71" s="1116">
        <f t="shared" si="155"/>
        <v>219309854</v>
      </c>
      <c r="FD71" s="1117">
        <f t="shared" si="156"/>
        <v>61406759.120000005</v>
      </c>
      <c r="FE71" s="1117">
        <f t="shared" si="157"/>
        <v>0</v>
      </c>
      <c r="FF71" s="1117">
        <f t="shared" si="158"/>
        <v>157903094.88</v>
      </c>
      <c r="FG71" s="1118"/>
      <c r="FK71" s="1116">
        <f t="shared" si="159"/>
        <v>219309854</v>
      </c>
      <c r="FL71" s="1117">
        <f t="shared" si="160"/>
        <v>61406759.120000005</v>
      </c>
      <c r="FM71" s="1117">
        <f t="shared" si="161"/>
        <v>0</v>
      </c>
      <c r="FN71" s="1117">
        <f t="shared" si="162"/>
        <v>157903094.88</v>
      </c>
      <c r="FO71" s="1118"/>
    </row>
    <row r="72" spans="1:171">
      <c r="A72" s="912"/>
      <c r="B72" s="913" t="s">
        <v>405</v>
      </c>
      <c r="C72" s="888" t="s">
        <v>69</v>
      </c>
      <c r="D72" s="888">
        <v>108</v>
      </c>
      <c r="E72" s="182" t="str">
        <f>'Sch 1- Rate Base '!E72</f>
        <v>DIRECT</v>
      </c>
      <c r="F72" s="889"/>
      <c r="G72" s="182">
        <f>'Sch 1- Rate Base '!G72</f>
        <v>0</v>
      </c>
      <c r="H72" s="182">
        <f>'Sch 1- Rate Base '!H72</f>
        <v>0</v>
      </c>
      <c r="I72" s="182">
        <f>'Sch 1- Rate Base '!I72</f>
        <v>0</v>
      </c>
      <c r="J72" s="183">
        <f>'Sch 1- Rate Base '!J72</f>
        <v>0</v>
      </c>
      <c r="K72" s="903">
        <f t="shared" si="82"/>
        <v>0</v>
      </c>
      <c r="O72" s="1116">
        <f t="shared" si="83"/>
        <v>0</v>
      </c>
      <c r="P72" s="1117">
        <f t="shared" si="84"/>
        <v>0</v>
      </c>
      <c r="Q72" s="1117">
        <f t="shared" si="85"/>
        <v>0</v>
      </c>
      <c r="R72" s="1117">
        <f t="shared" si="86"/>
        <v>0</v>
      </c>
      <c r="S72" s="1118"/>
      <c r="W72" s="1116">
        <f t="shared" si="87"/>
        <v>0</v>
      </c>
      <c r="X72" s="1117">
        <f t="shared" si="88"/>
        <v>0</v>
      </c>
      <c r="Y72" s="1117">
        <f t="shared" si="89"/>
        <v>0</v>
      </c>
      <c r="Z72" s="1117">
        <f t="shared" si="90"/>
        <v>0</v>
      </c>
      <c r="AA72" s="1118"/>
      <c r="AE72" s="1116">
        <f t="shared" si="91"/>
        <v>0</v>
      </c>
      <c r="AF72" s="1117">
        <f t="shared" si="92"/>
        <v>0</v>
      </c>
      <c r="AG72" s="1117">
        <f t="shared" si="93"/>
        <v>0</v>
      </c>
      <c r="AH72" s="1117">
        <f t="shared" si="94"/>
        <v>0</v>
      </c>
      <c r="AI72" s="1118"/>
      <c r="AM72" s="1116">
        <f t="shared" si="95"/>
        <v>0</v>
      </c>
      <c r="AN72" s="1117">
        <f t="shared" si="96"/>
        <v>0</v>
      </c>
      <c r="AO72" s="1117">
        <f t="shared" si="97"/>
        <v>0</v>
      </c>
      <c r="AP72" s="1117">
        <f t="shared" si="98"/>
        <v>0</v>
      </c>
      <c r="AQ72" s="1118"/>
      <c r="AU72" s="1116">
        <f t="shared" si="99"/>
        <v>0</v>
      </c>
      <c r="AV72" s="1117">
        <f t="shared" si="100"/>
        <v>0</v>
      </c>
      <c r="AW72" s="1117">
        <f t="shared" si="101"/>
        <v>0</v>
      </c>
      <c r="AX72" s="1117">
        <f t="shared" si="102"/>
        <v>0</v>
      </c>
      <c r="AY72" s="1118"/>
      <c r="BC72" s="1116">
        <f t="shared" si="103"/>
        <v>0</v>
      </c>
      <c r="BD72" s="1117">
        <f t="shared" si="104"/>
        <v>0</v>
      </c>
      <c r="BE72" s="1117">
        <f t="shared" si="105"/>
        <v>0</v>
      </c>
      <c r="BF72" s="1117">
        <f t="shared" si="106"/>
        <v>0</v>
      </c>
      <c r="BG72" s="1118"/>
      <c r="BK72" s="1116">
        <f t="shared" si="107"/>
        <v>0</v>
      </c>
      <c r="BL72" s="1117">
        <f t="shared" si="108"/>
        <v>0</v>
      </c>
      <c r="BM72" s="1117">
        <f t="shared" si="109"/>
        <v>0</v>
      </c>
      <c r="BN72" s="1117">
        <f t="shared" si="110"/>
        <v>0</v>
      </c>
      <c r="BO72" s="1118"/>
      <c r="BS72" s="1116">
        <f t="shared" si="111"/>
        <v>0</v>
      </c>
      <c r="BT72" s="1117">
        <f t="shared" si="112"/>
        <v>0</v>
      </c>
      <c r="BU72" s="1117">
        <f t="shared" si="113"/>
        <v>0</v>
      </c>
      <c r="BV72" s="1117">
        <f t="shared" si="114"/>
        <v>0</v>
      </c>
      <c r="BW72" s="1118"/>
      <c r="CA72" s="1116">
        <f t="shared" si="115"/>
        <v>0</v>
      </c>
      <c r="CB72" s="1117">
        <f t="shared" si="116"/>
        <v>0</v>
      </c>
      <c r="CC72" s="1117">
        <f t="shared" si="117"/>
        <v>0</v>
      </c>
      <c r="CD72" s="1117">
        <f t="shared" si="118"/>
        <v>0</v>
      </c>
      <c r="CE72" s="1118"/>
      <c r="CI72" s="1116">
        <f t="shared" si="119"/>
        <v>0</v>
      </c>
      <c r="CJ72" s="1117">
        <f t="shared" si="120"/>
        <v>0</v>
      </c>
      <c r="CK72" s="1117">
        <f t="shared" si="121"/>
        <v>0</v>
      </c>
      <c r="CL72" s="1117">
        <f t="shared" si="122"/>
        <v>0</v>
      </c>
      <c r="CM72" s="1118"/>
      <c r="CQ72" s="1116">
        <f t="shared" si="123"/>
        <v>0</v>
      </c>
      <c r="CR72" s="1117">
        <f t="shared" si="124"/>
        <v>0</v>
      </c>
      <c r="CS72" s="1117">
        <f t="shared" si="125"/>
        <v>0</v>
      </c>
      <c r="CT72" s="1117">
        <f t="shared" si="126"/>
        <v>0</v>
      </c>
      <c r="CU72" s="1118"/>
      <c r="CY72" s="1116">
        <f t="shared" si="127"/>
        <v>0</v>
      </c>
      <c r="CZ72" s="1117">
        <f t="shared" si="128"/>
        <v>0</v>
      </c>
      <c r="DA72" s="1117">
        <f t="shared" si="129"/>
        <v>0</v>
      </c>
      <c r="DB72" s="1117">
        <f t="shared" si="130"/>
        <v>0</v>
      </c>
      <c r="DC72" s="1118"/>
      <c r="DG72" s="1116">
        <f t="shared" si="131"/>
        <v>0</v>
      </c>
      <c r="DH72" s="1117">
        <f t="shared" si="132"/>
        <v>0</v>
      </c>
      <c r="DI72" s="1117">
        <f t="shared" si="133"/>
        <v>0</v>
      </c>
      <c r="DJ72" s="1117">
        <f t="shared" si="134"/>
        <v>0</v>
      </c>
      <c r="DK72" s="1118"/>
      <c r="DO72" s="1116">
        <f t="shared" si="135"/>
        <v>0</v>
      </c>
      <c r="DP72" s="1117">
        <f t="shared" si="136"/>
        <v>0</v>
      </c>
      <c r="DQ72" s="1117">
        <f t="shared" si="137"/>
        <v>0</v>
      </c>
      <c r="DR72" s="1117">
        <f t="shared" si="138"/>
        <v>0</v>
      </c>
      <c r="DS72" s="1118"/>
      <c r="DW72" s="1116">
        <f t="shared" si="139"/>
        <v>0</v>
      </c>
      <c r="DX72" s="1117">
        <f t="shared" si="140"/>
        <v>0</v>
      </c>
      <c r="DY72" s="1117">
        <f t="shared" si="141"/>
        <v>0</v>
      </c>
      <c r="DZ72" s="1117">
        <f t="shared" si="142"/>
        <v>0</v>
      </c>
      <c r="EA72" s="1118"/>
      <c r="EE72" s="1116">
        <f t="shared" si="143"/>
        <v>0</v>
      </c>
      <c r="EF72" s="1117">
        <f t="shared" si="144"/>
        <v>0</v>
      </c>
      <c r="EG72" s="1117">
        <f t="shared" si="145"/>
        <v>0</v>
      </c>
      <c r="EH72" s="1117">
        <f t="shared" si="146"/>
        <v>0</v>
      </c>
      <c r="EI72" s="1118"/>
      <c r="EM72" s="1116">
        <f t="shared" si="147"/>
        <v>0</v>
      </c>
      <c r="EN72" s="1117">
        <f t="shared" si="148"/>
        <v>0</v>
      </c>
      <c r="EO72" s="1117">
        <f t="shared" si="149"/>
        <v>0</v>
      </c>
      <c r="EP72" s="1117">
        <f t="shared" si="150"/>
        <v>0</v>
      </c>
      <c r="EQ72" s="1118"/>
      <c r="EU72" s="1116">
        <f t="shared" si="151"/>
        <v>0</v>
      </c>
      <c r="EV72" s="1117">
        <f t="shared" si="152"/>
        <v>0</v>
      </c>
      <c r="EW72" s="1117">
        <f t="shared" si="153"/>
        <v>0</v>
      </c>
      <c r="EX72" s="1117">
        <f t="shared" si="154"/>
        <v>0</v>
      </c>
      <c r="EY72" s="1118"/>
      <c r="FC72" s="1116">
        <f t="shared" si="155"/>
        <v>0</v>
      </c>
      <c r="FD72" s="1117">
        <f t="shared" si="156"/>
        <v>0</v>
      </c>
      <c r="FE72" s="1117">
        <f t="shared" si="157"/>
        <v>0</v>
      </c>
      <c r="FF72" s="1117">
        <f t="shared" si="158"/>
        <v>0</v>
      </c>
      <c r="FG72" s="1118"/>
      <c r="FK72" s="1116">
        <f t="shared" si="159"/>
        <v>0</v>
      </c>
      <c r="FL72" s="1117">
        <f t="shared" si="160"/>
        <v>0</v>
      </c>
      <c r="FM72" s="1117">
        <f t="shared" si="161"/>
        <v>0</v>
      </c>
      <c r="FN72" s="1117">
        <f t="shared" si="162"/>
        <v>0</v>
      </c>
      <c r="FO72" s="1118"/>
    </row>
    <row r="73" spans="1:171">
      <c r="A73" s="912"/>
      <c r="B73" s="913" t="s">
        <v>551</v>
      </c>
      <c r="C73" s="888" t="s">
        <v>69</v>
      </c>
      <c r="D73" s="888">
        <v>115</v>
      </c>
      <c r="E73" s="182" t="str">
        <f>'Sch 1- Rate Base '!E73</f>
        <v>DIRECT</v>
      </c>
      <c r="F73" s="889"/>
      <c r="G73" s="182">
        <f>'Sch 1- Rate Base '!G73</f>
        <v>0</v>
      </c>
      <c r="H73" s="182">
        <f>'Sch 1- Rate Base '!H73</f>
        <v>0</v>
      </c>
      <c r="I73" s="182">
        <f>'Sch 1- Rate Base '!I73</f>
        <v>0</v>
      </c>
      <c r="J73" s="183">
        <f>'Sch 1- Rate Base '!J73</f>
        <v>0</v>
      </c>
      <c r="K73" s="903">
        <f t="shared" si="82"/>
        <v>0</v>
      </c>
      <c r="O73" s="1116">
        <f t="shared" si="83"/>
        <v>0</v>
      </c>
      <c r="P73" s="1117">
        <f t="shared" si="84"/>
        <v>0</v>
      </c>
      <c r="Q73" s="1117">
        <f t="shared" si="85"/>
        <v>0</v>
      </c>
      <c r="R73" s="1117">
        <f t="shared" si="86"/>
        <v>0</v>
      </c>
      <c r="S73" s="1118"/>
      <c r="W73" s="1116">
        <f t="shared" si="87"/>
        <v>0</v>
      </c>
      <c r="X73" s="1117">
        <f t="shared" si="88"/>
        <v>0</v>
      </c>
      <c r="Y73" s="1117">
        <f t="shared" si="89"/>
        <v>0</v>
      </c>
      <c r="Z73" s="1117">
        <f t="shared" si="90"/>
        <v>0</v>
      </c>
      <c r="AA73" s="1118"/>
      <c r="AE73" s="1116">
        <f t="shared" si="91"/>
        <v>0</v>
      </c>
      <c r="AF73" s="1117">
        <f t="shared" si="92"/>
        <v>0</v>
      </c>
      <c r="AG73" s="1117">
        <f t="shared" si="93"/>
        <v>0</v>
      </c>
      <c r="AH73" s="1117">
        <f t="shared" si="94"/>
        <v>0</v>
      </c>
      <c r="AI73" s="1118"/>
      <c r="AM73" s="1116">
        <f t="shared" si="95"/>
        <v>0</v>
      </c>
      <c r="AN73" s="1117">
        <f t="shared" si="96"/>
        <v>0</v>
      </c>
      <c r="AO73" s="1117">
        <f t="shared" si="97"/>
        <v>0</v>
      </c>
      <c r="AP73" s="1117">
        <f t="shared" si="98"/>
        <v>0</v>
      </c>
      <c r="AQ73" s="1118"/>
      <c r="AU73" s="1116">
        <f t="shared" si="99"/>
        <v>0</v>
      </c>
      <c r="AV73" s="1117">
        <f t="shared" si="100"/>
        <v>0</v>
      </c>
      <c r="AW73" s="1117">
        <f t="shared" si="101"/>
        <v>0</v>
      </c>
      <c r="AX73" s="1117">
        <f t="shared" si="102"/>
        <v>0</v>
      </c>
      <c r="AY73" s="1118"/>
      <c r="BC73" s="1116">
        <f t="shared" si="103"/>
        <v>0</v>
      </c>
      <c r="BD73" s="1117">
        <f t="shared" si="104"/>
        <v>0</v>
      </c>
      <c r="BE73" s="1117">
        <f t="shared" si="105"/>
        <v>0</v>
      </c>
      <c r="BF73" s="1117">
        <f t="shared" si="106"/>
        <v>0</v>
      </c>
      <c r="BG73" s="1118"/>
      <c r="BK73" s="1116">
        <f t="shared" si="107"/>
        <v>0</v>
      </c>
      <c r="BL73" s="1117">
        <f t="shared" si="108"/>
        <v>0</v>
      </c>
      <c r="BM73" s="1117">
        <f t="shared" si="109"/>
        <v>0</v>
      </c>
      <c r="BN73" s="1117">
        <f t="shared" si="110"/>
        <v>0</v>
      </c>
      <c r="BO73" s="1118"/>
      <c r="BS73" s="1116">
        <f t="shared" si="111"/>
        <v>0</v>
      </c>
      <c r="BT73" s="1117">
        <f t="shared" si="112"/>
        <v>0</v>
      </c>
      <c r="BU73" s="1117">
        <f t="shared" si="113"/>
        <v>0</v>
      </c>
      <c r="BV73" s="1117">
        <f t="shared" si="114"/>
        <v>0</v>
      </c>
      <c r="BW73" s="1118"/>
      <c r="CA73" s="1116">
        <f t="shared" si="115"/>
        <v>0</v>
      </c>
      <c r="CB73" s="1117">
        <f t="shared" si="116"/>
        <v>0</v>
      </c>
      <c r="CC73" s="1117">
        <f t="shared" si="117"/>
        <v>0</v>
      </c>
      <c r="CD73" s="1117">
        <f t="shared" si="118"/>
        <v>0</v>
      </c>
      <c r="CE73" s="1118"/>
      <c r="CI73" s="1116">
        <f t="shared" si="119"/>
        <v>0</v>
      </c>
      <c r="CJ73" s="1117">
        <f t="shared" si="120"/>
        <v>0</v>
      </c>
      <c r="CK73" s="1117">
        <f t="shared" si="121"/>
        <v>0</v>
      </c>
      <c r="CL73" s="1117">
        <f t="shared" si="122"/>
        <v>0</v>
      </c>
      <c r="CM73" s="1118"/>
      <c r="CQ73" s="1116">
        <f t="shared" si="123"/>
        <v>0</v>
      </c>
      <c r="CR73" s="1117">
        <f t="shared" si="124"/>
        <v>0</v>
      </c>
      <c r="CS73" s="1117">
        <f t="shared" si="125"/>
        <v>0</v>
      </c>
      <c r="CT73" s="1117">
        <f t="shared" si="126"/>
        <v>0</v>
      </c>
      <c r="CU73" s="1118"/>
      <c r="CY73" s="1116">
        <f t="shared" si="127"/>
        <v>0</v>
      </c>
      <c r="CZ73" s="1117">
        <f t="shared" si="128"/>
        <v>0</v>
      </c>
      <c r="DA73" s="1117">
        <f t="shared" si="129"/>
        <v>0</v>
      </c>
      <c r="DB73" s="1117">
        <f t="shared" si="130"/>
        <v>0</v>
      </c>
      <c r="DC73" s="1118"/>
      <c r="DG73" s="1116">
        <f t="shared" si="131"/>
        <v>0</v>
      </c>
      <c r="DH73" s="1117">
        <f t="shared" si="132"/>
        <v>0</v>
      </c>
      <c r="DI73" s="1117">
        <f t="shared" si="133"/>
        <v>0</v>
      </c>
      <c r="DJ73" s="1117">
        <f t="shared" si="134"/>
        <v>0</v>
      </c>
      <c r="DK73" s="1118"/>
      <c r="DO73" s="1116">
        <f t="shared" si="135"/>
        <v>0</v>
      </c>
      <c r="DP73" s="1117">
        <f t="shared" si="136"/>
        <v>0</v>
      </c>
      <c r="DQ73" s="1117">
        <f t="shared" si="137"/>
        <v>0</v>
      </c>
      <c r="DR73" s="1117">
        <f t="shared" si="138"/>
        <v>0</v>
      </c>
      <c r="DS73" s="1118"/>
      <c r="DW73" s="1116">
        <f t="shared" si="139"/>
        <v>0</v>
      </c>
      <c r="DX73" s="1117">
        <f t="shared" si="140"/>
        <v>0</v>
      </c>
      <c r="DY73" s="1117">
        <f t="shared" si="141"/>
        <v>0</v>
      </c>
      <c r="DZ73" s="1117">
        <f t="shared" si="142"/>
        <v>0</v>
      </c>
      <c r="EA73" s="1118"/>
      <c r="EE73" s="1116">
        <f t="shared" si="143"/>
        <v>0</v>
      </c>
      <c r="EF73" s="1117">
        <f t="shared" si="144"/>
        <v>0</v>
      </c>
      <c r="EG73" s="1117">
        <f t="shared" si="145"/>
        <v>0</v>
      </c>
      <c r="EH73" s="1117">
        <f t="shared" si="146"/>
        <v>0</v>
      </c>
      <c r="EI73" s="1118"/>
      <c r="EM73" s="1116">
        <f t="shared" si="147"/>
        <v>0</v>
      </c>
      <c r="EN73" s="1117">
        <f t="shared" si="148"/>
        <v>0</v>
      </c>
      <c r="EO73" s="1117">
        <f t="shared" si="149"/>
        <v>0</v>
      </c>
      <c r="EP73" s="1117">
        <f t="shared" si="150"/>
        <v>0</v>
      </c>
      <c r="EQ73" s="1118"/>
      <c r="EU73" s="1116">
        <f t="shared" si="151"/>
        <v>0</v>
      </c>
      <c r="EV73" s="1117">
        <f t="shared" si="152"/>
        <v>0</v>
      </c>
      <c r="EW73" s="1117">
        <f t="shared" si="153"/>
        <v>0</v>
      </c>
      <c r="EX73" s="1117">
        <f t="shared" si="154"/>
        <v>0</v>
      </c>
      <c r="EY73" s="1118"/>
      <c r="FC73" s="1116">
        <f t="shared" si="155"/>
        <v>0</v>
      </c>
      <c r="FD73" s="1117">
        <f t="shared" si="156"/>
        <v>0</v>
      </c>
      <c r="FE73" s="1117">
        <f t="shared" si="157"/>
        <v>0</v>
      </c>
      <c r="FF73" s="1117">
        <f t="shared" si="158"/>
        <v>0</v>
      </c>
      <c r="FG73" s="1118"/>
      <c r="FK73" s="1116">
        <f t="shared" si="159"/>
        <v>0</v>
      </c>
      <c r="FL73" s="1117">
        <f t="shared" si="160"/>
        <v>0</v>
      </c>
      <c r="FM73" s="1117">
        <f t="shared" si="161"/>
        <v>0</v>
      </c>
      <c r="FN73" s="1117">
        <f t="shared" si="162"/>
        <v>0</v>
      </c>
      <c r="FO73" s="1118"/>
    </row>
    <row r="74" spans="1:171">
      <c r="A74" s="912"/>
      <c r="B74" s="913"/>
      <c r="C74" s="55"/>
      <c r="D74" s="196"/>
      <c r="E74" s="196"/>
      <c r="F74" s="196"/>
      <c r="G74" s="924"/>
      <c r="H74" s="198"/>
      <c r="I74" s="198"/>
      <c r="J74" s="200"/>
      <c r="K74" s="903"/>
      <c r="S74" s="1118"/>
      <c r="AA74" s="1118"/>
      <c r="AI74" s="1118"/>
      <c r="AQ74" s="1118"/>
      <c r="AY74" s="1118"/>
      <c r="BG74" s="1118"/>
      <c r="BO74" s="1118"/>
      <c r="BW74" s="1118"/>
      <c r="CE74" s="1118"/>
      <c r="CM74" s="1118"/>
      <c r="CU74" s="1118"/>
      <c r="DC74" s="1118"/>
      <c r="DK74" s="1118"/>
      <c r="DS74" s="1118"/>
      <c r="EA74" s="1118"/>
      <c r="EI74" s="1118"/>
      <c r="EQ74" s="1118"/>
      <c r="EY74" s="1118"/>
      <c r="FG74" s="1118"/>
      <c r="FO74" s="1118"/>
    </row>
    <row r="75" spans="1:171">
      <c r="A75" s="199" t="s">
        <v>211</v>
      </c>
      <c r="B75" s="913"/>
      <c r="C75" s="888"/>
      <c r="D75" s="888"/>
      <c r="E75" s="182" t="str">
        <f>'Sch 1- Rate Base '!E75</f>
        <v>DIRECT</v>
      </c>
      <c r="F75" s="889"/>
      <c r="G75" s="182">
        <f>'Sch 1- Rate Base '!G75</f>
        <v>0</v>
      </c>
      <c r="H75" s="182">
        <f>'Sch 1- Rate Base '!H75</f>
        <v>0</v>
      </c>
      <c r="I75" s="182">
        <f>'Sch 1- Rate Base '!I75</f>
        <v>0</v>
      </c>
      <c r="J75" s="183">
        <f>'Sch 1- Rate Base '!J75</f>
        <v>0</v>
      </c>
      <c r="K75" s="903">
        <f t="shared" si="82"/>
        <v>0</v>
      </c>
      <c r="S75" s="1118"/>
      <c r="AA75" s="1118"/>
      <c r="AI75" s="1118"/>
      <c r="AQ75" s="1118"/>
      <c r="AY75" s="1118"/>
      <c r="BG75" s="1118"/>
      <c r="BO75" s="1118"/>
      <c r="BW75" s="1118"/>
      <c r="CE75" s="1118"/>
      <c r="CM75" s="1118"/>
      <c r="CU75" s="1118"/>
      <c r="DC75" s="1118"/>
      <c r="DK75" s="1118"/>
      <c r="DS75" s="1118"/>
      <c r="EA75" s="1118"/>
      <c r="EI75" s="1118"/>
      <c r="EQ75" s="1118"/>
      <c r="EY75" s="1118"/>
      <c r="FG75" s="1118"/>
      <c r="FO75" s="1118"/>
    </row>
    <row r="76" spans="1:171">
      <c r="A76" s="925"/>
      <c r="B76" s="913"/>
      <c r="C76" s="55"/>
      <c r="D76" s="196"/>
      <c r="E76" s="196"/>
      <c r="F76" s="196"/>
      <c r="G76" s="917"/>
      <c r="H76" s="198"/>
      <c r="I76" s="198"/>
      <c r="J76" s="200"/>
      <c r="K76" s="903"/>
      <c r="S76" s="1118"/>
      <c r="AA76" s="1118"/>
      <c r="AI76" s="1118"/>
      <c r="AQ76" s="1118"/>
      <c r="AY76" s="1118"/>
      <c r="BG76" s="1118"/>
      <c r="BO76" s="1118"/>
      <c r="BW76" s="1118"/>
      <c r="CE76" s="1118"/>
      <c r="CM76" s="1118"/>
      <c r="CU76" s="1118"/>
      <c r="DC76" s="1118"/>
      <c r="DK76" s="1118"/>
      <c r="DS76" s="1118"/>
      <c r="EA76" s="1118"/>
      <c r="EI76" s="1118"/>
      <c r="EQ76" s="1118"/>
      <c r="EY76" s="1118"/>
      <c r="FG76" s="1118"/>
      <c r="FO76" s="1118"/>
    </row>
    <row r="77" spans="1:171">
      <c r="A77" s="209" t="s">
        <v>223</v>
      </c>
      <c r="B77" s="64"/>
      <c r="C77" s="914"/>
      <c r="D77" s="915"/>
      <c r="E77" s="915"/>
      <c r="F77" s="916"/>
      <c r="G77" s="923">
        <f>SUM(G57:G75)</f>
        <v>2165002924.3600001</v>
      </c>
      <c r="H77" s="923">
        <f>SUM(H57:H75)</f>
        <v>861828044.45139837</v>
      </c>
      <c r="I77" s="923">
        <f>SUM(I57:I75)</f>
        <v>0</v>
      </c>
      <c r="J77" s="1393">
        <f>SUM(J57:J75)</f>
        <v>1303174879.9053044</v>
      </c>
      <c r="K77" s="903"/>
      <c r="O77" s="1120">
        <f>SUM(O57:O75)</f>
        <v>2165002924.3600001</v>
      </c>
      <c r="P77" s="1120">
        <f>SUM(P57:P75)</f>
        <v>861828044.45139837</v>
      </c>
      <c r="Q77" s="1120">
        <f>SUM(Q57:Q75)</f>
        <v>305791043.74374974</v>
      </c>
      <c r="R77" s="1120">
        <f>SUM(R57:R75)</f>
        <v>997383836.16485202</v>
      </c>
      <c r="S77" s="1118"/>
      <c r="W77" s="1120">
        <f>SUM(W57:W75)</f>
        <v>2165002924.3600001</v>
      </c>
      <c r="X77" s="1120">
        <f>SUM(X57:X75)</f>
        <v>861828044.45139837</v>
      </c>
      <c r="Y77" s="1120">
        <f>SUM(Y57:Y75)</f>
        <v>305791043.74374974</v>
      </c>
      <c r="Z77" s="1120">
        <f>SUM(Z57:Z75)</f>
        <v>997383836.16485202</v>
      </c>
      <c r="AA77" s="1118"/>
      <c r="AE77" s="1120">
        <f>SUM(AE57:AE75)</f>
        <v>2165002924.3600001</v>
      </c>
      <c r="AF77" s="1120">
        <f>SUM(AF57:AF75)</f>
        <v>861828044.45139837</v>
      </c>
      <c r="AG77" s="1120">
        <f>SUM(AG57:AG75)</f>
        <v>305791043.74374974</v>
      </c>
      <c r="AH77" s="1120">
        <f>SUM(AH57:AH75)</f>
        <v>997383836.16485202</v>
      </c>
      <c r="AI77" s="1118"/>
      <c r="AM77" s="1120">
        <f>SUM(AM57:AM75)</f>
        <v>2165002924.3600001</v>
      </c>
      <c r="AN77" s="1120">
        <f>SUM(AN57:AN75)</f>
        <v>861828044.45139837</v>
      </c>
      <c r="AO77" s="1120">
        <f>SUM(AO57:AO75)</f>
        <v>305791043.74374974</v>
      </c>
      <c r="AP77" s="1120">
        <f>SUM(AP57:AP75)</f>
        <v>997383836.16485202</v>
      </c>
      <c r="AQ77" s="1118"/>
      <c r="AU77" s="1120">
        <f>SUM(AU57:AU75)</f>
        <v>2165002924.3600001</v>
      </c>
      <c r="AV77" s="1120">
        <f>SUM(AV57:AV75)</f>
        <v>861828044.45139837</v>
      </c>
      <c r="AW77" s="1120">
        <f>SUM(AW57:AW75)</f>
        <v>305791043.74374974</v>
      </c>
      <c r="AX77" s="1120">
        <f>SUM(AX57:AX75)</f>
        <v>997383836.16485202</v>
      </c>
      <c r="AY77" s="1118"/>
      <c r="BC77" s="1120">
        <f>SUM(BC57:BC75)</f>
        <v>2165002924.3600001</v>
      </c>
      <c r="BD77" s="1120">
        <f>SUM(BD57:BD75)</f>
        <v>861828044.45139837</v>
      </c>
      <c r="BE77" s="1120">
        <f>SUM(BE57:BE75)</f>
        <v>305791043.74374974</v>
      </c>
      <c r="BF77" s="1120">
        <f>SUM(BF57:BF75)</f>
        <v>997383836.16485202</v>
      </c>
      <c r="BG77" s="1118"/>
      <c r="BK77" s="1120">
        <f>SUM(BK57:BK75)</f>
        <v>2165002924.3600001</v>
      </c>
      <c r="BL77" s="1120">
        <f>SUM(BL57:BL75)</f>
        <v>861828044.45139837</v>
      </c>
      <c r="BM77" s="1120">
        <f>SUM(BM57:BM75)</f>
        <v>305791043.74374974</v>
      </c>
      <c r="BN77" s="1120">
        <f>SUM(BN57:BN75)</f>
        <v>997383836.16485202</v>
      </c>
      <c r="BO77" s="1118"/>
      <c r="BS77" s="1120">
        <f>SUM(BS57:BS75)</f>
        <v>2165002924.3600001</v>
      </c>
      <c r="BT77" s="1120">
        <f>SUM(BT57:BT75)</f>
        <v>861828044.45139837</v>
      </c>
      <c r="BU77" s="1120">
        <f>SUM(BU57:BU75)</f>
        <v>305791043.74374974</v>
      </c>
      <c r="BV77" s="1120">
        <f>SUM(BV57:BV75)</f>
        <v>997383836.16485202</v>
      </c>
      <c r="BW77" s="1118"/>
      <c r="CA77" s="1120">
        <f>SUM(CA57:CA75)</f>
        <v>2165002924.3600001</v>
      </c>
      <c r="CB77" s="1120">
        <f>SUM(CB57:CB75)</f>
        <v>861828044.45139837</v>
      </c>
      <c r="CC77" s="1120">
        <f>SUM(CC57:CC75)</f>
        <v>305791043.74374974</v>
      </c>
      <c r="CD77" s="1120">
        <f>SUM(CD57:CD75)</f>
        <v>997383836.16485202</v>
      </c>
      <c r="CE77" s="1118"/>
      <c r="CI77" s="1120">
        <f>SUM(CI57:CI75)</f>
        <v>2165002924.3600001</v>
      </c>
      <c r="CJ77" s="1120">
        <f>SUM(CJ57:CJ75)</f>
        <v>861828044.45139837</v>
      </c>
      <c r="CK77" s="1120">
        <f>SUM(CK57:CK75)</f>
        <v>305791043.74374974</v>
      </c>
      <c r="CL77" s="1120">
        <f>SUM(CL57:CL75)</f>
        <v>997383836.16485202</v>
      </c>
      <c r="CM77" s="1118"/>
      <c r="CQ77" s="1120">
        <f>SUM(CQ57:CQ75)</f>
        <v>2165002924.3600001</v>
      </c>
      <c r="CR77" s="1120">
        <f>SUM(CR57:CR75)</f>
        <v>861828044.45139837</v>
      </c>
      <c r="CS77" s="1120">
        <f>SUM(CS57:CS75)</f>
        <v>305791043.74374974</v>
      </c>
      <c r="CT77" s="1120">
        <f>SUM(CT57:CT75)</f>
        <v>997383836.16485202</v>
      </c>
      <c r="CU77" s="1118"/>
      <c r="CY77" s="1120">
        <f>SUM(CY57:CY75)</f>
        <v>2165002924.3600001</v>
      </c>
      <c r="CZ77" s="1120">
        <f>SUM(CZ57:CZ75)</f>
        <v>861828044.45139837</v>
      </c>
      <c r="DA77" s="1120">
        <f>SUM(DA57:DA75)</f>
        <v>305791043.74374974</v>
      </c>
      <c r="DB77" s="1120">
        <f>SUM(DB57:DB75)</f>
        <v>997383836.16485202</v>
      </c>
      <c r="DC77" s="1118"/>
      <c r="DG77" s="1120">
        <f>SUM(DG57:DG75)</f>
        <v>2165002924.3600001</v>
      </c>
      <c r="DH77" s="1120">
        <f>SUM(DH57:DH75)</f>
        <v>861828044.45139837</v>
      </c>
      <c r="DI77" s="1120">
        <f>SUM(DI57:DI75)</f>
        <v>305791043.74374974</v>
      </c>
      <c r="DJ77" s="1120">
        <f>SUM(DJ57:DJ75)</f>
        <v>997383836.16485202</v>
      </c>
      <c r="DK77" s="1118"/>
      <c r="DO77" s="1120">
        <f>SUM(DO57:DO75)</f>
        <v>2165002924.3600001</v>
      </c>
      <c r="DP77" s="1120">
        <f>SUM(DP57:DP75)</f>
        <v>861828044.45139837</v>
      </c>
      <c r="DQ77" s="1120">
        <f>SUM(DQ57:DQ75)</f>
        <v>305791043.74374974</v>
      </c>
      <c r="DR77" s="1120">
        <f>SUM(DR57:DR75)</f>
        <v>997383836.16485202</v>
      </c>
      <c r="DS77" s="1118"/>
      <c r="DW77" s="1120">
        <f>SUM(DW57:DW75)</f>
        <v>2165002924.3600001</v>
      </c>
      <c r="DX77" s="1120">
        <f>SUM(DX57:DX75)</f>
        <v>861828044.45139837</v>
      </c>
      <c r="DY77" s="1120">
        <f>SUM(DY57:DY75)</f>
        <v>305791043.74374974</v>
      </c>
      <c r="DZ77" s="1120">
        <f>SUM(DZ57:DZ75)</f>
        <v>997383836.16485202</v>
      </c>
      <c r="EA77" s="1118"/>
      <c r="EE77" s="1120">
        <f>SUM(EE57:EE75)</f>
        <v>2165002924.3600001</v>
      </c>
      <c r="EF77" s="1120">
        <f>SUM(EF57:EF75)</f>
        <v>861828044.45139837</v>
      </c>
      <c r="EG77" s="1120">
        <f>SUM(EG57:EG75)</f>
        <v>305791043.74374974</v>
      </c>
      <c r="EH77" s="1120">
        <f>SUM(EH57:EH75)</f>
        <v>997383836.16485202</v>
      </c>
      <c r="EI77" s="1118"/>
      <c r="EM77" s="1120">
        <f>SUM(EM57:EM75)</f>
        <v>2165002924.3600001</v>
      </c>
      <c r="EN77" s="1120">
        <f>SUM(EN57:EN75)</f>
        <v>861828044.45139837</v>
      </c>
      <c r="EO77" s="1120">
        <f>SUM(EO57:EO75)</f>
        <v>305791043.74374974</v>
      </c>
      <c r="EP77" s="1120">
        <f>SUM(EP57:EP75)</f>
        <v>997383836.16485202</v>
      </c>
      <c r="EQ77" s="1118"/>
      <c r="EU77" s="1120">
        <f>SUM(EU57:EU75)</f>
        <v>2165002924.3600001</v>
      </c>
      <c r="EV77" s="1120">
        <f>SUM(EV57:EV75)</f>
        <v>861828044.45139837</v>
      </c>
      <c r="EW77" s="1120">
        <f>SUM(EW57:EW75)</f>
        <v>305791043.74374974</v>
      </c>
      <c r="EX77" s="1120">
        <f>SUM(EX57:EX75)</f>
        <v>997383836.16485202</v>
      </c>
      <c r="EY77" s="1118"/>
      <c r="FC77" s="1120">
        <f>SUM(FC57:FC75)</f>
        <v>2165002924.3600001</v>
      </c>
      <c r="FD77" s="1120">
        <f>SUM(FD57:FD75)</f>
        <v>861828044.45139837</v>
      </c>
      <c r="FE77" s="1120">
        <f>SUM(FE57:FE75)</f>
        <v>305791043.74374974</v>
      </c>
      <c r="FF77" s="1120">
        <f>SUM(FF57:FF75)</f>
        <v>997383836.16485202</v>
      </c>
      <c r="FG77" s="1118"/>
      <c r="FK77" s="1120">
        <f>SUM(FK57:FK75)</f>
        <v>2165002924.3600001</v>
      </c>
      <c r="FL77" s="1120">
        <f>SUM(FL57:FL75)</f>
        <v>861828044.45139837</v>
      </c>
      <c r="FM77" s="1120">
        <f>SUM(FM57:FM75)</f>
        <v>305791043.74374974</v>
      </c>
      <c r="FN77" s="1120">
        <f>SUM(FN57:FN75)</f>
        <v>997383836.16485202</v>
      </c>
      <c r="FO77" s="1118"/>
    </row>
    <row r="78" spans="1:171">
      <c r="A78" s="925"/>
      <c r="B78" s="926"/>
      <c r="C78" s="55"/>
      <c r="D78" s="196"/>
      <c r="E78" s="196"/>
      <c r="F78" s="196"/>
      <c r="G78" s="927"/>
      <c r="H78" s="927"/>
      <c r="I78" s="927"/>
      <c r="J78" s="928"/>
      <c r="K78" s="903"/>
      <c r="O78" s="1079"/>
      <c r="P78" s="1079"/>
      <c r="Q78" s="1079"/>
      <c r="R78" s="1079"/>
      <c r="S78" s="1073"/>
      <c r="W78" s="1079"/>
      <c r="X78" s="1079"/>
      <c r="Y78" s="1079"/>
      <c r="Z78" s="1079"/>
      <c r="AA78" s="1073"/>
      <c r="AE78" s="1079"/>
      <c r="AF78" s="1079"/>
      <c r="AG78" s="1079"/>
      <c r="AH78" s="1079"/>
      <c r="AI78" s="1073"/>
      <c r="AM78" s="1079"/>
      <c r="AN78" s="1079"/>
      <c r="AO78" s="1079"/>
      <c r="AP78" s="1079"/>
      <c r="AQ78" s="1073"/>
      <c r="AU78" s="1079"/>
      <c r="AV78" s="1079"/>
      <c r="AW78" s="1079"/>
      <c r="AX78" s="1079"/>
      <c r="AY78" s="1073"/>
      <c r="BC78" s="1079"/>
      <c r="BD78" s="1079"/>
      <c r="BE78" s="1079"/>
      <c r="BF78" s="1079"/>
      <c r="BG78" s="1073"/>
      <c r="BK78" s="1079"/>
      <c r="BL78" s="1079"/>
      <c r="BM78" s="1079"/>
      <c r="BN78" s="1079"/>
      <c r="BO78" s="1073"/>
      <c r="BS78" s="1079"/>
      <c r="BT78" s="1079"/>
      <c r="BU78" s="1079"/>
      <c r="BV78" s="1079"/>
      <c r="BW78" s="1073"/>
      <c r="CA78" s="1079"/>
      <c r="CB78" s="1079"/>
      <c r="CC78" s="1079"/>
      <c r="CD78" s="1079"/>
      <c r="CE78" s="1073"/>
      <c r="CI78" s="1079"/>
      <c r="CJ78" s="1079"/>
      <c r="CK78" s="1079"/>
      <c r="CL78" s="1079"/>
      <c r="CM78" s="1073"/>
      <c r="CQ78" s="1079"/>
      <c r="CR78" s="1079"/>
      <c r="CS78" s="1079"/>
      <c r="CT78" s="1079"/>
      <c r="CU78" s="1073"/>
      <c r="CY78" s="1079"/>
      <c r="CZ78" s="1079"/>
      <c r="DA78" s="1079"/>
      <c r="DB78" s="1079"/>
      <c r="DC78" s="1073"/>
      <c r="DG78" s="1079"/>
      <c r="DH78" s="1079"/>
      <c r="DI78" s="1079"/>
      <c r="DJ78" s="1079"/>
      <c r="DK78" s="1073"/>
      <c r="DO78" s="1079"/>
      <c r="DP78" s="1079"/>
      <c r="DQ78" s="1079"/>
      <c r="DR78" s="1079"/>
      <c r="DS78" s="1073"/>
      <c r="DW78" s="1079"/>
      <c r="DX78" s="1079"/>
      <c r="DY78" s="1079"/>
      <c r="DZ78" s="1079"/>
      <c r="EA78" s="1073"/>
      <c r="EE78" s="1079"/>
      <c r="EF78" s="1079"/>
      <c r="EG78" s="1079"/>
      <c r="EH78" s="1079"/>
      <c r="EI78" s="1073"/>
      <c r="EM78" s="1079"/>
      <c r="EN78" s="1079"/>
      <c r="EO78" s="1079"/>
      <c r="EP78" s="1079"/>
      <c r="EQ78" s="1073"/>
      <c r="EU78" s="1079"/>
      <c r="EV78" s="1079"/>
      <c r="EW78" s="1079"/>
      <c r="EX78" s="1079"/>
      <c r="EY78" s="1073"/>
      <c r="FC78" s="1079"/>
      <c r="FD78" s="1079"/>
      <c r="FE78" s="1079"/>
      <c r="FF78" s="1079"/>
      <c r="FG78" s="1073"/>
      <c r="FK78" s="1079"/>
      <c r="FL78" s="1079"/>
      <c r="FM78" s="1079"/>
      <c r="FN78" s="1079"/>
      <c r="FO78" s="1073"/>
    </row>
    <row r="79" spans="1:171">
      <c r="A79" s="209" t="s">
        <v>479</v>
      </c>
      <c r="B79" s="64"/>
      <c r="C79" s="914"/>
      <c r="D79" s="915"/>
      <c r="E79" s="915"/>
      <c r="F79" s="916"/>
      <c r="G79" s="923">
        <f>G52-G77</f>
        <v>3187761027.6399999</v>
      </c>
      <c r="H79" s="923">
        <f>H52-H77</f>
        <v>841542967.16555357</v>
      </c>
      <c r="I79" s="923">
        <f>I52-I77</f>
        <v>0</v>
      </c>
      <c r="J79" s="1393">
        <f>J52-J77</f>
        <v>2346218059.9277439</v>
      </c>
      <c r="K79" s="903"/>
      <c r="O79" s="1125">
        <f>O52-O77</f>
        <v>3187761027.6399999</v>
      </c>
      <c r="P79" s="1125">
        <f>P52-P77</f>
        <v>841542967.16555357</v>
      </c>
      <c r="Q79" s="1125">
        <f>Q52-Q77</f>
        <v>795161132.8804611</v>
      </c>
      <c r="R79" s="1125">
        <f>R52-R77</f>
        <v>1551056927.5939851</v>
      </c>
      <c r="S79" s="1073"/>
      <c r="W79" s="1125">
        <f>W52-W77</f>
        <v>3187761027.6399999</v>
      </c>
      <c r="X79" s="1125">
        <f>X52-X77</f>
        <v>841542967.16555357</v>
      </c>
      <c r="Y79" s="1125">
        <f>Y52-Y77</f>
        <v>795161132.8804611</v>
      </c>
      <c r="Z79" s="1125">
        <f>Z52-Z77</f>
        <v>1551056927.5939851</v>
      </c>
      <c r="AA79" s="1073"/>
      <c r="AE79" s="1125">
        <f>AE52-AE77</f>
        <v>3187761027.6399999</v>
      </c>
      <c r="AF79" s="1125">
        <f>AF52-AF77</f>
        <v>841542967.16555357</v>
      </c>
      <c r="AG79" s="1125">
        <f>AG52-AG77</f>
        <v>795161132.8804611</v>
      </c>
      <c r="AH79" s="1125">
        <f>AH52-AH77</f>
        <v>1551056927.5939851</v>
      </c>
      <c r="AI79" s="1073"/>
      <c r="AM79" s="1125">
        <f>AM52-AM77</f>
        <v>3187761027.6399999</v>
      </c>
      <c r="AN79" s="1125">
        <f>AN52-AN77</f>
        <v>841542967.16555357</v>
      </c>
      <c r="AO79" s="1125">
        <f>AO52-AO77</f>
        <v>795161132.8804611</v>
      </c>
      <c r="AP79" s="1125">
        <f>AP52-AP77</f>
        <v>1551056927.5939851</v>
      </c>
      <c r="AQ79" s="1073"/>
      <c r="AU79" s="1125">
        <f>AU52-AU77</f>
        <v>3187761027.6399999</v>
      </c>
      <c r="AV79" s="1125">
        <f>AV52-AV77</f>
        <v>841542967.16555357</v>
      </c>
      <c r="AW79" s="1125">
        <f>AW52-AW77</f>
        <v>795161132.8804611</v>
      </c>
      <c r="AX79" s="1125">
        <f>AX52-AX77</f>
        <v>1551056927.5939851</v>
      </c>
      <c r="AY79" s="1073"/>
      <c r="BC79" s="1125">
        <f>BC52-BC77</f>
        <v>3187761027.6399999</v>
      </c>
      <c r="BD79" s="1125">
        <f>BD52-BD77</f>
        <v>841542967.16555357</v>
      </c>
      <c r="BE79" s="1125">
        <f>BE52-BE77</f>
        <v>795161132.8804611</v>
      </c>
      <c r="BF79" s="1125">
        <f>BF52-BF77</f>
        <v>1551056927.5939851</v>
      </c>
      <c r="BG79" s="1073"/>
      <c r="BK79" s="1125">
        <f>BK52-BK77</f>
        <v>3187761027.6399999</v>
      </c>
      <c r="BL79" s="1125">
        <f>BL52-BL77</f>
        <v>841542967.16555357</v>
      </c>
      <c r="BM79" s="1125">
        <f>BM52-BM77</f>
        <v>795161132.8804611</v>
      </c>
      <c r="BN79" s="1125">
        <f>BN52-BN77</f>
        <v>1551056927.5939851</v>
      </c>
      <c r="BO79" s="1073"/>
      <c r="BS79" s="1125">
        <f>BS52-BS77</f>
        <v>3187761027.6399999</v>
      </c>
      <c r="BT79" s="1125">
        <f>BT52-BT77</f>
        <v>841542967.16555357</v>
      </c>
      <c r="BU79" s="1125">
        <f>BU52-BU77</f>
        <v>795161132.8804611</v>
      </c>
      <c r="BV79" s="1125">
        <f>BV52-BV77</f>
        <v>1551056927.5939851</v>
      </c>
      <c r="BW79" s="1073"/>
      <c r="CA79" s="1125">
        <f>CA52-CA77</f>
        <v>3187761027.6399999</v>
      </c>
      <c r="CB79" s="1125">
        <f>CB52-CB77</f>
        <v>841542967.16555357</v>
      </c>
      <c r="CC79" s="1125">
        <f>CC52-CC77</f>
        <v>795161132.8804611</v>
      </c>
      <c r="CD79" s="1125">
        <f>CD52-CD77</f>
        <v>1551056927.5939851</v>
      </c>
      <c r="CE79" s="1073"/>
      <c r="CI79" s="1125">
        <f>CI52-CI77</f>
        <v>3187761027.6399999</v>
      </c>
      <c r="CJ79" s="1125">
        <f>CJ52-CJ77</f>
        <v>841542967.16555357</v>
      </c>
      <c r="CK79" s="1125">
        <f>CK52-CK77</f>
        <v>795161132.8804611</v>
      </c>
      <c r="CL79" s="1125">
        <f>CL52-CL77</f>
        <v>1551056927.5939851</v>
      </c>
      <c r="CM79" s="1073"/>
      <c r="CQ79" s="1125">
        <f>CQ52-CQ77</f>
        <v>3187761027.6399999</v>
      </c>
      <c r="CR79" s="1125">
        <f>CR52-CR77</f>
        <v>841542967.16555357</v>
      </c>
      <c r="CS79" s="1125">
        <f>CS52-CS77</f>
        <v>795161132.8804611</v>
      </c>
      <c r="CT79" s="1125">
        <f>CT52-CT77</f>
        <v>1551056927.5939851</v>
      </c>
      <c r="CU79" s="1073"/>
      <c r="CY79" s="1125">
        <f>CY52-CY77</f>
        <v>3187761027.6399999</v>
      </c>
      <c r="CZ79" s="1125">
        <f>CZ52-CZ77</f>
        <v>841542967.16555357</v>
      </c>
      <c r="DA79" s="1125">
        <f>DA52-DA77</f>
        <v>795161132.8804611</v>
      </c>
      <c r="DB79" s="1125">
        <f>DB52-DB77</f>
        <v>1551056927.5939851</v>
      </c>
      <c r="DC79" s="1073"/>
      <c r="DG79" s="1125">
        <f>DG52-DG77</f>
        <v>3187761027.6399999</v>
      </c>
      <c r="DH79" s="1125">
        <f>DH52-DH77</f>
        <v>841542967.16555357</v>
      </c>
      <c r="DI79" s="1125">
        <f>DI52-DI77</f>
        <v>795161132.8804611</v>
      </c>
      <c r="DJ79" s="1125">
        <f>DJ52-DJ77</f>
        <v>1551056927.5939851</v>
      </c>
      <c r="DK79" s="1073"/>
      <c r="DO79" s="1125">
        <f>DO52-DO77</f>
        <v>3187761027.6399999</v>
      </c>
      <c r="DP79" s="1125">
        <f>DP52-DP77</f>
        <v>841542967.16555357</v>
      </c>
      <c r="DQ79" s="1125">
        <f>DQ52-DQ77</f>
        <v>795161132.8804611</v>
      </c>
      <c r="DR79" s="1125">
        <f>DR52-DR77</f>
        <v>1551056927.5939851</v>
      </c>
      <c r="DS79" s="1073"/>
      <c r="DW79" s="1125">
        <f>DW52-DW77</f>
        <v>3187761027.6399999</v>
      </c>
      <c r="DX79" s="1125">
        <f>DX52-DX77</f>
        <v>841542967.16555357</v>
      </c>
      <c r="DY79" s="1125">
        <f>DY52-DY77</f>
        <v>795161132.8804611</v>
      </c>
      <c r="DZ79" s="1125">
        <f>DZ52-DZ77</f>
        <v>1551056927.5939851</v>
      </c>
      <c r="EA79" s="1073"/>
      <c r="EE79" s="1125">
        <f>EE52-EE77</f>
        <v>3187761027.6399999</v>
      </c>
      <c r="EF79" s="1125">
        <f>EF52-EF77</f>
        <v>841542967.16555357</v>
      </c>
      <c r="EG79" s="1125">
        <f>EG52-EG77</f>
        <v>795161132.8804611</v>
      </c>
      <c r="EH79" s="1125">
        <f>EH52-EH77</f>
        <v>1551056927.5939851</v>
      </c>
      <c r="EI79" s="1073"/>
      <c r="EM79" s="1125">
        <f>EM52-EM77</f>
        <v>3187761027.6399999</v>
      </c>
      <c r="EN79" s="1125">
        <f>EN52-EN77</f>
        <v>841542967.16555357</v>
      </c>
      <c r="EO79" s="1125">
        <f>EO52-EO77</f>
        <v>795161132.8804611</v>
      </c>
      <c r="EP79" s="1125">
        <f>EP52-EP77</f>
        <v>1551056927.5939851</v>
      </c>
      <c r="EQ79" s="1073"/>
      <c r="EU79" s="1125">
        <f>EU52-EU77</f>
        <v>3187761027.6399999</v>
      </c>
      <c r="EV79" s="1125">
        <f>EV52-EV77</f>
        <v>841542967.16555357</v>
      </c>
      <c r="EW79" s="1125">
        <f>EW52-EW77</f>
        <v>795161132.8804611</v>
      </c>
      <c r="EX79" s="1125">
        <f>EX52-EX77</f>
        <v>1551056927.5939851</v>
      </c>
      <c r="EY79" s="1073"/>
      <c r="FC79" s="1125">
        <f>FC52-FC77</f>
        <v>3187761027.6399999</v>
      </c>
      <c r="FD79" s="1125">
        <f>FD52-FD77</f>
        <v>841542967.16555357</v>
      </c>
      <c r="FE79" s="1125">
        <f>FE52-FE77</f>
        <v>795161132.8804611</v>
      </c>
      <c r="FF79" s="1125">
        <f>FF52-FF77</f>
        <v>1551056927.5939851</v>
      </c>
      <c r="FG79" s="1073"/>
      <c r="FK79" s="1125">
        <f>FK52-FK77</f>
        <v>3187761027.6399999</v>
      </c>
      <c r="FL79" s="1125">
        <f>FL52-FL77</f>
        <v>841542967.16555357</v>
      </c>
      <c r="FM79" s="1125">
        <f>FM52-FM77</f>
        <v>795161132.8804611</v>
      </c>
      <c r="FN79" s="1125">
        <f>FN52-FN77</f>
        <v>1551056927.5939851</v>
      </c>
      <c r="FO79" s="1073"/>
    </row>
    <row r="80" spans="1:171">
      <c r="A80" s="213" t="s">
        <v>84</v>
      </c>
      <c r="B80" s="64"/>
      <c r="C80" s="55"/>
      <c r="D80" s="55"/>
      <c r="E80" s="929"/>
      <c r="F80" s="929"/>
      <c r="G80" s="910"/>
      <c r="H80" s="910"/>
      <c r="I80" s="910"/>
      <c r="J80" s="222"/>
      <c r="K80" s="903"/>
      <c r="O80" s="1079"/>
      <c r="P80" s="1079"/>
      <c r="Q80" s="1079"/>
      <c r="R80" s="1079"/>
      <c r="S80" s="1073"/>
      <c r="W80" s="1079"/>
      <c r="X80" s="1079"/>
      <c r="Y80" s="1079"/>
      <c r="Z80" s="1079"/>
      <c r="AA80" s="1073"/>
      <c r="AE80" s="1079"/>
      <c r="AF80" s="1079"/>
      <c r="AG80" s="1079"/>
      <c r="AH80" s="1079"/>
      <c r="AI80" s="1073"/>
      <c r="AM80" s="1079"/>
      <c r="AN80" s="1079"/>
      <c r="AO80" s="1079"/>
      <c r="AP80" s="1079"/>
      <c r="AQ80" s="1073"/>
      <c r="AU80" s="1079"/>
      <c r="AV80" s="1079"/>
      <c r="AW80" s="1079"/>
      <c r="AX80" s="1079"/>
      <c r="AY80" s="1073"/>
      <c r="BC80" s="1079"/>
      <c r="BD80" s="1079"/>
      <c r="BE80" s="1079"/>
      <c r="BF80" s="1079"/>
      <c r="BG80" s="1073"/>
      <c r="BK80" s="1079"/>
      <c r="BL80" s="1079"/>
      <c r="BM80" s="1079"/>
      <c r="BN80" s="1079"/>
      <c r="BO80" s="1073"/>
      <c r="BS80" s="1079"/>
      <c r="BT80" s="1079"/>
      <c r="BU80" s="1079"/>
      <c r="BV80" s="1079"/>
      <c r="BW80" s="1073"/>
      <c r="CA80" s="1079"/>
      <c r="CB80" s="1079"/>
      <c r="CC80" s="1079"/>
      <c r="CD80" s="1079"/>
      <c r="CE80" s="1073"/>
      <c r="CI80" s="1079"/>
      <c r="CJ80" s="1079"/>
      <c r="CK80" s="1079"/>
      <c r="CL80" s="1079"/>
      <c r="CM80" s="1073"/>
      <c r="CQ80" s="1079"/>
      <c r="CR80" s="1079"/>
      <c r="CS80" s="1079"/>
      <c r="CT80" s="1079"/>
      <c r="CU80" s="1073"/>
      <c r="CY80" s="1079"/>
      <c r="CZ80" s="1079"/>
      <c r="DA80" s="1079"/>
      <c r="DB80" s="1079"/>
      <c r="DC80" s="1073"/>
      <c r="DG80" s="1079"/>
      <c r="DH80" s="1079"/>
      <c r="DI80" s="1079"/>
      <c r="DJ80" s="1079"/>
      <c r="DK80" s="1073"/>
      <c r="DO80" s="1079"/>
      <c r="DP80" s="1079"/>
      <c r="DQ80" s="1079"/>
      <c r="DR80" s="1079"/>
      <c r="DS80" s="1073"/>
      <c r="DW80" s="1079"/>
      <c r="DX80" s="1079"/>
      <c r="DY80" s="1079"/>
      <c r="DZ80" s="1079"/>
      <c r="EA80" s="1073"/>
      <c r="EE80" s="1079"/>
      <c r="EF80" s="1079"/>
      <c r="EG80" s="1079"/>
      <c r="EH80" s="1079"/>
      <c r="EI80" s="1073"/>
      <c r="EM80" s="1079"/>
      <c r="EN80" s="1079"/>
      <c r="EO80" s="1079"/>
      <c r="EP80" s="1079"/>
      <c r="EQ80" s="1073"/>
      <c r="EU80" s="1079"/>
      <c r="EV80" s="1079"/>
      <c r="EW80" s="1079"/>
      <c r="EX80" s="1079"/>
      <c r="EY80" s="1073"/>
      <c r="FC80" s="1079"/>
      <c r="FD80" s="1079"/>
      <c r="FE80" s="1079"/>
      <c r="FF80" s="1079"/>
      <c r="FG80" s="1073"/>
      <c r="FK80" s="1079"/>
      <c r="FL80" s="1079"/>
      <c r="FM80" s="1079"/>
      <c r="FN80" s="1079"/>
      <c r="FO80" s="1073"/>
    </row>
    <row r="81" spans="1:171" ht="16.5" thickBot="1">
      <c r="A81" s="930"/>
      <c r="B81" s="931"/>
      <c r="C81" s="932"/>
      <c r="D81" s="932"/>
      <c r="E81" s="933"/>
      <c r="F81" s="933"/>
      <c r="G81" s="934"/>
      <c r="H81" s="934"/>
      <c r="I81" s="934"/>
      <c r="J81" s="935"/>
      <c r="K81" s="903"/>
      <c r="O81" s="1079"/>
      <c r="P81" s="1079"/>
      <c r="Q81" s="1079"/>
      <c r="R81" s="1079"/>
      <c r="S81" s="1073"/>
      <c r="W81" s="1079"/>
      <c r="X81" s="1079"/>
      <c r="Y81" s="1079"/>
      <c r="Z81" s="1079"/>
      <c r="AA81" s="1073"/>
      <c r="AE81" s="1079"/>
      <c r="AF81" s="1079"/>
      <c r="AG81" s="1079"/>
      <c r="AH81" s="1079"/>
      <c r="AI81" s="1073"/>
      <c r="AM81" s="1079"/>
      <c r="AN81" s="1079"/>
      <c r="AO81" s="1079"/>
      <c r="AP81" s="1079"/>
      <c r="AQ81" s="1073"/>
      <c r="AU81" s="1079"/>
      <c r="AV81" s="1079"/>
      <c r="AW81" s="1079"/>
      <c r="AX81" s="1079"/>
      <c r="AY81" s="1073"/>
      <c r="BC81" s="1079"/>
      <c r="BD81" s="1079"/>
      <c r="BE81" s="1079"/>
      <c r="BF81" s="1079"/>
      <c r="BG81" s="1073"/>
      <c r="BK81" s="1079"/>
      <c r="BL81" s="1079"/>
      <c r="BM81" s="1079"/>
      <c r="BN81" s="1079"/>
      <c r="BO81" s="1073"/>
      <c r="BS81" s="1079"/>
      <c r="BT81" s="1079"/>
      <c r="BU81" s="1079"/>
      <c r="BV81" s="1079"/>
      <c r="BW81" s="1073"/>
      <c r="CA81" s="1079"/>
      <c r="CB81" s="1079"/>
      <c r="CC81" s="1079"/>
      <c r="CD81" s="1079"/>
      <c r="CE81" s="1073"/>
      <c r="CI81" s="1079"/>
      <c r="CJ81" s="1079"/>
      <c r="CK81" s="1079"/>
      <c r="CL81" s="1079"/>
      <c r="CM81" s="1073"/>
      <c r="CQ81" s="1079"/>
      <c r="CR81" s="1079"/>
      <c r="CS81" s="1079"/>
      <c r="CT81" s="1079"/>
      <c r="CU81" s="1073"/>
      <c r="CY81" s="1079"/>
      <c r="CZ81" s="1079"/>
      <c r="DA81" s="1079"/>
      <c r="DB81" s="1079"/>
      <c r="DC81" s="1073"/>
      <c r="DG81" s="1079"/>
      <c r="DH81" s="1079"/>
      <c r="DI81" s="1079"/>
      <c r="DJ81" s="1079"/>
      <c r="DK81" s="1073"/>
      <c r="DO81" s="1079"/>
      <c r="DP81" s="1079"/>
      <c r="DQ81" s="1079"/>
      <c r="DR81" s="1079"/>
      <c r="DS81" s="1073"/>
      <c r="DW81" s="1079"/>
      <c r="DX81" s="1079"/>
      <c r="DY81" s="1079"/>
      <c r="DZ81" s="1079"/>
      <c r="EA81" s="1073"/>
      <c r="EE81" s="1079"/>
      <c r="EF81" s="1079"/>
      <c r="EG81" s="1079"/>
      <c r="EH81" s="1079"/>
      <c r="EI81" s="1073"/>
      <c r="EM81" s="1079"/>
      <c r="EN81" s="1079"/>
      <c r="EO81" s="1079"/>
      <c r="EP81" s="1079"/>
      <c r="EQ81" s="1073"/>
      <c r="EU81" s="1079"/>
      <c r="EV81" s="1079"/>
      <c r="EW81" s="1079"/>
      <c r="EX81" s="1079"/>
      <c r="EY81" s="1073"/>
      <c r="FC81" s="1079"/>
      <c r="FD81" s="1079"/>
      <c r="FE81" s="1079"/>
      <c r="FF81" s="1079"/>
      <c r="FG81" s="1073"/>
      <c r="FK81" s="1079"/>
      <c r="FL81" s="1079"/>
      <c r="FM81" s="1079"/>
      <c r="FN81" s="1079"/>
      <c r="FO81" s="1073"/>
    </row>
    <row r="82" spans="1:171" ht="16.5" thickTop="1">
      <c r="A82" s="160" t="s">
        <v>76</v>
      </c>
      <c r="B82" s="64"/>
      <c r="C82" s="55"/>
      <c r="D82" s="55"/>
      <c r="E82" s="929"/>
      <c r="F82" s="929"/>
      <c r="G82" s="910"/>
      <c r="H82" s="910"/>
      <c r="I82" s="910"/>
      <c r="J82" s="222"/>
      <c r="K82" s="903"/>
      <c r="O82" s="1079"/>
      <c r="P82" s="1079"/>
      <c r="Q82" s="1079"/>
      <c r="R82" s="1079"/>
      <c r="S82" s="1073"/>
      <c r="W82" s="1079"/>
      <c r="X82" s="1079"/>
      <c r="Y82" s="1079"/>
      <c r="Z82" s="1079"/>
      <c r="AA82" s="1073"/>
      <c r="AE82" s="1079"/>
      <c r="AF82" s="1079"/>
      <c r="AG82" s="1079"/>
      <c r="AH82" s="1079"/>
      <c r="AI82" s="1073"/>
      <c r="AM82" s="1079"/>
      <c r="AN82" s="1079"/>
      <c r="AO82" s="1079"/>
      <c r="AP82" s="1079"/>
      <c r="AQ82" s="1073"/>
      <c r="AU82" s="1079"/>
      <c r="AV82" s="1079"/>
      <c r="AW82" s="1079"/>
      <c r="AX82" s="1079"/>
      <c r="AY82" s="1073"/>
      <c r="BC82" s="1079"/>
      <c r="BD82" s="1079"/>
      <c r="BE82" s="1079"/>
      <c r="BF82" s="1079"/>
      <c r="BG82" s="1073"/>
      <c r="BK82" s="1079"/>
      <c r="BL82" s="1079"/>
      <c r="BM82" s="1079"/>
      <c r="BN82" s="1079"/>
      <c r="BO82" s="1073"/>
      <c r="BS82" s="1079"/>
      <c r="BT82" s="1079"/>
      <c r="BU82" s="1079"/>
      <c r="BV82" s="1079"/>
      <c r="BW82" s="1073"/>
      <c r="CA82" s="1079"/>
      <c r="CB82" s="1079"/>
      <c r="CC82" s="1079"/>
      <c r="CD82" s="1079"/>
      <c r="CE82" s="1073"/>
      <c r="CI82" s="1079"/>
      <c r="CJ82" s="1079"/>
      <c r="CK82" s="1079"/>
      <c r="CL82" s="1079"/>
      <c r="CM82" s="1073"/>
      <c r="CQ82" s="1079"/>
      <c r="CR82" s="1079"/>
      <c r="CS82" s="1079"/>
      <c r="CT82" s="1079"/>
      <c r="CU82" s="1073"/>
      <c r="CY82" s="1079"/>
      <c r="CZ82" s="1079"/>
      <c r="DA82" s="1079"/>
      <c r="DB82" s="1079"/>
      <c r="DC82" s="1073"/>
      <c r="DG82" s="1079"/>
      <c r="DH82" s="1079"/>
      <c r="DI82" s="1079"/>
      <c r="DJ82" s="1079"/>
      <c r="DK82" s="1073"/>
      <c r="DO82" s="1079"/>
      <c r="DP82" s="1079"/>
      <c r="DQ82" s="1079"/>
      <c r="DR82" s="1079"/>
      <c r="DS82" s="1073"/>
      <c r="DW82" s="1079"/>
      <c r="DX82" s="1079"/>
      <c r="DY82" s="1079"/>
      <c r="DZ82" s="1079"/>
      <c r="EA82" s="1073"/>
      <c r="EE82" s="1079"/>
      <c r="EF82" s="1079"/>
      <c r="EG82" s="1079"/>
      <c r="EH82" s="1079"/>
      <c r="EI82" s="1073"/>
      <c r="EM82" s="1079"/>
      <c r="EN82" s="1079"/>
      <c r="EO82" s="1079"/>
      <c r="EP82" s="1079"/>
      <c r="EQ82" s="1073"/>
      <c r="EU82" s="1079"/>
      <c r="EV82" s="1079"/>
      <c r="EW82" s="1079"/>
      <c r="EX82" s="1079"/>
      <c r="EY82" s="1073"/>
      <c r="FC82" s="1079"/>
      <c r="FD82" s="1079"/>
      <c r="FE82" s="1079"/>
      <c r="FF82" s="1079"/>
      <c r="FG82" s="1073"/>
      <c r="FK82" s="1079"/>
      <c r="FL82" s="1079"/>
      <c r="FM82" s="1079"/>
      <c r="FN82" s="1079"/>
      <c r="FO82" s="1073"/>
    </row>
    <row r="83" spans="1:171">
      <c r="A83" s="160"/>
      <c r="B83" s="64"/>
      <c r="C83" s="55"/>
      <c r="D83" s="55"/>
      <c r="E83" s="929"/>
      <c r="F83" s="929"/>
      <c r="G83" s="885"/>
      <c r="H83" s="885"/>
      <c r="I83" s="885"/>
      <c r="J83" s="936"/>
      <c r="K83" s="903"/>
      <c r="O83" s="1079"/>
      <c r="P83" s="1079"/>
      <c r="Q83" s="1079"/>
      <c r="R83" s="1079"/>
      <c r="S83" s="1073"/>
      <c r="W83" s="1079"/>
      <c r="X83" s="1079"/>
      <c r="Y83" s="1079"/>
      <c r="Z83" s="1079"/>
      <c r="AA83" s="1073"/>
      <c r="AE83" s="1079"/>
      <c r="AF83" s="1079"/>
      <c r="AG83" s="1079"/>
      <c r="AH83" s="1079"/>
      <c r="AI83" s="1073"/>
      <c r="AM83" s="1079"/>
      <c r="AN83" s="1079"/>
      <c r="AO83" s="1079"/>
      <c r="AP83" s="1079"/>
      <c r="AQ83" s="1073"/>
      <c r="AU83" s="1079"/>
      <c r="AV83" s="1079"/>
      <c r="AW83" s="1079"/>
      <c r="AX83" s="1079"/>
      <c r="AY83" s="1073"/>
      <c r="BC83" s="1079"/>
      <c r="BD83" s="1079"/>
      <c r="BE83" s="1079"/>
      <c r="BF83" s="1079"/>
      <c r="BG83" s="1073"/>
      <c r="BK83" s="1079"/>
      <c r="BL83" s="1079"/>
      <c r="BM83" s="1079"/>
      <c r="BN83" s="1079"/>
      <c r="BO83" s="1073"/>
      <c r="BS83" s="1079"/>
      <c r="BT83" s="1079"/>
      <c r="BU83" s="1079"/>
      <c r="BV83" s="1079"/>
      <c r="BW83" s="1073"/>
      <c r="CA83" s="1079"/>
      <c r="CB83" s="1079"/>
      <c r="CC83" s="1079"/>
      <c r="CD83" s="1079"/>
      <c r="CE83" s="1073"/>
      <c r="CI83" s="1079"/>
      <c r="CJ83" s="1079"/>
      <c r="CK83" s="1079"/>
      <c r="CL83" s="1079"/>
      <c r="CM83" s="1073"/>
      <c r="CQ83" s="1079"/>
      <c r="CR83" s="1079"/>
      <c r="CS83" s="1079"/>
      <c r="CT83" s="1079"/>
      <c r="CU83" s="1073"/>
      <c r="CY83" s="1079"/>
      <c r="CZ83" s="1079"/>
      <c r="DA83" s="1079"/>
      <c r="DB83" s="1079"/>
      <c r="DC83" s="1073"/>
      <c r="DG83" s="1079"/>
      <c r="DH83" s="1079"/>
      <c r="DI83" s="1079"/>
      <c r="DJ83" s="1079"/>
      <c r="DK83" s="1073"/>
      <c r="DO83" s="1079"/>
      <c r="DP83" s="1079"/>
      <c r="DQ83" s="1079"/>
      <c r="DR83" s="1079"/>
      <c r="DS83" s="1073"/>
      <c r="DW83" s="1079"/>
      <c r="DX83" s="1079"/>
      <c r="DY83" s="1079"/>
      <c r="DZ83" s="1079"/>
      <c r="EA83" s="1073"/>
      <c r="EE83" s="1079"/>
      <c r="EF83" s="1079"/>
      <c r="EG83" s="1079"/>
      <c r="EH83" s="1079"/>
      <c r="EI83" s="1073"/>
      <c r="EM83" s="1079"/>
      <c r="EN83" s="1079"/>
      <c r="EO83" s="1079"/>
      <c r="EP83" s="1079"/>
      <c r="EQ83" s="1073"/>
      <c r="EU83" s="1079"/>
      <c r="EV83" s="1079"/>
      <c r="EW83" s="1079"/>
      <c r="EX83" s="1079"/>
      <c r="EY83" s="1073"/>
      <c r="FC83" s="1079"/>
      <c r="FD83" s="1079"/>
      <c r="FE83" s="1079"/>
      <c r="FF83" s="1079"/>
      <c r="FG83" s="1073"/>
      <c r="FK83" s="1079"/>
      <c r="FL83" s="1079"/>
      <c r="FM83" s="1079"/>
      <c r="FN83" s="1079"/>
      <c r="FO83" s="1073"/>
    </row>
    <row r="84" spans="1:171">
      <c r="A84" s="267" t="s">
        <v>144</v>
      </c>
      <c r="B84" s="937"/>
      <c r="C84" s="888" t="s">
        <v>625</v>
      </c>
      <c r="D84" s="888"/>
      <c r="E84" s="182">
        <f>'Sch 1- Rate Base '!E84</f>
        <v>0</v>
      </c>
      <c r="F84" s="889"/>
      <c r="G84" s="182">
        <f>'Sch 1- Rate Base '!G84</f>
        <v>41593656.978750005</v>
      </c>
      <c r="H84" s="182">
        <f>'Sch 1- Rate Base '!H84</f>
        <v>16843399.343093246</v>
      </c>
      <c r="I84" s="182">
        <f>'Sch 1- Rate Base '!I84</f>
        <v>0</v>
      </c>
      <c r="J84" s="183">
        <f>'Sch 1- Rate Base '!J84</f>
        <v>24750257.635620713</v>
      </c>
      <c r="K84" s="903"/>
      <c r="O84" s="1126">
        <f>(O196+O202+O207+O215+O235-(O176+O180+O187+O191+O194+O195+$G$85))/8</f>
        <v>41593656.978750005</v>
      </c>
      <c r="P84" s="1126">
        <f>(P196+P202+P207+P215+P235-(P176+P180+P187+P191+P194+P195+$H$85))/8</f>
        <v>16843399.343093246</v>
      </c>
      <c r="Q84" s="1126">
        <f>(Q196+Q202+Q207+Q215+Q235-(Q176+Q180+Q187+Q191+Q194+Q195))/8</f>
        <v>3128288.2246458661</v>
      </c>
      <c r="R84" s="1126">
        <f>(R196+R202+R207+R215+R235-(R176+R180+R187+R191+R194+R195))/8</f>
        <v>21621969.411010899</v>
      </c>
      <c r="S84" s="1073"/>
      <c r="W84" s="1126">
        <f>(W196+W202+W207+W215+W235-(W176+W180+W187+W191+W194+W195+$G$85))/8</f>
        <v>41593656.978750005</v>
      </c>
      <c r="X84" s="1126">
        <f>(X196+X202+X207+X215+X235-(X176+X180+X187+X191+X194+X195+$H$85))/8</f>
        <v>16843399.343093246</v>
      </c>
      <c r="Y84" s="1126">
        <f>(Y196+Y202+Y207+Y215+Y235-(Y176+Y180+Y187+Y191+Y194+Y195))/8</f>
        <v>3128288.2246458661</v>
      </c>
      <c r="Z84" s="1126">
        <f>(Z196+Z202+Z207+Z215+Z235-(Z176+Z180+Z187+Z191+Z194+Z195))/8</f>
        <v>21621969.411010899</v>
      </c>
      <c r="AA84" s="1073"/>
      <c r="AE84" s="1126">
        <f>(AE196+AE202+AE207+AE215+AE235-(AE176+AE180+AE187+AE191+AE194+AE195+$G$85))/8</f>
        <v>41593656.978750005</v>
      </c>
      <c r="AF84" s="1126">
        <f>(AF196+AF202+AF207+AF215+AF235-(AF176+AF180+AF187+AF191+AF194+AF195+$H$85))/8</f>
        <v>16843399.343093246</v>
      </c>
      <c r="AG84" s="1126">
        <f>(AG196+AG202+AG207+AG215+AG235-(AG176+AG180+AG187+AG191+AG194+AG195))/8</f>
        <v>3128288.2246458661</v>
      </c>
      <c r="AH84" s="1126">
        <f>(AH196+AH202+AH207+AH215+AH235-(AH176+AH180+AH187+AH191+AH194+AH195))/8</f>
        <v>21621969.411010899</v>
      </c>
      <c r="AI84" s="1073"/>
      <c r="AM84" s="1126">
        <f>(AM196+AM202+AM207+AM215+AM235-(AM176+AM180+AM187+AM191+AM194+AM195+$G$85))/8</f>
        <v>41593656.978750005</v>
      </c>
      <c r="AN84" s="1126">
        <f>(AN196+AN202+AN207+AN215+AN235-(AN176+AN180+AN187+AN191+AN194+AN195+$H$85))/8</f>
        <v>16843399.343093246</v>
      </c>
      <c r="AO84" s="1126">
        <f>(AO196+AO202+AO207+AO215+AO235-(AO176+AO180+AO187+AO191+AO194+AO195))/8</f>
        <v>3128288.2246458661</v>
      </c>
      <c r="AP84" s="1126">
        <f>(AP196+AP202+AP207+AP215+AP235-(AP176+AP180+AP187+AP191+AP194+AP195))/8</f>
        <v>21621969.411010899</v>
      </c>
      <c r="AQ84" s="1073"/>
      <c r="AU84" s="1126">
        <f>(AU196+AU202+AU207+AU215+AU235-(AU176+AU180+AU187+AU191+AU194+AU195+$G$85))/8</f>
        <v>41593656.978750005</v>
      </c>
      <c r="AV84" s="1126">
        <f>(AV196+AV202+AV207+AV215+AV235-(AV176+AV180+AV187+AV191+AV194+AV195+$H$85))/8</f>
        <v>16843399.343093246</v>
      </c>
      <c r="AW84" s="1126">
        <f>(AW196+AW202+AW207+AW215+AW235-(AW176+AW180+AW187+AW191+AW194+AW195))/8</f>
        <v>3128288.2246458661</v>
      </c>
      <c r="AX84" s="1126">
        <f>(AX196+AX202+AX207+AX215+AX235-(AX176+AX180+AX187+AX191+AX194+AX195))/8</f>
        <v>21621969.411010899</v>
      </c>
      <c r="AY84" s="1073"/>
      <c r="BC84" s="1126">
        <f>(BC196+BC202+BC207+BC215+BC235-(BC176+BC180+BC187+BC191+BC194+BC195+$G$85))/8</f>
        <v>41593656.978750005</v>
      </c>
      <c r="BD84" s="1126">
        <f>(BD196+BD202+BD207+BD215+BD235-(BD176+BD180+BD187+BD191+BD194+BD195+$H$85))/8</f>
        <v>16843399.343093246</v>
      </c>
      <c r="BE84" s="1126">
        <f>(BE196+BE202+BE207+BE215+BE235-(BE176+BE180+BE187+BE191+BE194+BE195))/8</f>
        <v>3128288.2246458661</v>
      </c>
      <c r="BF84" s="1126">
        <f>(BF196+BF202+BF207+BF215+BF235-(BF176+BF180+BF187+BF191+BF194+BF195))/8</f>
        <v>21621969.411010899</v>
      </c>
      <c r="BG84" s="1073"/>
      <c r="BK84" s="1126">
        <f>(BK196+BK202+BK207+BK215+BK235-(BK176+BK180+BK187+BK191+BK194+BK195+$G$85))/8</f>
        <v>41593656.978750005</v>
      </c>
      <c r="BL84" s="1126">
        <f>(BL196+BL202+BL207+BL215+BL235-(BL176+BL180+BL187+BL191+BL194+BL195+$H$85))/8</f>
        <v>16843399.343093246</v>
      </c>
      <c r="BM84" s="1126">
        <f>(BM196+BM202+BM207+BM215+BM235-(BM176+BM180+BM187+BM191+BM194+BM195))/8</f>
        <v>3128288.2246458661</v>
      </c>
      <c r="BN84" s="1126">
        <f>(BN196+BN202+BN207+BN215+BN235-(BN176+BN180+BN187+BN191+BN194+BN195))/8</f>
        <v>21621969.411010899</v>
      </c>
      <c r="BO84" s="1073"/>
      <c r="BS84" s="1126">
        <f>(BS196+BS202+BS207+BS215+BS235-(BS176+BS180+BS187+BS191+BS194+BS195+$G$85))/8</f>
        <v>41593656.978750005</v>
      </c>
      <c r="BT84" s="1126">
        <f>(BT196+BT202+BT207+BT215+BT235-(BT176+BT180+BT187+BT191+BT194+BT195+$H$85))/8</f>
        <v>16843399.343093246</v>
      </c>
      <c r="BU84" s="1126">
        <f>(BU196+BU202+BU207+BU215+BU235-(BU176+BU180+BU187+BU191+BU194+BU195))/8</f>
        <v>3128288.2246458661</v>
      </c>
      <c r="BV84" s="1126">
        <f>(BV196+BV202+BV207+BV215+BV235-(BV176+BV180+BV187+BV191+BV194+BV195))/8</f>
        <v>21621969.411010899</v>
      </c>
      <c r="BW84" s="1073"/>
      <c r="CA84" s="1126">
        <f>(CA196+CA202+CA207+CA215+CA235-(CA176+CA180+CA187+CA191+CA194+CA195+$G$85))/8</f>
        <v>41593656.978750005</v>
      </c>
      <c r="CB84" s="1126">
        <f>(CB196+CB202+CB207+CB215+CB235-(CB176+CB180+CB187+CB191+CB194+CB195+$H$85))/8</f>
        <v>16843399.343093246</v>
      </c>
      <c r="CC84" s="1126">
        <f>(CC196+CC202+CC207+CC215+CC235-(CC176+CC180+CC187+CC191+CC194+CC195))/8</f>
        <v>3128288.2246458661</v>
      </c>
      <c r="CD84" s="1126">
        <f>(CD196+CD202+CD207+CD215+CD235-(CD176+CD180+CD187+CD191+CD194+CD195))/8</f>
        <v>21621969.411010899</v>
      </c>
      <c r="CE84" s="1073"/>
      <c r="CI84" s="1126">
        <f>(CI196+CI202+CI207+CI215+CI235-(CI176+CI180+CI187+CI191+CI194+CI195+$G$85))/8</f>
        <v>41593656.978750005</v>
      </c>
      <c r="CJ84" s="1126">
        <f>(CJ196+CJ202+CJ207+CJ215+CJ235-(CJ176+CJ180+CJ187+CJ191+CJ194+CJ195+$H$85))/8</f>
        <v>16843399.343093246</v>
      </c>
      <c r="CK84" s="1126">
        <f>(CK196+CK202+CK207+CK215+CK235-(CK176+CK180+CK187+CK191+CK194+CK195))/8</f>
        <v>3128288.2246458661</v>
      </c>
      <c r="CL84" s="1126">
        <f>(CL196+CL202+CL207+CL215+CL235-(CL176+CL180+CL187+CL191+CL194+CL195))/8</f>
        <v>21621969.411010899</v>
      </c>
      <c r="CM84" s="1073"/>
      <c r="CQ84" s="1126">
        <f>(CQ196+CQ202+CQ207+CQ215+CQ235-(CQ176+CQ180+CQ187+CQ191+CQ194+CQ195+$G$85))/8</f>
        <v>41593656.978750005</v>
      </c>
      <c r="CR84" s="1126">
        <f>(CR196+CR202+CR207+CR215+CR235-(CR176+CR180+CR187+CR191+CR194+CR195+$H$85))/8</f>
        <v>16843399.343093246</v>
      </c>
      <c r="CS84" s="1126">
        <f>(CS196+CS202+CS207+CS215+CS235-(CS176+CS180+CS187+CS191+CS194+CS195))/8</f>
        <v>3128288.2246458661</v>
      </c>
      <c r="CT84" s="1126">
        <f>(CT196+CT202+CT207+CT215+CT235-(CT176+CT180+CT187+CT191+CT194+CT195))/8</f>
        <v>21621969.411010899</v>
      </c>
      <c r="CU84" s="1073"/>
      <c r="CY84" s="1126">
        <f>(CY196+CY202+CY207+CY215+CY235-(CY176+CY180+CY187+CY191+CY194+CY195+$G$85))/8</f>
        <v>41593656.978750005</v>
      </c>
      <c r="CZ84" s="1126">
        <f>(CZ196+CZ202+CZ207+CZ215+CZ235-(CZ176+CZ180+CZ187+CZ191+CZ194+CZ195+$H$85))/8</f>
        <v>16843399.343093246</v>
      </c>
      <c r="DA84" s="1126">
        <f>(DA196+DA202+DA207+DA215+DA235-(DA176+DA180+DA187+DA191+DA194+DA195))/8</f>
        <v>3128288.2246458661</v>
      </c>
      <c r="DB84" s="1126">
        <f>(DB196+DB202+DB207+DB215+DB235-(DB176+DB180+DB187+DB191+DB194+DB195))/8</f>
        <v>21621969.411010899</v>
      </c>
      <c r="DC84" s="1073"/>
      <c r="DG84" s="1126">
        <f>(DG196+DG202+DG207+DG215+DG235-(DG176+DG180+DG187+DG191+DG194+DG195+$G$85))/8</f>
        <v>41593656.978750005</v>
      </c>
      <c r="DH84" s="1126">
        <f>(DH196+DH202+DH207+DH215+DH235-(DH176+DH180+DH187+DH191+DH194+DH195+$H$85))/8</f>
        <v>16843399.343093246</v>
      </c>
      <c r="DI84" s="1126">
        <f>(DI196+DI202+DI207+DI215+DI235-(DI176+DI180+DI187+DI191+DI194+DI195))/8</f>
        <v>3128288.2246458661</v>
      </c>
      <c r="DJ84" s="1126">
        <f>(DJ196+DJ202+DJ207+DJ215+DJ235-(DJ176+DJ180+DJ187+DJ191+DJ194+DJ195))/8</f>
        <v>21621969.411010899</v>
      </c>
      <c r="DK84" s="1073"/>
      <c r="DO84" s="1126">
        <f>(DO196+DO202+DO207+DO215+DO235-(DO176+DO180+DO187+DO191+DO194+DO195+$G$85))/8</f>
        <v>41593656.978750005</v>
      </c>
      <c r="DP84" s="1126">
        <f>(DP196+DP202+DP207+DP215+DP235-(DP176+DP180+DP187+DP191+DP194+DP195+$H$85))/8</f>
        <v>16843399.343093246</v>
      </c>
      <c r="DQ84" s="1126">
        <f>(DQ196+DQ202+DQ207+DQ215+DQ235-(DQ176+DQ180+DQ187+DQ191+DQ194+DQ195))/8</f>
        <v>3128288.2246458661</v>
      </c>
      <c r="DR84" s="1126">
        <f>(DR196+DR202+DR207+DR215+DR235-(DR176+DR180+DR187+DR191+DR194+DR195))/8</f>
        <v>21621969.411010899</v>
      </c>
      <c r="DS84" s="1073"/>
      <c r="DW84" s="1126">
        <f>(DW196+DW202+DW207+DW215+DW235-(DW176+DW180+DW187+DW191+DW194+DW195+$G$85))/8</f>
        <v>41593656.978750005</v>
      </c>
      <c r="DX84" s="1126">
        <f>(DX196+DX202+DX207+DX215+DX235-(DX176+DX180+DX187+DX191+DX194+DX195+$H$85))/8</f>
        <v>16843399.343093246</v>
      </c>
      <c r="DY84" s="1126">
        <f>(DY196+DY202+DY207+DY215+DY235-(DY176+DY180+DY187+DY191+DY194+DY195))/8</f>
        <v>3128288.2246458661</v>
      </c>
      <c r="DZ84" s="1126">
        <f>(DZ196+DZ202+DZ207+DZ215+DZ235-(DZ176+DZ180+DZ187+DZ191+DZ194+DZ195))/8</f>
        <v>21621969.411010899</v>
      </c>
      <c r="EA84" s="1073"/>
      <c r="EE84" s="1126">
        <f>(EE196+EE202+EE207+EE215+EE235-(EE176+EE180+EE187+EE191+EE194+EE195+$G$85))/8</f>
        <v>41593656.978750005</v>
      </c>
      <c r="EF84" s="1126">
        <f>(EF196+EF202+EF207+EF215+EF235-(EF176+EF180+EF187+EF191+EF194+EF195+$H$85))/8</f>
        <v>16843399.343093246</v>
      </c>
      <c r="EG84" s="1126">
        <f>(EG196+EG202+EG207+EG215+EG235-(EG176+EG180+EG187+EG191+EG194+EG195))/8</f>
        <v>3128288.2246458661</v>
      </c>
      <c r="EH84" s="1126">
        <f>(EH196+EH202+EH207+EH215+EH235-(EH176+EH180+EH187+EH191+EH194+EH195))/8</f>
        <v>21621969.411010899</v>
      </c>
      <c r="EI84" s="1073"/>
      <c r="EM84" s="1126">
        <f>(EM196+EM202+EM207+EM215+EM235-(EM176+EM180+EM187+EM191+EM194+EM195+$G$85))/8</f>
        <v>41593656.978750005</v>
      </c>
      <c r="EN84" s="1126">
        <f>(EN196+EN202+EN207+EN215+EN235-(EN176+EN180+EN187+EN191+EN194+EN195+$H$85))/8</f>
        <v>16843399.343093246</v>
      </c>
      <c r="EO84" s="1126">
        <f>(EO196+EO202+EO207+EO215+EO235-(EO176+EO180+EO187+EO191+EO194+EO195))/8</f>
        <v>3128288.2246458661</v>
      </c>
      <c r="EP84" s="1126">
        <f>(EP196+EP202+EP207+EP215+EP235-(EP176+EP180+EP187+EP191+EP194+EP195))/8</f>
        <v>21621969.411010899</v>
      </c>
      <c r="EQ84" s="1073"/>
      <c r="EU84" s="1126">
        <f>(EU196+EU202+EU207+EU215+EU235-(EU176+EU180+EU187+EU191+EU194+EU195+$G$85))/8</f>
        <v>41593656.978750005</v>
      </c>
      <c r="EV84" s="1126">
        <f>(EV196+EV202+EV207+EV215+EV235-(EV176+EV180+EV187+EV191+EV194+EV195+$H$85))/8</f>
        <v>16843399.343093246</v>
      </c>
      <c r="EW84" s="1126">
        <f>(EW196+EW202+EW207+EW215+EW235-(EW176+EW180+EW187+EW191+EW194+EW195))/8</f>
        <v>3128288.2246458661</v>
      </c>
      <c r="EX84" s="1126">
        <f>(EX196+EX202+EX207+EX215+EX235-(EX176+EX180+EX187+EX191+EX194+EX195))/8</f>
        <v>21621969.411010899</v>
      </c>
      <c r="EY84" s="1073"/>
      <c r="FC84" s="1126">
        <f>(FC196+FC202+FC207+FC215+FC235-(FC176+FC180+FC187+FC191+FC194+FC195+$G$85))/8</f>
        <v>41593656.978750005</v>
      </c>
      <c r="FD84" s="1126">
        <f>(FD196+FD202+FD207+FD215+FD235-(FD176+FD180+FD187+FD191+FD194+FD195+$H$85))/8</f>
        <v>16843399.343093246</v>
      </c>
      <c r="FE84" s="1126">
        <f>(FE196+FE202+FE207+FE215+FE235-(FE176+FE180+FE187+FE191+FE194+FE195))/8</f>
        <v>3128288.2246458661</v>
      </c>
      <c r="FF84" s="1126">
        <f>(FF196+FF202+FF207+FF215+FF235-(FF176+FF180+FF187+FF191+FF194+FF195))/8</f>
        <v>21621969.411010899</v>
      </c>
      <c r="FG84" s="1073"/>
      <c r="FK84" s="1126">
        <f>(FK196+FK202+FK207+FK215+FK235-(FK176+FK180+FK187+FK191+FK194+FK195+$G$85))/8</f>
        <v>41593656.978750005</v>
      </c>
      <c r="FL84" s="1126">
        <f>(FL196+FL202+FL207+FL215+FL235-(FL176+FL180+FL187+FL191+FL194+FL195+$H$85))/8</f>
        <v>16843399.343093246</v>
      </c>
      <c r="FM84" s="1126">
        <f>(FM196+FM202+FM207+FM215+FM235-(FM176+FM180+FM187+FM191+FM194+FM195))/8</f>
        <v>3128288.2246458661</v>
      </c>
      <c r="FN84" s="1126">
        <f>(FN196+FN202+FN207+FN215+FN235-(FN176+FN180+FN187+FN191+FN194+FN195))/8</f>
        <v>21621969.411010899</v>
      </c>
      <c r="FO84" s="1073"/>
    </row>
    <row r="85" spans="1:171">
      <c r="A85" s="912"/>
      <c r="B85" s="10"/>
      <c r="C85" s="55"/>
      <c r="D85" s="1552" t="s">
        <v>756</v>
      </c>
      <c r="E85" s="1644"/>
      <c r="F85" s="196"/>
      <c r="G85" s="1645">
        <f>'Sch 1A - Cash Working Capital'!$G$30</f>
        <v>29805671</v>
      </c>
      <c r="H85" s="1645">
        <f>'Sch 1A - Cash Working Capital'!$H$30</f>
        <v>29805671</v>
      </c>
      <c r="I85" s="938"/>
      <c r="J85" s="939"/>
      <c r="K85" s="903"/>
      <c r="S85" s="1073"/>
      <c r="AA85" s="1073"/>
      <c r="AI85" s="1073"/>
      <c r="AQ85" s="1073"/>
      <c r="AY85" s="1073"/>
      <c r="BG85" s="1073"/>
      <c r="BO85" s="1073"/>
      <c r="BW85" s="1073"/>
      <c r="CE85" s="1073"/>
      <c r="CM85" s="1073"/>
      <c r="CU85" s="1073"/>
      <c r="DC85" s="1073"/>
      <c r="DK85" s="1073"/>
      <c r="DS85" s="1073"/>
      <c r="EA85" s="1073"/>
      <c r="EI85" s="1073"/>
      <c r="EQ85" s="1073"/>
      <c r="EY85" s="1073"/>
      <c r="FG85" s="1073"/>
      <c r="FO85" s="1073"/>
    </row>
    <row r="86" spans="1:171">
      <c r="A86" s="268" t="s">
        <v>274</v>
      </c>
      <c r="B86" s="79"/>
      <c r="C86" s="940"/>
      <c r="D86" s="196"/>
      <c r="E86" s="196"/>
      <c r="F86" s="196"/>
      <c r="G86" s="941"/>
      <c r="H86" s="942"/>
      <c r="I86" s="942"/>
      <c r="J86" s="943"/>
      <c r="K86" s="903"/>
      <c r="S86" s="1073"/>
      <c r="AA86" s="1073"/>
      <c r="AI86" s="1073"/>
      <c r="AQ86" s="1073"/>
      <c r="AY86" s="1073"/>
      <c r="BG86" s="1073"/>
      <c r="BO86" s="1073"/>
      <c r="BW86" s="1073"/>
      <c r="CE86" s="1073"/>
      <c r="CM86" s="1073"/>
      <c r="CU86" s="1073"/>
      <c r="DC86" s="1073"/>
      <c r="DK86" s="1073"/>
      <c r="DS86" s="1073"/>
      <c r="EA86" s="1073"/>
      <c r="EI86" s="1073"/>
      <c r="EQ86" s="1073"/>
      <c r="EY86" s="1073"/>
      <c r="FG86" s="1073"/>
      <c r="FO86" s="1073"/>
    </row>
    <row r="87" spans="1:171">
      <c r="A87" s="944"/>
      <c r="B87" s="10" t="s">
        <v>437</v>
      </c>
      <c r="C87" s="888" t="s">
        <v>69</v>
      </c>
      <c r="D87" s="888">
        <v>105</v>
      </c>
      <c r="E87" s="182" t="str">
        <f>'Sch 1- Rate Base '!E87</f>
        <v>DIST</v>
      </c>
      <c r="F87" s="889"/>
      <c r="G87" s="182">
        <f>'Sch 1- Rate Base '!G87</f>
        <v>2928319</v>
      </c>
      <c r="H87" s="182">
        <f>'Sch 1- Rate Base '!H87</f>
        <v>0</v>
      </c>
      <c r="I87" s="182">
        <f>'Sch 1- Rate Base '!I87</f>
        <v>0</v>
      </c>
      <c r="J87" s="183">
        <f>'Sch 1- Rate Base '!J87</f>
        <v>2928319</v>
      </c>
      <c r="K87" s="903">
        <f t="shared" ref="K87:K92" si="163">IF($E87="DIRECT",0,1)</f>
        <v>1</v>
      </c>
      <c r="O87" s="1116">
        <f t="shared" ref="O87:O92" si="164">$G87</f>
        <v>2928319</v>
      </c>
      <c r="P87" s="1117">
        <f t="shared" ref="P87:P92" si="165">VLOOKUP($E87,O$442:R$453,2,FALSE)*O87*($K87)+IF($G87&gt;0,($H87/$G87)*O87,0)*(1-$K87)</f>
        <v>0</v>
      </c>
      <c r="Q87" s="1117">
        <f t="shared" ref="Q87:Q92" si="166">VLOOKUP($E87,O$442:R$453,3,FALSE)*O87*($K87)+IF($G87&gt;0,($I87/$G87)*O87,0)*(1-$K87)</f>
        <v>0</v>
      </c>
      <c r="R87" s="1117">
        <f t="shared" ref="R87:R92" si="167">VLOOKUP($E87,O$442:R$453,4,FALSE)*O87*($K87)+(O87-P87-Q87)*(1-$K87)</f>
        <v>2928319</v>
      </c>
      <c r="S87" s="1118"/>
      <c r="W87" s="1116">
        <f t="shared" ref="W87:W92" si="168">$G87</f>
        <v>2928319</v>
      </c>
      <c r="X87" s="1117">
        <f t="shared" ref="X87:X92" si="169">VLOOKUP($E87,W$442:Z$453,2,FALSE)*W87*($K87)+IF($G87&gt;0,($H87/$G87)*W87,0)*(1-$K87)</f>
        <v>0</v>
      </c>
      <c r="Y87" s="1117">
        <f t="shared" ref="Y87:Y92" si="170">VLOOKUP($E87,W$442:Z$453,3,FALSE)*W87*($K87)+IF($G87&gt;0,($I87/$G87)*W87,0)*(1-$K87)</f>
        <v>0</v>
      </c>
      <c r="Z87" s="1117">
        <f t="shared" ref="Z87:Z92" si="171">VLOOKUP($E87,W$442:Z$453,4,FALSE)*W87*($K87)+(W87-X87-Y87)*(1-$K87)</f>
        <v>2928319</v>
      </c>
      <c r="AA87" s="1118"/>
      <c r="AE87" s="1116">
        <f t="shared" ref="AE87:AE92" si="172">$G87</f>
        <v>2928319</v>
      </c>
      <c r="AF87" s="1117">
        <f t="shared" ref="AF87:AF92" si="173">VLOOKUP($E87,AE$442:AH$453,2,FALSE)*AE87*($K87)+IF($G87&gt;0,($H87/$G87)*AE87,0)*(1-$K87)</f>
        <v>0</v>
      </c>
      <c r="AG87" s="1117">
        <f t="shared" ref="AG87:AG92" si="174">VLOOKUP($E87,AE$442:AH$453,3,FALSE)*AE87*($K87)+IF($G87&gt;0,($I87/$G87)*AE87,0)*(1-$K87)</f>
        <v>0</v>
      </c>
      <c r="AH87" s="1117">
        <f t="shared" ref="AH87:AH92" si="175">VLOOKUP($E87,AE$442:AH$453,4,FALSE)*AE87*($K87)+(AE87-AF87-AG87)*(1-$K87)</f>
        <v>2928319</v>
      </c>
      <c r="AI87" s="1118"/>
      <c r="AM87" s="1116">
        <f t="shared" ref="AM87:AM92" si="176">$G87</f>
        <v>2928319</v>
      </c>
      <c r="AN87" s="1117">
        <f t="shared" ref="AN87:AN92" si="177">VLOOKUP($E87,AM$442:AP$453,2,FALSE)*AM87*($K87)+IF($G87&gt;0,($H87/$G87)*AM87,0)*(1-$K87)</f>
        <v>0</v>
      </c>
      <c r="AO87" s="1117">
        <f t="shared" ref="AO87:AO92" si="178">VLOOKUP($E87,AM$442:AP$453,3,FALSE)*AM87*($K87)+IF($G87&gt;0,($I87/$G87)*AM87,0)*(1-$K87)</f>
        <v>0</v>
      </c>
      <c r="AP87" s="1117">
        <f t="shared" ref="AP87:AP92" si="179">VLOOKUP($E87,AM$442:AP$453,4,FALSE)*AM87*($K87)+(AM87-AN87-AO87)*(1-$K87)</f>
        <v>2928319</v>
      </c>
      <c r="AQ87" s="1118"/>
      <c r="AU87" s="1116">
        <f t="shared" ref="AU87:AU92" si="180">$G87</f>
        <v>2928319</v>
      </c>
      <c r="AV87" s="1117">
        <f t="shared" ref="AV87:AV92" si="181">VLOOKUP($E87,AU$442:AX$453,2,FALSE)*AU87*($K87)+IF($G87&gt;0,($H87/$G87)*AU87,0)*(1-$K87)</f>
        <v>0</v>
      </c>
      <c r="AW87" s="1117">
        <f t="shared" ref="AW87:AW92" si="182">VLOOKUP($E87,AU$442:AX$453,3,FALSE)*AU87*($K87)+IF($G87&gt;0,($I87/$G87)*AU87,0)*(1-$K87)</f>
        <v>0</v>
      </c>
      <c r="AX87" s="1117">
        <f t="shared" ref="AX87:AX92" si="183">VLOOKUP($E87,AU$442:AX$453,4,FALSE)*AU87*($K87)+(AU87-AV87-AW87)*(1-$K87)</f>
        <v>2928319</v>
      </c>
      <c r="AY87" s="1118"/>
      <c r="BC87" s="1116">
        <f t="shared" ref="BC87:BC92" si="184">$G87</f>
        <v>2928319</v>
      </c>
      <c r="BD87" s="1117">
        <f t="shared" ref="BD87:BD92" si="185">VLOOKUP($E87,BC$442:BF$453,2,FALSE)*BC87*($K87)+IF($G87&gt;0,($H87/$G87)*BC87,0)*(1-$K87)</f>
        <v>0</v>
      </c>
      <c r="BE87" s="1117">
        <f t="shared" ref="BE87:BE92" si="186">VLOOKUP($E87,BC$442:BF$453,3,FALSE)*BC87*($K87)+IF($G87&gt;0,($I87/$G87)*BC87,0)*(1-$K87)</f>
        <v>0</v>
      </c>
      <c r="BF87" s="1117">
        <f t="shared" ref="BF87:BF92" si="187">VLOOKUP($E87,BC$442:BF$453,4,FALSE)*BC87*($K87)+(BC87-BD87-BE87)*(1-$K87)</f>
        <v>2928319</v>
      </c>
      <c r="BG87" s="1118"/>
      <c r="BK87" s="1116">
        <f t="shared" ref="BK87:BK92" si="188">$G87</f>
        <v>2928319</v>
      </c>
      <c r="BL87" s="1117">
        <f t="shared" ref="BL87:BL92" si="189">VLOOKUP($E87,BK$442:BN$453,2,FALSE)*BK87*($K87)+IF($G87&gt;0,($H87/$G87)*BK87,0)*(1-$K87)</f>
        <v>0</v>
      </c>
      <c r="BM87" s="1117">
        <f t="shared" ref="BM87:BM92" si="190">VLOOKUP($E87,BK$442:BN$453,3,FALSE)*BK87*($K87)+IF($G87&gt;0,($I87/$G87)*BK87,0)*(1-$K87)</f>
        <v>0</v>
      </c>
      <c r="BN87" s="1117">
        <f t="shared" ref="BN87:BN92" si="191">VLOOKUP($E87,BK$442:BN$453,4,FALSE)*BK87*($K87)+(BK87-BL87-BM87)*(1-$K87)</f>
        <v>2928319</v>
      </c>
      <c r="BO87" s="1118"/>
      <c r="BS87" s="1116">
        <f t="shared" ref="BS87:BS92" si="192">$G87</f>
        <v>2928319</v>
      </c>
      <c r="BT87" s="1117">
        <f t="shared" ref="BT87:BT92" si="193">VLOOKUP($E87,BS$442:BV$453,2,FALSE)*BS87*($K87)+IF($G87&gt;0,($H87/$G87)*BS87,0)*(1-$K87)</f>
        <v>0</v>
      </c>
      <c r="BU87" s="1117">
        <f t="shared" ref="BU87:BU92" si="194">VLOOKUP($E87,BS$442:BV$453,3,FALSE)*BS87*($K87)+IF($G87&gt;0,($I87/$G87)*BS87,0)*(1-$K87)</f>
        <v>0</v>
      </c>
      <c r="BV87" s="1117">
        <f t="shared" ref="BV87:BV92" si="195">VLOOKUP($E87,BS$442:BV$453,4,FALSE)*BS87*($K87)+(BS87-BT87-BU87)*(1-$K87)</f>
        <v>2928319</v>
      </c>
      <c r="BW87" s="1118"/>
      <c r="CA87" s="1116">
        <f t="shared" ref="CA87:CA92" si="196">$G87</f>
        <v>2928319</v>
      </c>
      <c r="CB87" s="1117">
        <f t="shared" ref="CB87:CB92" si="197">VLOOKUP($E87,CA$442:CD$453,2,FALSE)*CA87*($K87)+IF($G87&gt;0,($H87/$G87)*CA87,0)*(1-$K87)</f>
        <v>0</v>
      </c>
      <c r="CC87" s="1117">
        <f t="shared" ref="CC87:CC92" si="198">VLOOKUP($E87,CA$442:CD$453,3,FALSE)*CA87*($K87)+IF($G87&gt;0,($I87/$G87)*CA87,0)*(1-$K87)</f>
        <v>0</v>
      </c>
      <c r="CD87" s="1117">
        <f t="shared" ref="CD87:CD92" si="199">VLOOKUP($E87,CA$442:CD$453,4,FALSE)*CA87*($K87)+(CA87-CB87-CC87)*(1-$K87)</f>
        <v>2928319</v>
      </c>
      <c r="CE87" s="1118"/>
      <c r="CI87" s="1116">
        <f t="shared" ref="CI87:CI92" si="200">$G87</f>
        <v>2928319</v>
      </c>
      <c r="CJ87" s="1117">
        <f t="shared" ref="CJ87:CJ92" si="201">VLOOKUP($E87,CI$442:CL$453,2,FALSE)*CI87*($K87)+IF($G87&gt;0,($H87/$G87)*CI87,0)*(1-$K87)</f>
        <v>0</v>
      </c>
      <c r="CK87" s="1117">
        <f t="shared" ref="CK87:CK92" si="202">VLOOKUP($E87,CI$442:CL$453,3,FALSE)*CI87*($K87)+IF($G87&gt;0,($I87/$G87)*CI87,0)*(1-$K87)</f>
        <v>0</v>
      </c>
      <c r="CL87" s="1117">
        <f t="shared" ref="CL87:CL92" si="203">VLOOKUP($E87,CI$442:CL$453,4,FALSE)*CI87*($K87)+(CI87-CJ87-CK87)*(1-$K87)</f>
        <v>2928319</v>
      </c>
      <c r="CM87" s="1118"/>
      <c r="CQ87" s="1116">
        <f t="shared" ref="CQ87:CQ92" si="204">$G87</f>
        <v>2928319</v>
      </c>
      <c r="CR87" s="1117">
        <f t="shared" ref="CR87:CR92" si="205">VLOOKUP($E87,CQ$442:CT$453,2,FALSE)*CQ87*($K87)+IF($G87&gt;0,($H87/$G87)*CQ87,0)*(1-$K87)</f>
        <v>0</v>
      </c>
      <c r="CS87" s="1117">
        <f t="shared" ref="CS87:CS92" si="206">VLOOKUP($E87,CQ$442:CT$453,3,FALSE)*CQ87*($K87)+IF($G87&gt;0,($I87/$G87)*CQ87,0)*(1-$K87)</f>
        <v>0</v>
      </c>
      <c r="CT87" s="1117">
        <f t="shared" ref="CT87:CT92" si="207">VLOOKUP($E87,CQ$442:CT$453,4,FALSE)*CQ87*($K87)+(CQ87-CR87-CS87)*(1-$K87)</f>
        <v>2928319</v>
      </c>
      <c r="CU87" s="1118"/>
      <c r="CY87" s="1116">
        <f t="shared" ref="CY87:CY92" si="208">$G87</f>
        <v>2928319</v>
      </c>
      <c r="CZ87" s="1117">
        <f t="shared" ref="CZ87:CZ92" si="209">VLOOKUP($E87,CY$442:DB$453,2,FALSE)*CY87*($K87)+IF($G87&gt;0,($H87/$G87)*CY87,0)*(1-$K87)</f>
        <v>0</v>
      </c>
      <c r="DA87" s="1117">
        <f t="shared" ref="DA87:DA92" si="210">VLOOKUP($E87,CY$442:DB$453,3,FALSE)*CY87*($K87)+IF($G87&gt;0,($I87/$G87)*CY87,0)*(1-$K87)</f>
        <v>0</v>
      </c>
      <c r="DB87" s="1117">
        <f t="shared" ref="DB87:DB92" si="211">VLOOKUP($E87,CY$442:DB$453,4,FALSE)*CY87*($K87)+(CY87-CZ87-DA87)*(1-$K87)</f>
        <v>2928319</v>
      </c>
      <c r="DC87" s="1118"/>
      <c r="DG87" s="1116">
        <f t="shared" ref="DG87:DG92" si="212">$G87</f>
        <v>2928319</v>
      </c>
      <c r="DH87" s="1117">
        <f t="shared" ref="DH87:DH92" si="213">VLOOKUP($E87,DG$442:DJ$453,2,FALSE)*DG87*($K87)+IF($G87&gt;0,($H87/$G87)*DG87,0)*(1-$K87)</f>
        <v>0</v>
      </c>
      <c r="DI87" s="1117">
        <f t="shared" ref="DI87:DI92" si="214">VLOOKUP($E87,DG$442:DJ$453,3,FALSE)*DG87*($K87)+IF($G87&gt;0,($I87/$G87)*DG87,0)*(1-$K87)</f>
        <v>0</v>
      </c>
      <c r="DJ87" s="1117">
        <f t="shared" ref="DJ87:DJ92" si="215">VLOOKUP($E87,DG$442:DJ$453,4,FALSE)*DG87*($K87)+(DG87-DH87-DI87)*(1-$K87)</f>
        <v>2928319</v>
      </c>
      <c r="DK87" s="1118"/>
      <c r="DO87" s="1116">
        <f t="shared" ref="DO87:DO92" si="216">$G87</f>
        <v>2928319</v>
      </c>
      <c r="DP87" s="1117">
        <f t="shared" ref="DP87:DP92" si="217">VLOOKUP($E87,DO$442:DR$453,2,FALSE)*DO87*($K87)+IF($G87&gt;0,($H87/$G87)*DO87,0)*(1-$K87)</f>
        <v>0</v>
      </c>
      <c r="DQ87" s="1117">
        <f t="shared" ref="DQ87:DQ92" si="218">VLOOKUP($E87,DO$442:DR$453,3,FALSE)*DO87*($K87)+IF($G87&gt;0,($I87/$G87)*DO87,0)*(1-$K87)</f>
        <v>0</v>
      </c>
      <c r="DR87" s="1117">
        <f t="shared" ref="DR87:DR92" si="219">VLOOKUP($E87,DO$442:DR$453,4,FALSE)*DO87*($K87)+(DO87-DP87-DQ87)*(1-$K87)</f>
        <v>2928319</v>
      </c>
      <c r="DS87" s="1118"/>
      <c r="DW87" s="1116">
        <f t="shared" ref="DW87:DW92" si="220">$G87</f>
        <v>2928319</v>
      </c>
      <c r="DX87" s="1117">
        <f t="shared" ref="DX87:DX92" si="221">VLOOKUP($E87,DW$442:DZ$453,2,FALSE)*DW87*($K87)+IF($G87&gt;0,($H87/$G87)*DW87,0)*(1-$K87)</f>
        <v>0</v>
      </c>
      <c r="DY87" s="1117">
        <f t="shared" ref="DY87:DY92" si="222">VLOOKUP($E87,DW$442:DZ$453,3,FALSE)*DW87*($K87)+IF($G87&gt;0,($I87/$G87)*DW87,0)*(1-$K87)</f>
        <v>0</v>
      </c>
      <c r="DZ87" s="1117">
        <f t="shared" ref="DZ87:DZ92" si="223">VLOOKUP($E87,DW$442:DZ$453,4,FALSE)*DW87*($K87)+(DW87-DX87-DY87)*(1-$K87)</f>
        <v>2928319</v>
      </c>
      <c r="EA87" s="1118"/>
      <c r="EE87" s="1116">
        <f t="shared" ref="EE87:EE92" si="224">$G87</f>
        <v>2928319</v>
      </c>
      <c r="EF87" s="1117">
        <f t="shared" ref="EF87:EF92" si="225">VLOOKUP($E87,EE$442:EH$453,2,FALSE)*EE87*($K87)+IF($G87&gt;0,($H87/$G87)*EE87,0)*(1-$K87)</f>
        <v>0</v>
      </c>
      <c r="EG87" s="1117">
        <f t="shared" ref="EG87:EG92" si="226">VLOOKUP($E87,EE$442:EH$453,3,FALSE)*EE87*($K87)+IF($G87&gt;0,($I87/$G87)*EE87,0)*(1-$K87)</f>
        <v>0</v>
      </c>
      <c r="EH87" s="1117">
        <f t="shared" ref="EH87:EH92" si="227">VLOOKUP($E87,EE$442:EH$453,4,FALSE)*EE87*($K87)+(EE87-EF87-EG87)*(1-$K87)</f>
        <v>2928319</v>
      </c>
      <c r="EI87" s="1118"/>
      <c r="EM87" s="1116">
        <f t="shared" ref="EM87:EM92" si="228">$G87</f>
        <v>2928319</v>
      </c>
      <c r="EN87" s="1117">
        <f t="shared" ref="EN87:EN92" si="229">VLOOKUP($E87,EM$442:EP$453,2,FALSE)*EM87*($K87)+IF($G87&gt;0,($H87/$G87)*EM87,0)*(1-$K87)</f>
        <v>0</v>
      </c>
      <c r="EO87" s="1117">
        <f t="shared" ref="EO87:EO92" si="230">VLOOKUP($E87,EM$442:EP$453,3,FALSE)*EM87*($K87)+IF($G87&gt;0,($I87/$G87)*EM87,0)*(1-$K87)</f>
        <v>0</v>
      </c>
      <c r="EP87" s="1117">
        <f t="shared" ref="EP87:EP92" si="231">VLOOKUP($E87,EM$442:EP$453,4,FALSE)*EM87*($K87)+(EM87-EN87-EO87)*(1-$K87)</f>
        <v>2928319</v>
      </c>
      <c r="EQ87" s="1118"/>
      <c r="EU87" s="1116">
        <f t="shared" ref="EU87:EU92" si="232">$G87</f>
        <v>2928319</v>
      </c>
      <c r="EV87" s="1117">
        <f t="shared" ref="EV87:EV92" si="233">VLOOKUP($E87,EU$442:EX$453,2,FALSE)*EU87*($K87)+IF($G87&gt;0,($H87/$G87)*EU87,0)*(1-$K87)</f>
        <v>0</v>
      </c>
      <c r="EW87" s="1117">
        <f t="shared" ref="EW87:EW92" si="234">VLOOKUP($E87,EU$442:EX$453,3,FALSE)*EU87*($K87)+IF($G87&gt;0,($I87/$G87)*EU87,0)*(1-$K87)</f>
        <v>0</v>
      </c>
      <c r="EX87" s="1117">
        <f t="shared" ref="EX87:EX92" si="235">VLOOKUP($E87,EU$442:EX$453,4,FALSE)*EU87*($K87)+(EU87-EV87-EW87)*(1-$K87)</f>
        <v>2928319</v>
      </c>
      <c r="EY87" s="1118"/>
      <c r="FC87" s="1116">
        <f t="shared" ref="FC87:FC92" si="236">$G87</f>
        <v>2928319</v>
      </c>
      <c r="FD87" s="1117">
        <f t="shared" ref="FD87:FD92" si="237">VLOOKUP($E87,FC$442:FF$453,2,FALSE)*FC87*($K87)+IF($G87&gt;0,($H87/$G87)*FC87,0)*(1-$K87)</f>
        <v>0</v>
      </c>
      <c r="FE87" s="1117">
        <f t="shared" ref="FE87:FE92" si="238">VLOOKUP($E87,FC$442:FF$453,3,FALSE)*FC87*($K87)+IF($G87&gt;0,($I87/$G87)*FC87,0)*(1-$K87)</f>
        <v>0</v>
      </c>
      <c r="FF87" s="1117">
        <f t="shared" ref="FF87:FF92" si="239">VLOOKUP($E87,FC$442:FF$453,4,FALSE)*FC87*($K87)+(FC87-FD87-FE87)*(1-$K87)</f>
        <v>2928319</v>
      </c>
      <c r="FG87" s="1118"/>
      <c r="FK87" s="1116">
        <f t="shared" ref="FK87:FK92" si="240">$G87</f>
        <v>2928319</v>
      </c>
      <c r="FL87" s="1117">
        <f t="shared" ref="FL87:FL92" si="241">VLOOKUP($E87,FK$442:FN$453,2,FALSE)*FK87*($K87)+IF($G87&gt;0,($H87/$G87)*FK87,0)*(1-$K87)</f>
        <v>0</v>
      </c>
      <c r="FM87" s="1117">
        <f t="shared" ref="FM87:FM92" si="242">VLOOKUP($E87,FK$442:FN$453,3,FALSE)*FK87*($K87)+IF($G87&gt;0,($I87/$G87)*FK87,0)*(1-$K87)</f>
        <v>0</v>
      </c>
      <c r="FN87" s="1117">
        <f t="shared" ref="FN87:FN92" si="243">VLOOKUP($E87,FK$442:FN$453,4,FALSE)*FK87*($K87)+(FK87-FL87-FM87)*(1-$K87)</f>
        <v>2928319</v>
      </c>
      <c r="FO87" s="1118"/>
    </row>
    <row r="88" spans="1:171">
      <c r="A88" s="944"/>
      <c r="B88" s="10" t="s">
        <v>77</v>
      </c>
      <c r="C88" s="888" t="s">
        <v>69</v>
      </c>
      <c r="D88" s="888">
        <v>106</v>
      </c>
      <c r="E88" s="182" t="str">
        <f>'Sch 1- Rate Base '!E88</f>
        <v>PTD</v>
      </c>
      <c r="F88" s="889"/>
      <c r="G88" s="182">
        <f>'Sch 1- Rate Base '!G88</f>
        <v>0</v>
      </c>
      <c r="H88" s="182">
        <f>'Sch 1- Rate Base '!H88</f>
        <v>0</v>
      </c>
      <c r="I88" s="182">
        <f>'Sch 1- Rate Base '!I88</f>
        <v>0</v>
      </c>
      <c r="J88" s="183">
        <f>'Sch 1- Rate Base '!J88</f>
        <v>0</v>
      </c>
      <c r="K88" s="903">
        <f t="shared" si="163"/>
        <v>1</v>
      </c>
      <c r="O88" s="1116">
        <f t="shared" si="164"/>
        <v>0</v>
      </c>
      <c r="P88" s="1117">
        <f t="shared" si="165"/>
        <v>0</v>
      </c>
      <c r="Q88" s="1117">
        <f t="shared" si="166"/>
        <v>0</v>
      </c>
      <c r="R88" s="1117">
        <f t="shared" si="167"/>
        <v>0</v>
      </c>
      <c r="S88" s="1118"/>
      <c r="W88" s="1116">
        <f t="shared" si="168"/>
        <v>0</v>
      </c>
      <c r="X88" s="1117">
        <f t="shared" si="169"/>
        <v>0</v>
      </c>
      <c r="Y88" s="1117">
        <f t="shared" si="170"/>
        <v>0</v>
      </c>
      <c r="Z88" s="1117">
        <f t="shared" si="171"/>
        <v>0</v>
      </c>
      <c r="AA88" s="1118"/>
      <c r="AE88" s="1116">
        <f t="shared" si="172"/>
        <v>0</v>
      </c>
      <c r="AF88" s="1117">
        <f t="shared" si="173"/>
        <v>0</v>
      </c>
      <c r="AG88" s="1117">
        <f t="shared" si="174"/>
        <v>0</v>
      </c>
      <c r="AH88" s="1117">
        <f t="shared" si="175"/>
        <v>0</v>
      </c>
      <c r="AI88" s="1118"/>
      <c r="AM88" s="1116">
        <f t="shared" si="176"/>
        <v>0</v>
      </c>
      <c r="AN88" s="1117">
        <f t="shared" si="177"/>
        <v>0</v>
      </c>
      <c r="AO88" s="1117">
        <f t="shared" si="178"/>
        <v>0</v>
      </c>
      <c r="AP88" s="1117">
        <f t="shared" si="179"/>
        <v>0</v>
      </c>
      <c r="AQ88" s="1118"/>
      <c r="AU88" s="1116">
        <f t="shared" si="180"/>
        <v>0</v>
      </c>
      <c r="AV88" s="1117">
        <f t="shared" si="181"/>
        <v>0</v>
      </c>
      <c r="AW88" s="1117">
        <f t="shared" si="182"/>
        <v>0</v>
      </c>
      <c r="AX88" s="1117">
        <f t="shared" si="183"/>
        <v>0</v>
      </c>
      <c r="AY88" s="1118"/>
      <c r="BC88" s="1116">
        <f t="shared" si="184"/>
        <v>0</v>
      </c>
      <c r="BD88" s="1117">
        <f t="shared" si="185"/>
        <v>0</v>
      </c>
      <c r="BE88" s="1117">
        <f t="shared" si="186"/>
        <v>0</v>
      </c>
      <c r="BF88" s="1117">
        <f t="shared" si="187"/>
        <v>0</v>
      </c>
      <c r="BG88" s="1118"/>
      <c r="BK88" s="1116">
        <f t="shared" si="188"/>
        <v>0</v>
      </c>
      <c r="BL88" s="1117">
        <f t="shared" si="189"/>
        <v>0</v>
      </c>
      <c r="BM88" s="1117">
        <f t="shared" si="190"/>
        <v>0</v>
      </c>
      <c r="BN88" s="1117">
        <f t="shared" si="191"/>
        <v>0</v>
      </c>
      <c r="BO88" s="1118"/>
      <c r="BS88" s="1116">
        <f t="shared" si="192"/>
        <v>0</v>
      </c>
      <c r="BT88" s="1117">
        <f t="shared" si="193"/>
        <v>0</v>
      </c>
      <c r="BU88" s="1117">
        <f t="shared" si="194"/>
        <v>0</v>
      </c>
      <c r="BV88" s="1117">
        <f t="shared" si="195"/>
        <v>0</v>
      </c>
      <c r="BW88" s="1118"/>
      <c r="CA88" s="1116">
        <f t="shared" si="196"/>
        <v>0</v>
      </c>
      <c r="CB88" s="1117">
        <f t="shared" si="197"/>
        <v>0</v>
      </c>
      <c r="CC88" s="1117">
        <f t="shared" si="198"/>
        <v>0</v>
      </c>
      <c r="CD88" s="1117">
        <f t="shared" si="199"/>
        <v>0</v>
      </c>
      <c r="CE88" s="1118"/>
      <c r="CI88" s="1116">
        <f t="shared" si="200"/>
        <v>0</v>
      </c>
      <c r="CJ88" s="1117">
        <f t="shared" si="201"/>
        <v>0</v>
      </c>
      <c r="CK88" s="1117">
        <f t="shared" si="202"/>
        <v>0</v>
      </c>
      <c r="CL88" s="1117">
        <f t="shared" si="203"/>
        <v>0</v>
      </c>
      <c r="CM88" s="1118"/>
      <c r="CQ88" s="1116">
        <f t="shared" si="204"/>
        <v>0</v>
      </c>
      <c r="CR88" s="1117">
        <f t="shared" si="205"/>
        <v>0</v>
      </c>
      <c r="CS88" s="1117">
        <f t="shared" si="206"/>
        <v>0</v>
      </c>
      <c r="CT88" s="1117">
        <f t="shared" si="207"/>
        <v>0</v>
      </c>
      <c r="CU88" s="1118"/>
      <c r="CY88" s="1116">
        <f t="shared" si="208"/>
        <v>0</v>
      </c>
      <c r="CZ88" s="1117">
        <f t="shared" si="209"/>
        <v>0</v>
      </c>
      <c r="DA88" s="1117">
        <f t="shared" si="210"/>
        <v>0</v>
      </c>
      <c r="DB88" s="1117">
        <f t="shared" si="211"/>
        <v>0</v>
      </c>
      <c r="DC88" s="1118"/>
      <c r="DG88" s="1116">
        <f t="shared" si="212"/>
        <v>0</v>
      </c>
      <c r="DH88" s="1117">
        <f t="shared" si="213"/>
        <v>0</v>
      </c>
      <c r="DI88" s="1117">
        <f t="shared" si="214"/>
        <v>0</v>
      </c>
      <c r="DJ88" s="1117">
        <f t="shared" si="215"/>
        <v>0</v>
      </c>
      <c r="DK88" s="1118"/>
      <c r="DO88" s="1116">
        <f t="shared" si="216"/>
        <v>0</v>
      </c>
      <c r="DP88" s="1117">
        <f t="shared" si="217"/>
        <v>0</v>
      </c>
      <c r="DQ88" s="1117">
        <f t="shared" si="218"/>
        <v>0</v>
      </c>
      <c r="DR88" s="1117">
        <f t="shared" si="219"/>
        <v>0</v>
      </c>
      <c r="DS88" s="1118"/>
      <c r="DW88" s="1116">
        <f t="shared" si="220"/>
        <v>0</v>
      </c>
      <c r="DX88" s="1117">
        <f t="shared" si="221"/>
        <v>0</v>
      </c>
      <c r="DY88" s="1117">
        <f t="shared" si="222"/>
        <v>0</v>
      </c>
      <c r="DZ88" s="1117">
        <f t="shared" si="223"/>
        <v>0</v>
      </c>
      <c r="EA88" s="1118"/>
      <c r="EE88" s="1116">
        <f t="shared" si="224"/>
        <v>0</v>
      </c>
      <c r="EF88" s="1117">
        <f t="shared" si="225"/>
        <v>0</v>
      </c>
      <c r="EG88" s="1117">
        <f t="shared" si="226"/>
        <v>0</v>
      </c>
      <c r="EH88" s="1117">
        <f t="shared" si="227"/>
        <v>0</v>
      </c>
      <c r="EI88" s="1118"/>
      <c r="EM88" s="1116">
        <f t="shared" si="228"/>
        <v>0</v>
      </c>
      <c r="EN88" s="1117">
        <f t="shared" si="229"/>
        <v>0</v>
      </c>
      <c r="EO88" s="1117">
        <f t="shared" si="230"/>
        <v>0</v>
      </c>
      <c r="EP88" s="1117">
        <f t="shared" si="231"/>
        <v>0</v>
      </c>
      <c r="EQ88" s="1118"/>
      <c r="EU88" s="1116">
        <f t="shared" si="232"/>
        <v>0</v>
      </c>
      <c r="EV88" s="1117">
        <f t="shared" si="233"/>
        <v>0</v>
      </c>
      <c r="EW88" s="1117">
        <f t="shared" si="234"/>
        <v>0</v>
      </c>
      <c r="EX88" s="1117">
        <f t="shared" si="235"/>
        <v>0</v>
      </c>
      <c r="EY88" s="1118"/>
      <c r="FC88" s="1116">
        <f t="shared" si="236"/>
        <v>0</v>
      </c>
      <c r="FD88" s="1117">
        <f t="shared" si="237"/>
        <v>0</v>
      </c>
      <c r="FE88" s="1117">
        <f t="shared" si="238"/>
        <v>0</v>
      </c>
      <c r="FF88" s="1117">
        <f t="shared" si="239"/>
        <v>0</v>
      </c>
      <c r="FG88" s="1118"/>
      <c r="FK88" s="1116">
        <f t="shared" si="240"/>
        <v>0</v>
      </c>
      <c r="FL88" s="1117">
        <f t="shared" si="241"/>
        <v>0</v>
      </c>
      <c r="FM88" s="1117">
        <f t="shared" si="242"/>
        <v>0</v>
      </c>
      <c r="FN88" s="1117">
        <f t="shared" si="243"/>
        <v>0</v>
      </c>
      <c r="FO88" s="1118"/>
    </row>
    <row r="89" spans="1:171">
      <c r="A89" s="944"/>
      <c r="B89" s="64" t="s">
        <v>480</v>
      </c>
      <c r="C89" s="888"/>
      <c r="D89" s="888" t="s">
        <v>257</v>
      </c>
      <c r="E89" s="182" t="str">
        <f>'Sch 1- Rate Base '!E89</f>
        <v>PROD</v>
      </c>
      <c r="F89" s="889"/>
      <c r="G89" s="182">
        <f>'Sch 1- Rate Base '!G89</f>
        <v>0</v>
      </c>
      <c r="H89" s="182">
        <f>'Sch 1- Rate Base '!H89</f>
        <v>0</v>
      </c>
      <c r="I89" s="182">
        <f>'Sch 1- Rate Base '!I89</f>
        <v>0</v>
      </c>
      <c r="J89" s="183">
        <f>'Sch 1- Rate Base '!J89</f>
        <v>0</v>
      </c>
      <c r="K89" s="903">
        <f t="shared" si="163"/>
        <v>1</v>
      </c>
      <c r="O89" s="1116">
        <f t="shared" si="164"/>
        <v>0</v>
      </c>
      <c r="P89" s="1117">
        <f t="shared" si="165"/>
        <v>0</v>
      </c>
      <c r="Q89" s="1117">
        <f t="shared" si="166"/>
        <v>0</v>
      </c>
      <c r="R89" s="1117">
        <f t="shared" si="167"/>
        <v>0</v>
      </c>
      <c r="S89" s="1118"/>
      <c r="W89" s="1116">
        <f t="shared" si="168"/>
        <v>0</v>
      </c>
      <c r="X89" s="1117">
        <f t="shared" si="169"/>
        <v>0</v>
      </c>
      <c r="Y89" s="1117">
        <f t="shared" si="170"/>
        <v>0</v>
      </c>
      <c r="Z89" s="1117">
        <f t="shared" si="171"/>
        <v>0</v>
      </c>
      <c r="AA89" s="1118"/>
      <c r="AE89" s="1116">
        <f t="shared" si="172"/>
        <v>0</v>
      </c>
      <c r="AF89" s="1117">
        <f t="shared" si="173"/>
        <v>0</v>
      </c>
      <c r="AG89" s="1117">
        <f t="shared" si="174"/>
        <v>0</v>
      </c>
      <c r="AH89" s="1117">
        <f t="shared" si="175"/>
        <v>0</v>
      </c>
      <c r="AI89" s="1118"/>
      <c r="AM89" s="1116">
        <f t="shared" si="176"/>
        <v>0</v>
      </c>
      <c r="AN89" s="1117">
        <f t="shared" si="177"/>
        <v>0</v>
      </c>
      <c r="AO89" s="1117">
        <f t="shared" si="178"/>
        <v>0</v>
      </c>
      <c r="AP89" s="1117">
        <f t="shared" si="179"/>
        <v>0</v>
      </c>
      <c r="AQ89" s="1118"/>
      <c r="AU89" s="1116">
        <f t="shared" si="180"/>
        <v>0</v>
      </c>
      <c r="AV89" s="1117">
        <f t="shared" si="181"/>
        <v>0</v>
      </c>
      <c r="AW89" s="1117">
        <f t="shared" si="182"/>
        <v>0</v>
      </c>
      <c r="AX89" s="1117">
        <f t="shared" si="183"/>
        <v>0</v>
      </c>
      <c r="AY89" s="1118"/>
      <c r="BC89" s="1116">
        <f t="shared" si="184"/>
        <v>0</v>
      </c>
      <c r="BD89" s="1117">
        <f t="shared" si="185"/>
        <v>0</v>
      </c>
      <c r="BE89" s="1117">
        <f t="shared" si="186"/>
        <v>0</v>
      </c>
      <c r="BF89" s="1117">
        <f t="shared" si="187"/>
        <v>0</v>
      </c>
      <c r="BG89" s="1118"/>
      <c r="BK89" s="1116">
        <f t="shared" si="188"/>
        <v>0</v>
      </c>
      <c r="BL89" s="1117">
        <f t="shared" si="189"/>
        <v>0</v>
      </c>
      <c r="BM89" s="1117">
        <f t="shared" si="190"/>
        <v>0</v>
      </c>
      <c r="BN89" s="1117">
        <f t="shared" si="191"/>
        <v>0</v>
      </c>
      <c r="BO89" s="1118"/>
      <c r="BS89" s="1116">
        <f t="shared" si="192"/>
        <v>0</v>
      </c>
      <c r="BT89" s="1117">
        <f t="shared" si="193"/>
        <v>0</v>
      </c>
      <c r="BU89" s="1117">
        <f t="shared" si="194"/>
        <v>0</v>
      </c>
      <c r="BV89" s="1117">
        <f t="shared" si="195"/>
        <v>0</v>
      </c>
      <c r="BW89" s="1118"/>
      <c r="CA89" s="1116">
        <f t="shared" si="196"/>
        <v>0</v>
      </c>
      <c r="CB89" s="1117">
        <f t="shared" si="197"/>
        <v>0</v>
      </c>
      <c r="CC89" s="1117">
        <f t="shared" si="198"/>
        <v>0</v>
      </c>
      <c r="CD89" s="1117">
        <f t="shared" si="199"/>
        <v>0</v>
      </c>
      <c r="CE89" s="1118"/>
      <c r="CI89" s="1116">
        <f t="shared" si="200"/>
        <v>0</v>
      </c>
      <c r="CJ89" s="1117">
        <f t="shared" si="201"/>
        <v>0</v>
      </c>
      <c r="CK89" s="1117">
        <f t="shared" si="202"/>
        <v>0</v>
      </c>
      <c r="CL89" s="1117">
        <f t="shared" si="203"/>
        <v>0</v>
      </c>
      <c r="CM89" s="1118"/>
      <c r="CQ89" s="1116">
        <f t="shared" si="204"/>
        <v>0</v>
      </c>
      <c r="CR89" s="1117">
        <f t="shared" si="205"/>
        <v>0</v>
      </c>
      <c r="CS89" s="1117">
        <f t="shared" si="206"/>
        <v>0</v>
      </c>
      <c r="CT89" s="1117">
        <f t="shared" si="207"/>
        <v>0</v>
      </c>
      <c r="CU89" s="1118"/>
      <c r="CY89" s="1116">
        <f t="shared" si="208"/>
        <v>0</v>
      </c>
      <c r="CZ89" s="1117">
        <f t="shared" si="209"/>
        <v>0</v>
      </c>
      <c r="DA89" s="1117">
        <f t="shared" si="210"/>
        <v>0</v>
      </c>
      <c r="DB89" s="1117">
        <f t="shared" si="211"/>
        <v>0</v>
      </c>
      <c r="DC89" s="1118"/>
      <c r="DG89" s="1116">
        <f t="shared" si="212"/>
        <v>0</v>
      </c>
      <c r="DH89" s="1117">
        <f t="shared" si="213"/>
        <v>0</v>
      </c>
      <c r="DI89" s="1117">
        <f t="shared" si="214"/>
        <v>0</v>
      </c>
      <c r="DJ89" s="1117">
        <f t="shared" si="215"/>
        <v>0</v>
      </c>
      <c r="DK89" s="1118"/>
      <c r="DO89" s="1116">
        <f t="shared" si="216"/>
        <v>0</v>
      </c>
      <c r="DP89" s="1117">
        <f t="shared" si="217"/>
        <v>0</v>
      </c>
      <c r="DQ89" s="1117">
        <f t="shared" si="218"/>
        <v>0</v>
      </c>
      <c r="DR89" s="1117">
        <f t="shared" si="219"/>
        <v>0</v>
      </c>
      <c r="DS89" s="1118"/>
      <c r="DW89" s="1116">
        <f t="shared" si="220"/>
        <v>0</v>
      </c>
      <c r="DX89" s="1117">
        <f t="shared" si="221"/>
        <v>0</v>
      </c>
      <c r="DY89" s="1117">
        <f t="shared" si="222"/>
        <v>0</v>
      </c>
      <c r="DZ89" s="1117">
        <f t="shared" si="223"/>
        <v>0</v>
      </c>
      <c r="EA89" s="1118"/>
      <c r="EE89" s="1116">
        <f t="shared" si="224"/>
        <v>0</v>
      </c>
      <c r="EF89" s="1117">
        <f t="shared" si="225"/>
        <v>0</v>
      </c>
      <c r="EG89" s="1117">
        <f t="shared" si="226"/>
        <v>0</v>
      </c>
      <c r="EH89" s="1117">
        <f t="shared" si="227"/>
        <v>0</v>
      </c>
      <c r="EI89" s="1118"/>
      <c r="EM89" s="1116">
        <f t="shared" si="228"/>
        <v>0</v>
      </c>
      <c r="EN89" s="1117">
        <f t="shared" si="229"/>
        <v>0</v>
      </c>
      <c r="EO89" s="1117">
        <f t="shared" si="230"/>
        <v>0</v>
      </c>
      <c r="EP89" s="1117">
        <f t="shared" si="231"/>
        <v>0</v>
      </c>
      <c r="EQ89" s="1118"/>
      <c r="EU89" s="1116">
        <f t="shared" si="232"/>
        <v>0</v>
      </c>
      <c r="EV89" s="1117">
        <f t="shared" si="233"/>
        <v>0</v>
      </c>
      <c r="EW89" s="1117">
        <f t="shared" si="234"/>
        <v>0</v>
      </c>
      <c r="EX89" s="1117">
        <f t="shared" si="235"/>
        <v>0</v>
      </c>
      <c r="EY89" s="1118"/>
      <c r="FC89" s="1116">
        <f t="shared" si="236"/>
        <v>0</v>
      </c>
      <c r="FD89" s="1117">
        <f t="shared" si="237"/>
        <v>0</v>
      </c>
      <c r="FE89" s="1117">
        <f t="shared" si="238"/>
        <v>0</v>
      </c>
      <c r="FF89" s="1117">
        <f t="shared" si="239"/>
        <v>0</v>
      </c>
      <c r="FG89" s="1118"/>
      <c r="FK89" s="1116">
        <f t="shared" si="240"/>
        <v>0</v>
      </c>
      <c r="FL89" s="1117">
        <f t="shared" si="241"/>
        <v>0</v>
      </c>
      <c r="FM89" s="1117">
        <f t="shared" si="242"/>
        <v>0</v>
      </c>
      <c r="FN89" s="1117">
        <f t="shared" si="243"/>
        <v>0</v>
      </c>
      <c r="FO89" s="1118"/>
    </row>
    <row r="90" spans="1:171">
      <c r="A90" s="944"/>
      <c r="B90" s="10" t="s">
        <v>80</v>
      </c>
      <c r="C90" s="888" t="s">
        <v>69</v>
      </c>
      <c r="D90" s="888" t="s">
        <v>258</v>
      </c>
      <c r="E90" s="182" t="str">
        <f>'Sch 1- Rate Base '!E90</f>
        <v>DIST</v>
      </c>
      <c r="F90" s="889"/>
      <c r="G90" s="182">
        <f>'Sch 1- Rate Base '!G90</f>
        <v>132548007</v>
      </c>
      <c r="H90" s="182">
        <f>'Sch 1- Rate Base '!H90</f>
        <v>0</v>
      </c>
      <c r="I90" s="182">
        <f>'Sch 1- Rate Base '!I90</f>
        <v>0</v>
      </c>
      <c r="J90" s="183">
        <f>'Sch 1- Rate Base '!J90</f>
        <v>132548007</v>
      </c>
      <c r="K90" s="903">
        <f t="shared" si="163"/>
        <v>1</v>
      </c>
      <c r="O90" s="1116">
        <f t="shared" si="164"/>
        <v>132548007</v>
      </c>
      <c r="P90" s="1117">
        <f t="shared" si="165"/>
        <v>0</v>
      </c>
      <c r="Q90" s="1117">
        <f t="shared" si="166"/>
        <v>0</v>
      </c>
      <c r="R90" s="1117">
        <f t="shared" si="167"/>
        <v>132548007</v>
      </c>
      <c r="S90" s="1118"/>
      <c r="W90" s="1116">
        <f t="shared" si="168"/>
        <v>132548007</v>
      </c>
      <c r="X90" s="1117">
        <f t="shared" si="169"/>
        <v>0</v>
      </c>
      <c r="Y90" s="1117">
        <f t="shared" si="170"/>
        <v>0</v>
      </c>
      <c r="Z90" s="1117">
        <f t="shared" si="171"/>
        <v>132548007</v>
      </c>
      <c r="AA90" s="1118"/>
      <c r="AE90" s="1116">
        <f t="shared" si="172"/>
        <v>132548007</v>
      </c>
      <c r="AF90" s="1117">
        <f t="shared" si="173"/>
        <v>0</v>
      </c>
      <c r="AG90" s="1117">
        <f t="shared" si="174"/>
        <v>0</v>
      </c>
      <c r="AH90" s="1117">
        <f t="shared" si="175"/>
        <v>132548007</v>
      </c>
      <c r="AI90" s="1118"/>
      <c r="AM90" s="1116">
        <f t="shared" si="176"/>
        <v>132548007</v>
      </c>
      <c r="AN90" s="1117">
        <f t="shared" si="177"/>
        <v>0</v>
      </c>
      <c r="AO90" s="1117">
        <f t="shared" si="178"/>
        <v>0</v>
      </c>
      <c r="AP90" s="1117">
        <f t="shared" si="179"/>
        <v>132548007</v>
      </c>
      <c r="AQ90" s="1118"/>
      <c r="AU90" s="1116">
        <f t="shared" si="180"/>
        <v>132548007</v>
      </c>
      <c r="AV90" s="1117">
        <f t="shared" si="181"/>
        <v>0</v>
      </c>
      <c r="AW90" s="1117">
        <f t="shared" si="182"/>
        <v>0</v>
      </c>
      <c r="AX90" s="1117">
        <f t="shared" si="183"/>
        <v>132548007</v>
      </c>
      <c r="AY90" s="1118"/>
      <c r="BC90" s="1116">
        <f t="shared" si="184"/>
        <v>132548007</v>
      </c>
      <c r="BD90" s="1117">
        <f t="shared" si="185"/>
        <v>0</v>
      </c>
      <c r="BE90" s="1117">
        <f t="shared" si="186"/>
        <v>0</v>
      </c>
      <c r="BF90" s="1117">
        <f t="shared" si="187"/>
        <v>132548007</v>
      </c>
      <c r="BG90" s="1118"/>
      <c r="BK90" s="1116">
        <f t="shared" si="188"/>
        <v>132548007</v>
      </c>
      <c r="BL90" s="1117">
        <f t="shared" si="189"/>
        <v>0</v>
      </c>
      <c r="BM90" s="1117">
        <f t="shared" si="190"/>
        <v>0</v>
      </c>
      <c r="BN90" s="1117">
        <f t="shared" si="191"/>
        <v>132548007</v>
      </c>
      <c r="BO90" s="1118"/>
      <c r="BS90" s="1116">
        <f t="shared" si="192"/>
        <v>132548007</v>
      </c>
      <c r="BT90" s="1117">
        <f t="shared" si="193"/>
        <v>0</v>
      </c>
      <c r="BU90" s="1117">
        <f t="shared" si="194"/>
        <v>0</v>
      </c>
      <c r="BV90" s="1117">
        <f t="shared" si="195"/>
        <v>132548007</v>
      </c>
      <c r="BW90" s="1118"/>
      <c r="CA90" s="1116">
        <f t="shared" si="196"/>
        <v>132548007</v>
      </c>
      <c r="CB90" s="1117">
        <f t="shared" si="197"/>
        <v>0</v>
      </c>
      <c r="CC90" s="1117">
        <f t="shared" si="198"/>
        <v>0</v>
      </c>
      <c r="CD90" s="1117">
        <f t="shared" si="199"/>
        <v>132548007</v>
      </c>
      <c r="CE90" s="1118"/>
      <c r="CI90" s="1116">
        <f t="shared" si="200"/>
        <v>132548007</v>
      </c>
      <c r="CJ90" s="1117">
        <f t="shared" si="201"/>
        <v>0</v>
      </c>
      <c r="CK90" s="1117">
        <f t="shared" si="202"/>
        <v>0</v>
      </c>
      <c r="CL90" s="1117">
        <f t="shared" si="203"/>
        <v>132548007</v>
      </c>
      <c r="CM90" s="1118"/>
      <c r="CQ90" s="1116">
        <f t="shared" si="204"/>
        <v>132548007</v>
      </c>
      <c r="CR90" s="1117">
        <f t="shared" si="205"/>
        <v>0</v>
      </c>
      <c r="CS90" s="1117">
        <f t="shared" si="206"/>
        <v>0</v>
      </c>
      <c r="CT90" s="1117">
        <f t="shared" si="207"/>
        <v>132548007</v>
      </c>
      <c r="CU90" s="1118"/>
      <c r="CY90" s="1116">
        <f t="shared" si="208"/>
        <v>132548007</v>
      </c>
      <c r="CZ90" s="1117">
        <f t="shared" si="209"/>
        <v>0</v>
      </c>
      <c r="DA90" s="1117">
        <f t="shared" si="210"/>
        <v>0</v>
      </c>
      <c r="DB90" s="1117">
        <f t="shared" si="211"/>
        <v>132548007</v>
      </c>
      <c r="DC90" s="1118"/>
      <c r="DG90" s="1116">
        <f t="shared" si="212"/>
        <v>132548007</v>
      </c>
      <c r="DH90" s="1117">
        <f t="shared" si="213"/>
        <v>0</v>
      </c>
      <c r="DI90" s="1117">
        <f t="shared" si="214"/>
        <v>0</v>
      </c>
      <c r="DJ90" s="1117">
        <f t="shared" si="215"/>
        <v>132548007</v>
      </c>
      <c r="DK90" s="1118"/>
      <c r="DO90" s="1116">
        <f t="shared" si="216"/>
        <v>132548007</v>
      </c>
      <c r="DP90" s="1117">
        <f t="shared" si="217"/>
        <v>0</v>
      </c>
      <c r="DQ90" s="1117">
        <f t="shared" si="218"/>
        <v>0</v>
      </c>
      <c r="DR90" s="1117">
        <f t="shared" si="219"/>
        <v>132548007</v>
      </c>
      <c r="DS90" s="1118"/>
      <c r="DW90" s="1116">
        <f t="shared" si="220"/>
        <v>132548007</v>
      </c>
      <c r="DX90" s="1117">
        <f t="shared" si="221"/>
        <v>0</v>
      </c>
      <c r="DY90" s="1117">
        <f t="shared" si="222"/>
        <v>0</v>
      </c>
      <c r="DZ90" s="1117">
        <f t="shared" si="223"/>
        <v>132548007</v>
      </c>
      <c r="EA90" s="1118"/>
      <c r="EE90" s="1116">
        <f t="shared" si="224"/>
        <v>132548007</v>
      </c>
      <c r="EF90" s="1117">
        <f t="shared" si="225"/>
        <v>0</v>
      </c>
      <c r="EG90" s="1117">
        <f t="shared" si="226"/>
        <v>0</v>
      </c>
      <c r="EH90" s="1117">
        <f t="shared" si="227"/>
        <v>132548007</v>
      </c>
      <c r="EI90" s="1118"/>
      <c r="EM90" s="1116">
        <f t="shared" si="228"/>
        <v>132548007</v>
      </c>
      <c r="EN90" s="1117">
        <f t="shared" si="229"/>
        <v>0</v>
      </c>
      <c r="EO90" s="1117">
        <f t="shared" si="230"/>
        <v>0</v>
      </c>
      <c r="EP90" s="1117">
        <f t="shared" si="231"/>
        <v>132548007</v>
      </c>
      <c r="EQ90" s="1118"/>
      <c r="EU90" s="1116">
        <f t="shared" si="232"/>
        <v>132548007</v>
      </c>
      <c r="EV90" s="1117">
        <f t="shared" si="233"/>
        <v>0</v>
      </c>
      <c r="EW90" s="1117">
        <f t="shared" si="234"/>
        <v>0</v>
      </c>
      <c r="EX90" s="1117">
        <f t="shared" si="235"/>
        <v>132548007</v>
      </c>
      <c r="EY90" s="1118"/>
      <c r="FC90" s="1116">
        <f t="shared" si="236"/>
        <v>132548007</v>
      </c>
      <c r="FD90" s="1117">
        <f t="shared" si="237"/>
        <v>0</v>
      </c>
      <c r="FE90" s="1117">
        <f t="shared" si="238"/>
        <v>0</v>
      </c>
      <c r="FF90" s="1117">
        <f t="shared" si="239"/>
        <v>132548007</v>
      </c>
      <c r="FG90" s="1118"/>
      <c r="FK90" s="1116">
        <f t="shared" si="240"/>
        <v>132548007</v>
      </c>
      <c r="FL90" s="1117">
        <f t="shared" si="241"/>
        <v>0</v>
      </c>
      <c r="FM90" s="1117">
        <f t="shared" si="242"/>
        <v>0</v>
      </c>
      <c r="FN90" s="1117">
        <f t="shared" si="243"/>
        <v>132548007</v>
      </c>
      <c r="FO90" s="1118"/>
    </row>
    <row r="91" spans="1:171">
      <c r="A91" s="944"/>
      <c r="B91" s="10" t="s">
        <v>224</v>
      </c>
      <c r="C91" s="888" t="s">
        <v>225</v>
      </c>
      <c r="D91" s="888"/>
      <c r="E91" s="182" t="str">
        <f>'Sch 1- Rate Base '!E91</f>
        <v>DIRECT</v>
      </c>
      <c r="F91" s="889"/>
      <c r="G91" s="182">
        <f>'Sch 1- Rate Base '!G91</f>
        <v>527520424</v>
      </c>
      <c r="H91" s="182">
        <f>'Sch 1- Rate Base '!H91</f>
        <v>95603687.228371158</v>
      </c>
      <c r="I91" s="182">
        <f>'Sch 1- Rate Base '!I91</f>
        <v>0</v>
      </c>
      <c r="J91" s="183">
        <f>'Sch 1- Rate Base '!J91</f>
        <v>431916736.77162886</v>
      </c>
      <c r="K91" s="903">
        <f t="shared" si="163"/>
        <v>0</v>
      </c>
      <c r="O91" s="1116">
        <f t="shared" si="164"/>
        <v>527520424</v>
      </c>
      <c r="P91" s="1117">
        <f t="shared" si="165"/>
        <v>95603687.228371158</v>
      </c>
      <c r="Q91" s="1117">
        <f t="shared" si="166"/>
        <v>0</v>
      </c>
      <c r="R91" s="1117">
        <f t="shared" si="167"/>
        <v>431916736.77162886</v>
      </c>
      <c r="S91" s="1118"/>
      <c r="W91" s="1116">
        <f t="shared" si="168"/>
        <v>527520424</v>
      </c>
      <c r="X91" s="1117">
        <f t="shared" si="169"/>
        <v>95603687.228371158</v>
      </c>
      <c r="Y91" s="1117">
        <f t="shared" si="170"/>
        <v>0</v>
      </c>
      <c r="Z91" s="1117">
        <f t="shared" si="171"/>
        <v>431916736.77162886</v>
      </c>
      <c r="AA91" s="1118"/>
      <c r="AE91" s="1116">
        <f t="shared" si="172"/>
        <v>527520424</v>
      </c>
      <c r="AF91" s="1117">
        <f t="shared" si="173"/>
        <v>95603687.228371158</v>
      </c>
      <c r="AG91" s="1117">
        <f t="shared" si="174"/>
        <v>0</v>
      </c>
      <c r="AH91" s="1117">
        <f t="shared" si="175"/>
        <v>431916736.77162886</v>
      </c>
      <c r="AI91" s="1118"/>
      <c r="AM91" s="1116">
        <f t="shared" si="176"/>
        <v>527520424</v>
      </c>
      <c r="AN91" s="1117">
        <f t="shared" si="177"/>
        <v>95603687.228371158</v>
      </c>
      <c r="AO91" s="1117">
        <f t="shared" si="178"/>
        <v>0</v>
      </c>
      <c r="AP91" s="1117">
        <f t="shared" si="179"/>
        <v>431916736.77162886</v>
      </c>
      <c r="AQ91" s="1118"/>
      <c r="AU91" s="1116">
        <f t="shared" si="180"/>
        <v>527520424</v>
      </c>
      <c r="AV91" s="1117">
        <f t="shared" si="181"/>
        <v>95603687.228371158</v>
      </c>
      <c r="AW91" s="1117">
        <f t="shared" si="182"/>
        <v>0</v>
      </c>
      <c r="AX91" s="1117">
        <f t="shared" si="183"/>
        <v>431916736.77162886</v>
      </c>
      <c r="AY91" s="1118"/>
      <c r="BC91" s="1116">
        <f t="shared" si="184"/>
        <v>527520424</v>
      </c>
      <c r="BD91" s="1117">
        <f t="shared" si="185"/>
        <v>95603687.228371158</v>
      </c>
      <c r="BE91" s="1117">
        <f t="shared" si="186"/>
        <v>0</v>
      </c>
      <c r="BF91" s="1117">
        <f t="shared" si="187"/>
        <v>431916736.77162886</v>
      </c>
      <c r="BG91" s="1118"/>
      <c r="BK91" s="1116">
        <f t="shared" si="188"/>
        <v>527520424</v>
      </c>
      <c r="BL91" s="1117">
        <f t="shared" si="189"/>
        <v>95603687.228371158</v>
      </c>
      <c r="BM91" s="1117">
        <f t="shared" si="190"/>
        <v>0</v>
      </c>
      <c r="BN91" s="1117">
        <f t="shared" si="191"/>
        <v>431916736.77162886</v>
      </c>
      <c r="BO91" s="1118"/>
      <c r="BS91" s="1116">
        <f t="shared" si="192"/>
        <v>527520424</v>
      </c>
      <c r="BT91" s="1117">
        <f t="shared" si="193"/>
        <v>95603687.228371158</v>
      </c>
      <c r="BU91" s="1117">
        <f t="shared" si="194"/>
        <v>0</v>
      </c>
      <c r="BV91" s="1117">
        <f t="shared" si="195"/>
        <v>431916736.77162886</v>
      </c>
      <c r="BW91" s="1118"/>
      <c r="CA91" s="1116">
        <f t="shared" si="196"/>
        <v>527520424</v>
      </c>
      <c r="CB91" s="1117">
        <f t="shared" si="197"/>
        <v>95603687.228371158</v>
      </c>
      <c r="CC91" s="1117">
        <f t="shared" si="198"/>
        <v>0</v>
      </c>
      <c r="CD91" s="1117">
        <f t="shared" si="199"/>
        <v>431916736.77162886</v>
      </c>
      <c r="CE91" s="1118"/>
      <c r="CI91" s="1116">
        <f t="shared" si="200"/>
        <v>527520424</v>
      </c>
      <c r="CJ91" s="1117">
        <f t="shared" si="201"/>
        <v>95603687.228371158</v>
      </c>
      <c r="CK91" s="1117">
        <f t="shared" si="202"/>
        <v>0</v>
      </c>
      <c r="CL91" s="1117">
        <f t="shared" si="203"/>
        <v>431916736.77162886</v>
      </c>
      <c r="CM91" s="1118"/>
      <c r="CQ91" s="1116">
        <f t="shared" si="204"/>
        <v>527520424</v>
      </c>
      <c r="CR91" s="1117">
        <f t="shared" si="205"/>
        <v>95603687.228371158</v>
      </c>
      <c r="CS91" s="1117">
        <f t="shared" si="206"/>
        <v>0</v>
      </c>
      <c r="CT91" s="1117">
        <f t="shared" si="207"/>
        <v>431916736.77162886</v>
      </c>
      <c r="CU91" s="1118"/>
      <c r="CY91" s="1116">
        <f t="shared" si="208"/>
        <v>527520424</v>
      </c>
      <c r="CZ91" s="1117">
        <f t="shared" si="209"/>
        <v>95603687.228371158</v>
      </c>
      <c r="DA91" s="1117">
        <f t="shared" si="210"/>
        <v>0</v>
      </c>
      <c r="DB91" s="1117">
        <f t="shared" si="211"/>
        <v>431916736.77162886</v>
      </c>
      <c r="DC91" s="1118"/>
      <c r="DG91" s="1116">
        <f t="shared" si="212"/>
        <v>527520424</v>
      </c>
      <c r="DH91" s="1117">
        <f t="shared" si="213"/>
        <v>95603687.228371158</v>
      </c>
      <c r="DI91" s="1117">
        <f t="shared" si="214"/>
        <v>0</v>
      </c>
      <c r="DJ91" s="1117">
        <f t="shared" si="215"/>
        <v>431916736.77162886</v>
      </c>
      <c r="DK91" s="1118"/>
      <c r="DO91" s="1116">
        <f t="shared" si="216"/>
        <v>527520424</v>
      </c>
      <c r="DP91" s="1117">
        <f t="shared" si="217"/>
        <v>95603687.228371158</v>
      </c>
      <c r="DQ91" s="1117">
        <f t="shared" si="218"/>
        <v>0</v>
      </c>
      <c r="DR91" s="1117">
        <f t="shared" si="219"/>
        <v>431916736.77162886</v>
      </c>
      <c r="DS91" s="1118"/>
      <c r="DW91" s="1116">
        <f t="shared" si="220"/>
        <v>527520424</v>
      </c>
      <c r="DX91" s="1117">
        <f t="shared" si="221"/>
        <v>95603687.228371158</v>
      </c>
      <c r="DY91" s="1117">
        <f t="shared" si="222"/>
        <v>0</v>
      </c>
      <c r="DZ91" s="1117">
        <f t="shared" si="223"/>
        <v>431916736.77162886</v>
      </c>
      <c r="EA91" s="1118"/>
      <c r="EE91" s="1116">
        <f t="shared" si="224"/>
        <v>527520424</v>
      </c>
      <c r="EF91" s="1117">
        <f t="shared" si="225"/>
        <v>95603687.228371158</v>
      </c>
      <c r="EG91" s="1117">
        <f t="shared" si="226"/>
        <v>0</v>
      </c>
      <c r="EH91" s="1117">
        <f t="shared" si="227"/>
        <v>431916736.77162886</v>
      </c>
      <c r="EI91" s="1118"/>
      <c r="EM91" s="1116">
        <f t="shared" si="228"/>
        <v>527520424</v>
      </c>
      <c r="EN91" s="1117">
        <f t="shared" si="229"/>
        <v>95603687.228371158</v>
      </c>
      <c r="EO91" s="1117">
        <f t="shared" si="230"/>
        <v>0</v>
      </c>
      <c r="EP91" s="1117">
        <f t="shared" si="231"/>
        <v>431916736.77162886</v>
      </c>
      <c r="EQ91" s="1118"/>
      <c r="EU91" s="1116">
        <f t="shared" si="232"/>
        <v>527520424</v>
      </c>
      <c r="EV91" s="1117">
        <f t="shared" si="233"/>
        <v>95603687.228371158</v>
      </c>
      <c r="EW91" s="1117">
        <f t="shared" si="234"/>
        <v>0</v>
      </c>
      <c r="EX91" s="1117">
        <f t="shared" si="235"/>
        <v>431916736.77162886</v>
      </c>
      <c r="EY91" s="1118"/>
      <c r="FC91" s="1116">
        <f t="shared" si="236"/>
        <v>527520424</v>
      </c>
      <c r="FD91" s="1117">
        <f t="shared" si="237"/>
        <v>95603687.228371158</v>
      </c>
      <c r="FE91" s="1117">
        <f t="shared" si="238"/>
        <v>0</v>
      </c>
      <c r="FF91" s="1117">
        <f t="shared" si="239"/>
        <v>431916736.77162886</v>
      </c>
      <c r="FG91" s="1118"/>
      <c r="FK91" s="1116">
        <f t="shared" si="240"/>
        <v>527520424</v>
      </c>
      <c r="FL91" s="1117">
        <f t="shared" si="241"/>
        <v>95603687.228371158</v>
      </c>
      <c r="FM91" s="1117">
        <f t="shared" si="242"/>
        <v>0</v>
      </c>
      <c r="FN91" s="1117">
        <f t="shared" si="243"/>
        <v>431916736.77162886</v>
      </c>
      <c r="FO91" s="1118"/>
    </row>
    <row r="92" spans="1:171">
      <c r="A92" s="944"/>
      <c r="B92" s="10" t="s">
        <v>71</v>
      </c>
      <c r="C92" s="888" t="s">
        <v>69</v>
      </c>
      <c r="D92" s="888">
        <v>114</v>
      </c>
      <c r="E92" s="182" t="str">
        <f>'Sch 1- Rate Base '!E92</f>
        <v>DIRECT</v>
      </c>
      <c r="F92" s="889"/>
      <c r="G92" s="182">
        <f>'Sch 1- Rate Base '!G92</f>
        <v>256800</v>
      </c>
      <c r="H92" s="182">
        <f>'Sch 1- Rate Base '!H92</f>
        <v>0</v>
      </c>
      <c r="I92" s="182">
        <f>'Sch 1- Rate Base '!I92</f>
        <v>0</v>
      </c>
      <c r="J92" s="183">
        <f>'Sch 1- Rate Base '!J92</f>
        <v>256800</v>
      </c>
      <c r="K92" s="903">
        <f t="shared" si="163"/>
        <v>0</v>
      </c>
      <c r="O92" s="1116">
        <f t="shared" si="164"/>
        <v>256800</v>
      </c>
      <c r="P92" s="1117">
        <f t="shared" si="165"/>
        <v>0</v>
      </c>
      <c r="Q92" s="1117">
        <f t="shared" si="166"/>
        <v>0</v>
      </c>
      <c r="R92" s="1117">
        <f t="shared" si="167"/>
        <v>256800</v>
      </c>
      <c r="S92" s="1118"/>
      <c r="W92" s="1116">
        <f t="shared" si="168"/>
        <v>256800</v>
      </c>
      <c r="X92" s="1117">
        <f t="shared" si="169"/>
        <v>0</v>
      </c>
      <c r="Y92" s="1117">
        <f t="shared" si="170"/>
        <v>0</v>
      </c>
      <c r="Z92" s="1117">
        <f t="shared" si="171"/>
        <v>256800</v>
      </c>
      <c r="AA92" s="1118"/>
      <c r="AE92" s="1116">
        <f t="shared" si="172"/>
        <v>256800</v>
      </c>
      <c r="AF92" s="1117">
        <f t="shared" si="173"/>
        <v>0</v>
      </c>
      <c r="AG92" s="1117">
        <f t="shared" si="174"/>
        <v>0</v>
      </c>
      <c r="AH92" s="1117">
        <f t="shared" si="175"/>
        <v>256800</v>
      </c>
      <c r="AI92" s="1118"/>
      <c r="AM92" s="1116">
        <f t="shared" si="176"/>
        <v>256800</v>
      </c>
      <c r="AN92" s="1117">
        <f t="shared" si="177"/>
        <v>0</v>
      </c>
      <c r="AO92" s="1117">
        <f t="shared" si="178"/>
        <v>0</v>
      </c>
      <c r="AP92" s="1117">
        <f t="shared" si="179"/>
        <v>256800</v>
      </c>
      <c r="AQ92" s="1118"/>
      <c r="AU92" s="1116">
        <f t="shared" si="180"/>
        <v>256800</v>
      </c>
      <c r="AV92" s="1117">
        <f t="shared" si="181"/>
        <v>0</v>
      </c>
      <c r="AW92" s="1117">
        <f t="shared" si="182"/>
        <v>0</v>
      </c>
      <c r="AX92" s="1117">
        <f t="shared" si="183"/>
        <v>256800</v>
      </c>
      <c r="AY92" s="1118"/>
      <c r="BC92" s="1116">
        <f t="shared" si="184"/>
        <v>256800</v>
      </c>
      <c r="BD92" s="1117">
        <f t="shared" si="185"/>
        <v>0</v>
      </c>
      <c r="BE92" s="1117">
        <f t="shared" si="186"/>
        <v>0</v>
      </c>
      <c r="BF92" s="1117">
        <f t="shared" si="187"/>
        <v>256800</v>
      </c>
      <c r="BG92" s="1118"/>
      <c r="BK92" s="1116">
        <f t="shared" si="188"/>
        <v>256800</v>
      </c>
      <c r="BL92" s="1117">
        <f t="shared" si="189"/>
        <v>0</v>
      </c>
      <c r="BM92" s="1117">
        <f t="shared" si="190"/>
        <v>0</v>
      </c>
      <c r="BN92" s="1117">
        <f t="shared" si="191"/>
        <v>256800</v>
      </c>
      <c r="BO92" s="1118"/>
      <c r="BS92" s="1116">
        <f t="shared" si="192"/>
        <v>256800</v>
      </c>
      <c r="BT92" s="1117">
        <f t="shared" si="193"/>
        <v>0</v>
      </c>
      <c r="BU92" s="1117">
        <f t="shared" si="194"/>
        <v>0</v>
      </c>
      <c r="BV92" s="1117">
        <f t="shared" si="195"/>
        <v>256800</v>
      </c>
      <c r="BW92" s="1118"/>
      <c r="CA92" s="1116">
        <f t="shared" si="196"/>
        <v>256800</v>
      </c>
      <c r="CB92" s="1117">
        <f t="shared" si="197"/>
        <v>0</v>
      </c>
      <c r="CC92" s="1117">
        <f t="shared" si="198"/>
        <v>0</v>
      </c>
      <c r="CD92" s="1117">
        <f t="shared" si="199"/>
        <v>256800</v>
      </c>
      <c r="CE92" s="1118"/>
      <c r="CI92" s="1116">
        <f t="shared" si="200"/>
        <v>256800</v>
      </c>
      <c r="CJ92" s="1117">
        <f t="shared" si="201"/>
        <v>0</v>
      </c>
      <c r="CK92" s="1117">
        <f t="shared" si="202"/>
        <v>0</v>
      </c>
      <c r="CL92" s="1117">
        <f t="shared" si="203"/>
        <v>256800</v>
      </c>
      <c r="CM92" s="1118"/>
      <c r="CQ92" s="1116">
        <f t="shared" si="204"/>
        <v>256800</v>
      </c>
      <c r="CR92" s="1117">
        <f t="shared" si="205"/>
        <v>0</v>
      </c>
      <c r="CS92" s="1117">
        <f t="shared" si="206"/>
        <v>0</v>
      </c>
      <c r="CT92" s="1117">
        <f t="shared" si="207"/>
        <v>256800</v>
      </c>
      <c r="CU92" s="1118"/>
      <c r="CY92" s="1116">
        <f t="shared" si="208"/>
        <v>256800</v>
      </c>
      <c r="CZ92" s="1117">
        <f t="shared" si="209"/>
        <v>0</v>
      </c>
      <c r="DA92" s="1117">
        <f t="shared" si="210"/>
        <v>0</v>
      </c>
      <c r="DB92" s="1117">
        <f t="shared" si="211"/>
        <v>256800</v>
      </c>
      <c r="DC92" s="1118"/>
      <c r="DG92" s="1116">
        <f t="shared" si="212"/>
        <v>256800</v>
      </c>
      <c r="DH92" s="1117">
        <f t="shared" si="213"/>
        <v>0</v>
      </c>
      <c r="DI92" s="1117">
        <f t="shared" si="214"/>
        <v>0</v>
      </c>
      <c r="DJ92" s="1117">
        <f t="shared" si="215"/>
        <v>256800</v>
      </c>
      <c r="DK92" s="1118"/>
      <c r="DO92" s="1116">
        <f t="shared" si="216"/>
        <v>256800</v>
      </c>
      <c r="DP92" s="1117">
        <f t="shared" si="217"/>
        <v>0</v>
      </c>
      <c r="DQ92" s="1117">
        <f t="shared" si="218"/>
        <v>0</v>
      </c>
      <c r="DR92" s="1117">
        <f t="shared" si="219"/>
        <v>256800</v>
      </c>
      <c r="DS92" s="1118"/>
      <c r="DW92" s="1116">
        <f t="shared" si="220"/>
        <v>256800</v>
      </c>
      <c r="DX92" s="1117">
        <f t="shared" si="221"/>
        <v>0</v>
      </c>
      <c r="DY92" s="1117">
        <f t="shared" si="222"/>
        <v>0</v>
      </c>
      <c r="DZ92" s="1117">
        <f t="shared" si="223"/>
        <v>256800</v>
      </c>
      <c r="EA92" s="1118"/>
      <c r="EE92" s="1116">
        <f t="shared" si="224"/>
        <v>256800</v>
      </c>
      <c r="EF92" s="1117">
        <f t="shared" si="225"/>
        <v>0</v>
      </c>
      <c r="EG92" s="1117">
        <f t="shared" si="226"/>
        <v>0</v>
      </c>
      <c r="EH92" s="1117">
        <f t="shared" si="227"/>
        <v>256800</v>
      </c>
      <c r="EI92" s="1118"/>
      <c r="EM92" s="1116">
        <f t="shared" si="228"/>
        <v>256800</v>
      </c>
      <c r="EN92" s="1117">
        <f t="shared" si="229"/>
        <v>0</v>
      </c>
      <c r="EO92" s="1117">
        <f t="shared" si="230"/>
        <v>0</v>
      </c>
      <c r="EP92" s="1117">
        <f t="shared" si="231"/>
        <v>256800</v>
      </c>
      <c r="EQ92" s="1118"/>
      <c r="EU92" s="1116">
        <f t="shared" si="232"/>
        <v>256800</v>
      </c>
      <c r="EV92" s="1117">
        <f t="shared" si="233"/>
        <v>0</v>
      </c>
      <c r="EW92" s="1117">
        <f t="shared" si="234"/>
        <v>0</v>
      </c>
      <c r="EX92" s="1117">
        <f t="shared" si="235"/>
        <v>256800</v>
      </c>
      <c r="EY92" s="1118"/>
      <c r="FC92" s="1116">
        <f t="shared" si="236"/>
        <v>256800</v>
      </c>
      <c r="FD92" s="1117">
        <f t="shared" si="237"/>
        <v>0</v>
      </c>
      <c r="FE92" s="1117">
        <f t="shared" si="238"/>
        <v>0</v>
      </c>
      <c r="FF92" s="1117">
        <f t="shared" si="239"/>
        <v>256800</v>
      </c>
      <c r="FG92" s="1118"/>
      <c r="FK92" s="1116">
        <f t="shared" si="240"/>
        <v>256800</v>
      </c>
      <c r="FL92" s="1117">
        <f t="shared" si="241"/>
        <v>0</v>
      </c>
      <c r="FM92" s="1117">
        <f t="shared" si="242"/>
        <v>0</v>
      </c>
      <c r="FN92" s="1117">
        <f t="shared" si="243"/>
        <v>256800</v>
      </c>
      <c r="FO92" s="1118"/>
    </row>
    <row r="93" spans="1:171">
      <c r="A93" s="944"/>
      <c r="B93" s="847" t="s">
        <v>104</v>
      </c>
      <c r="C93" s="914"/>
      <c r="D93" s="915"/>
      <c r="E93" s="915"/>
      <c r="F93" s="916"/>
      <c r="G93" s="923">
        <f>SUM(G87:G92)</f>
        <v>663253550</v>
      </c>
      <c r="H93" s="923">
        <f>SUM(H87:H92)</f>
        <v>95603687.228371158</v>
      </c>
      <c r="I93" s="923">
        <f>SUM(I87:I92)</f>
        <v>0</v>
      </c>
      <c r="J93" s="1393">
        <f>SUM(J87:J92)</f>
        <v>567649862.77162886</v>
      </c>
      <c r="K93" s="903"/>
      <c r="O93" s="1126">
        <f>SUM(O87:O92)</f>
        <v>663253550</v>
      </c>
      <c r="P93" s="1126">
        <f>SUM(P87:P92)</f>
        <v>95603687.228371158</v>
      </c>
      <c r="Q93" s="1126">
        <f>SUM(Q87:Q92)</f>
        <v>0</v>
      </c>
      <c r="R93" s="1126">
        <f>SUM(R87:R92)</f>
        <v>567649862.77162886</v>
      </c>
      <c r="S93" s="1118"/>
      <c r="W93" s="1126">
        <f>SUM(W87:W92)</f>
        <v>663253550</v>
      </c>
      <c r="X93" s="1126">
        <f>SUM(X87:X92)</f>
        <v>95603687.228371158</v>
      </c>
      <c r="Y93" s="1126">
        <f>SUM(Y87:Y92)</f>
        <v>0</v>
      </c>
      <c r="Z93" s="1126">
        <f>SUM(Z87:Z92)</f>
        <v>567649862.77162886</v>
      </c>
      <c r="AA93" s="1118"/>
      <c r="AE93" s="1126">
        <f>SUM(AE87:AE92)</f>
        <v>663253550</v>
      </c>
      <c r="AF93" s="1126">
        <f>SUM(AF87:AF92)</f>
        <v>95603687.228371158</v>
      </c>
      <c r="AG93" s="1126">
        <f>SUM(AG87:AG92)</f>
        <v>0</v>
      </c>
      <c r="AH93" s="1126">
        <f>SUM(AH87:AH92)</f>
        <v>567649862.77162886</v>
      </c>
      <c r="AI93" s="1118"/>
      <c r="AM93" s="1126">
        <f>SUM(AM87:AM92)</f>
        <v>663253550</v>
      </c>
      <c r="AN93" s="1126">
        <f>SUM(AN87:AN92)</f>
        <v>95603687.228371158</v>
      </c>
      <c r="AO93" s="1126">
        <f>SUM(AO87:AO92)</f>
        <v>0</v>
      </c>
      <c r="AP93" s="1126">
        <f>SUM(AP87:AP92)</f>
        <v>567649862.77162886</v>
      </c>
      <c r="AQ93" s="1118"/>
      <c r="AU93" s="1126">
        <f>SUM(AU87:AU92)</f>
        <v>663253550</v>
      </c>
      <c r="AV93" s="1126">
        <f>SUM(AV87:AV92)</f>
        <v>95603687.228371158</v>
      </c>
      <c r="AW93" s="1126">
        <f>SUM(AW87:AW92)</f>
        <v>0</v>
      </c>
      <c r="AX93" s="1126">
        <f>SUM(AX87:AX92)</f>
        <v>567649862.77162886</v>
      </c>
      <c r="AY93" s="1118"/>
      <c r="BC93" s="1126">
        <f>SUM(BC87:BC92)</f>
        <v>663253550</v>
      </c>
      <c r="BD93" s="1126">
        <f>SUM(BD87:BD92)</f>
        <v>95603687.228371158</v>
      </c>
      <c r="BE93" s="1126">
        <f>SUM(BE87:BE92)</f>
        <v>0</v>
      </c>
      <c r="BF93" s="1126">
        <f>SUM(BF87:BF92)</f>
        <v>567649862.77162886</v>
      </c>
      <c r="BG93" s="1118"/>
      <c r="BK93" s="1126">
        <f>SUM(BK87:BK92)</f>
        <v>663253550</v>
      </c>
      <c r="BL93" s="1126">
        <f>SUM(BL87:BL92)</f>
        <v>95603687.228371158</v>
      </c>
      <c r="BM93" s="1126">
        <f>SUM(BM87:BM92)</f>
        <v>0</v>
      </c>
      <c r="BN93" s="1126">
        <f>SUM(BN87:BN92)</f>
        <v>567649862.77162886</v>
      </c>
      <c r="BO93" s="1118"/>
      <c r="BS93" s="1126">
        <f>SUM(BS87:BS92)</f>
        <v>663253550</v>
      </c>
      <c r="BT93" s="1126">
        <f>SUM(BT87:BT92)</f>
        <v>95603687.228371158</v>
      </c>
      <c r="BU93" s="1126">
        <f>SUM(BU87:BU92)</f>
        <v>0</v>
      </c>
      <c r="BV93" s="1126">
        <f>SUM(BV87:BV92)</f>
        <v>567649862.77162886</v>
      </c>
      <c r="BW93" s="1118"/>
      <c r="CA93" s="1126">
        <f>SUM(CA87:CA92)</f>
        <v>663253550</v>
      </c>
      <c r="CB93" s="1126">
        <f>SUM(CB87:CB92)</f>
        <v>95603687.228371158</v>
      </c>
      <c r="CC93" s="1126">
        <f>SUM(CC87:CC92)</f>
        <v>0</v>
      </c>
      <c r="CD93" s="1126">
        <f>SUM(CD87:CD92)</f>
        <v>567649862.77162886</v>
      </c>
      <c r="CE93" s="1118"/>
      <c r="CI93" s="1126">
        <f>SUM(CI87:CI92)</f>
        <v>663253550</v>
      </c>
      <c r="CJ93" s="1126">
        <f>SUM(CJ87:CJ92)</f>
        <v>95603687.228371158</v>
      </c>
      <c r="CK93" s="1126">
        <f>SUM(CK87:CK92)</f>
        <v>0</v>
      </c>
      <c r="CL93" s="1126">
        <f>SUM(CL87:CL92)</f>
        <v>567649862.77162886</v>
      </c>
      <c r="CM93" s="1118"/>
      <c r="CQ93" s="1126">
        <f>SUM(CQ87:CQ92)</f>
        <v>663253550</v>
      </c>
      <c r="CR93" s="1126">
        <f>SUM(CR87:CR92)</f>
        <v>95603687.228371158</v>
      </c>
      <c r="CS93" s="1126">
        <f>SUM(CS87:CS92)</f>
        <v>0</v>
      </c>
      <c r="CT93" s="1126">
        <f>SUM(CT87:CT92)</f>
        <v>567649862.77162886</v>
      </c>
      <c r="CU93" s="1118"/>
      <c r="CY93" s="1126">
        <f>SUM(CY87:CY92)</f>
        <v>663253550</v>
      </c>
      <c r="CZ93" s="1126">
        <f>SUM(CZ87:CZ92)</f>
        <v>95603687.228371158</v>
      </c>
      <c r="DA93" s="1126">
        <f>SUM(DA87:DA92)</f>
        <v>0</v>
      </c>
      <c r="DB93" s="1126">
        <f>SUM(DB87:DB92)</f>
        <v>567649862.77162886</v>
      </c>
      <c r="DC93" s="1118"/>
      <c r="DG93" s="1126">
        <f>SUM(DG87:DG92)</f>
        <v>663253550</v>
      </c>
      <c r="DH93" s="1126">
        <f>SUM(DH87:DH92)</f>
        <v>95603687.228371158</v>
      </c>
      <c r="DI93" s="1126">
        <f>SUM(DI87:DI92)</f>
        <v>0</v>
      </c>
      <c r="DJ93" s="1126">
        <f>SUM(DJ87:DJ92)</f>
        <v>567649862.77162886</v>
      </c>
      <c r="DK93" s="1118"/>
      <c r="DO93" s="1126">
        <f>SUM(DO87:DO92)</f>
        <v>663253550</v>
      </c>
      <c r="DP93" s="1126">
        <f>SUM(DP87:DP92)</f>
        <v>95603687.228371158</v>
      </c>
      <c r="DQ93" s="1126">
        <f>SUM(DQ87:DQ92)</f>
        <v>0</v>
      </c>
      <c r="DR93" s="1126">
        <f>SUM(DR87:DR92)</f>
        <v>567649862.77162886</v>
      </c>
      <c r="DS93" s="1118"/>
      <c r="DW93" s="1126">
        <f>SUM(DW87:DW92)</f>
        <v>663253550</v>
      </c>
      <c r="DX93" s="1126">
        <f>SUM(DX87:DX92)</f>
        <v>95603687.228371158</v>
      </c>
      <c r="DY93" s="1126">
        <f>SUM(DY87:DY92)</f>
        <v>0</v>
      </c>
      <c r="DZ93" s="1126">
        <f>SUM(DZ87:DZ92)</f>
        <v>567649862.77162886</v>
      </c>
      <c r="EA93" s="1118"/>
      <c r="EE93" s="1126">
        <f>SUM(EE87:EE92)</f>
        <v>663253550</v>
      </c>
      <c r="EF93" s="1126">
        <f>SUM(EF87:EF92)</f>
        <v>95603687.228371158</v>
      </c>
      <c r="EG93" s="1126">
        <f>SUM(EG87:EG92)</f>
        <v>0</v>
      </c>
      <c r="EH93" s="1126">
        <f>SUM(EH87:EH92)</f>
        <v>567649862.77162886</v>
      </c>
      <c r="EI93" s="1118"/>
      <c r="EM93" s="1126">
        <f>SUM(EM87:EM92)</f>
        <v>663253550</v>
      </c>
      <c r="EN93" s="1126">
        <f>SUM(EN87:EN92)</f>
        <v>95603687.228371158</v>
      </c>
      <c r="EO93" s="1126">
        <f>SUM(EO87:EO92)</f>
        <v>0</v>
      </c>
      <c r="EP93" s="1126">
        <f>SUM(EP87:EP92)</f>
        <v>567649862.77162886</v>
      </c>
      <c r="EQ93" s="1118"/>
      <c r="EU93" s="1126">
        <f>SUM(EU87:EU92)</f>
        <v>663253550</v>
      </c>
      <c r="EV93" s="1126">
        <f>SUM(EV87:EV92)</f>
        <v>95603687.228371158</v>
      </c>
      <c r="EW93" s="1126">
        <f>SUM(EW87:EW92)</f>
        <v>0</v>
      </c>
      <c r="EX93" s="1126">
        <f>SUM(EX87:EX92)</f>
        <v>567649862.77162886</v>
      </c>
      <c r="EY93" s="1118"/>
      <c r="FC93" s="1126">
        <f>SUM(FC87:FC92)</f>
        <v>663253550</v>
      </c>
      <c r="FD93" s="1126">
        <f>SUM(FD87:FD92)</f>
        <v>95603687.228371158</v>
      </c>
      <c r="FE93" s="1126">
        <f>SUM(FE87:FE92)</f>
        <v>0</v>
      </c>
      <c r="FF93" s="1126">
        <f>SUM(FF87:FF92)</f>
        <v>567649862.77162886</v>
      </c>
      <c r="FG93" s="1118"/>
      <c r="FK93" s="1126">
        <f>SUM(FK87:FK92)</f>
        <v>663253550</v>
      </c>
      <c r="FL93" s="1126">
        <f>SUM(FL87:FL92)</f>
        <v>95603687.228371158</v>
      </c>
      <c r="FM93" s="1126">
        <f>SUM(FM87:FM92)</f>
        <v>0</v>
      </c>
      <c r="FN93" s="1126">
        <f>SUM(FN87:FN92)</f>
        <v>567649862.77162886</v>
      </c>
      <c r="FO93" s="1118"/>
    </row>
    <row r="94" spans="1:171">
      <c r="A94" s="944"/>
      <c r="B94" s="847"/>
      <c r="C94" s="945"/>
      <c r="D94" s="946"/>
      <c r="E94" s="196"/>
      <c r="F94" s="196"/>
      <c r="G94" s="947"/>
      <c r="H94" s="947"/>
      <c r="I94" s="947"/>
      <c r="J94" s="948"/>
      <c r="K94" s="903"/>
      <c r="O94" s="947"/>
      <c r="S94" s="1118"/>
      <c r="W94" s="947"/>
      <c r="AA94" s="1118"/>
      <c r="AE94" s="947"/>
      <c r="AI94" s="1118"/>
      <c r="AM94" s="947"/>
      <c r="AQ94" s="1118"/>
      <c r="AU94" s="947"/>
      <c r="AY94" s="1118"/>
      <c r="BC94" s="947"/>
      <c r="BG94" s="1118"/>
      <c r="BK94" s="947"/>
      <c r="BO94" s="1118"/>
      <c r="BS94" s="947"/>
      <c r="BW94" s="1118"/>
      <c r="CA94" s="947"/>
      <c r="CE94" s="1118"/>
      <c r="CI94" s="947"/>
      <c r="CM94" s="1118"/>
      <c r="CQ94" s="947"/>
      <c r="CU94" s="1118"/>
      <c r="CY94" s="947"/>
      <c r="DC94" s="1118"/>
      <c r="DG94" s="947"/>
      <c r="DK94" s="1118"/>
      <c r="DO94" s="947"/>
      <c r="DS94" s="1118"/>
      <c r="DW94" s="947"/>
      <c r="EA94" s="1118"/>
      <c r="EE94" s="947"/>
      <c r="EI94" s="1118"/>
      <c r="EM94" s="947"/>
      <c r="EQ94" s="1118"/>
      <c r="EU94" s="947"/>
      <c r="EY94" s="1118"/>
      <c r="FC94" s="947"/>
      <c r="FG94" s="1118"/>
      <c r="FK94" s="947"/>
      <c r="FO94" s="1118"/>
    </row>
    <row r="95" spans="1:171">
      <c r="A95" s="269" t="s">
        <v>275</v>
      </c>
      <c r="B95" s="79"/>
      <c r="C95" s="940"/>
      <c r="D95" s="196"/>
      <c r="E95" s="196"/>
      <c r="F95" s="196"/>
      <c r="G95" s="949"/>
      <c r="H95" s="949"/>
      <c r="I95" s="949"/>
      <c r="J95" s="950"/>
      <c r="K95" s="903"/>
      <c r="O95" s="1079"/>
      <c r="S95" s="1118"/>
      <c r="W95" s="1079"/>
      <c r="AA95" s="1118"/>
      <c r="AE95" s="1079"/>
      <c r="AI95" s="1118"/>
      <c r="AM95" s="1079"/>
      <c r="AQ95" s="1118"/>
      <c r="AU95" s="1079"/>
      <c r="AY95" s="1118"/>
      <c r="BC95" s="1079"/>
      <c r="BG95" s="1118"/>
      <c r="BK95" s="1079"/>
      <c r="BO95" s="1118"/>
      <c r="BS95" s="1079"/>
      <c r="BW95" s="1118"/>
      <c r="CA95" s="1079"/>
      <c r="CE95" s="1118"/>
      <c r="CI95" s="1079"/>
      <c r="CM95" s="1118"/>
      <c r="CQ95" s="1079"/>
      <c r="CU95" s="1118"/>
      <c r="CY95" s="1079"/>
      <c r="DC95" s="1118"/>
      <c r="DG95" s="1079"/>
      <c r="DK95" s="1118"/>
      <c r="DO95" s="1079"/>
      <c r="DS95" s="1118"/>
      <c r="DW95" s="1079"/>
      <c r="EA95" s="1118"/>
      <c r="EE95" s="1079"/>
      <c r="EI95" s="1118"/>
      <c r="EM95" s="1079"/>
      <c r="EQ95" s="1118"/>
      <c r="EU95" s="1079"/>
      <c r="EY95" s="1118"/>
      <c r="FC95" s="1079"/>
      <c r="FG95" s="1118"/>
      <c r="FK95" s="1079"/>
      <c r="FO95" s="1118"/>
    </row>
    <row r="96" spans="1:171">
      <c r="A96" s="912"/>
      <c r="B96" s="913" t="s">
        <v>448</v>
      </c>
      <c r="C96" s="888" t="s">
        <v>78</v>
      </c>
      <c r="D96" s="888">
        <v>123</v>
      </c>
      <c r="E96" s="182" t="str">
        <f>'Sch 1- Rate Base '!E96</f>
        <v>DIRECT</v>
      </c>
      <c r="F96" s="889"/>
      <c r="G96" s="182">
        <f>'Sch 1- Rate Base '!G96</f>
        <v>11547000</v>
      </c>
      <c r="H96" s="182">
        <f>'Sch 1- Rate Base '!H96</f>
        <v>0</v>
      </c>
      <c r="I96" s="182">
        <f>'Sch 1- Rate Base '!I96</f>
        <v>0</v>
      </c>
      <c r="J96" s="183">
        <f>'Sch 1- Rate Base '!J96</f>
        <v>11547000</v>
      </c>
      <c r="K96" s="903">
        <f>IF($E96="DIRECT",0,1)</f>
        <v>0</v>
      </c>
      <c r="O96" s="1116">
        <f>$G96</f>
        <v>11547000</v>
      </c>
      <c r="P96" s="1117">
        <f>VLOOKUP($E96,O$442:R$453,2,FALSE)*O96*($K96)+IF($G96&gt;0,($H96/$G96)*O96,0)*(1-$K96)</f>
        <v>0</v>
      </c>
      <c r="Q96" s="1117">
        <f>VLOOKUP($E96,O$442:R$453,3,FALSE)*O96*($K96)+IF($G96&gt;0,($I96/$G96)*O96,0)*(1-$K96)</f>
        <v>0</v>
      </c>
      <c r="R96" s="1117">
        <f>VLOOKUP($E96,O$442:R$453,4,FALSE)*O96*($K96)+(O96-P96-Q96)*(1-$K96)</f>
        <v>11547000</v>
      </c>
      <c r="S96" s="1118"/>
      <c r="W96" s="1116">
        <f>$G96</f>
        <v>11547000</v>
      </c>
      <c r="X96" s="1117">
        <f>VLOOKUP($E96,W$442:Z$453,2,FALSE)*W96*($K96)+IF($G96&gt;0,($H96/$G96)*W96,0)*(1-$K96)</f>
        <v>0</v>
      </c>
      <c r="Y96" s="1117">
        <f>VLOOKUP($E96,W$442:Z$453,3,FALSE)*W96*($K96)+IF($G96&gt;0,($I96/$G96)*W96,0)*(1-$K96)</f>
        <v>0</v>
      </c>
      <c r="Z96" s="1117">
        <f>VLOOKUP($E96,W$442:Z$453,4,FALSE)*W96*($K96)+(W96-X96-Y96)*(1-$K96)</f>
        <v>11547000</v>
      </c>
      <c r="AA96" s="1118"/>
      <c r="AE96" s="1116">
        <f>$G96</f>
        <v>11547000</v>
      </c>
      <c r="AF96" s="1117">
        <f>VLOOKUP($E96,AE$442:AH$453,2,FALSE)*AE96*($K96)+IF($G96&gt;0,($H96/$G96)*AE96,0)*(1-$K96)</f>
        <v>0</v>
      </c>
      <c r="AG96" s="1117">
        <f>VLOOKUP($E96,AE$442:AH$453,3,FALSE)*AE96*($K96)+IF($G96&gt;0,($I96/$G96)*AE96,0)*(1-$K96)</f>
        <v>0</v>
      </c>
      <c r="AH96" s="1117">
        <f>VLOOKUP($E96,AE$442:AH$453,4,FALSE)*AE96*($K96)+(AE96-AF96-AG96)*(1-$K96)</f>
        <v>11547000</v>
      </c>
      <c r="AI96" s="1118"/>
      <c r="AM96" s="1116">
        <f>$G96</f>
        <v>11547000</v>
      </c>
      <c r="AN96" s="1117">
        <f>VLOOKUP($E96,AM$442:AP$453,2,FALSE)*AM96*($K96)+IF($G96&gt;0,($H96/$G96)*AM96,0)*(1-$K96)</f>
        <v>0</v>
      </c>
      <c r="AO96" s="1117">
        <f>VLOOKUP($E96,AM$442:AP$453,3,FALSE)*AM96*($K96)+IF($G96&gt;0,($I96/$G96)*AM96,0)*(1-$K96)</f>
        <v>0</v>
      </c>
      <c r="AP96" s="1117">
        <f>VLOOKUP($E96,AM$442:AP$453,4,FALSE)*AM96*($K96)+(AM96-AN96-AO96)*(1-$K96)</f>
        <v>11547000</v>
      </c>
      <c r="AQ96" s="1118"/>
      <c r="AU96" s="1116">
        <f>$G96</f>
        <v>11547000</v>
      </c>
      <c r="AV96" s="1117">
        <f>VLOOKUP($E96,AU$442:AX$453,2,FALSE)*AU96*($K96)+IF($G96&gt;0,($H96/$G96)*AU96,0)*(1-$K96)</f>
        <v>0</v>
      </c>
      <c r="AW96" s="1117">
        <f>VLOOKUP($E96,AU$442:AX$453,3,FALSE)*AU96*($K96)+IF($G96&gt;0,($I96/$G96)*AU96,0)*(1-$K96)</f>
        <v>0</v>
      </c>
      <c r="AX96" s="1117">
        <f>VLOOKUP($E96,AU$442:AX$453,4,FALSE)*AU96*($K96)+(AU96-AV96-AW96)*(1-$K96)</f>
        <v>11547000</v>
      </c>
      <c r="AY96" s="1118"/>
      <c r="BC96" s="1116">
        <f>$G96</f>
        <v>11547000</v>
      </c>
      <c r="BD96" s="1117">
        <f>VLOOKUP($E96,BC$442:BF$453,2,FALSE)*BC96*($K96)+IF($G96&gt;0,($H96/$G96)*BC96,0)*(1-$K96)</f>
        <v>0</v>
      </c>
      <c r="BE96" s="1117">
        <f>VLOOKUP($E96,BC$442:BF$453,3,FALSE)*BC96*($K96)+IF($G96&gt;0,($I96/$G96)*BC96,0)*(1-$K96)</f>
        <v>0</v>
      </c>
      <c r="BF96" s="1117">
        <f>VLOOKUP($E96,BC$442:BF$453,4,FALSE)*BC96*($K96)+(BC96-BD96-BE96)*(1-$K96)</f>
        <v>11547000</v>
      </c>
      <c r="BG96" s="1118"/>
      <c r="BK96" s="1116">
        <f>$G96</f>
        <v>11547000</v>
      </c>
      <c r="BL96" s="1117">
        <f>VLOOKUP($E96,BK$442:BN$453,2,FALSE)*BK96*($K96)+IF($G96&gt;0,($H96/$G96)*BK96,0)*(1-$K96)</f>
        <v>0</v>
      </c>
      <c r="BM96" s="1117">
        <f>VLOOKUP($E96,BK$442:BN$453,3,FALSE)*BK96*($K96)+IF($G96&gt;0,($I96/$G96)*BK96,0)*(1-$K96)</f>
        <v>0</v>
      </c>
      <c r="BN96" s="1117">
        <f>VLOOKUP($E96,BK$442:BN$453,4,FALSE)*BK96*($K96)+(BK96-BL96-BM96)*(1-$K96)</f>
        <v>11547000</v>
      </c>
      <c r="BO96" s="1118"/>
      <c r="BS96" s="1116">
        <f>$G96</f>
        <v>11547000</v>
      </c>
      <c r="BT96" s="1117">
        <f>VLOOKUP($E96,BS$442:BV$453,2,FALSE)*BS96*($K96)+IF($G96&gt;0,($H96/$G96)*BS96,0)*(1-$K96)</f>
        <v>0</v>
      </c>
      <c r="BU96" s="1117">
        <f>VLOOKUP($E96,BS$442:BV$453,3,FALSE)*BS96*($K96)+IF($G96&gt;0,($I96/$G96)*BS96,0)*(1-$K96)</f>
        <v>0</v>
      </c>
      <c r="BV96" s="1117">
        <f>VLOOKUP($E96,BS$442:BV$453,4,FALSE)*BS96*($K96)+(BS96-BT96-BU96)*(1-$K96)</f>
        <v>11547000</v>
      </c>
      <c r="BW96" s="1118"/>
      <c r="CA96" s="1116">
        <f>$G96</f>
        <v>11547000</v>
      </c>
      <c r="CB96" s="1117">
        <f>VLOOKUP($E96,CA$442:CD$453,2,FALSE)*CA96*($K96)+IF($G96&gt;0,($H96/$G96)*CA96,0)*(1-$K96)</f>
        <v>0</v>
      </c>
      <c r="CC96" s="1117">
        <f>VLOOKUP($E96,CA$442:CD$453,3,FALSE)*CA96*($K96)+IF($G96&gt;0,($I96/$G96)*CA96,0)*(1-$K96)</f>
        <v>0</v>
      </c>
      <c r="CD96" s="1117">
        <f>VLOOKUP($E96,CA$442:CD$453,4,FALSE)*CA96*($K96)+(CA96-CB96-CC96)*(1-$K96)</f>
        <v>11547000</v>
      </c>
      <c r="CE96" s="1118"/>
      <c r="CI96" s="1116">
        <f>$G96</f>
        <v>11547000</v>
      </c>
      <c r="CJ96" s="1117">
        <f>VLOOKUP($E96,CI$442:CL$453,2,FALSE)*CI96*($K96)+IF($G96&gt;0,($H96/$G96)*CI96,0)*(1-$K96)</f>
        <v>0</v>
      </c>
      <c r="CK96" s="1117">
        <f>VLOOKUP($E96,CI$442:CL$453,3,FALSE)*CI96*($K96)+IF($G96&gt;0,($I96/$G96)*CI96,0)*(1-$K96)</f>
        <v>0</v>
      </c>
      <c r="CL96" s="1117">
        <f>VLOOKUP($E96,CI$442:CL$453,4,FALSE)*CI96*($K96)+(CI96-CJ96-CK96)*(1-$K96)</f>
        <v>11547000</v>
      </c>
      <c r="CM96" s="1118"/>
      <c r="CQ96" s="1116">
        <f>$G96</f>
        <v>11547000</v>
      </c>
      <c r="CR96" s="1117">
        <f>VLOOKUP($E96,CQ$442:CT$453,2,FALSE)*CQ96*($K96)+IF($G96&gt;0,($H96/$G96)*CQ96,0)*(1-$K96)</f>
        <v>0</v>
      </c>
      <c r="CS96" s="1117">
        <f>VLOOKUP($E96,CQ$442:CT$453,3,FALSE)*CQ96*($K96)+IF($G96&gt;0,($I96/$G96)*CQ96,0)*(1-$K96)</f>
        <v>0</v>
      </c>
      <c r="CT96" s="1117">
        <f>VLOOKUP($E96,CQ$442:CT$453,4,FALSE)*CQ96*($K96)+(CQ96-CR96-CS96)*(1-$K96)</f>
        <v>11547000</v>
      </c>
      <c r="CU96" s="1118"/>
      <c r="CY96" s="1116">
        <f>$G96</f>
        <v>11547000</v>
      </c>
      <c r="CZ96" s="1117">
        <f>VLOOKUP($E96,CY$442:DB$453,2,FALSE)*CY96*($K96)+IF($G96&gt;0,($H96/$G96)*CY96,0)*(1-$K96)</f>
        <v>0</v>
      </c>
      <c r="DA96" s="1117">
        <f>VLOOKUP($E96,CY$442:DB$453,3,FALSE)*CY96*($K96)+IF($G96&gt;0,($I96/$G96)*CY96,0)*(1-$K96)</f>
        <v>0</v>
      </c>
      <c r="DB96" s="1117">
        <f>VLOOKUP($E96,CY$442:DB$453,4,FALSE)*CY96*($K96)+(CY96-CZ96-DA96)*(1-$K96)</f>
        <v>11547000</v>
      </c>
      <c r="DC96" s="1118"/>
      <c r="DG96" s="1116">
        <f>$G96</f>
        <v>11547000</v>
      </c>
      <c r="DH96" s="1117">
        <f>VLOOKUP($E96,DG$442:DJ$453,2,FALSE)*DG96*($K96)+IF($G96&gt;0,($H96/$G96)*DG96,0)*(1-$K96)</f>
        <v>0</v>
      </c>
      <c r="DI96" s="1117">
        <f>VLOOKUP($E96,DG$442:DJ$453,3,FALSE)*DG96*($K96)+IF($G96&gt;0,($I96/$G96)*DG96,0)*(1-$K96)</f>
        <v>0</v>
      </c>
      <c r="DJ96" s="1117">
        <f>VLOOKUP($E96,DG$442:DJ$453,4,FALSE)*DG96*($K96)+(DG96-DH96-DI96)*(1-$K96)</f>
        <v>11547000</v>
      </c>
      <c r="DK96" s="1118"/>
      <c r="DO96" s="1116">
        <f>$G96</f>
        <v>11547000</v>
      </c>
      <c r="DP96" s="1117">
        <f>VLOOKUP($E96,DO$442:DR$453,2,FALSE)*DO96*($K96)+IF($G96&gt;0,($H96/$G96)*DO96,0)*(1-$K96)</f>
        <v>0</v>
      </c>
      <c r="DQ96" s="1117">
        <f>VLOOKUP($E96,DO$442:DR$453,3,FALSE)*DO96*($K96)+IF($G96&gt;0,($I96/$G96)*DO96,0)*(1-$K96)</f>
        <v>0</v>
      </c>
      <c r="DR96" s="1117">
        <f>VLOOKUP($E96,DO$442:DR$453,4,FALSE)*DO96*($K96)+(DO96-DP96-DQ96)*(1-$K96)</f>
        <v>11547000</v>
      </c>
      <c r="DS96" s="1118"/>
      <c r="DW96" s="1116">
        <f>$G96</f>
        <v>11547000</v>
      </c>
      <c r="DX96" s="1117">
        <f>VLOOKUP($E96,DW$442:DZ$453,2,FALSE)*DW96*($K96)+IF($G96&gt;0,($H96/$G96)*DW96,0)*(1-$K96)</f>
        <v>0</v>
      </c>
      <c r="DY96" s="1117">
        <f>VLOOKUP($E96,DW$442:DZ$453,3,FALSE)*DW96*($K96)+IF($G96&gt;0,($I96/$G96)*DW96,0)*(1-$K96)</f>
        <v>0</v>
      </c>
      <c r="DZ96" s="1117">
        <f>VLOOKUP($E96,DW$442:DZ$453,4,FALSE)*DW96*($K96)+(DW96-DX96-DY96)*(1-$K96)</f>
        <v>11547000</v>
      </c>
      <c r="EA96" s="1118"/>
      <c r="EE96" s="1116">
        <f>$G96</f>
        <v>11547000</v>
      </c>
      <c r="EF96" s="1117">
        <f>VLOOKUP($E96,EE$442:EH$453,2,FALSE)*EE96*($K96)+IF($G96&gt;0,($H96/$G96)*EE96,0)*(1-$K96)</f>
        <v>0</v>
      </c>
      <c r="EG96" s="1117">
        <f>VLOOKUP($E96,EE$442:EH$453,3,FALSE)*EE96*($K96)+IF($G96&gt;0,($I96/$G96)*EE96,0)*(1-$K96)</f>
        <v>0</v>
      </c>
      <c r="EH96" s="1117">
        <f>VLOOKUP($E96,EE$442:EH$453,4,FALSE)*EE96*($K96)+(EE96-EF96-EG96)*(1-$K96)</f>
        <v>11547000</v>
      </c>
      <c r="EI96" s="1118"/>
      <c r="EM96" s="1116">
        <f>$G96</f>
        <v>11547000</v>
      </c>
      <c r="EN96" s="1117">
        <f>VLOOKUP($E96,EM$442:EP$453,2,FALSE)*EM96*($K96)+IF($G96&gt;0,($H96/$G96)*EM96,0)*(1-$K96)</f>
        <v>0</v>
      </c>
      <c r="EO96" s="1117">
        <f>VLOOKUP($E96,EM$442:EP$453,3,FALSE)*EM96*($K96)+IF($G96&gt;0,($I96/$G96)*EM96,0)*(1-$K96)</f>
        <v>0</v>
      </c>
      <c r="EP96" s="1117">
        <f>VLOOKUP($E96,EM$442:EP$453,4,FALSE)*EM96*($K96)+(EM96-EN96-EO96)*(1-$K96)</f>
        <v>11547000</v>
      </c>
      <c r="EQ96" s="1118"/>
      <c r="EU96" s="1116">
        <f>$G96</f>
        <v>11547000</v>
      </c>
      <c r="EV96" s="1117">
        <f>VLOOKUP($E96,EU$442:EX$453,2,FALSE)*EU96*($K96)+IF($G96&gt;0,($H96/$G96)*EU96,0)*(1-$K96)</f>
        <v>0</v>
      </c>
      <c r="EW96" s="1117">
        <f>VLOOKUP($E96,EU$442:EX$453,3,FALSE)*EU96*($K96)+IF($G96&gt;0,($I96/$G96)*EU96,0)*(1-$K96)</f>
        <v>0</v>
      </c>
      <c r="EX96" s="1117">
        <f>VLOOKUP($E96,EU$442:EX$453,4,FALSE)*EU96*($K96)+(EU96-EV96-EW96)*(1-$K96)</f>
        <v>11547000</v>
      </c>
      <c r="EY96" s="1118"/>
      <c r="FC96" s="1116">
        <f>$G96</f>
        <v>11547000</v>
      </c>
      <c r="FD96" s="1117">
        <f>VLOOKUP($E96,FC$442:FF$453,2,FALSE)*FC96*($K96)+IF($G96&gt;0,($H96/$G96)*FC96,0)*(1-$K96)</f>
        <v>0</v>
      </c>
      <c r="FE96" s="1117">
        <f>VLOOKUP($E96,FC$442:FF$453,3,FALSE)*FC96*($K96)+IF($G96&gt;0,($I96/$G96)*FC96,0)*(1-$K96)</f>
        <v>0</v>
      </c>
      <c r="FF96" s="1117">
        <f>VLOOKUP($E96,FC$442:FF$453,4,FALSE)*FC96*($K96)+(FC96-FD96-FE96)*(1-$K96)</f>
        <v>11547000</v>
      </c>
      <c r="FG96" s="1118"/>
      <c r="FK96" s="1116">
        <f>$G96</f>
        <v>11547000</v>
      </c>
      <c r="FL96" s="1117">
        <f>VLOOKUP($E96,FK$442:FN$453,2,FALSE)*FK96*($K96)+IF($G96&gt;0,($H96/$G96)*FK96,0)*(1-$K96)</f>
        <v>0</v>
      </c>
      <c r="FM96" s="1117">
        <f>VLOOKUP($E96,FK$442:FN$453,3,FALSE)*FK96*($K96)+IF($G96&gt;0,($I96/$G96)*FK96,0)*(1-$K96)</f>
        <v>0</v>
      </c>
      <c r="FN96" s="1117">
        <f>VLOOKUP($E96,FK$442:FN$453,4,FALSE)*FK96*($K96)+(FK96-FL96-FM96)*(1-$K96)</f>
        <v>11547000</v>
      </c>
      <c r="FO96" s="1118"/>
    </row>
    <row r="97" spans="1:171">
      <c r="A97" s="912"/>
      <c r="B97" s="10" t="s">
        <v>481</v>
      </c>
      <c r="C97" s="888" t="s">
        <v>78</v>
      </c>
      <c r="D97" s="888">
        <v>124</v>
      </c>
      <c r="E97" s="182" t="str">
        <f>'Sch 1- Rate Base '!E97</f>
        <v>DIST</v>
      </c>
      <c r="F97" s="889"/>
      <c r="G97" s="182">
        <f>'Sch 1- Rate Base '!G97</f>
        <v>14093.53</v>
      </c>
      <c r="H97" s="182">
        <f>'Sch 1- Rate Base '!H97</f>
        <v>0</v>
      </c>
      <c r="I97" s="182">
        <f>'Sch 1- Rate Base '!I97</f>
        <v>0</v>
      </c>
      <c r="J97" s="183">
        <f>'Sch 1- Rate Base '!J97</f>
        <v>14093.53</v>
      </c>
      <c r="K97" s="903">
        <f>IF($E97="DIRECT",0,1)</f>
        <v>1</v>
      </c>
      <c r="O97" s="1116">
        <f>$G97</f>
        <v>14093.53</v>
      </c>
      <c r="P97" s="1117">
        <f>VLOOKUP($E97,O$442:R$453,2,FALSE)*O97*($K97)+IF($G97&gt;0,($H97/$G97)*O97,0)*(1-$K97)</f>
        <v>0</v>
      </c>
      <c r="Q97" s="1117">
        <f>VLOOKUP($E97,O$442:R$453,3,FALSE)*O97*($K97)+IF($G97&gt;0,($I97/$G97)*O97,0)*(1-$K97)</f>
        <v>0</v>
      </c>
      <c r="R97" s="1117">
        <f>VLOOKUP($E97,O$442:R$453,4,FALSE)*O97*($K97)+(O97-P97-Q97)*(1-$K97)</f>
        <v>14093.53</v>
      </c>
      <c r="S97" s="1118"/>
      <c r="W97" s="1116">
        <f>$G97</f>
        <v>14093.53</v>
      </c>
      <c r="X97" s="1117">
        <f>VLOOKUP($E97,W$442:Z$453,2,FALSE)*W97*($K97)+IF($G97&gt;0,($H97/$G97)*W97,0)*(1-$K97)</f>
        <v>0</v>
      </c>
      <c r="Y97" s="1117">
        <f>VLOOKUP($E97,W$442:Z$453,3,FALSE)*W97*($K97)+IF($G97&gt;0,($I97/$G97)*W97,0)*(1-$K97)</f>
        <v>0</v>
      </c>
      <c r="Z97" s="1117">
        <f>VLOOKUP($E97,W$442:Z$453,4,FALSE)*W97*($K97)+(W97-X97-Y97)*(1-$K97)</f>
        <v>14093.53</v>
      </c>
      <c r="AA97" s="1118"/>
      <c r="AE97" s="1116">
        <f>$G97</f>
        <v>14093.53</v>
      </c>
      <c r="AF97" s="1117">
        <f>VLOOKUP($E97,AE$442:AH$453,2,FALSE)*AE97*($K97)+IF($G97&gt;0,($H97/$G97)*AE97,0)*(1-$K97)</f>
        <v>0</v>
      </c>
      <c r="AG97" s="1117">
        <f>VLOOKUP($E97,AE$442:AH$453,3,FALSE)*AE97*($K97)+IF($G97&gt;0,($I97/$G97)*AE97,0)*(1-$K97)</f>
        <v>0</v>
      </c>
      <c r="AH97" s="1117">
        <f>VLOOKUP($E97,AE$442:AH$453,4,FALSE)*AE97*($K97)+(AE97-AF97-AG97)*(1-$K97)</f>
        <v>14093.53</v>
      </c>
      <c r="AI97" s="1118"/>
      <c r="AM97" s="1116">
        <f>$G97</f>
        <v>14093.53</v>
      </c>
      <c r="AN97" s="1117">
        <f>VLOOKUP($E97,AM$442:AP$453,2,FALSE)*AM97*($K97)+IF($G97&gt;0,($H97/$G97)*AM97,0)*(1-$K97)</f>
        <v>0</v>
      </c>
      <c r="AO97" s="1117">
        <f>VLOOKUP($E97,AM$442:AP$453,3,FALSE)*AM97*($K97)+IF($G97&gt;0,($I97/$G97)*AM97,0)*(1-$K97)</f>
        <v>0</v>
      </c>
      <c r="AP97" s="1117">
        <f>VLOOKUP($E97,AM$442:AP$453,4,FALSE)*AM97*($K97)+(AM97-AN97-AO97)*(1-$K97)</f>
        <v>14093.53</v>
      </c>
      <c r="AQ97" s="1118"/>
      <c r="AU97" s="1116">
        <f>$G97</f>
        <v>14093.53</v>
      </c>
      <c r="AV97" s="1117">
        <f>VLOOKUP($E97,AU$442:AX$453,2,FALSE)*AU97*($K97)+IF($G97&gt;0,($H97/$G97)*AU97,0)*(1-$K97)</f>
        <v>0</v>
      </c>
      <c r="AW97" s="1117">
        <f>VLOOKUP($E97,AU$442:AX$453,3,FALSE)*AU97*($K97)+IF($G97&gt;0,($I97/$G97)*AU97,0)*(1-$K97)</f>
        <v>0</v>
      </c>
      <c r="AX97" s="1117">
        <f>VLOOKUP($E97,AU$442:AX$453,4,FALSE)*AU97*($K97)+(AU97-AV97-AW97)*(1-$K97)</f>
        <v>14093.53</v>
      </c>
      <c r="AY97" s="1118"/>
      <c r="BC97" s="1116">
        <f>$G97</f>
        <v>14093.53</v>
      </c>
      <c r="BD97" s="1117">
        <f>VLOOKUP($E97,BC$442:BF$453,2,FALSE)*BC97*($K97)+IF($G97&gt;0,($H97/$G97)*BC97,0)*(1-$K97)</f>
        <v>0</v>
      </c>
      <c r="BE97" s="1117">
        <f>VLOOKUP($E97,BC$442:BF$453,3,FALSE)*BC97*($K97)+IF($G97&gt;0,($I97/$G97)*BC97,0)*(1-$K97)</f>
        <v>0</v>
      </c>
      <c r="BF97" s="1117">
        <f>VLOOKUP($E97,BC$442:BF$453,4,FALSE)*BC97*($K97)+(BC97-BD97-BE97)*(1-$K97)</f>
        <v>14093.53</v>
      </c>
      <c r="BG97" s="1118"/>
      <c r="BK97" s="1116">
        <f>$G97</f>
        <v>14093.53</v>
      </c>
      <c r="BL97" s="1117">
        <f>VLOOKUP($E97,BK$442:BN$453,2,FALSE)*BK97*($K97)+IF($G97&gt;0,($H97/$G97)*BK97,0)*(1-$K97)</f>
        <v>0</v>
      </c>
      <c r="BM97" s="1117">
        <f>VLOOKUP($E97,BK$442:BN$453,3,FALSE)*BK97*($K97)+IF($G97&gt;0,($I97/$G97)*BK97,0)*(1-$K97)</f>
        <v>0</v>
      </c>
      <c r="BN97" s="1117">
        <f>VLOOKUP($E97,BK$442:BN$453,4,FALSE)*BK97*($K97)+(BK97-BL97-BM97)*(1-$K97)</f>
        <v>14093.53</v>
      </c>
      <c r="BO97" s="1118"/>
      <c r="BS97" s="1116">
        <f>$G97</f>
        <v>14093.53</v>
      </c>
      <c r="BT97" s="1117">
        <f>VLOOKUP($E97,BS$442:BV$453,2,FALSE)*BS97*($K97)+IF($G97&gt;0,($H97/$G97)*BS97,0)*(1-$K97)</f>
        <v>0</v>
      </c>
      <c r="BU97" s="1117">
        <f>VLOOKUP($E97,BS$442:BV$453,3,FALSE)*BS97*($K97)+IF($G97&gt;0,($I97/$G97)*BS97,0)*(1-$K97)</f>
        <v>0</v>
      </c>
      <c r="BV97" s="1117">
        <f>VLOOKUP($E97,BS$442:BV$453,4,FALSE)*BS97*($K97)+(BS97-BT97-BU97)*(1-$K97)</f>
        <v>14093.53</v>
      </c>
      <c r="BW97" s="1118"/>
      <c r="CA97" s="1116">
        <f>$G97</f>
        <v>14093.53</v>
      </c>
      <c r="CB97" s="1117">
        <f>VLOOKUP($E97,CA$442:CD$453,2,FALSE)*CA97*($K97)+IF($G97&gt;0,($H97/$G97)*CA97,0)*(1-$K97)</f>
        <v>0</v>
      </c>
      <c r="CC97" s="1117">
        <f>VLOOKUP($E97,CA$442:CD$453,3,FALSE)*CA97*($K97)+IF($G97&gt;0,($I97/$G97)*CA97,0)*(1-$K97)</f>
        <v>0</v>
      </c>
      <c r="CD97" s="1117">
        <f>VLOOKUP($E97,CA$442:CD$453,4,FALSE)*CA97*($K97)+(CA97-CB97-CC97)*(1-$K97)</f>
        <v>14093.53</v>
      </c>
      <c r="CE97" s="1118"/>
      <c r="CI97" s="1116">
        <f>$G97</f>
        <v>14093.53</v>
      </c>
      <c r="CJ97" s="1117">
        <f>VLOOKUP($E97,CI$442:CL$453,2,FALSE)*CI97*($K97)+IF($G97&gt;0,($H97/$G97)*CI97,0)*(1-$K97)</f>
        <v>0</v>
      </c>
      <c r="CK97" s="1117">
        <f>VLOOKUP($E97,CI$442:CL$453,3,FALSE)*CI97*($K97)+IF($G97&gt;0,($I97/$G97)*CI97,0)*(1-$K97)</f>
        <v>0</v>
      </c>
      <c r="CL97" s="1117">
        <f>VLOOKUP($E97,CI$442:CL$453,4,FALSE)*CI97*($K97)+(CI97-CJ97-CK97)*(1-$K97)</f>
        <v>14093.53</v>
      </c>
      <c r="CM97" s="1118"/>
      <c r="CQ97" s="1116">
        <f>$G97</f>
        <v>14093.53</v>
      </c>
      <c r="CR97" s="1117">
        <f>VLOOKUP($E97,CQ$442:CT$453,2,FALSE)*CQ97*($K97)+IF($G97&gt;0,($H97/$G97)*CQ97,0)*(1-$K97)</f>
        <v>0</v>
      </c>
      <c r="CS97" s="1117">
        <f>VLOOKUP($E97,CQ$442:CT$453,3,FALSE)*CQ97*($K97)+IF($G97&gt;0,($I97/$G97)*CQ97,0)*(1-$K97)</f>
        <v>0</v>
      </c>
      <c r="CT97" s="1117">
        <f>VLOOKUP($E97,CQ$442:CT$453,4,FALSE)*CQ97*($K97)+(CQ97-CR97-CS97)*(1-$K97)</f>
        <v>14093.53</v>
      </c>
      <c r="CU97" s="1118"/>
      <c r="CY97" s="1116">
        <f>$G97</f>
        <v>14093.53</v>
      </c>
      <c r="CZ97" s="1117">
        <f>VLOOKUP($E97,CY$442:DB$453,2,FALSE)*CY97*($K97)+IF($G97&gt;0,($H97/$G97)*CY97,0)*(1-$K97)</f>
        <v>0</v>
      </c>
      <c r="DA97" s="1117">
        <f>VLOOKUP($E97,CY$442:DB$453,3,FALSE)*CY97*($K97)+IF($G97&gt;0,($I97/$G97)*CY97,0)*(1-$K97)</f>
        <v>0</v>
      </c>
      <c r="DB97" s="1117">
        <f>VLOOKUP($E97,CY$442:DB$453,4,FALSE)*CY97*($K97)+(CY97-CZ97-DA97)*(1-$K97)</f>
        <v>14093.53</v>
      </c>
      <c r="DC97" s="1118"/>
      <c r="DG97" s="1116">
        <f>$G97</f>
        <v>14093.53</v>
      </c>
      <c r="DH97" s="1117">
        <f>VLOOKUP($E97,DG$442:DJ$453,2,FALSE)*DG97*($K97)+IF($G97&gt;0,($H97/$G97)*DG97,0)*(1-$K97)</f>
        <v>0</v>
      </c>
      <c r="DI97" s="1117">
        <f>VLOOKUP($E97,DG$442:DJ$453,3,FALSE)*DG97*($K97)+IF($G97&gt;0,($I97/$G97)*DG97,0)*(1-$K97)</f>
        <v>0</v>
      </c>
      <c r="DJ97" s="1117">
        <f>VLOOKUP($E97,DG$442:DJ$453,4,FALSE)*DG97*($K97)+(DG97-DH97-DI97)*(1-$K97)</f>
        <v>14093.53</v>
      </c>
      <c r="DK97" s="1118"/>
      <c r="DO97" s="1116">
        <f>$G97</f>
        <v>14093.53</v>
      </c>
      <c r="DP97" s="1117">
        <f>VLOOKUP($E97,DO$442:DR$453,2,FALSE)*DO97*($K97)+IF($G97&gt;0,($H97/$G97)*DO97,0)*(1-$K97)</f>
        <v>0</v>
      </c>
      <c r="DQ97" s="1117">
        <f>VLOOKUP($E97,DO$442:DR$453,3,FALSE)*DO97*($K97)+IF($G97&gt;0,($I97/$G97)*DO97,0)*(1-$K97)</f>
        <v>0</v>
      </c>
      <c r="DR97" s="1117">
        <f>VLOOKUP($E97,DO$442:DR$453,4,FALSE)*DO97*($K97)+(DO97-DP97-DQ97)*(1-$K97)</f>
        <v>14093.53</v>
      </c>
      <c r="DS97" s="1118"/>
      <c r="DW97" s="1116">
        <f>$G97</f>
        <v>14093.53</v>
      </c>
      <c r="DX97" s="1117">
        <f>VLOOKUP($E97,DW$442:DZ$453,2,FALSE)*DW97*($K97)+IF($G97&gt;0,($H97/$G97)*DW97,0)*(1-$K97)</f>
        <v>0</v>
      </c>
      <c r="DY97" s="1117">
        <f>VLOOKUP($E97,DW$442:DZ$453,3,FALSE)*DW97*($K97)+IF($G97&gt;0,($I97/$G97)*DW97,0)*(1-$K97)</f>
        <v>0</v>
      </c>
      <c r="DZ97" s="1117">
        <f>VLOOKUP($E97,DW$442:DZ$453,4,FALSE)*DW97*($K97)+(DW97-DX97-DY97)*(1-$K97)</f>
        <v>14093.53</v>
      </c>
      <c r="EA97" s="1118"/>
      <c r="EE97" s="1116">
        <f>$G97</f>
        <v>14093.53</v>
      </c>
      <c r="EF97" s="1117">
        <f>VLOOKUP($E97,EE$442:EH$453,2,FALSE)*EE97*($K97)+IF($G97&gt;0,($H97/$G97)*EE97,0)*(1-$K97)</f>
        <v>0</v>
      </c>
      <c r="EG97" s="1117">
        <f>VLOOKUP($E97,EE$442:EH$453,3,FALSE)*EE97*($K97)+IF($G97&gt;0,($I97/$G97)*EE97,0)*(1-$K97)</f>
        <v>0</v>
      </c>
      <c r="EH97" s="1117">
        <f>VLOOKUP($E97,EE$442:EH$453,4,FALSE)*EE97*($K97)+(EE97-EF97-EG97)*(1-$K97)</f>
        <v>14093.53</v>
      </c>
      <c r="EI97" s="1118"/>
      <c r="EM97" s="1116">
        <f>$G97</f>
        <v>14093.53</v>
      </c>
      <c r="EN97" s="1117">
        <f>VLOOKUP($E97,EM$442:EP$453,2,FALSE)*EM97*($K97)+IF($G97&gt;0,($H97/$G97)*EM97,0)*(1-$K97)</f>
        <v>0</v>
      </c>
      <c r="EO97" s="1117">
        <f>VLOOKUP($E97,EM$442:EP$453,3,FALSE)*EM97*($K97)+IF($G97&gt;0,($I97/$G97)*EM97,0)*(1-$K97)</f>
        <v>0</v>
      </c>
      <c r="EP97" s="1117">
        <f>VLOOKUP($E97,EM$442:EP$453,4,FALSE)*EM97*($K97)+(EM97-EN97-EO97)*(1-$K97)</f>
        <v>14093.53</v>
      </c>
      <c r="EQ97" s="1118"/>
      <c r="EU97" s="1116">
        <f>$G97</f>
        <v>14093.53</v>
      </c>
      <c r="EV97" s="1117">
        <f>VLOOKUP($E97,EU$442:EX$453,2,FALSE)*EU97*($K97)+IF($G97&gt;0,($H97/$G97)*EU97,0)*(1-$K97)</f>
        <v>0</v>
      </c>
      <c r="EW97" s="1117">
        <f>VLOOKUP($E97,EU$442:EX$453,3,FALSE)*EU97*($K97)+IF($G97&gt;0,($I97/$G97)*EU97,0)*(1-$K97)</f>
        <v>0</v>
      </c>
      <c r="EX97" s="1117">
        <f>VLOOKUP($E97,EU$442:EX$453,4,FALSE)*EU97*($K97)+(EU97-EV97-EW97)*(1-$K97)</f>
        <v>14093.53</v>
      </c>
      <c r="EY97" s="1118"/>
      <c r="FC97" s="1116">
        <f>$G97</f>
        <v>14093.53</v>
      </c>
      <c r="FD97" s="1117">
        <f>VLOOKUP($E97,FC$442:FF$453,2,FALSE)*FC97*($K97)+IF($G97&gt;0,($H97/$G97)*FC97,0)*(1-$K97)</f>
        <v>0</v>
      </c>
      <c r="FE97" s="1117">
        <f>VLOOKUP($E97,FC$442:FF$453,3,FALSE)*FC97*($K97)+IF($G97&gt;0,($I97/$G97)*FC97,0)*(1-$K97)</f>
        <v>0</v>
      </c>
      <c r="FF97" s="1117">
        <f>VLOOKUP($E97,FC$442:FF$453,4,FALSE)*FC97*($K97)+(FC97-FD97-FE97)*(1-$K97)</f>
        <v>14093.53</v>
      </c>
      <c r="FG97" s="1118"/>
      <c r="FK97" s="1116">
        <f>$G97</f>
        <v>14093.53</v>
      </c>
      <c r="FL97" s="1117">
        <f>VLOOKUP($E97,FK$442:FN$453,2,FALSE)*FK97*($K97)+IF($G97&gt;0,($H97/$G97)*FK97,0)*(1-$K97)</f>
        <v>0</v>
      </c>
      <c r="FM97" s="1117">
        <f>VLOOKUP($E97,FK$442:FN$453,3,FALSE)*FK97*($K97)+IF($G97&gt;0,($I97/$G97)*FK97,0)*(1-$K97)</f>
        <v>0</v>
      </c>
      <c r="FN97" s="1117">
        <f>VLOOKUP($E97,FK$442:FN$453,4,FALSE)*FK97*($K97)+(FK97-FL97-FM97)*(1-$K97)</f>
        <v>14093.53</v>
      </c>
      <c r="FO97" s="1118"/>
    </row>
    <row r="98" spans="1:171">
      <c r="A98" s="912"/>
      <c r="B98" s="79" t="s">
        <v>6</v>
      </c>
      <c r="C98" s="888" t="s">
        <v>78</v>
      </c>
      <c r="D98" s="888">
        <v>175</v>
      </c>
      <c r="E98" s="182" t="str">
        <f>'Sch 1- Rate Base '!E98</f>
        <v>DIST</v>
      </c>
      <c r="F98" s="889"/>
      <c r="G98" s="182">
        <f>'Sch 1- Rate Base '!G98</f>
        <v>0</v>
      </c>
      <c r="H98" s="182">
        <f>'Sch 1- Rate Base '!H98</f>
        <v>0</v>
      </c>
      <c r="I98" s="182">
        <f>'Sch 1- Rate Base '!I98</f>
        <v>0</v>
      </c>
      <c r="J98" s="183">
        <f>'Sch 1- Rate Base '!J98</f>
        <v>0</v>
      </c>
      <c r="K98" s="903">
        <f>IF($E98="DIRECT",0,1)</f>
        <v>1</v>
      </c>
      <c r="O98" s="1116">
        <f>$G98</f>
        <v>0</v>
      </c>
      <c r="P98" s="1117">
        <f>VLOOKUP($E98,O$442:R$453,2,FALSE)*O98*($K98)+IF($G98&gt;0,($H98/$G98)*O98,0)*(1-$K98)</f>
        <v>0</v>
      </c>
      <c r="Q98" s="1117">
        <f>VLOOKUP($E98,O$442:R$453,3,FALSE)*O98*($K98)+IF($G98&gt;0,($I98/$G98)*O98,0)*(1-$K98)</f>
        <v>0</v>
      </c>
      <c r="R98" s="1117">
        <f>VLOOKUP($E98,O$442:R$453,4,FALSE)*O98*($K98)+(O98-P98-Q98)*(1-$K98)</f>
        <v>0</v>
      </c>
      <c r="S98" s="1118"/>
      <c r="W98" s="1116">
        <f>$G98</f>
        <v>0</v>
      </c>
      <c r="X98" s="1117">
        <f>VLOOKUP($E98,W$442:Z$453,2,FALSE)*W98*($K98)+IF($G98&gt;0,($H98/$G98)*W98,0)*(1-$K98)</f>
        <v>0</v>
      </c>
      <c r="Y98" s="1117">
        <f>VLOOKUP($E98,W$442:Z$453,3,FALSE)*W98*($K98)+IF($G98&gt;0,($I98/$G98)*W98,0)*(1-$K98)</f>
        <v>0</v>
      </c>
      <c r="Z98" s="1117">
        <f>VLOOKUP($E98,W$442:Z$453,4,FALSE)*W98*($K98)+(W98-X98-Y98)*(1-$K98)</f>
        <v>0</v>
      </c>
      <c r="AA98" s="1118"/>
      <c r="AE98" s="1116">
        <f>$G98</f>
        <v>0</v>
      </c>
      <c r="AF98" s="1117">
        <f>VLOOKUP($E98,AE$442:AH$453,2,FALSE)*AE98*($K98)+IF($G98&gt;0,($H98/$G98)*AE98,0)*(1-$K98)</f>
        <v>0</v>
      </c>
      <c r="AG98" s="1117">
        <f>VLOOKUP($E98,AE$442:AH$453,3,FALSE)*AE98*($K98)+IF($G98&gt;0,($I98/$G98)*AE98,0)*(1-$K98)</f>
        <v>0</v>
      </c>
      <c r="AH98" s="1117">
        <f>VLOOKUP($E98,AE$442:AH$453,4,FALSE)*AE98*($K98)+(AE98-AF98-AG98)*(1-$K98)</f>
        <v>0</v>
      </c>
      <c r="AI98" s="1118"/>
      <c r="AM98" s="1116">
        <f>$G98</f>
        <v>0</v>
      </c>
      <c r="AN98" s="1117">
        <f>VLOOKUP($E98,AM$442:AP$453,2,FALSE)*AM98*($K98)+IF($G98&gt;0,($H98/$G98)*AM98,0)*(1-$K98)</f>
        <v>0</v>
      </c>
      <c r="AO98" s="1117">
        <f>VLOOKUP($E98,AM$442:AP$453,3,FALSE)*AM98*($K98)+IF($G98&gt;0,($I98/$G98)*AM98,0)*(1-$K98)</f>
        <v>0</v>
      </c>
      <c r="AP98" s="1117">
        <f>VLOOKUP($E98,AM$442:AP$453,4,FALSE)*AM98*($K98)+(AM98-AN98-AO98)*(1-$K98)</f>
        <v>0</v>
      </c>
      <c r="AQ98" s="1118"/>
      <c r="AU98" s="1116">
        <f>$G98</f>
        <v>0</v>
      </c>
      <c r="AV98" s="1117">
        <f>VLOOKUP($E98,AU$442:AX$453,2,FALSE)*AU98*($K98)+IF($G98&gt;0,($H98/$G98)*AU98,0)*(1-$K98)</f>
        <v>0</v>
      </c>
      <c r="AW98" s="1117">
        <f>VLOOKUP($E98,AU$442:AX$453,3,FALSE)*AU98*($K98)+IF($G98&gt;0,($I98/$G98)*AU98,0)*(1-$K98)</f>
        <v>0</v>
      </c>
      <c r="AX98" s="1117">
        <f>VLOOKUP($E98,AU$442:AX$453,4,FALSE)*AU98*($K98)+(AU98-AV98-AW98)*(1-$K98)</f>
        <v>0</v>
      </c>
      <c r="AY98" s="1118"/>
      <c r="BC98" s="1116">
        <f>$G98</f>
        <v>0</v>
      </c>
      <c r="BD98" s="1117">
        <f>VLOOKUP($E98,BC$442:BF$453,2,FALSE)*BC98*($K98)+IF($G98&gt;0,($H98/$G98)*BC98,0)*(1-$K98)</f>
        <v>0</v>
      </c>
      <c r="BE98" s="1117">
        <f>VLOOKUP($E98,BC$442:BF$453,3,FALSE)*BC98*($K98)+IF($G98&gt;0,($I98/$G98)*BC98,0)*(1-$K98)</f>
        <v>0</v>
      </c>
      <c r="BF98" s="1117">
        <f>VLOOKUP($E98,BC$442:BF$453,4,FALSE)*BC98*($K98)+(BC98-BD98-BE98)*(1-$K98)</f>
        <v>0</v>
      </c>
      <c r="BG98" s="1118"/>
      <c r="BK98" s="1116">
        <f>$G98</f>
        <v>0</v>
      </c>
      <c r="BL98" s="1117">
        <f>VLOOKUP($E98,BK$442:BN$453,2,FALSE)*BK98*($K98)+IF($G98&gt;0,($H98/$G98)*BK98,0)*(1-$K98)</f>
        <v>0</v>
      </c>
      <c r="BM98" s="1117">
        <f>VLOOKUP($E98,BK$442:BN$453,3,FALSE)*BK98*($K98)+IF($G98&gt;0,($I98/$G98)*BK98,0)*(1-$K98)</f>
        <v>0</v>
      </c>
      <c r="BN98" s="1117">
        <f>VLOOKUP($E98,BK$442:BN$453,4,FALSE)*BK98*($K98)+(BK98-BL98-BM98)*(1-$K98)</f>
        <v>0</v>
      </c>
      <c r="BO98" s="1118"/>
      <c r="BS98" s="1116">
        <f>$G98</f>
        <v>0</v>
      </c>
      <c r="BT98" s="1117">
        <f>VLOOKUP($E98,BS$442:BV$453,2,FALSE)*BS98*($K98)+IF($G98&gt;0,($H98/$G98)*BS98,0)*(1-$K98)</f>
        <v>0</v>
      </c>
      <c r="BU98" s="1117">
        <f>VLOOKUP($E98,BS$442:BV$453,3,FALSE)*BS98*($K98)+IF($G98&gt;0,($I98/$G98)*BS98,0)*(1-$K98)</f>
        <v>0</v>
      </c>
      <c r="BV98" s="1117">
        <f>VLOOKUP($E98,BS$442:BV$453,4,FALSE)*BS98*($K98)+(BS98-BT98-BU98)*(1-$K98)</f>
        <v>0</v>
      </c>
      <c r="BW98" s="1118"/>
      <c r="CA98" s="1116">
        <f>$G98</f>
        <v>0</v>
      </c>
      <c r="CB98" s="1117">
        <f>VLOOKUP($E98,CA$442:CD$453,2,FALSE)*CA98*($K98)+IF($G98&gt;0,($H98/$G98)*CA98,0)*(1-$K98)</f>
        <v>0</v>
      </c>
      <c r="CC98" s="1117">
        <f>VLOOKUP($E98,CA$442:CD$453,3,FALSE)*CA98*($K98)+IF($G98&gt;0,($I98/$G98)*CA98,0)*(1-$K98)</f>
        <v>0</v>
      </c>
      <c r="CD98" s="1117">
        <f>VLOOKUP($E98,CA$442:CD$453,4,FALSE)*CA98*($K98)+(CA98-CB98-CC98)*(1-$K98)</f>
        <v>0</v>
      </c>
      <c r="CE98" s="1118"/>
      <c r="CI98" s="1116">
        <f>$G98</f>
        <v>0</v>
      </c>
      <c r="CJ98" s="1117">
        <f>VLOOKUP($E98,CI$442:CL$453,2,FALSE)*CI98*($K98)+IF($G98&gt;0,($H98/$G98)*CI98,0)*(1-$K98)</f>
        <v>0</v>
      </c>
      <c r="CK98" s="1117">
        <f>VLOOKUP($E98,CI$442:CL$453,3,FALSE)*CI98*($K98)+IF($G98&gt;0,($I98/$G98)*CI98,0)*(1-$K98)</f>
        <v>0</v>
      </c>
      <c r="CL98" s="1117">
        <f>VLOOKUP($E98,CI$442:CL$453,4,FALSE)*CI98*($K98)+(CI98-CJ98-CK98)*(1-$K98)</f>
        <v>0</v>
      </c>
      <c r="CM98" s="1118"/>
      <c r="CQ98" s="1116">
        <f>$G98</f>
        <v>0</v>
      </c>
      <c r="CR98" s="1117">
        <f>VLOOKUP($E98,CQ$442:CT$453,2,FALSE)*CQ98*($K98)+IF($G98&gt;0,($H98/$G98)*CQ98,0)*(1-$K98)</f>
        <v>0</v>
      </c>
      <c r="CS98" s="1117">
        <f>VLOOKUP($E98,CQ$442:CT$453,3,FALSE)*CQ98*($K98)+IF($G98&gt;0,($I98/$G98)*CQ98,0)*(1-$K98)</f>
        <v>0</v>
      </c>
      <c r="CT98" s="1117">
        <f>VLOOKUP($E98,CQ$442:CT$453,4,FALSE)*CQ98*($K98)+(CQ98-CR98-CS98)*(1-$K98)</f>
        <v>0</v>
      </c>
      <c r="CU98" s="1118"/>
      <c r="CY98" s="1116">
        <f>$G98</f>
        <v>0</v>
      </c>
      <c r="CZ98" s="1117">
        <f>VLOOKUP($E98,CY$442:DB$453,2,FALSE)*CY98*($K98)+IF($G98&gt;0,($H98/$G98)*CY98,0)*(1-$K98)</f>
        <v>0</v>
      </c>
      <c r="DA98" s="1117">
        <f>VLOOKUP($E98,CY$442:DB$453,3,FALSE)*CY98*($K98)+IF($G98&gt;0,($I98/$G98)*CY98,0)*(1-$K98)</f>
        <v>0</v>
      </c>
      <c r="DB98" s="1117">
        <f>VLOOKUP($E98,CY$442:DB$453,4,FALSE)*CY98*($K98)+(CY98-CZ98-DA98)*(1-$K98)</f>
        <v>0</v>
      </c>
      <c r="DC98" s="1118"/>
      <c r="DG98" s="1116">
        <f>$G98</f>
        <v>0</v>
      </c>
      <c r="DH98" s="1117">
        <f>VLOOKUP($E98,DG$442:DJ$453,2,FALSE)*DG98*($K98)+IF($G98&gt;0,($H98/$G98)*DG98,0)*(1-$K98)</f>
        <v>0</v>
      </c>
      <c r="DI98" s="1117">
        <f>VLOOKUP($E98,DG$442:DJ$453,3,FALSE)*DG98*($K98)+IF($G98&gt;0,($I98/$G98)*DG98,0)*(1-$K98)</f>
        <v>0</v>
      </c>
      <c r="DJ98" s="1117">
        <f>VLOOKUP($E98,DG$442:DJ$453,4,FALSE)*DG98*($K98)+(DG98-DH98-DI98)*(1-$K98)</f>
        <v>0</v>
      </c>
      <c r="DK98" s="1118"/>
      <c r="DO98" s="1116">
        <f>$G98</f>
        <v>0</v>
      </c>
      <c r="DP98" s="1117">
        <f>VLOOKUP($E98,DO$442:DR$453,2,FALSE)*DO98*($K98)+IF($G98&gt;0,($H98/$G98)*DO98,0)*(1-$K98)</f>
        <v>0</v>
      </c>
      <c r="DQ98" s="1117">
        <f>VLOOKUP($E98,DO$442:DR$453,3,FALSE)*DO98*($K98)+IF($G98&gt;0,($I98/$G98)*DO98,0)*(1-$K98)</f>
        <v>0</v>
      </c>
      <c r="DR98" s="1117">
        <f>VLOOKUP($E98,DO$442:DR$453,4,FALSE)*DO98*($K98)+(DO98-DP98-DQ98)*(1-$K98)</f>
        <v>0</v>
      </c>
      <c r="DS98" s="1118"/>
      <c r="DW98" s="1116">
        <f>$G98</f>
        <v>0</v>
      </c>
      <c r="DX98" s="1117">
        <f>VLOOKUP($E98,DW$442:DZ$453,2,FALSE)*DW98*($K98)+IF($G98&gt;0,($H98/$G98)*DW98,0)*(1-$K98)</f>
        <v>0</v>
      </c>
      <c r="DY98" s="1117">
        <f>VLOOKUP($E98,DW$442:DZ$453,3,FALSE)*DW98*($K98)+IF($G98&gt;0,($I98/$G98)*DW98,0)*(1-$K98)</f>
        <v>0</v>
      </c>
      <c r="DZ98" s="1117">
        <f>VLOOKUP($E98,DW$442:DZ$453,4,FALSE)*DW98*($K98)+(DW98-DX98-DY98)*(1-$K98)</f>
        <v>0</v>
      </c>
      <c r="EA98" s="1118"/>
      <c r="EE98" s="1116">
        <f>$G98</f>
        <v>0</v>
      </c>
      <c r="EF98" s="1117">
        <f>VLOOKUP($E98,EE$442:EH$453,2,FALSE)*EE98*($K98)+IF($G98&gt;0,($H98/$G98)*EE98,0)*(1-$K98)</f>
        <v>0</v>
      </c>
      <c r="EG98" s="1117">
        <f>VLOOKUP($E98,EE$442:EH$453,3,FALSE)*EE98*($K98)+IF($G98&gt;0,($I98/$G98)*EE98,0)*(1-$K98)</f>
        <v>0</v>
      </c>
      <c r="EH98" s="1117">
        <f>VLOOKUP($E98,EE$442:EH$453,4,FALSE)*EE98*($K98)+(EE98-EF98-EG98)*(1-$K98)</f>
        <v>0</v>
      </c>
      <c r="EI98" s="1118"/>
      <c r="EM98" s="1116">
        <f>$G98</f>
        <v>0</v>
      </c>
      <c r="EN98" s="1117">
        <f>VLOOKUP($E98,EM$442:EP$453,2,FALSE)*EM98*($K98)+IF($G98&gt;0,($H98/$G98)*EM98,0)*(1-$K98)</f>
        <v>0</v>
      </c>
      <c r="EO98" s="1117">
        <f>VLOOKUP($E98,EM$442:EP$453,3,FALSE)*EM98*($K98)+IF($G98&gt;0,($I98/$G98)*EM98,0)*(1-$K98)</f>
        <v>0</v>
      </c>
      <c r="EP98" s="1117">
        <f>VLOOKUP($E98,EM$442:EP$453,4,FALSE)*EM98*($K98)+(EM98-EN98-EO98)*(1-$K98)</f>
        <v>0</v>
      </c>
      <c r="EQ98" s="1118"/>
      <c r="EU98" s="1116">
        <f>$G98</f>
        <v>0</v>
      </c>
      <c r="EV98" s="1117">
        <f>VLOOKUP($E98,EU$442:EX$453,2,FALSE)*EU98*($K98)+IF($G98&gt;0,($H98/$G98)*EU98,0)*(1-$K98)</f>
        <v>0</v>
      </c>
      <c r="EW98" s="1117">
        <f>VLOOKUP($E98,EU$442:EX$453,3,FALSE)*EU98*($K98)+IF($G98&gt;0,($I98/$G98)*EU98,0)*(1-$K98)</f>
        <v>0</v>
      </c>
      <c r="EX98" s="1117">
        <f>VLOOKUP($E98,EU$442:EX$453,4,FALSE)*EU98*($K98)+(EU98-EV98-EW98)*(1-$K98)</f>
        <v>0</v>
      </c>
      <c r="EY98" s="1118"/>
      <c r="FC98" s="1116">
        <f>$G98</f>
        <v>0</v>
      </c>
      <c r="FD98" s="1117">
        <f>VLOOKUP($E98,FC$442:FF$453,2,FALSE)*FC98*($K98)+IF($G98&gt;0,($H98/$G98)*FC98,0)*(1-$K98)</f>
        <v>0</v>
      </c>
      <c r="FE98" s="1117">
        <f>VLOOKUP($E98,FC$442:FF$453,3,FALSE)*FC98*($K98)+IF($G98&gt;0,($I98/$G98)*FC98,0)*(1-$K98)</f>
        <v>0</v>
      </c>
      <c r="FF98" s="1117">
        <f>VLOOKUP($E98,FC$442:FF$453,4,FALSE)*FC98*($K98)+(FC98-FD98-FE98)*(1-$K98)</f>
        <v>0</v>
      </c>
      <c r="FG98" s="1118"/>
      <c r="FK98" s="1116">
        <f>$G98</f>
        <v>0</v>
      </c>
      <c r="FL98" s="1117">
        <f>VLOOKUP($E98,FK$442:FN$453,2,FALSE)*FK98*($K98)+IF($G98&gt;0,($H98/$G98)*FK98,0)*(1-$K98)</f>
        <v>0</v>
      </c>
      <c r="FM98" s="1117">
        <f>VLOOKUP($E98,FK$442:FN$453,3,FALSE)*FK98*($K98)+IF($G98&gt;0,($I98/$G98)*FK98,0)*(1-$K98)</f>
        <v>0</v>
      </c>
      <c r="FN98" s="1117">
        <f>VLOOKUP($E98,FK$442:FN$453,4,FALSE)*FK98*($K98)+(FK98-FL98-FM98)*(1-$K98)</f>
        <v>0</v>
      </c>
      <c r="FO98" s="1118"/>
    </row>
    <row r="99" spans="1:171">
      <c r="A99" s="912"/>
      <c r="B99" s="79" t="s">
        <v>375</v>
      </c>
      <c r="C99" s="888" t="s">
        <v>78</v>
      </c>
      <c r="D99" s="888">
        <v>176</v>
      </c>
      <c r="E99" s="182" t="str">
        <f>'Sch 1- Rate Base '!E99</f>
        <v>DIST</v>
      </c>
      <c r="F99" s="889"/>
      <c r="G99" s="182">
        <f>'Sch 1- Rate Base '!G99</f>
        <v>0</v>
      </c>
      <c r="H99" s="182">
        <f>'Sch 1- Rate Base '!H99</f>
        <v>0</v>
      </c>
      <c r="I99" s="182">
        <f>'Sch 1- Rate Base '!I99</f>
        <v>0</v>
      </c>
      <c r="J99" s="183">
        <f>'Sch 1- Rate Base '!J99</f>
        <v>0</v>
      </c>
      <c r="K99" s="903">
        <f>IF($E99="DIRECT",0,1)</f>
        <v>1</v>
      </c>
      <c r="O99" s="1116">
        <f>$G99</f>
        <v>0</v>
      </c>
      <c r="P99" s="1117">
        <f>VLOOKUP($E99,O$442:R$453,2,FALSE)*O99*($K99)+IF($G99&gt;0,($H99/$G99)*O99,0)*(1-$K99)</f>
        <v>0</v>
      </c>
      <c r="Q99" s="1117">
        <f>VLOOKUP($E99,O$442:R$453,3,FALSE)*O99*($K99)+IF($G99&gt;0,($I99/$G99)*O99,0)*(1-$K99)</f>
        <v>0</v>
      </c>
      <c r="R99" s="1117">
        <f>VLOOKUP($E99,O$442:R$453,4,FALSE)*O99*($K99)+(O99-P99-Q99)*(1-$K99)</f>
        <v>0</v>
      </c>
      <c r="S99" s="1118"/>
      <c r="W99" s="1116">
        <f>$G99</f>
        <v>0</v>
      </c>
      <c r="X99" s="1117">
        <f>VLOOKUP($E99,W$442:Z$453,2,FALSE)*W99*($K99)+IF($G99&gt;0,($H99/$G99)*W99,0)*(1-$K99)</f>
        <v>0</v>
      </c>
      <c r="Y99" s="1117">
        <f>VLOOKUP($E99,W$442:Z$453,3,FALSE)*W99*($K99)+IF($G99&gt;0,($I99/$G99)*W99,0)*(1-$K99)</f>
        <v>0</v>
      </c>
      <c r="Z99" s="1117">
        <f>VLOOKUP($E99,W$442:Z$453,4,FALSE)*W99*($K99)+(W99-X99-Y99)*(1-$K99)</f>
        <v>0</v>
      </c>
      <c r="AA99" s="1118"/>
      <c r="AE99" s="1116">
        <f>$G99</f>
        <v>0</v>
      </c>
      <c r="AF99" s="1117">
        <f>VLOOKUP($E99,AE$442:AH$453,2,FALSE)*AE99*($K99)+IF($G99&gt;0,($H99/$G99)*AE99,0)*(1-$K99)</f>
        <v>0</v>
      </c>
      <c r="AG99" s="1117">
        <f>VLOOKUP($E99,AE$442:AH$453,3,FALSE)*AE99*($K99)+IF($G99&gt;0,($I99/$G99)*AE99,0)*(1-$K99)</f>
        <v>0</v>
      </c>
      <c r="AH99" s="1117">
        <f>VLOOKUP($E99,AE$442:AH$453,4,FALSE)*AE99*($K99)+(AE99-AF99-AG99)*(1-$K99)</f>
        <v>0</v>
      </c>
      <c r="AI99" s="1118"/>
      <c r="AM99" s="1116">
        <f>$G99</f>
        <v>0</v>
      </c>
      <c r="AN99" s="1117">
        <f>VLOOKUP($E99,AM$442:AP$453,2,FALSE)*AM99*($K99)+IF($G99&gt;0,($H99/$G99)*AM99,0)*(1-$K99)</f>
        <v>0</v>
      </c>
      <c r="AO99" s="1117">
        <f>VLOOKUP($E99,AM$442:AP$453,3,FALSE)*AM99*($K99)+IF($G99&gt;0,($I99/$G99)*AM99,0)*(1-$K99)</f>
        <v>0</v>
      </c>
      <c r="AP99" s="1117">
        <f>VLOOKUP($E99,AM$442:AP$453,4,FALSE)*AM99*($K99)+(AM99-AN99-AO99)*(1-$K99)</f>
        <v>0</v>
      </c>
      <c r="AQ99" s="1118"/>
      <c r="AU99" s="1116">
        <f>$G99</f>
        <v>0</v>
      </c>
      <c r="AV99" s="1117">
        <f>VLOOKUP($E99,AU$442:AX$453,2,FALSE)*AU99*($K99)+IF($G99&gt;0,($H99/$G99)*AU99,0)*(1-$K99)</f>
        <v>0</v>
      </c>
      <c r="AW99" s="1117">
        <f>VLOOKUP($E99,AU$442:AX$453,3,FALSE)*AU99*($K99)+IF($G99&gt;0,($I99/$G99)*AU99,0)*(1-$K99)</f>
        <v>0</v>
      </c>
      <c r="AX99" s="1117">
        <f>VLOOKUP($E99,AU$442:AX$453,4,FALSE)*AU99*($K99)+(AU99-AV99-AW99)*(1-$K99)</f>
        <v>0</v>
      </c>
      <c r="AY99" s="1118"/>
      <c r="BC99" s="1116">
        <f>$G99</f>
        <v>0</v>
      </c>
      <c r="BD99" s="1117">
        <f>VLOOKUP($E99,BC$442:BF$453,2,FALSE)*BC99*($K99)+IF($G99&gt;0,($H99/$G99)*BC99,0)*(1-$K99)</f>
        <v>0</v>
      </c>
      <c r="BE99" s="1117">
        <f>VLOOKUP($E99,BC$442:BF$453,3,FALSE)*BC99*($K99)+IF($G99&gt;0,($I99/$G99)*BC99,0)*(1-$K99)</f>
        <v>0</v>
      </c>
      <c r="BF99" s="1117">
        <f>VLOOKUP($E99,BC$442:BF$453,4,FALSE)*BC99*($K99)+(BC99-BD99-BE99)*(1-$K99)</f>
        <v>0</v>
      </c>
      <c r="BG99" s="1118"/>
      <c r="BK99" s="1116">
        <f>$G99</f>
        <v>0</v>
      </c>
      <c r="BL99" s="1117">
        <f>VLOOKUP($E99,BK$442:BN$453,2,FALSE)*BK99*($K99)+IF($G99&gt;0,($H99/$G99)*BK99,0)*(1-$K99)</f>
        <v>0</v>
      </c>
      <c r="BM99" s="1117">
        <f>VLOOKUP($E99,BK$442:BN$453,3,FALSE)*BK99*($K99)+IF($G99&gt;0,($I99/$G99)*BK99,0)*(1-$K99)</f>
        <v>0</v>
      </c>
      <c r="BN99" s="1117">
        <f>VLOOKUP($E99,BK$442:BN$453,4,FALSE)*BK99*($K99)+(BK99-BL99-BM99)*(1-$K99)</f>
        <v>0</v>
      </c>
      <c r="BO99" s="1118"/>
      <c r="BS99" s="1116">
        <f>$G99</f>
        <v>0</v>
      </c>
      <c r="BT99" s="1117">
        <f>VLOOKUP($E99,BS$442:BV$453,2,FALSE)*BS99*($K99)+IF($G99&gt;0,($H99/$G99)*BS99,0)*(1-$K99)</f>
        <v>0</v>
      </c>
      <c r="BU99" s="1117">
        <f>VLOOKUP($E99,BS$442:BV$453,3,FALSE)*BS99*($K99)+IF($G99&gt;0,($I99/$G99)*BS99,0)*(1-$K99)</f>
        <v>0</v>
      </c>
      <c r="BV99" s="1117">
        <f>VLOOKUP($E99,BS$442:BV$453,4,FALSE)*BS99*($K99)+(BS99-BT99-BU99)*(1-$K99)</f>
        <v>0</v>
      </c>
      <c r="BW99" s="1118"/>
      <c r="CA99" s="1116">
        <f>$G99</f>
        <v>0</v>
      </c>
      <c r="CB99" s="1117">
        <f>VLOOKUP($E99,CA$442:CD$453,2,FALSE)*CA99*($K99)+IF($G99&gt;0,($H99/$G99)*CA99,0)*(1-$K99)</f>
        <v>0</v>
      </c>
      <c r="CC99" s="1117">
        <f>VLOOKUP($E99,CA$442:CD$453,3,FALSE)*CA99*($K99)+IF($G99&gt;0,($I99/$G99)*CA99,0)*(1-$K99)</f>
        <v>0</v>
      </c>
      <c r="CD99" s="1117">
        <f>VLOOKUP($E99,CA$442:CD$453,4,FALSE)*CA99*($K99)+(CA99-CB99-CC99)*(1-$K99)</f>
        <v>0</v>
      </c>
      <c r="CE99" s="1118"/>
      <c r="CI99" s="1116">
        <f>$G99</f>
        <v>0</v>
      </c>
      <c r="CJ99" s="1117">
        <f>VLOOKUP($E99,CI$442:CL$453,2,FALSE)*CI99*($K99)+IF($G99&gt;0,($H99/$G99)*CI99,0)*(1-$K99)</f>
        <v>0</v>
      </c>
      <c r="CK99" s="1117">
        <f>VLOOKUP($E99,CI$442:CL$453,3,FALSE)*CI99*($K99)+IF($G99&gt;0,($I99/$G99)*CI99,0)*(1-$K99)</f>
        <v>0</v>
      </c>
      <c r="CL99" s="1117">
        <f>VLOOKUP($E99,CI$442:CL$453,4,FALSE)*CI99*($K99)+(CI99-CJ99-CK99)*(1-$K99)</f>
        <v>0</v>
      </c>
      <c r="CM99" s="1118"/>
      <c r="CQ99" s="1116">
        <f>$G99</f>
        <v>0</v>
      </c>
      <c r="CR99" s="1117">
        <f>VLOOKUP($E99,CQ$442:CT$453,2,FALSE)*CQ99*($K99)+IF($G99&gt;0,($H99/$G99)*CQ99,0)*(1-$K99)</f>
        <v>0</v>
      </c>
      <c r="CS99" s="1117">
        <f>VLOOKUP($E99,CQ$442:CT$453,3,FALSE)*CQ99*($K99)+IF($G99&gt;0,($I99/$G99)*CQ99,0)*(1-$K99)</f>
        <v>0</v>
      </c>
      <c r="CT99" s="1117">
        <f>VLOOKUP($E99,CQ$442:CT$453,4,FALSE)*CQ99*($K99)+(CQ99-CR99-CS99)*(1-$K99)</f>
        <v>0</v>
      </c>
      <c r="CU99" s="1118"/>
      <c r="CY99" s="1116">
        <f>$G99</f>
        <v>0</v>
      </c>
      <c r="CZ99" s="1117">
        <f>VLOOKUP($E99,CY$442:DB$453,2,FALSE)*CY99*($K99)+IF($G99&gt;0,($H99/$G99)*CY99,0)*(1-$K99)</f>
        <v>0</v>
      </c>
      <c r="DA99" s="1117">
        <f>VLOOKUP($E99,CY$442:DB$453,3,FALSE)*CY99*($K99)+IF($G99&gt;0,($I99/$G99)*CY99,0)*(1-$K99)</f>
        <v>0</v>
      </c>
      <c r="DB99" s="1117">
        <f>VLOOKUP($E99,CY$442:DB$453,4,FALSE)*CY99*($K99)+(CY99-CZ99-DA99)*(1-$K99)</f>
        <v>0</v>
      </c>
      <c r="DC99" s="1118"/>
      <c r="DG99" s="1116">
        <f>$G99</f>
        <v>0</v>
      </c>
      <c r="DH99" s="1117">
        <f>VLOOKUP($E99,DG$442:DJ$453,2,FALSE)*DG99*($K99)+IF($G99&gt;0,($H99/$G99)*DG99,0)*(1-$K99)</f>
        <v>0</v>
      </c>
      <c r="DI99" s="1117">
        <f>VLOOKUP($E99,DG$442:DJ$453,3,FALSE)*DG99*($K99)+IF($G99&gt;0,($I99/$G99)*DG99,0)*(1-$K99)</f>
        <v>0</v>
      </c>
      <c r="DJ99" s="1117">
        <f>VLOOKUP($E99,DG$442:DJ$453,4,FALSE)*DG99*($K99)+(DG99-DH99-DI99)*(1-$K99)</f>
        <v>0</v>
      </c>
      <c r="DK99" s="1118"/>
      <c r="DO99" s="1116">
        <f>$G99</f>
        <v>0</v>
      </c>
      <c r="DP99" s="1117">
        <f>VLOOKUP($E99,DO$442:DR$453,2,FALSE)*DO99*($K99)+IF($G99&gt;0,($H99/$G99)*DO99,0)*(1-$K99)</f>
        <v>0</v>
      </c>
      <c r="DQ99" s="1117">
        <f>VLOOKUP($E99,DO$442:DR$453,3,FALSE)*DO99*($K99)+IF($G99&gt;0,($I99/$G99)*DO99,0)*(1-$K99)</f>
        <v>0</v>
      </c>
      <c r="DR99" s="1117">
        <f>VLOOKUP($E99,DO$442:DR$453,4,FALSE)*DO99*($K99)+(DO99-DP99-DQ99)*(1-$K99)</f>
        <v>0</v>
      </c>
      <c r="DS99" s="1118"/>
      <c r="DW99" s="1116">
        <f>$G99</f>
        <v>0</v>
      </c>
      <c r="DX99" s="1117">
        <f>VLOOKUP($E99,DW$442:DZ$453,2,FALSE)*DW99*($K99)+IF($G99&gt;0,($H99/$G99)*DW99,0)*(1-$K99)</f>
        <v>0</v>
      </c>
      <c r="DY99" s="1117">
        <f>VLOOKUP($E99,DW$442:DZ$453,3,FALSE)*DW99*($K99)+IF($G99&gt;0,($I99/$G99)*DW99,0)*(1-$K99)</f>
        <v>0</v>
      </c>
      <c r="DZ99" s="1117">
        <f>VLOOKUP($E99,DW$442:DZ$453,4,FALSE)*DW99*($K99)+(DW99-DX99-DY99)*(1-$K99)</f>
        <v>0</v>
      </c>
      <c r="EA99" s="1118"/>
      <c r="EE99" s="1116">
        <f>$G99</f>
        <v>0</v>
      </c>
      <c r="EF99" s="1117">
        <f>VLOOKUP($E99,EE$442:EH$453,2,FALSE)*EE99*($K99)+IF($G99&gt;0,($H99/$G99)*EE99,0)*(1-$K99)</f>
        <v>0</v>
      </c>
      <c r="EG99" s="1117">
        <f>VLOOKUP($E99,EE$442:EH$453,3,FALSE)*EE99*($K99)+IF($G99&gt;0,($I99/$G99)*EE99,0)*(1-$K99)</f>
        <v>0</v>
      </c>
      <c r="EH99" s="1117">
        <f>VLOOKUP($E99,EE$442:EH$453,4,FALSE)*EE99*($K99)+(EE99-EF99-EG99)*(1-$K99)</f>
        <v>0</v>
      </c>
      <c r="EI99" s="1118"/>
      <c r="EM99" s="1116">
        <f>$G99</f>
        <v>0</v>
      </c>
      <c r="EN99" s="1117">
        <f>VLOOKUP($E99,EM$442:EP$453,2,FALSE)*EM99*($K99)+IF($G99&gt;0,($H99/$G99)*EM99,0)*(1-$K99)</f>
        <v>0</v>
      </c>
      <c r="EO99" s="1117">
        <f>VLOOKUP($E99,EM$442:EP$453,3,FALSE)*EM99*($K99)+IF($G99&gt;0,($I99/$G99)*EM99,0)*(1-$K99)</f>
        <v>0</v>
      </c>
      <c r="EP99" s="1117">
        <f>VLOOKUP($E99,EM$442:EP$453,4,FALSE)*EM99*($K99)+(EM99-EN99-EO99)*(1-$K99)</f>
        <v>0</v>
      </c>
      <c r="EQ99" s="1118"/>
      <c r="EU99" s="1116">
        <f>$G99</f>
        <v>0</v>
      </c>
      <c r="EV99" s="1117">
        <f>VLOOKUP($E99,EU$442:EX$453,2,FALSE)*EU99*($K99)+IF($G99&gt;0,($H99/$G99)*EU99,0)*(1-$K99)</f>
        <v>0</v>
      </c>
      <c r="EW99" s="1117">
        <f>VLOOKUP($E99,EU$442:EX$453,3,FALSE)*EU99*($K99)+IF($G99&gt;0,($I99/$G99)*EU99,0)*(1-$K99)</f>
        <v>0</v>
      </c>
      <c r="EX99" s="1117">
        <f>VLOOKUP($E99,EU$442:EX$453,4,FALSE)*EU99*($K99)+(EU99-EV99-EW99)*(1-$K99)</f>
        <v>0</v>
      </c>
      <c r="EY99" s="1118"/>
      <c r="FC99" s="1116">
        <f>$G99</f>
        <v>0</v>
      </c>
      <c r="FD99" s="1117">
        <f>VLOOKUP($E99,FC$442:FF$453,2,FALSE)*FC99*($K99)+IF($G99&gt;0,($H99/$G99)*FC99,0)*(1-$K99)</f>
        <v>0</v>
      </c>
      <c r="FE99" s="1117">
        <f>VLOOKUP($E99,FC$442:FF$453,3,FALSE)*FC99*($K99)+IF($G99&gt;0,($I99/$G99)*FC99,0)*(1-$K99)</f>
        <v>0</v>
      </c>
      <c r="FF99" s="1117">
        <f>VLOOKUP($E99,FC$442:FF$453,4,FALSE)*FC99*($K99)+(FC99-FD99-FE99)*(1-$K99)</f>
        <v>0</v>
      </c>
      <c r="FG99" s="1118"/>
      <c r="FK99" s="1116">
        <f>$G99</f>
        <v>0</v>
      </c>
      <c r="FL99" s="1117">
        <f>VLOOKUP($E99,FK$442:FN$453,2,FALSE)*FK99*($K99)+IF($G99&gt;0,($H99/$G99)*FK99,0)*(1-$K99)</f>
        <v>0</v>
      </c>
      <c r="FM99" s="1117">
        <f>VLOOKUP($E99,FK$442:FN$453,3,FALSE)*FK99*($K99)+IF($G99&gt;0,($I99/$G99)*FK99,0)*(1-$K99)</f>
        <v>0</v>
      </c>
      <c r="FN99" s="1117">
        <f>VLOOKUP($E99,FK$442:FN$453,4,FALSE)*FK99*($K99)+(FK99-FL99-FM99)*(1-$K99)</f>
        <v>0</v>
      </c>
      <c r="FO99" s="1118"/>
    </row>
    <row r="100" spans="1:171">
      <c r="A100" s="912"/>
      <c r="B100" s="847" t="s">
        <v>104</v>
      </c>
      <c r="C100" s="914"/>
      <c r="D100" s="915"/>
      <c r="E100" s="915"/>
      <c r="F100" s="916"/>
      <c r="G100" s="923">
        <f>SUM(G96:G99)</f>
        <v>11561093.529999999</v>
      </c>
      <c r="H100" s="923">
        <f>SUM(H96:H99)</f>
        <v>0</v>
      </c>
      <c r="I100" s="923">
        <f>SUM(I96:I99)</f>
        <v>0</v>
      </c>
      <c r="J100" s="1393">
        <f>SUM(J96:J99)</f>
        <v>11561093.529999999</v>
      </c>
      <c r="K100" s="903"/>
      <c r="O100" s="1127">
        <f>SUM(O96:O99)</f>
        <v>11561093.529999999</v>
      </c>
      <c r="P100" s="1127">
        <f>SUM(P96:P99)</f>
        <v>0</v>
      </c>
      <c r="Q100" s="1127">
        <f>SUM(Q96:Q99)</f>
        <v>0</v>
      </c>
      <c r="R100" s="1127">
        <f>SUM(R96:R99)</f>
        <v>11561093.529999999</v>
      </c>
      <c r="S100" s="1118"/>
      <c r="W100" s="1127">
        <f>SUM(W96:W99)</f>
        <v>11561093.529999999</v>
      </c>
      <c r="X100" s="1127">
        <f>SUM(X96:X99)</f>
        <v>0</v>
      </c>
      <c r="Y100" s="1127">
        <f>SUM(Y96:Y99)</f>
        <v>0</v>
      </c>
      <c r="Z100" s="1127">
        <f>SUM(Z96:Z99)</f>
        <v>11561093.529999999</v>
      </c>
      <c r="AA100" s="1118"/>
      <c r="AE100" s="1127">
        <f>SUM(AE96:AE99)</f>
        <v>11561093.529999999</v>
      </c>
      <c r="AF100" s="1127">
        <f>SUM(AF96:AF99)</f>
        <v>0</v>
      </c>
      <c r="AG100" s="1127">
        <f>SUM(AG96:AG99)</f>
        <v>0</v>
      </c>
      <c r="AH100" s="1127">
        <f>SUM(AH96:AH99)</f>
        <v>11561093.529999999</v>
      </c>
      <c r="AI100" s="1118"/>
      <c r="AM100" s="1127">
        <f>SUM(AM96:AM99)</f>
        <v>11561093.529999999</v>
      </c>
      <c r="AN100" s="1127">
        <f>SUM(AN96:AN99)</f>
        <v>0</v>
      </c>
      <c r="AO100" s="1127">
        <f>SUM(AO96:AO99)</f>
        <v>0</v>
      </c>
      <c r="AP100" s="1127">
        <f>SUM(AP96:AP99)</f>
        <v>11561093.529999999</v>
      </c>
      <c r="AQ100" s="1118"/>
      <c r="AU100" s="1127">
        <f>SUM(AU96:AU99)</f>
        <v>11561093.529999999</v>
      </c>
      <c r="AV100" s="1127">
        <f>SUM(AV96:AV99)</f>
        <v>0</v>
      </c>
      <c r="AW100" s="1127">
        <f>SUM(AW96:AW99)</f>
        <v>0</v>
      </c>
      <c r="AX100" s="1127">
        <f>SUM(AX96:AX99)</f>
        <v>11561093.529999999</v>
      </c>
      <c r="AY100" s="1118"/>
      <c r="BC100" s="1127">
        <f>SUM(BC96:BC99)</f>
        <v>11561093.529999999</v>
      </c>
      <c r="BD100" s="1127">
        <f>SUM(BD96:BD99)</f>
        <v>0</v>
      </c>
      <c r="BE100" s="1127">
        <f>SUM(BE96:BE99)</f>
        <v>0</v>
      </c>
      <c r="BF100" s="1127">
        <f>SUM(BF96:BF99)</f>
        <v>11561093.529999999</v>
      </c>
      <c r="BG100" s="1118"/>
      <c r="BK100" s="1127">
        <f>SUM(BK96:BK99)</f>
        <v>11561093.529999999</v>
      </c>
      <c r="BL100" s="1127">
        <f>SUM(BL96:BL99)</f>
        <v>0</v>
      </c>
      <c r="BM100" s="1127">
        <f>SUM(BM96:BM99)</f>
        <v>0</v>
      </c>
      <c r="BN100" s="1127">
        <f>SUM(BN96:BN99)</f>
        <v>11561093.529999999</v>
      </c>
      <c r="BO100" s="1118"/>
      <c r="BS100" s="1127">
        <f>SUM(BS96:BS99)</f>
        <v>11561093.529999999</v>
      </c>
      <c r="BT100" s="1127">
        <f>SUM(BT96:BT99)</f>
        <v>0</v>
      </c>
      <c r="BU100" s="1127">
        <f>SUM(BU96:BU99)</f>
        <v>0</v>
      </c>
      <c r="BV100" s="1127">
        <f>SUM(BV96:BV99)</f>
        <v>11561093.529999999</v>
      </c>
      <c r="BW100" s="1118"/>
      <c r="CA100" s="1127">
        <f>SUM(CA96:CA99)</f>
        <v>11561093.529999999</v>
      </c>
      <c r="CB100" s="1127">
        <f>SUM(CB96:CB99)</f>
        <v>0</v>
      </c>
      <c r="CC100" s="1127">
        <f>SUM(CC96:CC99)</f>
        <v>0</v>
      </c>
      <c r="CD100" s="1127">
        <f>SUM(CD96:CD99)</f>
        <v>11561093.529999999</v>
      </c>
      <c r="CE100" s="1118"/>
      <c r="CI100" s="1127">
        <f>SUM(CI96:CI99)</f>
        <v>11561093.529999999</v>
      </c>
      <c r="CJ100" s="1127">
        <f>SUM(CJ96:CJ99)</f>
        <v>0</v>
      </c>
      <c r="CK100" s="1127">
        <f>SUM(CK96:CK99)</f>
        <v>0</v>
      </c>
      <c r="CL100" s="1127">
        <f>SUM(CL96:CL99)</f>
        <v>11561093.529999999</v>
      </c>
      <c r="CM100" s="1118"/>
      <c r="CQ100" s="1127">
        <f>SUM(CQ96:CQ99)</f>
        <v>11561093.529999999</v>
      </c>
      <c r="CR100" s="1127">
        <f>SUM(CR96:CR99)</f>
        <v>0</v>
      </c>
      <c r="CS100" s="1127">
        <f>SUM(CS96:CS99)</f>
        <v>0</v>
      </c>
      <c r="CT100" s="1127">
        <f>SUM(CT96:CT99)</f>
        <v>11561093.529999999</v>
      </c>
      <c r="CU100" s="1118"/>
      <c r="CY100" s="1127">
        <f>SUM(CY96:CY99)</f>
        <v>11561093.529999999</v>
      </c>
      <c r="CZ100" s="1127">
        <f>SUM(CZ96:CZ99)</f>
        <v>0</v>
      </c>
      <c r="DA100" s="1127">
        <f>SUM(DA96:DA99)</f>
        <v>0</v>
      </c>
      <c r="DB100" s="1127">
        <f>SUM(DB96:DB99)</f>
        <v>11561093.529999999</v>
      </c>
      <c r="DC100" s="1118"/>
      <c r="DG100" s="1127">
        <f>SUM(DG96:DG99)</f>
        <v>11561093.529999999</v>
      </c>
      <c r="DH100" s="1127">
        <f>SUM(DH96:DH99)</f>
        <v>0</v>
      </c>
      <c r="DI100" s="1127">
        <f>SUM(DI96:DI99)</f>
        <v>0</v>
      </c>
      <c r="DJ100" s="1127">
        <f>SUM(DJ96:DJ99)</f>
        <v>11561093.529999999</v>
      </c>
      <c r="DK100" s="1118"/>
      <c r="DO100" s="1127">
        <f>SUM(DO96:DO99)</f>
        <v>11561093.529999999</v>
      </c>
      <c r="DP100" s="1127">
        <f>SUM(DP96:DP99)</f>
        <v>0</v>
      </c>
      <c r="DQ100" s="1127">
        <f>SUM(DQ96:DQ99)</f>
        <v>0</v>
      </c>
      <c r="DR100" s="1127">
        <f>SUM(DR96:DR99)</f>
        <v>11561093.529999999</v>
      </c>
      <c r="DS100" s="1118"/>
      <c r="DW100" s="1127">
        <f>SUM(DW96:DW99)</f>
        <v>11561093.529999999</v>
      </c>
      <c r="DX100" s="1127">
        <f>SUM(DX96:DX99)</f>
        <v>0</v>
      </c>
      <c r="DY100" s="1127">
        <f>SUM(DY96:DY99)</f>
        <v>0</v>
      </c>
      <c r="DZ100" s="1127">
        <f>SUM(DZ96:DZ99)</f>
        <v>11561093.529999999</v>
      </c>
      <c r="EA100" s="1118"/>
      <c r="EE100" s="1127">
        <f>SUM(EE96:EE99)</f>
        <v>11561093.529999999</v>
      </c>
      <c r="EF100" s="1127">
        <f>SUM(EF96:EF99)</f>
        <v>0</v>
      </c>
      <c r="EG100" s="1127">
        <f>SUM(EG96:EG99)</f>
        <v>0</v>
      </c>
      <c r="EH100" s="1127">
        <f>SUM(EH96:EH99)</f>
        <v>11561093.529999999</v>
      </c>
      <c r="EI100" s="1118"/>
      <c r="EM100" s="1127">
        <f>SUM(EM96:EM99)</f>
        <v>11561093.529999999</v>
      </c>
      <c r="EN100" s="1127">
        <f>SUM(EN96:EN99)</f>
        <v>0</v>
      </c>
      <c r="EO100" s="1127">
        <f>SUM(EO96:EO99)</f>
        <v>0</v>
      </c>
      <c r="EP100" s="1127">
        <f>SUM(EP96:EP99)</f>
        <v>11561093.529999999</v>
      </c>
      <c r="EQ100" s="1118"/>
      <c r="EU100" s="1127">
        <f>SUM(EU96:EU99)</f>
        <v>11561093.529999999</v>
      </c>
      <c r="EV100" s="1127">
        <f>SUM(EV96:EV99)</f>
        <v>0</v>
      </c>
      <c r="EW100" s="1127">
        <f>SUM(EW96:EW99)</f>
        <v>0</v>
      </c>
      <c r="EX100" s="1127">
        <f>SUM(EX96:EX99)</f>
        <v>11561093.529999999</v>
      </c>
      <c r="EY100" s="1118"/>
      <c r="FC100" s="1127">
        <f>SUM(FC96:FC99)</f>
        <v>11561093.529999999</v>
      </c>
      <c r="FD100" s="1127">
        <f>SUM(FD96:FD99)</f>
        <v>0</v>
      </c>
      <c r="FE100" s="1127">
        <f>SUM(FE96:FE99)</f>
        <v>0</v>
      </c>
      <c r="FF100" s="1127">
        <f>SUM(FF96:FF99)</f>
        <v>11561093.529999999</v>
      </c>
      <c r="FG100" s="1118"/>
      <c r="FK100" s="1127">
        <f>SUM(FK96:FK99)</f>
        <v>11561093.529999999</v>
      </c>
      <c r="FL100" s="1127">
        <f>SUM(FL96:FL99)</f>
        <v>0</v>
      </c>
      <c r="FM100" s="1127">
        <f>SUM(FM96:FM99)</f>
        <v>0</v>
      </c>
      <c r="FN100" s="1127">
        <f>SUM(FN96:FN99)</f>
        <v>11561093.529999999</v>
      </c>
      <c r="FO100" s="1118"/>
    </row>
    <row r="101" spans="1:171">
      <c r="A101" s="951"/>
      <c r="B101" s="947"/>
      <c r="C101" s="947"/>
      <c r="D101" s="947"/>
      <c r="E101" s="947"/>
      <c r="F101" s="947"/>
      <c r="G101" s="947"/>
      <c r="H101" s="947"/>
      <c r="I101" s="947"/>
      <c r="J101" s="948"/>
      <c r="K101" s="903"/>
      <c r="S101" s="1118"/>
      <c r="AA101" s="1118"/>
      <c r="AI101" s="1118"/>
      <c r="AQ101" s="1118"/>
      <c r="AY101" s="1118"/>
      <c r="BG101" s="1118"/>
      <c r="BO101" s="1118"/>
      <c r="BW101" s="1118"/>
      <c r="CE101" s="1118"/>
      <c r="CM101" s="1118"/>
      <c r="CU101" s="1118"/>
      <c r="DC101" s="1118"/>
      <c r="DK101" s="1118"/>
      <c r="DS101" s="1118"/>
      <c r="EA101" s="1118"/>
      <c r="EI101" s="1118"/>
      <c r="EQ101" s="1118"/>
      <c r="EY101" s="1118"/>
      <c r="FG101" s="1118"/>
      <c r="FO101" s="1118"/>
    </row>
    <row r="102" spans="1:171">
      <c r="A102" s="268" t="s">
        <v>177</v>
      </c>
      <c r="B102" s="79"/>
      <c r="C102" s="940"/>
      <c r="D102" s="196"/>
      <c r="E102" s="196"/>
      <c r="F102" s="196"/>
      <c r="G102" s="952"/>
      <c r="H102" s="952"/>
      <c r="I102" s="952"/>
      <c r="J102" s="953"/>
      <c r="K102" s="903"/>
      <c r="S102" s="1118"/>
      <c r="AA102" s="1118"/>
      <c r="AI102" s="1118"/>
      <c r="AQ102" s="1118"/>
      <c r="AY102" s="1118"/>
      <c r="BG102" s="1118"/>
      <c r="BO102" s="1118"/>
      <c r="BW102" s="1118"/>
      <c r="CE102" s="1118"/>
      <c r="CM102" s="1118"/>
      <c r="CU102" s="1118"/>
      <c r="DC102" s="1118"/>
      <c r="DK102" s="1118"/>
      <c r="DS102" s="1118"/>
      <c r="EA102" s="1118"/>
      <c r="EI102" s="1118"/>
      <c r="EQ102" s="1118"/>
      <c r="EY102" s="1118"/>
      <c r="FG102" s="1118"/>
      <c r="FO102" s="1118"/>
    </row>
    <row r="103" spans="1:171">
      <c r="A103" s="1392">
        <v>91000</v>
      </c>
      <c r="B103" s="10" t="s">
        <v>440</v>
      </c>
      <c r="C103" s="888" t="s">
        <v>78</v>
      </c>
      <c r="D103" s="888">
        <v>151</v>
      </c>
      <c r="E103" s="182" t="str">
        <f>'Sch 1- Rate Base '!E103</f>
        <v>PROD</v>
      </c>
      <c r="F103" s="889"/>
      <c r="G103" s="182">
        <f>'Sch 1- Rate Base '!G103</f>
        <v>4683150.17</v>
      </c>
      <c r="H103" s="182">
        <f>'Sch 1- Rate Base '!H103</f>
        <v>4683150.17</v>
      </c>
      <c r="I103" s="182">
        <f>'Sch 1- Rate Base '!I103</f>
        <v>0</v>
      </c>
      <c r="J103" s="183">
        <f>'Sch 1- Rate Base '!J103</f>
        <v>0</v>
      </c>
      <c r="K103" s="903">
        <f t="shared" ref="K103:K115" si="244">IF($E103="DIRECT",0,1)</f>
        <v>1</v>
      </c>
      <c r="N103" s="1129">
        <f>VLOOKUP($A103,'New Resources - Individual'!$A$4:$Y$133,N$2,FALSE)*N$1</f>
        <v>0</v>
      </c>
      <c r="O103" s="1116">
        <f t="shared" ref="O103:O108" si="245">$G103+N103</f>
        <v>4683150.17</v>
      </c>
      <c r="P103" s="1117">
        <f t="shared" ref="P103:P109" si="246">VLOOKUP($E103,O$442:R$453,2,FALSE)*O103*($K103)+IF($G103&gt;0,($H103/$G103)*O103,0)*(1-$K103)</f>
        <v>4683150.17</v>
      </c>
      <c r="Q103" s="1117">
        <f t="shared" ref="Q103:Q109" si="247">VLOOKUP($E103,O$442:R$453,3,FALSE)*O103*($K103)+IF($G103&gt;0,($I103/$G103)*O103,0)*(1-$K103)</f>
        <v>0</v>
      </c>
      <c r="R103" s="1117">
        <f t="shared" ref="R103:R110" si="248">VLOOKUP($E103,O$442:R$453,4,FALSE)*O103*($K103)+(O103-P103-Q103)*(1-$K103)</f>
        <v>0</v>
      </c>
      <c r="S103" s="1118"/>
      <c r="V103" s="1129">
        <f>VLOOKUP($A103,'New Resources - Individual'!$A$4:$Y$133,V$2,FALSE)*V$1</f>
        <v>0</v>
      </c>
      <c r="W103" s="1116">
        <f t="shared" ref="W103:W108" si="249">$G103+V103</f>
        <v>4683150.17</v>
      </c>
      <c r="X103" s="1117">
        <f t="shared" ref="X103:X109" si="250">VLOOKUP($E103,W$442:Z$453,2,FALSE)*W103*($K103)+IF($G103&gt;0,($H103/$G103)*W103,0)*(1-$K103)</f>
        <v>4683150.17</v>
      </c>
      <c r="Y103" s="1117">
        <f t="shared" ref="Y103:Y109" si="251">VLOOKUP($E103,W$442:Z$453,3,FALSE)*W103*($K103)+IF($G103&gt;0,($I103/$G103)*W103,0)*(1-$K103)</f>
        <v>0</v>
      </c>
      <c r="Z103" s="1117">
        <f t="shared" ref="Z103:Z110" si="252">VLOOKUP($E103,W$442:Z$453,4,FALSE)*W103*($K103)+(W103-X103-Y103)*(1-$K103)</f>
        <v>0</v>
      </c>
      <c r="AA103" s="1118"/>
      <c r="AD103" s="1129">
        <f>VLOOKUP($A103,'New Resources - Individual'!$A$4:$Y$133,AD$2,FALSE)*AD$1</f>
        <v>0</v>
      </c>
      <c r="AE103" s="1116">
        <f t="shared" ref="AE103:AE108" si="253">$G103+AD103</f>
        <v>4683150.17</v>
      </c>
      <c r="AF103" s="1117">
        <f t="shared" ref="AF103:AF109" si="254">VLOOKUP($E103,AE$442:AH$453,2,FALSE)*AE103*($K103)+IF($G103&gt;0,($H103/$G103)*AE103,0)*(1-$K103)</f>
        <v>4683150.17</v>
      </c>
      <c r="AG103" s="1117">
        <f t="shared" ref="AG103:AG109" si="255">VLOOKUP($E103,AE$442:AH$453,3,FALSE)*AE103*($K103)+IF($G103&gt;0,($I103/$G103)*AE103,0)*(1-$K103)</f>
        <v>0</v>
      </c>
      <c r="AH103" s="1117">
        <f t="shared" ref="AH103:AH110" si="256">VLOOKUP($E103,AE$442:AH$453,4,FALSE)*AE103*($K103)+(AE103-AF103-AG103)*(1-$K103)</f>
        <v>0</v>
      </c>
      <c r="AI103" s="1118"/>
      <c r="AL103" s="1129">
        <f>VLOOKUP($A103,'New Resources - Individual'!$A$4:$Y$133,AL$2,FALSE)*AL$1</f>
        <v>0</v>
      </c>
      <c r="AM103" s="1116">
        <f t="shared" ref="AM103:AM108" si="257">$G103+AL103</f>
        <v>4683150.17</v>
      </c>
      <c r="AN103" s="1117">
        <f t="shared" ref="AN103:AN109" si="258">VLOOKUP($E103,AM$442:AP$453,2,FALSE)*AM103*($K103)+IF($G103&gt;0,($H103/$G103)*AM103,0)*(1-$K103)</f>
        <v>4683150.17</v>
      </c>
      <c r="AO103" s="1117">
        <f t="shared" ref="AO103:AO109" si="259">VLOOKUP($E103,AM$442:AP$453,3,FALSE)*AM103*($K103)+IF($G103&gt;0,($I103/$G103)*AM103,0)*(1-$K103)</f>
        <v>0</v>
      </c>
      <c r="AP103" s="1117">
        <f t="shared" ref="AP103:AP110" si="260">VLOOKUP($E103,AM$442:AP$453,4,FALSE)*AM103*($K103)+(AM103-AN103-AO103)*(1-$K103)</f>
        <v>0</v>
      </c>
      <c r="AQ103" s="1118"/>
      <c r="AT103" s="1129">
        <f>VLOOKUP($A103,'New Resources - Individual'!$A$4:$Y$133,AT$2,FALSE)*AT$1</f>
        <v>0</v>
      </c>
      <c r="AU103" s="1116">
        <f t="shared" ref="AU103:AU108" si="261">$G103+AT103</f>
        <v>4683150.17</v>
      </c>
      <c r="AV103" s="1117">
        <f t="shared" ref="AV103:AV109" si="262">VLOOKUP($E103,AU$442:AX$453,2,FALSE)*AU103*($K103)+IF($G103&gt;0,($H103/$G103)*AU103,0)*(1-$K103)</f>
        <v>4683150.17</v>
      </c>
      <c r="AW103" s="1117">
        <f t="shared" ref="AW103:AW109" si="263">VLOOKUP($E103,AU$442:AX$453,3,FALSE)*AU103*($K103)+IF($G103&gt;0,($I103/$G103)*AU103,0)*(1-$K103)</f>
        <v>0</v>
      </c>
      <c r="AX103" s="1117">
        <f t="shared" ref="AX103:AX110" si="264">VLOOKUP($E103,AU$442:AX$453,4,FALSE)*AU103*($K103)+(AU103-AV103-AW103)*(1-$K103)</f>
        <v>0</v>
      </c>
      <c r="AY103" s="1118"/>
      <c r="BB103" s="1129">
        <f>VLOOKUP($A103,'New Resources - Individual'!$A$4:$Y$133,BB$2,FALSE)*BB$1</f>
        <v>0</v>
      </c>
      <c r="BC103" s="1116">
        <f t="shared" ref="BC103:BC108" si="265">$G103+BB103</f>
        <v>4683150.17</v>
      </c>
      <c r="BD103" s="1117">
        <f t="shared" ref="BD103:BD109" si="266">VLOOKUP($E103,BC$442:BF$453,2,FALSE)*BC103*($K103)+IF($G103&gt;0,($H103/$G103)*BC103,0)*(1-$K103)</f>
        <v>4683150.17</v>
      </c>
      <c r="BE103" s="1117">
        <f t="shared" ref="BE103:BE109" si="267">VLOOKUP($E103,BC$442:BF$453,3,FALSE)*BC103*($K103)+IF($G103&gt;0,($I103/$G103)*BC103,0)*(1-$K103)</f>
        <v>0</v>
      </c>
      <c r="BF103" s="1117">
        <f t="shared" ref="BF103:BF110" si="268">VLOOKUP($E103,BC$442:BF$453,4,FALSE)*BC103*($K103)+(BC103-BD103-BE103)*(1-$K103)</f>
        <v>0</v>
      </c>
      <c r="BG103" s="1118"/>
      <c r="BJ103" s="1129">
        <f>VLOOKUP($A103,'New Resources - Individual'!$A$4:$Y$133,BJ$2,FALSE)*BJ$1</f>
        <v>0</v>
      </c>
      <c r="BK103" s="1116">
        <f t="shared" ref="BK103:BK108" si="269">$G103+BJ103</f>
        <v>4683150.17</v>
      </c>
      <c r="BL103" s="1117">
        <f t="shared" ref="BL103:BL109" si="270">VLOOKUP($E103,BK$442:BN$453,2,FALSE)*BK103*($K103)+IF($G103&gt;0,($H103/$G103)*BK103,0)*(1-$K103)</f>
        <v>4683150.17</v>
      </c>
      <c r="BM103" s="1117">
        <f t="shared" ref="BM103:BM109" si="271">VLOOKUP($E103,BK$442:BN$453,3,FALSE)*BK103*($K103)+IF($G103&gt;0,($I103/$G103)*BK103,0)*(1-$K103)</f>
        <v>0</v>
      </c>
      <c r="BN103" s="1117">
        <f t="shared" ref="BN103:BN110" si="272">VLOOKUP($E103,BK$442:BN$453,4,FALSE)*BK103*($K103)+(BK103-BL103-BM103)*(1-$K103)</f>
        <v>0</v>
      </c>
      <c r="BO103" s="1118"/>
      <c r="BR103" s="1129">
        <f>VLOOKUP($A103,'New Resources - Individual'!$A$4:$Y$133,BR$2,FALSE)*BR$1</f>
        <v>0</v>
      </c>
      <c r="BS103" s="1116">
        <f t="shared" ref="BS103:BS108" si="273">$G103+BR103</f>
        <v>4683150.17</v>
      </c>
      <c r="BT103" s="1117">
        <f t="shared" ref="BT103:BT109" si="274">VLOOKUP($E103,BS$442:BV$453,2,FALSE)*BS103*($K103)+IF($G103&gt;0,($H103/$G103)*BS103,0)*(1-$K103)</f>
        <v>4683150.17</v>
      </c>
      <c r="BU103" s="1117">
        <f t="shared" ref="BU103:BU109" si="275">VLOOKUP($E103,BS$442:BV$453,3,FALSE)*BS103*($K103)+IF($G103&gt;0,($I103/$G103)*BS103,0)*(1-$K103)</f>
        <v>0</v>
      </c>
      <c r="BV103" s="1117">
        <f t="shared" ref="BV103:BV110" si="276">VLOOKUP($E103,BS$442:BV$453,4,FALSE)*BS103*($K103)+(BS103-BT103-BU103)*(1-$K103)</f>
        <v>0</v>
      </c>
      <c r="BW103" s="1118"/>
      <c r="BZ103" s="1129">
        <f>VLOOKUP($A103,'New Resources - Individual'!$A$4:$Y$133,BZ$2,FALSE)*BZ$1</f>
        <v>0</v>
      </c>
      <c r="CA103" s="1116">
        <f t="shared" ref="CA103:CA108" si="277">$G103+BZ103</f>
        <v>4683150.17</v>
      </c>
      <c r="CB103" s="1117">
        <f t="shared" ref="CB103:CB109" si="278">VLOOKUP($E103,CA$442:CD$453,2,FALSE)*CA103*($K103)+IF($G103&gt;0,($H103/$G103)*CA103,0)*(1-$K103)</f>
        <v>4683150.17</v>
      </c>
      <c r="CC103" s="1117">
        <f t="shared" ref="CC103:CC109" si="279">VLOOKUP($E103,CA$442:CD$453,3,FALSE)*CA103*($K103)+IF($G103&gt;0,($I103/$G103)*CA103,0)*(1-$K103)</f>
        <v>0</v>
      </c>
      <c r="CD103" s="1117">
        <f t="shared" ref="CD103:CD110" si="280">VLOOKUP($E103,CA$442:CD$453,4,FALSE)*CA103*($K103)+(CA103-CB103-CC103)*(1-$K103)</f>
        <v>0</v>
      </c>
      <c r="CE103" s="1118"/>
      <c r="CH103" s="1129">
        <f>VLOOKUP($A103,'New Resources - Individual'!$A$4:$Y$133,CH$2,FALSE)*CH$1</f>
        <v>0</v>
      </c>
      <c r="CI103" s="1116">
        <f t="shared" ref="CI103:CI108" si="281">$G103+CH103</f>
        <v>4683150.17</v>
      </c>
      <c r="CJ103" s="1117">
        <f t="shared" ref="CJ103:CJ109" si="282">VLOOKUP($E103,CI$442:CL$453,2,FALSE)*CI103*($K103)+IF($G103&gt;0,($H103/$G103)*CI103,0)*(1-$K103)</f>
        <v>4683150.17</v>
      </c>
      <c r="CK103" s="1117">
        <f t="shared" ref="CK103:CK109" si="283">VLOOKUP($E103,CI$442:CL$453,3,FALSE)*CI103*($K103)+IF($G103&gt;0,($I103/$G103)*CI103,0)*(1-$K103)</f>
        <v>0</v>
      </c>
      <c r="CL103" s="1117">
        <f t="shared" ref="CL103:CL110" si="284">VLOOKUP($E103,CI$442:CL$453,4,FALSE)*CI103*($K103)+(CI103-CJ103-CK103)*(1-$K103)</f>
        <v>0</v>
      </c>
      <c r="CM103" s="1118"/>
      <c r="CP103" s="1129">
        <f>VLOOKUP($A103,'New Resources - Individual'!$A$4:$Y$133,CP$2,FALSE)*CP$1</f>
        <v>0</v>
      </c>
      <c r="CQ103" s="1116">
        <f t="shared" ref="CQ103:CQ108" si="285">$G103+CP103</f>
        <v>4683150.17</v>
      </c>
      <c r="CR103" s="1117">
        <f t="shared" ref="CR103:CR109" si="286">VLOOKUP($E103,CQ$442:CT$453,2,FALSE)*CQ103*($K103)+IF($G103&gt;0,($H103/$G103)*CQ103,0)*(1-$K103)</f>
        <v>4683150.17</v>
      </c>
      <c r="CS103" s="1117">
        <f t="shared" ref="CS103:CS109" si="287">VLOOKUP($E103,CQ$442:CT$453,3,FALSE)*CQ103*($K103)+IF($G103&gt;0,($I103/$G103)*CQ103,0)*(1-$K103)</f>
        <v>0</v>
      </c>
      <c r="CT103" s="1117">
        <f t="shared" ref="CT103:CT110" si="288">VLOOKUP($E103,CQ$442:CT$453,4,FALSE)*CQ103*($K103)+(CQ103-CR103-CS103)*(1-$K103)</f>
        <v>0</v>
      </c>
      <c r="CU103" s="1118"/>
      <c r="CX103" s="1129">
        <f>VLOOKUP($A103,'New Resources - Individual'!$A$4:$Y$133,CX$2,FALSE)*CX$1</f>
        <v>0</v>
      </c>
      <c r="CY103" s="1116">
        <f t="shared" ref="CY103:CY108" si="289">$G103+CX103</f>
        <v>4683150.17</v>
      </c>
      <c r="CZ103" s="1117">
        <f t="shared" ref="CZ103:CZ109" si="290">VLOOKUP($E103,CY$442:DB$453,2,FALSE)*CY103*($K103)+IF($G103&gt;0,($H103/$G103)*CY103,0)*(1-$K103)</f>
        <v>4683150.17</v>
      </c>
      <c r="DA103" s="1117">
        <f t="shared" ref="DA103:DA109" si="291">VLOOKUP($E103,CY$442:DB$453,3,FALSE)*CY103*($K103)+IF($G103&gt;0,($I103/$G103)*CY103,0)*(1-$K103)</f>
        <v>0</v>
      </c>
      <c r="DB103" s="1117">
        <f t="shared" ref="DB103:DB110" si="292">VLOOKUP($E103,CY$442:DB$453,4,FALSE)*CY103*($K103)+(CY103-CZ103-DA103)*(1-$K103)</f>
        <v>0</v>
      </c>
      <c r="DC103" s="1118"/>
      <c r="DF103" s="1129">
        <f>VLOOKUP($A103,'New Resources - Individual'!$A$4:$Y$133,DF$2,FALSE)*DF$1</f>
        <v>0</v>
      </c>
      <c r="DG103" s="1116">
        <f t="shared" ref="DG103:DG108" si="293">$G103+DF103</f>
        <v>4683150.17</v>
      </c>
      <c r="DH103" s="1117">
        <f t="shared" ref="DH103:DH109" si="294">VLOOKUP($E103,DG$442:DJ$453,2,FALSE)*DG103*($K103)+IF($G103&gt;0,($H103/$G103)*DG103,0)*(1-$K103)</f>
        <v>4683150.17</v>
      </c>
      <c r="DI103" s="1117">
        <f t="shared" ref="DI103:DI109" si="295">VLOOKUP($E103,DG$442:DJ$453,3,FALSE)*DG103*($K103)+IF($G103&gt;0,($I103/$G103)*DG103,0)*(1-$K103)</f>
        <v>0</v>
      </c>
      <c r="DJ103" s="1117">
        <f t="shared" ref="DJ103:DJ110" si="296">VLOOKUP($E103,DG$442:DJ$453,4,FALSE)*DG103*($K103)+(DG103-DH103-DI103)*(1-$K103)</f>
        <v>0</v>
      </c>
      <c r="DK103" s="1118"/>
      <c r="DN103" s="1129">
        <f>VLOOKUP($A103,'New Resources - Individual'!$A$4:$Y$133,DN$2,FALSE)*DN$1</f>
        <v>0</v>
      </c>
      <c r="DO103" s="1116">
        <f t="shared" ref="DO103:DO108" si="297">$G103+DN103</f>
        <v>4683150.17</v>
      </c>
      <c r="DP103" s="1117">
        <f t="shared" ref="DP103:DP109" si="298">VLOOKUP($E103,DO$442:DR$453,2,FALSE)*DO103*($K103)+IF($G103&gt;0,($H103/$G103)*DO103,0)*(1-$K103)</f>
        <v>4683150.17</v>
      </c>
      <c r="DQ103" s="1117">
        <f t="shared" ref="DQ103:DQ109" si="299">VLOOKUP($E103,DO$442:DR$453,3,FALSE)*DO103*($K103)+IF($G103&gt;0,($I103/$G103)*DO103,0)*(1-$K103)</f>
        <v>0</v>
      </c>
      <c r="DR103" s="1117">
        <f t="shared" ref="DR103:DR110" si="300">VLOOKUP($E103,DO$442:DR$453,4,FALSE)*DO103*($K103)+(DO103-DP103-DQ103)*(1-$K103)</f>
        <v>0</v>
      </c>
      <c r="DS103" s="1118"/>
      <c r="DV103" s="1129">
        <f>VLOOKUP($A103,'New Resources - Individual'!$A$4:$Y$133,DV$2,FALSE)*DV$1</f>
        <v>0</v>
      </c>
      <c r="DW103" s="1116">
        <f t="shared" ref="DW103:DW108" si="301">$G103+DV103</f>
        <v>4683150.17</v>
      </c>
      <c r="DX103" s="1117">
        <f t="shared" ref="DX103:DX109" si="302">VLOOKUP($E103,DW$442:DZ$453,2,FALSE)*DW103*($K103)+IF($G103&gt;0,($H103/$G103)*DW103,0)*(1-$K103)</f>
        <v>4683150.17</v>
      </c>
      <c r="DY103" s="1117">
        <f t="shared" ref="DY103:DY109" si="303">VLOOKUP($E103,DW$442:DZ$453,3,FALSE)*DW103*($K103)+IF($G103&gt;0,($I103/$G103)*DW103,0)*(1-$K103)</f>
        <v>0</v>
      </c>
      <c r="DZ103" s="1117">
        <f t="shared" ref="DZ103:DZ110" si="304">VLOOKUP($E103,DW$442:DZ$453,4,FALSE)*DW103*($K103)+(DW103-DX103-DY103)*(1-$K103)</f>
        <v>0</v>
      </c>
      <c r="EA103" s="1118"/>
      <c r="ED103" s="1129">
        <f>VLOOKUP($A103,'New Resources - Individual'!$A$4:$Y$133,ED$2,FALSE)*ED$1</f>
        <v>0</v>
      </c>
      <c r="EE103" s="1116">
        <f t="shared" ref="EE103:EE108" si="305">$G103+ED103</f>
        <v>4683150.17</v>
      </c>
      <c r="EF103" s="1117">
        <f t="shared" ref="EF103:EF109" si="306">VLOOKUP($E103,EE$442:EH$453,2,FALSE)*EE103*($K103)+IF($G103&gt;0,($H103/$G103)*EE103,0)*(1-$K103)</f>
        <v>4683150.17</v>
      </c>
      <c r="EG103" s="1117">
        <f t="shared" ref="EG103:EG109" si="307">VLOOKUP($E103,EE$442:EH$453,3,FALSE)*EE103*($K103)+IF($G103&gt;0,($I103/$G103)*EE103,0)*(1-$K103)</f>
        <v>0</v>
      </c>
      <c r="EH103" s="1117">
        <f t="shared" ref="EH103:EH110" si="308">VLOOKUP($E103,EE$442:EH$453,4,FALSE)*EE103*($K103)+(EE103-EF103-EG103)*(1-$K103)</f>
        <v>0</v>
      </c>
      <c r="EI103" s="1118"/>
      <c r="EL103" s="1129">
        <f>VLOOKUP($A103,'New Resources - Individual'!$A$4:$Y$133,EL$2,FALSE)*EL$1</f>
        <v>0</v>
      </c>
      <c r="EM103" s="1116">
        <f t="shared" ref="EM103:EM108" si="309">$G103+EL103</f>
        <v>4683150.17</v>
      </c>
      <c r="EN103" s="1117">
        <f t="shared" ref="EN103:EN109" si="310">VLOOKUP($E103,EM$442:EP$453,2,FALSE)*EM103*($K103)+IF($G103&gt;0,($H103/$G103)*EM103,0)*(1-$K103)</f>
        <v>4683150.17</v>
      </c>
      <c r="EO103" s="1117">
        <f t="shared" ref="EO103:EO109" si="311">VLOOKUP($E103,EM$442:EP$453,3,FALSE)*EM103*($K103)+IF($G103&gt;0,($I103/$G103)*EM103,0)*(1-$K103)</f>
        <v>0</v>
      </c>
      <c r="EP103" s="1117">
        <f t="shared" ref="EP103:EP110" si="312">VLOOKUP($E103,EM$442:EP$453,4,FALSE)*EM103*($K103)+(EM103-EN103-EO103)*(1-$K103)</f>
        <v>0</v>
      </c>
      <c r="EQ103" s="1118"/>
      <c r="ET103" s="1129">
        <f>VLOOKUP($A103,'New Resources - Individual'!$A$4:$Y$133,ET$2,FALSE)*ET$1</f>
        <v>0</v>
      </c>
      <c r="EU103" s="1116">
        <f t="shared" ref="EU103:EU108" si="313">$G103+ET103</f>
        <v>4683150.17</v>
      </c>
      <c r="EV103" s="1117">
        <f t="shared" ref="EV103:EV109" si="314">VLOOKUP($E103,EU$442:EX$453,2,FALSE)*EU103*($K103)+IF($G103&gt;0,($H103/$G103)*EU103,0)*(1-$K103)</f>
        <v>4683150.17</v>
      </c>
      <c r="EW103" s="1117">
        <f t="shared" ref="EW103:EW109" si="315">VLOOKUP($E103,EU$442:EX$453,3,FALSE)*EU103*($K103)+IF($G103&gt;0,($I103/$G103)*EU103,0)*(1-$K103)</f>
        <v>0</v>
      </c>
      <c r="EX103" s="1117">
        <f t="shared" ref="EX103:EX110" si="316">VLOOKUP($E103,EU$442:EX$453,4,FALSE)*EU103*($K103)+(EU103-EV103-EW103)*(1-$K103)</f>
        <v>0</v>
      </c>
      <c r="EY103" s="1118"/>
      <c r="FB103" s="1129">
        <f>VLOOKUP($A103,'New Resources - Individual'!$A$4:$Y$133,FB$2,FALSE)*FB$1</f>
        <v>0</v>
      </c>
      <c r="FC103" s="1116">
        <f t="shared" ref="FC103:FC108" si="317">$G103+FB103</f>
        <v>4683150.17</v>
      </c>
      <c r="FD103" s="1117">
        <f t="shared" ref="FD103:FD109" si="318">VLOOKUP($E103,FC$442:FF$453,2,FALSE)*FC103*($K103)+IF($G103&gt;0,($H103/$G103)*FC103,0)*(1-$K103)</f>
        <v>4683150.17</v>
      </c>
      <c r="FE103" s="1117">
        <f t="shared" ref="FE103:FE109" si="319">VLOOKUP($E103,FC$442:FF$453,3,FALSE)*FC103*($K103)+IF($G103&gt;0,($I103/$G103)*FC103,0)*(1-$K103)</f>
        <v>0</v>
      </c>
      <c r="FF103" s="1117">
        <f t="shared" ref="FF103:FF110" si="320">VLOOKUP($E103,FC$442:FF$453,4,FALSE)*FC103*($K103)+(FC103-FD103-FE103)*(1-$K103)</f>
        <v>0</v>
      </c>
      <c r="FG103" s="1118"/>
      <c r="FJ103" s="1129">
        <f>VLOOKUP($A103,'New Resources - Individual'!$A$4:$Y$133,FJ$2,FALSE)*FJ$1</f>
        <v>0</v>
      </c>
      <c r="FK103" s="1116">
        <f t="shared" ref="FK103:FK108" si="321">$G103+FJ103</f>
        <v>4683150.17</v>
      </c>
      <c r="FL103" s="1117">
        <f t="shared" ref="FL103:FL109" si="322">VLOOKUP($E103,FK$442:FN$453,2,FALSE)*FK103*($K103)+IF($G103&gt;0,($H103/$G103)*FK103,0)*(1-$K103)</f>
        <v>4683150.17</v>
      </c>
      <c r="FM103" s="1117">
        <f t="shared" ref="FM103:FM109" si="323">VLOOKUP($E103,FK$442:FN$453,3,FALSE)*FK103*($K103)+IF($G103&gt;0,($I103/$G103)*FK103,0)*(1-$K103)</f>
        <v>0</v>
      </c>
      <c r="FN103" s="1117">
        <f t="shared" ref="FN103:FN110" si="324">VLOOKUP($E103,FK$442:FN$453,4,FALSE)*FK103*($K103)+(FK103-FL103-FM103)*(1-$K103)</f>
        <v>0</v>
      </c>
      <c r="FO103" s="1118"/>
    </row>
    <row r="104" spans="1:171">
      <c r="A104" s="1394"/>
      <c r="B104" s="79" t="s">
        <v>7</v>
      </c>
      <c r="C104" s="888" t="s">
        <v>78</v>
      </c>
      <c r="D104" s="888">
        <v>152</v>
      </c>
      <c r="E104" s="182" t="str">
        <f>'Sch 1- Rate Base '!E104</f>
        <v>PROD</v>
      </c>
      <c r="F104" s="889"/>
      <c r="G104" s="182">
        <f>'Sch 1- Rate Base '!G104</f>
        <v>0</v>
      </c>
      <c r="H104" s="182">
        <f>'Sch 1- Rate Base '!H104</f>
        <v>0</v>
      </c>
      <c r="I104" s="182">
        <f>'Sch 1- Rate Base '!I104</f>
        <v>0</v>
      </c>
      <c r="J104" s="183">
        <f>'Sch 1- Rate Base '!J104</f>
        <v>0</v>
      </c>
      <c r="K104" s="903">
        <f t="shared" si="244"/>
        <v>1</v>
      </c>
      <c r="N104" s="1116"/>
      <c r="O104" s="1116">
        <f t="shared" si="245"/>
        <v>0</v>
      </c>
      <c r="P104" s="1117">
        <f t="shared" si="246"/>
        <v>0</v>
      </c>
      <c r="Q104" s="1117">
        <f t="shared" si="247"/>
        <v>0</v>
      </c>
      <c r="R104" s="1117">
        <f t="shared" si="248"/>
        <v>0</v>
      </c>
      <c r="S104" s="1118"/>
      <c r="V104" s="1116"/>
      <c r="W104" s="1116">
        <f t="shared" si="249"/>
        <v>0</v>
      </c>
      <c r="X104" s="1117">
        <f t="shared" si="250"/>
        <v>0</v>
      </c>
      <c r="Y104" s="1117">
        <f t="shared" si="251"/>
        <v>0</v>
      </c>
      <c r="Z104" s="1117">
        <f t="shared" si="252"/>
        <v>0</v>
      </c>
      <c r="AA104" s="1118"/>
      <c r="AD104" s="1116"/>
      <c r="AE104" s="1116">
        <f t="shared" si="253"/>
        <v>0</v>
      </c>
      <c r="AF104" s="1117">
        <f t="shared" si="254"/>
        <v>0</v>
      </c>
      <c r="AG104" s="1117">
        <f t="shared" si="255"/>
        <v>0</v>
      </c>
      <c r="AH104" s="1117">
        <f t="shared" si="256"/>
        <v>0</v>
      </c>
      <c r="AI104" s="1118"/>
      <c r="AL104" s="1116"/>
      <c r="AM104" s="1116">
        <f t="shared" si="257"/>
        <v>0</v>
      </c>
      <c r="AN104" s="1117">
        <f t="shared" si="258"/>
        <v>0</v>
      </c>
      <c r="AO104" s="1117">
        <f t="shared" si="259"/>
        <v>0</v>
      </c>
      <c r="AP104" s="1117">
        <f t="shared" si="260"/>
        <v>0</v>
      </c>
      <c r="AQ104" s="1118"/>
      <c r="AT104" s="1116"/>
      <c r="AU104" s="1116">
        <f t="shared" si="261"/>
        <v>0</v>
      </c>
      <c r="AV104" s="1117">
        <f t="shared" si="262"/>
        <v>0</v>
      </c>
      <c r="AW104" s="1117">
        <f t="shared" si="263"/>
        <v>0</v>
      </c>
      <c r="AX104" s="1117">
        <f t="shared" si="264"/>
        <v>0</v>
      </c>
      <c r="AY104" s="1118"/>
      <c r="BB104" s="1116"/>
      <c r="BC104" s="1116">
        <f t="shared" si="265"/>
        <v>0</v>
      </c>
      <c r="BD104" s="1117">
        <f t="shared" si="266"/>
        <v>0</v>
      </c>
      <c r="BE104" s="1117">
        <f t="shared" si="267"/>
        <v>0</v>
      </c>
      <c r="BF104" s="1117">
        <f t="shared" si="268"/>
        <v>0</v>
      </c>
      <c r="BG104" s="1118"/>
      <c r="BJ104" s="1116"/>
      <c r="BK104" s="1116">
        <f t="shared" si="269"/>
        <v>0</v>
      </c>
      <c r="BL104" s="1117">
        <f t="shared" si="270"/>
        <v>0</v>
      </c>
      <c r="BM104" s="1117">
        <f t="shared" si="271"/>
        <v>0</v>
      </c>
      <c r="BN104" s="1117">
        <f t="shared" si="272"/>
        <v>0</v>
      </c>
      <c r="BO104" s="1118"/>
      <c r="BR104" s="1116"/>
      <c r="BS104" s="1116">
        <f t="shared" si="273"/>
        <v>0</v>
      </c>
      <c r="BT104" s="1117">
        <f t="shared" si="274"/>
        <v>0</v>
      </c>
      <c r="BU104" s="1117">
        <f t="shared" si="275"/>
        <v>0</v>
      </c>
      <c r="BV104" s="1117">
        <f t="shared" si="276"/>
        <v>0</v>
      </c>
      <c r="BW104" s="1118"/>
      <c r="BZ104" s="1116"/>
      <c r="CA104" s="1116">
        <f t="shared" si="277"/>
        <v>0</v>
      </c>
      <c r="CB104" s="1117">
        <f t="shared" si="278"/>
        <v>0</v>
      </c>
      <c r="CC104" s="1117">
        <f t="shared" si="279"/>
        <v>0</v>
      </c>
      <c r="CD104" s="1117">
        <f t="shared" si="280"/>
        <v>0</v>
      </c>
      <c r="CE104" s="1118"/>
      <c r="CH104" s="1116"/>
      <c r="CI104" s="1116">
        <f t="shared" si="281"/>
        <v>0</v>
      </c>
      <c r="CJ104" s="1117">
        <f t="shared" si="282"/>
        <v>0</v>
      </c>
      <c r="CK104" s="1117">
        <f t="shared" si="283"/>
        <v>0</v>
      </c>
      <c r="CL104" s="1117">
        <f t="shared" si="284"/>
        <v>0</v>
      </c>
      <c r="CM104" s="1118"/>
      <c r="CP104" s="1116"/>
      <c r="CQ104" s="1116">
        <f t="shared" si="285"/>
        <v>0</v>
      </c>
      <c r="CR104" s="1117">
        <f t="shared" si="286"/>
        <v>0</v>
      </c>
      <c r="CS104" s="1117">
        <f t="shared" si="287"/>
        <v>0</v>
      </c>
      <c r="CT104" s="1117">
        <f t="shared" si="288"/>
        <v>0</v>
      </c>
      <c r="CU104" s="1118"/>
      <c r="CX104" s="1116"/>
      <c r="CY104" s="1116">
        <f t="shared" si="289"/>
        <v>0</v>
      </c>
      <c r="CZ104" s="1117">
        <f t="shared" si="290"/>
        <v>0</v>
      </c>
      <c r="DA104" s="1117">
        <f t="shared" si="291"/>
        <v>0</v>
      </c>
      <c r="DB104" s="1117">
        <f t="shared" si="292"/>
        <v>0</v>
      </c>
      <c r="DC104" s="1118"/>
      <c r="DF104" s="1116"/>
      <c r="DG104" s="1116">
        <f t="shared" si="293"/>
        <v>0</v>
      </c>
      <c r="DH104" s="1117">
        <f t="shared" si="294"/>
        <v>0</v>
      </c>
      <c r="DI104" s="1117">
        <f t="shared" si="295"/>
        <v>0</v>
      </c>
      <c r="DJ104" s="1117">
        <f t="shared" si="296"/>
        <v>0</v>
      </c>
      <c r="DK104" s="1118"/>
      <c r="DN104" s="1116"/>
      <c r="DO104" s="1116">
        <f t="shared" si="297"/>
        <v>0</v>
      </c>
      <c r="DP104" s="1117">
        <f t="shared" si="298"/>
        <v>0</v>
      </c>
      <c r="DQ104" s="1117">
        <f t="shared" si="299"/>
        <v>0</v>
      </c>
      <c r="DR104" s="1117">
        <f t="shared" si="300"/>
        <v>0</v>
      </c>
      <c r="DS104" s="1118"/>
      <c r="DV104" s="1116"/>
      <c r="DW104" s="1116">
        <f t="shared" si="301"/>
        <v>0</v>
      </c>
      <c r="DX104" s="1117">
        <f t="shared" si="302"/>
        <v>0</v>
      </c>
      <c r="DY104" s="1117">
        <f t="shared" si="303"/>
        <v>0</v>
      </c>
      <c r="DZ104" s="1117">
        <f t="shared" si="304"/>
        <v>0</v>
      </c>
      <c r="EA104" s="1118"/>
      <c r="ED104" s="1116"/>
      <c r="EE104" s="1116">
        <f t="shared" si="305"/>
        <v>0</v>
      </c>
      <c r="EF104" s="1117">
        <f t="shared" si="306"/>
        <v>0</v>
      </c>
      <c r="EG104" s="1117">
        <f t="shared" si="307"/>
        <v>0</v>
      </c>
      <c r="EH104" s="1117">
        <f t="shared" si="308"/>
        <v>0</v>
      </c>
      <c r="EI104" s="1118"/>
      <c r="EL104" s="1116"/>
      <c r="EM104" s="1116">
        <f t="shared" si="309"/>
        <v>0</v>
      </c>
      <c r="EN104" s="1117">
        <f t="shared" si="310"/>
        <v>0</v>
      </c>
      <c r="EO104" s="1117">
        <f t="shared" si="311"/>
        <v>0</v>
      </c>
      <c r="EP104" s="1117">
        <f t="shared" si="312"/>
        <v>0</v>
      </c>
      <c r="EQ104" s="1118"/>
      <c r="ET104" s="1116"/>
      <c r="EU104" s="1116">
        <f t="shared" si="313"/>
        <v>0</v>
      </c>
      <c r="EV104" s="1117">
        <f t="shared" si="314"/>
        <v>0</v>
      </c>
      <c r="EW104" s="1117">
        <f t="shared" si="315"/>
        <v>0</v>
      </c>
      <c r="EX104" s="1117">
        <f t="shared" si="316"/>
        <v>0</v>
      </c>
      <c r="EY104" s="1118"/>
      <c r="FB104" s="1116"/>
      <c r="FC104" s="1116">
        <f t="shared" si="317"/>
        <v>0</v>
      </c>
      <c r="FD104" s="1117">
        <f t="shared" si="318"/>
        <v>0</v>
      </c>
      <c r="FE104" s="1117">
        <f t="shared" si="319"/>
        <v>0</v>
      </c>
      <c r="FF104" s="1117">
        <f t="shared" si="320"/>
        <v>0</v>
      </c>
      <c r="FG104" s="1118"/>
      <c r="FJ104" s="1116"/>
      <c r="FK104" s="1116">
        <f t="shared" si="321"/>
        <v>0</v>
      </c>
      <c r="FL104" s="1117">
        <f t="shared" si="322"/>
        <v>0</v>
      </c>
      <c r="FM104" s="1117">
        <f t="shared" si="323"/>
        <v>0</v>
      </c>
      <c r="FN104" s="1117">
        <f t="shared" si="324"/>
        <v>0</v>
      </c>
      <c r="FO104" s="1118"/>
    </row>
    <row r="105" spans="1:171">
      <c r="A105" s="1392">
        <v>92000</v>
      </c>
      <c r="B105" s="10" t="s">
        <v>79</v>
      </c>
      <c r="C105" s="888" t="s">
        <v>78</v>
      </c>
      <c r="D105" s="888">
        <v>154</v>
      </c>
      <c r="E105" s="182" t="str">
        <f>'Sch 1- Rate Base '!E105</f>
        <v>PTD</v>
      </c>
      <c r="F105" s="889"/>
      <c r="G105" s="182">
        <f>'Sch 1- Rate Base '!G105</f>
        <v>79492527.939999998</v>
      </c>
      <c r="H105" s="182">
        <f>'Sch 1- Rate Base '!H105</f>
        <v>25259610.746624589</v>
      </c>
      <c r="I105" s="182">
        <f>'Sch 1- Rate Base '!I105</f>
        <v>0</v>
      </c>
      <c r="J105" s="183">
        <f>'Sch 1- Rate Base '!J105</f>
        <v>54232917.193375401</v>
      </c>
      <c r="K105" s="903">
        <f t="shared" si="244"/>
        <v>1</v>
      </c>
      <c r="N105" s="1129">
        <f>VLOOKUP($A105,'New Resources - Individual'!$A$4:$Y$133,N$2,FALSE)*N$1</f>
        <v>0</v>
      </c>
      <c r="O105" s="1116">
        <f t="shared" si="245"/>
        <v>79492527.939999998</v>
      </c>
      <c r="P105" s="1117">
        <f t="shared" si="246"/>
        <v>25259610.746624589</v>
      </c>
      <c r="Q105" s="1117">
        <f t="shared" si="247"/>
        <v>16554910.044824857</v>
      </c>
      <c r="R105" s="1117">
        <f t="shared" si="248"/>
        <v>37678007.148550555</v>
      </c>
      <c r="S105" s="1118"/>
      <c r="V105" s="1129">
        <f>VLOOKUP($A105,'New Resources - Individual'!$A$4:$Y$133,V$2,FALSE)*V$1</f>
        <v>0</v>
      </c>
      <c r="W105" s="1116">
        <f t="shared" si="249"/>
        <v>79492527.939999998</v>
      </c>
      <c r="X105" s="1117">
        <f t="shared" si="250"/>
        <v>25259610.746624589</v>
      </c>
      <c r="Y105" s="1117">
        <f t="shared" si="251"/>
        <v>16554910.044824857</v>
      </c>
      <c r="Z105" s="1117">
        <f t="shared" si="252"/>
        <v>37678007.148550555</v>
      </c>
      <c r="AA105" s="1118"/>
      <c r="AD105" s="1129">
        <f>VLOOKUP($A105,'New Resources - Individual'!$A$4:$Y$133,AD$2,FALSE)*AD$1</f>
        <v>0</v>
      </c>
      <c r="AE105" s="1116">
        <f t="shared" si="253"/>
        <v>79492527.939999998</v>
      </c>
      <c r="AF105" s="1117">
        <f t="shared" si="254"/>
        <v>25259610.746624589</v>
      </c>
      <c r="AG105" s="1117">
        <f t="shared" si="255"/>
        <v>16554910.044824857</v>
      </c>
      <c r="AH105" s="1117">
        <f t="shared" si="256"/>
        <v>37678007.148550555</v>
      </c>
      <c r="AI105" s="1118"/>
      <c r="AL105" s="1129">
        <f>VLOOKUP($A105,'New Resources - Individual'!$A$4:$Y$133,AL$2,FALSE)*AL$1</f>
        <v>0</v>
      </c>
      <c r="AM105" s="1116">
        <f t="shared" si="257"/>
        <v>79492527.939999998</v>
      </c>
      <c r="AN105" s="1117">
        <f t="shared" si="258"/>
        <v>25259610.746624589</v>
      </c>
      <c r="AO105" s="1117">
        <f t="shared" si="259"/>
        <v>16554910.044824857</v>
      </c>
      <c r="AP105" s="1117">
        <f t="shared" si="260"/>
        <v>37678007.148550555</v>
      </c>
      <c r="AQ105" s="1118"/>
      <c r="AT105" s="1129">
        <f>VLOOKUP($A105,'New Resources - Individual'!$A$4:$Y$133,AT$2,FALSE)*AT$1</f>
        <v>0</v>
      </c>
      <c r="AU105" s="1116">
        <f t="shared" si="261"/>
        <v>79492527.939999998</v>
      </c>
      <c r="AV105" s="1117">
        <f t="shared" si="262"/>
        <v>25259610.746624589</v>
      </c>
      <c r="AW105" s="1117">
        <f t="shared" si="263"/>
        <v>16554910.044824857</v>
      </c>
      <c r="AX105" s="1117">
        <f t="shared" si="264"/>
        <v>37678007.148550555</v>
      </c>
      <c r="AY105" s="1118"/>
      <c r="BB105" s="1129">
        <f>VLOOKUP($A105,'New Resources - Individual'!$A$4:$Y$133,BB$2,FALSE)*BB$1</f>
        <v>0</v>
      </c>
      <c r="BC105" s="1116">
        <f t="shared" si="265"/>
        <v>79492527.939999998</v>
      </c>
      <c r="BD105" s="1117">
        <f t="shared" si="266"/>
        <v>25259610.746624589</v>
      </c>
      <c r="BE105" s="1117">
        <f t="shared" si="267"/>
        <v>16554910.044824857</v>
      </c>
      <c r="BF105" s="1117">
        <f t="shared" si="268"/>
        <v>37678007.148550555</v>
      </c>
      <c r="BG105" s="1118"/>
      <c r="BJ105" s="1129">
        <f>VLOOKUP($A105,'New Resources - Individual'!$A$4:$Y$133,BJ$2,FALSE)*BJ$1</f>
        <v>0</v>
      </c>
      <c r="BK105" s="1116">
        <f t="shared" si="269"/>
        <v>79492527.939999998</v>
      </c>
      <c r="BL105" s="1117">
        <f t="shared" si="270"/>
        <v>25259610.746624589</v>
      </c>
      <c r="BM105" s="1117">
        <f t="shared" si="271"/>
        <v>16554910.044824857</v>
      </c>
      <c r="BN105" s="1117">
        <f t="shared" si="272"/>
        <v>37678007.148550555</v>
      </c>
      <c r="BO105" s="1118"/>
      <c r="BR105" s="1129">
        <f>VLOOKUP($A105,'New Resources - Individual'!$A$4:$Y$133,BR$2,FALSE)*BR$1</f>
        <v>0</v>
      </c>
      <c r="BS105" s="1116">
        <f t="shared" si="273"/>
        <v>79492527.939999998</v>
      </c>
      <c r="BT105" s="1117">
        <f t="shared" si="274"/>
        <v>25259610.746624589</v>
      </c>
      <c r="BU105" s="1117">
        <f t="shared" si="275"/>
        <v>16554910.044824857</v>
      </c>
      <c r="BV105" s="1117">
        <f t="shared" si="276"/>
        <v>37678007.148550555</v>
      </c>
      <c r="BW105" s="1118"/>
      <c r="BZ105" s="1129">
        <f>VLOOKUP($A105,'New Resources - Individual'!$A$4:$Y$133,BZ$2,FALSE)*BZ$1</f>
        <v>0</v>
      </c>
      <c r="CA105" s="1116">
        <f t="shared" si="277"/>
        <v>79492527.939999998</v>
      </c>
      <c r="CB105" s="1117">
        <f t="shared" si="278"/>
        <v>25259610.746624589</v>
      </c>
      <c r="CC105" s="1117">
        <f t="shared" si="279"/>
        <v>16554910.044824857</v>
      </c>
      <c r="CD105" s="1117">
        <f t="shared" si="280"/>
        <v>37678007.148550555</v>
      </c>
      <c r="CE105" s="1118"/>
      <c r="CH105" s="1129">
        <f>VLOOKUP($A105,'New Resources - Individual'!$A$4:$Y$133,CH$2,FALSE)*CH$1</f>
        <v>0</v>
      </c>
      <c r="CI105" s="1116">
        <f t="shared" si="281"/>
        <v>79492527.939999998</v>
      </c>
      <c r="CJ105" s="1117">
        <f t="shared" si="282"/>
        <v>25259610.746624589</v>
      </c>
      <c r="CK105" s="1117">
        <f t="shared" si="283"/>
        <v>16554910.044824857</v>
      </c>
      <c r="CL105" s="1117">
        <f t="shared" si="284"/>
        <v>37678007.148550555</v>
      </c>
      <c r="CM105" s="1118"/>
      <c r="CP105" s="1129">
        <f>VLOOKUP($A105,'New Resources - Individual'!$A$4:$Y$133,CP$2,FALSE)*CP$1</f>
        <v>0</v>
      </c>
      <c r="CQ105" s="1116">
        <f t="shared" si="285"/>
        <v>79492527.939999998</v>
      </c>
      <c r="CR105" s="1117">
        <f t="shared" si="286"/>
        <v>25259610.746624589</v>
      </c>
      <c r="CS105" s="1117">
        <f t="shared" si="287"/>
        <v>16554910.044824857</v>
      </c>
      <c r="CT105" s="1117">
        <f t="shared" si="288"/>
        <v>37678007.148550555</v>
      </c>
      <c r="CU105" s="1118"/>
      <c r="CX105" s="1129">
        <f>VLOOKUP($A105,'New Resources - Individual'!$A$4:$Y$133,CX$2,FALSE)*CX$1</f>
        <v>0</v>
      </c>
      <c r="CY105" s="1116">
        <f t="shared" si="289"/>
        <v>79492527.939999998</v>
      </c>
      <c r="CZ105" s="1117">
        <f t="shared" si="290"/>
        <v>25259610.746624589</v>
      </c>
      <c r="DA105" s="1117">
        <f t="shared" si="291"/>
        <v>16554910.044824857</v>
      </c>
      <c r="DB105" s="1117">
        <f t="shared" si="292"/>
        <v>37678007.148550555</v>
      </c>
      <c r="DC105" s="1118"/>
      <c r="DF105" s="1129">
        <f>VLOOKUP($A105,'New Resources - Individual'!$A$4:$Y$133,DF$2,FALSE)*DF$1</f>
        <v>0</v>
      </c>
      <c r="DG105" s="1116">
        <f t="shared" si="293"/>
        <v>79492527.939999998</v>
      </c>
      <c r="DH105" s="1117">
        <f t="shared" si="294"/>
        <v>25259610.746624589</v>
      </c>
      <c r="DI105" s="1117">
        <f t="shared" si="295"/>
        <v>16554910.044824857</v>
      </c>
      <c r="DJ105" s="1117">
        <f t="shared" si="296"/>
        <v>37678007.148550555</v>
      </c>
      <c r="DK105" s="1118"/>
      <c r="DN105" s="1129">
        <f>VLOOKUP($A105,'New Resources - Individual'!$A$4:$Y$133,DN$2,FALSE)*DN$1</f>
        <v>0</v>
      </c>
      <c r="DO105" s="1116">
        <f t="shared" si="297"/>
        <v>79492527.939999998</v>
      </c>
      <c r="DP105" s="1117">
        <f t="shared" si="298"/>
        <v>25259610.746624589</v>
      </c>
      <c r="DQ105" s="1117">
        <f t="shared" si="299"/>
        <v>16554910.044824857</v>
      </c>
      <c r="DR105" s="1117">
        <f t="shared" si="300"/>
        <v>37678007.148550555</v>
      </c>
      <c r="DS105" s="1118"/>
      <c r="DV105" s="1129">
        <f>VLOOKUP($A105,'New Resources - Individual'!$A$4:$Y$133,DV$2,FALSE)*DV$1</f>
        <v>0</v>
      </c>
      <c r="DW105" s="1116">
        <f t="shared" si="301"/>
        <v>79492527.939999998</v>
      </c>
      <c r="DX105" s="1117">
        <f t="shared" si="302"/>
        <v>25259610.746624589</v>
      </c>
      <c r="DY105" s="1117">
        <f t="shared" si="303"/>
        <v>16554910.044824857</v>
      </c>
      <c r="DZ105" s="1117">
        <f t="shared" si="304"/>
        <v>37678007.148550555</v>
      </c>
      <c r="EA105" s="1118"/>
      <c r="ED105" s="1129">
        <f>VLOOKUP($A105,'New Resources - Individual'!$A$4:$Y$133,ED$2,FALSE)*ED$1</f>
        <v>0</v>
      </c>
      <c r="EE105" s="1116">
        <f t="shared" si="305"/>
        <v>79492527.939999998</v>
      </c>
      <c r="EF105" s="1117">
        <f t="shared" si="306"/>
        <v>25259610.746624589</v>
      </c>
      <c r="EG105" s="1117">
        <f t="shared" si="307"/>
        <v>16554910.044824857</v>
      </c>
      <c r="EH105" s="1117">
        <f t="shared" si="308"/>
        <v>37678007.148550555</v>
      </c>
      <c r="EI105" s="1118"/>
      <c r="EL105" s="1129">
        <f>VLOOKUP($A105,'New Resources - Individual'!$A$4:$Y$133,EL$2,FALSE)*EL$1</f>
        <v>0</v>
      </c>
      <c r="EM105" s="1116">
        <f t="shared" si="309"/>
        <v>79492527.939999998</v>
      </c>
      <c r="EN105" s="1117">
        <f t="shared" si="310"/>
        <v>25259610.746624589</v>
      </c>
      <c r="EO105" s="1117">
        <f t="shared" si="311"/>
        <v>16554910.044824857</v>
      </c>
      <c r="EP105" s="1117">
        <f t="shared" si="312"/>
        <v>37678007.148550555</v>
      </c>
      <c r="EQ105" s="1118"/>
      <c r="ET105" s="1129">
        <f>VLOOKUP($A105,'New Resources - Individual'!$A$4:$Y$133,ET$2,FALSE)*ET$1</f>
        <v>0</v>
      </c>
      <c r="EU105" s="1116">
        <f t="shared" si="313"/>
        <v>79492527.939999998</v>
      </c>
      <c r="EV105" s="1117">
        <f t="shared" si="314"/>
        <v>25259610.746624589</v>
      </c>
      <c r="EW105" s="1117">
        <f t="shared" si="315"/>
        <v>16554910.044824857</v>
      </c>
      <c r="EX105" s="1117">
        <f t="shared" si="316"/>
        <v>37678007.148550555</v>
      </c>
      <c r="EY105" s="1118"/>
      <c r="FB105" s="1129">
        <f>VLOOKUP($A105,'New Resources - Individual'!$A$4:$Y$133,FB$2,FALSE)*FB$1</f>
        <v>0</v>
      </c>
      <c r="FC105" s="1116">
        <f t="shared" si="317"/>
        <v>79492527.939999998</v>
      </c>
      <c r="FD105" s="1117">
        <f t="shared" si="318"/>
        <v>25259610.746624589</v>
      </c>
      <c r="FE105" s="1117">
        <f t="shared" si="319"/>
        <v>16554910.044824857</v>
      </c>
      <c r="FF105" s="1117">
        <f t="shared" si="320"/>
        <v>37678007.148550555</v>
      </c>
      <c r="FG105" s="1118"/>
      <c r="FJ105" s="1129">
        <f>VLOOKUP($A105,'New Resources - Individual'!$A$4:$Y$133,FJ$2,FALSE)*FJ$1</f>
        <v>0</v>
      </c>
      <c r="FK105" s="1116">
        <f t="shared" si="321"/>
        <v>79492527.939999998</v>
      </c>
      <c r="FL105" s="1117">
        <f t="shared" si="322"/>
        <v>25259610.746624589</v>
      </c>
      <c r="FM105" s="1117">
        <f t="shared" si="323"/>
        <v>16554910.044824857</v>
      </c>
      <c r="FN105" s="1117">
        <f t="shared" si="324"/>
        <v>37678007.148550555</v>
      </c>
      <c r="FO105" s="1118"/>
    </row>
    <row r="106" spans="1:171">
      <c r="A106" s="1394"/>
      <c r="B106" s="10" t="s">
        <v>355</v>
      </c>
      <c r="C106" s="888" t="s">
        <v>255</v>
      </c>
      <c r="D106" s="888">
        <v>155</v>
      </c>
      <c r="E106" s="182" t="str">
        <f>'Sch 1- Rate Base '!E106</f>
        <v>DIST</v>
      </c>
      <c r="F106" s="889"/>
      <c r="G106" s="182">
        <f>'Sch 1- Rate Base '!G106</f>
        <v>0</v>
      </c>
      <c r="H106" s="182">
        <f>'Sch 1- Rate Base '!H106</f>
        <v>0</v>
      </c>
      <c r="I106" s="182">
        <f>'Sch 1- Rate Base '!I106</f>
        <v>0</v>
      </c>
      <c r="J106" s="183">
        <f>'Sch 1- Rate Base '!J106</f>
        <v>0</v>
      </c>
      <c r="K106" s="903">
        <f t="shared" si="244"/>
        <v>1</v>
      </c>
      <c r="N106" s="1116"/>
      <c r="O106" s="1116">
        <f t="shared" si="245"/>
        <v>0</v>
      </c>
      <c r="P106" s="1117">
        <f t="shared" si="246"/>
        <v>0</v>
      </c>
      <c r="Q106" s="1117">
        <f t="shared" si="247"/>
        <v>0</v>
      </c>
      <c r="R106" s="1117">
        <f t="shared" si="248"/>
        <v>0</v>
      </c>
      <c r="S106" s="1118"/>
      <c r="V106" s="1116"/>
      <c r="W106" s="1116">
        <f t="shared" si="249"/>
        <v>0</v>
      </c>
      <c r="X106" s="1117">
        <f t="shared" si="250"/>
        <v>0</v>
      </c>
      <c r="Y106" s="1117">
        <f t="shared" si="251"/>
        <v>0</v>
      </c>
      <c r="Z106" s="1117">
        <f t="shared" si="252"/>
        <v>0</v>
      </c>
      <c r="AA106" s="1118"/>
      <c r="AD106" s="1116"/>
      <c r="AE106" s="1116">
        <f t="shared" si="253"/>
        <v>0</v>
      </c>
      <c r="AF106" s="1117">
        <f t="shared" si="254"/>
        <v>0</v>
      </c>
      <c r="AG106" s="1117">
        <f t="shared" si="255"/>
        <v>0</v>
      </c>
      <c r="AH106" s="1117">
        <f t="shared" si="256"/>
        <v>0</v>
      </c>
      <c r="AI106" s="1118"/>
      <c r="AL106" s="1116"/>
      <c r="AM106" s="1116">
        <f t="shared" si="257"/>
        <v>0</v>
      </c>
      <c r="AN106" s="1117">
        <f t="shared" si="258"/>
        <v>0</v>
      </c>
      <c r="AO106" s="1117">
        <f t="shared" si="259"/>
        <v>0</v>
      </c>
      <c r="AP106" s="1117">
        <f t="shared" si="260"/>
        <v>0</v>
      </c>
      <c r="AQ106" s="1118"/>
      <c r="AT106" s="1116"/>
      <c r="AU106" s="1116">
        <f t="shared" si="261"/>
        <v>0</v>
      </c>
      <c r="AV106" s="1117">
        <f t="shared" si="262"/>
        <v>0</v>
      </c>
      <c r="AW106" s="1117">
        <f t="shared" si="263"/>
        <v>0</v>
      </c>
      <c r="AX106" s="1117">
        <f t="shared" si="264"/>
        <v>0</v>
      </c>
      <c r="AY106" s="1118"/>
      <c r="BB106" s="1116"/>
      <c r="BC106" s="1116">
        <f t="shared" si="265"/>
        <v>0</v>
      </c>
      <c r="BD106" s="1117">
        <f t="shared" si="266"/>
        <v>0</v>
      </c>
      <c r="BE106" s="1117">
        <f t="shared" si="267"/>
        <v>0</v>
      </c>
      <c r="BF106" s="1117">
        <f t="shared" si="268"/>
        <v>0</v>
      </c>
      <c r="BG106" s="1118"/>
      <c r="BJ106" s="1116"/>
      <c r="BK106" s="1116">
        <f t="shared" si="269"/>
        <v>0</v>
      </c>
      <c r="BL106" s="1117">
        <f t="shared" si="270"/>
        <v>0</v>
      </c>
      <c r="BM106" s="1117">
        <f t="shared" si="271"/>
        <v>0</v>
      </c>
      <c r="BN106" s="1117">
        <f t="shared" si="272"/>
        <v>0</v>
      </c>
      <c r="BO106" s="1118"/>
      <c r="BR106" s="1116"/>
      <c r="BS106" s="1116">
        <f t="shared" si="273"/>
        <v>0</v>
      </c>
      <c r="BT106" s="1117">
        <f t="shared" si="274"/>
        <v>0</v>
      </c>
      <c r="BU106" s="1117">
        <f t="shared" si="275"/>
        <v>0</v>
      </c>
      <c r="BV106" s="1117">
        <f t="shared" si="276"/>
        <v>0</v>
      </c>
      <c r="BW106" s="1118"/>
      <c r="BZ106" s="1116"/>
      <c r="CA106" s="1116">
        <f t="shared" si="277"/>
        <v>0</v>
      </c>
      <c r="CB106" s="1117">
        <f t="shared" si="278"/>
        <v>0</v>
      </c>
      <c r="CC106" s="1117">
        <f t="shared" si="279"/>
        <v>0</v>
      </c>
      <c r="CD106" s="1117">
        <f t="shared" si="280"/>
        <v>0</v>
      </c>
      <c r="CE106" s="1118"/>
      <c r="CH106" s="1116"/>
      <c r="CI106" s="1116">
        <f t="shared" si="281"/>
        <v>0</v>
      </c>
      <c r="CJ106" s="1117">
        <f t="shared" si="282"/>
        <v>0</v>
      </c>
      <c r="CK106" s="1117">
        <f t="shared" si="283"/>
        <v>0</v>
      </c>
      <c r="CL106" s="1117">
        <f t="shared" si="284"/>
        <v>0</v>
      </c>
      <c r="CM106" s="1118"/>
      <c r="CP106" s="1116"/>
      <c r="CQ106" s="1116">
        <f t="shared" si="285"/>
        <v>0</v>
      </c>
      <c r="CR106" s="1117">
        <f t="shared" si="286"/>
        <v>0</v>
      </c>
      <c r="CS106" s="1117">
        <f t="shared" si="287"/>
        <v>0</v>
      </c>
      <c r="CT106" s="1117">
        <f t="shared" si="288"/>
        <v>0</v>
      </c>
      <c r="CU106" s="1118"/>
      <c r="CX106" s="1116"/>
      <c r="CY106" s="1116">
        <f t="shared" si="289"/>
        <v>0</v>
      </c>
      <c r="CZ106" s="1117">
        <f t="shared" si="290"/>
        <v>0</v>
      </c>
      <c r="DA106" s="1117">
        <f t="shared" si="291"/>
        <v>0</v>
      </c>
      <c r="DB106" s="1117">
        <f t="shared" si="292"/>
        <v>0</v>
      </c>
      <c r="DC106" s="1118"/>
      <c r="DF106" s="1116"/>
      <c r="DG106" s="1116">
        <f t="shared" si="293"/>
        <v>0</v>
      </c>
      <c r="DH106" s="1117">
        <f t="shared" si="294"/>
        <v>0</v>
      </c>
      <c r="DI106" s="1117">
        <f t="shared" si="295"/>
        <v>0</v>
      </c>
      <c r="DJ106" s="1117">
        <f t="shared" si="296"/>
        <v>0</v>
      </c>
      <c r="DK106" s="1118"/>
      <c r="DN106" s="1116"/>
      <c r="DO106" s="1116">
        <f t="shared" si="297"/>
        <v>0</v>
      </c>
      <c r="DP106" s="1117">
        <f t="shared" si="298"/>
        <v>0</v>
      </c>
      <c r="DQ106" s="1117">
        <f t="shared" si="299"/>
        <v>0</v>
      </c>
      <c r="DR106" s="1117">
        <f t="shared" si="300"/>
        <v>0</v>
      </c>
      <c r="DS106" s="1118"/>
      <c r="DV106" s="1116"/>
      <c r="DW106" s="1116">
        <f t="shared" si="301"/>
        <v>0</v>
      </c>
      <c r="DX106" s="1117">
        <f t="shared" si="302"/>
        <v>0</v>
      </c>
      <c r="DY106" s="1117">
        <f t="shared" si="303"/>
        <v>0</v>
      </c>
      <c r="DZ106" s="1117">
        <f t="shared" si="304"/>
        <v>0</v>
      </c>
      <c r="EA106" s="1118"/>
      <c r="ED106" s="1116"/>
      <c r="EE106" s="1116">
        <f t="shared" si="305"/>
        <v>0</v>
      </c>
      <c r="EF106" s="1117">
        <f t="shared" si="306"/>
        <v>0</v>
      </c>
      <c r="EG106" s="1117">
        <f t="shared" si="307"/>
        <v>0</v>
      </c>
      <c r="EH106" s="1117">
        <f t="shared" si="308"/>
        <v>0</v>
      </c>
      <c r="EI106" s="1118"/>
      <c r="EL106" s="1116"/>
      <c r="EM106" s="1116">
        <f t="shared" si="309"/>
        <v>0</v>
      </c>
      <c r="EN106" s="1117">
        <f t="shared" si="310"/>
        <v>0</v>
      </c>
      <c r="EO106" s="1117">
        <f t="shared" si="311"/>
        <v>0</v>
      </c>
      <c r="EP106" s="1117">
        <f t="shared" si="312"/>
        <v>0</v>
      </c>
      <c r="EQ106" s="1118"/>
      <c r="ET106" s="1116"/>
      <c r="EU106" s="1116">
        <f t="shared" si="313"/>
        <v>0</v>
      </c>
      <c r="EV106" s="1117">
        <f t="shared" si="314"/>
        <v>0</v>
      </c>
      <c r="EW106" s="1117">
        <f t="shared" si="315"/>
        <v>0</v>
      </c>
      <c r="EX106" s="1117">
        <f t="shared" si="316"/>
        <v>0</v>
      </c>
      <c r="EY106" s="1118"/>
      <c r="FB106" s="1116"/>
      <c r="FC106" s="1116">
        <f t="shared" si="317"/>
        <v>0</v>
      </c>
      <c r="FD106" s="1117">
        <f t="shared" si="318"/>
        <v>0</v>
      </c>
      <c r="FE106" s="1117">
        <f t="shared" si="319"/>
        <v>0</v>
      </c>
      <c r="FF106" s="1117">
        <f t="shared" si="320"/>
        <v>0</v>
      </c>
      <c r="FG106" s="1118"/>
      <c r="FJ106" s="1116"/>
      <c r="FK106" s="1116">
        <f t="shared" si="321"/>
        <v>0</v>
      </c>
      <c r="FL106" s="1117">
        <f t="shared" si="322"/>
        <v>0</v>
      </c>
      <c r="FM106" s="1117">
        <f t="shared" si="323"/>
        <v>0</v>
      </c>
      <c r="FN106" s="1117">
        <f t="shared" si="324"/>
        <v>0</v>
      </c>
      <c r="FO106" s="1118"/>
    </row>
    <row r="107" spans="1:171">
      <c r="A107" s="1394"/>
      <c r="B107" s="10" t="s">
        <v>356</v>
      </c>
      <c r="C107" s="888" t="s">
        <v>78</v>
      </c>
      <c r="D107" s="888">
        <v>156</v>
      </c>
      <c r="E107" s="182" t="str">
        <f>'Sch 1- Rate Base '!E107</f>
        <v>DIST</v>
      </c>
      <c r="F107" s="889"/>
      <c r="G107" s="182">
        <f>'Sch 1- Rate Base '!G107</f>
        <v>0</v>
      </c>
      <c r="H107" s="182">
        <f>'Sch 1- Rate Base '!H107</f>
        <v>0</v>
      </c>
      <c r="I107" s="182">
        <f>'Sch 1- Rate Base '!I107</f>
        <v>0</v>
      </c>
      <c r="J107" s="183">
        <f>'Sch 1- Rate Base '!J107</f>
        <v>0</v>
      </c>
      <c r="K107" s="903">
        <f t="shared" si="244"/>
        <v>1</v>
      </c>
      <c r="N107" s="1116"/>
      <c r="O107" s="1116">
        <f t="shared" si="245"/>
        <v>0</v>
      </c>
      <c r="P107" s="1117">
        <f t="shared" si="246"/>
        <v>0</v>
      </c>
      <c r="Q107" s="1117">
        <f t="shared" si="247"/>
        <v>0</v>
      </c>
      <c r="R107" s="1117">
        <f t="shared" si="248"/>
        <v>0</v>
      </c>
      <c r="S107" s="1118"/>
      <c r="V107" s="1116"/>
      <c r="W107" s="1116">
        <f t="shared" si="249"/>
        <v>0</v>
      </c>
      <c r="X107" s="1117">
        <f t="shared" si="250"/>
        <v>0</v>
      </c>
      <c r="Y107" s="1117">
        <f t="shared" si="251"/>
        <v>0</v>
      </c>
      <c r="Z107" s="1117">
        <f t="shared" si="252"/>
        <v>0</v>
      </c>
      <c r="AA107" s="1118"/>
      <c r="AD107" s="1116"/>
      <c r="AE107" s="1116">
        <f t="shared" si="253"/>
        <v>0</v>
      </c>
      <c r="AF107" s="1117">
        <f t="shared" si="254"/>
        <v>0</v>
      </c>
      <c r="AG107" s="1117">
        <f t="shared" si="255"/>
        <v>0</v>
      </c>
      <c r="AH107" s="1117">
        <f t="shared" si="256"/>
        <v>0</v>
      </c>
      <c r="AI107" s="1118"/>
      <c r="AL107" s="1116"/>
      <c r="AM107" s="1116">
        <f t="shared" si="257"/>
        <v>0</v>
      </c>
      <c r="AN107" s="1117">
        <f t="shared" si="258"/>
        <v>0</v>
      </c>
      <c r="AO107" s="1117">
        <f t="shared" si="259"/>
        <v>0</v>
      </c>
      <c r="AP107" s="1117">
        <f t="shared" si="260"/>
        <v>0</v>
      </c>
      <c r="AQ107" s="1118"/>
      <c r="AT107" s="1116"/>
      <c r="AU107" s="1116">
        <f t="shared" si="261"/>
        <v>0</v>
      </c>
      <c r="AV107" s="1117">
        <f t="shared" si="262"/>
        <v>0</v>
      </c>
      <c r="AW107" s="1117">
        <f t="shared" si="263"/>
        <v>0</v>
      </c>
      <c r="AX107" s="1117">
        <f t="shared" si="264"/>
        <v>0</v>
      </c>
      <c r="AY107" s="1118"/>
      <c r="BB107" s="1116"/>
      <c r="BC107" s="1116">
        <f t="shared" si="265"/>
        <v>0</v>
      </c>
      <c r="BD107" s="1117">
        <f t="shared" si="266"/>
        <v>0</v>
      </c>
      <c r="BE107" s="1117">
        <f t="shared" si="267"/>
        <v>0</v>
      </c>
      <c r="BF107" s="1117">
        <f t="shared" si="268"/>
        <v>0</v>
      </c>
      <c r="BG107" s="1118"/>
      <c r="BJ107" s="1116"/>
      <c r="BK107" s="1116">
        <f t="shared" si="269"/>
        <v>0</v>
      </c>
      <c r="BL107" s="1117">
        <f t="shared" si="270"/>
        <v>0</v>
      </c>
      <c r="BM107" s="1117">
        <f t="shared" si="271"/>
        <v>0</v>
      </c>
      <c r="BN107" s="1117">
        <f t="shared" si="272"/>
        <v>0</v>
      </c>
      <c r="BO107" s="1118"/>
      <c r="BR107" s="1116"/>
      <c r="BS107" s="1116">
        <f t="shared" si="273"/>
        <v>0</v>
      </c>
      <c r="BT107" s="1117">
        <f t="shared" si="274"/>
        <v>0</v>
      </c>
      <c r="BU107" s="1117">
        <f t="shared" si="275"/>
        <v>0</v>
      </c>
      <c r="BV107" s="1117">
        <f t="shared" si="276"/>
        <v>0</v>
      </c>
      <c r="BW107" s="1118"/>
      <c r="BZ107" s="1116"/>
      <c r="CA107" s="1116">
        <f t="shared" si="277"/>
        <v>0</v>
      </c>
      <c r="CB107" s="1117">
        <f t="shared" si="278"/>
        <v>0</v>
      </c>
      <c r="CC107" s="1117">
        <f t="shared" si="279"/>
        <v>0</v>
      </c>
      <c r="CD107" s="1117">
        <f t="shared" si="280"/>
        <v>0</v>
      </c>
      <c r="CE107" s="1118"/>
      <c r="CH107" s="1116"/>
      <c r="CI107" s="1116">
        <f t="shared" si="281"/>
        <v>0</v>
      </c>
      <c r="CJ107" s="1117">
        <f t="shared" si="282"/>
        <v>0</v>
      </c>
      <c r="CK107" s="1117">
        <f t="shared" si="283"/>
        <v>0</v>
      </c>
      <c r="CL107" s="1117">
        <f t="shared" si="284"/>
        <v>0</v>
      </c>
      <c r="CM107" s="1118"/>
      <c r="CP107" s="1116"/>
      <c r="CQ107" s="1116">
        <f t="shared" si="285"/>
        <v>0</v>
      </c>
      <c r="CR107" s="1117">
        <f t="shared" si="286"/>
        <v>0</v>
      </c>
      <c r="CS107" s="1117">
        <f t="shared" si="287"/>
        <v>0</v>
      </c>
      <c r="CT107" s="1117">
        <f t="shared" si="288"/>
        <v>0</v>
      </c>
      <c r="CU107" s="1118"/>
      <c r="CX107" s="1116"/>
      <c r="CY107" s="1116">
        <f t="shared" si="289"/>
        <v>0</v>
      </c>
      <c r="CZ107" s="1117">
        <f t="shared" si="290"/>
        <v>0</v>
      </c>
      <c r="DA107" s="1117">
        <f t="shared" si="291"/>
        <v>0</v>
      </c>
      <c r="DB107" s="1117">
        <f t="shared" si="292"/>
        <v>0</v>
      </c>
      <c r="DC107" s="1118"/>
      <c r="DF107" s="1116"/>
      <c r="DG107" s="1116">
        <f t="shared" si="293"/>
        <v>0</v>
      </c>
      <c r="DH107" s="1117">
        <f t="shared" si="294"/>
        <v>0</v>
      </c>
      <c r="DI107" s="1117">
        <f t="shared" si="295"/>
        <v>0</v>
      </c>
      <c r="DJ107" s="1117">
        <f t="shared" si="296"/>
        <v>0</v>
      </c>
      <c r="DK107" s="1118"/>
      <c r="DN107" s="1116"/>
      <c r="DO107" s="1116">
        <f t="shared" si="297"/>
        <v>0</v>
      </c>
      <c r="DP107" s="1117">
        <f t="shared" si="298"/>
        <v>0</v>
      </c>
      <c r="DQ107" s="1117">
        <f t="shared" si="299"/>
        <v>0</v>
      </c>
      <c r="DR107" s="1117">
        <f t="shared" si="300"/>
        <v>0</v>
      </c>
      <c r="DS107" s="1118"/>
      <c r="DV107" s="1116"/>
      <c r="DW107" s="1116">
        <f t="shared" si="301"/>
        <v>0</v>
      </c>
      <c r="DX107" s="1117">
        <f t="shared" si="302"/>
        <v>0</v>
      </c>
      <c r="DY107" s="1117">
        <f t="shared" si="303"/>
        <v>0</v>
      </c>
      <c r="DZ107" s="1117">
        <f t="shared" si="304"/>
        <v>0</v>
      </c>
      <c r="EA107" s="1118"/>
      <c r="ED107" s="1116"/>
      <c r="EE107" s="1116">
        <f t="shared" si="305"/>
        <v>0</v>
      </c>
      <c r="EF107" s="1117">
        <f t="shared" si="306"/>
        <v>0</v>
      </c>
      <c r="EG107" s="1117">
        <f t="shared" si="307"/>
        <v>0</v>
      </c>
      <c r="EH107" s="1117">
        <f t="shared" si="308"/>
        <v>0</v>
      </c>
      <c r="EI107" s="1118"/>
      <c r="EL107" s="1116"/>
      <c r="EM107" s="1116">
        <f t="shared" si="309"/>
        <v>0</v>
      </c>
      <c r="EN107" s="1117">
        <f t="shared" si="310"/>
        <v>0</v>
      </c>
      <c r="EO107" s="1117">
        <f t="shared" si="311"/>
        <v>0</v>
      </c>
      <c r="EP107" s="1117">
        <f t="shared" si="312"/>
        <v>0</v>
      </c>
      <c r="EQ107" s="1118"/>
      <c r="ET107" s="1116"/>
      <c r="EU107" s="1116">
        <f t="shared" si="313"/>
        <v>0</v>
      </c>
      <c r="EV107" s="1117">
        <f t="shared" si="314"/>
        <v>0</v>
      </c>
      <c r="EW107" s="1117">
        <f t="shared" si="315"/>
        <v>0</v>
      </c>
      <c r="EX107" s="1117">
        <f t="shared" si="316"/>
        <v>0</v>
      </c>
      <c r="EY107" s="1118"/>
      <c r="FB107" s="1116"/>
      <c r="FC107" s="1116">
        <f t="shared" si="317"/>
        <v>0</v>
      </c>
      <c r="FD107" s="1117">
        <f t="shared" si="318"/>
        <v>0</v>
      </c>
      <c r="FE107" s="1117">
        <f t="shared" si="319"/>
        <v>0</v>
      </c>
      <c r="FF107" s="1117">
        <f t="shared" si="320"/>
        <v>0</v>
      </c>
      <c r="FG107" s="1118"/>
      <c r="FJ107" s="1116"/>
      <c r="FK107" s="1116">
        <f t="shared" si="321"/>
        <v>0</v>
      </c>
      <c r="FL107" s="1117">
        <f t="shared" si="322"/>
        <v>0</v>
      </c>
      <c r="FM107" s="1117">
        <f t="shared" si="323"/>
        <v>0</v>
      </c>
      <c r="FN107" s="1117">
        <f t="shared" si="324"/>
        <v>0</v>
      </c>
      <c r="FO107" s="1118"/>
    </row>
    <row r="108" spans="1:171">
      <c r="A108" s="1392">
        <v>93000</v>
      </c>
      <c r="B108" s="10" t="s">
        <v>357</v>
      </c>
      <c r="C108" s="888" t="s">
        <v>255</v>
      </c>
      <c r="D108" s="888">
        <v>158.1</v>
      </c>
      <c r="E108" s="182" t="str">
        <f>'Sch 1- Rate Base '!E108</f>
        <v>PROD</v>
      </c>
      <c r="F108" s="889"/>
      <c r="G108" s="182">
        <f>'Sch 1- Rate Base '!G108</f>
        <v>30071678.350000001</v>
      </c>
      <c r="H108" s="182">
        <f>'Sch 1- Rate Base '!H108</f>
        <v>30071678.350000001</v>
      </c>
      <c r="I108" s="182">
        <f>'Sch 1- Rate Base '!I108</f>
        <v>0</v>
      </c>
      <c r="J108" s="183">
        <f>'Sch 1- Rate Base '!J108</f>
        <v>0</v>
      </c>
      <c r="K108" s="903">
        <f t="shared" si="244"/>
        <v>1</v>
      </c>
      <c r="N108" s="1129">
        <f>VLOOKUP($A108,'New Resources - Individual'!$A$4:$Y$133,N$2,FALSE)*N$1</f>
        <v>0</v>
      </c>
      <c r="O108" s="1116">
        <f t="shared" si="245"/>
        <v>30071678.350000001</v>
      </c>
      <c r="P108" s="1117">
        <f t="shared" si="246"/>
        <v>30071678.350000001</v>
      </c>
      <c r="Q108" s="1117">
        <f t="shared" si="247"/>
        <v>0</v>
      </c>
      <c r="R108" s="1117">
        <f t="shared" si="248"/>
        <v>0</v>
      </c>
      <c r="S108" s="1118"/>
      <c r="V108" s="1129">
        <f>VLOOKUP($A108,'New Resources - Individual'!$A$4:$Y$133,V$2,FALSE)*V$1</f>
        <v>0</v>
      </c>
      <c r="W108" s="1116">
        <f t="shared" si="249"/>
        <v>30071678.350000001</v>
      </c>
      <c r="X108" s="1117">
        <f t="shared" si="250"/>
        <v>30071678.350000001</v>
      </c>
      <c r="Y108" s="1117">
        <f t="shared" si="251"/>
        <v>0</v>
      </c>
      <c r="Z108" s="1117">
        <f t="shared" si="252"/>
        <v>0</v>
      </c>
      <c r="AA108" s="1118"/>
      <c r="AD108" s="1129">
        <f>VLOOKUP($A108,'New Resources - Individual'!$A$4:$Y$133,AD$2,FALSE)*AD$1</f>
        <v>0</v>
      </c>
      <c r="AE108" s="1116">
        <f t="shared" si="253"/>
        <v>30071678.350000001</v>
      </c>
      <c r="AF108" s="1117">
        <f t="shared" si="254"/>
        <v>30071678.350000001</v>
      </c>
      <c r="AG108" s="1117">
        <f t="shared" si="255"/>
        <v>0</v>
      </c>
      <c r="AH108" s="1117">
        <f t="shared" si="256"/>
        <v>0</v>
      </c>
      <c r="AI108" s="1118"/>
      <c r="AL108" s="1129">
        <f>VLOOKUP($A108,'New Resources - Individual'!$A$4:$Y$133,AL$2,FALSE)*AL$1</f>
        <v>0</v>
      </c>
      <c r="AM108" s="1116">
        <f t="shared" si="257"/>
        <v>30071678.350000001</v>
      </c>
      <c r="AN108" s="1117">
        <f t="shared" si="258"/>
        <v>30071678.350000001</v>
      </c>
      <c r="AO108" s="1117">
        <f t="shared" si="259"/>
        <v>0</v>
      </c>
      <c r="AP108" s="1117">
        <f t="shared" si="260"/>
        <v>0</v>
      </c>
      <c r="AQ108" s="1118"/>
      <c r="AT108" s="1129">
        <f>VLOOKUP($A108,'New Resources - Individual'!$A$4:$Y$133,AT$2,FALSE)*AT$1</f>
        <v>0</v>
      </c>
      <c r="AU108" s="1116">
        <f t="shared" si="261"/>
        <v>30071678.350000001</v>
      </c>
      <c r="AV108" s="1117">
        <f t="shared" si="262"/>
        <v>30071678.350000001</v>
      </c>
      <c r="AW108" s="1117">
        <f t="shared" si="263"/>
        <v>0</v>
      </c>
      <c r="AX108" s="1117">
        <f t="shared" si="264"/>
        <v>0</v>
      </c>
      <c r="AY108" s="1118"/>
      <c r="BB108" s="1129">
        <f>VLOOKUP($A108,'New Resources - Individual'!$A$4:$Y$133,BB$2,FALSE)*BB$1</f>
        <v>0</v>
      </c>
      <c r="BC108" s="1116">
        <f t="shared" si="265"/>
        <v>30071678.350000001</v>
      </c>
      <c r="BD108" s="1117">
        <f t="shared" si="266"/>
        <v>30071678.350000001</v>
      </c>
      <c r="BE108" s="1117">
        <f t="shared" si="267"/>
        <v>0</v>
      </c>
      <c r="BF108" s="1117">
        <f t="shared" si="268"/>
        <v>0</v>
      </c>
      <c r="BG108" s="1118"/>
      <c r="BJ108" s="1129">
        <f>VLOOKUP($A108,'New Resources - Individual'!$A$4:$Y$133,BJ$2,FALSE)*BJ$1</f>
        <v>0</v>
      </c>
      <c r="BK108" s="1116">
        <f t="shared" si="269"/>
        <v>30071678.350000001</v>
      </c>
      <c r="BL108" s="1117">
        <f t="shared" si="270"/>
        <v>30071678.350000001</v>
      </c>
      <c r="BM108" s="1117">
        <f t="shared" si="271"/>
        <v>0</v>
      </c>
      <c r="BN108" s="1117">
        <f t="shared" si="272"/>
        <v>0</v>
      </c>
      <c r="BO108" s="1118"/>
      <c r="BR108" s="1129">
        <f>VLOOKUP($A108,'New Resources - Individual'!$A$4:$Y$133,BR$2,FALSE)*BR$1</f>
        <v>0</v>
      </c>
      <c r="BS108" s="1116">
        <f t="shared" si="273"/>
        <v>30071678.350000001</v>
      </c>
      <c r="BT108" s="1117">
        <f t="shared" si="274"/>
        <v>30071678.350000001</v>
      </c>
      <c r="BU108" s="1117">
        <f t="shared" si="275"/>
        <v>0</v>
      </c>
      <c r="BV108" s="1117">
        <f t="shared" si="276"/>
        <v>0</v>
      </c>
      <c r="BW108" s="1118"/>
      <c r="BZ108" s="1129">
        <f>VLOOKUP($A108,'New Resources - Individual'!$A$4:$Y$133,BZ$2,FALSE)*BZ$1</f>
        <v>0</v>
      </c>
      <c r="CA108" s="1116">
        <f t="shared" si="277"/>
        <v>30071678.350000001</v>
      </c>
      <c r="CB108" s="1117">
        <f t="shared" si="278"/>
        <v>30071678.350000001</v>
      </c>
      <c r="CC108" s="1117">
        <f t="shared" si="279"/>
        <v>0</v>
      </c>
      <c r="CD108" s="1117">
        <f t="shared" si="280"/>
        <v>0</v>
      </c>
      <c r="CE108" s="1118"/>
      <c r="CH108" s="1129">
        <f>VLOOKUP($A108,'New Resources - Individual'!$A$4:$Y$133,CH$2,FALSE)*CH$1</f>
        <v>0</v>
      </c>
      <c r="CI108" s="1116">
        <f t="shared" si="281"/>
        <v>30071678.350000001</v>
      </c>
      <c r="CJ108" s="1117">
        <f t="shared" si="282"/>
        <v>30071678.350000001</v>
      </c>
      <c r="CK108" s="1117">
        <f t="shared" si="283"/>
        <v>0</v>
      </c>
      <c r="CL108" s="1117">
        <f t="shared" si="284"/>
        <v>0</v>
      </c>
      <c r="CM108" s="1118"/>
      <c r="CP108" s="1129">
        <f>VLOOKUP($A108,'New Resources - Individual'!$A$4:$Y$133,CP$2,FALSE)*CP$1</f>
        <v>0</v>
      </c>
      <c r="CQ108" s="1116">
        <f t="shared" si="285"/>
        <v>30071678.350000001</v>
      </c>
      <c r="CR108" s="1117">
        <f t="shared" si="286"/>
        <v>30071678.350000001</v>
      </c>
      <c r="CS108" s="1117">
        <f t="shared" si="287"/>
        <v>0</v>
      </c>
      <c r="CT108" s="1117">
        <f t="shared" si="288"/>
        <v>0</v>
      </c>
      <c r="CU108" s="1118"/>
      <c r="CX108" s="1129">
        <f>VLOOKUP($A108,'New Resources - Individual'!$A$4:$Y$133,CX$2,FALSE)*CX$1</f>
        <v>0</v>
      </c>
      <c r="CY108" s="1116">
        <f t="shared" si="289"/>
        <v>30071678.350000001</v>
      </c>
      <c r="CZ108" s="1117">
        <f t="shared" si="290"/>
        <v>30071678.350000001</v>
      </c>
      <c r="DA108" s="1117">
        <f t="shared" si="291"/>
        <v>0</v>
      </c>
      <c r="DB108" s="1117">
        <f t="shared" si="292"/>
        <v>0</v>
      </c>
      <c r="DC108" s="1118"/>
      <c r="DF108" s="1129">
        <f>VLOOKUP($A108,'New Resources - Individual'!$A$4:$Y$133,DF$2,FALSE)*DF$1</f>
        <v>0</v>
      </c>
      <c r="DG108" s="1116">
        <f t="shared" si="293"/>
        <v>30071678.350000001</v>
      </c>
      <c r="DH108" s="1117">
        <f t="shared" si="294"/>
        <v>30071678.350000001</v>
      </c>
      <c r="DI108" s="1117">
        <f t="shared" si="295"/>
        <v>0</v>
      </c>
      <c r="DJ108" s="1117">
        <f t="shared" si="296"/>
        <v>0</v>
      </c>
      <c r="DK108" s="1118"/>
      <c r="DN108" s="1129">
        <f>VLOOKUP($A108,'New Resources - Individual'!$A$4:$Y$133,DN$2,FALSE)*DN$1</f>
        <v>0</v>
      </c>
      <c r="DO108" s="1116">
        <f t="shared" si="297"/>
        <v>30071678.350000001</v>
      </c>
      <c r="DP108" s="1117">
        <f t="shared" si="298"/>
        <v>30071678.350000001</v>
      </c>
      <c r="DQ108" s="1117">
        <f t="shared" si="299"/>
        <v>0</v>
      </c>
      <c r="DR108" s="1117">
        <f t="shared" si="300"/>
        <v>0</v>
      </c>
      <c r="DS108" s="1118"/>
      <c r="DV108" s="1129">
        <f>VLOOKUP($A108,'New Resources - Individual'!$A$4:$Y$133,DV$2,FALSE)*DV$1</f>
        <v>0</v>
      </c>
      <c r="DW108" s="1116">
        <f t="shared" si="301"/>
        <v>30071678.350000001</v>
      </c>
      <c r="DX108" s="1117">
        <f t="shared" si="302"/>
        <v>30071678.350000001</v>
      </c>
      <c r="DY108" s="1117">
        <f t="shared" si="303"/>
        <v>0</v>
      </c>
      <c r="DZ108" s="1117">
        <f t="shared" si="304"/>
        <v>0</v>
      </c>
      <c r="EA108" s="1118"/>
      <c r="ED108" s="1129">
        <f>VLOOKUP($A108,'New Resources - Individual'!$A$4:$Y$133,ED$2,FALSE)*ED$1</f>
        <v>0</v>
      </c>
      <c r="EE108" s="1116">
        <f t="shared" si="305"/>
        <v>30071678.350000001</v>
      </c>
      <c r="EF108" s="1117">
        <f t="shared" si="306"/>
        <v>30071678.350000001</v>
      </c>
      <c r="EG108" s="1117">
        <f t="shared" si="307"/>
        <v>0</v>
      </c>
      <c r="EH108" s="1117">
        <f t="shared" si="308"/>
        <v>0</v>
      </c>
      <c r="EI108" s="1118"/>
      <c r="EL108" s="1129">
        <f>VLOOKUP($A108,'New Resources - Individual'!$A$4:$Y$133,EL$2,FALSE)*EL$1</f>
        <v>0</v>
      </c>
      <c r="EM108" s="1116">
        <f t="shared" si="309"/>
        <v>30071678.350000001</v>
      </c>
      <c r="EN108" s="1117">
        <f t="shared" si="310"/>
        <v>30071678.350000001</v>
      </c>
      <c r="EO108" s="1117">
        <f t="shared" si="311"/>
        <v>0</v>
      </c>
      <c r="EP108" s="1117">
        <f t="shared" si="312"/>
        <v>0</v>
      </c>
      <c r="EQ108" s="1118"/>
      <c r="ET108" s="1129">
        <f>VLOOKUP($A108,'New Resources - Individual'!$A$4:$Y$133,ET$2,FALSE)*ET$1</f>
        <v>0</v>
      </c>
      <c r="EU108" s="1116">
        <f t="shared" si="313"/>
        <v>30071678.350000001</v>
      </c>
      <c r="EV108" s="1117">
        <f t="shared" si="314"/>
        <v>30071678.350000001</v>
      </c>
      <c r="EW108" s="1117">
        <f t="shared" si="315"/>
        <v>0</v>
      </c>
      <c r="EX108" s="1117">
        <f t="shared" si="316"/>
        <v>0</v>
      </c>
      <c r="EY108" s="1118"/>
      <c r="FB108" s="1129">
        <f>VLOOKUP($A108,'New Resources - Individual'!$A$4:$Y$133,FB$2,FALSE)*FB$1</f>
        <v>0</v>
      </c>
      <c r="FC108" s="1116">
        <f t="shared" si="317"/>
        <v>30071678.350000001</v>
      </c>
      <c r="FD108" s="1117">
        <f t="shared" si="318"/>
        <v>30071678.350000001</v>
      </c>
      <c r="FE108" s="1117">
        <f t="shared" si="319"/>
        <v>0</v>
      </c>
      <c r="FF108" s="1117">
        <f t="shared" si="320"/>
        <v>0</v>
      </c>
      <c r="FG108" s="1118"/>
      <c r="FJ108" s="1129">
        <f>VLOOKUP($A108,'New Resources - Individual'!$A$4:$Y$133,FJ$2,FALSE)*FJ$1</f>
        <v>0</v>
      </c>
      <c r="FK108" s="1116">
        <f t="shared" si="321"/>
        <v>30071678.350000001</v>
      </c>
      <c r="FL108" s="1117">
        <f t="shared" si="322"/>
        <v>30071678.350000001</v>
      </c>
      <c r="FM108" s="1117">
        <f t="shared" si="323"/>
        <v>0</v>
      </c>
      <c r="FN108" s="1117">
        <f t="shared" si="324"/>
        <v>0</v>
      </c>
      <c r="FO108" s="1118"/>
    </row>
    <row r="109" spans="1:171">
      <c r="A109" s="912"/>
      <c r="B109" s="10" t="s">
        <v>178</v>
      </c>
      <c r="C109" s="888" t="s">
        <v>255</v>
      </c>
      <c r="D109" s="888">
        <v>158.19999999999999</v>
      </c>
      <c r="E109" s="182" t="str">
        <f>'Sch 1- Rate Base '!E109</f>
        <v>PROD</v>
      </c>
      <c r="F109" s="889"/>
      <c r="G109" s="182">
        <f>'Sch 1- Rate Base '!G109</f>
        <v>0</v>
      </c>
      <c r="H109" s="182">
        <f>'Sch 1- Rate Base '!H109</f>
        <v>0</v>
      </c>
      <c r="I109" s="182">
        <f>'Sch 1- Rate Base '!I109</f>
        <v>0</v>
      </c>
      <c r="J109" s="183">
        <f>'Sch 1- Rate Base '!J109</f>
        <v>0</v>
      </c>
      <c r="K109" s="903">
        <f t="shared" si="244"/>
        <v>1</v>
      </c>
      <c r="O109" s="1116">
        <f t="shared" ref="O109:O115" si="325">$G109</f>
        <v>0</v>
      </c>
      <c r="P109" s="1117">
        <f t="shared" si="246"/>
        <v>0</v>
      </c>
      <c r="Q109" s="1117">
        <f t="shared" si="247"/>
        <v>0</v>
      </c>
      <c r="R109" s="1117">
        <f t="shared" si="248"/>
        <v>0</v>
      </c>
      <c r="S109" s="1118"/>
      <c r="W109" s="1116">
        <f t="shared" ref="W109:W115" si="326">$G109</f>
        <v>0</v>
      </c>
      <c r="X109" s="1117">
        <f t="shared" si="250"/>
        <v>0</v>
      </c>
      <c r="Y109" s="1117">
        <f t="shared" si="251"/>
        <v>0</v>
      </c>
      <c r="Z109" s="1117">
        <f t="shared" si="252"/>
        <v>0</v>
      </c>
      <c r="AA109" s="1118"/>
      <c r="AE109" s="1116">
        <f t="shared" ref="AE109:AE115" si="327">$G109</f>
        <v>0</v>
      </c>
      <c r="AF109" s="1117">
        <f t="shared" si="254"/>
        <v>0</v>
      </c>
      <c r="AG109" s="1117">
        <f t="shared" si="255"/>
        <v>0</v>
      </c>
      <c r="AH109" s="1117">
        <f t="shared" si="256"/>
        <v>0</v>
      </c>
      <c r="AI109" s="1118"/>
      <c r="AM109" s="1116">
        <f t="shared" ref="AM109:AM115" si="328">$G109</f>
        <v>0</v>
      </c>
      <c r="AN109" s="1117">
        <f t="shared" si="258"/>
        <v>0</v>
      </c>
      <c r="AO109" s="1117">
        <f t="shared" si="259"/>
        <v>0</v>
      </c>
      <c r="AP109" s="1117">
        <f t="shared" si="260"/>
        <v>0</v>
      </c>
      <c r="AQ109" s="1118"/>
      <c r="AU109" s="1116">
        <f t="shared" ref="AU109:AU115" si="329">$G109</f>
        <v>0</v>
      </c>
      <c r="AV109" s="1117">
        <f t="shared" si="262"/>
        <v>0</v>
      </c>
      <c r="AW109" s="1117">
        <f t="shared" si="263"/>
        <v>0</v>
      </c>
      <c r="AX109" s="1117">
        <f t="shared" si="264"/>
        <v>0</v>
      </c>
      <c r="AY109" s="1118"/>
      <c r="BC109" s="1116">
        <f t="shared" ref="BC109:BC115" si="330">$G109</f>
        <v>0</v>
      </c>
      <c r="BD109" s="1117">
        <f t="shared" si="266"/>
        <v>0</v>
      </c>
      <c r="BE109" s="1117">
        <f t="shared" si="267"/>
        <v>0</v>
      </c>
      <c r="BF109" s="1117">
        <f t="shared" si="268"/>
        <v>0</v>
      </c>
      <c r="BG109" s="1118"/>
      <c r="BK109" s="1116">
        <f t="shared" ref="BK109:BK115" si="331">$G109</f>
        <v>0</v>
      </c>
      <c r="BL109" s="1117">
        <f t="shared" si="270"/>
        <v>0</v>
      </c>
      <c r="BM109" s="1117">
        <f t="shared" si="271"/>
        <v>0</v>
      </c>
      <c r="BN109" s="1117">
        <f t="shared" si="272"/>
        <v>0</v>
      </c>
      <c r="BO109" s="1118"/>
      <c r="BS109" s="1116">
        <f t="shared" ref="BS109:BS115" si="332">$G109</f>
        <v>0</v>
      </c>
      <c r="BT109" s="1117">
        <f t="shared" si="274"/>
        <v>0</v>
      </c>
      <c r="BU109" s="1117">
        <f t="shared" si="275"/>
        <v>0</v>
      </c>
      <c r="BV109" s="1117">
        <f t="shared" si="276"/>
        <v>0</v>
      </c>
      <c r="BW109" s="1118"/>
      <c r="CA109" s="1116">
        <f t="shared" ref="CA109:CA115" si="333">$G109</f>
        <v>0</v>
      </c>
      <c r="CB109" s="1117">
        <f t="shared" si="278"/>
        <v>0</v>
      </c>
      <c r="CC109" s="1117">
        <f t="shared" si="279"/>
        <v>0</v>
      </c>
      <c r="CD109" s="1117">
        <f t="shared" si="280"/>
        <v>0</v>
      </c>
      <c r="CE109" s="1118"/>
      <c r="CI109" s="1116">
        <f t="shared" ref="CI109:CI115" si="334">$G109</f>
        <v>0</v>
      </c>
      <c r="CJ109" s="1117">
        <f t="shared" si="282"/>
        <v>0</v>
      </c>
      <c r="CK109" s="1117">
        <f t="shared" si="283"/>
        <v>0</v>
      </c>
      <c r="CL109" s="1117">
        <f t="shared" si="284"/>
        <v>0</v>
      </c>
      <c r="CM109" s="1118"/>
      <c r="CQ109" s="1116">
        <f t="shared" ref="CQ109:CQ115" si="335">$G109</f>
        <v>0</v>
      </c>
      <c r="CR109" s="1117">
        <f t="shared" si="286"/>
        <v>0</v>
      </c>
      <c r="CS109" s="1117">
        <f t="shared" si="287"/>
        <v>0</v>
      </c>
      <c r="CT109" s="1117">
        <f t="shared" si="288"/>
        <v>0</v>
      </c>
      <c r="CU109" s="1118"/>
      <c r="CY109" s="1116">
        <f t="shared" ref="CY109:CY115" si="336">$G109</f>
        <v>0</v>
      </c>
      <c r="CZ109" s="1117">
        <f t="shared" si="290"/>
        <v>0</v>
      </c>
      <c r="DA109" s="1117">
        <f t="shared" si="291"/>
        <v>0</v>
      </c>
      <c r="DB109" s="1117">
        <f t="shared" si="292"/>
        <v>0</v>
      </c>
      <c r="DC109" s="1118"/>
      <c r="DG109" s="1116">
        <f t="shared" ref="DG109:DG115" si="337">$G109</f>
        <v>0</v>
      </c>
      <c r="DH109" s="1117">
        <f t="shared" si="294"/>
        <v>0</v>
      </c>
      <c r="DI109" s="1117">
        <f t="shared" si="295"/>
        <v>0</v>
      </c>
      <c r="DJ109" s="1117">
        <f t="shared" si="296"/>
        <v>0</v>
      </c>
      <c r="DK109" s="1118"/>
      <c r="DO109" s="1116">
        <f t="shared" ref="DO109:DO115" si="338">$G109</f>
        <v>0</v>
      </c>
      <c r="DP109" s="1117">
        <f t="shared" si="298"/>
        <v>0</v>
      </c>
      <c r="DQ109" s="1117">
        <f t="shared" si="299"/>
        <v>0</v>
      </c>
      <c r="DR109" s="1117">
        <f t="shared" si="300"/>
        <v>0</v>
      </c>
      <c r="DS109" s="1118"/>
      <c r="DW109" s="1116">
        <f t="shared" ref="DW109:DW115" si="339">$G109</f>
        <v>0</v>
      </c>
      <c r="DX109" s="1117">
        <f t="shared" si="302"/>
        <v>0</v>
      </c>
      <c r="DY109" s="1117">
        <f t="shared" si="303"/>
        <v>0</v>
      </c>
      <c r="DZ109" s="1117">
        <f t="shared" si="304"/>
        <v>0</v>
      </c>
      <c r="EA109" s="1118"/>
      <c r="EE109" s="1116">
        <f t="shared" ref="EE109:EE115" si="340">$G109</f>
        <v>0</v>
      </c>
      <c r="EF109" s="1117">
        <f t="shared" si="306"/>
        <v>0</v>
      </c>
      <c r="EG109" s="1117">
        <f t="shared" si="307"/>
        <v>0</v>
      </c>
      <c r="EH109" s="1117">
        <f t="shared" si="308"/>
        <v>0</v>
      </c>
      <c r="EI109" s="1118"/>
      <c r="EM109" s="1116">
        <f t="shared" ref="EM109:EM115" si="341">$G109</f>
        <v>0</v>
      </c>
      <c r="EN109" s="1117">
        <f t="shared" si="310"/>
        <v>0</v>
      </c>
      <c r="EO109" s="1117">
        <f t="shared" si="311"/>
        <v>0</v>
      </c>
      <c r="EP109" s="1117">
        <f t="shared" si="312"/>
        <v>0</v>
      </c>
      <c r="EQ109" s="1118"/>
      <c r="EU109" s="1116">
        <f t="shared" ref="EU109:EU115" si="342">$G109</f>
        <v>0</v>
      </c>
      <c r="EV109" s="1117">
        <f t="shared" si="314"/>
        <v>0</v>
      </c>
      <c r="EW109" s="1117">
        <f t="shared" si="315"/>
        <v>0</v>
      </c>
      <c r="EX109" s="1117">
        <f t="shared" si="316"/>
        <v>0</v>
      </c>
      <c r="EY109" s="1118"/>
      <c r="FC109" s="1116">
        <f t="shared" ref="FC109:FC115" si="343">$G109</f>
        <v>0</v>
      </c>
      <c r="FD109" s="1117">
        <f t="shared" si="318"/>
        <v>0</v>
      </c>
      <c r="FE109" s="1117">
        <f t="shared" si="319"/>
        <v>0</v>
      </c>
      <c r="FF109" s="1117">
        <f t="shared" si="320"/>
        <v>0</v>
      </c>
      <c r="FG109" s="1118"/>
      <c r="FK109" s="1116">
        <f t="shared" ref="FK109:FK115" si="344">$G109</f>
        <v>0</v>
      </c>
      <c r="FL109" s="1117">
        <f t="shared" si="322"/>
        <v>0</v>
      </c>
      <c r="FM109" s="1117">
        <f t="shared" si="323"/>
        <v>0</v>
      </c>
      <c r="FN109" s="1117">
        <f t="shared" si="324"/>
        <v>0</v>
      </c>
      <c r="FO109" s="1118"/>
    </row>
    <row r="110" spans="1:171">
      <c r="A110" s="912"/>
      <c r="B110" s="10" t="s">
        <v>55</v>
      </c>
      <c r="C110" s="888" t="s">
        <v>78</v>
      </c>
      <c r="D110" s="888">
        <v>163</v>
      </c>
      <c r="E110" s="182" t="str">
        <f>'Sch 1- Rate Base '!E110</f>
        <v>PTD</v>
      </c>
      <c r="F110" s="889"/>
      <c r="G110" s="182">
        <f>'Sch 1- Rate Base '!G110</f>
        <v>0</v>
      </c>
      <c r="H110" s="182">
        <f>'Sch 1- Rate Base '!H110</f>
        <v>0</v>
      </c>
      <c r="I110" s="182">
        <f>'Sch 1- Rate Base '!I110</f>
        <v>0</v>
      </c>
      <c r="J110" s="183">
        <f>'Sch 1- Rate Base '!J110</f>
        <v>0</v>
      </c>
      <c r="K110" s="903">
        <f t="shared" si="244"/>
        <v>1</v>
      </c>
      <c r="O110" s="1116">
        <f t="shared" si="325"/>
        <v>0</v>
      </c>
      <c r="P110" s="1117">
        <f t="shared" ref="P110:P115" si="345">VLOOKUP($E110,O$442:R$453,2,FALSE)*O110*($K110)+IF($G110&lt;&gt;0,($H110/$G110)*O110,0)*(1-$K110)</f>
        <v>0</v>
      </c>
      <c r="Q110" s="1117">
        <f t="shared" ref="Q110:Q115" si="346">VLOOKUP($E110,O$442:R$453,3,FALSE)*O110*($K110)+IF($G110&lt;&gt;0,($I110/$G110)*O110,0)*(1-$K110)</f>
        <v>0</v>
      </c>
      <c r="R110" s="1117">
        <f t="shared" si="248"/>
        <v>0</v>
      </c>
      <c r="S110" s="1118"/>
      <c r="W110" s="1116">
        <f t="shared" si="326"/>
        <v>0</v>
      </c>
      <c r="X110" s="1117">
        <f t="shared" ref="X110:X115" si="347">VLOOKUP($E110,W$442:Z$453,2,FALSE)*W110*($K110)+IF($G110&lt;&gt;0,($H110/$G110)*W110,0)*(1-$K110)</f>
        <v>0</v>
      </c>
      <c r="Y110" s="1117">
        <f t="shared" ref="Y110:Y115" si="348">VLOOKUP($E110,W$442:Z$453,3,FALSE)*W110*($K110)+IF($G110&lt;&gt;0,($I110/$G110)*W110,0)*(1-$K110)</f>
        <v>0</v>
      </c>
      <c r="Z110" s="1117">
        <f t="shared" si="252"/>
        <v>0</v>
      </c>
      <c r="AA110" s="1118"/>
      <c r="AE110" s="1116">
        <f t="shared" si="327"/>
        <v>0</v>
      </c>
      <c r="AF110" s="1117">
        <f t="shared" ref="AF110:AF115" si="349">VLOOKUP($E110,AE$442:AH$453,2,FALSE)*AE110*($K110)+IF($G110&lt;&gt;0,($H110/$G110)*AE110,0)*(1-$K110)</f>
        <v>0</v>
      </c>
      <c r="AG110" s="1117">
        <f t="shared" ref="AG110:AG115" si="350">VLOOKUP($E110,AE$442:AH$453,3,FALSE)*AE110*($K110)+IF($G110&lt;&gt;0,($I110/$G110)*AE110,0)*(1-$K110)</f>
        <v>0</v>
      </c>
      <c r="AH110" s="1117">
        <f t="shared" si="256"/>
        <v>0</v>
      </c>
      <c r="AI110" s="1118"/>
      <c r="AM110" s="1116">
        <f t="shared" si="328"/>
        <v>0</v>
      </c>
      <c r="AN110" s="1117">
        <f t="shared" ref="AN110:AN115" si="351">VLOOKUP($E110,AM$442:AP$453,2,FALSE)*AM110*($K110)+IF($G110&lt;&gt;0,($H110/$G110)*AM110,0)*(1-$K110)</f>
        <v>0</v>
      </c>
      <c r="AO110" s="1117">
        <f t="shared" ref="AO110:AO115" si="352">VLOOKUP($E110,AM$442:AP$453,3,FALSE)*AM110*($K110)+IF($G110&lt;&gt;0,($I110/$G110)*AM110,0)*(1-$K110)</f>
        <v>0</v>
      </c>
      <c r="AP110" s="1117">
        <f t="shared" si="260"/>
        <v>0</v>
      </c>
      <c r="AQ110" s="1118"/>
      <c r="AU110" s="1116">
        <f t="shared" si="329"/>
        <v>0</v>
      </c>
      <c r="AV110" s="1117">
        <f t="shared" ref="AV110:AV115" si="353">VLOOKUP($E110,AU$442:AX$453,2,FALSE)*AU110*($K110)+IF($G110&lt;&gt;0,($H110/$G110)*AU110,0)*(1-$K110)</f>
        <v>0</v>
      </c>
      <c r="AW110" s="1117">
        <f t="shared" ref="AW110:AW115" si="354">VLOOKUP($E110,AU$442:AX$453,3,FALSE)*AU110*($K110)+IF($G110&lt;&gt;0,($I110/$G110)*AU110,0)*(1-$K110)</f>
        <v>0</v>
      </c>
      <c r="AX110" s="1117">
        <f t="shared" si="264"/>
        <v>0</v>
      </c>
      <c r="AY110" s="1118"/>
      <c r="BC110" s="1116">
        <f t="shared" si="330"/>
        <v>0</v>
      </c>
      <c r="BD110" s="1117">
        <f t="shared" ref="BD110:BD115" si="355">VLOOKUP($E110,BC$442:BF$453,2,FALSE)*BC110*($K110)+IF($G110&lt;&gt;0,($H110/$G110)*BC110,0)*(1-$K110)</f>
        <v>0</v>
      </c>
      <c r="BE110" s="1117">
        <f t="shared" ref="BE110:BE115" si="356">VLOOKUP($E110,BC$442:BF$453,3,FALSE)*BC110*($K110)+IF($G110&lt;&gt;0,($I110/$G110)*BC110,0)*(1-$K110)</f>
        <v>0</v>
      </c>
      <c r="BF110" s="1117">
        <f t="shared" si="268"/>
        <v>0</v>
      </c>
      <c r="BG110" s="1118"/>
      <c r="BK110" s="1116">
        <f t="shared" si="331"/>
        <v>0</v>
      </c>
      <c r="BL110" s="1117">
        <f t="shared" ref="BL110:BL115" si="357">VLOOKUP($E110,BK$442:BN$453,2,FALSE)*BK110*($K110)+IF($G110&lt;&gt;0,($H110/$G110)*BK110,0)*(1-$K110)</f>
        <v>0</v>
      </c>
      <c r="BM110" s="1117">
        <f t="shared" ref="BM110:BM115" si="358">VLOOKUP($E110,BK$442:BN$453,3,FALSE)*BK110*($K110)+IF($G110&lt;&gt;0,($I110/$G110)*BK110,0)*(1-$K110)</f>
        <v>0</v>
      </c>
      <c r="BN110" s="1117">
        <f t="shared" si="272"/>
        <v>0</v>
      </c>
      <c r="BO110" s="1118"/>
      <c r="BS110" s="1116">
        <f t="shared" si="332"/>
        <v>0</v>
      </c>
      <c r="BT110" s="1117">
        <f t="shared" ref="BT110:BT115" si="359">VLOOKUP($E110,BS$442:BV$453,2,FALSE)*BS110*($K110)+IF($G110&lt;&gt;0,($H110/$G110)*BS110,0)*(1-$K110)</f>
        <v>0</v>
      </c>
      <c r="BU110" s="1117">
        <f t="shared" ref="BU110:BU115" si="360">VLOOKUP($E110,BS$442:BV$453,3,FALSE)*BS110*($K110)+IF($G110&lt;&gt;0,($I110/$G110)*BS110,0)*(1-$K110)</f>
        <v>0</v>
      </c>
      <c r="BV110" s="1117">
        <f t="shared" si="276"/>
        <v>0</v>
      </c>
      <c r="BW110" s="1118"/>
      <c r="CA110" s="1116">
        <f t="shared" si="333"/>
        <v>0</v>
      </c>
      <c r="CB110" s="1117">
        <f t="shared" ref="CB110:CB115" si="361">VLOOKUP($E110,CA$442:CD$453,2,FALSE)*CA110*($K110)+IF($G110&lt;&gt;0,($H110/$G110)*CA110,0)*(1-$K110)</f>
        <v>0</v>
      </c>
      <c r="CC110" s="1117">
        <f t="shared" ref="CC110:CC115" si="362">VLOOKUP($E110,CA$442:CD$453,3,FALSE)*CA110*($K110)+IF($G110&lt;&gt;0,($I110/$G110)*CA110,0)*(1-$K110)</f>
        <v>0</v>
      </c>
      <c r="CD110" s="1117">
        <f t="shared" si="280"/>
        <v>0</v>
      </c>
      <c r="CE110" s="1118"/>
      <c r="CI110" s="1116">
        <f t="shared" si="334"/>
        <v>0</v>
      </c>
      <c r="CJ110" s="1117">
        <f t="shared" ref="CJ110:CJ115" si="363">VLOOKUP($E110,CI$442:CL$453,2,FALSE)*CI110*($K110)+IF($G110&lt;&gt;0,($H110/$G110)*CI110,0)*(1-$K110)</f>
        <v>0</v>
      </c>
      <c r="CK110" s="1117">
        <f t="shared" ref="CK110:CK115" si="364">VLOOKUP($E110,CI$442:CL$453,3,FALSE)*CI110*($K110)+IF($G110&lt;&gt;0,($I110/$G110)*CI110,0)*(1-$K110)</f>
        <v>0</v>
      </c>
      <c r="CL110" s="1117">
        <f t="shared" si="284"/>
        <v>0</v>
      </c>
      <c r="CM110" s="1118"/>
      <c r="CQ110" s="1116">
        <f t="shared" si="335"/>
        <v>0</v>
      </c>
      <c r="CR110" s="1117">
        <f t="shared" ref="CR110:CR115" si="365">VLOOKUP($E110,CQ$442:CT$453,2,FALSE)*CQ110*($K110)+IF($G110&lt;&gt;0,($H110/$G110)*CQ110,0)*(1-$K110)</f>
        <v>0</v>
      </c>
      <c r="CS110" s="1117">
        <f t="shared" ref="CS110:CS115" si="366">VLOOKUP($E110,CQ$442:CT$453,3,FALSE)*CQ110*($K110)+IF($G110&lt;&gt;0,($I110/$G110)*CQ110,0)*(1-$K110)</f>
        <v>0</v>
      </c>
      <c r="CT110" s="1117">
        <f t="shared" si="288"/>
        <v>0</v>
      </c>
      <c r="CU110" s="1118"/>
      <c r="CY110" s="1116">
        <f t="shared" si="336"/>
        <v>0</v>
      </c>
      <c r="CZ110" s="1117">
        <f t="shared" ref="CZ110:CZ115" si="367">VLOOKUP($E110,CY$442:DB$453,2,FALSE)*CY110*($K110)+IF($G110&lt;&gt;0,($H110/$G110)*CY110,0)*(1-$K110)</f>
        <v>0</v>
      </c>
      <c r="DA110" s="1117">
        <f t="shared" ref="DA110:DA115" si="368">VLOOKUP($E110,CY$442:DB$453,3,FALSE)*CY110*($K110)+IF($G110&lt;&gt;0,($I110/$G110)*CY110,0)*(1-$K110)</f>
        <v>0</v>
      </c>
      <c r="DB110" s="1117">
        <f t="shared" si="292"/>
        <v>0</v>
      </c>
      <c r="DC110" s="1118"/>
      <c r="DG110" s="1116">
        <f t="shared" si="337"/>
        <v>0</v>
      </c>
      <c r="DH110" s="1117">
        <f t="shared" ref="DH110:DH115" si="369">VLOOKUP($E110,DG$442:DJ$453,2,FALSE)*DG110*($K110)+IF($G110&lt;&gt;0,($H110/$G110)*DG110,0)*(1-$K110)</f>
        <v>0</v>
      </c>
      <c r="DI110" s="1117">
        <f t="shared" ref="DI110:DI115" si="370">VLOOKUP($E110,DG$442:DJ$453,3,FALSE)*DG110*($K110)+IF($G110&lt;&gt;0,($I110/$G110)*DG110,0)*(1-$K110)</f>
        <v>0</v>
      </c>
      <c r="DJ110" s="1117">
        <f t="shared" si="296"/>
        <v>0</v>
      </c>
      <c r="DK110" s="1118"/>
      <c r="DO110" s="1116">
        <f t="shared" si="338"/>
        <v>0</v>
      </c>
      <c r="DP110" s="1117">
        <f t="shared" ref="DP110:DP115" si="371">VLOOKUP($E110,DO$442:DR$453,2,FALSE)*DO110*($K110)+IF($G110&lt;&gt;0,($H110/$G110)*DO110,0)*(1-$K110)</f>
        <v>0</v>
      </c>
      <c r="DQ110" s="1117">
        <f t="shared" ref="DQ110:DQ115" si="372">VLOOKUP($E110,DO$442:DR$453,3,FALSE)*DO110*($K110)+IF($G110&lt;&gt;0,($I110/$G110)*DO110,0)*(1-$K110)</f>
        <v>0</v>
      </c>
      <c r="DR110" s="1117">
        <f t="shared" si="300"/>
        <v>0</v>
      </c>
      <c r="DS110" s="1118"/>
      <c r="DW110" s="1116">
        <f t="shared" si="339"/>
        <v>0</v>
      </c>
      <c r="DX110" s="1117">
        <f t="shared" ref="DX110:DX115" si="373">VLOOKUP($E110,DW$442:DZ$453,2,FALSE)*DW110*($K110)+IF($G110&lt;&gt;0,($H110/$G110)*DW110,0)*(1-$K110)</f>
        <v>0</v>
      </c>
      <c r="DY110" s="1117">
        <f t="shared" ref="DY110:DY115" si="374">VLOOKUP($E110,DW$442:DZ$453,3,FALSE)*DW110*($K110)+IF($G110&lt;&gt;0,($I110/$G110)*DW110,0)*(1-$K110)</f>
        <v>0</v>
      </c>
      <c r="DZ110" s="1117">
        <f t="shared" si="304"/>
        <v>0</v>
      </c>
      <c r="EA110" s="1118"/>
      <c r="EE110" s="1116">
        <f t="shared" si="340"/>
        <v>0</v>
      </c>
      <c r="EF110" s="1117">
        <f t="shared" ref="EF110:EF115" si="375">VLOOKUP($E110,EE$442:EH$453,2,FALSE)*EE110*($K110)+IF($G110&lt;&gt;0,($H110/$G110)*EE110,0)*(1-$K110)</f>
        <v>0</v>
      </c>
      <c r="EG110" s="1117">
        <f t="shared" ref="EG110:EG115" si="376">VLOOKUP($E110,EE$442:EH$453,3,FALSE)*EE110*($K110)+IF($G110&lt;&gt;0,($I110/$G110)*EE110,0)*(1-$K110)</f>
        <v>0</v>
      </c>
      <c r="EH110" s="1117">
        <f t="shared" si="308"/>
        <v>0</v>
      </c>
      <c r="EI110" s="1118"/>
      <c r="EM110" s="1116">
        <f t="shared" si="341"/>
        <v>0</v>
      </c>
      <c r="EN110" s="1117">
        <f t="shared" ref="EN110:EN115" si="377">VLOOKUP($E110,EM$442:EP$453,2,FALSE)*EM110*($K110)+IF($G110&lt;&gt;0,($H110/$G110)*EM110,0)*(1-$K110)</f>
        <v>0</v>
      </c>
      <c r="EO110" s="1117">
        <f t="shared" ref="EO110:EO115" si="378">VLOOKUP($E110,EM$442:EP$453,3,FALSE)*EM110*($K110)+IF($G110&lt;&gt;0,($I110/$G110)*EM110,0)*(1-$K110)</f>
        <v>0</v>
      </c>
      <c r="EP110" s="1117">
        <f t="shared" si="312"/>
        <v>0</v>
      </c>
      <c r="EQ110" s="1118"/>
      <c r="EU110" s="1116">
        <f t="shared" si="342"/>
        <v>0</v>
      </c>
      <c r="EV110" s="1117">
        <f t="shared" ref="EV110:EV115" si="379">VLOOKUP($E110,EU$442:EX$453,2,FALSE)*EU110*($K110)+IF($G110&lt;&gt;0,($H110/$G110)*EU110,0)*(1-$K110)</f>
        <v>0</v>
      </c>
      <c r="EW110" s="1117">
        <f t="shared" ref="EW110:EW115" si="380">VLOOKUP($E110,EU$442:EX$453,3,FALSE)*EU110*($K110)+IF($G110&lt;&gt;0,($I110/$G110)*EU110,0)*(1-$K110)</f>
        <v>0</v>
      </c>
      <c r="EX110" s="1117">
        <f t="shared" si="316"/>
        <v>0</v>
      </c>
      <c r="EY110" s="1118"/>
      <c r="FC110" s="1116">
        <f t="shared" si="343"/>
        <v>0</v>
      </c>
      <c r="FD110" s="1117">
        <f t="shared" ref="FD110:FD115" si="381">VLOOKUP($E110,FC$442:FF$453,2,FALSE)*FC110*($K110)+IF($G110&lt;&gt;0,($H110/$G110)*FC110,0)*(1-$K110)</f>
        <v>0</v>
      </c>
      <c r="FE110" s="1117">
        <f t="shared" ref="FE110:FE115" si="382">VLOOKUP($E110,FC$442:FF$453,3,FALSE)*FC110*($K110)+IF($G110&lt;&gt;0,($I110/$G110)*FC110,0)*(1-$K110)</f>
        <v>0</v>
      </c>
      <c r="FF110" s="1117">
        <f t="shared" si="320"/>
        <v>0</v>
      </c>
      <c r="FG110" s="1118"/>
      <c r="FK110" s="1116">
        <f t="shared" si="344"/>
        <v>0</v>
      </c>
      <c r="FL110" s="1117">
        <f t="shared" ref="FL110:FL115" si="383">VLOOKUP($E110,FK$442:FN$453,2,FALSE)*FK110*($K110)+IF($G110&lt;&gt;0,($H110/$G110)*FK110,0)*(1-$K110)</f>
        <v>0</v>
      </c>
      <c r="FM110" s="1117">
        <f t="shared" ref="FM110:FM115" si="384">VLOOKUP($E110,FK$442:FN$453,3,FALSE)*FK110*($K110)+IF($G110&lt;&gt;0,($I110/$G110)*FK110,0)*(1-$K110)</f>
        <v>0</v>
      </c>
      <c r="FN110" s="1117">
        <f t="shared" si="324"/>
        <v>0</v>
      </c>
      <c r="FO110" s="1118"/>
    </row>
    <row r="111" spans="1:171">
      <c r="A111" s="912"/>
      <c r="B111" s="10" t="s">
        <v>8</v>
      </c>
      <c r="C111" s="888" t="s">
        <v>78</v>
      </c>
      <c r="D111" s="888">
        <v>165</v>
      </c>
      <c r="E111" s="182" t="str">
        <f>'Sch 1- Rate Base '!E111</f>
        <v>PTD</v>
      </c>
      <c r="F111" s="889"/>
      <c r="G111" s="182">
        <f>'Sch 1- Rate Base '!G111</f>
        <v>50221551.920000002</v>
      </c>
      <c r="H111" s="182">
        <f>'Sch 1- Rate Base '!H111</f>
        <v>15958441.446825081</v>
      </c>
      <c r="I111" s="182">
        <f>'Sch 1- Rate Base '!I111</f>
        <v>0</v>
      </c>
      <c r="J111" s="183">
        <f>'Sch 1- Rate Base '!J111</f>
        <v>34263110.473174915</v>
      </c>
      <c r="K111" s="903">
        <f t="shared" si="244"/>
        <v>1</v>
      </c>
      <c r="O111" s="1116">
        <f t="shared" si="325"/>
        <v>50221551.920000002</v>
      </c>
      <c r="P111" s="1117">
        <f t="shared" si="345"/>
        <v>15958441.446825081</v>
      </c>
      <c r="Q111" s="1117">
        <f t="shared" si="346"/>
        <v>10459011.631566703</v>
      </c>
      <c r="R111" s="1117">
        <f>VLOOKUP($E111,O$442:R$453,4,FALSE)*O111*($K111)+(O111-P111-Q111)*(1-$K111)</f>
        <v>23804098.841608215</v>
      </c>
      <c r="S111" s="1118"/>
      <c r="W111" s="1116">
        <f t="shared" si="326"/>
        <v>50221551.920000002</v>
      </c>
      <c r="X111" s="1117">
        <f t="shared" si="347"/>
        <v>15958441.446825081</v>
      </c>
      <c r="Y111" s="1117">
        <f t="shared" si="348"/>
        <v>10459011.631566703</v>
      </c>
      <c r="Z111" s="1117">
        <f>VLOOKUP($E111,W$442:Z$453,4,FALSE)*W111*($K111)+(W111-X111-Y111)*(1-$K111)</f>
        <v>23804098.841608215</v>
      </c>
      <c r="AA111" s="1118"/>
      <c r="AE111" s="1116">
        <f t="shared" si="327"/>
        <v>50221551.920000002</v>
      </c>
      <c r="AF111" s="1117">
        <f t="shared" si="349"/>
        <v>15958441.446825081</v>
      </c>
      <c r="AG111" s="1117">
        <f t="shared" si="350"/>
        <v>10459011.631566703</v>
      </c>
      <c r="AH111" s="1117">
        <f>VLOOKUP($E111,AE$442:AH$453,4,FALSE)*AE111*($K111)+(AE111-AF111-AG111)*(1-$K111)</f>
        <v>23804098.841608215</v>
      </c>
      <c r="AI111" s="1118"/>
      <c r="AM111" s="1116">
        <f t="shared" si="328"/>
        <v>50221551.920000002</v>
      </c>
      <c r="AN111" s="1117">
        <f t="shared" si="351"/>
        <v>15958441.446825081</v>
      </c>
      <c r="AO111" s="1117">
        <f t="shared" si="352"/>
        <v>10459011.631566703</v>
      </c>
      <c r="AP111" s="1117">
        <f>VLOOKUP($E111,AM$442:AP$453,4,FALSE)*AM111*($K111)+(AM111-AN111-AO111)*(1-$K111)</f>
        <v>23804098.841608215</v>
      </c>
      <c r="AQ111" s="1118"/>
      <c r="AU111" s="1116">
        <f t="shared" si="329"/>
        <v>50221551.920000002</v>
      </c>
      <c r="AV111" s="1117">
        <f t="shared" si="353"/>
        <v>15958441.446825081</v>
      </c>
      <c r="AW111" s="1117">
        <f t="shared" si="354"/>
        <v>10459011.631566703</v>
      </c>
      <c r="AX111" s="1117">
        <f>VLOOKUP($E111,AU$442:AX$453,4,FALSE)*AU111*($K111)+(AU111-AV111-AW111)*(1-$K111)</f>
        <v>23804098.841608215</v>
      </c>
      <c r="AY111" s="1118"/>
      <c r="BC111" s="1116">
        <f t="shared" si="330"/>
        <v>50221551.920000002</v>
      </c>
      <c r="BD111" s="1117">
        <f t="shared" si="355"/>
        <v>15958441.446825081</v>
      </c>
      <c r="BE111" s="1117">
        <f t="shared" si="356"/>
        <v>10459011.631566703</v>
      </c>
      <c r="BF111" s="1117">
        <f>VLOOKUP($E111,BC$442:BF$453,4,FALSE)*BC111*($K111)+(BC111-BD111-BE111)*(1-$K111)</f>
        <v>23804098.841608215</v>
      </c>
      <c r="BG111" s="1118"/>
      <c r="BK111" s="1116">
        <f t="shared" si="331"/>
        <v>50221551.920000002</v>
      </c>
      <c r="BL111" s="1117">
        <f t="shared" si="357"/>
        <v>15958441.446825081</v>
      </c>
      <c r="BM111" s="1117">
        <f t="shared" si="358"/>
        <v>10459011.631566703</v>
      </c>
      <c r="BN111" s="1117">
        <f>VLOOKUP($E111,BK$442:BN$453,4,FALSE)*BK111*($K111)+(BK111-BL111-BM111)*(1-$K111)</f>
        <v>23804098.841608215</v>
      </c>
      <c r="BO111" s="1118"/>
      <c r="BS111" s="1116">
        <f t="shared" si="332"/>
        <v>50221551.920000002</v>
      </c>
      <c r="BT111" s="1117">
        <f t="shared" si="359"/>
        <v>15958441.446825081</v>
      </c>
      <c r="BU111" s="1117">
        <f t="shared" si="360"/>
        <v>10459011.631566703</v>
      </c>
      <c r="BV111" s="1117">
        <f>VLOOKUP($E111,BS$442:BV$453,4,FALSE)*BS111*($K111)+(BS111-BT111-BU111)*(1-$K111)</f>
        <v>23804098.841608215</v>
      </c>
      <c r="BW111" s="1118"/>
      <c r="CA111" s="1116">
        <f t="shared" si="333"/>
        <v>50221551.920000002</v>
      </c>
      <c r="CB111" s="1117">
        <f t="shared" si="361"/>
        <v>15958441.446825081</v>
      </c>
      <c r="CC111" s="1117">
        <f t="shared" si="362"/>
        <v>10459011.631566703</v>
      </c>
      <c r="CD111" s="1117">
        <f>VLOOKUP($E111,CA$442:CD$453,4,FALSE)*CA111*($K111)+(CA111-CB111-CC111)*(1-$K111)</f>
        <v>23804098.841608215</v>
      </c>
      <c r="CE111" s="1118"/>
      <c r="CI111" s="1116">
        <f t="shared" si="334"/>
        <v>50221551.920000002</v>
      </c>
      <c r="CJ111" s="1117">
        <f t="shared" si="363"/>
        <v>15958441.446825081</v>
      </c>
      <c r="CK111" s="1117">
        <f t="shared" si="364"/>
        <v>10459011.631566703</v>
      </c>
      <c r="CL111" s="1117">
        <f>VLOOKUP($E111,CI$442:CL$453,4,FALSE)*CI111*($K111)+(CI111-CJ111-CK111)*(1-$K111)</f>
        <v>23804098.841608215</v>
      </c>
      <c r="CM111" s="1118"/>
      <c r="CQ111" s="1116">
        <f t="shared" si="335"/>
        <v>50221551.920000002</v>
      </c>
      <c r="CR111" s="1117">
        <f t="shared" si="365"/>
        <v>15958441.446825081</v>
      </c>
      <c r="CS111" s="1117">
        <f t="shared" si="366"/>
        <v>10459011.631566703</v>
      </c>
      <c r="CT111" s="1117">
        <f>VLOOKUP($E111,CQ$442:CT$453,4,FALSE)*CQ111*($K111)+(CQ111-CR111-CS111)*(1-$K111)</f>
        <v>23804098.841608215</v>
      </c>
      <c r="CU111" s="1118"/>
      <c r="CY111" s="1116">
        <f t="shared" si="336"/>
        <v>50221551.920000002</v>
      </c>
      <c r="CZ111" s="1117">
        <f t="shared" si="367"/>
        <v>15958441.446825081</v>
      </c>
      <c r="DA111" s="1117">
        <f t="shared" si="368"/>
        <v>10459011.631566703</v>
      </c>
      <c r="DB111" s="1117">
        <f>VLOOKUP($E111,CY$442:DB$453,4,FALSE)*CY111*($K111)+(CY111-CZ111-DA111)*(1-$K111)</f>
        <v>23804098.841608215</v>
      </c>
      <c r="DC111" s="1118"/>
      <c r="DG111" s="1116">
        <f t="shared" si="337"/>
        <v>50221551.920000002</v>
      </c>
      <c r="DH111" s="1117">
        <f t="shared" si="369"/>
        <v>15958441.446825081</v>
      </c>
      <c r="DI111" s="1117">
        <f t="shared" si="370"/>
        <v>10459011.631566703</v>
      </c>
      <c r="DJ111" s="1117">
        <f>VLOOKUP($E111,DG$442:DJ$453,4,FALSE)*DG111*($K111)+(DG111-DH111-DI111)*(1-$K111)</f>
        <v>23804098.841608215</v>
      </c>
      <c r="DK111" s="1118"/>
      <c r="DO111" s="1116">
        <f t="shared" si="338"/>
        <v>50221551.920000002</v>
      </c>
      <c r="DP111" s="1117">
        <f t="shared" si="371"/>
        <v>15958441.446825081</v>
      </c>
      <c r="DQ111" s="1117">
        <f t="shared" si="372"/>
        <v>10459011.631566703</v>
      </c>
      <c r="DR111" s="1117">
        <f>VLOOKUP($E111,DO$442:DR$453,4,FALSE)*DO111*($K111)+(DO111-DP111-DQ111)*(1-$K111)</f>
        <v>23804098.841608215</v>
      </c>
      <c r="DS111" s="1118"/>
      <c r="DW111" s="1116">
        <f t="shared" si="339"/>
        <v>50221551.920000002</v>
      </c>
      <c r="DX111" s="1117">
        <f t="shared" si="373"/>
        <v>15958441.446825081</v>
      </c>
      <c r="DY111" s="1117">
        <f t="shared" si="374"/>
        <v>10459011.631566703</v>
      </c>
      <c r="DZ111" s="1117">
        <f>VLOOKUP($E111,DW$442:DZ$453,4,FALSE)*DW111*($K111)+(DW111-DX111-DY111)*(1-$K111)</f>
        <v>23804098.841608215</v>
      </c>
      <c r="EA111" s="1118"/>
      <c r="EE111" s="1116">
        <f t="shared" si="340"/>
        <v>50221551.920000002</v>
      </c>
      <c r="EF111" s="1117">
        <f t="shared" si="375"/>
        <v>15958441.446825081</v>
      </c>
      <c r="EG111" s="1117">
        <f t="shared" si="376"/>
        <v>10459011.631566703</v>
      </c>
      <c r="EH111" s="1117">
        <f>VLOOKUP($E111,EE$442:EH$453,4,FALSE)*EE111*($K111)+(EE111-EF111-EG111)*(1-$K111)</f>
        <v>23804098.841608215</v>
      </c>
      <c r="EI111" s="1118"/>
      <c r="EM111" s="1116">
        <f t="shared" si="341"/>
        <v>50221551.920000002</v>
      </c>
      <c r="EN111" s="1117">
        <f t="shared" si="377"/>
        <v>15958441.446825081</v>
      </c>
      <c r="EO111" s="1117">
        <f t="shared" si="378"/>
        <v>10459011.631566703</v>
      </c>
      <c r="EP111" s="1117">
        <f>VLOOKUP($E111,EM$442:EP$453,4,FALSE)*EM111*($K111)+(EM111-EN111-EO111)*(1-$K111)</f>
        <v>23804098.841608215</v>
      </c>
      <c r="EQ111" s="1118"/>
      <c r="EU111" s="1116">
        <f t="shared" si="342"/>
        <v>50221551.920000002</v>
      </c>
      <c r="EV111" s="1117">
        <f t="shared" si="379"/>
        <v>15958441.446825081</v>
      </c>
      <c r="EW111" s="1117">
        <f t="shared" si="380"/>
        <v>10459011.631566703</v>
      </c>
      <c r="EX111" s="1117">
        <f>VLOOKUP($E111,EU$442:EX$453,4,FALSE)*EU111*($K111)+(EU111-EV111-EW111)*(1-$K111)</f>
        <v>23804098.841608215</v>
      </c>
      <c r="EY111" s="1118"/>
      <c r="FC111" s="1116">
        <f t="shared" si="343"/>
        <v>50221551.920000002</v>
      </c>
      <c r="FD111" s="1117">
        <f t="shared" si="381"/>
        <v>15958441.446825081</v>
      </c>
      <c r="FE111" s="1117">
        <f t="shared" si="382"/>
        <v>10459011.631566703</v>
      </c>
      <c r="FF111" s="1117">
        <f>VLOOKUP($E111,FC$442:FF$453,4,FALSE)*FC111*($K111)+(FC111-FD111-FE111)*(1-$K111)</f>
        <v>23804098.841608215</v>
      </c>
      <c r="FG111" s="1118"/>
      <c r="FK111" s="1116">
        <f t="shared" si="344"/>
        <v>50221551.920000002</v>
      </c>
      <c r="FL111" s="1117">
        <f t="shared" si="383"/>
        <v>15958441.446825081</v>
      </c>
      <c r="FM111" s="1117">
        <f t="shared" si="384"/>
        <v>10459011.631566703</v>
      </c>
      <c r="FN111" s="1117">
        <f>VLOOKUP($E111,FK$442:FN$453,4,FALSE)*FK111*($K111)+(FK111-FL111-FM111)*(1-$K111)</f>
        <v>23804098.841608215</v>
      </c>
      <c r="FO111" s="1118"/>
    </row>
    <row r="112" spans="1:171">
      <c r="A112" s="912"/>
      <c r="B112" s="79" t="s">
        <v>9</v>
      </c>
      <c r="C112" s="888" t="s">
        <v>78</v>
      </c>
      <c r="D112" s="888">
        <v>175</v>
      </c>
      <c r="E112" s="182" t="str">
        <f>'Sch 1- Rate Base '!E112</f>
        <v>DIST</v>
      </c>
      <c r="F112" s="889"/>
      <c r="G112" s="182">
        <f>'Sch 1- Rate Base '!G112</f>
        <v>11821032.84</v>
      </c>
      <c r="H112" s="182">
        <f>'Sch 1- Rate Base '!H112</f>
        <v>0</v>
      </c>
      <c r="I112" s="182">
        <f>'Sch 1- Rate Base '!I112</f>
        <v>0</v>
      </c>
      <c r="J112" s="183">
        <f>'Sch 1- Rate Base '!J112</f>
        <v>11821032.84</v>
      </c>
      <c r="K112" s="903">
        <f t="shared" si="244"/>
        <v>1</v>
      </c>
      <c r="O112" s="1116">
        <f t="shared" si="325"/>
        <v>11821032.84</v>
      </c>
      <c r="P112" s="1117">
        <f t="shared" si="345"/>
        <v>0</v>
      </c>
      <c r="Q112" s="1117">
        <f t="shared" si="346"/>
        <v>0</v>
      </c>
      <c r="R112" s="1117">
        <f>VLOOKUP($E112,O$442:R$453,4,FALSE)*O112*($K112)+(O112-P112-Q112)*(1-$K112)</f>
        <v>11821032.84</v>
      </c>
      <c r="S112" s="1118"/>
      <c r="W112" s="1116">
        <f t="shared" si="326"/>
        <v>11821032.84</v>
      </c>
      <c r="X112" s="1117">
        <f t="shared" si="347"/>
        <v>0</v>
      </c>
      <c r="Y112" s="1117">
        <f t="shared" si="348"/>
        <v>0</v>
      </c>
      <c r="Z112" s="1117">
        <f>VLOOKUP($E112,W$442:Z$453,4,FALSE)*W112*($K112)+(W112-X112-Y112)*(1-$K112)</f>
        <v>11821032.84</v>
      </c>
      <c r="AA112" s="1118"/>
      <c r="AE112" s="1116">
        <f t="shared" si="327"/>
        <v>11821032.84</v>
      </c>
      <c r="AF112" s="1117">
        <f t="shared" si="349"/>
        <v>0</v>
      </c>
      <c r="AG112" s="1117">
        <f t="shared" si="350"/>
        <v>0</v>
      </c>
      <c r="AH112" s="1117">
        <f>VLOOKUP($E112,AE$442:AH$453,4,FALSE)*AE112*($K112)+(AE112-AF112-AG112)*(1-$K112)</f>
        <v>11821032.84</v>
      </c>
      <c r="AI112" s="1118"/>
      <c r="AM112" s="1116">
        <f t="shared" si="328"/>
        <v>11821032.84</v>
      </c>
      <c r="AN112" s="1117">
        <f t="shared" si="351"/>
        <v>0</v>
      </c>
      <c r="AO112" s="1117">
        <f t="shared" si="352"/>
        <v>0</v>
      </c>
      <c r="AP112" s="1117">
        <f>VLOOKUP($E112,AM$442:AP$453,4,FALSE)*AM112*($K112)+(AM112-AN112-AO112)*(1-$K112)</f>
        <v>11821032.84</v>
      </c>
      <c r="AQ112" s="1118"/>
      <c r="AU112" s="1116">
        <f t="shared" si="329"/>
        <v>11821032.84</v>
      </c>
      <c r="AV112" s="1117">
        <f t="shared" si="353"/>
        <v>0</v>
      </c>
      <c r="AW112" s="1117">
        <f t="shared" si="354"/>
        <v>0</v>
      </c>
      <c r="AX112" s="1117">
        <f>VLOOKUP($E112,AU$442:AX$453,4,FALSE)*AU112*($K112)+(AU112-AV112-AW112)*(1-$K112)</f>
        <v>11821032.84</v>
      </c>
      <c r="AY112" s="1118"/>
      <c r="BC112" s="1116">
        <f t="shared" si="330"/>
        <v>11821032.84</v>
      </c>
      <c r="BD112" s="1117">
        <f t="shared" si="355"/>
        <v>0</v>
      </c>
      <c r="BE112" s="1117">
        <f t="shared" si="356"/>
        <v>0</v>
      </c>
      <c r="BF112" s="1117">
        <f>VLOOKUP($E112,BC$442:BF$453,4,FALSE)*BC112*($K112)+(BC112-BD112-BE112)*(1-$K112)</f>
        <v>11821032.84</v>
      </c>
      <c r="BG112" s="1118"/>
      <c r="BK112" s="1116">
        <f t="shared" si="331"/>
        <v>11821032.84</v>
      </c>
      <c r="BL112" s="1117">
        <f t="shared" si="357"/>
        <v>0</v>
      </c>
      <c r="BM112" s="1117">
        <f t="shared" si="358"/>
        <v>0</v>
      </c>
      <c r="BN112" s="1117">
        <f>VLOOKUP($E112,BK$442:BN$453,4,FALSE)*BK112*($K112)+(BK112-BL112-BM112)*(1-$K112)</f>
        <v>11821032.84</v>
      </c>
      <c r="BO112" s="1118"/>
      <c r="BS112" s="1116">
        <f t="shared" si="332"/>
        <v>11821032.84</v>
      </c>
      <c r="BT112" s="1117">
        <f t="shared" si="359"/>
        <v>0</v>
      </c>
      <c r="BU112" s="1117">
        <f t="shared" si="360"/>
        <v>0</v>
      </c>
      <c r="BV112" s="1117">
        <f>VLOOKUP($E112,BS$442:BV$453,4,FALSE)*BS112*($K112)+(BS112-BT112-BU112)*(1-$K112)</f>
        <v>11821032.84</v>
      </c>
      <c r="BW112" s="1118"/>
      <c r="CA112" s="1116">
        <f t="shared" si="333"/>
        <v>11821032.84</v>
      </c>
      <c r="CB112" s="1117">
        <f t="shared" si="361"/>
        <v>0</v>
      </c>
      <c r="CC112" s="1117">
        <f t="shared" si="362"/>
        <v>0</v>
      </c>
      <c r="CD112" s="1117">
        <f>VLOOKUP($E112,CA$442:CD$453,4,FALSE)*CA112*($K112)+(CA112-CB112-CC112)*(1-$K112)</f>
        <v>11821032.84</v>
      </c>
      <c r="CE112" s="1118"/>
      <c r="CI112" s="1116">
        <f t="shared" si="334"/>
        <v>11821032.84</v>
      </c>
      <c r="CJ112" s="1117">
        <f t="shared" si="363"/>
        <v>0</v>
      </c>
      <c r="CK112" s="1117">
        <f t="shared" si="364"/>
        <v>0</v>
      </c>
      <c r="CL112" s="1117">
        <f>VLOOKUP($E112,CI$442:CL$453,4,FALSE)*CI112*($K112)+(CI112-CJ112-CK112)*(1-$K112)</f>
        <v>11821032.84</v>
      </c>
      <c r="CM112" s="1118"/>
      <c r="CQ112" s="1116">
        <f t="shared" si="335"/>
        <v>11821032.84</v>
      </c>
      <c r="CR112" s="1117">
        <f t="shared" si="365"/>
        <v>0</v>
      </c>
      <c r="CS112" s="1117">
        <f t="shared" si="366"/>
        <v>0</v>
      </c>
      <c r="CT112" s="1117">
        <f>VLOOKUP($E112,CQ$442:CT$453,4,FALSE)*CQ112*($K112)+(CQ112-CR112-CS112)*(1-$K112)</f>
        <v>11821032.84</v>
      </c>
      <c r="CU112" s="1118"/>
      <c r="CY112" s="1116">
        <f t="shared" si="336"/>
        <v>11821032.84</v>
      </c>
      <c r="CZ112" s="1117">
        <f t="shared" si="367"/>
        <v>0</v>
      </c>
      <c r="DA112" s="1117">
        <f t="shared" si="368"/>
        <v>0</v>
      </c>
      <c r="DB112" s="1117">
        <f>VLOOKUP($E112,CY$442:DB$453,4,FALSE)*CY112*($K112)+(CY112-CZ112-DA112)*(1-$K112)</f>
        <v>11821032.84</v>
      </c>
      <c r="DC112" s="1118"/>
      <c r="DG112" s="1116">
        <f t="shared" si="337"/>
        <v>11821032.84</v>
      </c>
      <c r="DH112" s="1117">
        <f t="shared" si="369"/>
        <v>0</v>
      </c>
      <c r="DI112" s="1117">
        <f t="shared" si="370"/>
        <v>0</v>
      </c>
      <c r="DJ112" s="1117">
        <f>VLOOKUP($E112,DG$442:DJ$453,4,FALSE)*DG112*($K112)+(DG112-DH112-DI112)*(1-$K112)</f>
        <v>11821032.84</v>
      </c>
      <c r="DK112" s="1118"/>
      <c r="DO112" s="1116">
        <f t="shared" si="338"/>
        <v>11821032.84</v>
      </c>
      <c r="DP112" s="1117">
        <f t="shared" si="371"/>
        <v>0</v>
      </c>
      <c r="DQ112" s="1117">
        <f t="shared" si="372"/>
        <v>0</v>
      </c>
      <c r="DR112" s="1117">
        <f>VLOOKUP($E112,DO$442:DR$453,4,FALSE)*DO112*($K112)+(DO112-DP112-DQ112)*(1-$K112)</f>
        <v>11821032.84</v>
      </c>
      <c r="DS112" s="1118"/>
      <c r="DW112" s="1116">
        <f t="shared" si="339"/>
        <v>11821032.84</v>
      </c>
      <c r="DX112" s="1117">
        <f t="shared" si="373"/>
        <v>0</v>
      </c>
      <c r="DY112" s="1117">
        <f t="shared" si="374"/>
        <v>0</v>
      </c>
      <c r="DZ112" s="1117">
        <f>VLOOKUP($E112,DW$442:DZ$453,4,FALSE)*DW112*($K112)+(DW112-DX112-DY112)*(1-$K112)</f>
        <v>11821032.84</v>
      </c>
      <c r="EA112" s="1118"/>
      <c r="EE112" s="1116">
        <f t="shared" si="340"/>
        <v>11821032.84</v>
      </c>
      <c r="EF112" s="1117">
        <f t="shared" si="375"/>
        <v>0</v>
      </c>
      <c r="EG112" s="1117">
        <f t="shared" si="376"/>
        <v>0</v>
      </c>
      <c r="EH112" s="1117">
        <f>VLOOKUP($E112,EE$442:EH$453,4,FALSE)*EE112*($K112)+(EE112-EF112-EG112)*(1-$K112)</f>
        <v>11821032.84</v>
      </c>
      <c r="EI112" s="1118"/>
      <c r="EM112" s="1116">
        <f t="shared" si="341"/>
        <v>11821032.84</v>
      </c>
      <c r="EN112" s="1117">
        <f t="shared" si="377"/>
        <v>0</v>
      </c>
      <c r="EO112" s="1117">
        <f t="shared" si="378"/>
        <v>0</v>
      </c>
      <c r="EP112" s="1117">
        <f>VLOOKUP($E112,EM$442:EP$453,4,FALSE)*EM112*($K112)+(EM112-EN112-EO112)*(1-$K112)</f>
        <v>11821032.84</v>
      </c>
      <c r="EQ112" s="1118"/>
      <c r="EU112" s="1116">
        <f t="shared" si="342"/>
        <v>11821032.84</v>
      </c>
      <c r="EV112" s="1117">
        <f t="shared" si="379"/>
        <v>0</v>
      </c>
      <c r="EW112" s="1117">
        <f t="shared" si="380"/>
        <v>0</v>
      </c>
      <c r="EX112" s="1117">
        <f>VLOOKUP($E112,EU$442:EX$453,4,FALSE)*EU112*($K112)+(EU112-EV112-EW112)*(1-$K112)</f>
        <v>11821032.84</v>
      </c>
      <c r="EY112" s="1118"/>
      <c r="FC112" s="1116">
        <f t="shared" si="343"/>
        <v>11821032.84</v>
      </c>
      <c r="FD112" s="1117">
        <f t="shared" si="381"/>
        <v>0</v>
      </c>
      <c r="FE112" s="1117">
        <f t="shared" si="382"/>
        <v>0</v>
      </c>
      <c r="FF112" s="1117">
        <f>VLOOKUP($E112,FC$442:FF$453,4,FALSE)*FC112*($K112)+(FC112-FD112-FE112)*(1-$K112)</f>
        <v>11821032.84</v>
      </c>
      <c r="FG112" s="1118"/>
      <c r="FK112" s="1116">
        <f t="shared" si="344"/>
        <v>11821032.84</v>
      </c>
      <c r="FL112" s="1117">
        <f t="shared" si="383"/>
        <v>0</v>
      </c>
      <c r="FM112" s="1117">
        <f t="shared" si="384"/>
        <v>0</v>
      </c>
      <c r="FN112" s="1117">
        <f>VLOOKUP($E112,FK$442:FN$453,4,FALSE)*FK112*($K112)+(FK112-FL112-FM112)*(1-$K112)</f>
        <v>11821032.84</v>
      </c>
      <c r="FO112" s="1118"/>
    </row>
    <row r="113" spans="1:171">
      <c r="A113" s="912"/>
      <c r="B113" s="79" t="s">
        <v>626</v>
      </c>
      <c r="C113" s="888" t="s">
        <v>255</v>
      </c>
      <c r="D113" s="888">
        <v>175</v>
      </c>
      <c r="E113" s="182" t="str">
        <f>'Sch 1- Rate Base '!E113</f>
        <v>DIST</v>
      </c>
      <c r="F113" s="889"/>
      <c r="G113" s="182">
        <f>'Sch 1- Rate Base '!G113</f>
        <v>0</v>
      </c>
      <c r="H113" s="182">
        <f>'Sch 1- Rate Base '!H113</f>
        <v>0</v>
      </c>
      <c r="I113" s="182">
        <f>'Sch 1- Rate Base '!I113</f>
        <v>0</v>
      </c>
      <c r="J113" s="183">
        <f>'Sch 1- Rate Base '!J113</f>
        <v>0</v>
      </c>
      <c r="K113" s="903">
        <f t="shared" si="244"/>
        <v>1</v>
      </c>
      <c r="O113" s="1116">
        <f t="shared" si="325"/>
        <v>0</v>
      </c>
      <c r="P113" s="1117">
        <f t="shared" si="345"/>
        <v>0</v>
      </c>
      <c r="Q113" s="1117">
        <f t="shared" si="346"/>
        <v>0</v>
      </c>
      <c r="R113" s="1117">
        <f>VLOOKUP($E113,O$442:R$453,4,FALSE)*O113*($K113)+(O113-P113-Q113)*(1-$K113)</f>
        <v>0</v>
      </c>
      <c r="S113" s="1118"/>
      <c r="W113" s="1116">
        <f t="shared" si="326"/>
        <v>0</v>
      </c>
      <c r="X113" s="1117">
        <f t="shared" si="347"/>
        <v>0</v>
      </c>
      <c r="Y113" s="1117">
        <f t="shared" si="348"/>
        <v>0</v>
      </c>
      <c r="Z113" s="1117">
        <f>VLOOKUP($E113,W$442:Z$453,4,FALSE)*W113*($K113)+(W113-X113-Y113)*(1-$K113)</f>
        <v>0</v>
      </c>
      <c r="AA113" s="1118"/>
      <c r="AE113" s="1116">
        <f t="shared" si="327"/>
        <v>0</v>
      </c>
      <c r="AF113" s="1117">
        <f t="shared" si="349"/>
        <v>0</v>
      </c>
      <c r="AG113" s="1117">
        <f t="shared" si="350"/>
        <v>0</v>
      </c>
      <c r="AH113" s="1117">
        <f>VLOOKUP($E113,AE$442:AH$453,4,FALSE)*AE113*($K113)+(AE113-AF113-AG113)*(1-$K113)</f>
        <v>0</v>
      </c>
      <c r="AI113" s="1118"/>
      <c r="AM113" s="1116">
        <f t="shared" si="328"/>
        <v>0</v>
      </c>
      <c r="AN113" s="1117">
        <f t="shared" si="351"/>
        <v>0</v>
      </c>
      <c r="AO113" s="1117">
        <f t="shared" si="352"/>
        <v>0</v>
      </c>
      <c r="AP113" s="1117">
        <f>VLOOKUP($E113,AM$442:AP$453,4,FALSE)*AM113*($K113)+(AM113-AN113-AO113)*(1-$K113)</f>
        <v>0</v>
      </c>
      <c r="AQ113" s="1118"/>
      <c r="AU113" s="1116">
        <f t="shared" si="329"/>
        <v>0</v>
      </c>
      <c r="AV113" s="1117">
        <f t="shared" si="353"/>
        <v>0</v>
      </c>
      <c r="AW113" s="1117">
        <f t="shared" si="354"/>
        <v>0</v>
      </c>
      <c r="AX113" s="1117">
        <f>VLOOKUP($E113,AU$442:AX$453,4,FALSE)*AU113*($K113)+(AU113-AV113-AW113)*(1-$K113)</f>
        <v>0</v>
      </c>
      <c r="AY113" s="1118"/>
      <c r="BC113" s="1116">
        <f t="shared" si="330"/>
        <v>0</v>
      </c>
      <c r="BD113" s="1117">
        <f t="shared" si="355"/>
        <v>0</v>
      </c>
      <c r="BE113" s="1117">
        <f t="shared" si="356"/>
        <v>0</v>
      </c>
      <c r="BF113" s="1117">
        <f>VLOOKUP($E113,BC$442:BF$453,4,FALSE)*BC113*($K113)+(BC113-BD113-BE113)*(1-$K113)</f>
        <v>0</v>
      </c>
      <c r="BG113" s="1118"/>
      <c r="BK113" s="1116">
        <f t="shared" si="331"/>
        <v>0</v>
      </c>
      <c r="BL113" s="1117">
        <f t="shared" si="357"/>
        <v>0</v>
      </c>
      <c r="BM113" s="1117">
        <f t="shared" si="358"/>
        <v>0</v>
      </c>
      <c r="BN113" s="1117">
        <f>VLOOKUP($E113,BK$442:BN$453,4,FALSE)*BK113*($K113)+(BK113-BL113-BM113)*(1-$K113)</f>
        <v>0</v>
      </c>
      <c r="BO113" s="1118"/>
      <c r="BS113" s="1116">
        <f t="shared" si="332"/>
        <v>0</v>
      </c>
      <c r="BT113" s="1117">
        <f t="shared" si="359"/>
        <v>0</v>
      </c>
      <c r="BU113" s="1117">
        <f t="shared" si="360"/>
        <v>0</v>
      </c>
      <c r="BV113" s="1117">
        <f>VLOOKUP($E113,BS$442:BV$453,4,FALSE)*BS113*($K113)+(BS113-BT113-BU113)*(1-$K113)</f>
        <v>0</v>
      </c>
      <c r="BW113" s="1118"/>
      <c r="CA113" s="1116">
        <f t="shared" si="333"/>
        <v>0</v>
      </c>
      <c r="CB113" s="1117">
        <f t="shared" si="361"/>
        <v>0</v>
      </c>
      <c r="CC113" s="1117">
        <f t="shared" si="362"/>
        <v>0</v>
      </c>
      <c r="CD113" s="1117">
        <f>VLOOKUP($E113,CA$442:CD$453,4,FALSE)*CA113*($K113)+(CA113-CB113-CC113)*(1-$K113)</f>
        <v>0</v>
      </c>
      <c r="CE113" s="1118"/>
      <c r="CI113" s="1116">
        <f t="shared" si="334"/>
        <v>0</v>
      </c>
      <c r="CJ113" s="1117">
        <f t="shared" si="363"/>
        <v>0</v>
      </c>
      <c r="CK113" s="1117">
        <f t="shared" si="364"/>
        <v>0</v>
      </c>
      <c r="CL113" s="1117">
        <f>VLOOKUP($E113,CI$442:CL$453,4,FALSE)*CI113*($K113)+(CI113-CJ113-CK113)*(1-$K113)</f>
        <v>0</v>
      </c>
      <c r="CM113" s="1118"/>
      <c r="CQ113" s="1116">
        <f t="shared" si="335"/>
        <v>0</v>
      </c>
      <c r="CR113" s="1117">
        <f t="shared" si="365"/>
        <v>0</v>
      </c>
      <c r="CS113" s="1117">
        <f t="shared" si="366"/>
        <v>0</v>
      </c>
      <c r="CT113" s="1117">
        <f>VLOOKUP($E113,CQ$442:CT$453,4,FALSE)*CQ113*($K113)+(CQ113-CR113-CS113)*(1-$K113)</f>
        <v>0</v>
      </c>
      <c r="CU113" s="1118"/>
      <c r="CY113" s="1116">
        <f t="shared" si="336"/>
        <v>0</v>
      </c>
      <c r="CZ113" s="1117">
        <f t="shared" si="367"/>
        <v>0</v>
      </c>
      <c r="DA113" s="1117">
        <f t="shared" si="368"/>
        <v>0</v>
      </c>
      <c r="DB113" s="1117">
        <f>VLOOKUP($E113,CY$442:DB$453,4,FALSE)*CY113*($K113)+(CY113-CZ113-DA113)*(1-$K113)</f>
        <v>0</v>
      </c>
      <c r="DC113" s="1118"/>
      <c r="DG113" s="1116">
        <f t="shared" si="337"/>
        <v>0</v>
      </c>
      <c r="DH113" s="1117">
        <f t="shared" si="369"/>
        <v>0</v>
      </c>
      <c r="DI113" s="1117">
        <f t="shared" si="370"/>
        <v>0</v>
      </c>
      <c r="DJ113" s="1117">
        <f>VLOOKUP($E113,DG$442:DJ$453,4,FALSE)*DG113*($K113)+(DG113-DH113-DI113)*(1-$K113)</f>
        <v>0</v>
      </c>
      <c r="DK113" s="1118"/>
      <c r="DO113" s="1116">
        <f t="shared" si="338"/>
        <v>0</v>
      </c>
      <c r="DP113" s="1117">
        <f t="shared" si="371"/>
        <v>0</v>
      </c>
      <c r="DQ113" s="1117">
        <f t="shared" si="372"/>
        <v>0</v>
      </c>
      <c r="DR113" s="1117">
        <f>VLOOKUP($E113,DO$442:DR$453,4,FALSE)*DO113*($K113)+(DO113-DP113-DQ113)*(1-$K113)</f>
        <v>0</v>
      </c>
      <c r="DS113" s="1118"/>
      <c r="DW113" s="1116">
        <f t="shared" si="339"/>
        <v>0</v>
      </c>
      <c r="DX113" s="1117">
        <f t="shared" si="373"/>
        <v>0</v>
      </c>
      <c r="DY113" s="1117">
        <f t="shared" si="374"/>
        <v>0</v>
      </c>
      <c r="DZ113" s="1117">
        <f>VLOOKUP($E113,DW$442:DZ$453,4,FALSE)*DW113*($K113)+(DW113-DX113-DY113)*(1-$K113)</f>
        <v>0</v>
      </c>
      <c r="EA113" s="1118"/>
      <c r="EE113" s="1116">
        <f t="shared" si="340"/>
        <v>0</v>
      </c>
      <c r="EF113" s="1117">
        <f t="shared" si="375"/>
        <v>0</v>
      </c>
      <c r="EG113" s="1117">
        <f t="shared" si="376"/>
        <v>0</v>
      </c>
      <c r="EH113" s="1117">
        <f>VLOOKUP($E113,EE$442:EH$453,4,FALSE)*EE113*($K113)+(EE113-EF113-EG113)*(1-$K113)</f>
        <v>0</v>
      </c>
      <c r="EI113" s="1118"/>
      <c r="EM113" s="1116">
        <f t="shared" si="341"/>
        <v>0</v>
      </c>
      <c r="EN113" s="1117">
        <f t="shared" si="377"/>
        <v>0</v>
      </c>
      <c r="EO113" s="1117">
        <f t="shared" si="378"/>
        <v>0</v>
      </c>
      <c r="EP113" s="1117">
        <f>VLOOKUP($E113,EM$442:EP$453,4,FALSE)*EM113*($K113)+(EM113-EN113-EO113)*(1-$K113)</f>
        <v>0</v>
      </c>
      <c r="EQ113" s="1118"/>
      <c r="EU113" s="1116">
        <f t="shared" si="342"/>
        <v>0</v>
      </c>
      <c r="EV113" s="1117">
        <f t="shared" si="379"/>
        <v>0</v>
      </c>
      <c r="EW113" s="1117">
        <f t="shared" si="380"/>
        <v>0</v>
      </c>
      <c r="EX113" s="1117">
        <f>VLOOKUP($E113,EU$442:EX$453,4,FALSE)*EU113*($K113)+(EU113-EV113-EW113)*(1-$K113)</f>
        <v>0</v>
      </c>
      <c r="EY113" s="1118"/>
      <c r="FC113" s="1116">
        <f t="shared" si="343"/>
        <v>0</v>
      </c>
      <c r="FD113" s="1117">
        <f t="shared" si="381"/>
        <v>0</v>
      </c>
      <c r="FE113" s="1117">
        <f t="shared" si="382"/>
        <v>0</v>
      </c>
      <c r="FF113" s="1117">
        <f>VLOOKUP($E113,FC$442:FF$453,4,FALSE)*FC113*($K113)+(FC113-FD113-FE113)*(1-$K113)</f>
        <v>0</v>
      </c>
      <c r="FG113" s="1118"/>
      <c r="FK113" s="1116">
        <f t="shared" si="344"/>
        <v>0</v>
      </c>
      <c r="FL113" s="1117">
        <f t="shared" si="383"/>
        <v>0</v>
      </c>
      <c r="FM113" s="1117">
        <f t="shared" si="384"/>
        <v>0</v>
      </c>
      <c r="FN113" s="1117">
        <f>VLOOKUP($E113,FK$442:FN$453,4,FALSE)*FK113*($K113)+(FK113-FL113-FM113)*(1-$K113)</f>
        <v>0</v>
      </c>
      <c r="FO113" s="1118"/>
    </row>
    <row r="114" spans="1:171">
      <c r="A114" s="912"/>
      <c r="B114" s="79" t="s">
        <v>334</v>
      </c>
      <c r="C114" s="954" t="s">
        <v>78</v>
      </c>
      <c r="D114" s="954">
        <v>176</v>
      </c>
      <c r="E114" s="182" t="str">
        <f>'Sch 1- Rate Base '!E114</f>
        <v>DIST</v>
      </c>
      <c r="F114" s="889"/>
      <c r="G114" s="182">
        <f>'Sch 1- Rate Base '!G114</f>
        <v>0</v>
      </c>
      <c r="H114" s="182">
        <f>'Sch 1- Rate Base '!H114</f>
        <v>0</v>
      </c>
      <c r="I114" s="182">
        <f>'Sch 1- Rate Base '!I114</f>
        <v>0</v>
      </c>
      <c r="J114" s="183">
        <f>'Sch 1- Rate Base '!J114</f>
        <v>0</v>
      </c>
      <c r="K114" s="903">
        <f t="shared" si="244"/>
        <v>1</v>
      </c>
      <c r="O114" s="1116">
        <f t="shared" si="325"/>
        <v>0</v>
      </c>
      <c r="P114" s="1117">
        <f t="shared" si="345"/>
        <v>0</v>
      </c>
      <c r="Q114" s="1117">
        <f t="shared" si="346"/>
        <v>0</v>
      </c>
      <c r="R114" s="1117">
        <f>VLOOKUP($E114,O$442:R$453,4,FALSE)*O114*($K114)+(O114-P114-Q114)*(1-$K114)</f>
        <v>0</v>
      </c>
      <c r="S114" s="1118"/>
      <c r="W114" s="1116">
        <f t="shared" si="326"/>
        <v>0</v>
      </c>
      <c r="X114" s="1117">
        <f t="shared" si="347"/>
        <v>0</v>
      </c>
      <c r="Y114" s="1117">
        <f t="shared" si="348"/>
        <v>0</v>
      </c>
      <c r="Z114" s="1117">
        <f>VLOOKUP($E114,W$442:Z$453,4,FALSE)*W114*($K114)+(W114-X114-Y114)*(1-$K114)</f>
        <v>0</v>
      </c>
      <c r="AA114" s="1118"/>
      <c r="AE114" s="1116">
        <f t="shared" si="327"/>
        <v>0</v>
      </c>
      <c r="AF114" s="1117">
        <f t="shared" si="349"/>
        <v>0</v>
      </c>
      <c r="AG114" s="1117">
        <f t="shared" si="350"/>
        <v>0</v>
      </c>
      <c r="AH114" s="1117">
        <f>VLOOKUP($E114,AE$442:AH$453,4,FALSE)*AE114*($K114)+(AE114-AF114-AG114)*(1-$K114)</f>
        <v>0</v>
      </c>
      <c r="AI114" s="1118"/>
      <c r="AM114" s="1116">
        <f t="shared" si="328"/>
        <v>0</v>
      </c>
      <c r="AN114" s="1117">
        <f t="shared" si="351"/>
        <v>0</v>
      </c>
      <c r="AO114" s="1117">
        <f t="shared" si="352"/>
        <v>0</v>
      </c>
      <c r="AP114" s="1117">
        <f>VLOOKUP($E114,AM$442:AP$453,4,FALSE)*AM114*($K114)+(AM114-AN114-AO114)*(1-$K114)</f>
        <v>0</v>
      </c>
      <c r="AQ114" s="1118"/>
      <c r="AU114" s="1116">
        <f t="shared" si="329"/>
        <v>0</v>
      </c>
      <c r="AV114" s="1117">
        <f t="shared" si="353"/>
        <v>0</v>
      </c>
      <c r="AW114" s="1117">
        <f t="shared" si="354"/>
        <v>0</v>
      </c>
      <c r="AX114" s="1117">
        <f>VLOOKUP($E114,AU$442:AX$453,4,FALSE)*AU114*($K114)+(AU114-AV114-AW114)*(1-$K114)</f>
        <v>0</v>
      </c>
      <c r="AY114" s="1118"/>
      <c r="BC114" s="1116">
        <f t="shared" si="330"/>
        <v>0</v>
      </c>
      <c r="BD114" s="1117">
        <f t="shared" si="355"/>
        <v>0</v>
      </c>
      <c r="BE114" s="1117">
        <f t="shared" si="356"/>
        <v>0</v>
      </c>
      <c r="BF114" s="1117">
        <f>VLOOKUP($E114,BC$442:BF$453,4,FALSE)*BC114*($K114)+(BC114-BD114-BE114)*(1-$K114)</f>
        <v>0</v>
      </c>
      <c r="BG114" s="1118"/>
      <c r="BK114" s="1116">
        <f t="shared" si="331"/>
        <v>0</v>
      </c>
      <c r="BL114" s="1117">
        <f t="shared" si="357"/>
        <v>0</v>
      </c>
      <c r="BM114" s="1117">
        <f t="shared" si="358"/>
        <v>0</v>
      </c>
      <c r="BN114" s="1117">
        <f>VLOOKUP($E114,BK$442:BN$453,4,FALSE)*BK114*($K114)+(BK114-BL114-BM114)*(1-$K114)</f>
        <v>0</v>
      </c>
      <c r="BO114" s="1118"/>
      <c r="BS114" s="1116">
        <f t="shared" si="332"/>
        <v>0</v>
      </c>
      <c r="BT114" s="1117">
        <f t="shared" si="359"/>
        <v>0</v>
      </c>
      <c r="BU114" s="1117">
        <f t="shared" si="360"/>
        <v>0</v>
      </c>
      <c r="BV114" s="1117">
        <f>VLOOKUP($E114,BS$442:BV$453,4,FALSE)*BS114*($K114)+(BS114-BT114-BU114)*(1-$K114)</f>
        <v>0</v>
      </c>
      <c r="BW114" s="1118"/>
      <c r="CA114" s="1116">
        <f t="shared" si="333"/>
        <v>0</v>
      </c>
      <c r="CB114" s="1117">
        <f t="shared" si="361"/>
        <v>0</v>
      </c>
      <c r="CC114" s="1117">
        <f t="shared" si="362"/>
        <v>0</v>
      </c>
      <c r="CD114" s="1117">
        <f>VLOOKUP($E114,CA$442:CD$453,4,FALSE)*CA114*($K114)+(CA114-CB114-CC114)*(1-$K114)</f>
        <v>0</v>
      </c>
      <c r="CE114" s="1118"/>
      <c r="CI114" s="1116">
        <f t="shared" si="334"/>
        <v>0</v>
      </c>
      <c r="CJ114" s="1117">
        <f t="shared" si="363"/>
        <v>0</v>
      </c>
      <c r="CK114" s="1117">
        <f t="shared" si="364"/>
        <v>0</v>
      </c>
      <c r="CL114" s="1117">
        <f>VLOOKUP($E114,CI$442:CL$453,4,FALSE)*CI114*($K114)+(CI114-CJ114-CK114)*(1-$K114)</f>
        <v>0</v>
      </c>
      <c r="CM114" s="1118"/>
      <c r="CQ114" s="1116">
        <f t="shared" si="335"/>
        <v>0</v>
      </c>
      <c r="CR114" s="1117">
        <f t="shared" si="365"/>
        <v>0</v>
      </c>
      <c r="CS114" s="1117">
        <f t="shared" si="366"/>
        <v>0</v>
      </c>
      <c r="CT114" s="1117">
        <f>VLOOKUP($E114,CQ$442:CT$453,4,FALSE)*CQ114*($K114)+(CQ114-CR114-CS114)*(1-$K114)</f>
        <v>0</v>
      </c>
      <c r="CU114" s="1118"/>
      <c r="CY114" s="1116">
        <f t="shared" si="336"/>
        <v>0</v>
      </c>
      <c r="CZ114" s="1117">
        <f t="shared" si="367"/>
        <v>0</v>
      </c>
      <c r="DA114" s="1117">
        <f t="shared" si="368"/>
        <v>0</v>
      </c>
      <c r="DB114" s="1117">
        <f>VLOOKUP($E114,CY$442:DB$453,4,FALSE)*CY114*($K114)+(CY114-CZ114-DA114)*(1-$K114)</f>
        <v>0</v>
      </c>
      <c r="DC114" s="1118"/>
      <c r="DG114" s="1116">
        <f t="shared" si="337"/>
        <v>0</v>
      </c>
      <c r="DH114" s="1117">
        <f t="shared" si="369"/>
        <v>0</v>
      </c>
      <c r="DI114" s="1117">
        <f t="shared" si="370"/>
        <v>0</v>
      </c>
      <c r="DJ114" s="1117">
        <f>VLOOKUP($E114,DG$442:DJ$453,4,FALSE)*DG114*($K114)+(DG114-DH114-DI114)*(1-$K114)</f>
        <v>0</v>
      </c>
      <c r="DK114" s="1118"/>
      <c r="DO114" s="1116">
        <f t="shared" si="338"/>
        <v>0</v>
      </c>
      <c r="DP114" s="1117">
        <f t="shared" si="371"/>
        <v>0</v>
      </c>
      <c r="DQ114" s="1117">
        <f t="shared" si="372"/>
        <v>0</v>
      </c>
      <c r="DR114" s="1117">
        <f>VLOOKUP($E114,DO$442:DR$453,4,FALSE)*DO114*($K114)+(DO114-DP114-DQ114)*(1-$K114)</f>
        <v>0</v>
      </c>
      <c r="DS114" s="1118"/>
      <c r="DW114" s="1116">
        <f t="shared" si="339"/>
        <v>0</v>
      </c>
      <c r="DX114" s="1117">
        <f t="shared" si="373"/>
        <v>0</v>
      </c>
      <c r="DY114" s="1117">
        <f t="shared" si="374"/>
        <v>0</v>
      </c>
      <c r="DZ114" s="1117">
        <f>VLOOKUP($E114,DW$442:DZ$453,4,FALSE)*DW114*($K114)+(DW114-DX114-DY114)*(1-$K114)</f>
        <v>0</v>
      </c>
      <c r="EA114" s="1118"/>
      <c r="EE114" s="1116">
        <f t="shared" si="340"/>
        <v>0</v>
      </c>
      <c r="EF114" s="1117">
        <f t="shared" si="375"/>
        <v>0</v>
      </c>
      <c r="EG114" s="1117">
        <f t="shared" si="376"/>
        <v>0</v>
      </c>
      <c r="EH114" s="1117">
        <f>VLOOKUP($E114,EE$442:EH$453,4,FALSE)*EE114*($K114)+(EE114-EF114-EG114)*(1-$K114)</f>
        <v>0</v>
      </c>
      <c r="EI114" s="1118"/>
      <c r="EM114" s="1116">
        <f t="shared" si="341"/>
        <v>0</v>
      </c>
      <c r="EN114" s="1117">
        <f t="shared" si="377"/>
        <v>0</v>
      </c>
      <c r="EO114" s="1117">
        <f t="shared" si="378"/>
        <v>0</v>
      </c>
      <c r="EP114" s="1117">
        <f>VLOOKUP($E114,EM$442:EP$453,4,FALSE)*EM114*($K114)+(EM114-EN114-EO114)*(1-$K114)</f>
        <v>0</v>
      </c>
      <c r="EQ114" s="1118"/>
      <c r="EU114" s="1116">
        <f t="shared" si="342"/>
        <v>0</v>
      </c>
      <c r="EV114" s="1117">
        <f t="shared" si="379"/>
        <v>0</v>
      </c>
      <c r="EW114" s="1117">
        <f t="shared" si="380"/>
        <v>0</v>
      </c>
      <c r="EX114" s="1117">
        <f>VLOOKUP($E114,EU$442:EX$453,4,FALSE)*EU114*($K114)+(EU114-EV114-EW114)*(1-$K114)</f>
        <v>0</v>
      </c>
      <c r="EY114" s="1118"/>
      <c r="FC114" s="1116">
        <f t="shared" si="343"/>
        <v>0</v>
      </c>
      <c r="FD114" s="1117">
        <f t="shared" si="381"/>
        <v>0</v>
      </c>
      <c r="FE114" s="1117">
        <f t="shared" si="382"/>
        <v>0</v>
      </c>
      <c r="FF114" s="1117">
        <f>VLOOKUP($E114,FC$442:FF$453,4,FALSE)*FC114*($K114)+(FC114-FD114-FE114)*(1-$K114)</f>
        <v>0</v>
      </c>
      <c r="FG114" s="1118"/>
      <c r="FK114" s="1116">
        <f t="shared" si="344"/>
        <v>0</v>
      </c>
      <c r="FL114" s="1117">
        <f t="shared" si="383"/>
        <v>0</v>
      </c>
      <c r="FM114" s="1117">
        <f t="shared" si="384"/>
        <v>0</v>
      </c>
      <c r="FN114" s="1117">
        <f>VLOOKUP($E114,FK$442:FN$453,4,FALSE)*FK114*($K114)+(FK114-FL114-FM114)*(1-$K114)</f>
        <v>0</v>
      </c>
      <c r="FO114" s="1118"/>
    </row>
    <row r="115" spans="1:171">
      <c r="A115" s="912"/>
      <c r="B115" s="79" t="s">
        <v>627</v>
      </c>
      <c r="C115" s="954" t="s">
        <v>255</v>
      </c>
      <c r="D115" s="954">
        <v>176</v>
      </c>
      <c r="E115" s="182" t="str">
        <f>'Sch 1- Rate Base '!E115</f>
        <v>DIST</v>
      </c>
      <c r="F115" s="889"/>
      <c r="G115" s="182">
        <f>'Sch 1- Rate Base '!G115</f>
        <v>0</v>
      </c>
      <c r="H115" s="182">
        <f>'Sch 1- Rate Base '!H115</f>
        <v>0</v>
      </c>
      <c r="I115" s="182">
        <f>'Sch 1- Rate Base '!I115</f>
        <v>0</v>
      </c>
      <c r="J115" s="183">
        <f>'Sch 1- Rate Base '!J115</f>
        <v>0</v>
      </c>
      <c r="K115" s="903">
        <f t="shared" si="244"/>
        <v>1</v>
      </c>
      <c r="O115" s="1116">
        <f t="shared" si="325"/>
        <v>0</v>
      </c>
      <c r="P115" s="1117">
        <f t="shared" si="345"/>
        <v>0</v>
      </c>
      <c r="Q115" s="1117">
        <f t="shared" si="346"/>
        <v>0</v>
      </c>
      <c r="R115" s="1117">
        <f>VLOOKUP($E115,O$442:R$453,4,FALSE)*O115*($K115)+(O115-P115-Q115)*(1-$K115)</f>
        <v>0</v>
      </c>
      <c r="S115" s="1118"/>
      <c r="W115" s="1116">
        <f t="shared" si="326"/>
        <v>0</v>
      </c>
      <c r="X115" s="1117">
        <f t="shared" si="347"/>
        <v>0</v>
      </c>
      <c r="Y115" s="1117">
        <f t="shared" si="348"/>
        <v>0</v>
      </c>
      <c r="Z115" s="1117">
        <f>VLOOKUP($E115,W$442:Z$453,4,FALSE)*W115*($K115)+(W115-X115-Y115)*(1-$K115)</f>
        <v>0</v>
      </c>
      <c r="AA115" s="1118"/>
      <c r="AE115" s="1116">
        <f t="shared" si="327"/>
        <v>0</v>
      </c>
      <c r="AF115" s="1117">
        <f t="shared" si="349"/>
        <v>0</v>
      </c>
      <c r="AG115" s="1117">
        <f t="shared" si="350"/>
        <v>0</v>
      </c>
      <c r="AH115" s="1117">
        <f>VLOOKUP($E115,AE$442:AH$453,4,FALSE)*AE115*($K115)+(AE115-AF115-AG115)*(1-$K115)</f>
        <v>0</v>
      </c>
      <c r="AI115" s="1118"/>
      <c r="AM115" s="1116">
        <f t="shared" si="328"/>
        <v>0</v>
      </c>
      <c r="AN115" s="1117">
        <f t="shared" si="351"/>
        <v>0</v>
      </c>
      <c r="AO115" s="1117">
        <f t="shared" si="352"/>
        <v>0</v>
      </c>
      <c r="AP115" s="1117">
        <f>VLOOKUP($E115,AM$442:AP$453,4,FALSE)*AM115*($K115)+(AM115-AN115-AO115)*(1-$K115)</f>
        <v>0</v>
      </c>
      <c r="AQ115" s="1118"/>
      <c r="AU115" s="1116">
        <f t="shared" si="329"/>
        <v>0</v>
      </c>
      <c r="AV115" s="1117">
        <f t="shared" si="353"/>
        <v>0</v>
      </c>
      <c r="AW115" s="1117">
        <f t="shared" si="354"/>
        <v>0</v>
      </c>
      <c r="AX115" s="1117">
        <f>VLOOKUP($E115,AU$442:AX$453,4,FALSE)*AU115*($K115)+(AU115-AV115-AW115)*(1-$K115)</f>
        <v>0</v>
      </c>
      <c r="AY115" s="1118"/>
      <c r="BC115" s="1116">
        <f t="shared" si="330"/>
        <v>0</v>
      </c>
      <c r="BD115" s="1117">
        <f t="shared" si="355"/>
        <v>0</v>
      </c>
      <c r="BE115" s="1117">
        <f t="shared" si="356"/>
        <v>0</v>
      </c>
      <c r="BF115" s="1117">
        <f>VLOOKUP($E115,BC$442:BF$453,4,FALSE)*BC115*($K115)+(BC115-BD115-BE115)*(1-$K115)</f>
        <v>0</v>
      </c>
      <c r="BG115" s="1118"/>
      <c r="BK115" s="1116">
        <f t="shared" si="331"/>
        <v>0</v>
      </c>
      <c r="BL115" s="1117">
        <f t="shared" si="357"/>
        <v>0</v>
      </c>
      <c r="BM115" s="1117">
        <f t="shared" si="358"/>
        <v>0</v>
      </c>
      <c r="BN115" s="1117">
        <f>VLOOKUP($E115,BK$442:BN$453,4,FALSE)*BK115*($K115)+(BK115-BL115-BM115)*(1-$K115)</f>
        <v>0</v>
      </c>
      <c r="BO115" s="1118"/>
      <c r="BS115" s="1116">
        <f t="shared" si="332"/>
        <v>0</v>
      </c>
      <c r="BT115" s="1117">
        <f t="shared" si="359"/>
        <v>0</v>
      </c>
      <c r="BU115" s="1117">
        <f t="shared" si="360"/>
        <v>0</v>
      </c>
      <c r="BV115" s="1117">
        <f>VLOOKUP($E115,BS$442:BV$453,4,FALSE)*BS115*($K115)+(BS115-BT115-BU115)*(1-$K115)</f>
        <v>0</v>
      </c>
      <c r="BW115" s="1118"/>
      <c r="CA115" s="1116">
        <f t="shared" si="333"/>
        <v>0</v>
      </c>
      <c r="CB115" s="1117">
        <f t="shared" si="361"/>
        <v>0</v>
      </c>
      <c r="CC115" s="1117">
        <f t="shared" si="362"/>
        <v>0</v>
      </c>
      <c r="CD115" s="1117">
        <f>VLOOKUP($E115,CA$442:CD$453,4,FALSE)*CA115*($K115)+(CA115-CB115-CC115)*(1-$K115)</f>
        <v>0</v>
      </c>
      <c r="CE115" s="1118"/>
      <c r="CI115" s="1116">
        <f t="shared" si="334"/>
        <v>0</v>
      </c>
      <c r="CJ115" s="1117">
        <f t="shared" si="363"/>
        <v>0</v>
      </c>
      <c r="CK115" s="1117">
        <f t="shared" si="364"/>
        <v>0</v>
      </c>
      <c r="CL115" s="1117">
        <f>VLOOKUP($E115,CI$442:CL$453,4,FALSE)*CI115*($K115)+(CI115-CJ115-CK115)*(1-$K115)</f>
        <v>0</v>
      </c>
      <c r="CM115" s="1118"/>
      <c r="CQ115" s="1116">
        <f t="shared" si="335"/>
        <v>0</v>
      </c>
      <c r="CR115" s="1117">
        <f t="shared" si="365"/>
        <v>0</v>
      </c>
      <c r="CS115" s="1117">
        <f t="shared" si="366"/>
        <v>0</v>
      </c>
      <c r="CT115" s="1117">
        <f>VLOOKUP($E115,CQ$442:CT$453,4,FALSE)*CQ115*($K115)+(CQ115-CR115-CS115)*(1-$K115)</f>
        <v>0</v>
      </c>
      <c r="CU115" s="1118"/>
      <c r="CY115" s="1116">
        <f t="shared" si="336"/>
        <v>0</v>
      </c>
      <c r="CZ115" s="1117">
        <f t="shared" si="367"/>
        <v>0</v>
      </c>
      <c r="DA115" s="1117">
        <f t="shared" si="368"/>
        <v>0</v>
      </c>
      <c r="DB115" s="1117">
        <f>VLOOKUP($E115,CY$442:DB$453,4,FALSE)*CY115*($K115)+(CY115-CZ115-DA115)*(1-$K115)</f>
        <v>0</v>
      </c>
      <c r="DC115" s="1118"/>
      <c r="DG115" s="1116">
        <f t="shared" si="337"/>
        <v>0</v>
      </c>
      <c r="DH115" s="1117">
        <f t="shared" si="369"/>
        <v>0</v>
      </c>
      <c r="DI115" s="1117">
        <f t="shared" si="370"/>
        <v>0</v>
      </c>
      <c r="DJ115" s="1117">
        <f>VLOOKUP($E115,DG$442:DJ$453,4,FALSE)*DG115*($K115)+(DG115-DH115-DI115)*(1-$K115)</f>
        <v>0</v>
      </c>
      <c r="DK115" s="1118"/>
      <c r="DO115" s="1116">
        <f t="shared" si="338"/>
        <v>0</v>
      </c>
      <c r="DP115" s="1117">
        <f t="shared" si="371"/>
        <v>0</v>
      </c>
      <c r="DQ115" s="1117">
        <f t="shared" si="372"/>
        <v>0</v>
      </c>
      <c r="DR115" s="1117">
        <f>VLOOKUP($E115,DO$442:DR$453,4,FALSE)*DO115*($K115)+(DO115-DP115-DQ115)*(1-$K115)</f>
        <v>0</v>
      </c>
      <c r="DS115" s="1118"/>
      <c r="DW115" s="1116">
        <f t="shared" si="339"/>
        <v>0</v>
      </c>
      <c r="DX115" s="1117">
        <f t="shared" si="373"/>
        <v>0</v>
      </c>
      <c r="DY115" s="1117">
        <f t="shared" si="374"/>
        <v>0</v>
      </c>
      <c r="DZ115" s="1117">
        <f>VLOOKUP($E115,DW$442:DZ$453,4,FALSE)*DW115*($K115)+(DW115-DX115-DY115)*(1-$K115)</f>
        <v>0</v>
      </c>
      <c r="EA115" s="1118"/>
      <c r="EE115" s="1116">
        <f t="shared" si="340"/>
        <v>0</v>
      </c>
      <c r="EF115" s="1117">
        <f t="shared" si="375"/>
        <v>0</v>
      </c>
      <c r="EG115" s="1117">
        <f t="shared" si="376"/>
        <v>0</v>
      </c>
      <c r="EH115" s="1117">
        <f>VLOOKUP($E115,EE$442:EH$453,4,FALSE)*EE115*($K115)+(EE115-EF115-EG115)*(1-$K115)</f>
        <v>0</v>
      </c>
      <c r="EI115" s="1118"/>
      <c r="EM115" s="1116">
        <f t="shared" si="341"/>
        <v>0</v>
      </c>
      <c r="EN115" s="1117">
        <f t="shared" si="377"/>
        <v>0</v>
      </c>
      <c r="EO115" s="1117">
        <f t="shared" si="378"/>
        <v>0</v>
      </c>
      <c r="EP115" s="1117">
        <f>VLOOKUP($E115,EM$442:EP$453,4,FALSE)*EM115*($K115)+(EM115-EN115-EO115)*(1-$K115)</f>
        <v>0</v>
      </c>
      <c r="EQ115" s="1118"/>
      <c r="EU115" s="1116">
        <f t="shared" si="342"/>
        <v>0</v>
      </c>
      <c r="EV115" s="1117">
        <f t="shared" si="379"/>
        <v>0</v>
      </c>
      <c r="EW115" s="1117">
        <f t="shared" si="380"/>
        <v>0</v>
      </c>
      <c r="EX115" s="1117">
        <f>VLOOKUP($E115,EU$442:EX$453,4,FALSE)*EU115*($K115)+(EU115-EV115-EW115)*(1-$K115)</f>
        <v>0</v>
      </c>
      <c r="EY115" s="1118"/>
      <c r="FC115" s="1116">
        <f t="shared" si="343"/>
        <v>0</v>
      </c>
      <c r="FD115" s="1117">
        <f t="shared" si="381"/>
        <v>0</v>
      </c>
      <c r="FE115" s="1117">
        <f t="shared" si="382"/>
        <v>0</v>
      </c>
      <c r="FF115" s="1117">
        <f>VLOOKUP($E115,FC$442:FF$453,4,FALSE)*FC115*($K115)+(FC115-FD115-FE115)*(1-$K115)</f>
        <v>0</v>
      </c>
      <c r="FG115" s="1118"/>
      <c r="FK115" s="1116">
        <f t="shared" si="344"/>
        <v>0</v>
      </c>
      <c r="FL115" s="1117">
        <f t="shared" si="383"/>
        <v>0</v>
      </c>
      <c r="FM115" s="1117">
        <f t="shared" si="384"/>
        <v>0</v>
      </c>
      <c r="FN115" s="1117">
        <f>VLOOKUP($E115,FK$442:FN$453,4,FALSE)*FK115*($K115)+(FK115-FL115-FM115)*(1-$K115)</f>
        <v>0</v>
      </c>
      <c r="FO115" s="1118"/>
    </row>
    <row r="116" spans="1:171">
      <c r="A116" s="912"/>
      <c r="B116" s="847" t="s">
        <v>104</v>
      </c>
      <c r="C116" s="914"/>
      <c r="D116" s="915"/>
      <c r="E116" s="915"/>
      <c r="F116" s="916"/>
      <c r="G116" s="923">
        <f>SUM(G103:G112,G114)-G113-G115</f>
        <v>176289941.22</v>
      </c>
      <c r="H116" s="923">
        <f>SUM(H103:H112,H114)-H113-H115</f>
        <v>75972880.713449672</v>
      </c>
      <c r="I116" s="923">
        <f>SUM(I103:I112,I114)-I113-I115</f>
        <v>0</v>
      </c>
      <c r="J116" s="1393">
        <f>SUM(J103:J112,J114)-J113-J115</f>
        <v>100317060.50655031</v>
      </c>
      <c r="K116" s="903"/>
      <c r="O116" s="1127">
        <f>SUM(O103:O112,O114)-O113-O115</f>
        <v>176289941.22</v>
      </c>
      <c r="P116" s="1127">
        <f>SUM(P103:P112,P114)-P113-P115</f>
        <v>75972880.713449672</v>
      </c>
      <c r="Q116" s="1127">
        <f>SUM(Q103:Q112,Q114)-Q113-Q115</f>
        <v>27013921.676391561</v>
      </c>
      <c r="R116" s="1127">
        <f>SUM(R103:R112,R114)-R113-R115</f>
        <v>73303138.83015877</v>
      </c>
      <c r="S116" s="1118"/>
      <c r="W116" s="1127">
        <f>SUM(W103:W112,W114)-W113-W115</f>
        <v>176289941.22</v>
      </c>
      <c r="X116" s="1127">
        <f>SUM(X103:X112,X114)-X113-X115</f>
        <v>75972880.713449672</v>
      </c>
      <c r="Y116" s="1127">
        <f>SUM(Y103:Y112,Y114)-Y113-Y115</f>
        <v>27013921.676391561</v>
      </c>
      <c r="Z116" s="1127">
        <f>SUM(Z103:Z112,Z114)-Z113-Z115</f>
        <v>73303138.83015877</v>
      </c>
      <c r="AA116" s="1118"/>
      <c r="AE116" s="1127">
        <f>SUM(AE103:AE112,AE114)-AE113-AE115</f>
        <v>176289941.22</v>
      </c>
      <c r="AF116" s="1127">
        <f>SUM(AF103:AF112,AF114)-AF113-AF115</f>
        <v>75972880.713449672</v>
      </c>
      <c r="AG116" s="1127">
        <f>SUM(AG103:AG112,AG114)-AG113-AG115</f>
        <v>27013921.676391561</v>
      </c>
      <c r="AH116" s="1127">
        <f>SUM(AH103:AH112,AH114)-AH113-AH115</f>
        <v>73303138.83015877</v>
      </c>
      <c r="AI116" s="1118"/>
      <c r="AM116" s="1127">
        <f>SUM(AM103:AM112,AM114)-AM113-AM115</f>
        <v>176289941.22</v>
      </c>
      <c r="AN116" s="1127">
        <f>SUM(AN103:AN112,AN114)-AN113-AN115</f>
        <v>75972880.713449672</v>
      </c>
      <c r="AO116" s="1127">
        <f>SUM(AO103:AO112,AO114)-AO113-AO115</f>
        <v>27013921.676391561</v>
      </c>
      <c r="AP116" s="1127">
        <f>SUM(AP103:AP112,AP114)-AP113-AP115</f>
        <v>73303138.83015877</v>
      </c>
      <c r="AQ116" s="1118"/>
      <c r="AU116" s="1127">
        <f>SUM(AU103:AU112,AU114)-AU113-AU115</f>
        <v>176289941.22</v>
      </c>
      <c r="AV116" s="1127">
        <f>SUM(AV103:AV112,AV114)-AV113-AV115</f>
        <v>75972880.713449672</v>
      </c>
      <c r="AW116" s="1127">
        <f>SUM(AW103:AW112,AW114)-AW113-AW115</f>
        <v>27013921.676391561</v>
      </c>
      <c r="AX116" s="1127">
        <f>SUM(AX103:AX112,AX114)-AX113-AX115</f>
        <v>73303138.83015877</v>
      </c>
      <c r="AY116" s="1118"/>
      <c r="BC116" s="1127">
        <f>SUM(BC103:BC112,BC114)-BC113-BC115</f>
        <v>176289941.22</v>
      </c>
      <c r="BD116" s="1127">
        <f>SUM(BD103:BD112,BD114)-BD113-BD115</f>
        <v>75972880.713449672</v>
      </c>
      <c r="BE116" s="1127">
        <f>SUM(BE103:BE112,BE114)-BE113-BE115</f>
        <v>27013921.676391561</v>
      </c>
      <c r="BF116" s="1127">
        <f>SUM(BF103:BF112,BF114)-BF113-BF115</f>
        <v>73303138.83015877</v>
      </c>
      <c r="BG116" s="1118"/>
      <c r="BK116" s="1127">
        <f>SUM(BK103:BK112,BK114)-BK113-BK115</f>
        <v>176289941.22</v>
      </c>
      <c r="BL116" s="1127">
        <f>SUM(BL103:BL112,BL114)-BL113-BL115</f>
        <v>75972880.713449672</v>
      </c>
      <c r="BM116" s="1127">
        <f>SUM(BM103:BM112,BM114)-BM113-BM115</f>
        <v>27013921.676391561</v>
      </c>
      <c r="BN116" s="1127">
        <f>SUM(BN103:BN112,BN114)-BN113-BN115</f>
        <v>73303138.83015877</v>
      </c>
      <c r="BO116" s="1118"/>
      <c r="BS116" s="1127">
        <f>SUM(BS103:BS112,BS114)-BS113-BS115</f>
        <v>176289941.22</v>
      </c>
      <c r="BT116" s="1127">
        <f>SUM(BT103:BT112,BT114)-BT113-BT115</f>
        <v>75972880.713449672</v>
      </c>
      <c r="BU116" s="1127">
        <f>SUM(BU103:BU112,BU114)-BU113-BU115</f>
        <v>27013921.676391561</v>
      </c>
      <c r="BV116" s="1127">
        <f>SUM(BV103:BV112,BV114)-BV113-BV115</f>
        <v>73303138.83015877</v>
      </c>
      <c r="BW116" s="1118"/>
      <c r="CA116" s="1127">
        <f>SUM(CA103:CA112,CA114)-CA113-CA115</f>
        <v>176289941.22</v>
      </c>
      <c r="CB116" s="1127">
        <f>SUM(CB103:CB112,CB114)-CB113-CB115</f>
        <v>75972880.713449672</v>
      </c>
      <c r="CC116" s="1127">
        <f>SUM(CC103:CC112,CC114)-CC113-CC115</f>
        <v>27013921.676391561</v>
      </c>
      <c r="CD116" s="1127">
        <f>SUM(CD103:CD112,CD114)-CD113-CD115</f>
        <v>73303138.83015877</v>
      </c>
      <c r="CE116" s="1118"/>
      <c r="CI116" s="1127">
        <f>SUM(CI103:CI112,CI114)-CI113-CI115</f>
        <v>176289941.22</v>
      </c>
      <c r="CJ116" s="1127">
        <f>SUM(CJ103:CJ112,CJ114)-CJ113-CJ115</f>
        <v>75972880.713449672</v>
      </c>
      <c r="CK116" s="1127">
        <f>SUM(CK103:CK112,CK114)-CK113-CK115</f>
        <v>27013921.676391561</v>
      </c>
      <c r="CL116" s="1127">
        <f>SUM(CL103:CL112,CL114)-CL113-CL115</f>
        <v>73303138.83015877</v>
      </c>
      <c r="CM116" s="1118"/>
      <c r="CQ116" s="1127">
        <f>SUM(CQ103:CQ112,CQ114)-CQ113-CQ115</f>
        <v>176289941.22</v>
      </c>
      <c r="CR116" s="1127">
        <f>SUM(CR103:CR112,CR114)-CR113-CR115</f>
        <v>75972880.713449672</v>
      </c>
      <c r="CS116" s="1127">
        <f>SUM(CS103:CS112,CS114)-CS113-CS115</f>
        <v>27013921.676391561</v>
      </c>
      <c r="CT116" s="1127">
        <f>SUM(CT103:CT112,CT114)-CT113-CT115</f>
        <v>73303138.83015877</v>
      </c>
      <c r="CU116" s="1118"/>
      <c r="CY116" s="1127">
        <f>SUM(CY103:CY112,CY114)-CY113-CY115</f>
        <v>176289941.22</v>
      </c>
      <c r="CZ116" s="1127">
        <f>SUM(CZ103:CZ112,CZ114)-CZ113-CZ115</f>
        <v>75972880.713449672</v>
      </c>
      <c r="DA116" s="1127">
        <f>SUM(DA103:DA112,DA114)-DA113-DA115</f>
        <v>27013921.676391561</v>
      </c>
      <c r="DB116" s="1127">
        <f>SUM(DB103:DB112,DB114)-DB113-DB115</f>
        <v>73303138.83015877</v>
      </c>
      <c r="DC116" s="1118"/>
      <c r="DG116" s="1127">
        <f>SUM(DG103:DG112,DG114)-DG113-DG115</f>
        <v>176289941.22</v>
      </c>
      <c r="DH116" s="1127">
        <f>SUM(DH103:DH112,DH114)-DH113-DH115</f>
        <v>75972880.713449672</v>
      </c>
      <c r="DI116" s="1127">
        <f>SUM(DI103:DI112,DI114)-DI113-DI115</f>
        <v>27013921.676391561</v>
      </c>
      <c r="DJ116" s="1127">
        <f>SUM(DJ103:DJ112,DJ114)-DJ113-DJ115</f>
        <v>73303138.83015877</v>
      </c>
      <c r="DK116" s="1118"/>
      <c r="DO116" s="1127">
        <f>SUM(DO103:DO112,DO114)-DO113-DO115</f>
        <v>176289941.22</v>
      </c>
      <c r="DP116" s="1127">
        <f>SUM(DP103:DP112,DP114)-DP113-DP115</f>
        <v>75972880.713449672</v>
      </c>
      <c r="DQ116" s="1127">
        <f>SUM(DQ103:DQ112,DQ114)-DQ113-DQ115</f>
        <v>27013921.676391561</v>
      </c>
      <c r="DR116" s="1127">
        <f>SUM(DR103:DR112,DR114)-DR113-DR115</f>
        <v>73303138.83015877</v>
      </c>
      <c r="DS116" s="1118"/>
      <c r="DW116" s="1127">
        <f>SUM(DW103:DW112,DW114)-DW113-DW115</f>
        <v>176289941.22</v>
      </c>
      <c r="DX116" s="1127">
        <f>SUM(DX103:DX112,DX114)-DX113-DX115</f>
        <v>75972880.713449672</v>
      </c>
      <c r="DY116" s="1127">
        <f>SUM(DY103:DY112,DY114)-DY113-DY115</f>
        <v>27013921.676391561</v>
      </c>
      <c r="DZ116" s="1127">
        <f>SUM(DZ103:DZ112,DZ114)-DZ113-DZ115</f>
        <v>73303138.83015877</v>
      </c>
      <c r="EA116" s="1118"/>
      <c r="EE116" s="1127">
        <f>SUM(EE103:EE112,EE114)-EE113-EE115</f>
        <v>176289941.22</v>
      </c>
      <c r="EF116" s="1127">
        <f>SUM(EF103:EF112,EF114)-EF113-EF115</f>
        <v>75972880.713449672</v>
      </c>
      <c r="EG116" s="1127">
        <f>SUM(EG103:EG112,EG114)-EG113-EG115</f>
        <v>27013921.676391561</v>
      </c>
      <c r="EH116" s="1127">
        <f>SUM(EH103:EH112,EH114)-EH113-EH115</f>
        <v>73303138.83015877</v>
      </c>
      <c r="EI116" s="1118"/>
      <c r="EM116" s="1127">
        <f>SUM(EM103:EM112,EM114)-EM113-EM115</f>
        <v>176289941.22</v>
      </c>
      <c r="EN116" s="1127">
        <f>SUM(EN103:EN112,EN114)-EN113-EN115</f>
        <v>75972880.713449672</v>
      </c>
      <c r="EO116" s="1127">
        <f>SUM(EO103:EO112,EO114)-EO113-EO115</f>
        <v>27013921.676391561</v>
      </c>
      <c r="EP116" s="1127">
        <f>SUM(EP103:EP112,EP114)-EP113-EP115</f>
        <v>73303138.83015877</v>
      </c>
      <c r="EQ116" s="1118"/>
      <c r="EU116" s="1127">
        <f>SUM(EU103:EU112,EU114)-EU113-EU115</f>
        <v>176289941.22</v>
      </c>
      <c r="EV116" s="1127">
        <f>SUM(EV103:EV112,EV114)-EV113-EV115</f>
        <v>75972880.713449672</v>
      </c>
      <c r="EW116" s="1127">
        <f>SUM(EW103:EW112,EW114)-EW113-EW115</f>
        <v>27013921.676391561</v>
      </c>
      <c r="EX116" s="1127">
        <f>SUM(EX103:EX112,EX114)-EX113-EX115</f>
        <v>73303138.83015877</v>
      </c>
      <c r="EY116" s="1118"/>
      <c r="FC116" s="1127">
        <f>SUM(FC103:FC112,FC114)-FC113-FC115</f>
        <v>176289941.22</v>
      </c>
      <c r="FD116" s="1127">
        <f>SUM(FD103:FD112,FD114)-FD113-FD115</f>
        <v>75972880.713449672</v>
      </c>
      <c r="FE116" s="1127">
        <f>SUM(FE103:FE112,FE114)-FE113-FE115</f>
        <v>27013921.676391561</v>
      </c>
      <c r="FF116" s="1127">
        <f>SUM(FF103:FF112,FF114)-FF113-FF115</f>
        <v>73303138.83015877</v>
      </c>
      <c r="FG116" s="1118"/>
      <c r="FK116" s="1127">
        <f>SUM(FK103:FK112,FK114)-FK113-FK115</f>
        <v>176289941.22</v>
      </c>
      <c r="FL116" s="1127">
        <f>SUM(FL103:FL112,FL114)-FL113-FL115</f>
        <v>75972880.713449672</v>
      </c>
      <c r="FM116" s="1127">
        <f>SUM(FM103:FM112,FM114)-FM113-FM115</f>
        <v>27013921.676391561</v>
      </c>
      <c r="FN116" s="1127">
        <f>SUM(FN103:FN112,FN114)-FN113-FN115</f>
        <v>73303138.83015877</v>
      </c>
      <c r="FO116" s="1118"/>
    </row>
    <row r="117" spans="1:171" ht="16.5" thickBot="1">
      <c r="A117" s="955"/>
      <c r="B117" s="956"/>
      <c r="C117" s="957"/>
      <c r="D117" s="957"/>
      <c r="E117" s="957"/>
      <c r="F117" s="957"/>
      <c r="G117" s="958"/>
      <c r="H117" s="958"/>
      <c r="I117" s="958"/>
      <c r="J117" s="959"/>
      <c r="K117" s="903"/>
      <c r="S117" s="1118"/>
      <c r="AA117" s="1118"/>
      <c r="AI117" s="1118"/>
      <c r="AQ117" s="1118"/>
      <c r="AY117" s="1118"/>
      <c r="BG117" s="1118"/>
      <c r="BO117" s="1118"/>
      <c r="BW117" s="1118"/>
      <c r="CE117" s="1118"/>
      <c r="CM117" s="1118"/>
      <c r="CU117" s="1118"/>
      <c r="DC117" s="1118"/>
      <c r="DK117" s="1118"/>
      <c r="DS117" s="1118"/>
      <c r="EA117" s="1118"/>
      <c r="EI117" s="1118"/>
      <c r="EQ117" s="1118"/>
      <c r="EY117" s="1118"/>
      <c r="FG117" s="1118"/>
      <c r="FO117" s="1118"/>
    </row>
    <row r="118" spans="1:171" ht="16.5" thickTop="1">
      <c r="A118" s="960" t="s">
        <v>179</v>
      </c>
      <c r="B118" s="79"/>
      <c r="C118" s="940"/>
      <c r="D118" s="196"/>
      <c r="E118" s="196"/>
      <c r="F118" s="196"/>
      <c r="G118" s="921"/>
      <c r="H118" s="198"/>
      <c r="I118" s="198"/>
      <c r="J118" s="200"/>
      <c r="K118" s="903"/>
      <c r="S118" s="1118"/>
      <c r="AA118" s="1118"/>
      <c r="AI118" s="1118"/>
      <c r="AQ118" s="1118"/>
      <c r="AY118" s="1118"/>
      <c r="BG118" s="1118"/>
      <c r="BO118" s="1118"/>
      <c r="BW118" s="1118"/>
      <c r="CE118" s="1118"/>
      <c r="CM118" s="1118"/>
      <c r="CU118" s="1118"/>
      <c r="DC118" s="1118"/>
      <c r="DK118" s="1118"/>
      <c r="DS118" s="1118"/>
      <c r="EA118" s="1118"/>
      <c r="EI118" s="1118"/>
      <c r="EQ118" s="1118"/>
      <c r="EY118" s="1118"/>
      <c r="FG118" s="1118"/>
      <c r="FO118" s="1118"/>
    </row>
    <row r="119" spans="1:171">
      <c r="A119" s="912"/>
      <c r="B119" s="79" t="s">
        <v>10</v>
      </c>
      <c r="C119" s="888" t="s">
        <v>78</v>
      </c>
      <c r="D119" s="888">
        <v>181</v>
      </c>
      <c r="E119" s="182" t="str">
        <f>'Sch 1- Rate Base '!E119</f>
        <v>PTDG</v>
      </c>
      <c r="F119" s="889"/>
      <c r="G119" s="182">
        <f>'Sch 1- Rate Base '!G119</f>
        <v>21586300.960000001</v>
      </c>
      <c r="H119" s="182">
        <f>'Sch 1- Rate Base '!H119</f>
        <v>6869251.0323689282</v>
      </c>
      <c r="I119" s="182">
        <f>'Sch 1- Rate Base '!I119</f>
        <v>0</v>
      </c>
      <c r="J119" s="183">
        <f>'Sch 1- Rate Base '!J119</f>
        <v>14717049.925413068</v>
      </c>
      <c r="K119" s="903">
        <f t="shared" ref="K119:K132" si="385">IF($E119="DIRECT",0,1)</f>
        <v>1</v>
      </c>
      <c r="O119" s="1116">
        <f t="shared" ref="O119:O132" si="386">$G119</f>
        <v>21586300.960000001</v>
      </c>
      <c r="P119" s="1117">
        <f>VLOOKUP($E119,O$442:R$453,2,FALSE)*O119*($K119)+IF($G119&lt;&gt;0,($H119/$G119)*O119,0)*(1-$K119)</f>
        <v>6869251.0323689282</v>
      </c>
      <c r="Q119" s="1117">
        <f>VLOOKUP($E119,O$442:R$453,3,FALSE)*O119*($K119)+IF($G119&lt;&gt;0,($I119/$G119)*O119,0)*(1-$K119)</f>
        <v>4439852.9881553221</v>
      </c>
      <c r="R119" s="1117">
        <f>VLOOKUP($E119,O$442:R$453,4,FALSE)*O119*($K119)+(O119-P119-Q119)*(1-$K119)</f>
        <v>10277196.939475752</v>
      </c>
      <c r="S119" s="1118"/>
      <c r="W119" s="1116">
        <f t="shared" ref="W119:W132" si="387">$G119</f>
        <v>21586300.960000001</v>
      </c>
      <c r="X119" s="1117">
        <f>VLOOKUP($E119,W$442:Z$453,2,FALSE)*W119*($K119)+IF($G119&lt;&gt;0,($H119/$G119)*W119,0)*(1-$K119)</f>
        <v>6869251.0323689282</v>
      </c>
      <c r="Y119" s="1117">
        <f>VLOOKUP($E119,W$442:Z$453,3,FALSE)*W119*($K119)+IF($G119&lt;&gt;0,($I119/$G119)*W119,0)*(1-$K119)</f>
        <v>4439852.9881553221</v>
      </c>
      <c r="Z119" s="1117">
        <f>VLOOKUP($E119,W$442:Z$453,4,FALSE)*W119*($K119)+(W119-X119-Y119)*(1-$K119)</f>
        <v>10277196.939475752</v>
      </c>
      <c r="AA119" s="1118"/>
      <c r="AE119" s="1116">
        <f t="shared" ref="AE119:AE132" si="388">$G119</f>
        <v>21586300.960000001</v>
      </c>
      <c r="AF119" s="1117">
        <f>VLOOKUP($E119,AE$442:AH$453,2,FALSE)*AE119*($K119)+IF($G119&lt;&gt;0,($H119/$G119)*AE119,0)*(1-$K119)</f>
        <v>6869251.0323689282</v>
      </c>
      <c r="AG119" s="1117">
        <f>VLOOKUP($E119,AE$442:AH$453,3,FALSE)*AE119*($K119)+IF($G119&lt;&gt;0,($I119/$G119)*AE119,0)*(1-$K119)</f>
        <v>4439852.9881553221</v>
      </c>
      <c r="AH119" s="1117">
        <f>VLOOKUP($E119,AE$442:AH$453,4,FALSE)*AE119*($K119)+(AE119-AF119-AG119)*(1-$K119)</f>
        <v>10277196.939475752</v>
      </c>
      <c r="AI119" s="1118"/>
      <c r="AM119" s="1116">
        <f t="shared" ref="AM119:AM132" si="389">$G119</f>
        <v>21586300.960000001</v>
      </c>
      <c r="AN119" s="1117">
        <f>VLOOKUP($E119,AM$442:AP$453,2,FALSE)*AM119*($K119)+IF($G119&lt;&gt;0,($H119/$G119)*AM119,0)*(1-$K119)</f>
        <v>6869251.0323689282</v>
      </c>
      <c r="AO119" s="1117">
        <f>VLOOKUP($E119,AM$442:AP$453,3,FALSE)*AM119*($K119)+IF($G119&lt;&gt;0,($I119/$G119)*AM119,0)*(1-$K119)</f>
        <v>4439852.9881553221</v>
      </c>
      <c r="AP119" s="1117">
        <f>VLOOKUP($E119,AM$442:AP$453,4,FALSE)*AM119*($K119)+(AM119-AN119-AO119)*(1-$K119)</f>
        <v>10277196.939475752</v>
      </c>
      <c r="AQ119" s="1118"/>
      <c r="AU119" s="1116">
        <f t="shared" ref="AU119:AU132" si="390">$G119</f>
        <v>21586300.960000001</v>
      </c>
      <c r="AV119" s="1117">
        <f>VLOOKUP($E119,AU$442:AX$453,2,FALSE)*AU119*($K119)+IF($G119&lt;&gt;0,($H119/$G119)*AU119,0)*(1-$K119)</f>
        <v>6869251.0323689282</v>
      </c>
      <c r="AW119" s="1117">
        <f>VLOOKUP($E119,AU$442:AX$453,3,FALSE)*AU119*($K119)+IF($G119&lt;&gt;0,($I119/$G119)*AU119,0)*(1-$K119)</f>
        <v>4439852.9881553221</v>
      </c>
      <c r="AX119" s="1117">
        <f>VLOOKUP($E119,AU$442:AX$453,4,FALSE)*AU119*($K119)+(AU119-AV119-AW119)*(1-$K119)</f>
        <v>10277196.939475752</v>
      </c>
      <c r="AY119" s="1118"/>
      <c r="BC119" s="1116">
        <f t="shared" ref="BC119:BC132" si="391">$G119</f>
        <v>21586300.960000001</v>
      </c>
      <c r="BD119" s="1117">
        <f>VLOOKUP($E119,BC$442:BF$453,2,FALSE)*BC119*($K119)+IF($G119&lt;&gt;0,($H119/$G119)*BC119,0)*(1-$K119)</f>
        <v>6869251.0323689282</v>
      </c>
      <c r="BE119" s="1117">
        <f>VLOOKUP($E119,BC$442:BF$453,3,FALSE)*BC119*($K119)+IF($G119&lt;&gt;0,($I119/$G119)*BC119,0)*(1-$K119)</f>
        <v>4439852.9881553221</v>
      </c>
      <c r="BF119" s="1117">
        <f>VLOOKUP($E119,BC$442:BF$453,4,FALSE)*BC119*($K119)+(BC119-BD119-BE119)*(1-$K119)</f>
        <v>10277196.939475752</v>
      </c>
      <c r="BG119" s="1118"/>
      <c r="BK119" s="1116">
        <f t="shared" ref="BK119:BK132" si="392">$G119</f>
        <v>21586300.960000001</v>
      </c>
      <c r="BL119" s="1117">
        <f>VLOOKUP($E119,BK$442:BN$453,2,FALSE)*BK119*($K119)+IF($G119&lt;&gt;0,($H119/$G119)*BK119,0)*(1-$K119)</f>
        <v>6869251.0323689282</v>
      </c>
      <c r="BM119" s="1117">
        <f>VLOOKUP($E119,BK$442:BN$453,3,FALSE)*BK119*($K119)+IF($G119&lt;&gt;0,($I119/$G119)*BK119,0)*(1-$K119)</f>
        <v>4439852.9881553221</v>
      </c>
      <c r="BN119" s="1117">
        <f>VLOOKUP($E119,BK$442:BN$453,4,FALSE)*BK119*($K119)+(BK119-BL119-BM119)*(1-$K119)</f>
        <v>10277196.939475752</v>
      </c>
      <c r="BO119" s="1118"/>
      <c r="BS119" s="1116">
        <f t="shared" ref="BS119:BS132" si="393">$G119</f>
        <v>21586300.960000001</v>
      </c>
      <c r="BT119" s="1117">
        <f>VLOOKUP($E119,BS$442:BV$453,2,FALSE)*BS119*($K119)+IF($G119&lt;&gt;0,($H119/$G119)*BS119,0)*(1-$K119)</f>
        <v>6869251.0323689282</v>
      </c>
      <c r="BU119" s="1117">
        <f>VLOOKUP($E119,BS$442:BV$453,3,FALSE)*BS119*($K119)+IF($G119&lt;&gt;0,($I119/$G119)*BS119,0)*(1-$K119)</f>
        <v>4439852.9881553221</v>
      </c>
      <c r="BV119" s="1117">
        <f>VLOOKUP($E119,BS$442:BV$453,4,FALSE)*BS119*($K119)+(BS119-BT119-BU119)*(1-$K119)</f>
        <v>10277196.939475752</v>
      </c>
      <c r="BW119" s="1118"/>
      <c r="CA119" s="1116">
        <f t="shared" ref="CA119:CA132" si="394">$G119</f>
        <v>21586300.960000001</v>
      </c>
      <c r="CB119" s="1117">
        <f>VLOOKUP($E119,CA$442:CD$453,2,FALSE)*CA119*($K119)+IF($G119&lt;&gt;0,($H119/$G119)*CA119,0)*(1-$K119)</f>
        <v>6869251.0323689282</v>
      </c>
      <c r="CC119" s="1117">
        <f>VLOOKUP($E119,CA$442:CD$453,3,FALSE)*CA119*($K119)+IF($G119&lt;&gt;0,($I119/$G119)*CA119,0)*(1-$K119)</f>
        <v>4439852.9881553221</v>
      </c>
      <c r="CD119" s="1117">
        <f>VLOOKUP($E119,CA$442:CD$453,4,FALSE)*CA119*($K119)+(CA119-CB119-CC119)*(1-$K119)</f>
        <v>10277196.939475752</v>
      </c>
      <c r="CE119" s="1118"/>
      <c r="CI119" s="1116">
        <f t="shared" ref="CI119:CI132" si="395">$G119</f>
        <v>21586300.960000001</v>
      </c>
      <c r="CJ119" s="1117">
        <f>VLOOKUP($E119,CI$442:CL$453,2,FALSE)*CI119*($K119)+IF($G119&lt;&gt;0,($H119/$G119)*CI119,0)*(1-$K119)</f>
        <v>6869251.0323689282</v>
      </c>
      <c r="CK119" s="1117">
        <f>VLOOKUP($E119,CI$442:CL$453,3,FALSE)*CI119*($K119)+IF($G119&lt;&gt;0,($I119/$G119)*CI119,0)*(1-$K119)</f>
        <v>4439852.9881553221</v>
      </c>
      <c r="CL119" s="1117">
        <f>VLOOKUP($E119,CI$442:CL$453,4,FALSE)*CI119*($K119)+(CI119-CJ119-CK119)*(1-$K119)</f>
        <v>10277196.939475752</v>
      </c>
      <c r="CM119" s="1118"/>
      <c r="CQ119" s="1116">
        <f t="shared" ref="CQ119:CQ132" si="396">$G119</f>
        <v>21586300.960000001</v>
      </c>
      <c r="CR119" s="1117">
        <f>VLOOKUP($E119,CQ$442:CT$453,2,FALSE)*CQ119*($K119)+IF($G119&lt;&gt;0,($H119/$G119)*CQ119,0)*(1-$K119)</f>
        <v>6869251.0323689282</v>
      </c>
      <c r="CS119" s="1117">
        <f>VLOOKUP($E119,CQ$442:CT$453,3,FALSE)*CQ119*($K119)+IF($G119&lt;&gt;0,($I119/$G119)*CQ119,0)*(1-$K119)</f>
        <v>4439852.9881553221</v>
      </c>
      <c r="CT119" s="1117">
        <f>VLOOKUP($E119,CQ$442:CT$453,4,FALSE)*CQ119*($K119)+(CQ119-CR119-CS119)*(1-$K119)</f>
        <v>10277196.939475752</v>
      </c>
      <c r="CU119" s="1118"/>
      <c r="CY119" s="1116">
        <f t="shared" ref="CY119:CY132" si="397">$G119</f>
        <v>21586300.960000001</v>
      </c>
      <c r="CZ119" s="1117">
        <f>VLOOKUP($E119,CY$442:DB$453,2,FALSE)*CY119*($K119)+IF($G119&lt;&gt;0,($H119/$G119)*CY119,0)*(1-$K119)</f>
        <v>6869251.0323689282</v>
      </c>
      <c r="DA119" s="1117">
        <f>VLOOKUP($E119,CY$442:DB$453,3,FALSE)*CY119*($K119)+IF($G119&lt;&gt;0,($I119/$G119)*CY119,0)*(1-$K119)</f>
        <v>4439852.9881553221</v>
      </c>
      <c r="DB119" s="1117">
        <f>VLOOKUP($E119,CY$442:DB$453,4,FALSE)*CY119*($K119)+(CY119-CZ119-DA119)*(1-$K119)</f>
        <v>10277196.939475752</v>
      </c>
      <c r="DC119" s="1118"/>
      <c r="DG119" s="1116">
        <f t="shared" ref="DG119:DG132" si="398">$G119</f>
        <v>21586300.960000001</v>
      </c>
      <c r="DH119" s="1117">
        <f>VLOOKUP($E119,DG$442:DJ$453,2,FALSE)*DG119*($K119)+IF($G119&lt;&gt;0,($H119/$G119)*DG119,0)*(1-$K119)</f>
        <v>6869251.0323689282</v>
      </c>
      <c r="DI119" s="1117">
        <f>VLOOKUP($E119,DG$442:DJ$453,3,FALSE)*DG119*($K119)+IF($G119&lt;&gt;0,($I119/$G119)*DG119,0)*(1-$K119)</f>
        <v>4439852.9881553221</v>
      </c>
      <c r="DJ119" s="1117">
        <f>VLOOKUP($E119,DG$442:DJ$453,4,FALSE)*DG119*($K119)+(DG119-DH119-DI119)*(1-$K119)</f>
        <v>10277196.939475752</v>
      </c>
      <c r="DK119" s="1118"/>
      <c r="DO119" s="1116">
        <f t="shared" ref="DO119:DO132" si="399">$G119</f>
        <v>21586300.960000001</v>
      </c>
      <c r="DP119" s="1117">
        <f>VLOOKUP($E119,DO$442:DR$453,2,FALSE)*DO119*($K119)+IF($G119&lt;&gt;0,($H119/$G119)*DO119,0)*(1-$K119)</f>
        <v>6869251.0323689282</v>
      </c>
      <c r="DQ119" s="1117">
        <f>VLOOKUP($E119,DO$442:DR$453,3,FALSE)*DO119*($K119)+IF($G119&lt;&gt;0,($I119/$G119)*DO119,0)*(1-$K119)</f>
        <v>4439852.9881553221</v>
      </c>
      <c r="DR119" s="1117">
        <f>VLOOKUP($E119,DO$442:DR$453,4,FALSE)*DO119*($K119)+(DO119-DP119-DQ119)*(1-$K119)</f>
        <v>10277196.939475752</v>
      </c>
      <c r="DS119" s="1118"/>
      <c r="DW119" s="1116">
        <f t="shared" ref="DW119:DW132" si="400">$G119</f>
        <v>21586300.960000001</v>
      </c>
      <c r="DX119" s="1117">
        <f>VLOOKUP($E119,DW$442:DZ$453,2,FALSE)*DW119*($K119)+IF($G119&lt;&gt;0,($H119/$G119)*DW119,0)*(1-$K119)</f>
        <v>6869251.0323689282</v>
      </c>
      <c r="DY119" s="1117">
        <f>VLOOKUP($E119,DW$442:DZ$453,3,FALSE)*DW119*($K119)+IF($G119&lt;&gt;0,($I119/$G119)*DW119,0)*(1-$K119)</f>
        <v>4439852.9881553221</v>
      </c>
      <c r="DZ119" s="1117">
        <f>VLOOKUP($E119,DW$442:DZ$453,4,FALSE)*DW119*($K119)+(DW119-DX119-DY119)*(1-$K119)</f>
        <v>10277196.939475752</v>
      </c>
      <c r="EA119" s="1118"/>
      <c r="EE119" s="1116">
        <f t="shared" ref="EE119:EE132" si="401">$G119</f>
        <v>21586300.960000001</v>
      </c>
      <c r="EF119" s="1117">
        <f>VLOOKUP($E119,EE$442:EH$453,2,FALSE)*EE119*($K119)+IF($G119&lt;&gt;0,($H119/$G119)*EE119,0)*(1-$K119)</f>
        <v>6869251.0323689282</v>
      </c>
      <c r="EG119" s="1117">
        <f>VLOOKUP($E119,EE$442:EH$453,3,FALSE)*EE119*($K119)+IF($G119&lt;&gt;0,($I119/$G119)*EE119,0)*(1-$K119)</f>
        <v>4439852.9881553221</v>
      </c>
      <c r="EH119" s="1117">
        <f>VLOOKUP($E119,EE$442:EH$453,4,FALSE)*EE119*($K119)+(EE119-EF119-EG119)*(1-$K119)</f>
        <v>10277196.939475752</v>
      </c>
      <c r="EI119" s="1118"/>
      <c r="EM119" s="1116">
        <f t="shared" ref="EM119:EM132" si="402">$G119</f>
        <v>21586300.960000001</v>
      </c>
      <c r="EN119" s="1117">
        <f>VLOOKUP($E119,EM$442:EP$453,2,FALSE)*EM119*($K119)+IF($G119&lt;&gt;0,($H119/$G119)*EM119,0)*(1-$K119)</f>
        <v>6869251.0323689282</v>
      </c>
      <c r="EO119" s="1117">
        <f>VLOOKUP($E119,EM$442:EP$453,3,FALSE)*EM119*($K119)+IF($G119&lt;&gt;0,($I119/$G119)*EM119,0)*(1-$K119)</f>
        <v>4439852.9881553221</v>
      </c>
      <c r="EP119" s="1117">
        <f>VLOOKUP($E119,EM$442:EP$453,4,FALSE)*EM119*($K119)+(EM119-EN119-EO119)*(1-$K119)</f>
        <v>10277196.939475752</v>
      </c>
      <c r="EQ119" s="1118"/>
      <c r="EU119" s="1116">
        <f t="shared" ref="EU119:EU132" si="403">$G119</f>
        <v>21586300.960000001</v>
      </c>
      <c r="EV119" s="1117">
        <f>VLOOKUP($E119,EU$442:EX$453,2,FALSE)*EU119*($K119)+IF($G119&lt;&gt;0,($H119/$G119)*EU119,0)*(1-$K119)</f>
        <v>6869251.0323689282</v>
      </c>
      <c r="EW119" s="1117">
        <f>VLOOKUP($E119,EU$442:EX$453,3,FALSE)*EU119*($K119)+IF($G119&lt;&gt;0,($I119/$G119)*EU119,0)*(1-$K119)</f>
        <v>4439852.9881553221</v>
      </c>
      <c r="EX119" s="1117">
        <f>VLOOKUP($E119,EU$442:EX$453,4,FALSE)*EU119*($K119)+(EU119-EV119-EW119)*(1-$K119)</f>
        <v>10277196.939475752</v>
      </c>
      <c r="EY119" s="1118"/>
      <c r="FC119" s="1116">
        <f t="shared" ref="FC119:FC132" si="404">$G119</f>
        <v>21586300.960000001</v>
      </c>
      <c r="FD119" s="1117">
        <f>VLOOKUP($E119,FC$442:FF$453,2,FALSE)*FC119*($K119)+IF($G119&lt;&gt;0,($H119/$G119)*FC119,0)*(1-$K119)</f>
        <v>6869251.0323689282</v>
      </c>
      <c r="FE119" s="1117">
        <f>VLOOKUP($E119,FC$442:FF$453,3,FALSE)*FC119*($K119)+IF($G119&lt;&gt;0,($I119/$G119)*FC119,0)*(1-$K119)</f>
        <v>4439852.9881553221</v>
      </c>
      <c r="FF119" s="1117">
        <f>VLOOKUP($E119,FC$442:FF$453,4,FALSE)*FC119*($K119)+(FC119-FD119-FE119)*(1-$K119)</f>
        <v>10277196.939475752</v>
      </c>
      <c r="FG119" s="1118"/>
      <c r="FK119" s="1116">
        <f t="shared" ref="FK119:FK132" si="405">$G119</f>
        <v>21586300.960000001</v>
      </c>
      <c r="FL119" s="1117">
        <f>VLOOKUP($E119,FK$442:FN$453,2,FALSE)*FK119*($K119)+IF($G119&lt;&gt;0,($H119/$G119)*FK119,0)*(1-$K119)</f>
        <v>6869251.0323689282</v>
      </c>
      <c r="FM119" s="1117">
        <f>VLOOKUP($E119,FK$442:FN$453,3,FALSE)*FK119*($K119)+IF($G119&lt;&gt;0,($I119/$G119)*FK119,0)*(1-$K119)</f>
        <v>4439852.9881553221</v>
      </c>
      <c r="FN119" s="1117">
        <f>VLOOKUP($E119,FK$442:FN$453,4,FALSE)*FK119*($K119)+(FK119-FL119-FM119)*(1-$K119)</f>
        <v>10277196.939475752</v>
      </c>
      <c r="FO119" s="1118"/>
    </row>
    <row r="120" spans="1:171">
      <c r="A120" s="912"/>
      <c r="B120" s="79" t="s">
        <v>11</v>
      </c>
      <c r="C120" s="888" t="s">
        <v>78</v>
      </c>
      <c r="D120" s="888">
        <v>182.1</v>
      </c>
      <c r="E120" s="182" t="str">
        <f>'Sch 1- Rate Base '!E120</f>
        <v>DIRECT</v>
      </c>
      <c r="F120" s="889"/>
      <c r="G120" s="182">
        <f>'Sch 1- Rate Base '!G120</f>
        <v>0</v>
      </c>
      <c r="H120" s="182">
        <f>'Sch 1- Rate Base '!H120</f>
        <v>0</v>
      </c>
      <c r="I120" s="182">
        <f>'Sch 1- Rate Base '!I120</f>
        <v>0</v>
      </c>
      <c r="J120" s="183">
        <f>'Sch 1- Rate Base '!J120</f>
        <v>0</v>
      </c>
      <c r="K120" s="903">
        <f t="shared" si="385"/>
        <v>0</v>
      </c>
      <c r="O120" s="1116">
        <f t="shared" si="386"/>
        <v>0</v>
      </c>
      <c r="P120" s="1117">
        <f t="shared" ref="P120:P132" si="406">VLOOKUP($E120,O$442:R$453,2,FALSE)*O120*($K120)+IF($G120&lt;&gt;0,($H120/$G120)*O120,0)*(1-$K120)</f>
        <v>0</v>
      </c>
      <c r="Q120" s="1117">
        <f t="shared" ref="Q120:Q132" si="407">VLOOKUP($E120,O$442:R$453,3,FALSE)*O120*($K120)+IF($G120&lt;&gt;0,($I120/$G120)*O120,0)*(1-$K120)</f>
        <v>0</v>
      </c>
      <c r="R120" s="1117">
        <f t="shared" ref="R120:R132" si="408">VLOOKUP($E120,O$442:R$453,4,FALSE)*O120*($K120)+(O120-P120-Q120)*(1-$K120)</f>
        <v>0</v>
      </c>
      <c r="S120" s="1118"/>
      <c r="W120" s="1116">
        <f t="shared" si="387"/>
        <v>0</v>
      </c>
      <c r="X120" s="1117">
        <f t="shared" ref="X120:X132" si="409">VLOOKUP($E120,W$442:Z$453,2,FALSE)*W120*($K120)+IF($G120&lt;&gt;0,($H120/$G120)*W120,0)*(1-$K120)</f>
        <v>0</v>
      </c>
      <c r="Y120" s="1117">
        <f t="shared" ref="Y120:Y132" si="410">VLOOKUP($E120,W$442:Z$453,3,FALSE)*W120*($K120)+IF($G120&lt;&gt;0,($I120/$G120)*W120,0)*(1-$K120)</f>
        <v>0</v>
      </c>
      <c r="Z120" s="1117">
        <f t="shared" ref="Z120:Z132" si="411">VLOOKUP($E120,W$442:Z$453,4,FALSE)*W120*($K120)+(W120-X120-Y120)*(1-$K120)</f>
        <v>0</v>
      </c>
      <c r="AA120" s="1118"/>
      <c r="AE120" s="1116">
        <f t="shared" si="388"/>
        <v>0</v>
      </c>
      <c r="AF120" s="1117">
        <f t="shared" ref="AF120:AF132" si="412">VLOOKUP($E120,AE$442:AH$453,2,FALSE)*AE120*($K120)+IF($G120&lt;&gt;0,($H120/$G120)*AE120,0)*(1-$K120)</f>
        <v>0</v>
      </c>
      <c r="AG120" s="1117">
        <f t="shared" ref="AG120:AG132" si="413">VLOOKUP($E120,AE$442:AH$453,3,FALSE)*AE120*($K120)+IF($G120&lt;&gt;0,($I120/$G120)*AE120,0)*(1-$K120)</f>
        <v>0</v>
      </c>
      <c r="AH120" s="1117">
        <f t="shared" ref="AH120:AH132" si="414">VLOOKUP($E120,AE$442:AH$453,4,FALSE)*AE120*($K120)+(AE120-AF120-AG120)*(1-$K120)</f>
        <v>0</v>
      </c>
      <c r="AI120" s="1118"/>
      <c r="AM120" s="1116">
        <f t="shared" si="389"/>
        <v>0</v>
      </c>
      <c r="AN120" s="1117">
        <f t="shared" ref="AN120:AN132" si="415">VLOOKUP($E120,AM$442:AP$453,2,FALSE)*AM120*($K120)+IF($G120&lt;&gt;0,($H120/$G120)*AM120,0)*(1-$K120)</f>
        <v>0</v>
      </c>
      <c r="AO120" s="1117">
        <f t="shared" ref="AO120:AO132" si="416">VLOOKUP($E120,AM$442:AP$453,3,FALSE)*AM120*($K120)+IF($G120&lt;&gt;0,($I120/$G120)*AM120,0)*(1-$K120)</f>
        <v>0</v>
      </c>
      <c r="AP120" s="1117">
        <f t="shared" ref="AP120:AP132" si="417">VLOOKUP($E120,AM$442:AP$453,4,FALSE)*AM120*($K120)+(AM120-AN120-AO120)*(1-$K120)</f>
        <v>0</v>
      </c>
      <c r="AQ120" s="1118"/>
      <c r="AU120" s="1116">
        <f t="shared" si="390"/>
        <v>0</v>
      </c>
      <c r="AV120" s="1117">
        <f t="shared" ref="AV120:AV132" si="418">VLOOKUP($E120,AU$442:AX$453,2,FALSE)*AU120*($K120)+IF($G120&lt;&gt;0,($H120/$G120)*AU120,0)*(1-$K120)</f>
        <v>0</v>
      </c>
      <c r="AW120" s="1117">
        <f t="shared" ref="AW120:AW132" si="419">VLOOKUP($E120,AU$442:AX$453,3,FALSE)*AU120*($K120)+IF($G120&lt;&gt;0,($I120/$G120)*AU120,0)*(1-$K120)</f>
        <v>0</v>
      </c>
      <c r="AX120" s="1117">
        <f t="shared" ref="AX120:AX132" si="420">VLOOKUP($E120,AU$442:AX$453,4,FALSE)*AU120*($K120)+(AU120-AV120-AW120)*(1-$K120)</f>
        <v>0</v>
      </c>
      <c r="AY120" s="1118"/>
      <c r="BC120" s="1116">
        <f t="shared" si="391"/>
        <v>0</v>
      </c>
      <c r="BD120" s="1117">
        <f t="shared" ref="BD120:BD132" si="421">VLOOKUP($E120,BC$442:BF$453,2,FALSE)*BC120*($K120)+IF($G120&lt;&gt;0,($H120/$G120)*BC120,0)*(1-$K120)</f>
        <v>0</v>
      </c>
      <c r="BE120" s="1117">
        <f t="shared" ref="BE120:BE132" si="422">VLOOKUP($E120,BC$442:BF$453,3,FALSE)*BC120*($K120)+IF($G120&lt;&gt;0,($I120/$G120)*BC120,0)*(1-$K120)</f>
        <v>0</v>
      </c>
      <c r="BF120" s="1117">
        <f t="shared" ref="BF120:BF132" si="423">VLOOKUP($E120,BC$442:BF$453,4,FALSE)*BC120*($K120)+(BC120-BD120-BE120)*(1-$K120)</f>
        <v>0</v>
      </c>
      <c r="BG120" s="1118"/>
      <c r="BK120" s="1116">
        <f t="shared" si="392"/>
        <v>0</v>
      </c>
      <c r="BL120" s="1117">
        <f t="shared" ref="BL120:BL132" si="424">VLOOKUP($E120,BK$442:BN$453,2,FALSE)*BK120*($K120)+IF($G120&lt;&gt;0,($H120/$G120)*BK120,0)*(1-$K120)</f>
        <v>0</v>
      </c>
      <c r="BM120" s="1117">
        <f t="shared" ref="BM120:BM132" si="425">VLOOKUP($E120,BK$442:BN$453,3,FALSE)*BK120*($K120)+IF($G120&lt;&gt;0,($I120/$G120)*BK120,0)*(1-$K120)</f>
        <v>0</v>
      </c>
      <c r="BN120" s="1117">
        <f t="shared" ref="BN120:BN132" si="426">VLOOKUP($E120,BK$442:BN$453,4,FALSE)*BK120*($K120)+(BK120-BL120-BM120)*(1-$K120)</f>
        <v>0</v>
      </c>
      <c r="BO120" s="1118"/>
      <c r="BS120" s="1116">
        <f t="shared" si="393"/>
        <v>0</v>
      </c>
      <c r="BT120" s="1117">
        <f t="shared" ref="BT120:BT132" si="427">VLOOKUP($E120,BS$442:BV$453,2,FALSE)*BS120*($K120)+IF($G120&lt;&gt;0,($H120/$G120)*BS120,0)*(1-$K120)</f>
        <v>0</v>
      </c>
      <c r="BU120" s="1117">
        <f t="shared" ref="BU120:BU132" si="428">VLOOKUP($E120,BS$442:BV$453,3,FALSE)*BS120*($K120)+IF($G120&lt;&gt;0,($I120/$G120)*BS120,0)*(1-$K120)</f>
        <v>0</v>
      </c>
      <c r="BV120" s="1117">
        <f t="shared" ref="BV120:BV132" si="429">VLOOKUP($E120,BS$442:BV$453,4,FALSE)*BS120*($K120)+(BS120-BT120-BU120)*(1-$K120)</f>
        <v>0</v>
      </c>
      <c r="BW120" s="1118"/>
      <c r="CA120" s="1116">
        <f t="shared" si="394"/>
        <v>0</v>
      </c>
      <c r="CB120" s="1117">
        <f t="shared" ref="CB120:CB132" si="430">VLOOKUP($E120,CA$442:CD$453,2,FALSE)*CA120*($K120)+IF($G120&lt;&gt;0,($H120/$G120)*CA120,0)*(1-$K120)</f>
        <v>0</v>
      </c>
      <c r="CC120" s="1117">
        <f t="shared" ref="CC120:CC132" si="431">VLOOKUP($E120,CA$442:CD$453,3,FALSE)*CA120*($K120)+IF($G120&lt;&gt;0,($I120/$G120)*CA120,0)*(1-$K120)</f>
        <v>0</v>
      </c>
      <c r="CD120" s="1117">
        <f t="shared" ref="CD120:CD132" si="432">VLOOKUP($E120,CA$442:CD$453,4,FALSE)*CA120*($K120)+(CA120-CB120-CC120)*(1-$K120)</f>
        <v>0</v>
      </c>
      <c r="CE120" s="1118"/>
      <c r="CI120" s="1116">
        <f t="shared" si="395"/>
        <v>0</v>
      </c>
      <c r="CJ120" s="1117">
        <f t="shared" ref="CJ120:CJ132" si="433">VLOOKUP($E120,CI$442:CL$453,2,FALSE)*CI120*($K120)+IF($G120&lt;&gt;0,($H120/$G120)*CI120,0)*(1-$K120)</f>
        <v>0</v>
      </c>
      <c r="CK120" s="1117">
        <f t="shared" ref="CK120:CK132" si="434">VLOOKUP($E120,CI$442:CL$453,3,FALSE)*CI120*($K120)+IF($G120&lt;&gt;0,($I120/$G120)*CI120,0)*(1-$K120)</f>
        <v>0</v>
      </c>
      <c r="CL120" s="1117">
        <f t="shared" ref="CL120:CL132" si="435">VLOOKUP($E120,CI$442:CL$453,4,FALSE)*CI120*($K120)+(CI120-CJ120-CK120)*(1-$K120)</f>
        <v>0</v>
      </c>
      <c r="CM120" s="1118"/>
      <c r="CQ120" s="1116">
        <f t="shared" si="396"/>
        <v>0</v>
      </c>
      <c r="CR120" s="1117">
        <f t="shared" ref="CR120:CR132" si="436">VLOOKUP($E120,CQ$442:CT$453,2,FALSE)*CQ120*($K120)+IF($G120&lt;&gt;0,($H120/$G120)*CQ120,0)*(1-$K120)</f>
        <v>0</v>
      </c>
      <c r="CS120" s="1117">
        <f t="shared" ref="CS120:CS132" si="437">VLOOKUP($E120,CQ$442:CT$453,3,FALSE)*CQ120*($K120)+IF($G120&lt;&gt;0,($I120/$G120)*CQ120,0)*(1-$K120)</f>
        <v>0</v>
      </c>
      <c r="CT120" s="1117">
        <f t="shared" ref="CT120:CT132" si="438">VLOOKUP($E120,CQ$442:CT$453,4,FALSE)*CQ120*($K120)+(CQ120-CR120-CS120)*(1-$K120)</f>
        <v>0</v>
      </c>
      <c r="CU120" s="1118"/>
      <c r="CY120" s="1116">
        <f t="shared" si="397"/>
        <v>0</v>
      </c>
      <c r="CZ120" s="1117">
        <f t="shared" ref="CZ120:CZ132" si="439">VLOOKUP($E120,CY$442:DB$453,2,FALSE)*CY120*($K120)+IF($G120&lt;&gt;0,($H120/$G120)*CY120,0)*(1-$K120)</f>
        <v>0</v>
      </c>
      <c r="DA120" s="1117">
        <f t="shared" ref="DA120:DA132" si="440">VLOOKUP($E120,CY$442:DB$453,3,FALSE)*CY120*($K120)+IF($G120&lt;&gt;0,($I120/$G120)*CY120,0)*(1-$K120)</f>
        <v>0</v>
      </c>
      <c r="DB120" s="1117">
        <f t="shared" ref="DB120:DB132" si="441">VLOOKUP($E120,CY$442:DB$453,4,FALSE)*CY120*($K120)+(CY120-CZ120-DA120)*(1-$K120)</f>
        <v>0</v>
      </c>
      <c r="DC120" s="1118"/>
      <c r="DG120" s="1116">
        <f t="shared" si="398"/>
        <v>0</v>
      </c>
      <c r="DH120" s="1117">
        <f t="shared" ref="DH120:DH132" si="442">VLOOKUP($E120,DG$442:DJ$453,2,FALSE)*DG120*($K120)+IF($G120&lt;&gt;0,($H120/$G120)*DG120,0)*(1-$K120)</f>
        <v>0</v>
      </c>
      <c r="DI120" s="1117">
        <f t="shared" ref="DI120:DI132" si="443">VLOOKUP($E120,DG$442:DJ$453,3,FALSE)*DG120*($K120)+IF($G120&lt;&gt;0,($I120/$G120)*DG120,0)*(1-$K120)</f>
        <v>0</v>
      </c>
      <c r="DJ120" s="1117">
        <f t="shared" ref="DJ120:DJ132" si="444">VLOOKUP($E120,DG$442:DJ$453,4,FALSE)*DG120*($K120)+(DG120-DH120-DI120)*(1-$K120)</f>
        <v>0</v>
      </c>
      <c r="DK120" s="1118"/>
      <c r="DO120" s="1116">
        <f t="shared" si="399"/>
        <v>0</v>
      </c>
      <c r="DP120" s="1117">
        <f t="shared" ref="DP120:DP132" si="445">VLOOKUP($E120,DO$442:DR$453,2,FALSE)*DO120*($K120)+IF($G120&lt;&gt;0,($H120/$G120)*DO120,0)*(1-$K120)</f>
        <v>0</v>
      </c>
      <c r="DQ120" s="1117">
        <f t="shared" ref="DQ120:DQ132" si="446">VLOOKUP($E120,DO$442:DR$453,3,FALSE)*DO120*($K120)+IF($G120&lt;&gt;0,($I120/$G120)*DO120,0)*(1-$K120)</f>
        <v>0</v>
      </c>
      <c r="DR120" s="1117">
        <f t="shared" ref="DR120:DR132" si="447">VLOOKUP($E120,DO$442:DR$453,4,FALSE)*DO120*($K120)+(DO120-DP120-DQ120)*(1-$K120)</f>
        <v>0</v>
      </c>
      <c r="DS120" s="1118"/>
      <c r="DW120" s="1116">
        <f t="shared" si="400"/>
        <v>0</v>
      </c>
      <c r="DX120" s="1117">
        <f t="shared" ref="DX120:DX132" si="448">VLOOKUP($E120,DW$442:DZ$453,2,FALSE)*DW120*($K120)+IF($G120&lt;&gt;0,($H120/$G120)*DW120,0)*(1-$K120)</f>
        <v>0</v>
      </c>
      <c r="DY120" s="1117">
        <f t="shared" ref="DY120:DY132" si="449">VLOOKUP($E120,DW$442:DZ$453,3,FALSE)*DW120*($K120)+IF($G120&lt;&gt;0,($I120/$G120)*DW120,0)*(1-$K120)</f>
        <v>0</v>
      </c>
      <c r="DZ120" s="1117">
        <f t="shared" ref="DZ120:DZ132" si="450">VLOOKUP($E120,DW$442:DZ$453,4,FALSE)*DW120*($K120)+(DW120-DX120-DY120)*(1-$K120)</f>
        <v>0</v>
      </c>
      <c r="EA120" s="1118"/>
      <c r="EE120" s="1116">
        <f t="shared" si="401"/>
        <v>0</v>
      </c>
      <c r="EF120" s="1117">
        <f t="shared" ref="EF120:EF132" si="451">VLOOKUP($E120,EE$442:EH$453,2,FALSE)*EE120*($K120)+IF($G120&lt;&gt;0,($H120/$G120)*EE120,0)*(1-$K120)</f>
        <v>0</v>
      </c>
      <c r="EG120" s="1117">
        <f t="shared" ref="EG120:EG132" si="452">VLOOKUP($E120,EE$442:EH$453,3,FALSE)*EE120*($K120)+IF($G120&lt;&gt;0,($I120/$G120)*EE120,0)*(1-$K120)</f>
        <v>0</v>
      </c>
      <c r="EH120" s="1117">
        <f t="shared" ref="EH120:EH132" si="453">VLOOKUP($E120,EE$442:EH$453,4,FALSE)*EE120*($K120)+(EE120-EF120-EG120)*(1-$K120)</f>
        <v>0</v>
      </c>
      <c r="EI120" s="1118"/>
      <c r="EM120" s="1116">
        <f t="shared" si="402"/>
        <v>0</v>
      </c>
      <c r="EN120" s="1117">
        <f t="shared" ref="EN120:EN132" si="454">VLOOKUP($E120,EM$442:EP$453,2,FALSE)*EM120*($K120)+IF($G120&lt;&gt;0,($H120/$G120)*EM120,0)*(1-$K120)</f>
        <v>0</v>
      </c>
      <c r="EO120" s="1117">
        <f t="shared" ref="EO120:EO132" si="455">VLOOKUP($E120,EM$442:EP$453,3,FALSE)*EM120*($K120)+IF($G120&lt;&gt;0,($I120/$G120)*EM120,0)*(1-$K120)</f>
        <v>0</v>
      </c>
      <c r="EP120" s="1117">
        <f t="shared" ref="EP120:EP132" si="456">VLOOKUP($E120,EM$442:EP$453,4,FALSE)*EM120*($K120)+(EM120-EN120-EO120)*(1-$K120)</f>
        <v>0</v>
      </c>
      <c r="EQ120" s="1118"/>
      <c r="EU120" s="1116">
        <f t="shared" si="403"/>
        <v>0</v>
      </c>
      <c r="EV120" s="1117">
        <f t="shared" ref="EV120:EV132" si="457">VLOOKUP($E120,EU$442:EX$453,2,FALSE)*EU120*($K120)+IF($G120&lt;&gt;0,($H120/$G120)*EU120,0)*(1-$K120)</f>
        <v>0</v>
      </c>
      <c r="EW120" s="1117">
        <f t="shared" ref="EW120:EW132" si="458">VLOOKUP($E120,EU$442:EX$453,3,FALSE)*EU120*($K120)+IF($G120&lt;&gt;0,($I120/$G120)*EU120,0)*(1-$K120)</f>
        <v>0</v>
      </c>
      <c r="EX120" s="1117">
        <f t="shared" ref="EX120:EX132" si="459">VLOOKUP($E120,EU$442:EX$453,4,FALSE)*EU120*($K120)+(EU120-EV120-EW120)*(1-$K120)</f>
        <v>0</v>
      </c>
      <c r="EY120" s="1118"/>
      <c r="FC120" s="1116">
        <f t="shared" si="404"/>
        <v>0</v>
      </c>
      <c r="FD120" s="1117">
        <f t="shared" ref="FD120:FD132" si="460">VLOOKUP($E120,FC$442:FF$453,2,FALSE)*FC120*($K120)+IF($G120&lt;&gt;0,($H120/$G120)*FC120,0)*(1-$K120)</f>
        <v>0</v>
      </c>
      <c r="FE120" s="1117">
        <f t="shared" ref="FE120:FE132" si="461">VLOOKUP($E120,FC$442:FF$453,3,FALSE)*FC120*($K120)+IF($G120&lt;&gt;0,($I120/$G120)*FC120,0)*(1-$K120)</f>
        <v>0</v>
      </c>
      <c r="FF120" s="1117">
        <f t="shared" ref="FF120:FF132" si="462">VLOOKUP($E120,FC$442:FF$453,4,FALSE)*FC120*($K120)+(FC120-FD120-FE120)*(1-$K120)</f>
        <v>0</v>
      </c>
      <c r="FG120" s="1118"/>
      <c r="FK120" s="1116">
        <f t="shared" si="405"/>
        <v>0</v>
      </c>
      <c r="FL120" s="1117">
        <f t="shared" ref="FL120:FL132" si="463">VLOOKUP($E120,FK$442:FN$453,2,FALSE)*FK120*($K120)+IF($G120&lt;&gt;0,($H120/$G120)*FK120,0)*(1-$K120)</f>
        <v>0</v>
      </c>
      <c r="FM120" s="1117">
        <f t="shared" ref="FM120:FM132" si="464">VLOOKUP($E120,FK$442:FN$453,3,FALSE)*FK120*($K120)+IF($G120&lt;&gt;0,($I120/$G120)*FK120,0)*(1-$K120)</f>
        <v>0</v>
      </c>
      <c r="FN120" s="1117">
        <f t="shared" ref="FN120:FN132" si="465">VLOOKUP($E120,FK$442:FN$453,4,FALSE)*FK120*($K120)+(FK120-FL120-FM120)*(1-$K120)</f>
        <v>0</v>
      </c>
      <c r="FO120" s="1118"/>
    </row>
    <row r="121" spans="1:171">
      <c r="A121" s="912"/>
      <c r="B121" s="79" t="s">
        <v>12</v>
      </c>
      <c r="C121" s="888" t="s">
        <v>78</v>
      </c>
      <c r="D121" s="888">
        <v>182.2</v>
      </c>
      <c r="E121" s="182" t="str">
        <f>'Sch 1- Rate Base '!E121</f>
        <v>DIRECT</v>
      </c>
      <c r="F121" s="889"/>
      <c r="G121" s="182">
        <f>'Sch 1- Rate Base '!G121</f>
        <v>0</v>
      </c>
      <c r="H121" s="182">
        <f>'Sch 1- Rate Base '!H121</f>
        <v>0</v>
      </c>
      <c r="I121" s="182">
        <f>'Sch 1- Rate Base '!I121</f>
        <v>0</v>
      </c>
      <c r="J121" s="183">
        <f>'Sch 1- Rate Base '!J121</f>
        <v>0</v>
      </c>
      <c r="K121" s="903">
        <f t="shared" si="385"/>
        <v>0</v>
      </c>
      <c r="O121" s="1116">
        <f t="shared" si="386"/>
        <v>0</v>
      </c>
      <c r="P121" s="1117">
        <f t="shared" si="406"/>
        <v>0</v>
      </c>
      <c r="Q121" s="1117">
        <f t="shared" si="407"/>
        <v>0</v>
      </c>
      <c r="R121" s="1117">
        <f t="shared" si="408"/>
        <v>0</v>
      </c>
      <c r="S121" s="1118"/>
      <c r="W121" s="1116">
        <f t="shared" si="387"/>
        <v>0</v>
      </c>
      <c r="X121" s="1117">
        <f t="shared" si="409"/>
        <v>0</v>
      </c>
      <c r="Y121" s="1117">
        <f t="shared" si="410"/>
        <v>0</v>
      </c>
      <c r="Z121" s="1117">
        <f t="shared" si="411"/>
        <v>0</v>
      </c>
      <c r="AA121" s="1118"/>
      <c r="AE121" s="1116">
        <f t="shared" si="388"/>
        <v>0</v>
      </c>
      <c r="AF121" s="1117">
        <f t="shared" si="412"/>
        <v>0</v>
      </c>
      <c r="AG121" s="1117">
        <f t="shared" si="413"/>
        <v>0</v>
      </c>
      <c r="AH121" s="1117">
        <f t="shared" si="414"/>
        <v>0</v>
      </c>
      <c r="AI121" s="1118"/>
      <c r="AM121" s="1116">
        <f t="shared" si="389"/>
        <v>0</v>
      </c>
      <c r="AN121" s="1117">
        <f t="shared" si="415"/>
        <v>0</v>
      </c>
      <c r="AO121" s="1117">
        <f t="shared" si="416"/>
        <v>0</v>
      </c>
      <c r="AP121" s="1117">
        <f t="shared" si="417"/>
        <v>0</v>
      </c>
      <c r="AQ121" s="1118"/>
      <c r="AU121" s="1116">
        <f t="shared" si="390"/>
        <v>0</v>
      </c>
      <c r="AV121" s="1117">
        <f t="shared" si="418"/>
        <v>0</v>
      </c>
      <c r="AW121" s="1117">
        <f t="shared" si="419"/>
        <v>0</v>
      </c>
      <c r="AX121" s="1117">
        <f t="shared" si="420"/>
        <v>0</v>
      </c>
      <c r="AY121" s="1118"/>
      <c r="BC121" s="1116">
        <f t="shared" si="391"/>
        <v>0</v>
      </c>
      <c r="BD121" s="1117">
        <f t="shared" si="421"/>
        <v>0</v>
      </c>
      <c r="BE121" s="1117">
        <f t="shared" si="422"/>
        <v>0</v>
      </c>
      <c r="BF121" s="1117">
        <f t="shared" si="423"/>
        <v>0</v>
      </c>
      <c r="BG121" s="1118"/>
      <c r="BK121" s="1116">
        <f t="shared" si="392"/>
        <v>0</v>
      </c>
      <c r="BL121" s="1117">
        <f t="shared" si="424"/>
        <v>0</v>
      </c>
      <c r="BM121" s="1117">
        <f t="shared" si="425"/>
        <v>0</v>
      </c>
      <c r="BN121" s="1117">
        <f t="shared" si="426"/>
        <v>0</v>
      </c>
      <c r="BO121" s="1118"/>
      <c r="BS121" s="1116">
        <f t="shared" si="393"/>
        <v>0</v>
      </c>
      <c r="BT121" s="1117">
        <f t="shared" si="427"/>
        <v>0</v>
      </c>
      <c r="BU121" s="1117">
        <f t="shared" si="428"/>
        <v>0</v>
      </c>
      <c r="BV121" s="1117">
        <f t="shared" si="429"/>
        <v>0</v>
      </c>
      <c r="BW121" s="1118"/>
      <c r="CA121" s="1116">
        <f t="shared" si="394"/>
        <v>0</v>
      </c>
      <c r="CB121" s="1117">
        <f t="shared" si="430"/>
        <v>0</v>
      </c>
      <c r="CC121" s="1117">
        <f t="shared" si="431"/>
        <v>0</v>
      </c>
      <c r="CD121" s="1117">
        <f t="shared" si="432"/>
        <v>0</v>
      </c>
      <c r="CE121" s="1118"/>
      <c r="CI121" s="1116">
        <f t="shared" si="395"/>
        <v>0</v>
      </c>
      <c r="CJ121" s="1117">
        <f t="shared" si="433"/>
        <v>0</v>
      </c>
      <c r="CK121" s="1117">
        <f t="shared" si="434"/>
        <v>0</v>
      </c>
      <c r="CL121" s="1117">
        <f t="shared" si="435"/>
        <v>0</v>
      </c>
      <c r="CM121" s="1118"/>
      <c r="CQ121" s="1116">
        <f t="shared" si="396"/>
        <v>0</v>
      </c>
      <c r="CR121" s="1117">
        <f t="shared" si="436"/>
        <v>0</v>
      </c>
      <c r="CS121" s="1117">
        <f t="shared" si="437"/>
        <v>0</v>
      </c>
      <c r="CT121" s="1117">
        <f t="shared" si="438"/>
        <v>0</v>
      </c>
      <c r="CU121" s="1118"/>
      <c r="CY121" s="1116">
        <f t="shared" si="397"/>
        <v>0</v>
      </c>
      <c r="CZ121" s="1117">
        <f t="shared" si="439"/>
        <v>0</v>
      </c>
      <c r="DA121" s="1117">
        <f t="shared" si="440"/>
        <v>0</v>
      </c>
      <c r="DB121" s="1117">
        <f t="shared" si="441"/>
        <v>0</v>
      </c>
      <c r="DC121" s="1118"/>
      <c r="DG121" s="1116">
        <f t="shared" si="398"/>
        <v>0</v>
      </c>
      <c r="DH121" s="1117">
        <f t="shared" si="442"/>
        <v>0</v>
      </c>
      <c r="DI121" s="1117">
        <f t="shared" si="443"/>
        <v>0</v>
      </c>
      <c r="DJ121" s="1117">
        <f t="shared" si="444"/>
        <v>0</v>
      </c>
      <c r="DK121" s="1118"/>
      <c r="DO121" s="1116">
        <f t="shared" si="399"/>
        <v>0</v>
      </c>
      <c r="DP121" s="1117">
        <f t="shared" si="445"/>
        <v>0</v>
      </c>
      <c r="DQ121" s="1117">
        <f t="shared" si="446"/>
        <v>0</v>
      </c>
      <c r="DR121" s="1117">
        <f t="shared" si="447"/>
        <v>0</v>
      </c>
      <c r="DS121" s="1118"/>
      <c r="DW121" s="1116">
        <f t="shared" si="400"/>
        <v>0</v>
      </c>
      <c r="DX121" s="1117">
        <f t="shared" si="448"/>
        <v>0</v>
      </c>
      <c r="DY121" s="1117">
        <f t="shared" si="449"/>
        <v>0</v>
      </c>
      <c r="DZ121" s="1117">
        <f t="shared" si="450"/>
        <v>0</v>
      </c>
      <c r="EA121" s="1118"/>
      <c r="EE121" s="1116">
        <f t="shared" si="401"/>
        <v>0</v>
      </c>
      <c r="EF121" s="1117">
        <f t="shared" si="451"/>
        <v>0</v>
      </c>
      <c r="EG121" s="1117">
        <f t="shared" si="452"/>
        <v>0</v>
      </c>
      <c r="EH121" s="1117">
        <f t="shared" si="453"/>
        <v>0</v>
      </c>
      <c r="EI121" s="1118"/>
      <c r="EM121" s="1116">
        <f t="shared" si="402"/>
        <v>0</v>
      </c>
      <c r="EN121" s="1117">
        <f t="shared" si="454"/>
        <v>0</v>
      </c>
      <c r="EO121" s="1117">
        <f t="shared" si="455"/>
        <v>0</v>
      </c>
      <c r="EP121" s="1117">
        <f t="shared" si="456"/>
        <v>0</v>
      </c>
      <c r="EQ121" s="1118"/>
      <c r="EU121" s="1116">
        <f t="shared" si="403"/>
        <v>0</v>
      </c>
      <c r="EV121" s="1117">
        <f t="shared" si="457"/>
        <v>0</v>
      </c>
      <c r="EW121" s="1117">
        <f t="shared" si="458"/>
        <v>0</v>
      </c>
      <c r="EX121" s="1117">
        <f t="shared" si="459"/>
        <v>0</v>
      </c>
      <c r="EY121" s="1118"/>
      <c r="FC121" s="1116">
        <f t="shared" si="404"/>
        <v>0</v>
      </c>
      <c r="FD121" s="1117">
        <f t="shared" si="460"/>
        <v>0</v>
      </c>
      <c r="FE121" s="1117">
        <f t="shared" si="461"/>
        <v>0</v>
      </c>
      <c r="FF121" s="1117">
        <f t="shared" si="462"/>
        <v>0</v>
      </c>
      <c r="FG121" s="1118"/>
      <c r="FK121" s="1116">
        <f t="shared" si="405"/>
        <v>0</v>
      </c>
      <c r="FL121" s="1117">
        <f t="shared" si="463"/>
        <v>0</v>
      </c>
      <c r="FM121" s="1117">
        <f t="shared" si="464"/>
        <v>0</v>
      </c>
      <c r="FN121" s="1117">
        <f t="shared" si="465"/>
        <v>0</v>
      </c>
      <c r="FO121" s="1118"/>
    </row>
    <row r="122" spans="1:171">
      <c r="A122" s="912"/>
      <c r="B122" s="79" t="s">
        <v>13</v>
      </c>
      <c r="C122" s="888" t="s">
        <v>78</v>
      </c>
      <c r="D122" s="888">
        <v>182.3</v>
      </c>
      <c r="E122" s="182" t="str">
        <f>'Sch 1- Rate Base '!E122</f>
        <v>DIRECT</v>
      </c>
      <c r="F122" s="889"/>
      <c r="G122" s="182">
        <f>'Sch 1- Rate Base '!G122</f>
        <v>898192106.79999995</v>
      </c>
      <c r="H122" s="182">
        <f>'Sch 1- Rate Base '!H122</f>
        <v>60503537</v>
      </c>
      <c r="I122" s="182">
        <f>'Sch 1- Rate Base '!I122</f>
        <v>0</v>
      </c>
      <c r="J122" s="183">
        <f>'Sch 1- Rate Base '!J122</f>
        <v>837688570</v>
      </c>
      <c r="K122" s="903">
        <f t="shared" si="385"/>
        <v>0</v>
      </c>
      <c r="O122" s="1116">
        <f t="shared" si="386"/>
        <v>898192106.79999995</v>
      </c>
      <c r="P122" s="1117">
        <f t="shared" si="406"/>
        <v>60503537.000000007</v>
      </c>
      <c r="Q122" s="1117">
        <f t="shared" si="407"/>
        <v>0</v>
      </c>
      <c r="R122" s="1117">
        <f t="shared" si="408"/>
        <v>837688569.79999995</v>
      </c>
      <c r="S122" s="1118"/>
      <c r="W122" s="1116">
        <f t="shared" si="387"/>
        <v>898192106.79999995</v>
      </c>
      <c r="X122" s="1117">
        <f t="shared" si="409"/>
        <v>60503537.000000007</v>
      </c>
      <c r="Y122" s="1117">
        <f t="shared" si="410"/>
        <v>0</v>
      </c>
      <c r="Z122" s="1117">
        <f t="shared" si="411"/>
        <v>837688569.79999995</v>
      </c>
      <c r="AA122" s="1118"/>
      <c r="AE122" s="1116">
        <f t="shared" si="388"/>
        <v>898192106.79999995</v>
      </c>
      <c r="AF122" s="1117">
        <f t="shared" si="412"/>
        <v>60503537.000000007</v>
      </c>
      <c r="AG122" s="1117">
        <f t="shared" si="413"/>
        <v>0</v>
      </c>
      <c r="AH122" s="1117">
        <f t="shared" si="414"/>
        <v>837688569.79999995</v>
      </c>
      <c r="AI122" s="1118"/>
      <c r="AM122" s="1116">
        <f t="shared" si="389"/>
        <v>898192106.79999995</v>
      </c>
      <c r="AN122" s="1117">
        <f t="shared" si="415"/>
        <v>60503537.000000007</v>
      </c>
      <c r="AO122" s="1117">
        <f t="shared" si="416"/>
        <v>0</v>
      </c>
      <c r="AP122" s="1117">
        <f t="shared" si="417"/>
        <v>837688569.79999995</v>
      </c>
      <c r="AQ122" s="1118"/>
      <c r="AU122" s="1116">
        <f t="shared" si="390"/>
        <v>898192106.79999995</v>
      </c>
      <c r="AV122" s="1117">
        <f t="shared" si="418"/>
        <v>60503537.000000007</v>
      </c>
      <c r="AW122" s="1117">
        <f t="shared" si="419"/>
        <v>0</v>
      </c>
      <c r="AX122" s="1117">
        <f t="shared" si="420"/>
        <v>837688569.79999995</v>
      </c>
      <c r="AY122" s="1118"/>
      <c r="BC122" s="1116">
        <f t="shared" si="391"/>
        <v>898192106.79999995</v>
      </c>
      <c r="BD122" s="1117">
        <f t="shared" si="421"/>
        <v>60503537.000000007</v>
      </c>
      <c r="BE122" s="1117">
        <f t="shared" si="422"/>
        <v>0</v>
      </c>
      <c r="BF122" s="1117">
        <f t="shared" si="423"/>
        <v>837688569.79999995</v>
      </c>
      <c r="BG122" s="1118"/>
      <c r="BK122" s="1116">
        <f t="shared" si="392"/>
        <v>898192106.79999995</v>
      </c>
      <c r="BL122" s="1117">
        <f t="shared" si="424"/>
        <v>60503537.000000007</v>
      </c>
      <c r="BM122" s="1117">
        <f t="shared" si="425"/>
        <v>0</v>
      </c>
      <c r="BN122" s="1117">
        <f t="shared" si="426"/>
        <v>837688569.79999995</v>
      </c>
      <c r="BO122" s="1118"/>
      <c r="BS122" s="1116">
        <f t="shared" si="393"/>
        <v>898192106.79999995</v>
      </c>
      <c r="BT122" s="1117">
        <f t="shared" si="427"/>
        <v>60503537.000000007</v>
      </c>
      <c r="BU122" s="1117">
        <f t="shared" si="428"/>
        <v>0</v>
      </c>
      <c r="BV122" s="1117">
        <f t="shared" si="429"/>
        <v>837688569.79999995</v>
      </c>
      <c r="BW122" s="1118"/>
      <c r="CA122" s="1116">
        <f t="shared" si="394"/>
        <v>898192106.79999995</v>
      </c>
      <c r="CB122" s="1117">
        <f t="shared" si="430"/>
        <v>60503537.000000007</v>
      </c>
      <c r="CC122" s="1117">
        <f t="shared" si="431"/>
        <v>0</v>
      </c>
      <c r="CD122" s="1117">
        <f t="shared" si="432"/>
        <v>837688569.79999995</v>
      </c>
      <c r="CE122" s="1118"/>
      <c r="CI122" s="1116">
        <f t="shared" si="395"/>
        <v>898192106.79999995</v>
      </c>
      <c r="CJ122" s="1117">
        <f t="shared" si="433"/>
        <v>60503537.000000007</v>
      </c>
      <c r="CK122" s="1117">
        <f t="shared" si="434"/>
        <v>0</v>
      </c>
      <c r="CL122" s="1117">
        <f t="shared" si="435"/>
        <v>837688569.79999995</v>
      </c>
      <c r="CM122" s="1118"/>
      <c r="CQ122" s="1116">
        <f t="shared" si="396"/>
        <v>898192106.79999995</v>
      </c>
      <c r="CR122" s="1117">
        <f t="shared" si="436"/>
        <v>60503537.000000007</v>
      </c>
      <c r="CS122" s="1117">
        <f t="shared" si="437"/>
        <v>0</v>
      </c>
      <c r="CT122" s="1117">
        <f t="shared" si="438"/>
        <v>837688569.79999995</v>
      </c>
      <c r="CU122" s="1118"/>
      <c r="CY122" s="1116">
        <f t="shared" si="397"/>
        <v>898192106.79999995</v>
      </c>
      <c r="CZ122" s="1117">
        <f t="shared" si="439"/>
        <v>60503537.000000007</v>
      </c>
      <c r="DA122" s="1117">
        <f t="shared" si="440"/>
        <v>0</v>
      </c>
      <c r="DB122" s="1117">
        <f t="shared" si="441"/>
        <v>837688569.79999995</v>
      </c>
      <c r="DC122" s="1118"/>
      <c r="DG122" s="1116">
        <f t="shared" si="398"/>
        <v>898192106.79999995</v>
      </c>
      <c r="DH122" s="1117">
        <f t="shared" si="442"/>
        <v>60503537.000000007</v>
      </c>
      <c r="DI122" s="1117">
        <f t="shared" si="443"/>
        <v>0</v>
      </c>
      <c r="DJ122" s="1117">
        <f t="shared" si="444"/>
        <v>837688569.79999995</v>
      </c>
      <c r="DK122" s="1118"/>
      <c r="DO122" s="1116">
        <f t="shared" si="399"/>
        <v>898192106.79999995</v>
      </c>
      <c r="DP122" s="1117">
        <f t="shared" si="445"/>
        <v>60503537.000000007</v>
      </c>
      <c r="DQ122" s="1117">
        <f t="shared" si="446"/>
        <v>0</v>
      </c>
      <c r="DR122" s="1117">
        <f t="shared" si="447"/>
        <v>837688569.79999995</v>
      </c>
      <c r="DS122" s="1118"/>
      <c r="DW122" s="1116">
        <f t="shared" si="400"/>
        <v>898192106.79999995</v>
      </c>
      <c r="DX122" s="1117">
        <f t="shared" si="448"/>
        <v>60503537.000000007</v>
      </c>
      <c r="DY122" s="1117">
        <f t="shared" si="449"/>
        <v>0</v>
      </c>
      <c r="DZ122" s="1117">
        <f t="shared" si="450"/>
        <v>837688569.79999995</v>
      </c>
      <c r="EA122" s="1118"/>
      <c r="EE122" s="1116">
        <f t="shared" si="401"/>
        <v>898192106.79999995</v>
      </c>
      <c r="EF122" s="1117">
        <f t="shared" si="451"/>
        <v>60503537.000000007</v>
      </c>
      <c r="EG122" s="1117">
        <f t="shared" si="452"/>
        <v>0</v>
      </c>
      <c r="EH122" s="1117">
        <f t="shared" si="453"/>
        <v>837688569.79999995</v>
      </c>
      <c r="EI122" s="1118"/>
      <c r="EM122" s="1116">
        <f t="shared" si="402"/>
        <v>898192106.79999995</v>
      </c>
      <c r="EN122" s="1117">
        <f t="shared" si="454"/>
        <v>60503537.000000007</v>
      </c>
      <c r="EO122" s="1117">
        <f t="shared" si="455"/>
        <v>0</v>
      </c>
      <c r="EP122" s="1117">
        <f t="shared" si="456"/>
        <v>837688569.79999995</v>
      </c>
      <c r="EQ122" s="1118"/>
      <c r="EU122" s="1116">
        <f t="shared" si="403"/>
        <v>898192106.79999995</v>
      </c>
      <c r="EV122" s="1117">
        <f t="shared" si="457"/>
        <v>60503537.000000007</v>
      </c>
      <c r="EW122" s="1117">
        <f t="shared" si="458"/>
        <v>0</v>
      </c>
      <c r="EX122" s="1117">
        <f t="shared" si="459"/>
        <v>837688569.79999995</v>
      </c>
      <c r="EY122" s="1118"/>
      <c r="FC122" s="1116">
        <f t="shared" si="404"/>
        <v>898192106.79999995</v>
      </c>
      <c r="FD122" s="1117">
        <f t="shared" si="460"/>
        <v>60503537.000000007</v>
      </c>
      <c r="FE122" s="1117">
        <f t="shared" si="461"/>
        <v>0</v>
      </c>
      <c r="FF122" s="1117">
        <f t="shared" si="462"/>
        <v>837688569.79999995</v>
      </c>
      <c r="FG122" s="1118"/>
      <c r="FK122" s="1116">
        <f t="shared" si="405"/>
        <v>898192106.79999995</v>
      </c>
      <c r="FL122" s="1117">
        <f t="shared" si="463"/>
        <v>60503537.000000007</v>
      </c>
      <c r="FM122" s="1117">
        <f t="shared" si="464"/>
        <v>0</v>
      </c>
      <c r="FN122" s="1117">
        <f t="shared" si="465"/>
        <v>837688569.79999995</v>
      </c>
      <c r="FO122" s="1118"/>
    </row>
    <row r="123" spans="1:171">
      <c r="A123" s="912"/>
      <c r="B123" s="79" t="s">
        <v>628</v>
      </c>
      <c r="C123" s="888" t="s">
        <v>78</v>
      </c>
      <c r="D123" s="888">
        <v>183</v>
      </c>
      <c r="E123" s="182" t="str">
        <f>'Sch 1- Rate Base '!E123</f>
        <v>DIST</v>
      </c>
      <c r="F123" s="889"/>
      <c r="G123" s="182">
        <f>'Sch 1- Rate Base '!G123</f>
        <v>0</v>
      </c>
      <c r="H123" s="182">
        <f>'Sch 1- Rate Base '!H123</f>
        <v>0</v>
      </c>
      <c r="I123" s="182">
        <f>'Sch 1- Rate Base '!I123</f>
        <v>0</v>
      </c>
      <c r="J123" s="183">
        <f>'Sch 1- Rate Base '!J123</f>
        <v>0</v>
      </c>
      <c r="K123" s="903">
        <f t="shared" si="385"/>
        <v>1</v>
      </c>
      <c r="O123" s="1116">
        <f t="shared" si="386"/>
        <v>0</v>
      </c>
      <c r="P123" s="1117">
        <f t="shared" si="406"/>
        <v>0</v>
      </c>
      <c r="Q123" s="1117">
        <f t="shared" si="407"/>
        <v>0</v>
      </c>
      <c r="R123" s="1117">
        <f t="shared" si="408"/>
        <v>0</v>
      </c>
      <c r="S123" s="1118"/>
      <c r="W123" s="1116">
        <f t="shared" si="387"/>
        <v>0</v>
      </c>
      <c r="X123" s="1117">
        <f t="shared" si="409"/>
        <v>0</v>
      </c>
      <c r="Y123" s="1117">
        <f t="shared" si="410"/>
        <v>0</v>
      </c>
      <c r="Z123" s="1117">
        <f t="shared" si="411"/>
        <v>0</v>
      </c>
      <c r="AA123" s="1118"/>
      <c r="AE123" s="1116">
        <f t="shared" si="388"/>
        <v>0</v>
      </c>
      <c r="AF123" s="1117">
        <f t="shared" si="412"/>
        <v>0</v>
      </c>
      <c r="AG123" s="1117">
        <f t="shared" si="413"/>
        <v>0</v>
      </c>
      <c r="AH123" s="1117">
        <f t="shared" si="414"/>
        <v>0</v>
      </c>
      <c r="AI123" s="1118"/>
      <c r="AM123" s="1116">
        <f t="shared" si="389"/>
        <v>0</v>
      </c>
      <c r="AN123" s="1117">
        <f t="shared" si="415"/>
        <v>0</v>
      </c>
      <c r="AO123" s="1117">
        <f t="shared" si="416"/>
        <v>0</v>
      </c>
      <c r="AP123" s="1117">
        <f t="shared" si="417"/>
        <v>0</v>
      </c>
      <c r="AQ123" s="1118"/>
      <c r="AU123" s="1116">
        <f t="shared" si="390"/>
        <v>0</v>
      </c>
      <c r="AV123" s="1117">
        <f t="shared" si="418"/>
        <v>0</v>
      </c>
      <c r="AW123" s="1117">
        <f t="shared" si="419"/>
        <v>0</v>
      </c>
      <c r="AX123" s="1117">
        <f t="shared" si="420"/>
        <v>0</v>
      </c>
      <c r="AY123" s="1118"/>
      <c r="BC123" s="1116">
        <f t="shared" si="391"/>
        <v>0</v>
      </c>
      <c r="BD123" s="1117">
        <f t="shared" si="421"/>
        <v>0</v>
      </c>
      <c r="BE123" s="1117">
        <f t="shared" si="422"/>
        <v>0</v>
      </c>
      <c r="BF123" s="1117">
        <f t="shared" si="423"/>
        <v>0</v>
      </c>
      <c r="BG123" s="1118"/>
      <c r="BK123" s="1116">
        <f t="shared" si="392"/>
        <v>0</v>
      </c>
      <c r="BL123" s="1117">
        <f t="shared" si="424"/>
        <v>0</v>
      </c>
      <c r="BM123" s="1117">
        <f t="shared" si="425"/>
        <v>0</v>
      </c>
      <c r="BN123" s="1117">
        <f t="shared" si="426"/>
        <v>0</v>
      </c>
      <c r="BO123" s="1118"/>
      <c r="BS123" s="1116">
        <f t="shared" si="393"/>
        <v>0</v>
      </c>
      <c r="BT123" s="1117">
        <f t="shared" si="427"/>
        <v>0</v>
      </c>
      <c r="BU123" s="1117">
        <f t="shared" si="428"/>
        <v>0</v>
      </c>
      <c r="BV123" s="1117">
        <f t="shared" si="429"/>
        <v>0</v>
      </c>
      <c r="BW123" s="1118"/>
      <c r="CA123" s="1116">
        <f t="shared" si="394"/>
        <v>0</v>
      </c>
      <c r="CB123" s="1117">
        <f t="shared" si="430"/>
        <v>0</v>
      </c>
      <c r="CC123" s="1117">
        <f t="shared" si="431"/>
        <v>0</v>
      </c>
      <c r="CD123" s="1117">
        <f t="shared" si="432"/>
        <v>0</v>
      </c>
      <c r="CE123" s="1118"/>
      <c r="CI123" s="1116">
        <f t="shared" si="395"/>
        <v>0</v>
      </c>
      <c r="CJ123" s="1117">
        <f t="shared" si="433"/>
        <v>0</v>
      </c>
      <c r="CK123" s="1117">
        <f t="shared" si="434"/>
        <v>0</v>
      </c>
      <c r="CL123" s="1117">
        <f t="shared" si="435"/>
        <v>0</v>
      </c>
      <c r="CM123" s="1118"/>
      <c r="CQ123" s="1116">
        <f t="shared" si="396"/>
        <v>0</v>
      </c>
      <c r="CR123" s="1117">
        <f t="shared" si="436"/>
        <v>0</v>
      </c>
      <c r="CS123" s="1117">
        <f t="shared" si="437"/>
        <v>0</v>
      </c>
      <c r="CT123" s="1117">
        <f t="shared" si="438"/>
        <v>0</v>
      </c>
      <c r="CU123" s="1118"/>
      <c r="CY123" s="1116">
        <f t="shared" si="397"/>
        <v>0</v>
      </c>
      <c r="CZ123" s="1117">
        <f t="shared" si="439"/>
        <v>0</v>
      </c>
      <c r="DA123" s="1117">
        <f t="shared" si="440"/>
        <v>0</v>
      </c>
      <c r="DB123" s="1117">
        <f t="shared" si="441"/>
        <v>0</v>
      </c>
      <c r="DC123" s="1118"/>
      <c r="DG123" s="1116">
        <f t="shared" si="398"/>
        <v>0</v>
      </c>
      <c r="DH123" s="1117">
        <f t="shared" si="442"/>
        <v>0</v>
      </c>
      <c r="DI123" s="1117">
        <f t="shared" si="443"/>
        <v>0</v>
      </c>
      <c r="DJ123" s="1117">
        <f t="shared" si="444"/>
        <v>0</v>
      </c>
      <c r="DK123" s="1118"/>
      <c r="DO123" s="1116">
        <f t="shared" si="399"/>
        <v>0</v>
      </c>
      <c r="DP123" s="1117">
        <f t="shared" si="445"/>
        <v>0</v>
      </c>
      <c r="DQ123" s="1117">
        <f t="shared" si="446"/>
        <v>0</v>
      </c>
      <c r="DR123" s="1117">
        <f t="shared" si="447"/>
        <v>0</v>
      </c>
      <c r="DS123" s="1118"/>
      <c r="DW123" s="1116">
        <f t="shared" si="400"/>
        <v>0</v>
      </c>
      <c r="DX123" s="1117">
        <f t="shared" si="448"/>
        <v>0</v>
      </c>
      <c r="DY123" s="1117">
        <f t="shared" si="449"/>
        <v>0</v>
      </c>
      <c r="DZ123" s="1117">
        <f t="shared" si="450"/>
        <v>0</v>
      </c>
      <c r="EA123" s="1118"/>
      <c r="EE123" s="1116">
        <f t="shared" si="401"/>
        <v>0</v>
      </c>
      <c r="EF123" s="1117">
        <f t="shared" si="451"/>
        <v>0</v>
      </c>
      <c r="EG123" s="1117">
        <f t="shared" si="452"/>
        <v>0</v>
      </c>
      <c r="EH123" s="1117">
        <f t="shared" si="453"/>
        <v>0</v>
      </c>
      <c r="EI123" s="1118"/>
      <c r="EM123" s="1116">
        <f t="shared" si="402"/>
        <v>0</v>
      </c>
      <c r="EN123" s="1117">
        <f t="shared" si="454"/>
        <v>0</v>
      </c>
      <c r="EO123" s="1117">
        <f t="shared" si="455"/>
        <v>0</v>
      </c>
      <c r="EP123" s="1117">
        <f t="shared" si="456"/>
        <v>0</v>
      </c>
      <c r="EQ123" s="1118"/>
      <c r="EU123" s="1116">
        <f t="shared" si="403"/>
        <v>0</v>
      </c>
      <c r="EV123" s="1117">
        <f t="shared" si="457"/>
        <v>0</v>
      </c>
      <c r="EW123" s="1117">
        <f t="shared" si="458"/>
        <v>0</v>
      </c>
      <c r="EX123" s="1117">
        <f t="shared" si="459"/>
        <v>0</v>
      </c>
      <c r="EY123" s="1118"/>
      <c r="FC123" s="1116">
        <f t="shared" si="404"/>
        <v>0</v>
      </c>
      <c r="FD123" s="1117">
        <f t="shared" si="460"/>
        <v>0</v>
      </c>
      <c r="FE123" s="1117">
        <f t="shared" si="461"/>
        <v>0</v>
      </c>
      <c r="FF123" s="1117">
        <f t="shared" si="462"/>
        <v>0</v>
      </c>
      <c r="FG123" s="1118"/>
      <c r="FK123" s="1116">
        <f t="shared" si="405"/>
        <v>0</v>
      </c>
      <c r="FL123" s="1117">
        <f t="shared" si="463"/>
        <v>0</v>
      </c>
      <c r="FM123" s="1117">
        <f t="shared" si="464"/>
        <v>0</v>
      </c>
      <c r="FN123" s="1117">
        <f t="shared" si="465"/>
        <v>0</v>
      </c>
      <c r="FO123" s="1118"/>
    </row>
    <row r="124" spans="1:171">
      <c r="A124" s="912"/>
      <c r="B124" s="79" t="s">
        <v>14</v>
      </c>
      <c r="C124" s="888" t="s">
        <v>78</v>
      </c>
      <c r="D124" s="888">
        <v>183.1</v>
      </c>
      <c r="E124" s="182" t="str">
        <f>'Sch 1- Rate Base '!E124</f>
        <v>DIST</v>
      </c>
      <c r="F124" s="889"/>
      <c r="G124" s="182">
        <f>'Sch 1- Rate Base '!G124</f>
        <v>0</v>
      </c>
      <c r="H124" s="182">
        <f>'Sch 1- Rate Base '!H124</f>
        <v>0</v>
      </c>
      <c r="I124" s="182">
        <f>'Sch 1- Rate Base '!I124</f>
        <v>0</v>
      </c>
      <c r="J124" s="183">
        <f>'Sch 1- Rate Base '!J124</f>
        <v>0</v>
      </c>
      <c r="K124" s="903">
        <f t="shared" si="385"/>
        <v>1</v>
      </c>
      <c r="O124" s="1116">
        <f t="shared" si="386"/>
        <v>0</v>
      </c>
      <c r="P124" s="1117">
        <f t="shared" si="406"/>
        <v>0</v>
      </c>
      <c r="Q124" s="1117">
        <f t="shared" si="407"/>
        <v>0</v>
      </c>
      <c r="R124" s="1117">
        <f t="shared" si="408"/>
        <v>0</v>
      </c>
      <c r="S124" s="1118"/>
      <c r="W124" s="1116">
        <f t="shared" si="387"/>
        <v>0</v>
      </c>
      <c r="X124" s="1117">
        <f t="shared" si="409"/>
        <v>0</v>
      </c>
      <c r="Y124" s="1117">
        <f t="shared" si="410"/>
        <v>0</v>
      </c>
      <c r="Z124" s="1117">
        <f t="shared" si="411"/>
        <v>0</v>
      </c>
      <c r="AA124" s="1118"/>
      <c r="AE124" s="1116">
        <f t="shared" si="388"/>
        <v>0</v>
      </c>
      <c r="AF124" s="1117">
        <f t="shared" si="412"/>
        <v>0</v>
      </c>
      <c r="AG124" s="1117">
        <f t="shared" si="413"/>
        <v>0</v>
      </c>
      <c r="AH124" s="1117">
        <f t="shared" si="414"/>
        <v>0</v>
      </c>
      <c r="AI124" s="1118"/>
      <c r="AM124" s="1116">
        <f t="shared" si="389"/>
        <v>0</v>
      </c>
      <c r="AN124" s="1117">
        <f t="shared" si="415"/>
        <v>0</v>
      </c>
      <c r="AO124" s="1117">
        <f t="shared" si="416"/>
        <v>0</v>
      </c>
      <c r="AP124" s="1117">
        <f t="shared" si="417"/>
        <v>0</v>
      </c>
      <c r="AQ124" s="1118"/>
      <c r="AU124" s="1116">
        <f t="shared" si="390"/>
        <v>0</v>
      </c>
      <c r="AV124" s="1117">
        <f t="shared" si="418"/>
        <v>0</v>
      </c>
      <c r="AW124" s="1117">
        <f t="shared" si="419"/>
        <v>0</v>
      </c>
      <c r="AX124" s="1117">
        <f t="shared" si="420"/>
        <v>0</v>
      </c>
      <c r="AY124" s="1118"/>
      <c r="BC124" s="1116">
        <f t="shared" si="391"/>
        <v>0</v>
      </c>
      <c r="BD124" s="1117">
        <f t="shared" si="421"/>
        <v>0</v>
      </c>
      <c r="BE124" s="1117">
        <f t="shared" si="422"/>
        <v>0</v>
      </c>
      <c r="BF124" s="1117">
        <f t="shared" si="423"/>
        <v>0</v>
      </c>
      <c r="BG124" s="1118"/>
      <c r="BK124" s="1116">
        <f t="shared" si="392"/>
        <v>0</v>
      </c>
      <c r="BL124" s="1117">
        <f t="shared" si="424"/>
        <v>0</v>
      </c>
      <c r="BM124" s="1117">
        <f t="shared" si="425"/>
        <v>0</v>
      </c>
      <c r="BN124" s="1117">
        <f t="shared" si="426"/>
        <v>0</v>
      </c>
      <c r="BO124" s="1118"/>
      <c r="BS124" s="1116">
        <f t="shared" si="393"/>
        <v>0</v>
      </c>
      <c r="BT124" s="1117">
        <f t="shared" si="427"/>
        <v>0</v>
      </c>
      <c r="BU124" s="1117">
        <f t="shared" si="428"/>
        <v>0</v>
      </c>
      <c r="BV124" s="1117">
        <f t="shared" si="429"/>
        <v>0</v>
      </c>
      <c r="BW124" s="1118"/>
      <c r="CA124" s="1116">
        <f t="shared" si="394"/>
        <v>0</v>
      </c>
      <c r="CB124" s="1117">
        <f t="shared" si="430"/>
        <v>0</v>
      </c>
      <c r="CC124" s="1117">
        <f t="shared" si="431"/>
        <v>0</v>
      </c>
      <c r="CD124" s="1117">
        <f t="shared" si="432"/>
        <v>0</v>
      </c>
      <c r="CE124" s="1118"/>
      <c r="CI124" s="1116">
        <f t="shared" si="395"/>
        <v>0</v>
      </c>
      <c r="CJ124" s="1117">
        <f t="shared" si="433"/>
        <v>0</v>
      </c>
      <c r="CK124" s="1117">
        <f t="shared" si="434"/>
        <v>0</v>
      </c>
      <c r="CL124" s="1117">
        <f t="shared" si="435"/>
        <v>0</v>
      </c>
      <c r="CM124" s="1118"/>
      <c r="CQ124" s="1116">
        <f t="shared" si="396"/>
        <v>0</v>
      </c>
      <c r="CR124" s="1117">
        <f t="shared" si="436"/>
        <v>0</v>
      </c>
      <c r="CS124" s="1117">
        <f t="shared" si="437"/>
        <v>0</v>
      </c>
      <c r="CT124" s="1117">
        <f t="shared" si="438"/>
        <v>0</v>
      </c>
      <c r="CU124" s="1118"/>
      <c r="CY124" s="1116">
        <f t="shared" si="397"/>
        <v>0</v>
      </c>
      <c r="CZ124" s="1117">
        <f t="shared" si="439"/>
        <v>0</v>
      </c>
      <c r="DA124" s="1117">
        <f t="shared" si="440"/>
        <v>0</v>
      </c>
      <c r="DB124" s="1117">
        <f t="shared" si="441"/>
        <v>0</v>
      </c>
      <c r="DC124" s="1118"/>
      <c r="DG124" s="1116">
        <f t="shared" si="398"/>
        <v>0</v>
      </c>
      <c r="DH124" s="1117">
        <f t="shared" si="442"/>
        <v>0</v>
      </c>
      <c r="DI124" s="1117">
        <f t="shared" si="443"/>
        <v>0</v>
      </c>
      <c r="DJ124" s="1117">
        <f t="shared" si="444"/>
        <v>0</v>
      </c>
      <c r="DK124" s="1118"/>
      <c r="DO124" s="1116">
        <f t="shared" si="399"/>
        <v>0</v>
      </c>
      <c r="DP124" s="1117">
        <f t="shared" si="445"/>
        <v>0</v>
      </c>
      <c r="DQ124" s="1117">
        <f t="shared" si="446"/>
        <v>0</v>
      </c>
      <c r="DR124" s="1117">
        <f t="shared" si="447"/>
        <v>0</v>
      </c>
      <c r="DS124" s="1118"/>
      <c r="DW124" s="1116">
        <f t="shared" si="400"/>
        <v>0</v>
      </c>
      <c r="DX124" s="1117">
        <f t="shared" si="448"/>
        <v>0</v>
      </c>
      <c r="DY124" s="1117">
        <f t="shared" si="449"/>
        <v>0</v>
      </c>
      <c r="DZ124" s="1117">
        <f t="shared" si="450"/>
        <v>0</v>
      </c>
      <c r="EA124" s="1118"/>
      <c r="EE124" s="1116">
        <f t="shared" si="401"/>
        <v>0</v>
      </c>
      <c r="EF124" s="1117">
        <f t="shared" si="451"/>
        <v>0</v>
      </c>
      <c r="EG124" s="1117">
        <f t="shared" si="452"/>
        <v>0</v>
      </c>
      <c r="EH124" s="1117">
        <f t="shared" si="453"/>
        <v>0</v>
      </c>
      <c r="EI124" s="1118"/>
      <c r="EM124" s="1116">
        <f t="shared" si="402"/>
        <v>0</v>
      </c>
      <c r="EN124" s="1117">
        <f t="shared" si="454"/>
        <v>0</v>
      </c>
      <c r="EO124" s="1117">
        <f t="shared" si="455"/>
        <v>0</v>
      </c>
      <c r="EP124" s="1117">
        <f t="shared" si="456"/>
        <v>0</v>
      </c>
      <c r="EQ124" s="1118"/>
      <c r="EU124" s="1116">
        <f t="shared" si="403"/>
        <v>0</v>
      </c>
      <c r="EV124" s="1117">
        <f t="shared" si="457"/>
        <v>0</v>
      </c>
      <c r="EW124" s="1117">
        <f t="shared" si="458"/>
        <v>0</v>
      </c>
      <c r="EX124" s="1117">
        <f t="shared" si="459"/>
        <v>0</v>
      </c>
      <c r="EY124" s="1118"/>
      <c r="FC124" s="1116">
        <f t="shared" si="404"/>
        <v>0</v>
      </c>
      <c r="FD124" s="1117">
        <f t="shared" si="460"/>
        <v>0</v>
      </c>
      <c r="FE124" s="1117">
        <f t="shared" si="461"/>
        <v>0</v>
      </c>
      <c r="FF124" s="1117">
        <f t="shared" si="462"/>
        <v>0</v>
      </c>
      <c r="FG124" s="1118"/>
      <c r="FK124" s="1116">
        <f t="shared" si="405"/>
        <v>0</v>
      </c>
      <c r="FL124" s="1117">
        <f t="shared" si="463"/>
        <v>0</v>
      </c>
      <c r="FM124" s="1117">
        <f t="shared" si="464"/>
        <v>0</v>
      </c>
      <c r="FN124" s="1117">
        <f t="shared" si="465"/>
        <v>0</v>
      </c>
      <c r="FO124" s="1118"/>
    </row>
    <row r="125" spans="1:171">
      <c r="A125" s="912"/>
      <c r="B125" s="79" t="s">
        <v>449</v>
      </c>
      <c r="C125" s="888" t="s">
        <v>78</v>
      </c>
      <c r="D125" s="888">
        <v>183.2</v>
      </c>
      <c r="E125" s="182" t="str">
        <f>'Sch 1- Rate Base '!E125</f>
        <v>DIST</v>
      </c>
      <c r="F125" s="889"/>
      <c r="G125" s="182">
        <f>'Sch 1- Rate Base '!G125</f>
        <v>0</v>
      </c>
      <c r="H125" s="182">
        <f>'Sch 1- Rate Base '!H125</f>
        <v>0</v>
      </c>
      <c r="I125" s="182">
        <f>'Sch 1- Rate Base '!I125</f>
        <v>0</v>
      </c>
      <c r="J125" s="183">
        <f>'Sch 1- Rate Base '!J125</f>
        <v>0</v>
      </c>
      <c r="K125" s="903">
        <f t="shared" si="385"/>
        <v>1</v>
      </c>
      <c r="O125" s="1116">
        <f t="shared" si="386"/>
        <v>0</v>
      </c>
      <c r="P125" s="1117">
        <f t="shared" si="406"/>
        <v>0</v>
      </c>
      <c r="Q125" s="1117">
        <f t="shared" si="407"/>
        <v>0</v>
      </c>
      <c r="R125" s="1117">
        <f t="shared" si="408"/>
        <v>0</v>
      </c>
      <c r="S125" s="1118"/>
      <c r="W125" s="1116">
        <f t="shared" si="387"/>
        <v>0</v>
      </c>
      <c r="X125" s="1117">
        <f t="shared" si="409"/>
        <v>0</v>
      </c>
      <c r="Y125" s="1117">
        <f t="shared" si="410"/>
        <v>0</v>
      </c>
      <c r="Z125" s="1117">
        <f t="shared" si="411"/>
        <v>0</v>
      </c>
      <c r="AA125" s="1118"/>
      <c r="AE125" s="1116">
        <f t="shared" si="388"/>
        <v>0</v>
      </c>
      <c r="AF125" s="1117">
        <f t="shared" si="412"/>
        <v>0</v>
      </c>
      <c r="AG125" s="1117">
        <f t="shared" si="413"/>
        <v>0</v>
      </c>
      <c r="AH125" s="1117">
        <f t="shared" si="414"/>
        <v>0</v>
      </c>
      <c r="AI125" s="1118"/>
      <c r="AM125" s="1116">
        <f t="shared" si="389"/>
        <v>0</v>
      </c>
      <c r="AN125" s="1117">
        <f t="shared" si="415"/>
        <v>0</v>
      </c>
      <c r="AO125" s="1117">
        <f t="shared" si="416"/>
        <v>0</v>
      </c>
      <c r="AP125" s="1117">
        <f t="shared" si="417"/>
        <v>0</v>
      </c>
      <c r="AQ125" s="1118"/>
      <c r="AU125" s="1116">
        <f t="shared" si="390"/>
        <v>0</v>
      </c>
      <c r="AV125" s="1117">
        <f t="shared" si="418"/>
        <v>0</v>
      </c>
      <c r="AW125" s="1117">
        <f t="shared" si="419"/>
        <v>0</v>
      </c>
      <c r="AX125" s="1117">
        <f t="shared" si="420"/>
        <v>0</v>
      </c>
      <c r="AY125" s="1118"/>
      <c r="BC125" s="1116">
        <f t="shared" si="391"/>
        <v>0</v>
      </c>
      <c r="BD125" s="1117">
        <f t="shared" si="421"/>
        <v>0</v>
      </c>
      <c r="BE125" s="1117">
        <f t="shared" si="422"/>
        <v>0</v>
      </c>
      <c r="BF125" s="1117">
        <f t="shared" si="423"/>
        <v>0</v>
      </c>
      <c r="BG125" s="1118"/>
      <c r="BK125" s="1116">
        <f t="shared" si="392"/>
        <v>0</v>
      </c>
      <c r="BL125" s="1117">
        <f t="shared" si="424"/>
        <v>0</v>
      </c>
      <c r="BM125" s="1117">
        <f t="shared" si="425"/>
        <v>0</v>
      </c>
      <c r="BN125" s="1117">
        <f t="shared" si="426"/>
        <v>0</v>
      </c>
      <c r="BO125" s="1118"/>
      <c r="BS125" s="1116">
        <f t="shared" si="393"/>
        <v>0</v>
      </c>
      <c r="BT125" s="1117">
        <f t="shared" si="427"/>
        <v>0</v>
      </c>
      <c r="BU125" s="1117">
        <f t="shared" si="428"/>
        <v>0</v>
      </c>
      <c r="BV125" s="1117">
        <f t="shared" si="429"/>
        <v>0</v>
      </c>
      <c r="BW125" s="1118"/>
      <c r="CA125" s="1116">
        <f t="shared" si="394"/>
        <v>0</v>
      </c>
      <c r="CB125" s="1117">
        <f t="shared" si="430"/>
        <v>0</v>
      </c>
      <c r="CC125" s="1117">
        <f t="shared" si="431"/>
        <v>0</v>
      </c>
      <c r="CD125" s="1117">
        <f t="shared" si="432"/>
        <v>0</v>
      </c>
      <c r="CE125" s="1118"/>
      <c r="CI125" s="1116">
        <f t="shared" si="395"/>
        <v>0</v>
      </c>
      <c r="CJ125" s="1117">
        <f t="shared" si="433"/>
        <v>0</v>
      </c>
      <c r="CK125" s="1117">
        <f t="shared" si="434"/>
        <v>0</v>
      </c>
      <c r="CL125" s="1117">
        <f t="shared" si="435"/>
        <v>0</v>
      </c>
      <c r="CM125" s="1118"/>
      <c r="CQ125" s="1116">
        <f t="shared" si="396"/>
        <v>0</v>
      </c>
      <c r="CR125" s="1117">
        <f t="shared" si="436"/>
        <v>0</v>
      </c>
      <c r="CS125" s="1117">
        <f t="shared" si="437"/>
        <v>0</v>
      </c>
      <c r="CT125" s="1117">
        <f t="shared" si="438"/>
        <v>0</v>
      </c>
      <c r="CU125" s="1118"/>
      <c r="CY125" s="1116">
        <f t="shared" si="397"/>
        <v>0</v>
      </c>
      <c r="CZ125" s="1117">
        <f t="shared" si="439"/>
        <v>0</v>
      </c>
      <c r="DA125" s="1117">
        <f t="shared" si="440"/>
        <v>0</v>
      </c>
      <c r="DB125" s="1117">
        <f t="shared" si="441"/>
        <v>0</v>
      </c>
      <c r="DC125" s="1118"/>
      <c r="DG125" s="1116">
        <f t="shared" si="398"/>
        <v>0</v>
      </c>
      <c r="DH125" s="1117">
        <f t="shared" si="442"/>
        <v>0</v>
      </c>
      <c r="DI125" s="1117">
        <f t="shared" si="443"/>
        <v>0</v>
      </c>
      <c r="DJ125" s="1117">
        <f t="shared" si="444"/>
        <v>0</v>
      </c>
      <c r="DK125" s="1118"/>
      <c r="DO125" s="1116">
        <f t="shared" si="399"/>
        <v>0</v>
      </c>
      <c r="DP125" s="1117">
        <f t="shared" si="445"/>
        <v>0</v>
      </c>
      <c r="DQ125" s="1117">
        <f t="shared" si="446"/>
        <v>0</v>
      </c>
      <c r="DR125" s="1117">
        <f t="shared" si="447"/>
        <v>0</v>
      </c>
      <c r="DS125" s="1118"/>
      <c r="DW125" s="1116">
        <f t="shared" si="400"/>
        <v>0</v>
      </c>
      <c r="DX125" s="1117">
        <f t="shared" si="448"/>
        <v>0</v>
      </c>
      <c r="DY125" s="1117">
        <f t="shared" si="449"/>
        <v>0</v>
      </c>
      <c r="DZ125" s="1117">
        <f t="shared" si="450"/>
        <v>0</v>
      </c>
      <c r="EA125" s="1118"/>
      <c r="EE125" s="1116">
        <f t="shared" si="401"/>
        <v>0</v>
      </c>
      <c r="EF125" s="1117">
        <f t="shared" si="451"/>
        <v>0</v>
      </c>
      <c r="EG125" s="1117">
        <f t="shared" si="452"/>
        <v>0</v>
      </c>
      <c r="EH125" s="1117">
        <f t="shared" si="453"/>
        <v>0</v>
      </c>
      <c r="EI125" s="1118"/>
      <c r="EM125" s="1116">
        <f t="shared" si="402"/>
        <v>0</v>
      </c>
      <c r="EN125" s="1117">
        <f t="shared" si="454"/>
        <v>0</v>
      </c>
      <c r="EO125" s="1117">
        <f t="shared" si="455"/>
        <v>0</v>
      </c>
      <c r="EP125" s="1117">
        <f t="shared" si="456"/>
        <v>0</v>
      </c>
      <c r="EQ125" s="1118"/>
      <c r="EU125" s="1116">
        <f t="shared" si="403"/>
        <v>0</v>
      </c>
      <c r="EV125" s="1117">
        <f t="shared" si="457"/>
        <v>0</v>
      </c>
      <c r="EW125" s="1117">
        <f t="shared" si="458"/>
        <v>0</v>
      </c>
      <c r="EX125" s="1117">
        <f t="shared" si="459"/>
        <v>0</v>
      </c>
      <c r="EY125" s="1118"/>
      <c r="FC125" s="1116">
        <f t="shared" si="404"/>
        <v>0</v>
      </c>
      <c r="FD125" s="1117">
        <f t="shared" si="460"/>
        <v>0</v>
      </c>
      <c r="FE125" s="1117">
        <f t="shared" si="461"/>
        <v>0</v>
      </c>
      <c r="FF125" s="1117">
        <f t="shared" si="462"/>
        <v>0</v>
      </c>
      <c r="FG125" s="1118"/>
      <c r="FK125" s="1116">
        <f t="shared" si="405"/>
        <v>0</v>
      </c>
      <c r="FL125" s="1117">
        <f t="shared" si="463"/>
        <v>0</v>
      </c>
      <c r="FM125" s="1117">
        <f t="shared" si="464"/>
        <v>0</v>
      </c>
      <c r="FN125" s="1117">
        <f t="shared" si="465"/>
        <v>0</v>
      </c>
      <c r="FO125" s="1118"/>
    </row>
    <row r="126" spans="1:171">
      <c r="A126" s="912"/>
      <c r="B126" s="79" t="s">
        <v>15</v>
      </c>
      <c r="C126" s="888" t="s">
        <v>78</v>
      </c>
      <c r="D126" s="888">
        <v>184</v>
      </c>
      <c r="E126" s="182" t="str">
        <f>'Sch 1- Rate Base '!E126</f>
        <v>DIST</v>
      </c>
      <c r="F126" s="889"/>
      <c r="G126" s="182">
        <f>'Sch 1- Rate Base '!G126</f>
        <v>858506.23</v>
      </c>
      <c r="H126" s="182">
        <f>'Sch 1- Rate Base '!H126</f>
        <v>0</v>
      </c>
      <c r="I126" s="182">
        <f>'Sch 1- Rate Base '!I126</f>
        <v>0</v>
      </c>
      <c r="J126" s="183">
        <f>'Sch 1- Rate Base '!J126</f>
        <v>858506.23</v>
      </c>
      <c r="K126" s="903">
        <f t="shared" si="385"/>
        <v>1</v>
      </c>
      <c r="O126" s="1116">
        <f t="shared" si="386"/>
        <v>858506.23</v>
      </c>
      <c r="P126" s="1117">
        <f t="shared" si="406"/>
        <v>0</v>
      </c>
      <c r="Q126" s="1117">
        <f t="shared" si="407"/>
        <v>0</v>
      </c>
      <c r="R126" s="1117">
        <f t="shared" si="408"/>
        <v>858506.23</v>
      </c>
      <c r="S126" s="1118"/>
      <c r="W126" s="1116">
        <f t="shared" si="387"/>
        <v>858506.23</v>
      </c>
      <c r="X126" s="1117">
        <f t="shared" si="409"/>
        <v>0</v>
      </c>
      <c r="Y126" s="1117">
        <f t="shared" si="410"/>
        <v>0</v>
      </c>
      <c r="Z126" s="1117">
        <f t="shared" si="411"/>
        <v>858506.23</v>
      </c>
      <c r="AA126" s="1118"/>
      <c r="AE126" s="1116">
        <f t="shared" si="388"/>
        <v>858506.23</v>
      </c>
      <c r="AF126" s="1117">
        <f t="shared" si="412"/>
        <v>0</v>
      </c>
      <c r="AG126" s="1117">
        <f t="shared" si="413"/>
        <v>0</v>
      </c>
      <c r="AH126" s="1117">
        <f t="shared" si="414"/>
        <v>858506.23</v>
      </c>
      <c r="AI126" s="1118"/>
      <c r="AM126" s="1116">
        <f t="shared" si="389"/>
        <v>858506.23</v>
      </c>
      <c r="AN126" s="1117">
        <f t="shared" si="415"/>
        <v>0</v>
      </c>
      <c r="AO126" s="1117">
        <f t="shared" si="416"/>
        <v>0</v>
      </c>
      <c r="AP126" s="1117">
        <f t="shared" si="417"/>
        <v>858506.23</v>
      </c>
      <c r="AQ126" s="1118"/>
      <c r="AU126" s="1116">
        <f t="shared" si="390"/>
        <v>858506.23</v>
      </c>
      <c r="AV126" s="1117">
        <f t="shared" si="418"/>
        <v>0</v>
      </c>
      <c r="AW126" s="1117">
        <f t="shared" si="419"/>
        <v>0</v>
      </c>
      <c r="AX126" s="1117">
        <f t="shared" si="420"/>
        <v>858506.23</v>
      </c>
      <c r="AY126" s="1118"/>
      <c r="BC126" s="1116">
        <f t="shared" si="391"/>
        <v>858506.23</v>
      </c>
      <c r="BD126" s="1117">
        <f t="shared" si="421"/>
        <v>0</v>
      </c>
      <c r="BE126" s="1117">
        <f t="shared" si="422"/>
        <v>0</v>
      </c>
      <c r="BF126" s="1117">
        <f t="shared" si="423"/>
        <v>858506.23</v>
      </c>
      <c r="BG126" s="1118"/>
      <c r="BK126" s="1116">
        <f t="shared" si="392"/>
        <v>858506.23</v>
      </c>
      <c r="BL126" s="1117">
        <f t="shared" si="424"/>
        <v>0</v>
      </c>
      <c r="BM126" s="1117">
        <f t="shared" si="425"/>
        <v>0</v>
      </c>
      <c r="BN126" s="1117">
        <f t="shared" si="426"/>
        <v>858506.23</v>
      </c>
      <c r="BO126" s="1118"/>
      <c r="BS126" s="1116">
        <f t="shared" si="393"/>
        <v>858506.23</v>
      </c>
      <c r="BT126" s="1117">
        <f t="shared" si="427"/>
        <v>0</v>
      </c>
      <c r="BU126" s="1117">
        <f t="shared" si="428"/>
        <v>0</v>
      </c>
      <c r="BV126" s="1117">
        <f t="shared" si="429"/>
        <v>858506.23</v>
      </c>
      <c r="BW126" s="1118"/>
      <c r="CA126" s="1116">
        <f t="shared" si="394"/>
        <v>858506.23</v>
      </c>
      <c r="CB126" s="1117">
        <f t="shared" si="430"/>
        <v>0</v>
      </c>
      <c r="CC126" s="1117">
        <f t="shared" si="431"/>
        <v>0</v>
      </c>
      <c r="CD126" s="1117">
        <f t="shared" si="432"/>
        <v>858506.23</v>
      </c>
      <c r="CE126" s="1118"/>
      <c r="CI126" s="1116">
        <f t="shared" si="395"/>
        <v>858506.23</v>
      </c>
      <c r="CJ126" s="1117">
        <f t="shared" si="433"/>
        <v>0</v>
      </c>
      <c r="CK126" s="1117">
        <f t="shared" si="434"/>
        <v>0</v>
      </c>
      <c r="CL126" s="1117">
        <f t="shared" si="435"/>
        <v>858506.23</v>
      </c>
      <c r="CM126" s="1118"/>
      <c r="CQ126" s="1116">
        <f t="shared" si="396"/>
        <v>858506.23</v>
      </c>
      <c r="CR126" s="1117">
        <f t="shared" si="436"/>
        <v>0</v>
      </c>
      <c r="CS126" s="1117">
        <f t="shared" si="437"/>
        <v>0</v>
      </c>
      <c r="CT126" s="1117">
        <f t="shared" si="438"/>
        <v>858506.23</v>
      </c>
      <c r="CU126" s="1118"/>
      <c r="CY126" s="1116">
        <f t="shared" si="397"/>
        <v>858506.23</v>
      </c>
      <c r="CZ126" s="1117">
        <f t="shared" si="439"/>
        <v>0</v>
      </c>
      <c r="DA126" s="1117">
        <f t="shared" si="440"/>
        <v>0</v>
      </c>
      <c r="DB126" s="1117">
        <f t="shared" si="441"/>
        <v>858506.23</v>
      </c>
      <c r="DC126" s="1118"/>
      <c r="DG126" s="1116">
        <f t="shared" si="398"/>
        <v>858506.23</v>
      </c>
      <c r="DH126" s="1117">
        <f t="shared" si="442"/>
        <v>0</v>
      </c>
      <c r="DI126" s="1117">
        <f t="shared" si="443"/>
        <v>0</v>
      </c>
      <c r="DJ126" s="1117">
        <f t="shared" si="444"/>
        <v>858506.23</v>
      </c>
      <c r="DK126" s="1118"/>
      <c r="DO126" s="1116">
        <f t="shared" si="399"/>
        <v>858506.23</v>
      </c>
      <c r="DP126" s="1117">
        <f t="shared" si="445"/>
        <v>0</v>
      </c>
      <c r="DQ126" s="1117">
        <f t="shared" si="446"/>
        <v>0</v>
      </c>
      <c r="DR126" s="1117">
        <f t="shared" si="447"/>
        <v>858506.23</v>
      </c>
      <c r="DS126" s="1118"/>
      <c r="DW126" s="1116">
        <f t="shared" si="400"/>
        <v>858506.23</v>
      </c>
      <c r="DX126" s="1117">
        <f t="shared" si="448"/>
        <v>0</v>
      </c>
      <c r="DY126" s="1117">
        <f t="shared" si="449"/>
        <v>0</v>
      </c>
      <c r="DZ126" s="1117">
        <f t="shared" si="450"/>
        <v>858506.23</v>
      </c>
      <c r="EA126" s="1118"/>
      <c r="EE126" s="1116">
        <f t="shared" si="401"/>
        <v>858506.23</v>
      </c>
      <c r="EF126" s="1117">
        <f t="shared" si="451"/>
        <v>0</v>
      </c>
      <c r="EG126" s="1117">
        <f t="shared" si="452"/>
        <v>0</v>
      </c>
      <c r="EH126" s="1117">
        <f t="shared" si="453"/>
        <v>858506.23</v>
      </c>
      <c r="EI126" s="1118"/>
      <c r="EM126" s="1116">
        <f t="shared" si="402"/>
        <v>858506.23</v>
      </c>
      <c r="EN126" s="1117">
        <f t="shared" si="454"/>
        <v>0</v>
      </c>
      <c r="EO126" s="1117">
        <f t="shared" si="455"/>
        <v>0</v>
      </c>
      <c r="EP126" s="1117">
        <f t="shared" si="456"/>
        <v>858506.23</v>
      </c>
      <c r="EQ126" s="1118"/>
      <c r="EU126" s="1116">
        <f t="shared" si="403"/>
        <v>858506.23</v>
      </c>
      <c r="EV126" s="1117">
        <f t="shared" si="457"/>
        <v>0</v>
      </c>
      <c r="EW126" s="1117">
        <f t="shared" si="458"/>
        <v>0</v>
      </c>
      <c r="EX126" s="1117">
        <f t="shared" si="459"/>
        <v>858506.23</v>
      </c>
      <c r="EY126" s="1118"/>
      <c r="FC126" s="1116">
        <f t="shared" si="404"/>
        <v>858506.23</v>
      </c>
      <c r="FD126" s="1117">
        <f t="shared" si="460"/>
        <v>0</v>
      </c>
      <c r="FE126" s="1117">
        <f t="shared" si="461"/>
        <v>0</v>
      </c>
      <c r="FF126" s="1117">
        <f t="shared" si="462"/>
        <v>858506.23</v>
      </c>
      <c r="FG126" s="1118"/>
      <c r="FK126" s="1116">
        <f t="shared" si="405"/>
        <v>858506.23</v>
      </c>
      <c r="FL126" s="1117">
        <f t="shared" si="463"/>
        <v>0</v>
      </c>
      <c r="FM126" s="1117">
        <f t="shared" si="464"/>
        <v>0</v>
      </c>
      <c r="FN126" s="1117">
        <f t="shared" si="465"/>
        <v>858506.23</v>
      </c>
      <c r="FO126" s="1118"/>
    </row>
    <row r="127" spans="1:171">
      <c r="A127" s="912"/>
      <c r="B127" s="79" t="s">
        <v>16</v>
      </c>
      <c r="C127" s="888" t="s">
        <v>78</v>
      </c>
      <c r="D127" s="888">
        <v>185</v>
      </c>
      <c r="E127" s="182" t="str">
        <f>'Sch 1- Rate Base '!E127</f>
        <v>PTDG</v>
      </c>
      <c r="F127" s="889"/>
      <c r="G127" s="182">
        <f>'Sch 1- Rate Base '!G127</f>
        <v>0</v>
      </c>
      <c r="H127" s="182">
        <f>'Sch 1- Rate Base '!H127</f>
        <v>0</v>
      </c>
      <c r="I127" s="182">
        <f>'Sch 1- Rate Base '!I127</f>
        <v>0</v>
      </c>
      <c r="J127" s="183">
        <f>'Sch 1- Rate Base '!J127</f>
        <v>0</v>
      </c>
      <c r="K127" s="903">
        <f t="shared" si="385"/>
        <v>1</v>
      </c>
      <c r="O127" s="1116">
        <f t="shared" si="386"/>
        <v>0</v>
      </c>
      <c r="P127" s="1117">
        <f t="shared" si="406"/>
        <v>0</v>
      </c>
      <c r="Q127" s="1117">
        <f t="shared" si="407"/>
        <v>0</v>
      </c>
      <c r="R127" s="1117">
        <f t="shared" si="408"/>
        <v>0</v>
      </c>
      <c r="S127" s="1118"/>
      <c r="W127" s="1116">
        <f t="shared" si="387"/>
        <v>0</v>
      </c>
      <c r="X127" s="1117">
        <f t="shared" si="409"/>
        <v>0</v>
      </c>
      <c r="Y127" s="1117">
        <f t="shared" si="410"/>
        <v>0</v>
      </c>
      <c r="Z127" s="1117">
        <f t="shared" si="411"/>
        <v>0</v>
      </c>
      <c r="AA127" s="1118"/>
      <c r="AE127" s="1116">
        <f t="shared" si="388"/>
        <v>0</v>
      </c>
      <c r="AF127" s="1117">
        <f t="shared" si="412"/>
        <v>0</v>
      </c>
      <c r="AG127" s="1117">
        <f t="shared" si="413"/>
        <v>0</v>
      </c>
      <c r="AH127" s="1117">
        <f t="shared" si="414"/>
        <v>0</v>
      </c>
      <c r="AI127" s="1118"/>
      <c r="AM127" s="1116">
        <f t="shared" si="389"/>
        <v>0</v>
      </c>
      <c r="AN127" s="1117">
        <f t="shared" si="415"/>
        <v>0</v>
      </c>
      <c r="AO127" s="1117">
        <f t="shared" si="416"/>
        <v>0</v>
      </c>
      <c r="AP127" s="1117">
        <f t="shared" si="417"/>
        <v>0</v>
      </c>
      <c r="AQ127" s="1118"/>
      <c r="AU127" s="1116">
        <f t="shared" si="390"/>
        <v>0</v>
      </c>
      <c r="AV127" s="1117">
        <f t="shared" si="418"/>
        <v>0</v>
      </c>
      <c r="AW127" s="1117">
        <f t="shared" si="419"/>
        <v>0</v>
      </c>
      <c r="AX127" s="1117">
        <f t="shared" si="420"/>
        <v>0</v>
      </c>
      <c r="AY127" s="1118"/>
      <c r="BC127" s="1116">
        <f t="shared" si="391"/>
        <v>0</v>
      </c>
      <c r="BD127" s="1117">
        <f t="shared" si="421"/>
        <v>0</v>
      </c>
      <c r="BE127" s="1117">
        <f t="shared" si="422"/>
        <v>0</v>
      </c>
      <c r="BF127" s="1117">
        <f t="shared" si="423"/>
        <v>0</v>
      </c>
      <c r="BG127" s="1118"/>
      <c r="BK127" s="1116">
        <f t="shared" si="392"/>
        <v>0</v>
      </c>
      <c r="BL127" s="1117">
        <f t="shared" si="424"/>
        <v>0</v>
      </c>
      <c r="BM127" s="1117">
        <f t="shared" si="425"/>
        <v>0</v>
      </c>
      <c r="BN127" s="1117">
        <f t="shared" si="426"/>
        <v>0</v>
      </c>
      <c r="BO127" s="1118"/>
      <c r="BS127" s="1116">
        <f t="shared" si="393"/>
        <v>0</v>
      </c>
      <c r="BT127" s="1117">
        <f t="shared" si="427"/>
        <v>0</v>
      </c>
      <c r="BU127" s="1117">
        <f t="shared" si="428"/>
        <v>0</v>
      </c>
      <c r="BV127" s="1117">
        <f t="shared" si="429"/>
        <v>0</v>
      </c>
      <c r="BW127" s="1118"/>
      <c r="CA127" s="1116">
        <f t="shared" si="394"/>
        <v>0</v>
      </c>
      <c r="CB127" s="1117">
        <f t="shared" si="430"/>
        <v>0</v>
      </c>
      <c r="CC127" s="1117">
        <f t="shared" si="431"/>
        <v>0</v>
      </c>
      <c r="CD127" s="1117">
        <f t="shared" si="432"/>
        <v>0</v>
      </c>
      <c r="CE127" s="1118"/>
      <c r="CI127" s="1116">
        <f t="shared" si="395"/>
        <v>0</v>
      </c>
      <c r="CJ127" s="1117">
        <f t="shared" si="433"/>
        <v>0</v>
      </c>
      <c r="CK127" s="1117">
        <f t="shared" si="434"/>
        <v>0</v>
      </c>
      <c r="CL127" s="1117">
        <f t="shared" si="435"/>
        <v>0</v>
      </c>
      <c r="CM127" s="1118"/>
      <c r="CQ127" s="1116">
        <f t="shared" si="396"/>
        <v>0</v>
      </c>
      <c r="CR127" s="1117">
        <f t="shared" si="436"/>
        <v>0</v>
      </c>
      <c r="CS127" s="1117">
        <f t="shared" si="437"/>
        <v>0</v>
      </c>
      <c r="CT127" s="1117">
        <f t="shared" si="438"/>
        <v>0</v>
      </c>
      <c r="CU127" s="1118"/>
      <c r="CY127" s="1116">
        <f t="shared" si="397"/>
        <v>0</v>
      </c>
      <c r="CZ127" s="1117">
        <f t="shared" si="439"/>
        <v>0</v>
      </c>
      <c r="DA127" s="1117">
        <f t="shared" si="440"/>
        <v>0</v>
      </c>
      <c r="DB127" s="1117">
        <f t="shared" si="441"/>
        <v>0</v>
      </c>
      <c r="DC127" s="1118"/>
      <c r="DG127" s="1116">
        <f t="shared" si="398"/>
        <v>0</v>
      </c>
      <c r="DH127" s="1117">
        <f t="shared" si="442"/>
        <v>0</v>
      </c>
      <c r="DI127" s="1117">
        <f t="shared" si="443"/>
        <v>0</v>
      </c>
      <c r="DJ127" s="1117">
        <f t="shared" si="444"/>
        <v>0</v>
      </c>
      <c r="DK127" s="1118"/>
      <c r="DO127" s="1116">
        <f t="shared" si="399"/>
        <v>0</v>
      </c>
      <c r="DP127" s="1117">
        <f t="shared" si="445"/>
        <v>0</v>
      </c>
      <c r="DQ127" s="1117">
        <f t="shared" si="446"/>
        <v>0</v>
      </c>
      <c r="DR127" s="1117">
        <f t="shared" si="447"/>
        <v>0</v>
      </c>
      <c r="DS127" s="1118"/>
      <c r="DW127" s="1116">
        <f t="shared" si="400"/>
        <v>0</v>
      </c>
      <c r="DX127" s="1117">
        <f t="shared" si="448"/>
        <v>0</v>
      </c>
      <c r="DY127" s="1117">
        <f t="shared" si="449"/>
        <v>0</v>
      </c>
      <c r="DZ127" s="1117">
        <f t="shared" si="450"/>
        <v>0</v>
      </c>
      <c r="EA127" s="1118"/>
      <c r="EE127" s="1116">
        <f t="shared" si="401"/>
        <v>0</v>
      </c>
      <c r="EF127" s="1117">
        <f t="shared" si="451"/>
        <v>0</v>
      </c>
      <c r="EG127" s="1117">
        <f t="shared" si="452"/>
        <v>0</v>
      </c>
      <c r="EH127" s="1117">
        <f t="shared" si="453"/>
        <v>0</v>
      </c>
      <c r="EI127" s="1118"/>
      <c r="EM127" s="1116">
        <f t="shared" si="402"/>
        <v>0</v>
      </c>
      <c r="EN127" s="1117">
        <f t="shared" si="454"/>
        <v>0</v>
      </c>
      <c r="EO127" s="1117">
        <f t="shared" si="455"/>
        <v>0</v>
      </c>
      <c r="EP127" s="1117">
        <f t="shared" si="456"/>
        <v>0</v>
      </c>
      <c r="EQ127" s="1118"/>
      <c r="EU127" s="1116">
        <f t="shared" si="403"/>
        <v>0</v>
      </c>
      <c r="EV127" s="1117">
        <f t="shared" si="457"/>
        <v>0</v>
      </c>
      <c r="EW127" s="1117">
        <f t="shared" si="458"/>
        <v>0</v>
      </c>
      <c r="EX127" s="1117">
        <f t="shared" si="459"/>
        <v>0</v>
      </c>
      <c r="EY127" s="1118"/>
      <c r="FC127" s="1116">
        <f t="shared" si="404"/>
        <v>0</v>
      </c>
      <c r="FD127" s="1117">
        <f t="shared" si="460"/>
        <v>0</v>
      </c>
      <c r="FE127" s="1117">
        <f t="shared" si="461"/>
        <v>0</v>
      </c>
      <c r="FF127" s="1117">
        <f t="shared" si="462"/>
        <v>0</v>
      </c>
      <c r="FG127" s="1118"/>
      <c r="FK127" s="1116">
        <f t="shared" si="405"/>
        <v>0</v>
      </c>
      <c r="FL127" s="1117">
        <f t="shared" si="463"/>
        <v>0</v>
      </c>
      <c r="FM127" s="1117">
        <f t="shared" si="464"/>
        <v>0</v>
      </c>
      <c r="FN127" s="1117">
        <f t="shared" si="465"/>
        <v>0</v>
      </c>
      <c r="FO127" s="1118"/>
    </row>
    <row r="128" spans="1:171">
      <c r="A128" s="912"/>
      <c r="B128" s="79" t="s">
        <v>17</v>
      </c>
      <c r="C128" s="888" t="s">
        <v>78</v>
      </c>
      <c r="D128" s="888">
        <v>186</v>
      </c>
      <c r="E128" s="182" t="str">
        <f>'Sch 1- Rate Base '!E128</f>
        <v>DIRECT</v>
      </c>
      <c r="F128" s="889"/>
      <c r="G128" s="182">
        <f>'Sch 1- Rate Base '!G128</f>
        <v>87517903.719999999</v>
      </c>
      <c r="H128" s="182">
        <f>'Sch 1- Rate Base '!H128</f>
        <v>744171.25</v>
      </c>
      <c r="I128" s="182">
        <f>'Sch 1- Rate Base '!I128</f>
        <v>0</v>
      </c>
      <c r="J128" s="183">
        <f>'Sch 1- Rate Base '!J128</f>
        <v>86773731.969999999</v>
      </c>
      <c r="K128" s="903">
        <f t="shared" si="385"/>
        <v>0</v>
      </c>
      <c r="O128" s="1116">
        <f t="shared" si="386"/>
        <v>87517903.719999999</v>
      </c>
      <c r="P128" s="1117">
        <f t="shared" si="406"/>
        <v>744171.25</v>
      </c>
      <c r="Q128" s="1117">
        <f t="shared" si="407"/>
        <v>0</v>
      </c>
      <c r="R128" s="1117">
        <f t="shared" si="408"/>
        <v>86773732.469999999</v>
      </c>
      <c r="S128" s="1118"/>
      <c r="W128" s="1116">
        <f t="shared" si="387"/>
        <v>87517903.719999999</v>
      </c>
      <c r="X128" s="1117">
        <f t="shared" si="409"/>
        <v>744171.25</v>
      </c>
      <c r="Y128" s="1117">
        <f t="shared" si="410"/>
        <v>0</v>
      </c>
      <c r="Z128" s="1117">
        <f t="shared" si="411"/>
        <v>86773732.469999999</v>
      </c>
      <c r="AA128" s="1118"/>
      <c r="AE128" s="1116">
        <f t="shared" si="388"/>
        <v>87517903.719999999</v>
      </c>
      <c r="AF128" s="1117">
        <f t="shared" si="412"/>
        <v>744171.25</v>
      </c>
      <c r="AG128" s="1117">
        <f t="shared" si="413"/>
        <v>0</v>
      </c>
      <c r="AH128" s="1117">
        <f t="shared" si="414"/>
        <v>86773732.469999999</v>
      </c>
      <c r="AI128" s="1118"/>
      <c r="AM128" s="1116">
        <f t="shared" si="389"/>
        <v>87517903.719999999</v>
      </c>
      <c r="AN128" s="1117">
        <f t="shared" si="415"/>
        <v>744171.25</v>
      </c>
      <c r="AO128" s="1117">
        <f t="shared" si="416"/>
        <v>0</v>
      </c>
      <c r="AP128" s="1117">
        <f t="shared" si="417"/>
        <v>86773732.469999999</v>
      </c>
      <c r="AQ128" s="1118"/>
      <c r="AU128" s="1116">
        <f t="shared" si="390"/>
        <v>87517903.719999999</v>
      </c>
      <c r="AV128" s="1117">
        <f t="shared" si="418"/>
        <v>744171.25</v>
      </c>
      <c r="AW128" s="1117">
        <f t="shared" si="419"/>
        <v>0</v>
      </c>
      <c r="AX128" s="1117">
        <f t="shared" si="420"/>
        <v>86773732.469999999</v>
      </c>
      <c r="AY128" s="1118"/>
      <c r="BC128" s="1116">
        <f t="shared" si="391"/>
        <v>87517903.719999999</v>
      </c>
      <c r="BD128" s="1117">
        <f t="shared" si="421"/>
        <v>744171.25</v>
      </c>
      <c r="BE128" s="1117">
        <f t="shared" si="422"/>
        <v>0</v>
      </c>
      <c r="BF128" s="1117">
        <f t="shared" si="423"/>
        <v>86773732.469999999</v>
      </c>
      <c r="BG128" s="1118"/>
      <c r="BK128" s="1116">
        <f t="shared" si="392"/>
        <v>87517903.719999999</v>
      </c>
      <c r="BL128" s="1117">
        <f t="shared" si="424"/>
        <v>744171.25</v>
      </c>
      <c r="BM128" s="1117">
        <f t="shared" si="425"/>
        <v>0</v>
      </c>
      <c r="BN128" s="1117">
        <f t="shared" si="426"/>
        <v>86773732.469999999</v>
      </c>
      <c r="BO128" s="1118"/>
      <c r="BS128" s="1116">
        <f t="shared" si="393"/>
        <v>87517903.719999999</v>
      </c>
      <c r="BT128" s="1117">
        <f t="shared" si="427"/>
        <v>744171.25</v>
      </c>
      <c r="BU128" s="1117">
        <f t="shared" si="428"/>
        <v>0</v>
      </c>
      <c r="BV128" s="1117">
        <f t="shared" si="429"/>
        <v>86773732.469999999</v>
      </c>
      <c r="BW128" s="1118"/>
      <c r="CA128" s="1116">
        <f t="shared" si="394"/>
        <v>87517903.719999999</v>
      </c>
      <c r="CB128" s="1117">
        <f t="shared" si="430"/>
        <v>744171.25</v>
      </c>
      <c r="CC128" s="1117">
        <f t="shared" si="431"/>
        <v>0</v>
      </c>
      <c r="CD128" s="1117">
        <f t="shared" si="432"/>
        <v>86773732.469999999</v>
      </c>
      <c r="CE128" s="1118"/>
      <c r="CI128" s="1116">
        <f t="shared" si="395"/>
        <v>87517903.719999999</v>
      </c>
      <c r="CJ128" s="1117">
        <f t="shared" si="433"/>
        <v>744171.25</v>
      </c>
      <c r="CK128" s="1117">
        <f t="shared" si="434"/>
        <v>0</v>
      </c>
      <c r="CL128" s="1117">
        <f t="shared" si="435"/>
        <v>86773732.469999999</v>
      </c>
      <c r="CM128" s="1118"/>
      <c r="CQ128" s="1116">
        <f t="shared" si="396"/>
        <v>87517903.719999999</v>
      </c>
      <c r="CR128" s="1117">
        <f t="shared" si="436"/>
        <v>744171.25</v>
      </c>
      <c r="CS128" s="1117">
        <f t="shared" si="437"/>
        <v>0</v>
      </c>
      <c r="CT128" s="1117">
        <f t="shared" si="438"/>
        <v>86773732.469999999</v>
      </c>
      <c r="CU128" s="1118"/>
      <c r="CY128" s="1116">
        <f t="shared" si="397"/>
        <v>87517903.719999999</v>
      </c>
      <c r="CZ128" s="1117">
        <f t="shared" si="439"/>
        <v>744171.25</v>
      </c>
      <c r="DA128" s="1117">
        <f t="shared" si="440"/>
        <v>0</v>
      </c>
      <c r="DB128" s="1117">
        <f t="shared" si="441"/>
        <v>86773732.469999999</v>
      </c>
      <c r="DC128" s="1118"/>
      <c r="DG128" s="1116">
        <f t="shared" si="398"/>
        <v>87517903.719999999</v>
      </c>
      <c r="DH128" s="1117">
        <f t="shared" si="442"/>
        <v>744171.25</v>
      </c>
      <c r="DI128" s="1117">
        <f t="shared" si="443"/>
        <v>0</v>
      </c>
      <c r="DJ128" s="1117">
        <f t="shared" si="444"/>
        <v>86773732.469999999</v>
      </c>
      <c r="DK128" s="1118"/>
      <c r="DO128" s="1116">
        <f t="shared" si="399"/>
        <v>87517903.719999999</v>
      </c>
      <c r="DP128" s="1117">
        <f t="shared" si="445"/>
        <v>744171.25</v>
      </c>
      <c r="DQ128" s="1117">
        <f t="shared" si="446"/>
        <v>0</v>
      </c>
      <c r="DR128" s="1117">
        <f t="shared" si="447"/>
        <v>86773732.469999999</v>
      </c>
      <c r="DS128" s="1118"/>
      <c r="DW128" s="1116">
        <f t="shared" si="400"/>
        <v>87517903.719999999</v>
      </c>
      <c r="DX128" s="1117">
        <f t="shared" si="448"/>
        <v>744171.25</v>
      </c>
      <c r="DY128" s="1117">
        <f t="shared" si="449"/>
        <v>0</v>
      </c>
      <c r="DZ128" s="1117">
        <f t="shared" si="450"/>
        <v>86773732.469999999</v>
      </c>
      <c r="EA128" s="1118"/>
      <c r="EE128" s="1116">
        <f t="shared" si="401"/>
        <v>87517903.719999999</v>
      </c>
      <c r="EF128" s="1117">
        <f t="shared" si="451"/>
        <v>744171.25</v>
      </c>
      <c r="EG128" s="1117">
        <f t="shared" si="452"/>
        <v>0</v>
      </c>
      <c r="EH128" s="1117">
        <f t="shared" si="453"/>
        <v>86773732.469999999</v>
      </c>
      <c r="EI128" s="1118"/>
      <c r="EM128" s="1116">
        <f t="shared" si="402"/>
        <v>87517903.719999999</v>
      </c>
      <c r="EN128" s="1117">
        <f t="shared" si="454"/>
        <v>744171.25</v>
      </c>
      <c r="EO128" s="1117">
        <f t="shared" si="455"/>
        <v>0</v>
      </c>
      <c r="EP128" s="1117">
        <f t="shared" si="456"/>
        <v>86773732.469999999</v>
      </c>
      <c r="EQ128" s="1118"/>
      <c r="EU128" s="1116">
        <f t="shared" si="403"/>
        <v>87517903.719999999</v>
      </c>
      <c r="EV128" s="1117">
        <f t="shared" si="457"/>
        <v>744171.25</v>
      </c>
      <c r="EW128" s="1117">
        <f t="shared" si="458"/>
        <v>0</v>
      </c>
      <c r="EX128" s="1117">
        <f t="shared" si="459"/>
        <v>86773732.469999999</v>
      </c>
      <c r="EY128" s="1118"/>
      <c r="FC128" s="1116">
        <f t="shared" si="404"/>
        <v>87517903.719999999</v>
      </c>
      <c r="FD128" s="1117">
        <f t="shared" si="460"/>
        <v>744171.25</v>
      </c>
      <c r="FE128" s="1117">
        <f t="shared" si="461"/>
        <v>0</v>
      </c>
      <c r="FF128" s="1117">
        <f t="shared" si="462"/>
        <v>86773732.469999999</v>
      </c>
      <c r="FG128" s="1118"/>
      <c r="FK128" s="1116">
        <f t="shared" si="405"/>
        <v>87517903.719999999</v>
      </c>
      <c r="FL128" s="1117">
        <f t="shared" si="463"/>
        <v>744171.25</v>
      </c>
      <c r="FM128" s="1117">
        <f t="shared" si="464"/>
        <v>0</v>
      </c>
      <c r="FN128" s="1117">
        <f t="shared" si="465"/>
        <v>86773732.469999999</v>
      </c>
      <c r="FO128" s="1118"/>
    </row>
    <row r="129" spans="1:171">
      <c r="A129" s="912"/>
      <c r="B129" s="79" t="s">
        <v>18</v>
      </c>
      <c r="C129" s="888" t="s">
        <v>78</v>
      </c>
      <c r="D129" s="888">
        <v>187</v>
      </c>
      <c r="E129" s="182" t="str">
        <f>'Sch 1- Rate Base '!E129</f>
        <v>DIRECT</v>
      </c>
      <c r="F129" s="889"/>
      <c r="G129" s="182">
        <f>'Sch 1- Rate Base '!G129</f>
        <v>0</v>
      </c>
      <c r="H129" s="182">
        <f>'Sch 1- Rate Base '!H129</f>
        <v>0</v>
      </c>
      <c r="I129" s="182">
        <f>'Sch 1- Rate Base '!I129</f>
        <v>0</v>
      </c>
      <c r="J129" s="183">
        <f>'Sch 1- Rate Base '!J129</f>
        <v>0</v>
      </c>
      <c r="K129" s="903">
        <f t="shared" si="385"/>
        <v>0</v>
      </c>
      <c r="O129" s="1116">
        <f t="shared" si="386"/>
        <v>0</v>
      </c>
      <c r="P129" s="1117">
        <f t="shared" si="406"/>
        <v>0</v>
      </c>
      <c r="Q129" s="1117">
        <f t="shared" si="407"/>
        <v>0</v>
      </c>
      <c r="R129" s="1117">
        <f t="shared" si="408"/>
        <v>0</v>
      </c>
      <c r="S129" s="1118"/>
      <c r="W129" s="1116">
        <f t="shared" si="387"/>
        <v>0</v>
      </c>
      <c r="X129" s="1117">
        <f t="shared" si="409"/>
        <v>0</v>
      </c>
      <c r="Y129" s="1117">
        <f t="shared" si="410"/>
        <v>0</v>
      </c>
      <c r="Z129" s="1117">
        <f t="shared" si="411"/>
        <v>0</v>
      </c>
      <c r="AA129" s="1118"/>
      <c r="AE129" s="1116">
        <f t="shared" si="388"/>
        <v>0</v>
      </c>
      <c r="AF129" s="1117">
        <f t="shared" si="412"/>
        <v>0</v>
      </c>
      <c r="AG129" s="1117">
        <f t="shared" si="413"/>
        <v>0</v>
      </c>
      <c r="AH129" s="1117">
        <f t="shared" si="414"/>
        <v>0</v>
      </c>
      <c r="AI129" s="1118"/>
      <c r="AM129" s="1116">
        <f t="shared" si="389"/>
        <v>0</v>
      </c>
      <c r="AN129" s="1117">
        <f t="shared" si="415"/>
        <v>0</v>
      </c>
      <c r="AO129" s="1117">
        <f t="shared" si="416"/>
        <v>0</v>
      </c>
      <c r="AP129" s="1117">
        <f t="shared" si="417"/>
        <v>0</v>
      </c>
      <c r="AQ129" s="1118"/>
      <c r="AU129" s="1116">
        <f t="shared" si="390"/>
        <v>0</v>
      </c>
      <c r="AV129" s="1117">
        <f t="shared" si="418"/>
        <v>0</v>
      </c>
      <c r="AW129" s="1117">
        <f t="shared" si="419"/>
        <v>0</v>
      </c>
      <c r="AX129" s="1117">
        <f t="shared" si="420"/>
        <v>0</v>
      </c>
      <c r="AY129" s="1118"/>
      <c r="BC129" s="1116">
        <f t="shared" si="391"/>
        <v>0</v>
      </c>
      <c r="BD129" s="1117">
        <f t="shared" si="421"/>
        <v>0</v>
      </c>
      <c r="BE129" s="1117">
        <f t="shared" si="422"/>
        <v>0</v>
      </c>
      <c r="BF129" s="1117">
        <f t="shared" si="423"/>
        <v>0</v>
      </c>
      <c r="BG129" s="1118"/>
      <c r="BK129" s="1116">
        <f t="shared" si="392"/>
        <v>0</v>
      </c>
      <c r="BL129" s="1117">
        <f t="shared" si="424"/>
        <v>0</v>
      </c>
      <c r="BM129" s="1117">
        <f t="shared" si="425"/>
        <v>0</v>
      </c>
      <c r="BN129" s="1117">
        <f t="shared" si="426"/>
        <v>0</v>
      </c>
      <c r="BO129" s="1118"/>
      <c r="BS129" s="1116">
        <f t="shared" si="393"/>
        <v>0</v>
      </c>
      <c r="BT129" s="1117">
        <f t="shared" si="427"/>
        <v>0</v>
      </c>
      <c r="BU129" s="1117">
        <f t="shared" si="428"/>
        <v>0</v>
      </c>
      <c r="BV129" s="1117">
        <f t="shared" si="429"/>
        <v>0</v>
      </c>
      <c r="BW129" s="1118"/>
      <c r="CA129" s="1116">
        <f t="shared" si="394"/>
        <v>0</v>
      </c>
      <c r="CB129" s="1117">
        <f t="shared" si="430"/>
        <v>0</v>
      </c>
      <c r="CC129" s="1117">
        <f t="shared" si="431"/>
        <v>0</v>
      </c>
      <c r="CD129" s="1117">
        <f t="shared" si="432"/>
        <v>0</v>
      </c>
      <c r="CE129" s="1118"/>
      <c r="CI129" s="1116">
        <f t="shared" si="395"/>
        <v>0</v>
      </c>
      <c r="CJ129" s="1117">
        <f t="shared" si="433"/>
        <v>0</v>
      </c>
      <c r="CK129" s="1117">
        <f t="shared" si="434"/>
        <v>0</v>
      </c>
      <c r="CL129" s="1117">
        <f t="shared" si="435"/>
        <v>0</v>
      </c>
      <c r="CM129" s="1118"/>
      <c r="CQ129" s="1116">
        <f t="shared" si="396"/>
        <v>0</v>
      </c>
      <c r="CR129" s="1117">
        <f t="shared" si="436"/>
        <v>0</v>
      </c>
      <c r="CS129" s="1117">
        <f t="shared" si="437"/>
        <v>0</v>
      </c>
      <c r="CT129" s="1117">
        <f t="shared" si="438"/>
        <v>0</v>
      </c>
      <c r="CU129" s="1118"/>
      <c r="CY129" s="1116">
        <f t="shared" si="397"/>
        <v>0</v>
      </c>
      <c r="CZ129" s="1117">
        <f t="shared" si="439"/>
        <v>0</v>
      </c>
      <c r="DA129" s="1117">
        <f t="shared" si="440"/>
        <v>0</v>
      </c>
      <c r="DB129" s="1117">
        <f t="shared" si="441"/>
        <v>0</v>
      </c>
      <c r="DC129" s="1118"/>
      <c r="DG129" s="1116">
        <f t="shared" si="398"/>
        <v>0</v>
      </c>
      <c r="DH129" s="1117">
        <f t="shared" si="442"/>
        <v>0</v>
      </c>
      <c r="DI129" s="1117">
        <f t="shared" si="443"/>
        <v>0</v>
      </c>
      <c r="DJ129" s="1117">
        <f t="shared" si="444"/>
        <v>0</v>
      </c>
      <c r="DK129" s="1118"/>
      <c r="DO129" s="1116">
        <f t="shared" si="399"/>
        <v>0</v>
      </c>
      <c r="DP129" s="1117">
        <f t="shared" si="445"/>
        <v>0</v>
      </c>
      <c r="DQ129" s="1117">
        <f t="shared" si="446"/>
        <v>0</v>
      </c>
      <c r="DR129" s="1117">
        <f t="shared" si="447"/>
        <v>0</v>
      </c>
      <c r="DS129" s="1118"/>
      <c r="DW129" s="1116">
        <f t="shared" si="400"/>
        <v>0</v>
      </c>
      <c r="DX129" s="1117">
        <f t="shared" si="448"/>
        <v>0</v>
      </c>
      <c r="DY129" s="1117">
        <f t="shared" si="449"/>
        <v>0</v>
      </c>
      <c r="DZ129" s="1117">
        <f t="shared" si="450"/>
        <v>0</v>
      </c>
      <c r="EA129" s="1118"/>
      <c r="EE129" s="1116">
        <f t="shared" si="401"/>
        <v>0</v>
      </c>
      <c r="EF129" s="1117">
        <f t="shared" si="451"/>
        <v>0</v>
      </c>
      <c r="EG129" s="1117">
        <f t="shared" si="452"/>
        <v>0</v>
      </c>
      <c r="EH129" s="1117">
        <f t="shared" si="453"/>
        <v>0</v>
      </c>
      <c r="EI129" s="1118"/>
      <c r="EM129" s="1116">
        <f t="shared" si="402"/>
        <v>0</v>
      </c>
      <c r="EN129" s="1117">
        <f t="shared" si="454"/>
        <v>0</v>
      </c>
      <c r="EO129" s="1117">
        <f t="shared" si="455"/>
        <v>0</v>
      </c>
      <c r="EP129" s="1117">
        <f t="shared" si="456"/>
        <v>0</v>
      </c>
      <c r="EQ129" s="1118"/>
      <c r="EU129" s="1116">
        <f t="shared" si="403"/>
        <v>0</v>
      </c>
      <c r="EV129" s="1117">
        <f t="shared" si="457"/>
        <v>0</v>
      </c>
      <c r="EW129" s="1117">
        <f t="shared" si="458"/>
        <v>0</v>
      </c>
      <c r="EX129" s="1117">
        <f t="shared" si="459"/>
        <v>0</v>
      </c>
      <c r="EY129" s="1118"/>
      <c r="FC129" s="1116">
        <f t="shared" si="404"/>
        <v>0</v>
      </c>
      <c r="FD129" s="1117">
        <f t="shared" si="460"/>
        <v>0</v>
      </c>
      <c r="FE129" s="1117">
        <f t="shared" si="461"/>
        <v>0</v>
      </c>
      <c r="FF129" s="1117">
        <f t="shared" si="462"/>
        <v>0</v>
      </c>
      <c r="FG129" s="1118"/>
      <c r="FK129" s="1116">
        <f t="shared" si="405"/>
        <v>0</v>
      </c>
      <c r="FL129" s="1117">
        <f t="shared" si="463"/>
        <v>0</v>
      </c>
      <c r="FM129" s="1117">
        <f t="shared" si="464"/>
        <v>0</v>
      </c>
      <c r="FN129" s="1117">
        <f t="shared" si="465"/>
        <v>0</v>
      </c>
      <c r="FO129" s="1118"/>
    </row>
    <row r="130" spans="1:171">
      <c r="A130" s="912"/>
      <c r="B130" s="79" t="s">
        <v>19</v>
      </c>
      <c r="C130" s="888" t="s">
        <v>78</v>
      </c>
      <c r="D130" s="888">
        <v>188</v>
      </c>
      <c r="E130" s="182" t="str">
        <f>'Sch 1- Rate Base '!E130</f>
        <v>DIST</v>
      </c>
      <c r="F130" s="889"/>
      <c r="G130" s="182">
        <f>'Sch 1- Rate Base '!G130</f>
        <v>0</v>
      </c>
      <c r="H130" s="182">
        <f>'Sch 1- Rate Base '!H130</f>
        <v>0</v>
      </c>
      <c r="I130" s="182">
        <f>'Sch 1- Rate Base '!I130</f>
        <v>0</v>
      </c>
      <c r="J130" s="183">
        <f>'Sch 1- Rate Base '!J130</f>
        <v>0</v>
      </c>
      <c r="K130" s="903">
        <f t="shared" si="385"/>
        <v>1</v>
      </c>
      <c r="O130" s="1116">
        <f t="shared" si="386"/>
        <v>0</v>
      </c>
      <c r="P130" s="1117">
        <f t="shared" si="406"/>
        <v>0</v>
      </c>
      <c r="Q130" s="1117">
        <f t="shared" si="407"/>
        <v>0</v>
      </c>
      <c r="R130" s="1117">
        <f t="shared" si="408"/>
        <v>0</v>
      </c>
      <c r="S130" s="1118"/>
      <c r="W130" s="1116">
        <f t="shared" si="387"/>
        <v>0</v>
      </c>
      <c r="X130" s="1117">
        <f t="shared" si="409"/>
        <v>0</v>
      </c>
      <c r="Y130" s="1117">
        <f t="shared" si="410"/>
        <v>0</v>
      </c>
      <c r="Z130" s="1117">
        <f t="shared" si="411"/>
        <v>0</v>
      </c>
      <c r="AA130" s="1118"/>
      <c r="AE130" s="1116">
        <f t="shared" si="388"/>
        <v>0</v>
      </c>
      <c r="AF130" s="1117">
        <f t="shared" si="412"/>
        <v>0</v>
      </c>
      <c r="AG130" s="1117">
        <f t="shared" si="413"/>
        <v>0</v>
      </c>
      <c r="AH130" s="1117">
        <f t="shared" si="414"/>
        <v>0</v>
      </c>
      <c r="AI130" s="1118"/>
      <c r="AM130" s="1116">
        <f t="shared" si="389"/>
        <v>0</v>
      </c>
      <c r="AN130" s="1117">
        <f t="shared" si="415"/>
        <v>0</v>
      </c>
      <c r="AO130" s="1117">
        <f t="shared" si="416"/>
        <v>0</v>
      </c>
      <c r="AP130" s="1117">
        <f t="shared" si="417"/>
        <v>0</v>
      </c>
      <c r="AQ130" s="1118"/>
      <c r="AU130" s="1116">
        <f t="shared" si="390"/>
        <v>0</v>
      </c>
      <c r="AV130" s="1117">
        <f t="shared" si="418"/>
        <v>0</v>
      </c>
      <c r="AW130" s="1117">
        <f t="shared" si="419"/>
        <v>0</v>
      </c>
      <c r="AX130" s="1117">
        <f t="shared" si="420"/>
        <v>0</v>
      </c>
      <c r="AY130" s="1118"/>
      <c r="BC130" s="1116">
        <f t="shared" si="391"/>
        <v>0</v>
      </c>
      <c r="BD130" s="1117">
        <f t="shared" si="421"/>
        <v>0</v>
      </c>
      <c r="BE130" s="1117">
        <f t="shared" si="422"/>
        <v>0</v>
      </c>
      <c r="BF130" s="1117">
        <f t="shared" si="423"/>
        <v>0</v>
      </c>
      <c r="BG130" s="1118"/>
      <c r="BK130" s="1116">
        <f t="shared" si="392"/>
        <v>0</v>
      </c>
      <c r="BL130" s="1117">
        <f t="shared" si="424"/>
        <v>0</v>
      </c>
      <c r="BM130" s="1117">
        <f t="shared" si="425"/>
        <v>0</v>
      </c>
      <c r="BN130" s="1117">
        <f t="shared" si="426"/>
        <v>0</v>
      </c>
      <c r="BO130" s="1118"/>
      <c r="BS130" s="1116">
        <f t="shared" si="393"/>
        <v>0</v>
      </c>
      <c r="BT130" s="1117">
        <f t="shared" si="427"/>
        <v>0</v>
      </c>
      <c r="BU130" s="1117">
        <f t="shared" si="428"/>
        <v>0</v>
      </c>
      <c r="BV130" s="1117">
        <f t="shared" si="429"/>
        <v>0</v>
      </c>
      <c r="BW130" s="1118"/>
      <c r="CA130" s="1116">
        <f t="shared" si="394"/>
        <v>0</v>
      </c>
      <c r="CB130" s="1117">
        <f t="shared" si="430"/>
        <v>0</v>
      </c>
      <c r="CC130" s="1117">
        <f t="shared" si="431"/>
        <v>0</v>
      </c>
      <c r="CD130" s="1117">
        <f t="shared" si="432"/>
        <v>0</v>
      </c>
      <c r="CE130" s="1118"/>
      <c r="CI130" s="1116">
        <f t="shared" si="395"/>
        <v>0</v>
      </c>
      <c r="CJ130" s="1117">
        <f t="shared" si="433"/>
        <v>0</v>
      </c>
      <c r="CK130" s="1117">
        <f t="shared" si="434"/>
        <v>0</v>
      </c>
      <c r="CL130" s="1117">
        <f t="shared" si="435"/>
        <v>0</v>
      </c>
      <c r="CM130" s="1118"/>
      <c r="CQ130" s="1116">
        <f t="shared" si="396"/>
        <v>0</v>
      </c>
      <c r="CR130" s="1117">
        <f t="shared" si="436"/>
        <v>0</v>
      </c>
      <c r="CS130" s="1117">
        <f t="shared" si="437"/>
        <v>0</v>
      </c>
      <c r="CT130" s="1117">
        <f t="shared" si="438"/>
        <v>0</v>
      </c>
      <c r="CU130" s="1118"/>
      <c r="CY130" s="1116">
        <f t="shared" si="397"/>
        <v>0</v>
      </c>
      <c r="CZ130" s="1117">
        <f t="shared" si="439"/>
        <v>0</v>
      </c>
      <c r="DA130" s="1117">
        <f t="shared" si="440"/>
        <v>0</v>
      </c>
      <c r="DB130" s="1117">
        <f t="shared" si="441"/>
        <v>0</v>
      </c>
      <c r="DC130" s="1118"/>
      <c r="DG130" s="1116">
        <f t="shared" si="398"/>
        <v>0</v>
      </c>
      <c r="DH130" s="1117">
        <f t="shared" si="442"/>
        <v>0</v>
      </c>
      <c r="DI130" s="1117">
        <f t="shared" si="443"/>
        <v>0</v>
      </c>
      <c r="DJ130" s="1117">
        <f t="shared" si="444"/>
        <v>0</v>
      </c>
      <c r="DK130" s="1118"/>
      <c r="DO130" s="1116">
        <f t="shared" si="399"/>
        <v>0</v>
      </c>
      <c r="DP130" s="1117">
        <f t="shared" si="445"/>
        <v>0</v>
      </c>
      <c r="DQ130" s="1117">
        <f t="shared" si="446"/>
        <v>0</v>
      </c>
      <c r="DR130" s="1117">
        <f t="shared" si="447"/>
        <v>0</v>
      </c>
      <c r="DS130" s="1118"/>
      <c r="DW130" s="1116">
        <f t="shared" si="400"/>
        <v>0</v>
      </c>
      <c r="DX130" s="1117">
        <f t="shared" si="448"/>
        <v>0</v>
      </c>
      <c r="DY130" s="1117">
        <f t="shared" si="449"/>
        <v>0</v>
      </c>
      <c r="DZ130" s="1117">
        <f t="shared" si="450"/>
        <v>0</v>
      </c>
      <c r="EA130" s="1118"/>
      <c r="EE130" s="1116">
        <f t="shared" si="401"/>
        <v>0</v>
      </c>
      <c r="EF130" s="1117">
        <f t="shared" si="451"/>
        <v>0</v>
      </c>
      <c r="EG130" s="1117">
        <f t="shared" si="452"/>
        <v>0</v>
      </c>
      <c r="EH130" s="1117">
        <f t="shared" si="453"/>
        <v>0</v>
      </c>
      <c r="EI130" s="1118"/>
      <c r="EM130" s="1116">
        <f t="shared" si="402"/>
        <v>0</v>
      </c>
      <c r="EN130" s="1117">
        <f t="shared" si="454"/>
        <v>0</v>
      </c>
      <c r="EO130" s="1117">
        <f t="shared" si="455"/>
        <v>0</v>
      </c>
      <c r="EP130" s="1117">
        <f t="shared" si="456"/>
        <v>0</v>
      </c>
      <c r="EQ130" s="1118"/>
      <c r="EU130" s="1116">
        <f t="shared" si="403"/>
        <v>0</v>
      </c>
      <c r="EV130" s="1117">
        <f t="shared" si="457"/>
        <v>0</v>
      </c>
      <c r="EW130" s="1117">
        <f t="shared" si="458"/>
        <v>0</v>
      </c>
      <c r="EX130" s="1117">
        <f t="shared" si="459"/>
        <v>0</v>
      </c>
      <c r="EY130" s="1118"/>
      <c r="FC130" s="1116">
        <f t="shared" si="404"/>
        <v>0</v>
      </c>
      <c r="FD130" s="1117">
        <f t="shared" si="460"/>
        <v>0</v>
      </c>
      <c r="FE130" s="1117">
        <f t="shared" si="461"/>
        <v>0</v>
      </c>
      <c r="FF130" s="1117">
        <f t="shared" si="462"/>
        <v>0</v>
      </c>
      <c r="FG130" s="1118"/>
      <c r="FK130" s="1116">
        <f t="shared" si="405"/>
        <v>0</v>
      </c>
      <c r="FL130" s="1117">
        <f t="shared" si="463"/>
        <v>0</v>
      </c>
      <c r="FM130" s="1117">
        <f t="shared" si="464"/>
        <v>0</v>
      </c>
      <c r="FN130" s="1117">
        <f t="shared" si="465"/>
        <v>0</v>
      </c>
      <c r="FO130" s="1118"/>
    </row>
    <row r="131" spans="1:171">
      <c r="A131" s="912"/>
      <c r="B131" s="79" t="s">
        <v>20</v>
      </c>
      <c r="C131" s="888" t="s">
        <v>78</v>
      </c>
      <c r="D131" s="888">
        <v>189</v>
      </c>
      <c r="E131" s="182" t="str">
        <f>'Sch 1- Rate Base '!E131</f>
        <v>PTDG</v>
      </c>
      <c r="F131" s="889"/>
      <c r="G131" s="182">
        <f>'Sch 1- Rate Base '!G131</f>
        <v>5701050.9199999999</v>
      </c>
      <c r="H131" s="182">
        <f>'Sch 1- Rate Base '!H131</f>
        <v>1814203.8318823581</v>
      </c>
      <c r="I131" s="182">
        <f>'Sch 1- Rate Base '!I131</f>
        <v>0</v>
      </c>
      <c r="J131" s="183">
        <f>'Sch 1- Rate Base '!J131</f>
        <v>3886847.0875318553</v>
      </c>
      <c r="K131" s="903">
        <f t="shared" si="385"/>
        <v>1</v>
      </c>
      <c r="O131" s="1116">
        <f t="shared" si="386"/>
        <v>5701050.9199999999</v>
      </c>
      <c r="P131" s="1117">
        <f t="shared" si="406"/>
        <v>1814203.8318823581</v>
      </c>
      <c r="Q131" s="1117">
        <f t="shared" si="407"/>
        <v>1172587.5595680403</v>
      </c>
      <c r="R131" s="1117">
        <f t="shared" si="408"/>
        <v>2714259.5285496023</v>
      </c>
      <c r="S131" s="1118"/>
      <c r="W131" s="1116">
        <f t="shared" si="387"/>
        <v>5701050.9199999999</v>
      </c>
      <c r="X131" s="1117">
        <f t="shared" si="409"/>
        <v>1814203.8318823581</v>
      </c>
      <c r="Y131" s="1117">
        <f t="shared" si="410"/>
        <v>1172587.5595680403</v>
      </c>
      <c r="Z131" s="1117">
        <f t="shared" si="411"/>
        <v>2714259.5285496023</v>
      </c>
      <c r="AA131" s="1118"/>
      <c r="AE131" s="1116">
        <f t="shared" si="388"/>
        <v>5701050.9199999999</v>
      </c>
      <c r="AF131" s="1117">
        <f t="shared" si="412"/>
        <v>1814203.8318823581</v>
      </c>
      <c r="AG131" s="1117">
        <f t="shared" si="413"/>
        <v>1172587.5595680403</v>
      </c>
      <c r="AH131" s="1117">
        <f t="shared" si="414"/>
        <v>2714259.5285496023</v>
      </c>
      <c r="AI131" s="1118"/>
      <c r="AM131" s="1116">
        <f t="shared" si="389"/>
        <v>5701050.9199999999</v>
      </c>
      <c r="AN131" s="1117">
        <f t="shared" si="415"/>
        <v>1814203.8318823581</v>
      </c>
      <c r="AO131" s="1117">
        <f t="shared" si="416"/>
        <v>1172587.5595680403</v>
      </c>
      <c r="AP131" s="1117">
        <f t="shared" si="417"/>
        <v>2714259.5285496023</v>
      </c>
      <c r="AQ131" s="1118"/>
      <c r="AU131" s="1116">
        <f t="shared" si="390"/>
        <v>5701050.9199999999</v>
      </c>
      <c r="AV131" s="1117">
        <f t="shared" si="418"/>
        <v>1814203.8318823581</v>
      </c>
      <c r="AW131" s="1117">
        <f t="shared" si="419"/>
        <v>1172587.5595680403</v>
      </c>
      <c r="AX131" s="1117">
        <f t="shared" si="420"/>
        <v>2714259.5285496023</v>
      </c>
      <c r="AY131" s="1118"/>
      <c r="BC131" s="1116">
        <f t="shared" si="391"/>
        <v>5701050.9199999999</v>
      </c>
      <c r="BD131" s="1117">
        <f t="shared" si="421"/>
        <v>1814203.8318823581</v>
      </c>
      <c r="BE131" s="1117">
        <f t="shared" si="422"/>
        <v>1172587.5595680403</v>
      </c>
      <c r="BF131" s="1117">
        <f t="shared" si="423"/>
        <v>2714259.5285496023</v>
      </c>
      <c r="BG131" s="1118"/>
      <c r="BK131" s="1116">
        <f t="shared" si="392"/>
        <v>5701050.9199999999</v>
      </c>
      <c r="BL131" s="1117">
        <f t="shared" si="424"/>
        <v>1814203.8318823581</v>
      </c>
      <c r="BM131" s="1117">
        <f t="shared" si="425"/>
        <v>1172587.5595680403</v>
      </c>
      <c r="BN131" s="1117">
        <f t="shared" si="426"/>
        <v>2714259.5285496023</v>
      </c>
      <c r="BO131" s="1118"/>
      <c r="BS131" s="1116">
        <f t="shared" si="393"/>
        <v>5701050.9199999999</v>
      </c>
      <c r="BT131" s="1117">
        <f t="shared" si="427"/>
        <v>1814203.8318823581</v>
      </c>
      <c r="BU131" s="1117">
        <f t="shared" si="428"/>
        <v>1172587.5595680403</v>
      </c>
      <c r="BV131" s="1117">
        <f t="shared" si="429"/>
        <v>2714259.5285496023</v>
      </c>
      <c r="BW131" s="1118"/>
      <c r="CA131" s="1116">
        <f t="shared" si="394"/>
        <v>5701050.9199999999</v>
      </c>
      <c r="CB131" s="1117">
        <f t="shared" si="430"/>
        <v>1814203.8318823581</v>
      </c>
      <c r="CC131" s="1117">
        <f t="shared" si="431"/>
        <v>1172587.5595680403</v>
      </c>
      <c r="CD131" s="1117">
        <f t="shared" si="432"/>
        <v>2714259.5285496023</v>
      </c>
      <c r="CE131" s="1118"/>
      <c r="CI131" s="1116">
        <f t="shared" si="395"/>
        <v>5701050.9199999999</v>
      </c>
      <c r="CJ131" s="1117">
        <f t="shared" si="433"/>
        <v>1814203.8318823581</v>
      </c>
      <c r="CK131" s="1117">
        <f t="shared" si="434"/>
        <v>1172587.5595680403</v>
      </c>
      <c r="CL131" s="1117">
        <f t="shared" si="435"/>
        <v>2714259.5285496023</v>
      </c>
      <c r="CM131" s="1118"/>
      <c r="CQ131" s="1116">
        <f t="shared" si="396"/>
        <v>5701050.9199999999</v>
      </c>
      <c r="CR131" s="1117">
        <f t="shared" si="436"/>
        <v>1814203.8318823581</v>
      </c>
      <c r="CS131" s="1117">
        <f t="shared" si="437"/>
        <v>1172587.5595680403</v>
      </c>
      <c r="CT131" s="1117">
        <f t="shared" si="438"/>
        <v>2714259.5285496023</v>
      </c>
      <c r="CU131" s="1118"/>
      <c r="CY131" s="1116">
        <f t="shared" si="397"/>
        <v>5701050.9199999999</v>
      </c>
      <c r="CZ131" s="1117">
        <f t="shared" si="439"/>
        <v>1814203.8318823581</v>
      </c>
      <c r="DA131" s="1117">
        <f t="shared" si="440"/>
        <v>1172587.5595680403</v>
      </c>
      <c r="DB131" s="1117">
        <f t="shared" si="441"/>
        <v>2714259.5285496023</v>
      </c>
      <c r="DC131" s="1118"/>
      <c r="DG131" s="1116">
        <f t="shared" si="398"/>
        <v>5701050.9199999999</v>
      </c>
      <c r="DH131" s="1117">
        <f t="shared" si="442"/>
        <v>1814203.8318823581</v>
      </c>
      <c r="DI131" s="1117">
        <f t="shared" si="443"/>
        <v>1172587.5595680403</v>
      </c>
      <c r="DJ131" s="1117">
        <f t="shared" si="444"/>
        <v>2714259.5285496023</v>
      </c>
      <c r="DK131" s="1118"/>
      <c r="DO131" s="1116">
        <f t="shared" si="399"/>
        <v>5701050.9199999999</v>
      </c>
      <c r="DP131" s="1117">
        <f t="shared" si="445"/>
        <v>1814203.8318823581</v>
      </c>
      <c r="DQ131" s="1117">
        <f t="shared" si="446"/>
        <v>1172587.5595680403</v>
      </c>
      <c r="DR131" s="1117">
        <f t="shared" si="447"/>
        <v>2714259.5285496023</v>
      </c>
      <c r="DS131" s="1118"/>
      <c r="DW131" s="1116">
        <f t="shared" si="400"/>
        <v>5701050.9199999999</v>
      </c>
      <c r="DX131" s="1117">
        <f t="shared" si="448"/>
        <v>1814203.8318823581</v>
      </c>
      <c r="DY131" s="1117">
        <f t="shared" si="449"/>
        <v>1172587.5595680403</v>
      </c>
      <c r="DZ131" s="1117">
        <f t="shared" si="450"/>
        <v>2714259.5285496023</v>
      </c>
      <c r="EA131" s="1118"/>
      <c r="EE131" s="1116">
        <f t="shared" si="401"/>
        <v>5701050.9199999999</v>
      </c>
      <c r="EF131" s="1117">
        <f t="shared" si="451"/>
        <v>1814203.8318823581</v>
      </c>
      <c r="EG131" s="1117">
        <f t="shared" si="452"/>
        <v>1172587.5595680403</v>
      </c>
      <c r="EH131" s="1117">
        <f t="shared" si="453"/>
        <v>2714259.5285496023</v>
      </c>
      <c r="EI131" s="1118"/>
      <c r="EM131" s="1116">
        <f t="shared" si="402"/>
        <v>5701050.9199999999</v>
      </c>
      <c r="EN131" s="1117">
        <f t="shared" si="454"/>
        <v>1814203.8318823581</v>
      </c>
      <c r="EO131" s="1117">
        <f t="shared" si="455"/>
        <v>1172587.5595680403</v>
      </c>
      <c r="EP131" s="1117">
        <f t="shared" si="456"/>
        <v>2714259.5285496023</v>
      </c>
      <c r="EQ131" s="1118"/>
      <c r="EU131" s="1116">
        <f t="shared" si="403"/>
        <v>5701050.9199999999</v>
      </c>
      <c r="EV131" s="1117">
        <f t="shared" si="457"/>
        <v>1814203.8318823581</v>
      </c>
      <c r="EW131" s="1117">
        <f t="shared" si="458"/>
        <v>1172587.5595680403</v>
      </c>
      <c r="EX131" s="1117">
        <f t="shared" si="459"/>
        <v>2714259.5285496023</v>
      </c>
      <c r="EY131" s="1118"/>
      <c r="FC131" s="1116">
        <f t="shared" si="404"/>
        <v>5701050.9199999999</v>
      </c>
      <c r="FD131" s="1117">
        <f t="shared" si="460"/>
        <v>1814203.8318823581</v>
      </c>
      <c r="FE131" s="1117">
        <f t="shared" si="461"/>
        <v>1172587.5595680403</v>
      </c>
      <c r="FF131" s="1117">
        <f t="shared" si="462"/>
        <v>2714259.5285496023</v>
      </c>
      <c r="FG131" s="1118"/>
      <c r="FK131" s="1116">
        <f t="shared" si="405"/>
        <v>5701050.9199999999</v>
      </c>
      <c r="FL131" s="1117">
        <f t="shared" si="463"/>
        <v>1814203.8318823581</v>
      </c>
      <c r="FM131" s="1117">
        <f t="shared" si="464"/>
        <v>1172587.5595680403</v>
      </c>
      <c r="FN131" s="1117">
        <f t="shared" si="465"/>
        <v>2714259.5285496023</v>
      </c>
      <c r="FO131" s="1118"/>
    </row>
    <row r="132" spans="1:171">
      <c r="A132" s="912"/>
      <c r="B132" s="79" t="s">
        <v>21</v>
      </c>
      <c r="C132" s="888" t="s">
        <v>78</v>
      </c>
      <c r="D132" s="888">
        <v>190</v>
      </c>
      <c r="E132" s="182" t="str">
        <f>'Sch 1- Rate Base '!E132</f>
        <v>DIST</v>
      </c>
      <c r="F132" s="889"/>
      <c r="G132" s="182">
        <f>'Sch 1- Rate Base '!G132</f>
        <v>214152187.74000001</v>
      </c>
      <c r="H132" s="182">
        <f>'Sch 1- Rate Base '!H132</f>
        <v>0</v>
      </c>
      <c r="I132" s="182">
        <f>'Sch 1- Rate Base '!I132</f>
        <v>0</v>
      </c>
      <c r="J132" s="183">
        <f>'Sch 1- Rate Base '!J132</f>
        <v>214152187.74000001</v>
      </c>
      <c r="K132" s="903">
        <f t="shared" si="385"/>
        <v>1</v>
      </c>
      <c r="O132" s="1116">
        <f t="shared" si="386"/>
        <v>214152187.74000001</v>
      </c>
      <c r="P132" s="1117">
        <f t="shared" si="406"/>
        <v>0</v>
      </c>
      <c r="Q132" s="1117">
        <f t="shared" si="407"/>
        <v>0</v>
      </c>
      <c r="R132" s="1117">
        <f t="shared" si="408"/>
        <v>214152187.74000001</v>
      </c>
      <c r="S132" s="1118"/>
      <c r="W132" s="1116">
        <f t="shared" si="387"/>
        <v>214152187.74000001</v>
      </c>
      <c r="X132" s="1117">
        <f t="shared" si="409"/>
        <v>0</v>
      </c>
      <c r="Y132" s="1117">
        <f t="shared" si="410"/>
        <v>0</v>
      </c>
      <c r="Z132" s="1117">
        <f t="shared" si="411"/>
        <v>214152187.74000001</v>
      </c>
      <c r="AA132" s="1118"/>
      <c r="AE132" s="1116">
        <f t="shared" si="388"/>
        <v>214152187.74000001</v>
      </c>
      <c r="AF132" s="1117">
        <f t="shared" si="412"/>
        <v>0</v>
      </c>
      <c r="AG132" s="1117">
        <f t="shared" si="413"/>
        <v>0</v>
      </c>
      <c r="AH132" s="1117">
        <f t="shared" si="414"/>
        <v>214152187.74000001</v>
      </c>
      <c r="AI132" s="1118"/>
      <c r="AM132" s="1116">
        <f t="shared" si="389"/>
        <v>214152187.74000001</v>
      </c>
      <c r="AN132" s="1117">
        <f t="shared" si="415"/>
        <v>0</v>
      </c>
      <c r="AO132" s="1117">
        <f t="shared" si="416"/>
        <v>0</v>
      </c>
      <c r="AP132" s="1117">
        <f t="shared" si="417"/>
        <v>214152187.74000001</v>
      </c>
      <c r="AQ132" s="1118"/>
      <c r="AU132" s="1116">
        <f t="shared" si="390"/>
        <v>214152187.74000001</v>
      </c>
      <c r="AV132" s="1117">
        <f t="shared" si="418"/>
        <v>0</v>
      </c>
      <c r="AW132" s="1117">
        <f t="shared" si="419"/>
        <v>0</v>
      </c>
      <c r="AX132" s="1117">
        <f t="shared" si="420"/>
        <v>214152187.74000001</v>
      </c>
      <c r="AY132" s="1118"/>
      <c r="BC132" s="1116">
        <f t="shared" si="391"/>
        <v>214152187.74000001</v>
      </c>
      <c r="BD132" s="1117">
        <f t="shared" si="421"/>
        <v>0</v>
      </c>
      <c r="BE132" s="1117">
        <f t="shared" si="422"/>
        <v>0</v>
      </c>
      <c r="BF132" s="1117">
        <f t="shared" si="423"/>
        <v>214152187.74000001</v>
      </c>
      <c r="BG132" s="1118"/>
      <c r="BK132" s="1116">
        <f t="shared" si="392"/>
        <v>214152187.74000001</v>
      </c>
      <c r="BL132" s="1117">
        <f t="shared" si="424"/>
        <v>0</v>
      </c>
      <c r="BM132" s="1117">
        <f t="shared" si="425"/>
        <v>0</v>
      </c>
      <c r="BN132" s="1117">
        <f t="shared" si="426"/>
        <v>214152187.74000001</v>
      </c>
      <c r="BO132" s="1118"/>
      <c r="BS132" s="1116">
        <f t="shared" si="393"/>
        <v>214152187.74000001</v>
      </c>
      <c r="BT132" s="1117">
        <f t="shared" si="427"/>
        <v>0</v>
      </c>
      <c r="BU132" s="1117">
        <f t="shared" si="428"/>
        <v>0</v>
      </c>
      <c r="BV132" s="1117">
        <f t="shared" si="429"/>
        <v>214152187.74000001</v>
      </c>
      <c r="BW132" s="1118"/>
      <c r="CA132" s="1116">
        <f t="shared" si="394"/>
        <v>214152187.74000001</v>
      </c>
      <c r="CB132" s="1117">
        <f t="shared" si="430"/>
        <v>0</v>
      </c>
      <c r="CC132" s="1117">
        <f t="shared" si="431"/>
        <v>0</v>
      </c>
      <c r="CD132" s="1117">
        <f t="shared" si="432"/>
        <v>214152187.74000001</v>
      </c>
      <c r="CE132" s="1118"/>
      <c r="CI132" s="1116">
        <f t="shared" si="395"/>
        <v>214152187.74000001</v>
      </c>
      <c r="CJ132" s="1117">
        <f t="shared" si="433"/>
        <v>0</v>
      </c>
      <c r="CK132" s="1117">
        <f t="shared" si="434"/>
        <v>0</v>
      </c>
      <c r="CL132" s="1117">
        <f t="shared" si="435"/>
        <v>214152187.74000001</v>
      </c>
      <c r="CM132" s="1118"/>
      <c r="CQ132" s="1116">
        <f t="shared" si="396"/>
        <v>214152187.74000001</v>
      </c>
      <c r="CR132" s="1117">
        <f t="shared" si="436"/>
        <v>0</v>
      </c>
      <c r="CS132" s="1117">
        <f t="shared" si="437"/>
        <v>0</v>
      </c>
      <c r="CT132" s="1117">
        <f t="shared" si="438"/>
        <v>214152187.74000001</v>
      </c>
      <c r="CU132" s="1118"/>
      <c r="CY132" s="1116">
        <f t="shared" si="397"/>
        <v>214152187.74000001</v>
      </c>
      <c r="CZ132" s="1117">
        <f t="shared" si="439"/>
        <v>0</v>
      </c>
      <c r="DA132" s="1117">
        <f t="shared" si="440"/>
        <v>0</v>
      </c>
      <c r="DB132" s="1117">
        <f t="shared" si="441"/>
        <v>214152187.74000001</v>
      </c>
      <c r="DC132" s="1118"/>
      <c r="DG132" s="1116">
        <f t="shared" si="398"/>
        <v>214152187.74000001</v>
      </c>
      <c r="DH132" s="1117">
        <f t="shared" si="442"/>
        <v>0</v>
      </c>
      <c r="DI132" s="1117">
        <f t="shared" si="443"/>
        <v>0</v>
      </c>
      <c r="DJ132" s="1117">
        <f t="shared" si="444"/>
        <v>214152187.74000001</v>
      </c>
      <c r="DK132" s="1118"/>
      <c r="DO132" s="1116">
        <f t="shared" si="399"/>
        <v>214152187.74000001</v>
      </c>
      <c r="DP132" s="1117">
        <f t="shared" si="445"/>
        <v>0</v>
      </c>
      <c r="DQ132" s="1117">
        <f t="shared" si="446"/>
        <v>0</v>
      </c>
      <c r="DR132" s="1117">
        <f t="shared" si="447"/>
        <v>214152187.74000001</v>
      </c>
      <c r="DS132" s="1118"/>
      <c r="DW132" s="1116">
        <f t="shared" si="400"/>
        <v>214152187.74000001</v>
      </c>
      <c r="DX132" s="1117">
        <f t="shared" si="448"/>
        <v>0</v>
      </c>
      <c r="DY132" s="1117">
        <f t="shared" si="449"/>
        <v>0</v>
      </c>
      <c r="DZ132" s="1117">
        <f t="shared" si="450"/>
        <v>214152187.74000001</v>
      </c>
      <c r="EA132" s="1118"/>
      <c r="EE132" s="1116">
        <f t="shared" si="401"/>
        <v>214152187.74000001</v>
      </c>
      <c r="EF132" s="1117">
        <f t="shared" si="451"/>
        <v>0</v>
      </c>
      <c r="EG132" s="1117">
        <f t="shared" si="452"/>
        <v>0</v>
      </c>
      <c r="EH132" s="1117">
        <f t="shared" si="453"/>
        <v>214152187.74000001</v>
      </c>
      <c r="EI132" s="1118"/>
      <c r="EM132" s="1116">
        <f t="shared" si="402"/>
        <v>214152187.74000001</v>
      </c>
      <c r="EN132" s="1117">
        <f t="shared" si="454"/>
        <v>0</v>
      </c>
      <c r="EO132" s="1117">
        <f t="shared" si="455"/>
        <v>0</v>
      </c>
      <c r="EP132" s="1117">
        <f t="shared" si="456"/>
        <v>214152187.74000001</v>
      </c>
      <c r="EQ132" s="1118"/>
      <c r="EU132" s="1116">
        <f t="shared" si="403"/>
        <v>214152187.74000001</v>
      </c>
      <c r="EV132" s="1117">
        <f t="shared" si="457"/>
        <v>0</v>
      </c>
      <c r="EW132" s="1117">
        <f t="shared" si="458"/>
        <v>0</v>
      </c>
      <c r="EX132" s="1117">
        <f t="shared" si="459"/>
        <v>214152187.74000001</v>
      </c>
      <c r="EY132" s="1118"/>
      <c r="FC132" s="1116">
        <f t="shared" si="404"/>
        <v>214152187.74000001</v>
      </c>
      <c r="FD132" s="1117">
        <f t="shared" si="460"/>
        <v>0</v>
      </c>
      <c r="FE132" s="1117">
        <f t="shared" si="461"/>
        <v>0</v>
      </c>
      <c r="FF132" s="1117">
        <f t="shared" si="462"/>
        <v>214152187.74000001</v>
      </c>
      <c r="FG132" s="1118"/>
      <c r="FK132" s="1116">
        <f t="shared" si="405"/>
        <v>214152187.74000001</v>
      </c>
      <c r="FL132" s="1117">
        <f t="shared" si="463"/>
        <v>0</v>
      </c>
      <c r="FM132" s="1117">
        <f t="shared" si="464"/>
        <v>0</v>
      </c>
      <c r="FN132" s="1117">
        <f t="shared" si="465"/>
        <v>214152187.74000001</v>
      </c>
      <c r="FO132" s="1118"/>
    </row>
    <row r="133" spans="1:171">
      <c r="A133" s="160"/>
      <c r="B133" s="847" t="s">
        <v>104</v>
      </c>
      <c r="C133" s="914"/>
      <c r="D133" s="915"/>
      <c r="E133" s="915"/>
      <c r="F133" s="916"/>
      <c r="G133" s="923">
        <f>SUM(G119:G132)</f>
        <v>1228008056.3699999</v>
      </c>
      <c r="H133" s="923">
        <f>SUM(H119:H132)</f>
        <v>69931163.114251286</v>
      </c>
      <c r="I133" s="923">
        <f>SUM(I119:I132)</f>
        <v>0</v>
      </c>
      <c r="J133" s="1393">
        <f>SUM(J119:J132)</f>
        <v>1158076892.9529448</v>
      </c>
      <c r="K133" s="903"/>
      <c r="O133" s="1130">
        <f>SUM(O119:O132)</f>
        <v>1228008056.3699999</v>
      </c>
      <c r="P133" s="1130">
        <f>SUM(P119:P132)</f>
        <v>69931163.114251286</v>
      </c>
      <c r="Q133" s="1130">
        <f>SUM(Q119:Q132)</f>
        <v>5612440.5477233622</v>
      </c>
      <c r="R133" s="1130">
        <f>SUM(R119:R132)</f>
        <v>1152464452.7080255</v>
      </c>
      <c r="S133" s="1118"/>
      <c r="W133" s="1130">
        <f>SUM(W119:W132)</f>
        <v>1228008056.3699999</v>
      </c>
      <c r="X133" s="1130">
        <f>SUM(X119:X132)</f>
        <v>69931163.114251286</v>
      </c>
      <c r="Y133" s="1130">
        <f>SUM(Y119:Y132)</f>
        <v>5612440.5477233622</v>
      </c>
      <c r="Z133" s="1130">
        <f>SUM(Z119:Z132)</f>
        <v>1152464452.7080255</v>
      </c>
      <c r="AA133" s="1118"/>
      <c r="AE133" s="1130">
        <f>SUM(AE119:AE132)</f>
        <v>1228008056.3699999</v>
      </c>
      <c r="AF133" s="1130">
        <f>SUM(AF119:AF132)</f>
        <v>69931163.114251286</v>
      </c>
      <c r="AG133" s="1130">
        <f>SUM(AG119:AG132)</f>
        <v>5612440.5477233622</v>
      </c>
      <c r="AH133" s="1130">
        <f>SUM(AH119:AH132)</f>
        <v>1152464452.7080255</v>
      </c>
      <c r="AI133" s="1118"/>
      <c r="AM133" s="1130">
        <f>SUM(AM119:AM132)</f>
        <v>1228008056.3699999</v>
      </c>
      <c r="AN133" s="1130">
        <f>SUM(AN119:AN132)</f>
        <v>69931163.114251286</v>
      </c>
      <c r="AO133" s="1130">
        <f>SUM(AO119:AO132)</f>
        <v>5612440.5477233622</v>
      </c>
      <c r="AP133" s="1130">
        <f>SUM(AP119:AP132)</f>
        <v>1152464452.7080255</v>
      </c>
      <c r="AQ133" s="1118"/>
      <c r="AU133" s="1130">
        <f>SUM(AU119:AU132)</f>
        <v>1228008056.3699999</v>
      </c>
      <c r="AV133" s="1130">
        <f>SUM(AV119:AV132)</f>
        <v>69931163.114251286</v>
      </c>
      <c r="AW133" s="1130">
        <f>SUM(AW119:AW132)</f>
        <v>5612440.5477233622</v>
      </c>
      <c r="AX133" s="1130">
        <f>SUM(AX119:AX132)</f>
        <v>1152464452.7080255</v>
      </c>
      <c r="AY133" s="1118"/>
      <c r="BC133" s="1130">
        <f>SUM(BC119:BC132)</f>
        <v>1228008056.3699999</v>
      </c>
      <c r="BD133" s="1130">
        <f>SUM(BD119:BD132)</f>
        <v>69931163.114251286</v>
      </c>
      <c r="BE133" s="1130">
        <f>SUM(BE119:BE132)</f>
        <v>5612440.5477233622</v>
      </c>
      <c r="BF133" s="1130">
        <f>SUM(BF119:BF132)</f>
        <v>1152464452.7080255</v>
      </c>
      <c r="BG133" s="1118"/>
      <c r="BK133" s="1130">
        <f>SUM(BK119:BK132)</f>
        <v>1228008056.3699999</v>
      </c>
      <c r="BL133" s="1130">
        <f>SUM(BL119:BL132)</f>
        <v>69931163.114251286</v>
      </c>
      <c r="BM133" s="1130">
        <f>SUM(BM119:BM132)</f>
        <v>5612440.5477233622</v>
      </c>
      <c r="BN133" s="1130">
        <f>SUM(BN119:BN132)</f>
        <v>1152464452.7080255</v>
      </c>
      <c r="BO133" s="1118"/>
      <c r="BS133" s="1130">
        <f>SUM(BS119:BS132)</f>
        <v>1228008056.3699999</v>
      </c>
      <c r="BT133" s="1130">
        <f>SUM(BT119:BT132)</f>
        <v>69931163.114251286</v>
      </c>
      <c r="BU133" s="1130">
        <f>SUM(BU119:BU132)</f>
        <v>5612440.5477233622</v>
      </c>
      <c r="BV133" s="1130">
        <f>SUM(BV119:BV132)</f>
        <v>1152464452.7080255</v>
      </c>
      <c r="BW133" s="1118"/>
      <c r="CA133" s="1130">
        <f>SUM(CA119:CA132)</f>
        <v>1228008056.3699999</v>
      </c>
      <c r="CB133" s="1130">
        <f>SUM(CB119:CB132)</f>
        <v>69931163.114251286</v>
      </c>
      <c r="CC133" s="1130">
        <f>SUM(CC119:CC132)</f>
        <v>5612440.5477233622</v>
      </c>
      <c r="CD133" s="1130">
        <f>SUM(CD119:CD132)</f>
        <v>1152464452.7080255</v>
      </c>
      <c r="CE133" s="1118"/>
      <c r="CI133" s="1130">
        <f>SUM(CI119:CI132)</f>
        <v>1228008056.3699999</v>
      </c>
      <c r="CJ133" s="1130">
        <f>SUM(CJ119:CJ132)</f>
        <v>69931163.114251286</v>
      </c>
      <c r="CK133" s="1130">
        <f>SUM(CK119:CK132)</f>
        <v>5612440.5477233622</v>
      </c>
      <c r="CL133" s="1130">
        <f>SUM(CL119:CL132)</f>
        <v>1152464452.7080255</v>
      </c>
      <c r="CM133" s="1118"/>
      <c r="CQ133" s="1130">
        <f>SUM(CQ119:CQ132)</f>
        <v>1228008056.3699999</v>
      </c>
      <c r="CR133" s="1130">
        <f>SUM(CR119:CR132)</f>
        <v>69931163.114251286</v>
      </c>
      <c r="CS133" s="1130">
        <f>SUM(CS119:CS132)</f>
        <v>5612440.5477233622</v>
      </c>
      <c r="CT133" s="1130">
        <f>SUM(CT119:CT132)</f>
        <v>1152464452.7080255</v>
      </c>
      <c r="CU133" s="1118"/>
      <c r="CY133" s="1130">
        <f>SUM(CY119:CY132)</f>
        <v>1228008056.3699999</v>
      </c>
      <c r="CZ133" s="1130">
        <f>SUM(CZ119:CZ132)</f>
        <v>69931163.114251286</v>
      </c>
      <c r="DA133" s="1130">
        <f>SUM(DA119:DA132)</f>
        <v>5612440.5477233622</v>
      </c>
      <c r="DB133" s="1130">
        <f>SUM(DB119:DB132)</f>
        <v>1152464452.7080255</v>
      </c>
      <c r="DC133" s="1118"/>
      <c r="DG133" s="1130">
        <f>SUM(DG119:DG132)</f>
        <v>1228008056.3699999</v>
      </c>
      <c r="DH133" s="1130">
        <f>SUM(DH119:DH132)</f>
        <v>69931163.114251286</v>
      </c>
      <c r="DI133" s="1130">
        <f>SUM(DI119:DI132)</f>
        <v>5612440.5477233622</v>
      </c>
      <c r="DJ133" s="1130">
        <f>SUM(DJ119:DJ132)</f>
        <v>1152464452.7080255</v>
      </c>
      <c r="DK133" s="1118"/>
      <c r="DO133" s="1130">
        <f>SUM(DO119:DO132)</f>
        <v>1228008056.3699999</v>
      </c>
      <c r="DP133" s="1130">
        <f>SUM(DP119:DP132)</f>
        <v>69931163.114251286</v>
      </c>
      <c r="DQ133" s="1130">
        <f>SUM(DQ119:DQ132)</f>
        <v>5612440.5477233622</v>
      </c>
      <c r="DR133" s="1130">
        <f>SUM(DR119:DR132)</f>
        <v>1152464452.7080255</v>
      </c>
      <c r="DS133" s="1118"/>
      <c r="DW133" s="1130">
        <f>SUM(DW119:DW132)</f>
        <v>1228008056.3699999</v>
      </c>
      <c r="DX133" s="1130">
        <f>SUM(DX119:DX132)</f>
        <v>69931163.114251286</v>
      </c>
      <c r="DY133" s="1130">
        <f>SUM(DY119:DY132)</f>
        <v>5612440.5477233622</v>
      </c>
      <c r="DZ133" s="1130">
        <f>SUM(DZ119:DZ132)</f>
        <v>1152464452.7080255</v>
      </c>
      <c r="EA133" s="1118"/>
      <c r="EE133" s="1130">
        <f>SUM(EE119:EE132)</f>
        <v>1228008056.3699999</v>
      </c>
      <c r="EF133" s="1130">
        <f>SUM(EF119:EF132)</f>
        <v>69931163.114251286</v>
      </c>
      <c r="EG133" s="1130">
        <f>SUM(EG119:EG132)</f>
        <v>5612440.5477233622</v>
      </c>
      <c r="EH133" s="1130">
        <f>SUM(EH119:EH132)</f>
        <v>1152464452.7080255</v>
      </c>
      <c r="EI133" s="1118"/>
      <c r="EM133" s="1130">
        <f>SUM(EM119:EM132)</f>
        <v>1228008056.3699999</v>
      </c>
      <c r="EN133" s="1130">
        <f>SUM(EN119:EN132)</f>
        <v>69931163.114251286</v>
      </c>
      <c r="EO133" s="1130">
        <f>SUM(EO119:EO132)</f>
        <v>5612440.5477233622</v>
      </c>
      <c r="EP133" s="1130">
        <f>SUM(EP119:EP132)</f>
        <v>1152464452.7080255</v>
      </c>
      <c r="EQ133" s="1118"/>
      <c r="EU133" s="1130">
        <f>SUM(EU119:EU132)</f>
        <v>1228008056.3699999</v>
      </c>
      <c r="EV133" s="1130">
        <f>SUM(EV119:EV132)</f>
        <v>69931163.114251286</v>
      </c>
      <c r="EW133" s="1130">
        <f>SUM(EW119:EW132)</f>
        <v>5612440.5477233622</v>
      </c>
      <c r="EX133" s="1130">
        <f>SUM(EX119:EX132)</f>
        <v>1152464452.7080255</v>
      </c>
      <c r="EY133" s="1118"/>
      <c r="FC133" s="1130">
        <f>SUM(FC119:FC132)</f>
        <v>1228008056.3699999</v>
      </c>
      <c r="FD133" s="1130">
        <f>SUM(FD119:FD132)</f>
        <v>69931163.114251286</v>
      </c>
      <c r="FE133" s="1130">
        <f>SUM(FE119:FE132)</f>
        <v>5612440.5477233622</v>
      </c>
      <c r="FF133" s="1130">
        <f>SUM(FF119:FF132)</f>
        <v>1152464452.7080255</v>
      </c>
      <c r="FG133" s="1118"/>
      <c r="FK133" s="1130">
        <f>SUM(FK119:FK132)</f>
        <v>1228008056.3699999</v>
      </c>
      <c r="FL133" s="1130">
        <f>SUM(FL119:FL132)</f>
        <v>69931163.114251286</v>
      </c>
      <c r="FM133" s="1130">
        <f>SUM(FM119:FM132)</f>
        <v>5612440.5477233622</v>
      </c>
      <c r="FN133" s="1130">
        <f>SUM(FN119:FN132)</f>
        <v>1152464452.7080255</v>
      </c>
      <c r="FO133" s="1118"/>
    </row>
    <row r="134" spans="1:171">
      <c r="A134" s="961"/>
      <c r="B134" s="937"/>
      <c r="C134" s="945"/>
      <c r="D134" s="946"/>
      <c r="E134" s="196"/>
      <c r="F134" s="196"/>
      <c r="G134" s="334"/>
      <c r="H134" s="334"/>
      <c r="I134" s="334"/>
      <c r="J134" s="962"/>
      <c r="K134" s="903"/>
      <c r="O134" s="1079"/>
      <c r="S134" s="1118"/>
      <c r="W134" s="1079"/>
      <c r="AA134" s="1118"/>
      <c r="AE134" s="1079"/>
      <c r="AI134" s="1118"/>
      <c r="AM134" s="1079"/>
      <c r="AQ134" s="1118"/>
      <c r="AU134" s="1079"/>
      <c r="AY134" s="1118"/>
      <c r="BC134" s="1079"/>
      <c r="BG134" s="1118"/>
      <c r="BK134" s="1079"/>
      <c r="BO134" s="1118"/>
      <c r="BS134" s="1079"/>
      <c r="BW134" s="1118"/>
      <c r="CA134" s="1079"/>
      <c r="CE134" s="1118"/>
      <c r="CI134" s="1079"/>
      <c r="CM134" s="1118"/>
      <c r="CQ134" s="1079"/>
      <c r="CU134" s="1118"/>
      <c r="CY134" s="1079"/>
      <c r="DC134" s="1118"/>
      <c r="DG134" s="1079"/>
      <c r="DK134" s="1118"/>
      <c r="DO134" s="1079"/>
      <c r="DS134" s="1118"/>
      <c r="DW134" s="1079"/>
      <c r="EA134" s="1118"/>
      <c r="EE134" s="1079"/>
      <c r="EI134" s="1118"/>
      <c r="EM134" s="1079"/>
      <c r="EQ134" s="1118"/>
      <c r="EU134" s="1079"/>
      <c r="EY134" s="1118"/>
      <c r="FC134" s="1079"/>
      <c r="FG134" s="1118"/>
      <c r="FK134" s="1079"/>
      <c r="FO134" s="1118"/>
    </row>
    <row r="135" spans="1:171">
      <c r="A135" s="963" t="s">
        <v>74</v>
      </c>
      <c r="B135" s="64"/>
      <c r="C135" s="914"/>
      <c r="D135" s="915"/>
      <c r="E135" s="915"/>
      <c r="F135" s="916"/>
      <c r="G135" s="923">
        <f>+G84+G93+G100+G116+G133</f>
        <v>2120706298.0987499</v>
      </c>
      <c r="H135" s="923">
        <f>+H84+H93+H100+H116+H133</f>
        <v>258351130.39916536</v>
      </c>
      <c r="I135" s="923">
        <f>+I84+I93+I100+I116+I133</f>
        <v>0</v>
      </c>
      <c r="J135" s="1393">
        <f>+J84+J93+J100+J116+J133</f>
        <v>1862355167.3967447</v>
      </c>
      <c r="K135" s="903"/>
      <c r="O135" s="1131">
        <f>+O84+O93+O100+O116+O133</f>
        <v>2120706298.0987499</v>
      </c>
      <c r="P135" s="1131">
        <f>+P84+P93+P100+P116+P133</f>
        <v>258351130.39916536</v>
      </c>
      <c r="Q135" s="1131">
        <f>+Q84+Q93+Q100+Q116+Q133</f>
        <v>35754650.448760785</v>
      </c>
      <c r="R135" s="1131">
        <f>+R84+R93+R100+R116+R133</f>
        <v>1826600517.250824</v>
      </c>
      <c r="S135" s="1118"/>
      <c r="W135" s="1131">
        <f>+W84+W93+W100+W116+W133</f>
        <v>2120706298.0987499</v>
      </c>
      <c r="X135" s="1131">
        <f>+X84+X93+X100+X116+X133</f>
        <v>258351130.39916536</v>
      </c>
      <c r="Y135" s="1131">
        <f>+Y84+Y93+Y100+Y116+Y133</f>
        <v>35754650.448760785</v>
      </c>
      <c r="Z135" s="1131">
        <f>+Z84+Z93+Z100+Z116+Z133</f>
        <v>1826600517.250824</v>
      </c>
      <c r="AA135" s="1118"/>
      <c r="AE135" s="1131">
        <f>+AE84+AE93+AE100+AE116+AE133</f>
        <v>2120706298.0987499</v>
      </c>
      <c r="AF135" s="1131">
        <f>+AF84+AF93+AF100+AF116+AF133</f>
        <v>258351130.39916536</v>
      </c>
      <c r="AG135" s="1131">
        <f>+AG84+AG93+AG100+AG116+AG133</f>
        <v>35754650.448760785</v>
      </c>
      <c r="AH135" s="1131">
        <f>+AH84+AH93+AH100+AH116+AH133</f>
        <v>1826600517.250824</v>
      </c>
      <c r="AI135" s="1118"/>
      <c r="AM135" s="1131">
        <f>+AM84+AM93+AM100+AM116+AM133</f>
        <v>2120706298.0987499</v>
      </c>
      <c r="AN135" s="1131">
        <f>+AN84+AN93+AN100+AN116+AN133</f>
        <v>258351130.39916536</v>
      </c>
      <c r="AO135" s="1131">
        <f>+AO84+AO93+AO100+AO116+AO133</f>
        <v>35754650.448760785</v>
      </c>
      <c r="AP135" s="1131">
        <f>+AP84+AP93+AP100+AP116+AP133</f>
        <v>1826600517.250824</v>
      </c>
      <c r="AQ135" s="1118"/>
      <c r="AU135" s="1131">
        <f>+AU84+AU93+AU100+AU116+AU133</f>
        <v>2120706298.0987499</v>
      </c>
      <c r="AV135" s="1131">
        <f>+AV84+AV93+AV100+AV116+AV133</f>
        <v>258351130.39916536</v>
      </c>
      <c r="AW135" s="1131">
        <f>+AW84+AW93+AW100+AW116+AW133</f>
        <v>35754650.448760785</v>
      </c>
      <c r="AX135" s="1131">
        <f>+AX84+AX93+AX100+AX116+AX133</f>
        <v>1826600517.250824</v>
      </c>
      <c r="AY135" s="1118"/>
      <c r="BC135" s="1131">
        <f>+BC84+BC93+BC100+BC116+BC133</f>
        <v>2120706298.0987499</v>
      </c>
      <c r="BD135" s="1131">
        <f>+BD84+BD93+BD100+BD116+BD133</f>
        <v>258351130.39916536</v>
      </c>
      <c r="BE135" s="1131">
        <f>+BE84+BE93+BE100+BE116+BE133</f>
        <v>35754650.448760785</v>
      </c>
      <c r="BF135" s="1131">
        <f>+BF84+BF93+BF100+BF116+BF133</f>
        <v>1826600517.250824</v>
      </c>
      <c r="BG135" s="1118"/>
      <c r="BK135" s="1131">
        <f>+BK84+BK93+BK100+BK116+BK133</f>
        <v>2120706298.0987499</v>
      </c>
      <c r="BL135" s="1131">
        <f>+BL84+BL93+BL100+BL116+BL133</f>
        <v>258351130.39916536</v>
      </c>
      <c r="BM135" s="1131">
        <f>+BM84+BM93+BM100+BM116+BM133</f>
        <v>35754650.448760785</v>
      </c>
      <c r="BN135" s="1131">
        <f>+BN84+BN93+BN100+BN116+BN133</f>
        <v>1826600517.250824</v>
      </c>
      <c r="BO135" s="1118"/>
      <c r="BS135" s="1131">
        <f>+BS84+BS93+BS100+BS116+BS133</f>
        <v>2120706298.0987499</v>
      </c>
      <c r="BT135" s="1131">
        <f>+BT84+BT93+BT100+BT116+BT133</f>
        <v>258351130.39916536</v>
      </c>
      <c r="BU135" s="1131">
        <f>+BU84+BU93+BU100+BU116+BU133</f>
        <v>35754650.448760785</v>
      </c>
      <c r="BV135" s="1131">
        <f>+BV84+BV93+BV100+BV116+BV133</f>
        <v>1826600517.250824</v>
      </c>
      <c r="BW135" s="1118"/>
      <c r="CA135" s="1131">
        <f>+CA84+CA93+CA100+CA116+CA133</f>
        <v>2120706298.0987499</v>
      </c>
      <c r="CB135" s="1131">
        <f>+CB84+CB93+CB100+CB116+CB133</f>
        <v>258351130.39916536</v>
      </c>
      <c r="CC135" s="1131">
        <f>+CC84+CC93+CC100+CC116+CC133</f>
        <v>35754650.448760785</v>
      </c>
      <c r="CD135" s="1131">
        <f>+CD84+CD93+CD100+CD116+CD133</f>
        <v>1826600517.250824</v>
      </c>
      <c r="CE135" s="1118"/>
      <c r="CI135" s="1131">
        <f>+CI84+CI93+CI100+CI116+CI133</f>
        <v>2120706298.0987499</v>
      </c>
      <c r="CJ135" s="1131">
        <f>+CJ84+CJ93+CJ100+CJ116+CJ133</f>
        <v>258351130.39916536</v>
      </c>
      <c r="CK135" s="1131">
        <f>+CK84+CK93+CK100+CK116+CK133</f>
        <v>35754650.448760785</v>
      </c>
      <c r="CL135" s="1131">
        <f>+CL84+CL93+CL100+CL116+CL133</f>
        <v>1826600517.250824</v>
      </c>
      <c r="CM135" s="1118"/>
      <c r="CQ135" s="1131">
        <f>+CQ84+CQ93+CQ100+CQ116+CQ133</f>
        <v>2120706298.0987499</v>
      </c>
      <c r="CR135" s="1131">
        <f>+CR84+CR93+CR100+CR116+CR133</f>
        <v>258351130.39916536</v>
      </c>
      <c r="CS135" s="1131">
        <f>+CS84+CS93+CS100+CS116+CS133</f>
        <v>35754650.448760785</v>
      </c>
      <c r="CT135" s="1131">
        <f>+CT84+CT93+CT100+CT116+CT133</f>
        <v>1826600517.250824</v>
      </c>
      <c r="CU135" s="1118"/>
      <c r="CY135" s="1131">
        <f>+CY84+CY93+CY100+CY116+CY133</f>
        <v>2120706298.0987499</v>
      </c>
      <c r="CZ135" s="1131">
        <f>+CZ84+CZ93+CZ100+CZ116+CZ133</f>
        <v>258351130.39916536</v>
      </c>
      <c r="DA135" s="1131">
        <f>+DA84+DA93+DA100+DA116+DA133</f>
        <v>35754650.448760785</v>
      </c>
      <c r="DB135" s="1131">
        <f>+DB84+DB93+DB100+DB116+DB133</f>
        <v>1826600517.250824</v>
      </c>
      <c r="DC135" s="1118"/>
      <c r="DG135" s="1131">
        <f>+DG84+DG93+DG100+DG116+DG133</f>
        <v>2120706298.0987499</v>
      </c>
      <c r="DH135" s="1131">
        <f>+DH84+DH93+DH100+DH116+DH133</f>
        <v>258351130.39916536</v>
      </c>
      <c r="DI135" s="1131">
        <f>+DI84+DI93+DI100+DI116+DI133</f>
        <v>35754650.448760785</v>
      </c>
      <c r="DJ135" s="1131">
        <f>+DJ84+DJ93+DJ100+DJ116+DJ133</f>
        <v>1826600517.250824</v>
      </c>
      <c r="DK135" s="1118"/>
      <c r="DO135" s="1131">
        <f>+DO84+DO93+DO100+DO116+DO133</f>
        <v>2120706298.0987499</v>
      </c>
      <c r="DP135" s="1131">
        <f>+DP84+DP93+DP100+DP116+DP133</f>
        <v>258351130.39916536</v>
      </c>
      <c r="DQ135" s="1131">
        <f>+DQ84+DQ93+DQ100+DQ116+DQ133</f>
        <v>35754650.448760785</v>
      </c>
      <c r="DR135" s="1131">
        <f>+DR84+DR93+DR100+DR116+DR133</f>
        <v>1826600517.250824</v>
      </c>
      <c r="DS135" s="1118"/>
      <c r="DW135" s="1131">
        <f>+DW84+DW93+DW100+DW116+DW133</f>
        <v>2120706298.0987499</v>
      </c>
      <c r="DX135" s="1131">
        <f>+DX84+DX93+DX100+DX116+DX133</f>
        <v>258351130.39916536</v>
      </c>
      <c r="DY135" s="1131">
        <f>+DY84+DY93+DY100+DY116+DY133</f>
        <v>35754650.448760785</v>
      </c>
      <c r="DZ135" s="1131">
        <f>+DZ84+DZ93+DZ100+DZ116+DZ133</f>
        <v>1826600517.250824</v>
      </c>
      <c r="EA135" s="1118"/>
      <c r="EE135" s="1131">
        <f>+EE84+EE93+EE100+EE116+EE133</f>
        <v>2120706298.0987499</v>
      </c>
      <c r="EF135" s="1131">
        <f>+EF84+EF93+EF100+EF116+EF133</f>
        <v>258351130.39916536</v>
      </c>
      <c r="EG135" s="1131">
        <f>+EG84+EG93+EG100+EG116+EG133</f>
        <v>35754650.448760785</v>
      </c>
      <c r="EH135" s="1131">
        <f>+EH84+EH93+EH100+EH116+EH133</f>
        <v>1826600517.250824</v>
      </c>
      <c r="EI135" s="1118"/>
      <c r="EM135" s="1131">
        <f>+EM84+EM93+EM100+EM116+EM133</f>
        <v>2120706298.0987499</v>
      </c>
      <c r="EN135" s="1131">
        <f>+EN84+EN93+EN100+EN116+EN133</f>
        <v>258351130.39916536</v>
      </c>
      <c r="EO135" s="1131">
        <f>+EO84+EO93+EO100+EO116+EO133</f>
        <v>35754650.448760785</v>
      </c>
      <c r="EP135" s="1131">
        <f>+EP84+EP93+EP100+EP116+EP133</f>
        <v>1826600517.250824</v>
      </c>
      <c r="EQ135" s="1118"/>
      <c r="EU135" s="1131">
        <f>+EU84+EU93+EU100+EU116+EU133</f>
        <v>2120706298.0987499</v>
      </c>
      <c r="EV135" s="1131">
        <f>+EV84+EV93+EV100+EV116+EV133</f>
        <v>258351130.39916536</v>
      </c>
      <c r="EW135" s="1131">
        <f>+EW84+EW93+EW100+EW116+EW133</f>
        <v>35754650.448760785</v>
      </c>
      <c r="EX135" s="1131">
        <f>+EX84+EX93+EX100+EX116+EX133</f>
        <v>1826600517.250824</v>
      </c>
      <c r="EY135" s="1118"/>
      <c r="FC135" s="1131">
        <f>+FC84+FC93+FC100+FC116+FC133</f>
        <v>2120706298.0987499</v>
      </c>
      <c r="FD135" s="1131">
        <f>+FD84+FD93+FD100+FD116+FD133</f>
        <v>258351130.39916536</v>
      </c>
      <c r="FE135" s="1131">
        <f>+FE84+FE93+FE100+FE116+FE133</f>
        <v>35754650.448760785</v>
      </c>
      <c r="FF135" s="1131">
        <f>+FF84+FF93+FF100+FF116+FF133</f>
        <v>1826600517.250824</v>
      </c>
      <c r="FG135" s="1118"/>
      <c r="FK135" s="1131">
        <f>+FK84+FK93+FK100+FK116+FK133</f>
        <v>2120706298.0987499</v>
      </c>
      <c r="FL135" s="1131">
        <f>+FL84+FL93+FL100+FL116+FL133</f>
        <v>258351130.39916536</v>
      </c>
      <c r="FM135" s="1131">
        <f>+FM84+FM93+FM100+FM116+FM133</f>
        <v>35754650.448760785</v>
      </c>
      <c r="FN135" s="1131">
        <f>+FN84+FN93+FN100+FN116+FN133</f>
        <v>1826600517.250824</v>
      </c>
      <c r="FO135" s="1118"/>
    </row>
    <row r="136" spans="1:171" ht="16.5" thickBot="1">
      <c r="A136" s="964"/>
      <c r="B136" s="931"/>
      <c r="C136" s="932"/>
      <c r="D136" s="932"/>
      <c r="E136" s="931"/>
      <c r="F136" s="931"/>
      <c r="G136" s="965"/>
      <c r="H136" s="965"/>
      <c r="I136" s="965"/>
      <c r="J136" s="966"/>
      <c r="K136" s="903"/>
      <c r="S136" s="1118"/>
      <c r="AA136" s="1118"/>
      <c r="AI136" s="1118"/>
      <c r="AQ136" s="1118"/>
      <c r="AY136" s="1118"/>
      <c r="BG136" s="1118"/>
      <c r="BO136" s="1118"/>
      <c r="BW136" s="1118"/>
      <c r="CE136" s="1118"/>
      <c r="CM136" s="1118"/>
      <c r="CU136" s="1118"/>
      <c r="DC136" s="1118"/>
      <c r="DK136" s="1118"/>
      <c r="DS136" s="1118"/>
      <c r="EA136" s="1118"/>
      <c r="EI136" s="1118"/>
      <c r="EQ136" s="1118"/>
      <c r="EY136" s="1118"/>
      <c r="FG136" s="1118"/>
      <c r="FO136" s="1118"/>
    </row>
    <row r="137" spans="1:171" ht="16.5" thickTop="1">
      <c r="A137" s="967" t="s">
        <v>75</v>
      </c>
      <c r="B137" s="64"/>
      <c r="C137" s="55"/>
      <c r="D137" s="196"/>
      <c r="E137" s="196"/>
      <c r="F137" s="196"/>
      <c r="G137" s="910"/>
      <c r="H137" s="910"/>
      <c r="I137" s="910"/>
      <c r="J137" s="911"/>
      <c r="K137" s="903"/>
      <c r="S137" s="1118"/>
      <c r="AA137" s="1118"/>
      <c r="AI137" s="1118"/>
      <c r="AQ137" s="1118"/>
      <c r="AY137" s="1118"/>
      <c r="BG137" s="1118"/>
      <c r="BO137" s="1118"/>
      <c r="BW137" s="1118"/>
      <c r="CE137" s="1118"/>
      <c r="CM137" s="1118"/>
      <c r="CU137" s="1118"/>
      <c r="DC137" s="1118"/>
      <c r="DK137" s="1118"/>
      <c r="DS137" s="1118"/>
      <c r="EA137" s="1118"/>
      <c r="EI137" s="1118"/>
      <c r="EQ137" s="1118"/>
      <c r="EY137" s="1118"/>
      <c r="FG137" s="1118"/>
      <c r="FO137" s="1118"/>
    </row>
    <row r="138" spans="1:171">
      <c r="A138" s="912"/>
      <c r="B138" s="847" t="s">
        <v>438</v>
      </c>
      <c r="C138" s="196"/>
      <c r="D138" s="968"/>
      <c r="E138" s="196"/>
      <c r="F138" s="196"/>
      <c r="G138" s="198"/>
      <c r="H138" s="198"/>
      <c r="I138" s="198"/>
      <c r="J138" s="200"/>
      <c r="K138" s="903"/>
      <c r="S138" s="1118"/>
      <c r="AA138" s="1118"/>
      <c r="AI138" s="1118"/>
      <c r="AQ138" s="1118"/>
      <c r="AY138" s="1118"/>
      <c r="BG138" s="1118"/>
      <c r="BO138" s="1118"/>
      <c r="BW138" s="1118"/>
      <c r="CE138" s="1118"/>
      <c r="CM138" s="1118"/>
      <c r="CU138" s="1118"/>
      <c r="DC138" s="1118"/>
      <c r="DK138" s="1118"/>
      <c r="DS138" s="1118"/>
      <c r="EA138" s="1118"/>
      <c r="EI138" s="1118"/>
      <c r="EQ138" s="1118"/>
      <c r="EY138" s="1118"/>
      <c r="FG138" s="1118"/>
      <c r="FO138" s="1118"/>
    </row>
    <row r="139" spans="1:171">
      <c r="A139" s="944"/>
      <c r="B139" s="79" t="s">
        <v>332</v>
      </c>
      <c r="C139" s="888" t="s">
        <v>81</v>
      </c>
      <c r="D139" s="888">
        <v>244</v>
      </c>
      <c r="E139" s="182" t="str">
        <f>'Sch 1- Rate Base '!E139</f>
        <v>DIST</v>
      </c>
      <c r="F139" s="889"/>
      <c r="G139" s="182">
        <f>'Sch 1- Rate Base '!G139</f>
        <v>35118959.25</v>
      </c>
      <c r="H139" s="182">
        <f>'Sch 1- Rate Base '!H139</f>
        <v>0</v>
      </c>
      <c r="I139" s="182">
        <f>'Sch 1- Rate Base '!I139</f>
        <v>0</v>
      </c>
      <c r="J139" s="183">
        <f>'Sch 1- Rate Base '!J139</f>
        <v>35118959.25</v>
      </c>
      <c r="K139" s="903">
        <f>IF($E139="DIRECT",0,1)</f>
        <v>1</v>
      </c>
      <c r="O139" s="1116">
        <f>$G139</f>
        <v>35118959.25</v>
      </c>
      <c r="P139" s="1117">
        <f>VLOOKUP($E139,O$442:R$453,2,FALSE)*O139*($K139)+IF($G139&lt;&gt;0,($H139/$G139)*O139,0)*(1-$K139)</f>
        <v>0</v>
      </c>
      <c r="Q139" s="1117">
        <f>VLOOKUP($E139,O$442:R$453,3,FALSE)*O139*($K139)+IF($G139&lt;&gt;0,($I139/$G139)*O139,0)*(1-$K139)</f>
        <v>0</v>
      </c>
      <c r="R139" s="1117">
        <f>VLOOKUP($E139,O$442:R$453,4,FALSE)*O139*($K139)+(O139-P139-Q139)*(1-$K139)</f>
        <v>35118959.25</v>
      </c>
      <c r="S139" s="1118"/>
      <c r="W139" s="1116">
        <f>$G139</f>
        <v>35118959.25</v>
      </c>
      <c r="X139" s="1117">
        <f>VLOOKUP($E139,W$442:Z$453,2,FALSE)*W139*($K139)+IF($G139&lt;&gt;0,($H139/$G139)*W139,0)*(1-$K139)</f>
        <v>0</v>
      </c>
      <c r="Y139" s="1117">
        <f>VLOOKUP($E139,W$442:Z$453,3,FALSE)*W139*($K139)+IF($G139&lt;&gt;0,($I139/$G139)*W139,0)*(1-$K139)</f>
        <v>0</v>
      </c>
      <c r="Z139" s="1117">
        <f>VLOOKUP($E139,W$442:Z$453,4,FALSE)*W139*($K139)+(W139-X139-Y139)*(1-$K139)</f>
        <v>35118959.25</v>
      </c>
      <c r="AA139" s="1118"/>
      <c r="AE139" s="1116">
        <f>$G139</f>
        <v>35118959.25</v>
      </c>
      <c r="AF139" s="1117">
        <f>VLOOKUP($E139,AE$442:AH$453,2,FALSE)*AE139*($K139)+IF($G139&lt;&gt;0,($H139/$G139)*AE139,0)*(1-$K139)</f>
        <v>0</v>
      </c>
      <c r="AG139" s="1117">
        <f>VLOOKUP($E139,AE$442:AH$453,3,FALSE)*AE139*($K139)+IF($G139&lt;&gt;0,($I139/$G139)*AE139,0)*(1-$K139)</f>
        <v>0</v>
      </c>
      <c r="AH139" s="1117">
        <f>VLOOKUP($E139,AE$442:AH$453,4,FALSE)*AE139*($K139)+(AE139-AF139-AG139)*(1-$K139)</f>
        <v>35118959.25</v>
      </c>
      <c r="AI139" s="1118"/>
      <c r="AM139" s="1116">
        <f>$G139</f>
        <v>35118959.25</v>
      </c>
      <c r="AN139" s="1117">
        <f>VLOOKUP($E139,AM$442:AP$453,2,FALSE)*AM139*($K139)+IF($G139&lt;&gt;0,($H139/$G139)*AM139,0)*(1-$K139)</f>
        <v>0</v>
      </c>
      <c r="AO139" s="1117">
        <f>VLOOKUP($E139,AM$442:AP$453,3,FALSE)*AM139*($K139)+IF($G139&lt;&gt;0,($I139/$G139)*AM139,0)*(1-$K139)</f>
        <v>0</v>
      </c>
      <c r="AP139" s="1117">
        <f>VLOOKUP($E139,AM$442:AP$453,4,FALSE)*AM139*($K139)+(AM139-AN139-AO139)*(1-$K139)</f>
        <v>35118959.25</v>
      </c>
      <c r="AQ139" s="1118"/>
      <c r="AU139" s="1116">
        <f>$G139</f>
        <v>35118959.25</v>
      </c>
      <c r="AV139" s="1117">
        <f>VLOOKUP($E139,AU$442:AX$453,2,FALSE)*AU139*($K139)+IF($G139&lt;&gt;0,($H139/$G139)*AU139,0)*(1-$K139)</f>
        <v>0</v>
      </c>
      <c r="AW139" s="1117">
        <f>VLOOKUP($E139,AU$442:AX$453,3,FALSE)*AU139*($K139)+IF($G139&lt;&gt;0,($I139/$G139)*AU139,0)*(1-$K139)</f>
        <v>0</v>
      </c>
      <c r="AX139" s="1117">
        <f>VLOOKUP($E139,AU$442:AX$453,4,FALSE)*AU139*($K139)+(AU139-AV139-AW139)*(1-$K139)</f>
        <v>35118959.25</v>
      </c>
      <c r="AY139" s="1118"/>
      <c r="BC139" s="1116">
        <f>$G139</f>
        <v>35118959.25</v>
      </c>
      <c r="BD139" s="1117">
        <f>VLOOKUP($E139,BC$442:BF$453,2,FALSE)*BC139*($K139)+IF($G139&lt;&gt;0,($H139/$G139)*BC139,0)*(1-$K139)</f>
        <v>0</v>
      </c>
      <c r="BE139" s="1117">
        <f>VLOOKUP($E139,BC$442:BF$453,3,FALSE)*BC139*($K139)+IF($G139&lt;&gt;0,($I139/$G139)*BC139,0)*(1-$K139)</f>
        <v>0</v>
      </c>
      <c r="BF139" s="1117">
        <f>VLOOKUP($E139,BC$442:BF$453,4,FALSE)*BC139*($K139)+(BC139-BD139-BE139)*(1-$K139)</f>
        <v>35118959.25</v>
      </c>
      <c r="BG139" s="1118"/>
      <c r="BK139" s="1116">
        <f>$G139</f>
        <v>35118959.25</v>
      </c>
      <c r="BL139" s="1117">
        <f>VLOOKUP($E139,BK$442:BN$453,2,FALSE)*BK139*($K139)+IF($G139&lt;&gt;0,($H139/$G139)*BK139,0)*(1-$K139)</f>
        <v>0</v>
      </c>
      <c r="BM139" s="1117">
        <f>VLOOKUP($E139,BK$442:BN$453,3,FALSE)*BK139*($K139)+IF($G139&lt;&gt;0,($I139/$G139)*BK139,0)*(1-$K139)</f>
        <v>0</v>
      </c>
      <c r="BN139" s="1117">
        <f>VLOOKUP($E139,BK$442:BN$453,4,FALSE)*BK139*($K139)+(BK139-BL139-BM139)*(1-$K139)</f>
        <v>35118959.25</v>
      </c>
      <c r="BO139" s="1118"/>
      <c r="BS139" s="1116">
        <f>$G139</f>
        <v>35118959.25</v>
      </c>
      <c r="BT139" s="1117">
        <f>VLOOKUP($E139,BS$442:BV$453,2,FALSE)*BS139*($K139)+IF($G139&lt;&gt;0,($H139/$G139)*BS139,0)*(1-$K139)</f>
        <v>0</v>
      </c>
      <c r="BU139" s="1117">
        <f>VLOOKUP($E139,BS$442:BV$453,3,FALSE)*BS139*($K139)+IF($G139&lt;&gt;0,($I139/$G139)*BS139,0)*(1-$K139)</f>
        <v>0</v>
      </c>
      <c r="BV139" s="1117">
        <f>VLOOKUP($E139,BS$442:BV$453,4,FALSE)*BS139*($K139)+(BS139-BT139-BU139)*(1-$K139)</f>
        <v>35118959.25</v>
      </c>
      <c r="BW139" s="1118"/>
      <c r="CA139" s="1116">
        <f>$G139</f>
        <v>35118959.25</v>
      </c>
      <c r="CB139" s="1117">
        <f>VLOOKUP($E139,CA$442:CD$453,2,FALSE)*CA139*($K139)+IF($G139&lt;&gt;0,($H139/$G139)*CA139,0)*(1-$K139)</f>
        <v>0</v>
      </c>
      <c r="CC139" s="1117">
        <f>VLOOKUP($E139,CA$442:CD$453,3,FALSE)*CA139*($K139)+IF($G139&lt;&gt;0,($I139/$G139)*CA139,0)*(1-$K139)</f>
        <v>0</v>
      </c>
      <c r="CD139" s="1117">
        <f>VLOOKUP($E139,CA$442:CD$453,4,FALSE)*CA139*($K139)+(CA139-CB139-CC139)*(1-$K139)</f>
        <v>35118959.25</v>
      </c>
      <c r="CE139" s="1118"/>
      <c r="CI139" s="1116">
        <f>$G139</f>
        <v>35118959.25</v>
      </c>
      <c r="CJ139" s="1117">
        <f>VLOOKUP($E139,CI$442:CL$453,2,FALSE)*CI139*($K139)+IF($G139&lt;&gt;0,($H139/$G139)*CI139,0)*(1-$K139)</f>
        <v>0</v>
      </c>
      <c r="CK139" s="1117">
        <f>VLOOKUP($E139,CI$442:CL$453,3,FALSE)*CI139*($K139)+IF($G139&lt;&gt;0,($I139/$G139)*CI139,0)*(1-$K139)</f>
        <v>0</v>
      </c>
      <c r="CL139" s="1117">
        <f>VLOOKUP($E139,CI$442:CL$453,4,FALSE)*CI139*($K139)+(CI139-CJ139-CK139)*(1-$K139)</f>
        <v>35118959.25</v>
      </c>
      <c r="CM139" s="1118"/>
      <c r="CQ139" s="1116">
        <f>$G139</f>
        <v>35118959.25</v>
      </c>
      <c r="CR139" s="1117">
        <f>VLOOKUP($E139,CQ$442:CT$453,2,FALSE)*CQ139*($K139)+IF($G139&lt;&gt;0,($H139/$G139)*CQ139,0)*(1-$K139)</f>
        <v>0</v>
      </c>
      <c r="CS139" s="1117">
        <f>VLOOKUP($E139,CQ$442:CT$453,3,FALSE)*CQ139*($K139)+IF($G139&lt;&gt;0,($I139/$G139)*CQ139,0)*(1-$K139)</f>
        <v>0</v>
      </c>
      <c r="CT139" s="1117">
        <f>VLOOKUP($E139,CQ$442:CT$453,4,FALSE)*CQ139*($K139)+(CQ139-CR139-CS139)*(1-$K139)</f>
        <v>35118959.25</v>
      </c>
      <c r="CU139" s="1118"/>
      <c r="CY139" s="1116">
        <f>$G139</f>
        <v>35118959.25</v>
      </c>
      <c r="CZ139" s="1117">
        <f>VLOOKUP($E139,CY$442:DB$453,2,FALSE)*CY139*($K139)+IF($G139&lt;&gt;0,($H139/$G139)*CY139,0)*(1-$K139)</f>
        <v>0</v>
      </c>
      <c r="DA139" s="1117">
        <f>VLOOKUP($E139,CY$442:DB$453,3,FALSE)*CY139*($K139)+IF($G139&lt;&gt;0,($I139/$G139)*CY139,0)*(1-$K139)</f>
        <v>0</v>
      </c>
      <c r="DB139" s="1117">
        <f>VLOOKUP($E139,CY$442:DB$453,4,FALSE)*CY139*($K139)+(CY139-CZ139-DA139)*(1-$K139)</f>
        <v>35118959.25</v>
      </c>
      <c r="DC139" s="1118"/>
      <c r="DG139" s="1116">
        <f>$G139</f>
        <v>35118959.25</v>
      </c>
      <c r="DH139" s="1117">
        <f>VLOOKUP($E139,DG$442:DJ$453,2,FALSE)*DG139*($K139)+IF($G139&lt;&gt;0,($H139/$G139)*DG139,0)*(1-$K139)</f>
        <v>0</v>
      </c>
      <c r="DI139" s="1117">
        <f>VLOOKUP($E139,DG$442:DJ$453,3,FALSE)*DG139*($K139)+IF($G139&lt;&gt;0,($I139/$G139)*DG139,0)*(1-$K139)</f>
        <v>0</v>
      </c>
      <c r="DJ139" s="1117">
        <f>VLOOKUP($E139,DG$442:DJ$453,4,FALSE)*DG139*($K139)+(DG139-DH139-DI139)*(1-$K139)</f>
        <v>35118959.25</v>
      </c>
      <c r="DK139" s="1118"/>
      <c r="DO139" s="1116">
        <f>$G139</f>
        <v>35118959.25</v>
      </c>
      <c r="DP139" s="1117">
        <f>VLOOKUP($E139,DO$442:DR$453,2,FALSE)*DO139*($K139)+IF($G139&lt;&gt;0,($H139/$G139)*DO139,0)*(1-$K139)</f>
        <v>0</v>
      </c>
      <c r="DQ139" s="1117">
        <f>VLOOKUP($E139,DO$442:DR$453,3,FALSE)*DO139*($K139)+IF($G139&lt;&gt;0,($I139/$G139)*DO139,0)*(1-$K139)</f>
        <v>0</v>
      </c>
      <c r="DR139" s="1117">
        <f>VLOOKUP($E139,DO$442:DR$453,4,FALSE)*DO139*($K139)+(DO139-DP139-DQ139)*(1-$K139)</f>
        <v>35118959.25</v>
      </c>
      <c r="DS139" s="1118"/>
      <c r="DW139" s="1116">
        <f>$G139</f>
        <v>35118959.25</v>
      </c>
      <c r="DX139" s="1117">
        <f>VLOOKUP($E139,DW$442:DZ$453,2,FALSE)*DW139*($K139)+IF($G139&lt;&gt;0,($H139/$G139)*DW139,0)*(1-$K139)</f>
        <v>0</v>
      </c>
      <c r="DY139" s="1117">
        <f>VLOOKUP($E139,DW$442:DZ$453,3,FALSE)*DW139*($K139)+IF($G139&lt;&gt;0,($I139/$G139)*DW139,0)*(1-$K139)</f>
        <v>0</v>
      </c>
      <c r="DZ139" s="1117">
        <f>VLOOKUP($E139,DW$442:DZ$453,4,FALSE)*DW139*($K139)+(DW139-DX139-DY139)*(1-$K139)</f>
        <v>35118959.25</v>
      </c>
      <c r="EA139" s="1118"/>
      <c r="EE139" s="1116">
        <f>$G139</f>
        <v>35118959.25</v>
      </c>
      <c r="EF139" s="1117">
        <f>VLOOKUP($E139,EE$442:EH$453,2,FALSE)*EE139*($K139)+IF($G139&lt;&gt;0,($H139/$G139)*EE139,0)*(1-$K139)</f>
        <v>0</v>
      </c>
      <c r="EG139" s="1117">
        <f>VLOOKUP($E139,EE$442:EH$453,3,FALSE)*EE139*($K139)+IF($G139&lt;&gt;0,($I139/$G139)*EE139,0)*(1-$K139)</f>
        <v>0</v>
      </c>
      <c r="EH139" s="1117">
        <f>VLOOKUP($E139,EE$442:EH$453,4,FALSE)*EE139*($K139)+(EE139-EF139-EG139)*(1-$K139)</f>
        <v>35118959.25</v>
      </c>
      <c r="EI139" s="1118"/>
      <c r="EM139" s="1116">
        <f>$G139</f>
        <v>35118959.25</v>
      </c>
      <c r="EN139" s="1117">
        <f>VLOOKUP($E139,EM$442:EP$453,2,FALSE)*EM139*($K139)+IF($G139&lt;&gt;0,($H139/$G139)*EM139,0)*(1-$K139)</f>
        <v>0</v>
      </c>
      <c r="EO139" s="1117">
        <f>VLOOKUP($E139,EM$442:EP$453,3,FALSE)*EM139*($K139)+IF($G139&lt;&gt;0,($I139/$G139)*EM139,0)*(1-$K139)</f>
        <v>0</v>
      </c>
      <c r="EP139" s="1117">
        <f>VLOOKUP($E139,EM$442:EP$453,4,FALSE)*EM139*($K139)+(EM139-EN139-EO139)*(1-$K139)</f>
        <v>35118959.25</v>
      </c>
      <c r="EQ139" s="1118"/>
      <c r="EU139" s="1116">
        <f>$G139</f>
        <v>35118959.25</v>
      </c>
      <c r="EV139" s="1117">
        <f>VLOOKUP($E139,EU$442:EX$453,2,FALSE)*EU139*($K139)+IF($G139&lt;&gt;0,($H139/$G139)*EU139,0)*(1-$K139)</f>
        <v>0</v>
      </c>
      <c r="EW139" s="1117">
        <f>VLOOKUP($E139,EU$442:EX$453,3,FALSE)*EU139*($K139)+IF($G139&lt;&gt;0,($I139/$G139)*EU139,0)*(1-$K139)</f>
        <v>0</v>
      </c>
      <c r="EX139" s="1117">
        <f>VLOOKUP($E139,EU$442:EX$453,4,FALSE)*EU139*($K139)+(EU139-EV139-EW139)*(1-$K139)</f>
        <v>35118959.25</v>
      </c>
      <c r="EY139" s="1118"/>
      <c r="FC139" s="1116">
        <f>$G139</f>
        <v>35118959.25</v>
      </c>
      <c r="FD139" s="1117">
        <f>VLOOKUP($E139,FC$442:FF$453,2,FALSE)*FC139*($K139)+IF($G139&lt;&gt;0,($H139/$G139)*FC139,0)*(1-$K139)</f>
        <v>0</v>
      </c>
      <c r="FE139" s="1117">
        <f>VLOOKUP($E139,FC$442:FF$453,3,FALSE)*FC139*($K139)+IF($G139&lt;&gt;0,($I139/$G139)*FC139,0)*(1-$K139)</f>
        <v>0</v>
      </c>
      <c r="FF139" s="1117">
        <f>VLOOKUP($E139,FC$442:FF$453,4,FALSE)*FC139*($K139)+(FC139-FD139-FE139)*(1-$K139)</f>
        <v>35118959.25</v>
      </c>
      <c r="FG139" s="1118"/>
      <c r="FK139" s="1116">
        <f>$G139</f>
        <v>35118959.25</v>
      </c>
      <c r="FL139" s="1117">
        <f>VLOOKUP($E139,FK$442:FN$453,2,FALSE)*FK139*($K139)+IF($G139&lt;&gt;0,($H139/$G139)*FK139,0)*(1-$K139)</f>
        <v>0</v>
      </c>
      <c r="FM139" s="1117">
        <f>VLOOKUP($E139,FK$442:FN$453,3,FALSE)*FK139*($K139)+IF($G139&lt;&gt;0,($I139/$G139)*FK139,0)*(1-$K139)</f>
        <v>0</v>
      </c>
      <c r="FN139" s="1117">
        <f>VLOOKUP($E139,FK$442:FN$453,4,FALSE)*FK139*($K139)+(FK139-FL139-FM139)*(1-$K139)</f>
        <v>35118959.25</v>
      </c>
      <c r="FO139" s="1118"/>
    </row>
    <row r="140" spans="1:171">
      <c r="A140" s="944"/>
      <c r="B140" s="969" t="s">
        <v>629</v>
      </c>
      <c r="C140" s="888" t="s">
        <v>348</v>
      </c>
      <c r="D140" s="888">
        <v>244</v>
      </c>
      <c r="E140" s="182" t="str">
        <f>'Sch 1- Rate Base '!E140</f>
        <v>DIST</v>
      </c>
      <c r="F140" s="889"/>
      <c r="G140" s="182">
        <f>'Sch 1- Rate Base '!G140</f>
        <v>17902180</v>
      </c>
      <c r="H140" s="182">
        <f>'Sch 1- Rate Base '!H140</f>
        <v>0</v>
      </c>
      <c r="I140" s="182">
        <f>'Sch 1- Rate Base '!I140</f>
        <v>0</v>
      </c>
      <c r="J140" s="183">
        <f>'Sch 1- Rate Base '!J140</f>
        <v>17902180</v>
      </c>
      <c r="K140" s="903">
        <f>IF($E140="DIRECT",0,1)</f>
        <v>1</v>
      </c>
      <c r="O140" s="1116">
        <f>$G140</f>
        <v>17902180</v>
      </c>
      <c r="P140" s="1117">
        <f>VLOOKUP($E140,O$442:R$453,2,FALSE)*O140*($K140)+IF($G140&lt;&gt;0,($H140/$G140)*O140,0)*(1-$K140)</f>
        <v>0</v>
      </c>
      <c r="Q140" s="1117">
        <f>VLOOKUP($E140,O$442:R$453,3,FALSE)*O140*($K140)+IF($G140&lt;&gt;0,($I140/$G140)*O140,0)*(1-$K140)</f>
        <v>0</v>
      </c>
      <c r="R140" s="1117">
        <f>VLOOKUP($E140,O$442:R$453,4,FALSE)*O140*($K140)+(O140-P140-Q140)*(1-$K140)</f>
        <v>17902180</v>
      </c>
      <c r="S140" s="1118"/>
      <c r="W140" s="1116">
        <f>$G140</f>
        <v>17902180</v>
      </c>
      <c r="X140" s="1117">
        <f>VLOOKUP($E140,W$442:Z$453,2,FALSE)*W140*($K140)+IF($G140&lt;&gt;0,($H140/$G140)*W140,0)*(1-$K140)</f>
        <v>0</v>
      </c>
      <c r="Y140" s="1117">
        <f>VLOOKUP($E140,W$442:Z$453,3,FALSE)*W140*($K140)+IF($G140&lt;&gt;0,($I140/$G140)*W140,0)*(1-$K140)</f>
        <v>0</v>
      </c>
      <c r="Z140" s="1117">
        <f>VLOOKUP($E140,W$442:Z$453,4,FALSE)*W140*($K140)+(W140-X140-Y140)*(1-$K140)</f>
        <v>17902180</v>
      </c>
      <c r="AA140" s="1118"/>
      <c r="AE140" s="1116">
        <f>$G140</f>
        <v>17902180</v>
      </c>
      <c r="AF140" s="1117">
        <f>VLOOKUP($E140,AE$442:AH$453,2,FALSE)*AE140*($K140)+IF($G140&lt;&gt;0,($H140/$G140)*AE140,0)*(1-$K140)</f>
        <v>0</v>
      </c>
      <c r="AG140" s="1117">
        <f>VLOOKUP($E140,AE$442:AH$453,3,FALSE)*AE140*($K140)+IF($G140&lt;&gt;0,($I140/$G140)*AE140,0)*(1-$K140)</f>
        <v>0</v>
      </c>
      <c r="AH140" s="1117">
        <f>VLOOKUP($E140,AE$442:AH$453,4,FALSE)*AE140*($K140)+(AE140-AF140-AG140)*(1-$K140)</f>
        <v>17902180</v>
      </c>
      <c r="AI140" s="1118"/>
      <c r="AM140" s="1116">
        <f>$G140</f>
        <v>17902180</v>
      </c>
      <c r="AN140" s="1117">
        <f>VLOOKUP($E140,AM$442:AP$453,2,FALSE)*AM140*($K140)+IF($G140&lt;&gt;0,($H140/$G140)*AM140,0)*(1-$K140)</f>
        <v>0</v>
      </c>
      <c r="AO140" s="1117">
        <f>VLOOKUP($E140,AM$442:AP$453,3,FALSE)*AM140*($K140)+IF($G140&lt;&gt;0,($I140/$G140)*AM140,0)*(1-$K140)</f>
        <v>0</v>
      </c>
      <c r="AP140" s="1117">
        <f>VLOOKUP($E140,AM$442:AP$453,4,FALSE)*AM140*($K140)+(AM140-AN140-AO140)*(1-$K140)</f>
        <v>17902180</v>
      </c>
      <c r="AQ140" s="1118"/>
      <c r="AU140" s="1116">
        <f>$G140</f>
        <v>17902180</v>
      </c>
      <c r="AV140" s="1117">
        <f>VLOOKUP($E140,AU$442:AX$453,2,FALSE)*AU140*($K140)+IF($G140&lt;&gt;0,($H140/$G140)*AU140,0)*(1-$K140)</f>
        <v>0</v>
      </c>
      <c r="AW140" s="1117">
        <f>VLOOKUP($E140,AU$442:AX$453,3,FALSE)*AU140*($K140)+IF($G140&lt;&gt;0,($I140/$G140)*AU140,0)*(1-$K140)</f>
        <v>0</v>
      </c>
      <c r="AX140" s="1117">
        <f>VLOOKUP($E140,AU$442:AX$453,4,FALSE)*AU140*($K140)+(AU140-AV140-AW140)*(1-$K140)</f>
        <v>17902180</v>
      </c>
      <c r="AY140" s="1118"/>
      <c r="BC140" s="1116">
        <f>$G140</f>
        <v>17902180</v>
      </c>
      <c r="BD140" s="1117">
        <f>VLOOKUP($E140,BC$442:BF$453,2,FALSE)*BC140*($K140)+IF($G140&lt;&gt;0,($H140/$G140)*BC140,0)*(1-$K140)</f>
        <v>0</v>
      </c>
      <c r="BE140" s="1117">
        <f>VLOOKUP($E140,BC$442:BF$453,3,FALSE)*BC140*($K140)+IF($G140&lt;&gt;0,($I140/$G140)*BC140,0)*(1-$K140)</f>
        <v>0</v>
      </c>
      <c r="BF140" s="1117">
        <f>VLOOKUP($E140,BC$442:BF$453,4,FALSE)*BC140*($K140)+(BC140-BD140-BE140)*(1-$K140)</f>
        <v>17902180</v>
      </c>
      <c r="BG140" s="1118"/>
      <c r="BK140" s="1116">
        <f>$G140</f>
        <v>17902180</v>
      </c>
      <c r="BL140" s="1117">
        <f>VLOOKUP($E140,BK$442:BN$453,2,FALSE)*BK140*($K140)+IF($G140&lt;&gt;0,($H140/$G140)*BK140,0)*(1-$K140)</f>
        <v>0</v>
      </c>
      <c r="BM140" s="1117">
        <f>VLOOKUP($E140,BK$442:BN$453,3,FALSE)*BK140*($K140)+IF($G140&lt;&gt;0,($I140/$G140)*BK140,0)*(1-$K140)</f>
        <v>0</v>
      </c>
      <c r="BN140" s="1117">
        <f>VLOOKUP($E140,BK$442:BN$453,4,FALSE)*BK140*($K140)+(BK140-BL140-BM140)*(1-$K140)</f>
        <v>17902180</v>
      </c>
      <c r="BO140" s="1118"/>
      <c r="BS140" s="1116">
        <f>$G140</f>
        <v>17902180</v>
      </c>
      <c r="BT140" s="1117">
        <f>VLOOKUP($E140,BS$442:BV$453,2,FALSE)*BS140*($K140)+IF($G140&lt;&gt;0,($H140/$G140)*BS140,0)*(1-$K140)</f>
        <v>0</v>
      </c>
      <c r="BU140" s="1117">
        <f>VLOOKUP($E140,BS$442:BV$453,3,FALSE)*BS140*($K140)+IF($G140&lt;&gt;0,($I140/$G140)*BS140,0)*(1-$K140)</f>
        <v>0</v>
      </c>
      <c r="BV140" s="1117">
        <f>VLOOKUP($E140,BS$442:BV$453,4,FALSE)*BS140*($K140)+(BS140-BT140-BU140)*(1-$K140)</f>
        <v>17902180</v>
      </c>
      <c r="BW140" s="1118"/>
      <c r="CA140" s="1116">
        <f>$G140</f>
        <v>17902180</v>
      </c>
      <c r="CB140" s="1117">
        <f>VLOOKUP($E140,CA$442:CD$453,2,FALSE)*CA140*($K140)+IF($G140&lt;&gt;0,($H140/$G140)*CA140,0)*(1-$K140)</f>
        <v>0</v>
      </c>
      <c r="CC140" s="1117">
        <f>VLOOKUP($E140,CA$442:CD$453,3,FALSE)*CA140*($K140)+IF($G140&lt;&gt;0,($I140/$G140)*CA140,0)*(1-$K140)</f>
        <v>0</v>
      </c>
      <c r="CD140" s="1117">
        <f>VLOOKUP($E140,CA$442:CD$453,4,FALSE)*CA140*($K140)+(CA140-CB140-CC140)*(1-$K140)</f>
        <v>17902180</v>
      </c>
      <c r="CE140" s="1118"/>
      <c r="CI140" s="1116">
        <f>$G140</f>
        <v>17902180</v>
      </c>
      <c r="CJ140" s="1117">
        <f>VLOOKUP($E140,CI$442:CL$453,2,FALSE)*CI140*($K140)+IF($G140&lt;&gt;0,($H140/$G140)*CI140,0)*(1-$K140)</f>
        <v>0</v>
      </c>
      <c r="CK140" s="1117">
        <f>VLOOKUP($E140,CI$442:CL$453,3,FALSE)*CI140*($K140)+IF($G140&lt;&gt;0,($I140/$G140)*CI140,0)*(1-$K140)</f>
        <v>0</v>
      </c>
      <c r="CL140" s="1117">
        <f>VLOOKUP($E140,CI$442:CL$453,4,FALSE)*CI140*($K140)+(CI140-CJ140-CK140)*(1-$K140)</f>
        <v>17902180</v>
      </c>
      <c r="CM140" s="1118"/>
      <c r="CQ140" s="1116">
        <f>$G140</f>
        <v>17902180</v>
      </c>
      <c r="CR140" s="1117">
        <f>VLOOKUP($E140,CQ$442:CT$453,2,FALSE)*CQ140*($K140)+IF($G140&lt;&gt;0,($H140/$G140)*CQ140,0)*(1-$K140)</f>
        <v>0</v>
      </c>
      <c r="CS140" s="1117">
        <f>VLOOKUP($E140,CQ$442:CT$453,3,FALSE)*CQ140*($K140)+IF($G140&lt;&gt;0,($I140/$G140)*CQ140,0)*(1-$K140)</f>
        <v>0</v>
      </c>
      <c r="CT140" s="1117">
        <f>VLOOKUP($E140,CQ$442:CT$453,4,FALSE)*CQ140*($K140)+(CQ140-CR140-CS140)*(1-$K140)</f>
        <v>17902180</v>
      </c>
      <c r="CU140" s="1118"/>
      <c r="CY140" s="1116">
        <f>$G140</f>
        <v>17902180</v>
      </c>
      <c r="CZ140" s="1117">
        <f>VLOOKUP($E140,CY$442:DB$453,2,FALSE)*CY140*($K140)+IF($G140&lt;&gt;0,($H140/$G140)*CY140,0)*(1-$K140)</f>
        <v>0</v>
      </c>
      <c r="DA140" s="1117">
        <f>VLOOKUP($E140,CY$442:DB$453,3,FALSE)*CY140*($K140)+IF($G140&lt;&gt;0,($I140/$G140)*CY140,0)*(1-$K140)</f>
        <v>0</v>
      </c>
      <c r="DB140" s="1117">
        <f>VLOOKUP($E140,CY$442:DB$453,4,FALSE)*CY140*($K140)+(CY140-CZ140-DA140)*(1-$K140)</f>
        <v>17902180</v>
      </c>
      <c r="DC140" s="1118"/>
      <c r="DG140" s="1116">
        <f>$G140</f>
        <v>17902180</v>
      </c>
      <c r="DH140" s="1117">
        <f>VLOOKUP($E140,DG$442:DJ$453,2,FALSE)*DG140*($K140)+IF($G140&lt;&gt;0,($H140/$G140)*DG140,0)*(1-$K140)</f>
        <v>0</v>
      </c>
      <c r="DI140" s="1117">
        <f>VLOOKUP($E140,DG$442:DJ$453,3,FALSE)*DG140*($K140)+IF($G140&lt;&gt;0,($I140/$G140)*DG140,0)*(1-$K140)</f>
        <v>0</v>
      </c>
      <c r="DJ140" s="1117">
        <f>VLOOKUP($E140,DG$442:DJ$453,4,FALSE)*DG140*($K140)+(DG140-DH140-DI140)*(1-$K140)</f>
        <v>17902180</v>
      </c>
      <c r="DK140" s="1118"/>
      <c r="DO140" s="1116">
        <f>$G140</f>
        <v>17902180</v>
      </c>
      <c r="DP140" s="1117">
        <f>VLOOKUP($E140,DO$442:DR$453,2,FALSE)*DO140*($K140)+IF($G140&lt;&gt;0,($H140/$G140)*DO140,0)*(1-$K140)</f>
        <v>0</v>
      </c>
      <c r="DQ140" s="1117">
        <f>VLOOKUP($E140,DO$442:DR$453,3,FALSE)*DO140*($K140)+IF($G140&lt;&gt;0,($I140/$G140)*DO140,0)*(1-$K140)</f>
        <v>0</v>
      </c>
      <c r="DR140" s="1117">
        <f>VLOOKUP($E140,DO$442:DR$453,4,FALSE)*DO140*($K140)+(DO140-DP140-DQ140)*(1-$K140)</f>
        <v>17902180</v>
      </c>
      <c r="DS140" s="1118"/>
      <c r="DW140" s="1116">
        <f>$G140</f>
        <v>17902180</v>
      </c>
      <c r="DX140" s="1117">
        <f>VLOOKUP($E140,DW$442:DZ$453,2,FALSE)*DW140*($K140)+IF($G140&lt;&gt;0,($H140/$G140)*DW140,0)*(1-$K140)</f>
        <v>0</v>
      </c>
      <c r="DY140" s="1117">
        <f>VLOOKUP($E140,DW$442:DZ$453,3,FALSE)*DW140*($K140)+IF($G140&lt;&gt;0,($I140/$G140)*DW140,0)*(1-$K140)</f>
        <v>0</v>
      </c>
      <c r="DZ140" s="1117">
        <f>VLOOKUP($E140,DW$442:DZ$453,4,FALSE)*DW140*($K140)+(DW140-DX140-DY140)*(1-$K140)</f>
        <v>17902180</v>
      </c>
      <c r="EA140" s="1118"/>
      <c r="EE140" s="1116">
        <f>$G140</f>
        <v>17902180</v>
      </c>
      <c r="EF140" s="1117">
        <f>VLOOKUP($E140,EE$442:EH$453,2,FALSE)*EE140*($K140)+IF($G140&lt;&gt;0,($H140/$G140)*EE140,0)*(1-$K140)</f>
        <v>0</v>
      </c>
      <c r="EG140" s="1117">
        <f>VLOOKUP($E140,EE$442:EH$453,3,FALSE)*EE140*($K140)+IF($G140&lt;&gt;0,($I140/$G140)*EE140,0)*(1-$K140)</f>
        <v>0</v>
      </c>
      <c r="EH140" s="1117">
        <f>VLOOKUP($E140,EE$442:EH$453,4,FALSE)*EE140*($K140)+(EE140-EF140-EG140)*(1-$K140)</f>
        <v>17902180</v>
      </c>
      <c r="EI140" s="1118"/>
      <c r="EM140" s="1116">
        <f>$G140</f>
        <v>17902180</v>
      </c>
      <c r="EN140" s="1117">
        <f>VLOOKUP($E140,EM$442:EP$453,2,FALSE)*EM140*($K140)+IF($G140&lt;&gt;0,($H140/$G140)*EM140,0)*(1-$K140)</f>
        <v>0</v>
      </c>
      <c r="EO140" s="1117">
        <f>VLOOKUP($E140,EM$442:EP$453,3,FALSE)*EM140*($K140)+IF($G140&lt;&gt;0,($I140/$G140)*EM140,0)*(1-$K140)</f>
        <v>0</v>
      </c>
      <c r="EP140" s="1117">
        <f>VLOOKUP($E140,EM$442:EP$453,4,FALSE)*EM140*($K140)+(EM140-EN140-EO140)*(1-$K140)</f>
        <v>17902180</v>
      </c>
      <c r="EQ140" s="1118"/>
      <c r="EU140" s="1116">
        <f>$G140</f>
        <v>17902180</v>
      </c>
      <c r="EV140" s="1117">
        <f>VLOOKUP($E140,EU$442:EX$453,2,FALSE)*EU140*($K140)+IF($G140&lt;&gt;0,($H140/$G140)*EU140,0)*(1-$K140)</f>
        <v>0</v>
      </c>
      <c r="EW140" s="1117">
        <f>VLOOKUP($E140,EU$442:EX$453,3,FALSE)*EU140*($K140)+IF($G140&lt;&gt;0,($I140/$G140)*EU140,0)*(1-$K140)</f>
        <v>0</v>
      </c>
      <c r="EX140" s="1117">
        <f>VLOOKUP($E140,EU$442:EX$453,4,FALSE)*EU140*($K140)+(EU140-EV140-EW140)*(1-$K140)</f>
        <v>17902180</v>
      </c>
      <c r="EY140" s="1118"/>
      <c r="FC140" s="1116">
        <f>$G140</f>
        <v>17902180</v>
      </c>
      <c r="FD140" s="1117">
        <f>VLOOKUP($E140,FC$442:FF$453,2,FALSE)*FC140*($K140)+IF($G140&lt;&gt;0,($H140/$G140)*FC140,0)*(1-$K140)</f>
        <v>0</v>
      </c>
      <c r="FE140" s="1117">
        <f>VLOOKUP($E140,FC$442:FF$453,3,FALSE)*FC140*($K140)+IF($G140&lt;&gt;0,($I140/$G140)*FC140,0)*(1-$K140)</f>
        <v>0</v>
      </c>
      <c r="FF140" s="1117">
        <f>VLOOKUP($E140,FC$442:FF$453,4,FALSE)*FC140*($K140)+(FC140-FD140-FE140)*(1-$K140)</f>
        <v>17902180</v>
      </c>
      <c r="FG140" s="1118"/>
      <c r="FK140" s="1116">
        <f>$G140</f>
        <v>17902180</v>
      </c>
      <c r="FL140" s="1117">
        <f>VLOOKUP($E140,FK$442:FN$453,2,FALSE)*FK140*($K140)+IF($G140&lt;&gt;0,($H140/$G140)*FK140,0)*(1-$K140)</f>
        <v>0</v>
      </c>
      <c r="FM140" s="1117">
        <f>VLOOKUP($E140,FK$442:FN$453,3,FALSE)*FK140*($K140)+IF($G140&lt;&gt;0,($I140/$G140)*FK140,0)*(1-$K140)</f>
        <v>0</v>
      </c>
      <c r="FN140" s="1117">
        <f>VLOOKUP($E140,FK$442:FN$453,4,FALSE)*FK140*($K140)+(FK140-FL140-FM140)*(1-$K140)</f>
        <v>17902180</v>
      </c>
      <c r="FO140" s="1118"/>
    </row>
    <row r="141" spans="1:171">
      <c r="A141" s="944"/>
      <c r="B141" s="79" t="s">
        <v>333</v>
      </c>
      <c r="C141" s="888" t="s">
        <v>376</v>
      </c>
      <c r="D141" s="888">
        <v>245</v>
      </c>
      <c r="E141" s="182" t="str">
        <f>'Sch 1- Rate Base '!E141</f>
        <v>DIST</v>
      </c>
      <c r="F141" s="889"/>
      <c r="G141" s="182">
        <f>'Sch 1- Rate Base '!G141</f>
        <v>0</v>
      </c>
      <c r="H141" s="182">
        <f>'Sch 1- Rate Base '!H141</f>
        <v>0</v>
      </c>
      <c r="I141" s="182">
        <f>'Sch 1- Rate Base '!I141</f>
        <v>0</v>
      </c>
      <c r="J141" s="183">
        <f>'Sch 1- Rate Base '!J141</f>
        <v>0</v>
      </c>
      <c r="K141" s="903">
        <f>IF($E141="DIRECT",0,1)</f>
        <v>1</v>
      </c>
      <c r="O141" s="1116">
        <f>$G141</f>
        <v>0</v>
      </c>
      <c r="P141" s="1117">
        <f>VLOOKUP($E141,O$442:R$453,2,FALSE)*O141*($K141)+IF($G141&lt;&gt;0,($H141/$G141)*O141,0)*(1-$K141)</f>
        <v>0</v>
      </c>
      <c r="Q141" s="1117">
        <f>VLOOKUP($E141,O$442:R$453,3,FALSE)*O141*($K141)+IF($G141&lt;&gt;0,($I141/$G141)*O141,0)*(1-$K141)</f>
        <v>0</v>
      </c>
      <c r="R141" s="1117">
        <f>VLOOKUP($E141,O$442:R$453,4,FALSE)*O141*($K141)+(O141-P141-Q141)*(1-$K141)</f>
        <v>0</v>
      </c>
      <c r="S141" s="1118"/>
      <c r="W141" s="1116">
        <f>$G141</f>
        <v>0</v>
      </c>
      <c r="X141" s="1117">
        <f>VLOOKUP($E141,W$442:Z$453,2,FALSE)*W141*($K141)+IF($G141&lt;&gt;0,($H141/$G141)*W141,0)*(1-$K141)</f>
        <v>0</v>
      </c>
      <c r="Y141" s="1117">
        <f>VLOOKUP($E141,W$442:Z$453,3,FALSE)*W141*($K141)+IF($G141&lt;&gt;0,($I141/$G141)*W141,0)*(1-$K141)</f>
        <v>0</v>
      </c>
      <c r="Z141" s="1117">
        <f>VLOOKUP($E141,W$442:Z$453,4,FALSE)*W141*($K141)+(W141-X141-Y141)*(1-$K141)</f>
        <v>0</v>
      </c>
      <c r="AA141" s="1118"/>
      <c r="AE141" s="1116">
        <f>$G141</f>
        <v>0</v>
      </c>
      <c r="AF141" s="1117">
        <f>VLOOKUP($E141,AE$442:AH$453,2,FALSE)*AE141*($K141)+IF($G141&lt;&gt;0,($H141/$G141)*AE141,0)*(1-$K141)</f>
        <v>0</v>
      </c>
      <c r="AG141" s="1117">
        <f>VLOOKUP($E141,AE$442:AH$453,3,FALSE)*AE141*($K141)+IF($G141&lt;&gt;0,($I141/$G141)*AE141,0)*(1-$K141)</f>
        <v>0</v>
      </c>
      <c r="AH141" s="1117">
        <f>VLOOKUP($E141,AE$442:AH$453,4,FALSE)*AE141*($K141)+(AE141-AF141-AG141)*(1-$K141)</f>
        <v>0</v>
      </c>
      <c r="AI141" s="1118"/>
      <c r="AM141" s="1116">
        <f>$G141</f>
        <v>0</v>
      </c>
      <c r="AN141" s="1117">
        <f>VLOOKUP($E141,AM$442:AP$453,2,FALSE)*AM141*($K141)+IF($G141&lt;&gt;0,($H141/$G141)*AM141,0)*(1-$K141)</f>
        <v>0</v>
      </c>
      <c r="AO141" s="1117">
        <f>VLOOKUP($E141,AM$442:AP$453,3,FALSE)*AM141*($K141)+IF($G141&lt;&gt;0,($I141/$G141)*AM141,0)*(1-$K141)</f>
        <v>0</v>
      </c>
      <c r="AP141" s="1117">
        <f>VLOOKUP($E141,AM$442:AP$453,4,FALSE)*AM141*($K141)+(AM141-AN141-AO141)*(1-$K141)</f>
        <v>0</v>
      </c>
      <c r="AQ141" s="1118"/>
      <c r="AU141" s="1116">
        <f>$G141</f>
        <v>0</v>
      </c>
      <c r="AV141" s="1117">
        <f>VLOOKUP($E141,AU$442:AX$453,2,FALSE)*AU141*($K141)+IF($G141&lt;&gt;0,($H141/$G141)*AU141,0)*(1-$K141)</f>
        <v>0</v>
      </c>
      <c r="AW141" s="1117">
        <f>VLOOKUP($E141,AU$442:AX$453,3,FALSE)*AU141*($K141)+IF($G141&lt;&gt;0,($I141/$G141)*AU141,0)*(1-$K141)</f>
        <v>0</v>
      </c>
      <c r="AX141" s="1117">
        <f>VLOOKUP($E141,AU$442:AX$453,4,FALSE)*AU141*($K141)+(AU141-AV141-AW141)*(1-$K141)</f>
        <v>0</v>
      </c>
      <c r="AY141" s="1118"/>
      <c r="BC141" s="1116">
        <f>$G141</f>
        <v>0</v>
      </c>
      <c r="BD141" s="1117">
        <f>VLOOKUP($E141,BC$442:BF$453,2,FALSE)*BC141*($K141)+IF($G141&lt;&gt;0,($H141/$G141)*BC141,0)*(1-$K141)</f>
        <v>0</v>
      </c>
      <c r="BE141" s="1117">
        <f>VLOOKUP($E141,BC$442:BF$453,3,FALSE)*BC141*($K141)+IF($G141&lt;&gt;0,($I141/$G141)*BC141,0)*(1-$K141)</f>
        <v>0</v>
      </c>
      <c r="BF141" s="1117">
        <f>VLOOKUP($E141,BC$442:BF$453,4,FALSE)*BC141*($K141)+(BC141-BD141-BE141)*(1-$K141)</f>
        <v>0</v>
      </c>
      <c r="BG141" s="1118"/>
      <c r="BK141" s="1116">
        <f>$G141</f>
        <v>0</v>
      </c>
      <c r="BL141" s="1117">
        <f>VLOOKUP($E141,BK$442:BN$453,2,FALSE)*BK141*($K141)+IF($G141&lt;&gt;0,($H141/$G141)*BK141,0)*(1-$K141)</f>
        <v>0</v>
      </c>
      <c r="BM141" s="1117">
        <f>VLOOKUP($E141,BK$442:BN$453,3,FALSE)*BK141*($K141)+IF($G141&lt;&gt;0,($I141/$G141)*BK141,0)*(1-$K141)</f>
        <v>0</v>
      </c>
      <c r="BN141" s="1117">
        <f>VLOOKUP($E141,BK$442:BN$453,4,FALSE)*BK141*($K141)+(BK141-BL141-BM141)*(1-$K141)</f>
        <v>0</v>
      </c>
      <c r="BO141" s="1118"/>
      <c r="BS141" s="1116">
        <f>$G141</f>
        <v>0</v>
      </c>
      <c r="BT141" s="1117">
        <f>VLOOKUP($E141,BS$442:BV$453,2,FALSE)*BS141*($K141)+IF($G141&lt;&gt;0,($H141/$G141)*BS141,0)*(1-$K141)</f>
        <v>0</v>
      </c>
      <c r="BU141" s="1117">
        <f>VLOOKUP($E141,BS$442:BV$453,3,FALSE)*BS141*($K141)+IF($G141&lt;&gt;0,($I141/$G141)*BS141,0)*(1-$K141)</f>
        <v>0</v>
      </c>
      <c r="BV141" s="1117">
        <f>VLOOKUP($E141,BS$442:BV$453,4,FALSE)*BS141*($K141)+(BS141-BT141-BU141)*(1-$K141)</f>
        <v>0</v>
      </c>
      <c r="BW141" s="1118"/>
      <c r="CA141" s="1116">
        <f>$G141</f>
        <v>0</v>
      </c>
      <c r="CB141" s="1117">
        <f>VLOOKUP($E141,CA$442:CD$453,2,FALSE)*CA141*($K141)+IF($G141&lt;&gt;0,($H141/$G141)*CA141,0)*(1-$K141)</f>
        <v>0</v>
      </c>
      <c r="CC141" s="1117">
        <f>VLOOKUP($E141,CA$442:CD$453,3,FALSE)*CA141*($K141)+IF($G141&lt;&gt;0,($I141/$G141)*CA141,0)*(1-$K141)</f>
        <v>0</v>
      </c>
      <c r="CD141" s="1117">
        <f>VLOOKUP($E141,CA$442:CD$453,4,FALSE)*CA141*($K141)+(CA141-CB141-CC141)*(1-$K141)</f>
        <v>0</v>
      </c>
      <c r="CE141" s="1118"/>
      <c r="CI141" s="1116">
        <f>$G141</f>
        <v>0</v>
      </c>
      <c r="CJ141" s="1117">
        <f>VLOOKUP($E141,CI$442:CL$453,2,FALSE)*CI141*($K141)+IF($G141&lt;&gt;0,($H141/$G141)*CI141,0)*(1-$K141)</f>
        <v>0</v>
      </c>
      <c r="CK141" s="1117">
        <f>VLOOKUP($E141,CI$442:CL$453,3,FALSE)*CI141*($K141)+IF($G141&lt;&gt;0,($I141/$G141)*CI141,0)*(1-$K141)</f>
        <v>0</v>
      </c>
      <c r="CL141" s="1117">
        <f>VLOOKUP($E141,CI$442:CL$453,4,FALSE)*CI141*($K141)+(CI141-CJ141-CK141)*(1-$K141)</f>
        <v>0</v>
      </c>
      <c r="CM141" s="1118"/>
      <c r="CQ141" s="1116">
        <f>$G141</f>
        <v>0</v>
      </c>
      <c r="CR141" s="1117">
        <f>VLOOKUP($E141,CQ$442:CT$453,2,FALSE)*CQ141*($K141)+IF($G141&lt;&gt;0,($H141/$G141)*CQ141,0)*(1-$K141)</f>
        <v>0</v>
      </c>
      <c r="CS141" s="1117">
        <f>VLOOKUP($E141,CQ$442:CT$453,3,FALSE)*CQ141*($K141)+IF($G141&lt;&gt;0,($I141/$G141)*CQ141,0)*(1-$K141)</f>
        <v>0</v>
      </c>
      <c r="CT141" s="1117">
        <f>VLOOKUP($E141,CQ$442:CT$453,4,FALSE)*CQ141*($K141)+(CQ141-CR141-CS141)*(1-$K141)</f>
        <v>0</v>
      </c>
      <c r="CU141" s="1118"/>
      <c r="CY141" s="1116">
        <f>$G141</f>
        <v>0</v>
      </c>
      <c r="CZ141" s="1117">
        <f>VLOOKUP($E141,CY$442:DB$453,2,FALSE)*CY141*($K141)+IF($G141&lt;&gt;0,($H141/$G141)*CY141,0)*(1-$K141)</f>
        <v>0</v>
      </c>
      <c r="DA141" s="1117">
        <f>VLOOKUP($E141,CY$442:DB$453,3,FALSE)*CY141*($K141)+IF($G141&lt;&gt;0,($I141/$G141)*CY141,0)*(1-$K141)</f>
        <v>0</v>
      </c>
      <c r="DB141" s="1117">
        <f>VLOOKUP($E141,CY$442:DB$453,4,FALSE)*CY141*($K141)+(CY141-CZ141-DA141)*(1-$K141)</f>
        <v>0</v>
      </c>
      <c r="DC141" s="1118"/>
      <c r="DG141" s="1116">
        <f>$G141</f>
        <v>0</v>
      </c>
      <c r="DH141" s="1117">
        <f>VLOOKUP($E141,DG$442:DJ$453,2,FALSE)*DG141*($K141)+IF($G141&lt;&gt;0,($H141/$G141)*DG141,0)*(1-$K141)</f>
        <v>0</v>
      </c>
      <c r="DI141" s="1117">
        <f>VLOOKUP($E141,DG$442:DJ$453,3,FALSE)*DG141*($K141)+IF($G141&lt;&gt;0,($I141/$G141)*DG141,0)*(1-$K141)</f>
        <v>0</v>
      </c>
      <c r="DJ141" s="1117">
        <f>VLOOKUP($E141,DG$442:DJ$453,4,FALSE)*DG141*($K141)+(DG141-DH141-DI141)*(1-$K141)</f>
        <v>0</v>
      </c>
      <c r="DK141" s="1118"/>
      <c r="DO141" s="1116">
        <f>$G141</f>
        <v>0</v>
      </c>
      <c r="DP141" s="1117">
        <f>VLOOKUP($E141,DO$442:DR$453,2,FALSE)*DO141*($K141)+IF($G141&lt;&gt;0,($H141/$G141)*DO141,0)*(1-$K141)</f>
        <v>0</v>
      </c>
      <c r="DQ141" s="1117">
        <f>VLOOKUP($E141,DO$442:DR$453,3,FALSE)*DO141*($K141)+IF($G141&lt;&gt;0,($I141/$G141)*DO141,0)*(1-$K141)</f>
        <v>0</v>
      </c>
      <c r="DR141" s="1117">
        <f>VLOOKUP($E141,DO$442:DR$453,4,FALSE)*DO141*($K141)+(DO141-DP141-DQ141)*(1-$K141)</f>
        <v>0</v>
      </c>
      <c r="DS141" s="1118"/>
      <c r="DW141" s="1116">
        <f>$G141</f>
        <v>0</v>
      </c>
      <c r="DX141" s="1117">
        <f>VLOOKUP($E141,DW$442:DZ$453,2,FALSE)*DW141*($K141)+IF($G141&lt;&gt;0,($H141/$G141)*DW141,0)*(1-$K141)</f>
        <v>0</v>
      </c>
      <c r="DY141" s="1117">
        <f>VLOOKUP($E141,DW$442:DZ$453,3,FALSE)*DW141*($K141)+IF($G141&lt;&gt;0,($I141/$G141)*DW141,0)*(1-$K141)</f>
        <v>0</v>
      </c>
      <c r="DZ141" s="1117">
        <f>VLOOKUP($E141,DW$442:DZ$453,4,FALSE)*DW141*($K141)+(DW141-DX141-DY141)*(1-$K141)</f>
        <v>0</v>
      </c>
      <c r="EA141" s="1118"/>
      <c r="EE141" s="1116">
        <f>$G141</f>
        <v>0</v>
      </c>
      <c r="EF141" s="1117">
        <f>VLOOKUP($E141,EE$442:EH$453,2,FALSE)*EE141*($K141)+IF($G141&lt;&gt;0,($H141/$G141)*EE141,0)*(1-$K141)</f>
        <v>0</v>
      </c>
      <c r="EG141" s="1117">
        <f>VLOOKUP($E141,EE$442:EH$453,3,FALSE)*EE141*($K141)+IF($G141&lt;&gt;0,($I141/$G141)*EE141,0)*(1-$K141)</f>
        <v>0</v>
      </c>
      <c r="EH141" s="1117">
        <f>VLOOKUP($E141,EE$442:EH$453,4,FALSE)*EE141*($K141)+(EE141-EF141-EG141)*(1-$K141)</f>
        <v>0</v>
      </c>
      <c r="EI141" s="1118"/>
      <c r="EM141" s="1116">
        <f>$G141</f>
        <v>0</v>
      </c>
      <c r="EN141" s="1117">
        <f>VLOOKUP($E141,EM$442:EP$453,2,FALSE)*EM141*($K141)+IF($G141&lt;&gt;0,($H141/$G141)*EM141,0)*(1-$K141)</f>
        <v>0</v>
      </c>
      <c r="EO141" s="1117">
        <f>VLOOKUP($E141,EM$442:EP$453,3,FALSE)*EM141*($K141)+IF($G141&lt;&gt;0,($I141/$G141)*EM141,0)*(1-$K141)</f>
        <v>0</v>
      </c>
      <c r="EP141" s="1117">
        <f>VLOOKUP($E141,EM$442:EP$453,4,FALSE)*EM141*($K141)+(EM141-EN141-EO141)*(1-$K141)</f>
        <v>0</v>
      </c>
      <c r="EQ141" s="1118"/>
      <c r="EU141" s="1116">
        <f>$G141</f>
        <v>0</v>
      </c>
      <c r="EV141" s="1117">
        <f>VLOOKUP($E141,EU$442:EX$453,2,FALSE)*EU141*($K141)+IF($G141&lt;&gt;0,($H141/$G141)*EU141,0)*(1-$K141)</f>
        <v>0</v>
      </c>
      <c r="EW141" s="1117">
        <f>VLOOKUP($E141,EU$442:EX$453,3,FALSE)*EU141*($K141)+IF($G141&lt;&gt;0,($I141/$G141)*EU141,0)*(1-$K141)</f>
        <v>0</v>
      </c>
      <c r="EX141" s="1117">
        <f>VLOOKUP($E141,EU$442:EX$453,4,FALSE)*EU141*($K141)+(EU141-EV141-EW141)*(1-$K141)</f>
        <v>0</v>
      </c>
      <c r="EY141" s="1118"/>
      <c r="FC141" s="1116">
        <f>$G141</f>
        <v>0</v>
      </c>
      <c r="FD141" s="1117">
        <f>VLOOKUP($E141,FC$442:FF$453,2,FALSE)*FC141*($K141)+IF($G141&lt;&gt;0,($H141/$G141)*FC141,0)*(1-$K141)</f>
        <v>0</v>
      </c>
      <c r="FE141" s="1117">
        <f>VLOOKUP($E141,FC$442:FF$453,3,FALSE)*FC141*($K141)+IF($G141&lt;&gt;0,($I141/$G141)*FC141,0)*(1-$K141)</f>
        <v>0</v>
      </c>
      <c r="FF141" s="1117">
        <f>VLOOKUP($E141,FC$442:FF$453,4,FALSE)*FC141*($K141)+(FC141-FD141-FE141)*(1-$K141)</f>
        <v>0</v>
      </c>
      <c r="FG141" s="1118"/>
      <c r="FK141" s="1116">
        <f>$G141</f>
        <v>0</v>
      </c>
      <c r="FL141" s="1117">
        <f>VLOOKUP($E141,FK$442:FN$453,2,FALSE)*FK141*($K141)+IF($G141&lt;&gt;0,($H141/$G141)*FK141,0)*(1-$K141)</f>
        <v>0</v>
      </c>
      <c r="FM141" s="1117">
        <f>VLOOKUP($E141,FK$442:FN$453,3,FALSE)*FK141*($K141)+IF($G141&lt;&gt;0,($I141/$G141)*FK141,0)*(1-$K141)</f>
        <v>0</v>
      </c>
      <c r="FN141" s="1117">
        <f>VLOOKUP($E141,FK$442:FN$453,4,FALSE)*FK141*($K141)+(FK141-FL141-FM141)*(1-$K141)</f>
        <v>0</v>
      </c>
      <c r="FO141" s="1118"/>
    </row>
    <row r="142" spans="1:171">
      <c r="A142" s="944"/>
      <c r="B142" s="969" t="s">
        <v>630</v>
      </c>
      <c r="C142" s="888" t="s">
        <v>348</v>
      </c>
      <c r="D142" s="888">
        <v>245</v>
      </c>
      <c r="E142" s="182" t="str">
        <f>'Sch 1- Rate Base '!E142</f>
        <v>DIST</v>
      </c>
      <c r="F142" s="889"/>
      <c r="G142" s="182">
        <f>'Sch 1- Rate Base '!G142</f>
        <v>0</v>
      </c>
      <c r="H142" s="182">
        <f>'Sch 1- Rate Base '!H142</f>
        <v>0</v>
      </c>
      <c r="I142" s="182">
        <f>'Sch 1- Rate Base '!I142</f>
        <v>0</v>
      </c>
      <c r="J142" s="183">
        <f>'Sch 1- Rate Base '!J142</f>
        <v>0</v>
      </c>
      <c r="K142" s="903">
        <f>IF($E142="DIRECT",0,1)</f>
        <v>1</v>
      </c>
      <c r="O142" s="1116">
        <f>$G142</f>
        <v>0</v>
      </c>
      <c r="P142" s="1117">
        <f>VLOOKUP($E142,O$442:R$453,2,FALSE)*O142*($K142)+IF($G142&lt;&gt;0,($H142/$G142)*O142,0)*(1-$K142)</f>
        <v>0</v>
      </c>
      <c r="Q142" s="1117">
        <f>VLOOKUP($E142,O$442:R$453,3,FALSE)*O142*($K142)+IF($G142&lt;&gt;0,($I142/$G142)*O142,0)*(1-$K142)</f>
        <v>0</v>
      </c>
      <c r="R142" s="1117">
        <f>VLOOKUP($E142,O$442:R$453,4,FALSE)*O142*($K142)+(O142-P142-Q142)*(1-$K142)</f>
        <v>0</v>
      </c>
      <c r="S142" s="1118"/>
      <c r="W142" s="1116">
        <f>$G142</f>
        <v>0</v>
      </c>
      <c r="X142" s="1117">
        <f>VLOOKUP($E142,W$442:Z$453,2,FALSE)*W142*($K142)+IF($G142&lt;&gt;0,($H142/$G142)*W142,0)*(1-$K142)</f>
        <v>0</v>
      </c>
      <c r="Y142" s="1117">
        <f>VLOOKUP($E142,W$442:Z$453,3,FALSE)*W142*($K142)+IF($G142&lt;&gt;0,($I142/$G142)*W142,0)*(1-$K142)</f>
        <v>0</v>
      </c>
      <c r="Z142" s="1117">
        <f>VLOOKUP($E142,W$442:Z$453,4,FALSE)*W142*($K142)+(W142-X142-Y142)*(1-$K142)</f>
        <v>0</v>
      </c>
      <c r="AA142" s="1118"/>
      <c r="AE142" s="1116">
        <f>$G142</f>
        <v>0</v>
      </c>
      <c r="AF142" s="1117">
        <f>VLOOKUP($E142,AE$442:AH$453,2,FALSE)*AE142*($K142)+IF($G142&lt;&gt;0,($H142/$G142)*AE142,0)*(1-$K142)</f>
        <v>0</v>
      </c>
      <c r="AG142" s="1117">
        <f>VLOOKUP($E142,AE$442:AH$453,3,FALSE)*AE142*($K142)+IF($G142&lt;&gt;0,($I142/$G142)*AE142,0)*(1-$K142)</f>
        <v>0</v>
      </c>
      <c r="AH142" s="1117">
        <f>VLOOKUP($E142,AE$442:AH$453,4,FALSE)*AE142*($K142)+(AE142-AF142-AG142)*(1-$K142)</f>
        <v>0</v>
      </c>
      <c r="AI142" s="1118"/>
      <c r="AM142" s="1116">
        <f>$G142</f>
        <v>0</v>
      </c>
      <c r="AN142" s="1117">
        <f>VLOOKUP($E142,AM$442:AP$453,2,FALSE)*AM142*($K142)+IF($G142&lt;&gt;0,($H142/$G142)*AM142,0)*(1-$K142)</f>
        <v>0</v>
      </c>
      <c r="AO142" s="1117">
        <f>VLOOKUP($E142,AM$442:AP$453,3,FALSE)*AM142*($K142)+IF($G142&lt;&gt;0,($I142/$G142)*AM142,0)*(1-$K142)</f>
        <v>0</v>
      </c>
      <c r="AP142" s="1117">
        <f>VLOOKUP($E142,AM$442:AP$453,4,FALSE)*AM142*($K142)+(AM142-AN142-AO142)*(1-$K142)</f>
        <v>0</v>
      </c>
      <c r="AQ142" s="1118"/>
      <c r="AU142" s="1116">
        <f>$G142</f>
        <v>0</v>
      </c>
      <c r="AV142" s="1117">
        <f>VLOOKUP($E142,AU$442:AX$453,2,FALSE)*AU142*($K142)+IF($G142&lt;&gt;0,($H142/$G142)*AU142,0)*(1-$K142)</f>
        <v>0</v>
      </c>
      <c r="AW142" s="1117">
        <f>VLOOKUP($E142,AU$442:AX$453,3,FALSE)*AU142*($K142)+IF($G142&lt;&gt;0,($I142/$G142)*AU142,0)*(1-$K142)</f>
        <v>0</v>
      </c>
      <c r="AX142" s="1117">
        <f>VLOOKUP($E142,AU$442:AX$453,4,FALSE)*AU142*($K142)+(AU142-AV142-AW142)*(1-$K142)</f>
        <v>0</v>
      </c>
      <c r="AY142" s="1118"/>
      <c r="BC142" s="1116">
        <f>$G142</f>
        <v>0</v>
      </c>
      <c r="BD142" s="1117">
        <f>VLOOKUP($E142,BC$442:BF$453,2,FALSE)*BC142*($K142)+IF($G142&lt;&gt;0,($H142/$G142)*BC142,0)*(1-$K142)</f>
        <v>0</v>
      </c>
      <c r="BE142" s="1117">
        <f>VLOOKUP($E142,BC$442:BF$453,3,FALSE)*BC142*($K142)+IF($G142&lt;&gt;0,($I142/$G142)*BC142,0)*(1-$K142)</f>
        <v>0</v>
      </c>
      <c r="BF142" s="1117">
        <f>VLOOKUP($E142,BC$442:BF$453,4,FALSE)*BC142*($K142)+(BC142-BD142-BE142)*(1-$K142)</f>
        <v>0</v>
      </c>
      <c r="BG142" s="1118"/>
      <c r="BK142" s="1116">
        <f>$G142</f>
        <v>0</v>
      </c>
      <c r="BL142" s="1117">
        <f>VLOOKUP($E142,BK$442:BN$453,2,FALSE)*BK142*($K142)+IF($G142&lt;&gt;0,($H142/$G142)*BK142,0)*(1-$K142)</f>
        <v>0</v>
      </c>
      <c r="BM142" s="1117">
        <f>VLOOKUP($E142,BK$442:BN$453,3,FALSE)*BK142*($K142)+IF($G142&lt;&gt;0,($I142/$G142)*BK142,0)*(1-$K142)</f>
        <v>0</v>
      </c>
      <c r="BN142" s="1117">
        <f>VLOOKUP($E142,BK$442:BN$453,4,FALSE)*BK142*($K142)+(BK142-BL142-BM142)*(1-$K142)</f>
        <v>0</v>
      </c>
      <c r="BO142" s="1118"/>
      <c r="BS142" s="1116">
        <f>$G142</f>
        <v>0</v>
      </c>
      <c r="BT142" s="1117">
        <f>VLOOKUP($E142,BS$442:BV$453,2,FALSE)*BS142*($K142)+IF($G142&lt;&gt;0,($H142/$G142)*BS142,0)*(1-$K142)</f>
        <v>0</v>
      </c>
      <c r="BU142" s="1117">
        <f>VLOOKUP($E142,BS$442:BV$453,3,FALSE)*BS142*($K142)+IF($G142&lt;&gt;0,($I142/$G142)*BS142,0)*(1-$K142)</f>
        <v>0</v>
      </c>
      <c r="BV142" s="1117">
        <f>VLOOKUP($E142,BS$442:BV$453,4,FALSE)*BS142*($K142)+(BS142-BT142-BU142)*(1-$K142)</f>
        <v>0</v>
      </c>
      <c r="BW142" s="1118"/>
      <c r="CA142" s="1116">
        <f>$G142</f>
        <v>0</v>
      </c>
      <c r="CB142" s="1117">
        <f>VLOOKUP($E142,CA$442:CD$453,2,FALSE)*CA142*($K142)+IF($G142&lt;&gt;0,($H142/$G142)*CA142,0)*(1-$K142)</f>
        <v>0</v>
      </c>
      <c r="CC142" s="1117">
        <f>VLOOKUP($E142,CA$442:CD$453,3,FALSE)*CA142*($K142)+IF($G142&lt;&gt;0,($I142/$G142)*CA142,0)*(1-$K142)</f>
        <v>0</v>
      </c>
      <c r="CD142" s="1117">
        <f>VLOOKUP($E142,CA$442:CD$453,4,FALSE)*CA142*($K142)+(CA142-CB142-CC142)*(1-$K142)</f>
        <v>0</v>
      </c>
      <c r="CE142" s="1118"/>
      <c r="CI142" s="1116">
        <f>$G142</f>
        <v>0</v>
      </c>
      <c r="CJ142" s="1117">
        <f>VLOOKUP($E142,CI$442:CL$453,2,FALSE)*CI142*($K142)+IF($G142&lt;&gt;0,($H142/$G142)*CI142,0)*(1-$K142)</f>
        <v>0</v>
      </c>
      <c r="CK142" s="1117">
        <f>VLOOKUP($E142,CI$442:CL$453,3,FALSE)*CI142*($K142)+IF($G142&lt;&gt;0,($I142/$G142)*CI142,0)*(1-$K142)</f>
        <v>0</v>
      </c>
      <c r="CL142" s="1117">
        <f>VLOOKUP($E142,CI$442:CL$453,4,FALSE)*CI142*($K142)+(CI142-CJ142-CK142)*(1-$K142)</f>
        <v>0</v>
      </c>
      <c r="CM142" s="1118"/>
      <c r="CQ142" s="1116">
        <f>$G142</f>
        <v>0</v>
      </c>
      <c r="CR142" s="1117">
        <f>VLOOKUP($E142,CQ$442:CT$453,2,FALSE)*CQ142*($K142)+IF($G142&lt;&gt;0,($H142/$G142)*CQ142,0)*(1-$K142)</f>
        <v>0</v>
      </c>
      <c r="CS142" s="1117">
        <f>VLOOKUP($E142,CQ$442:CT$453,3,FALSE)*CQ142*($K142)+IF($G142&lt;&gt;0,($I142/$G142)*CQ142,0)*(1-$K142)</f>
        <v>0</v>
      </c>
      <c r="CT142" s="1117">
        <f>VLOOKUP($E142,CQ$442:CT$453,4,FALSE)*CQ142*($K142)+(CQ142-CR142-CS142)*(1-$K142)</f>
        <v>0</v>
      </c>
      <c r="CU142" s="1118"/>
      <c r="CY142" s="1116">
        <f>$G142</f>
        <v>0</v>
      </c>
      <c r="CZ142" s="1117">
        <f>VLOOKUP($E142,CY$442:DB$453,2,FALSE)*CY142*($K142)+IF($G142&lt;&gt;0,($H142/$G142)*CY142,0)*(1-$K142)</f>
        <v>0</v>
      </c>
      <c r="DA142" s="1117">
        <f>VLOOKUP($E142,CY$442:DB$453,3,FALSE)*CY142*($K142)+IF($G142&lt;&gt;0,($I142/$G142)*CY142,0)*(1-$K142)</f>
        <v>0</v>
      </c>
      <c r="DB142" s="1117">
        <f>VLOOKUP($E142,CY$442:DB$453,4,FALSE)*CY142*($K142)+(CY142-CZ142-DA142)*(1-$K142)</f>
        <v>0</v>
      </c>
      <c r="DC142" s="1118"/>
      <c r="DG142" s="1116">
        <f>$G142</f>
        <v>0</v>
      </c>
      <c r="DH142" s="1117">
        <f>VLOOKUP($E142,DG$442:DJ$453,2,FALSE)*DG142*($K142)+IF($G142&lt;&gt;0,($H142/$G142)*DG142,0)*(1-$K142)</f>
        <v>0</v>
      </c>
      <c r="DI142" s="1117">
        <f>VLOOKUP($E142,DG$442:DJ$453,3,FALSE)*DG142*($K142)+IF($G142&lt;&gt;0,($I142/$G142)*DG142,0)*(1-$K142)</f>
        <v>0</v>
      </c>
      <c r="DJ142" s="1117">
        <f>VLOOKUP($E142,DG$442:DJ$453,4,FALSE)*DG142*($K142)+(DG142-DH142-DI142)*(1-$K142)</f>
        <v>0</v>
      </c>
      <c r="DK142" s="1118"/>
      <c r="DO142" s="1116">
        <f>$G142</f>
        <v>0</v>
      </c>
      <c r="DP142" s="1117">
        <f>VLOOKUP($E142,DO$442:DR$453,2,FALSE)*DO142*($K142)+IF($G142&lt;&gt;0,($H142/$G142)*DO142,0)*(1-$K142)</f>
        <v>0</v>
      </c>
      <c r="DQ142" s="1117">
        <f>VLOOKUP($E142,DO$442:DR$453,3,FALSE)*DO142*($K142)+IF($G142&lt;&gt;0,($I142/$G142)*DO142,0)*(1-$K142)</f>
        <v>0</v>
      </c>
      <c r="DR142" s="1117">
        <f>VLOOKUP($E142,DO$442:DR$453,4,FALSE)*DO142*($K142)+(DO142-DP142-DQ142)*(1-$K142)</f>
        <v>0</v>
      </c>
      <c r="DS142" s="1118"/>
      <c r="DW142" s="1116">
        <f>$G142</f>
        <v>0</v>
      </c>
      <c r="DX142" s="1117">
        <f>VLOOKUP($E142,DW$442:DZ$453,2,FALSE)*DW142*($K142)+IF($G142&lt;&gt;0,($H142/$G142)*DW142,0)*(1-$K142)</f>
        <v>0</v>
      </c>
      <c r="DY142" s="1117">
        <f>VLOOKUP($E142,DW$442:DZ$453,3,FALSE)*DW142*($K142)+IF($G142&lt;&gt;0,($I142/$G142)*DW142,0)*(1-$K142)</f>
        <v>0</v>
      </c>
      <c r="DZ142" s="1117">
        <f>VLOOKUP($E142,DW$442:DZ$453,4,FALSE)*DW142*($K142)+(DW142-DX142-DY142)*(1-$K142)</f>
        <v>0</v>
      </c>
      <c r="EA142" s="1118"/>
      <c r="EE142" s="1116">
        <f>$G142</f>
        <v>0</v>
      </c>
      <c r="EF142" s="1117">
        <f>VLOOKUP($E142,EE$442:EH$453,2,FALSE)*EE142*($K142)+IF($G142&lt;&gt;0,($H142/$G142)*EE142,0)*(1-$K142)</f>
        <v>0</v>
      </c>
      <c r="EG142" s="1117">
        <f>VLOOKUP($E142,EE$442:EH$453,3,FALSE)*EE142*($K142)+IF($G142&lt;&gt;0,($I142/$G142)*EE142,0)*(1-$K142)</f>
        <v>0</v>
      </c>
      <c r="EH142" s="1117">
        <f>VLOOKUP($E142,EE$442:EH$453,4,FALSE)*EE142*($K142)+(EE142-EF142-EG142)*(1-$K142)</f>
        <v>0</v>
      </c>
      <c r="EI142" s="1118"/>
      <c r="EM142" s="1116">
        <f>$G142</f>
        <v>0</v>
      </c>
      <c r="EN142" s="1117">
        <f>VLOOKUP($E142,EM$442:EP$453,2,FALSE)*EM142*($K142)+IF($G142&lt;&gt;0,($H142/$G142)*EM142,0)*(1-$K142)</f>
        <v>0</v>
      </c>
      <c r="EO142" s="1117">
        <f>VLOOKUP($E142,EM$442:EP$453,3,FALSE)*EM142*($K142)+IF($G142&lt;&gt;0,($I142/$G142)*EM142,0)*(1-$K142)</f>
        <v>0</v>
      </c>
      <c r="EP142" s="1117">
        <f>VLOOKUP($E142,EM$442:EP$453,4,FALSE)*EM142*($K142)+(EM142-EN142-EO142)*(1-$K142)</f>
        <v>0</v>
      </c>
      <c r="EQ142" s="1118"/>
      <c r="EU142" s="1116">
        <f>$G142</f>
        <v>0</v>
      </c>
      <c r="EV142" s="1117">
        <f>VLOOKUP($E142,EU$442:EX$453,2,FALSE)*EU142*($K142)+IF($G142&lt;&gt;0,($H142/$G142)*EU142,0)*(1-$K142)</f>
        <v>0</v>
      </c>
      <c r="EW142" s="1117">
        <f>VLOOKUP($E142,EU$442:EX$453,3,FALSE)*EU142*($K142)+IF($G142&lt;&gt;0,($I142/$G142)*EU142,0)*(1-$K142)</f>
        <v>0</v>
      </c>
      <c r="EX142" s="1117">
        <f>VLOOKUP($E142,EU$442:EX$453,4,FALSE)*EU142*($K142)+(EU142-EV142-EW142)*(1-$K142)</f>
        <v>0</v>
      </c>
      <c r="EY142" s="1118"/>
      <c r="FC142" s="1116">
        <f>$G142</f>
        <v>0</v>
      </c>
      <c r="FD142" s="1117">
        <f>VLOOKUP($E142,FC$442:FF$453,2,FALSE)*FC142*($K142)+IF($G142&lt;&gt;0,($H142/$G142)*FC142,0)*(1-$K142)</f>
        <v>0</v>
      </c>
      <c r="FE142" s="1117">
        <f>VLOOKUP($E142,FC$442:FF$453,3,FALSE)*FC142*($K142)+IF($G142&lt;&gt;0,($I142/$G142)*FC142,0)*(1-$K142)</f>
        <v>0</v>
      </c>
      <c r="FF142" s="1117">
        <f>VLOOKUP($E142,FC$442:FF$453,4,FALSE)*FC142*($K142)+(FC142-FD142-FE142)*(1-$K142)</f>
        <v>0</v>
      </c>
      <c r="FG142" s="1118"/>
      <c r="FK142" s="1116">
        <f>$G142</f>
        <v>0</v>
      </c>
      <c r="FL142" s="1117">
        <f>VLOOKUP($E142,FK$442:FN$453,2,FALSE)*FK142*($K142)+IF($G142&lt;&gt;0,($H142/$G142)*FK142,0)*(1-$K142)</f>
        <v>0</v>
      </c>
      <c r="FM142" s="1117">
        <f>VLOOKUP($E142,FK$442:FN$453,3,FALSE)*FK142*($K142)+IF($G142&lt;&gt;0,($I142/$G142)*FK142,0)*(1-$K142)</f>
        <v>0</v>
      </c>
      <c r="FN142" s="1117">
        <f>VLOOKUP($E142,FK$442:FN$453,4,FALSE)*FK142*($K142)+(FK142-FL142-FM142)*(1-$K142)</f>
        <v>0</v>
      </c>
      <c r="FO142" s="1118"/>
    </row>
    <row r="143" spans="1:171">
      <c r="A143" s="944"/>
      <c r="B143" s="847" t="s">
        <v>104</v>
      </c>
      <c r="C143" s="914"/>
      <c r="D143" s="915"/>
      <c r="E143" s="915"/>
      <c r="F143" s="916"/>
      <c r="G143" s="923">
        <f>G139-G140+G141-G142</f>
        <v>17216779.25</v>
      </c>
      <c r="H143" s="923">
        <f>H139-H140+H141-H142</f>
        <v>0</v>
      </c>
      <c r="I143" s="923">
        <f>I139-I140+I141-I142</f>
        <v>0</v>
      </c>
      <c r="J143" s="1393">
        <f>J139-J140+J141-J142</f>
        <v>17216779.25</v>
      </c>
      <c r="K143" s="903"/>
      <c r="O143" s="1132">
        <f>O139-O140+O141-O142</f>
        <v>17216779.25</v>
      </c>
      <c r="P143" s="1132">
        <f>P139-P140+P141-P142</f>
        <v>0</v>
      </c>
      <c r="Q143" s="1132">
        <f>Q139-Q140+Q141-Q142</f>
        <v>0</v>
      </c>
      <c r="R143" s="1132">
        <f>R139-R140+R141-R142</f>
        <v>17216779.25</v>
      </c>
      <c r="S143" s="1118"/>
      <c r="W143" s="1132">
        <f>W139-W140+W141-W142</f>
        <v>17216779.25</v>
      </c>
      <c r="X143" s="1132">
        <f>X139-X140+X141-X142</f>
        <v>0</v>
      </c>
      <c r="Y143" s="1132">
        <f>Y139-Y140+Y141-Y142</f>
        <v>0</v>
      </c>
      <c r="Z143" s="1132">
        <f>Z139-Z140+Z141-Z142</f>
        <v>17216779.25</v>
      </c>
      <c r="AA143" s="1118"/>
      <c r="AE143" s="1132">
        <f>AE139-AE140+AE141-AE142</f>
        <v>17216779.25</v>
      </c>
      <c r="AF143" s="1132">
        <f>AF139-AF140+AF141-AF142</f>
        <v>0</v>
      </c>
      <c r="AG143" s="1132">
        <f>AG139-AG140+AG141-AG142</f>
        <v>0</v>
      </c>
      <c r="AH143" s="1132">
        <f>AH139-AH140+AH141-AH142</f>
        <v>17216779.25</v>
      </c>
      <c r="AI143" s="1118"/>
      <c r="AM143" s="1132">
        <f>AM139-AM140+AM141-AM142</f>
        <v>17216779.25</v>
      </c>
      <c r="AN143" s="1132">
        <f>AN139-AN140+AN141-AN142</f>
        <v>0</v>
      </c>
      <c r="AO143" s="1132">
        <f>AO139-AO140+AO141-AO142</f>
        <v>0</v>
      </c>
      <c r="AP143" s="1132">
        <f>AP139-AP140+AP141-AP142</f>
        <v>17216779.25</v>
      </c>
      <c r="AQ143" s="1118"/>
      <c r="AU143" s="1132">
        <f>AU139-AU140+AU141-AU142</f>
        <v>17216779.25</v>
      </c>
      <c r="AV143" s="1132">
        <f>AV139-AV140+AV141-AV142</f>
        <v>0</v>
      </c>
      <c r="AW143" s="1132">
        <f>AW139-AW140+AW141-AW142</f>
        <v>0</v>
      </c>
      <c r="AX143" s="1132">
        <f>AX139-AX140+AX141-AX142</f>
        <v>17216779.25</v>
      </c>
      <c r="AY143" s="1118"/>
      <c r="BC143" s="1132">
        <f>BC139-BC140+BC141-BC142</f>
        <v>17216779.25</v>
      </c>
      <c r="BD143" s="1132">
        <f>BD139-BD140+BD141-BD142</f>
        <v>0</v>
      </c>
      <c r="BE143" s="1132">
        <f>BE139-BE140+BE141-BE142</f>
        <v>0</v>
      </c>
      <c r="BF143" s="1132">
        <f>BF139-BF140+BF141-BF142</f>
        <v>17216779.25</v>
      </c>
      <c r="BG143" s="1118"/>
      <c r="BK143" s="1132">
        <f>BK139-BK140+BK141-BK142</f>
        <v>17216779.25</v>
      </c>
      <c r="BL143" s="1132">
        <f>BL139-BL140+BL141-BL142</f>
        <v>0</v>
      </c>
      <c r="BM143" s="1132">
        <f>BM139-BM140+BM141-BM142</f>
        <v>0</v>
      </c>
      <c r="BN143" s="1132">
        <f>BN139-BN140+BN141-BN142</f>
        <v>17216779.25</v>
      </c>
      <c r="BO143" s="1118"/>
      <c r="BS143" s="1132">
        <f>BS139-BS140+BS141-BS142</f>
        <v>17216779.25</v>
      </c>
      <c r="BT143" s="1132">
        <f>BT139-BT140+BT141-BT142</f>
        <v>0</v>
      </c>
      <c r="BU143" s="1132">
        <f>BU139-BU140+BU141-BU142</f>
        <v>0</v>
      </c>
      <c r="BV143" s="1132">
        <f>BV139-BV140+BV141-BV142</f>
        <v>17216779.25</v>
      </c>
      <c r="BW143" s="1118"/>
      <c r="CA143" s="1132">
        <f>CA139-CA140+CA141-CA142</f>
        <v>17216779.25</v>
      </c>
      <c r="CB143" s="1132">
        <f>CB139-CB140+CB141-CB142</f>
        <v>0</v>
      </c>
      <c r="CC143" s="1132">
        <f>CC139-CC140+CC141-CC142</f>
        <v>0</v>
      </c>
      <c r="CD143" s="1132">
        <f>CD139-CD140+CD141-CD142</f>
        <v>17216779.25</v>
      </c>
      <c r="CE143" s="1118"/>
      <c r="CI143" s="1132">
        <f>CI139-CI140+CI141-CI142</f>
        <v>17216779.25</v>
      </c>
      <c r="CJ143" s="1132">
        <f>CJ139-CJ140+CJ141-CJ142</f>
        <v>0</v>
      </c>
      <c r="CK143" s="1132">
        <f>CK139-CK140+CK141-CK142</f>
        <v>0</v>
      </c>
      <c r="CL143" s="1132">
        <f>CL139-CL140+CL141-CL142</f>
        <v>17216779.25</v>
      </c>
      <c r="CM143" s="1118"/>
      <c r="CQ143" s="1132">
        <f>CQ139-CQ140+CQ141-CQ142</f>
        <v>17216779.25</v>
      </c>
      <c r="CR143" s="1132">
        <f>CR139-CR140+CR141-CR142</f>
        <v>0</v>
      </c>
      <c r="CS143" s="1132">
        <f>CS139-CS140+CS141-CS142</f>
        <v>0</v>
      </c>
      <c r="CT143" s="1132">
        <f>CT139-CT140+CT141-CT142</f>
        <v>17216779.25</v>
      </c>
      <c r="CU143" s="1118"/>
      <c r="CY143" s="1132">
        <f>CY139-CY140+CY141-CY142</f>
        <v>17216779.25</v>
      </c>
      <c r="CZ143" s="1132">
        <f>CZ139-CZ140+CZ141-CZ142</f>
        <v>0</v>
      </c>
      <c r="DA143" s="1132">
        <f>DA139-DA140+DA141-DA142</f>
        <v>0</v>
      </c>
      <c r="DB143" s="1132">
        <f>DB139-DB140+DB141-DB142</f>
        <v>17216779.25</v>
      </c>
      <c r="DC143" s="1118"/>
      <c r="DG143" s="1132">
        <f>DG139-DG140+DG141-DG142</f>
        <v>17216779.25</v>
      </c>
      <c r="DH143" s="1132">
        <f>DH139-DH140+DH141-DH142</f>
        <v>0</v>
      </c>
      <c r="DI143" s="1132">
        <f>DI139-DI140+DI141-DI142</f>
        <v>0</v>
      </c>
      <c r="DJ143" s="1132">
        <f>DJ139-DJ140+DJ141-DJ142</f>
        <v>17216779.25</v>
      </c>
      <c r="DK143" s="1118"/>
      <c r="DO143" s="1132">
        <f>DO139-DO140+DO141-DO142</f>
        <v>17216779.25</v>
      </c>
      <c r="DP143" s="1132">
        <f>DP139-DP140+DP141-DP142</f>
        <v>0</v>
      </c>
      <c r="DQ143" s="1132">
        <f>DQ139-DQ140+DQ141-DQ142</f>
        <v>0</v>
      </c>
      <c r="DR143" s="1132">
        <f>DR139-DR140+DR141-DR142</f>
        <v>17216779.25</v>
      </c>
      <c r="DS143" s="1118"/>
      <c r="DW143" s="1132">
        <f>DW139-DW140+DW141-DW142</f>
        <v>17216779.25</v>
      </c>
      <c r="DX143" s="1132">
        <f>DX139-DX140+DX141-DX142</f>
        <v>0</v>
      </c>
      <c r="DY143" s="1132">
        <f>DY139-DY140+DY141-DY142</f>
        <v>0</v>
      </c>
      <c r="DZ143" s="1132">
        <f>DZ139-DZ140+DZ141-DZ142</f>
        <v>17216779.25</v>
      </c>
      <c r="EA143" s="1118"/>
      <c r="EE143" s="1132">
        <f>EE139-EE140+EE141-EE142</f>
        <v>17216779.25</v>
      </c>
      <c r="EF143" s="1132">
        <f>EF139-EF140+EF141-EF142</f>
        <v>0</v>
      </c>
      <c r="EG143" s="1132">
        <f>EG139-EG140+EG141-EG142</f>
        <v>0</v>
      </c>
      <c r="EH143" s="1132">
        <f>EH139-EH140+EH141-EH142</f>
        <v>17216779.25</v>
      </c>
      <c r="EI143" s="1118"/>
      <c r="EM143" s="1132">
        <f>EM139-EM140+EM141-EM142</f>
        <v>17216779.25</v>
      </c>
      <c r="EN143" s="1132">
        <f>EN139-EN140+EN141-EN142</f>
        <v>0</v>
      </c>
      <c r="EO143" s="1132">
        <f>EO139-EO140+EO141-EO142</f>
        <v>0</v>
      </c>
      <c r="EP143" s="1132">
        <f>EP139-EP140+EP141-EP142</f>
        <v>17216779.25</v>
      </c>
      <c r="EQ143" s="1118"/>
      <c r="EU143" s="1132">
        <f>EU139-EU140+EU141-EU142</f>
        <v>17216779.25</v>
      </c>
      <c r="EV143" s="1132">
        <f>EV139-EV140+EV141-EV142</f>
        <v>0</v>
      </c>
      <c r="EW143" s="1132">
        <f>EW139-EW140+EW141-EW142</f>
        <v>0</v>
      </c>
      <c r="EX143" s="1132">
        <f>EX139-EX140+EX141-EX142</f>
        <v>17216779.25</v>
      </c>
      <c r="EY143" s="1118"/>
      <c r="FC143" s="1132">
        <f>FC139-FC140+FC141-FC142</f>
        <v>17216779.25</v>
      </c>
      <c r="FD143" s="1132">
        <f>FD139-FD140+FD141-FD142</f>
        <v>0</v>
      </c>
      <c r="FE143" s="1132">
        <f>FE139-FE140+FE141-FE142</f>
        <v>0</v>
      </c>
      <c r="FF143" s="1132">
        <f>FF139-FF140+FF141-FF142</f>
        <v>17216779.25</v>
      </c>
      <c r="FG143" s="1118"/>
      <c r="FK143" s="1132">
        <f>FK139-FK140+FK141-FK142</f>
        <v>17216779.25</v>
      </c>
      <c r="FL143" s="1132">
        <f>FL139-FL140+FL141-FL142</f>
        <v>0</v>
      </c>
      <c r="FM143" s="1132">
        <f>FM139-FM140+FM141-FM142</f>
        <v>0</v>
      </c>
      <c r="FN143" s="1132">
        <f>FN139-FN140+FN141-FN142</f>
        <v>17216779.25</v>
      </c>
      <c r="FO143" s="1118"/>
    </row>
    <row r="144" spans="1:171">
      <c r="A144" s="944"/>
      <c r="B144" s="847" t="s">
        <v>439</v>
      </c>
      <c r="C144" s="196"/>
      <c r="D144" s="968"/>
      <c r="E144" s="196"/>
      <c r="F144" s="196"/>
      <c r="G144" s="910"/>
      <c r="H144" s="198"/>
      <c r="I144" s="198"/>
      <c r="J144" s="200"/>
      <c r="K144" s="903"/>
      <c r="O144" s="1079"/>
      <c r="S144" s="1118"/>
      <c r="W144" s="1079"/>
      <c r="AA144" s="1118"/>
      <c r="AE144" s="1079"/>
      <c r="AI144" s="1118"/>
      <c r="AM144" s="1079"/>
      <c r="AQ144" s="1118"/>
      <c r="AU144" s="1079"/>
      <c r="AY144" s="1118"/>
      <c r="BC144" s="1079"/>
      <c r="BG144" s="1118"/>
      <c r="BK144" s="1079"/>
      <c r="BO144" s="1118"/>
      <c r="BS144" s="1079"/>
      <c r="BW144" s="1118"/>
      <c r="CA144" s="1079"/>
      <c r="CE144" s="1118"/>
      <c r="CI144" s="1079"/>
      <c r="CM144" s="1118"/>
      <c r="CQ144" s="1079"/>
      <c r="CU144" s="1118"/>
      <c r="CY144" s="1079"/>
      <c r="DC144" s="1118"/>
      <c r="DG144" s="1079"/>
      <c r="DK144" s="1118"/>
      <c r="DO144" s="1079"/>
      <c r="DS144" s="1118"/>
      <c r="DW144" s="1079"/>
      <c r="EA144" s="1118"/>
      <c r="EE144" s="1079"/>
      <c r="EI144" s="1118"/>
      <c r="EM144" s="1079"/>
      <c r="EQ144" s="1118"/>
      <c r="EU144" s="1079"/>
      <c r="EY144" s="1118"/>
      <c r="FC144" s="1079"/>
      <c r="FG144" s="1118"/>
      <c r="FK144" s="1079"/>
      <c r="FO144" s="1118"/>
    </row>
    <row r="145" spans="1:171">
      <c r="A145" s="912"/>
      <c r="B145" s="79" t="s">
        <v>377</v>
      </c>
      <c r="C145" s="888" t="s">
        <v>81</v>
      </c>
      <c r="D145" s="888">
        <v>244</v>
      </c>
      <c r="E145" s="182" t="str">
        <f>'Sch 1- Rate Base '!E145</f>
        <v>DIST</v>
      </c>
      <c r="F145" s="889"/>
      <c r="G145" s="182">
        <f>'Sch 1- Rate Base '!G145</f>
        <v>0</v>
      </c>
      <c r="H145" s="182">
        <f>'Sch 1- Rate Base '!H145</f>
        <v>0</v>
      </c>
      <c r="I145" s="182">
        <f>'Sch 1- Rate Base '!I145</f>
        <v>0</v>
      </c>
      <c r="J145" s="183">
        <f>'Sch 1- Rate Base '!J145</f>
        <v>0</v>
      </c>
      <c r="K145" s="903">
        <f t="shared" ref="K145:K155" si="466">IF($E145="DIRECT",0,1)</f>
        <v>1</v>
      </c>
      <c r="O145" s="1116"/>
      <c r="S145" s="1118"/>
      <c r="W145" s="1116"/>
      <c r="AA145" s="1118"/>
      <c r="AE145" s="1116"/>
      <c r="AI145" s="1118"/>
      <c r="AM145" s="1116"/>
      <c r="AQ145" s="1118"/>
      <c r="AU145" s="1116"/>
      <c r="AY145" s="1118"/>
      <c r="BC145" s="1116"/>
      <c r="BG145" s="1118"/>
      <c r="BK145" s="1116"/>
      <c r="BO145" s="1118"/>
      <c r="BS145" s="1116"/>
      <c r="BW145" s="1118"/>
      <c r="CA145" s="1116"/>
      <c r="CE145" s="1118"/>
      <c r="CI145" s="1116"/>
      <c r="CM145" s="1118"/>
      <c r="CQ145" s="1116"/>
      <c r="CU145" s="1118"/>
      <c r="CY145" s="1116"/>
      <c r="DC145" s="1118"/>
      <c r="DG145" s="1116"/>
      <c r="DK145" s="1118"/>
      <c r="DO145" s="1116"/>
      <c r="DS145" s="1118"/>
      <c r="DW145" s="1116"/>
      <c r="EA145" s="1118"/>
      <c r="EE145" s="1116"/>
      <c r="EI145" s="1118"/>
      <c r="EM145" s="1116"/>
      <c r="EQ145" s="1118"/>
      <c r="EU145" s="1116"/>
      <c r="EY145" s="1118"/>
      <c r="FC145" s="1116"/>
      <c r="FG145" s="1118"/>
      <c r="FK145" s="1116"/>
      <c r="FO145" s="1118"/>
    </row>
    <row r="146" spans="1:171">
      <c r="A146" s="912"/>
      <c r="B146" s="79" t="s">
        <v>378</v>
      </c>
      <c r="C146" s="888" t="s">
        <v>348</v>
      </c>
      <c r="D146" s="888">
        <v>245</v>
      </c>
      <c r="E146" s="182" t="str">
        <f>'Sch 1- Rate Base '!E146</f>
        <v>DIST</v>
      </c>
      <c r="F146" s="889"/>
      <c r="G146" s="182">
        <f>'Sch 1- Rate Base '!G146</f>
        <v>0</v>
      </c>
      <c r="H146" s="182">
        <f>'Sch 1- Rate Base '!H146</f>
        <v>0</v>
      </c>
      <c r="I146" s="182">
        <f>'Sch 1- Rate Base '!I146</f>
        <v>0</v>
      </c>
      <c r="J146" s="183">
        <f>'Sch 1- Rate Base '!J146</f>
        <v>0</v>
      </c>
      <c r="K146" s="903">
        <f t="shared" si="466"/>
        <v>1</v>
      </c>
      <c r="O146" s="1116"/>
      <c r="S146" s="1118"/>
      <c r="W146" s="1116"/>
      <c r="AA146" s="1118"/>
      <c r="AE146" s="1116"/>
      <c r="AI146" s="1118"/>
      <c r="AM146" s="1116"/>
      <c r="AQ146" s="1118"/>
      <c r="AU146" s="1116"/>
      <c r="AY146" s="1118"/>
      <c r="BC146" s="1116"/>
      <c r="BG146" s="1118"/>
      <c r="BK146" s="1116"/>
      <c r="BO146" s="1118"/>
      <c r="BS146" s="1116"/>
      <c r="BW146" s="1118"/>
      <c r="CA146" s="1116"/>
      <c r="CE146" s="1118"/>
      <c r="CI146" s="1116"/>
      <c r="CM146" s="1118"/>
      <c r="CQ146" s="1116"/>
      <c r="CU146" s="1118"/>
      <c r="CY146" s="1116"/>
      <c r="DC146" s="1118"/>
      <c r="DG146" s="1116"/>
      <c r="DK146" s="1118"/>
      <c r="DO146" s="1116"/>
      <c r="DS146" s="1118"/>
      <c r="DW146" s="1116"/>
      <c r="EA146" s="1118"/>
      <c r="EE146" s="1116"/>
      <c r="EI146" s="1118"/>
      <c r="EM146" s="1116"/>
      <c r="EQ146" s="1118"/>
      <c r="EU146" s="1116"/>
      <c r="EY146" s="1118"/>
      <c r="FC146" s="1116"/>
      <c r="FG146" s="1118"/>
      <c r="FK146" s="1116"/>
      <c r="FO146" s="1118"/>
    </row>
    <row r="147" spans="1:171">
      <c r="A147" s="912"/>
      <c r="B147" s="79" t="s">
        <v>22</v>
      </c>
      <c r="C147" s="888" t="s">
        <v>81</v>
      </c>
      <c r="D147" s="888">
        <v>252</v>
      </c>
      <c r="E147" s="182" t="str">
        <f>'Sch 1- Rate Base '!E147</f>
        <v>DIST</v>
      </c>
      <c r="F147" s="889"/>
      <c r="G147" s="182">
        <f>'Sch 1- Rate Base '!G147</f>
        <v>4436512.88</v>
      </c>
      <c r="H147" s="182">
        <f>'Sch 1- Rate Base '!H147</f>
        <v>0</v>
      </c>
      <c r="I147" s="182">
        <f>'Sch 1- Rate Base '!I147</f>
        <v>0</v>
      </c>
      <c r="J147" s="183">
        <f>'Sch 1- Rate Base '!J147</f>
        <v>4436512.88</v>
      </c>
      <c r="K147" s="903">
        <f t="shared" si="466"/>
        <v>1</v>
      </c>
      <c r="O147" s="1116">
        <f t="shared" ref="O147:O155" si="467">$G147</f>
        <v>4436512.88</v>
      </c>
      <c r="P147" s="1117">
        <f t="shared" ref="P147:P155" si="468">VLOOKUP($E147,O$442:R$453,2,FALSE)*O147*($K147)+IF($G147&lt;&gt;0,($H147/$G147)*O147,0)*(1-$K147)</f>
        <v>0</v>
      </c>
      <c r="Q147" s="1117">
        <f t="shared" ref="Q147:Q155" si="469">VLOOKUP($E147,O$442:R$453,3,FALSE)*O147*($K147)+IF($G147&lt;&gt;0,($I147/$G147)*O147,0)*(1-$K147)</f>
        <v>0</v>
      </c>
      <c r="R147" s="1117">
        <f t="shared" ref="R147:R155" si="470">VLOOKUP($E147,O$442:R$453,4,FALSE)*O147*($K147)+(O147-P147-Q147)*(1-$K147)</f>
        <v>4436512.88</v>
      </c>
      <c r="S147" s="1118"/>
      <c r="W147" s="1116">
        <f t="shared" ref="W147:W155" si="471">$G147</f>
        <v>4436512.88</v>
      </c>
      <c r="X147" s="1117">
        <f t="shared" ref="X147:X155" si="472">VLOOKUP($E147,W$442:Z$453,2,FALSE)*W147*($K147)+IF($G147&lt;&gt;0,($H147/$G147)*W147,0)*(1-$K147)</f>
        <v>0</v>
      </c>
      <c r="Y147" s="1117">
        <f t="shared" ref="Y147:Y155" si="473">VLOOKUP($E147,W$442:Z$453,3,FALSE)*W147*($K147)+IF($G147&lt;&gt;0,($I147/$G147)*W147,0)*(1-$K147)</f>
        <v>0</v>
      </c>
      <c r="Z147" s="1117">
        <f t="shared" ref="Z147:Z155" si="474">VLOOKUP($E147,W$442:Z$453,4,FALSE)*W147*($K147)+(W147-X147-Y147)*(1-$K147)</f>
        <v>4436512.88</v>
      </c>
      <c r="AA147" s="1118"/>
      <c r="AE147" s="1116">
        <f t="shared" ref="AE147:AE155" si="475">$G147</f>
        <v>4436512.88</v>
      </c>
      <c r="AF147" s="1117">
        <f t="shared" ref="AF147:AF155" si="476">VLOOKUP($E147,AE$442:AH$453,2,FALSE)*AE147*($K147)+IF($G147&lt;&gt;0,($H147/$G147)*AE147,0)*(1-$K147)</f>
        <v>0</v>
      </c>
      <c r="AG147" s="1117">
        <f t="shared" ref="AG147:AG155" si="477">VLOOKUP($E147,AE$442:AH$453,3,FALSE)*AE147*($K147)+IF($G147&lt;&gt;0,($I147/$G147)*AE147,0)*(1-$K147)</f>
        <v>0</v>
      </c>
      <c r="AH147" s="1117">
        <f t="shared" ref="AH147:AH155" si="478">VLOOKUP($E147,AE$442:AH$453,4,FALSE)*AE147*($K147)+(AE147-AF147-AG147)*(1-$K147)</f>
        <v>4436512.88</v>
      </c>
      <c r="AI147" s="1118"/>
      <c r="AM147" s="1116">
        <f t="shared" ref="AM147:AM155" si="479">$G147</f>
        <v>4436512.88</v>
      </c>
      <c r="AN147" s="1117">
        <f t="shared" ref="AN147:AN155" si="480">VLOOKUP($E147,AM$442:AP$453,2,FALSE)*AM147*($K147)+IF($G147&lt;&gt;0,($H147/$G147)*AM147,0)*(1-$K147)</f>
        <v>0</v>
      </c>
      <c r="AO147" s="1117">
        <f t="shared" ref="AO147:AO155" si="481">VLOOKUP($E147,AM$442:AP$453,3,FALSE)*AM147*($K147)+IF($G147&lt;&gt;0,($I147/$G147)*AM147,0)*(1-$K147)</f>
        <v>0</v>
      </c>
      <c r="AP147" s="1117">
        <f t="shared" ref="AP147:AP155" si="482">VLOOKUP($E147,AM$442:AP$453,4,FALSE)*AM147*($K147)+(AM147-AN147-AO147)*(1-$K147)</f>
        <v>4436512.88</v>
      </c>
      <c r="AQ147" s="1118"/>
      <c r="AU147" s="1116">
        <f t="shared" ref="AU147:AU155" si="483">$G147</f>
        <v>4436512.88</v>
      </c>
      <c r="AV147" s="1117">
        <f t="shared" ref="AV147:AV155" si="484">VLOOKUP($E147,AU$442:AX$453,2,FALSE)*AU147*($K147)+IF($G147&lt;&gt;0,($H147/$G147)*AU147,0)*(1-$K147)</f>
        <v>0</v>
      </c>
      <c r="AW147" s="1117">
        <f t="shared" ref="AW147:AW155" si="485">VLOOKUP($E147,AU$442:AX$453,3,FALSE)*AU147*($K147)+IF($G147&lt;&gt;0,($I147/$G147)*AU147,0)*(1-$K147)</f>
        <v>0</v>
      </c>
      <c r="AX147" s="1117">
        <f t="shared" ref="AX147:AX155" si="486">VLOOKUP($E147,AU$442:AX$453,4,FALSE)*AU147*($K147)+(AU147-AV147-AW147)*(1-$K147)</f>
        <v>4436512.88</v>
      </c>
      <c r="AY147" s="1118"/>
      <c r="BC147" s="1116">
        <f t="shared" ref="BC147:BC155" si="487">$G147</f>
        <v>4436512.88</v>
      </c>
      <c r="BD147" s="1117">
        <f t="shared" ref="BD147:BD155" si="488">VLOOKUP($E147,BC$442:BF$453,2,FALSE)*BC147*($K147)+IF($G147&lt;&gt;0,($H147/$G147)*BC147,0)*(1-$K147)</f>
        <v>0</v>
      </c>
      <c r="BE147" s="1117">
        <f t="shared" ref="BE147:BE155" si="489">VLOOKUP($E147,BC$442:BF$453,3,FALSE)*BC147*($K147)+IF($G147&lt;&gt;0,($I147/$G147)*BC147,0)*(1-$K147)</f>
        <v>0</v>
      </c>
      <c r="BF147" s="1117">
        <f t="shared" ref="BF147:BF155" si="490">VLOOKUP($E147,BC$442:BF$453,4,FALSE)*BC147*($K147)+(BC147-BD147-BE147)*(1-$K147)</f>
        <v>4436512.88</v>
      </c>
      <c r="BG147" s="1118"/>
      <c r="BK147" s="1116">
        <f t="shared" ref="BK147:BK155" si="491">$G147</f>
        <v>4436512.88</v>
      </c>
      <c r="BL147" s="1117">
        <f t="shared" ref="BL147:BL155" si="492">VLOOKUP($E147,BK$442:BN$453,2,FALSE)*BK147*($K147)+IF($G147&lt;&gt;0,($H147/$G147)*BK147,0)*(1-$K147)</f>
        <v>0</v>
      </c>
      <c r="BM147" s="1117">
        <f t="shared" ref="BM147:BM155" si="493">VLOOKUP($E147,BK$442:BN$453,3,FALSE)*BK147*($K147)+IF($G147&lt;&gt;0,($I147/$G147)*BK147,0)*(1-$K147)</f>
        <v>0</v>
      </c>
      <c r="BN147" s="1117">
        <f t="shared" ref="BN147:BN155" si="494">VLOOKUP($E147,BK$442:BN$453,4,FALSE)*BK147*($K147)+(BK147-BL147-BM147)*(1-$K147)</f>
        <v>4436512.88</v>
      </c>
      <c r="BO147" s="1118"/>
      <c r="BS147" s="1116">
        <f t="shared" ref="BS147:BS155" si="495">$G147</f>
        <v>4436512.88</v>
      </c>
      <c r="BT147" s="1117">
        <f t="shared" ref="BT147:BT155" si="496">VLOOKUP($E147,BS$442:BV$453,2,FALSE)*BS147*($K147)+IF($G147&lt;&gt;0,($H147/$G147)*BS147,0)*(1-$K147)</f>
        <v>0</v>
      </c>
      <c r="BU147" s="1117">
        <f t="shared" ref="BU147:BU155" si="497">VLOOKUP($E147,BS$442:BV$453,3,FALSE)*BS147*($K147)+IF($G147&lt;&gt;0,($I147/$G147)*BS147,0)*(1-$K147)</f>
        <v>0</v>
      </c>
      <c r="BV147" s="1117">
        <f t="shared" ref="BV147:BV155" si="498">VLOOKUP($E147,BS$442:BV$453,4,FALSE)*BS147*($K147)+(BS147-BT147-BU147)*(1-$K147)</f>
        <v>4436512.88</v>
      </c>
      <c r="BW147" s="1118"/>
      <c r="CA147" s="1116">
        <f t="shared" ref="CA147:CA155" si="499">$G147</f>
        <v>4436512.88</v>
      </c>
      <c r="CB147" s="1117">
        <f t="shared" ref="CB147:CB155" si="500">VLOOKUP($E147,CA$442:CD$453,2,FALSE)*CA147*($K147)+IF($G147&lt;&gt;0,($H147/$G147)*CA147,0)*(1-$K147)</f>
        <v>0</v>
      </c>
      <c r="CC147" s="1117">
        <f t="shared" ref="CC147:CC155" si="501">VLOOKUP($E147,CA$442:CD$453,3,FALSE)*CA147*($K147)+IF($G147&lt;&gt;0,($I147/$G147)*CA147,0)*(1-$K147)</f>
        <v>0</v>
      </c>
      <c r="CD147" s="1117">
        <f t="shared" ref="CD147:CD155" si="502">VLOOKUP($E147,CA$442:CD$453,4,FALSE)*CA147*($K147)+(CA147-CB147-CC147)*(1-$K147)</f>
        <v>4436512.88</v>
      </c>
      <c r="CE147" s="1118"/>
      <c r="CI147" s="1116">
        <f t="shared" ref="CI147:CI155" si="503">$G147</f>
        <v>4436512.88</v>
      </c>
      <c r="CJ147" s="1117">
        <f t="shared" ref="CJ147:CJ155" si="504">VLOOKUP($E147,CI$442:CL$453,2,FALSE)*CI147*($K147)+IF($G147&lt;&gt;0,($H147/$G147)*CI147,0)*(1-$K147)</f>
        <v>0</v>
      </c>
      <c r="CK147" s="1117">
        <f t="shared" ref="CK147:CK155" si="505">VLOOKUP($E147,CI$442:CL$453,3,FALSE)*CI147*($K147)+IF($G147&lt;&gt;0,($I147/$G147)*CI147,0)*(1-$K147)</f>
        <v>0</v>
      </c>
      <c r="CL147" s="1117">
        <f t="shared" ref="CL147:CL155" si="506">VLOOKUP($E147,CI$442:CL$453,4,FALSE)*CI147*($K147)+(CI147-CJ147-CK147)*(1-$K147)</f>
        <v>4436512.88</v>
      </c>
      <c r="CM147" s="1118"/>
      <c r="CQ147" s="1116">
        <f t="shared" ref="CQ147:CQ155" si="507">$G147</f>
        <v>4436512.88</v>
      </c>
      <c r="CR147" s="1117">
        <f t="shared" ref="CR147:CR155" si="508">VLOOKUP($E147,CQ$442:CT$453,2,FALSE)*CQ147*($K147)+IF($G147&lt;&gt;0,($H147/$G147)*CQ147,0)*(1-$K147)</f>
        <v>0</v>
      </c>
      <c r="CS147" s="1117">
        <f t="shared" ref="CS147:CS155" si="509">VLOOKUP($E147,CQ$442:CT$453,3,FALSE)*CQ147*($K147)+IF($G147&lt;&gt;0,($I147/$G147)*CQ147,0)*(1-$K147)</f>
        <v>0</v>
      </c>
      <c r="CT147" s="1117">
        <f t="shared" ref="CT147:CT155" si="510">VLOOKUP($E147,CQ$442:CT$453,4,FALSE)*CQ147*($K147)+(CQ147-CR147-CS147)*(1-$K147)</f>
        <v>4436512.88</v>
      </c>
      <c r="CU147" s="1118"/>
      <c r="CY147" s="1116">
        <f t="shared" ref="CY147:CY155" si="511">$G147</f>
        <v>4436512.88</v>
      </c>
      <c r="CZ147" s="1117">
        <f t="shared" ref="CZ147:CZ155" si="512">VLOOKUP($E147,CY$442:DB$453,2,FALSE)*CY147*($K147)+IF($G147&lt;&gt;0,($H147/$G147)*CY147,0)*(1-$K147)</f>
        <v>0</v>
      </c>
      <c r="DA147" s="1117">
        <f t="shared" ref="DA147:DA155" si="513">VLOOKUP($E147,CY$442:DB$453,3,FALSE)*CY147*($K147)+IF($G147&lt;&gt;0,($I147/$G147)*CY147,0)*(1-$K147)</f>
        <v>0</v>
      </c>
      <c r="DB147" s="1117">
        <f t="shared" ref="DB147:DB155" si="514">VLOOKUP($E147,CY$442:DB$453,4,FALSE)*CY147*($K147)+(CY147-CZ147-DA147)*(1-$K147)</f>
        <v>4436512.88</v>
      </c>
      <c r="DC147" s="1118"/>
      <c r="DG147" s="1116">
        <f t="shared" ref="DG147:DG155" si="515">$G147</f>
        <v>4436512.88</v>
      </c>
      <c r="DH147" s="1117">
        <f t="shared" ref="DH147:DH155" si="516">VLOOKUP($E147,DG$442:DJ$453,2,FALSE)*DG147*($K147)+IF($G147&lt;&gt;0,($H147/$G147)*DG147,0)*(1-$K147)</f>
        <v>0</v>
      </c>
      <c r="DI147" s="1117">
        <f t="shared" ref="DI147:DI155" si="517">VLOOKUP($E147,DG$442:DJ$453,3,FALSE)*DG147*($K147)+IF($G147&lt;&gt;0,($I147/$G147)*DG147,0)*(1-$K147)</f>
        <v>0</v>
      </c>
      <c r="DJ147" s="1117">
        <f t="shared" ref="DJ147:DJ155" si="518">VLOOKUP($E147,DG$442:DJ$453,4,FALSE)*DG147*($K147)+(DG147-DH147-DI147)*(1-$K147)</f>
        <v>4436512.88</v>
      </c>
      <c r="DK147" s="1118"/>
      <c r="DO147" s="1116">
        <f t="shared" ref="DO147:DO155" si="519">$G147</f>
        <v>4436512.88</v>
      </c>
      <c r="DP147" s="1117">
        <f t="shared" ref="DP147:DP155" si="520">VLOOKUP($E147,DO$442:DR$453,2,FALSE)*DO147*($K147)+IF($G147&lt;&gt;0,($H147/$G147)*DO147,0)*(1-$K147)</f>
        <v>0</v>
      </c>
      <c r="DQ147" s="1117">
        <f t="shared" ref="DQ147:DQ155" si="521">VLOOKUP($E147,DO$442:DR$453,3,FALSE)*DO147*($K147)+IF($G147&lt;&gt;0,($I147/$G147)*DO147,0)*(1-$K147)</f>
        <v>0</v>
      </c>
      <c r="DR147" s="1117">
        <f t="shared" ref="DR147:DR155" si="522">VLOOKUP($E147,DO$442:DR$453,4,FALSE)*DO147*($K147)+(DO147-DP147-DQ147)*(1-$K147)</f>
        <v>4436512.88</v>
      </c>
      <c r="DS147" s="1118"/>
      <c r="DW147" s="1116">
        <f t="shared" ref="DW147:DW155" si="523">$G147</f>
        <v>4436512.88</v>
      </c>
      <c r="DX147" s="1117">
        <f t="shared" ref="DX147:DX155" si="524">VLOOKUP($E147,DW$442:DZ$453,2,FALSE)*DW147*($K147)+IF($G147&lt;&gt;0,($H147/$G147)*DW147,0)*(1-$K147)</f>
        <v>0</v>
      </c>
      <c r="DY147" s="1117">
        <f t="shared" ref="DY147:DY155" si="525">VLOOKUP($E147,DW$442:DZ$453,3,FALSE)*DW147*($K147)+IF($G147&lt;&gt;0,($I147/$G147)*DW147,0)*(1-$K147)</f>
        <v>0</v>
      </c>
      <c r="DZ147" s="1117">
        <f t="shared" ref="DZ147:DZ155" si="526">VLOOKUP($E147,DW$442:DZ$453,4,FALSE)*DW147*($K147)+(DW147-DX147-DY147)*(1-$K147)</f>
        <v>4436512.88</v>
      </c>
      <c r="EA147" s="1118"/>
      <c r="EE147" s="1116">
        <f t="shared" ref="EE147:EE155" si="527">$G147</f>
        <v>4436512.88</v>
      </c>
      <c r="EF147" s="1117">
        <f t="shared" ref="EF147:EF155" si="528">VLOOKUP($E147,EE$442:EH$453,2,FALSE)*EE147*($K147)+IF($G147&lt;&gt;0,($H147/$G147)*EE147,0)*(1-$K147)</f>
        <v>0</v>
      </c>
      <c r="EG147" s="1117">
        <f t="shared" ref="EG147:EG155" si="529">VLOOKUP($E147,EE$442:EH$453,3,FALSE)*EE147*($K147)+IF($G147&lt;&gt;0,($I147/$G147)*EE147,0)*(1-$K147)</f>
        <v>0</v>
      </c>
      <c r="EH147" s="1117">
        <f t="shared" ref="EH147:EH155" si="530">VLOOKUP($E147,EE$442:EH$453,4,FALSE)*EE147*($K147)+(EE147-EF147-EG147)*(1-$K147)</f>
        <v>4436512.88</v>
      </c>
      <c r="EI147" s="1118"/>
      <c r="EM147" s="1116">
        <f t="shared" ref="EM147:EM155" si="531">$G147</f>
        <v>4436512.88</v>
      </c>
      <c r="EN147" s="1117">
        <f t="shared" ref="EN147:EN155" si="532">VLOOKUP($E147,EM$442:EP$453,2,FALSE)*EM147*($K147)+IF($G147&lt;&gt;0,($H147/$G147)*EM147,0)*(1-$K147)</f>
        <v>0</v>
      </c>
      <c r="EO147" s="1117">
        <f t="shared" ref="EO147:EO155" si="533">VLOOKUP($E147,EM$442:EP$453,3,FALSE)*EM147*($K147)+IF($G147&lt;&gt;0,($I147/$G147)*EM147,0)*(1-$K147)</f>
        <v>0</v>
      </c>
      <c r="EP147" s="1117">
        <f t="shared" ref="EP147:EP155" si="534">VLOOKUP($E147,EM$442:EP$453,4,FALSE)*EM147*($K147)+(EM147-EN147-EO147)*(1-$K147)</f>
        <v>4436512.88</v>
      </c>
      <c r="EQ147" s="1118"/>
      <c r="EU147" s="1116">
        <f t="shared" ref="EU147:EU155" si="535">$G147</f>
        <v>4436512.88</v>
      </c>
      <c r="EV147" s="1117">
        <f t="shared" ref="EV147:EV155" si="536">VLOOKUP($E147,EU$442:EX$453,2,FALSE)*EU147*($K147)+IF($G147&lt;&gt;0,($H147/$G147)*EU147,0)*(1-$K147)</f>
        <v>0</v>
      </c>
      <c r="EW147" s="1117">
        <f t="shared" ref="EW147:EW155" si="537">VLOOKUP($E147,EU$442:EX$453,3,FALSE)*EU147*($K147)+IF($G147&lt;&gt;0,($I147/$G147)*EU147,0)*(1-$K147)</f>
        <v>0</v>
      </c>
      <c r="EX147" s="1117">
        <f t="shared" ref="EX147:EX155" si="538">VLOOKUP($E147,EU$442:EX$453,4,FALSE)*EU147*($K147)+(EU147-EV147-EW147)*(1-$K147)</f>
        <v>4436512.88</v>
      </c>
      <c r="EY147" s="1118"/>
      <c r="FC147" s="1116">
        <f t="shared" ref="FC147:FC155" si="539">$G147</f>
        <v>4436512.88</v>
      </c>
      <c r="FD147" s="1117">
        <f t="shared" ref="FD147:FD155" si="540">VLOOKUP($E147,FC$442:FF$453,2,FALSE)*FC147*($K147)+IF($G147&lt;&gt;0,($H147/$G147)*FC147,0)*(1-$K147)</f>
        <v>0</v>
      </c>
      <c r="FE147" s="1117">
        <f t="shared" ref="FE147:FE155" si="541">VLOOKUP($E147,FC$442:FF$453,3,FALSE)*FC147*($K147)+IF($G147&lt;&gt;0,($I147/$G147)*FC147,0)*(1-$K147)</f>
        <v>0</v>
      </c>
      <c r="FF147" s="1117">
        <f t="shared" ref="FF147:FF155" si="542">VLOOKUP($E147,FC$442:FF$453,4,FALSE)*FC147*($K147)+(FC147-FD147-FE147)*(1-$K147)</f>
        <v>4436512.88</v>
      </c>
      <c r="FG147" s="1118"/>
      <c r="FK147" s="1116">
        <f t="shared" ref="FK147:FK155" si="543">$G147</f>
        <v>4436512.88</v>
      </c>
      <c r="FL147" s="1117">
        <f t="shared" ref="FL147:FL155" si="544">VLOOKUP($E147,FK$442:FN$453,2,FALSE)*FK147*($K147)+IF($G147&lt;&gt;0,($H147/$G147)*FK147,0)*(1-$K147)</f>
        <v>0</v>
      </c>
      <c r="FM147" s="1117">
        <f t="shared" ref="FM147:FM155" si="545">VLOOKUP($E147,FK$442:FN$453,3,FALSE)*FK147*($K147)+IF($G147&lt;&gt;0,($I147/$G147)*FK147,0)*(1-$K147)</f>
        <v>0</v>
      </c>
      <c r="FN147" s="1117">
        <f t="shared" ref="FN147:FN155" si="546">VLOOKUP($E147,FK$442:FN$453,4,FALSE)*FK147*($K147)+(FK147-FL147-FM147)*(1-$K147)</f>
        <v>4436512.88</v>
      </c>
      <c r="FO147" s="1118"/>
    </row>
    <row r="148" spans="1:171">
      <c r="A148" s="912"/>
      <c r="B148" s="79" t="s">
        <v>25</v>
      </c>
      <c r="C148" s="888" t="s">
        <v>81</v>
      </c>
      <c r="D148" s="888">
        <v>253</v>
      </c>
      <c r="E148" s="182" t="str">
        <f>'Sch 1- Rate Base '!E148</f>
        <v>DIRECT</v>
      </c>
      <c r="F148" s="889"/>
      <c r="G148" s="182">
        <f>'Sch 1- Rate Base '!G148</f>
        <v>32918242.530000001</v>
      </c>
      <c r="H148" s="182">
        <f>'Sch 1- Rate Base '!H148</f>
        <v>0</v>
      </c>
      <c r="I148" s="182">
        <f>'Sch 1- Rate Base '!I148</f>
        <v>0</v>
      </c>
      <c r="J148" s="183">
        <f>'Sch 1- Rate Base '!J148</f>
        <v>32918243</v>
      </c>
      <c r="K148" s="903">
        <f t="shared" si="466"/>
        <v>0</v>
      </c>
      <c r="O148" s="1116">
        <f t="shared" si="467"/>
        <v>32918242.530000001</v>
      </c>
      <c r="P148" s="1117">
        <f t="shared" si="468"/>
        <v>0</v>
      </c>
      <c r="Q148" s="1117">
        <f t="shared" si="469"/>
        <v>0</v>
      </c>
      <c r="R148" s="1117">
        <f t="shared" si="470"/>
        <v>32918242.530000001</v>
      </c>
      <c r="S148" s="1118"/>
      <c r="W148" s="1116">
        <f t="shared" si="471"/>
        <v>32918242.530000001</v>
      </c>
      <c r="X148" s="1117">
        <f t="shared" si="472"/>
        <v>0</v>
      </c>
      <c r="Y148" s="1117">
        <f t="shared" si="473"/>
        <v>0</v>
      </c>
      <c r="Z148" s="1117">
        <f t="shared" si="474"/>
        <v>32918242.530000001</v>
      </c>
      <c r="AA148" s="1118"/>
      <c r="AE148" s="1116">
        <f t="shared" si="475"/>
        <v>32918242.530000001</v>
      </c>
      <c r="AF148" s="1117">
        <f t="shared" si="476"/>
        <v>0</v>
      </c>
      <c r="AG148" s="1117">
        <f t="shared" si="477"/>
        <v>0</v>
      </c>
      <c r="AH148" s="1117">
        <f t="shared" si="478"/>
        <v>32918242.530000001</v>
      </c>
      <c r="AI148" s="1118"/>
      <c r="AM148" s="1116">
        <f t="shared" si="479"/>
        <v>32918242.530000001</v>
      </c>
      <c r="AN148" s="1117">
        <f t="shared" si="480"/>
        <v>0</v>
      </c>
      <c r="AO148" s="1117">
        <f t="shared" si="481"/>
        <v>0</v>
      </c>
      <c r="AP148" s="1117">
        <f t="shared" si="482"/>
        <v>32918242.530000001</v>
      </c>
      <c r="AQ148" s="1118"/>
      <c r="AU148" s="1116">
        <f t="shared" si="483"/>
        <v>32918242.530000001</v>
      </c>
      <c r="AV148" s="1117">
        <f t="shared" si="484"/>
        <v>0</v>
      </c>
      <c r="AW148" s="1117">
        <f t="shared" si="485"/>
        <v>0</v>
      </c>
      <c r="AX148" s="1117">
        <f t="shared" si="486"/>
        <v>32918242.530000001</v>
      </c>
      <c r="AY148" s="1118"/>
      <c r="BC148" s="1116">
        <f t="shared" si="487"/>
        <v>32918242.530000001</v>
      </c>
      <c r="BD148" s="1117">
        <f t="shared" si="488"/>
        <v>0</v>
      </c>
      <c r="BE148" s="1117">
        <f t="shared" si="489"/>
        <v>0</v>
      </c>
      <c r="BF148" s="1117">
        <f t="shared" si="490"/>
        <v>32918242.530000001</v>
      </c>
      <c r="BG148" s="1118"/>
      <c r="BK148" s="1116">
        <f t="shared" si="491"/>
        <v>32918242.530000001</v>
      </c>
      <c r="BL148" s="1117">
        <f t="shared" si="492"/>
        <v>0</v>
      </c>
      <c r="BM148" s="1117">
        <f t="shared" si="493"/>
        <v>0</v>
      </c>
      <c r="BN148" s="1117">
        <f t="shared" si="494"/>
        <v>32918242.530000001</v>
      </c>
      <c r="BO148" s="1118"/>
      <c r="BS148" s="1116">
        <f t="shared" si="495"/>
        <v>32918242.530000001</v>
      </c>
      <c r="BT148" s="1117">
        <f t="shared" si="496"/>
        <v>0</v>
      </c>
      <c r="BU148" s="1117">
        <f t="shared" si="497"/>
        <v>0</v>
      </c>
      <c r="BV148" s="1117">
        <f t="shared" si="498"/>
        <v>32918242.530000001</v>
      </c>
      <c r="BW148" s="1118"/>
      <c r="CA148" s="1116">
        <f t="shared" si="499"/>
        <v>32918242.530000001</v>
      </c>
      <c r="CB148" s="1117">
        <f t="shared" si="500"/>
        <v>0</v>
      </c>
      <c r="CC148" s="1117">
        <f t="shared" si="501"/>
        <v>0</v>
      </c>
      <c r="CD148" s="1117">
        <f t="shared" si="502"/>
        <v>32918242.530000001</v>
      </c>
      <c r="CE148" s="1118"/>
      <c r="CI148" s="1116">
        <f t="shared" si="503"/>
        <v>32918242.530000001</v>
      </c>
      <c r="CJ148" s="1117">
        <f t="shared" si="504"/>
        <v>0</v>
      </c>
      <c r="CK148" s="1117">
        <f t="shared" si="505"/>
        <v>0</v>
      </c>
      <c r="CL148" s="1117">
        <f t="shared" si="506"/>
        <v>32918242.530000001</v>
      </c>
      <c r="CM148" s="1118"/>
      <c r="CQ148" s="1116">
        <f t="shared" si="507"/>
        <v>32918242.530000001</v>
      </c>
      <c r="CR148" s="1117">
        <f t="shared" si="508"/>
        <v>0</v>
      </c>
      <c r="CS148" s="1117">
        <f t="shared" si="509"/>
        <v>0</v>
      </c>
      <c r="CT148" s="1117">
        <f t="shared" si="510"/>
        <v>32918242.530000001</v>
      </c>
      <c r="CU148" s="1118"/>
      <c r="CY148" s="1116">
        <f t="shared" si="511"/>
        <v>32918242.530000001</v>
      </c>
      <c r="CZ148" s="1117">
        <f t="shared" si="512"/>
        <v>0</v>
      </c>
      <c r="DA148" s="1117">
        <f t="shared" si="513"/>
        <v>0</v>
      </c>
      <c r="DB148" s="1117">
        <f t="shared" si="514"/>
        <v>32918242.530000001</v>
      </c>
      <c r="DC148" s="1118"/>
      <c r="DG148" s="1116">
        <f t="shared" si="515"/>
        <v>32918242.530000001</v>
      </c>
      <c r="DH148" s="1117">
        <f t="shared" si="516"/>
        <v>0</v>
      </c>
      <c r="DI148" s="1117">
        <f t="shared" si="517"/>
        <v>0</v>
      </c>
      <c r="DJ148" s="1117">
        <f t="shared" si="518"/>
        <v>32918242.530000001</v>
      </c>
      <c r="DK148" s="1118"/>
      <c r="DO148" s="1116">
        <f t="shared" si="519"/>
        <v>32918242.530000001</v>
      </c>
      <c r="DP148" s="1117">
        <f t="shared" si="520"/>
        <v>0</v>
      </c>
      <c r="DQ148" s="1117">
        <f t="shared" si="521"/>
        <v>0</v>
      </c>
      <c r="DR148" s="1117">
        <f t="shared" si="522"/>
        <v>32918242.530000001</v>
      </c>
      <c r="DS148" s="1118"/>
      <c r="DW148" s="1116">
        <f t="shared" si="523"/>
        <v>32918242.530000001</v>
      </c>
      <c r="DX148" s="1117">
        <f t="shared" si="524"/>
        <v>0</v>
      </c>
      <c r="DY148" s="1117">
        <f t="shared" si="525"/>
        <v>0</v>
      </c>
      <c r="DZ148" s="1117">
        <f t="shared" si="526"/>
        <v>32918242.530000001</v>
      </c>
      <c r="EA148" s="1118"/>
      <c r="EE148" s="1116">
        <f t="shared" si="527"/>
        <v>32918242.530000001</v>
      </c>
      <c r="EF148" s="1117">
        <f t="shared" si="528"/>
        <v>0</v>
      </c>
      <c r="EG148" s="1117">
        <f t="shared" si="529"/>
        <v>0</v>
      </c>
      <c r="EH148" s="1117">
        <f t="shared" si="530"/>
        <v>32918242.530000001</v>
      </c>
      <c r="EI148" s="1118"/>
      <c r="EM148" s="1116">
        <f t="shared" si="531"/>
        <v>32918242.530000001</v>
      </c>
      <c r="EN148" s="1117">
        <f t="shared" si="532"/>
        <v>0</v>
      </c>
      <c r="EO148" s="1117">
        <f t="shared" si="533"/>
        <v>0</v>
      </c>
      <c r="EP148" s="1117">
        <f t="shared" si="534"/>
        <v>32918242.530000001</v>
      </c>
      <c r="EQ148" s="1118"/>
      <c r="EU148" s="1116">
        <f t="shared" si="535"/>
        <v>32918242.530000001</v>
      </c>
      <c r="EV148" s="1117">
        <f t="shared" si="536"/>
        <v>0</v>
      </c>
      <c r="EW148" s="1117">
        <f t="shared" si="537"/>
        <v>0</v>
      </c>
      <c r="EX148" s="1117">
        <f t="shared" si="538"/>
        <v>32918242.530000001</v>
      </c>
      <c r="EY148" s="1118"/>
      <c r="FC148" s="1116">
        <f t="shared" si="539"/>
        <v>32918242.530000001</v>
      </c>
      <c r="FD148" s="1117">
        <f t="shared" si="540"/>
        <v>0</v>
      </c>
      <c r="FE148" s="1117">
        <f t="shared" si="541"/>
        <v>0</v>
      </c>
      <c r="FF148" s="1117">
        <f t="shared" si="542"/>
        <v>32918242.530000001</v>
      </c>
      <c r="FG148" s="1118"/>
      <c r="FK148" s="1116">
        <f t="shared" si="543"/>
        <v>32918242.530000001</v>
      </c>
      <c r="FL148" s="1117">
        <f t="shared" si="544"/>
        <v>0</v>
      </c>
      <c r="FM148" s="1117">
        <f t="shared" si="545"/>
        <v>0</v>
      </c>
      <c r="FN148" s="1117">
        <f t="shared" si="546"/>
        <v>32918242.530000001</v>
      </c>
      <c r="FO148" s="1118"/>
    </row>
    <row r="149" spans="1:171">
      <c r="A149" s="912"/>
      <c r="B149" s="79" t="s">
        <v>26</v>
      </c>
      <c r="C149" s="888" t="s">
        <v>81</v>
      </c>
      <c r="D149" s="888">
        <v>254</v>
      </c>
      <c r="E149" s="182" t="str">
        <f>'Sch 1- Rate Base '!E149</f>
        <v>DIRECT</v>
      </c>
      <c r="F149" s="889"/>
      <c r="G149" s="182">
        <f>'Sch 1- Rate Base '!G149</f>
        <v>479233915.16999996</v>
      </c>
      <c r="H149" s="182">
        <f>'Sch 1- Rate Base '!H149</f>
        <v>440276</v>
      </c>
      <c r="I149" s="182">
        <f>'Sch 1- Rate Base '!I149</f>
        <v>0</v>
      </c>
      <c r="J149" s="183">
        <f>'Sch 1- Rate Base '!J149</f>
        <v>478793639</v>
      </c>
      <c r="K149" s="903">
        <f t="shared" si="466"/>
        <v>0</v>
      </c>
      <c r="O149" s="1116">
        <f t="shared" si="467"/>
        <v>479233915.16999996</v>
      </c>
      <c r="P149" s="1117">
        <f t="shared" si="468"/>
        <v>440276</v>
      </c>
      <c r="Q149" s="1117">
        <f t="shared" si="469"/>
        <v>0</v>
      </c>
      <c r="R149" s="1117">
        <f t="shared" si="470"/>
        <v>478793639.16999996</v>
      </c>
      <c r="S149" s="1118"/>
      <c r="W149" s="1116">
        <f t="shared" si="471"/>
        <v>479233915.16999996</v>
      </c>
      <c r="X149" s="1117">
        <f t="shared" si="472"/>
        <v>440276</v>
      </c>
      <c r="Y149" s="1117">
        <f t="shared" si="473"/>
        <v>0</v>
      </c>
      <c r="Z149" s="1117">
        <f t="shared" si="474"/>
        <v>478793639.16999996</v>
      </c>
      <c r="AA149" s="1118"/>
      <c r="AE149" s="1116">
        <f t="shared" si="475"/>
        <v>479233915.16999996</v>
      </c>
      <c r="AF149" s="1117">
        <f t="shared" si="476"/>
        <v>440276</v>
      </c>
      <c r="AG149" s="1117">
        <f t="shared" si="477"/>
        <v>0</v>
      </c>
      <c r="AH149" s="1117">
        <f t="shared" si="478"/>
        <v>478793639.16999996</v>
      </c>
      <c r="AI149" s="1118"/>
      <c r="AM149" s="1116">
        <f t="shared" si="479"/>
        <v>479233915.16999996</v>
      </c>
      <c r="AN149" s="1117">
        <f t="shared" si="480"/>
        <v>440276</v>
      </c>
      <c r="AO149" s="1117">
        <f t="shared" si="481"/>
        <v>0</v>
      </c>
      <c r="AP149" s="1117">
        <f t="shared" si="482"/>
        <v>478793639.16999996</v>
      </c>
      <c r="AQ149" s="1118"/>
      <c r="AU149" s="1116">
        <f t="shared" si="483"/>
        <v>479233915.16999996</v>
      </c>
      <c r="AV149" s="1117">
        <f t="shared" si="484"/>
        <v>440276</v>
      </c>
      <c r="AW149" s="1117">
        <f t="shared" si="485"/>
        <v>0</v>
      </c>
      <c r="AX149" s="1117">
        <f t="shared" si="486"/>
        <v>478793639.16999996</v>
      </c>
      <c r="AY149" s="1118"/>
      <c r="BC149" s="1116">
        <f t="shared" si="487"/>
        <v>479233915.16999996</v>
      </c>
      <c r="BD149" s="1117">
        <f t="shared" si="488"/>
        <v>440276</v>
      </c>
      <c r="BE149" s="1117">
        <f t="shared" si="489"/>
        <v>0</v>
      </c>
      <c r="BF149" s="1117">
        <f t="shared" si="490"/>
        <v>478793639.16999996</v>
      </c>
      <c r="BG149" s="1118"/>
      <c r="BK149" s="1116">
        <f t="shared" si="491"/>
        <v>479233915.16999996</v>
      </c>
      <c r="BL149" s="1117">
        <f t="shared" si="492"/>
        <v>440276</v>
      </c>
      <c r="BM149" s="1117">
        <f t="shared" si="493"/>
        <v>0</v>
      </c>
      <c r="BN149" s="1117">
        <f t="shared" si="494"/>
        <v>478793639.16999996</v>
      </c>
      <c r="BO149" s="1118"/>
      <c r="BS149" s="1116">
        <f t="shared" si="495"/>
        <v>479233915.16999996</v>
      </c>
      <c r="BT149" s="1117">
        <f t="shared" si="496"/>
        <v>440276</v>
      </c>
      <c r="BU149" s="1117">
        <f t="shared" si="497"/>
        <v>0</v>
      </c>
      <c r="BV149" s="1117">
        <f t="shared" si="498"/>
        <v>478793639.16999996</v>
      </c>
      <c r="BW149" s="1118"/>
      <c r="CA149" s="1116">
        <f t="shared" si="499"/>
        <v>479233915.16999996</v>
      </c>
      <c r="CB149" s="1117">
        <f t="shared" si="500"/>
        <v>440276</v>
      </c>
      <c r="CC149" s="1117">
        <f t="shared" si="501"/>
        <v>0</v>
      </c>
      <c r="CD149" s="1117">
        <f t="shared" si="502"/>
        <v>478793639.16999996</v>
      </c>
      <c r="CE149" s="1118"/>
      <c r="CI149" s="1116">
        <f t="shared" si="503"/>
        <v>479233915.16999996</v>
      </c>
      <c r="CJ149" s="1117">
        <f t="shared" si="504"/>
        <v>440276</v>
      </c>
      <c r="CK149" s="1117">
        <f t="shared" si="505"/>
        <v>0</v>
      </c>
      <c r="CL149" s="1117">
        <f t="shared" si="506"/>
        <v>478793639.16999996</v>
      </c>
      <c r="CM149" s="1118"/>
      <c r="CQ149" s="1116">
        <f t="shared" si="507"/>
        <v>479233915.16999996</v>
      </c>
      <c r="CR149" s="1117">
        <f t="shared" si="508"/>
        <v>440276</v>
      </c>
      <c r="CS149" s="1117">
        <f t="shared" si="509"/>
        <v>0</v>
      </c>
      <c r="CT149" s="1117">
        <f t="shared" si="510"/>
        <v>478793639.16999996</v>
      </c>
      <c r="CU149" s="1118"/>
      <c r="CY149" s="1116">
        <f t="shared" si="511"/>
        <v>479233915.16999996</v>
      </c>
      <c r="CZ149" s="1117">
        <f t="shared" si="512"/>
        <v>440276</v>
      </c>
      <c r="DA149" s="1117">
        <f t="shared" si="513"/>
        <v>0</v>
      </c>
      <c r="DB149" s="1117">
        <f t="shared" si="514"/>
        <v>478793639.16999996</v>
      </c>
      <c r="DC149" s="1118"/>
      <c r="DG149" s="1116">
        <f t="shared" si="515"/>
        <v>479233915.16999996</v>
      </c>
      <c r="DH149" s="1117">
        <f t="shared" si="516"/>
        <v>440276</v>
      </c>
      <c r="DI149" s="1117">
        <f t="shared" si="517"/>
        <v>0</v>
      </c>
      <c r="DJ149" s="1117">
        <f t="shared" si="518"/>
        <v>478793639.16999996</v>
      </c>
      <c r="DK149" s="1118"/>
      <c r="DO149" s="1116">
        <f t="shared" si="519"/>
        <v>479233915.16999996</v>
      </c>
      <c r="DP149" s="1117">
        <f t="shared" si="520"/>
        <v>440276</v>
      </c>
      <c r="DQ149" s="1117">
        <f t="shared" si="521"/>
        <v>0</v>
      </c>
      <c r="DR149" s="1117">
        <f t="shared" si="522"/>
        <v>478793639.16999996</v>
      </c>
      <c r="DS149" s="1118"/>
      <c r="DW149" s="1116">
        <f t="shared" si="523"/>
        <v>479233915.16999996</v>
      </c>
      <c r="DX149" s="1117">
        <f t="shared" si="524"/>
        <v>440276</v>
      </c>
      <c r="DY149" s="1117">
        <f t="shared" si="525"/>
        <v>0</v>
      </c>
      <c r="DZ149" s="1117">
        <f t="shared" si="526"/>
        <v>478793639.16999996</v>
      </c>
      <c r="EA149" s="1118"/>
      <c r="EE149" s="1116">
        <f t="shared" si="527"/>
        <v>479233915.16999996</v>
      </c>
      <c r="EF149" s="1117">
        <f t="shared" si="528"/>
        <v>440276</v>
      </c>
      <c r="EG149" s="1117">
        <f t="shared" si="529"/>
        <v>0</v>
      </c>
      <c r="EH149" s="1117">
        <f t="shared" si="530"/>
        <v>478793639.16999996</v>
      </c>
      <c r="EI149" s="1118"/>
      <c r="EM149" s="1116">
        <f t="shared" si="531"/>
        <v>479233915.16999996</v>
      </c>
      <c r="EN149" s="1117">
        <f t="shared" si="532"/>
        <v>440276</v>
      </c>
      <c r="EO149" s="1117">
        <f t="shared" si="533"/>
        <v>0</v>
      </c>
      <c r="EP149" s="1117">
        <f t="shared" si="534"/>
        <v>478793639.16999996</v>
      </c>
      <c r="EQ149" s="1118"/>
      <c r="EU149" s="1116">
        <f t="shared" si="535"/>
        <v>479233915.16999996</v>
      </c>
      <c r="EV149" s="1117">
        <f t="shared" si="536"/>
        <v>440276</v>
      </c>
      <c r="EW149" s="1117">
        <f t="shared" si="537"/>
        <v>0</v>
      </c>
      <c r="EX149" s="1117">
        <f t="shared" si="538"/>
        <v>478793639.16999996</v>
      </c>
      <c r="EY149" s="1118"/>
      <c r="FC149" s="1116">
        <f t="shared" si="539"/>
        <v>479233915.16999996</v>
      </c>
      <c r="FD149" s="1117">
        <f t="shared" si="540"/>
        <v>440276</v>
      </c>
      <c r="FE149" s="1117">
        <f t="shared" si="541"/>
        <v>0</v>
      </c>
      <c r="FF149" s="1117">
        <f t="shared" si="542"/>
        <v>478793639.16999996</v>
      </c>
      <c r="FG149" s="1118"/>
      <c r="FK149" s="1116">
        <f t="shared" si="543"/>
        <v>479233915.16999996</v>
      </c>
      <c r="FL149" s="1117">
        <f t="shared" si="544"/>
        <v>440276</v>
      </c>
      <c r="FM149" s="1117">
        <f t="shared" si="545"/>
        <v>0</v>
      </c>
      <c r="FN149" s="1117">
        <f t="shared" si="546"/>
        <v>478793639.16999996</v>
      </c>
      <c r="FO149" s="1118"/>
    </row>
    <row r="150" spans="1:171">
      <c r="A150" s="912"/>
      <c r="B150" s="79" t="s">
        <v>23</v>
      </c>
      <c r="C150" s="888" t="s">
        <v>81</v>
      </c>
      <c r="D150" s="888">
        <v>255</v>
      </c>
      <c r="E150" s="182" t="str">
        <f>'Sch 1- Rate Base '!E150</f>
        <v>DIST</v>
      </c>
      <c r="F150" s="889"/>
      <c r="G150" s="182">
        <f>'Sch 1- Rate Base '!G150</f>
        <v>28233162.039999999</v>
      </c>
      <c r="H150" s="182">
        <f>'Sch 1- Rate Base '!H150</f>
        <v>0</v>
      </c>
      <c r="I150" s="182">
        <f>'Sch 1- Rate Base '!I150</f>
        <v>0</v>
      </c>
      <c r="J150" s="183">
        <f>'Sch 1- Rate Base '!J150</f>
        <v>28233162.039999999</v>
      </c>
      <c r="K150" s="903">
        <f t="shared" si="466"/>
        <v>1</v>
      </c>
      <c r="O150" s="1116">
        <f t="shared" si="467"/>
        <v>28233162.039999999</v>
      </c>
      <c r="P150" s="1117">
        <f t="shared" si="468"/>
        <v>0</v>
      </c>
      <c r="Q150" s="1117">
        <f t="shared" si="469"/>
        <v>0</v>
      </c>
      <c r="R150" s="1117">
        <f t="shared" si="470"/>
        <v>28233162.039999999</v>
      </c>
      <c r="S150" s="1118"/>
      <c r="W150" s="1116">
        <f t="shared" si="471"/>
        <v>28233162.039999999</v>
      </c>
      <c r="X150" s="1117">
        <f t="shared" si="472"/>
        <v>0</v>
      </c>
      <c r="Y150" s="1117">
        <f t="shared" si="473"/>
        <v>0</v>
      </c>
      <c r="Z150" s="1117">
        <f t="shared" si="474"/>
        <v>28233162.039999999</v>
      </c>
      <c r="AA150" s="1118"/>
      <c r="AE150" s="1116">
        <f t="shared" si="475"/>
        <v>28233162.039999999</v>
      </c>
      <c r="AF150" s="1117">
        <f t="shared" si="476"/>
        <v>0</v>
      </c>
      <c r="AG150" s="1117">
        <f t="shared" si="477"/>
        <v>0</v>
      </c>
      <c r="AH150" s="1117">
        <f t="shared" si="478"/>
        <v>28233162.039999999</v>
      </c>
      <c r="AI150" s="1118"/>
      <c r="AM150" s="1116">
        <f t="shared" si="479"/>
        <v>28233162.039999999</v>
      </c>
      <c r="AN150" s="1117">
        <f t="shared" si="480"/>
        <v>0</v>
      </c>
      <c r="AO150" s="1117">
        <f t="shared" si="481"/>
        <v>0</v>
      </c>
      <c r="AP150" s="1117">
        <f t="shared" si="482"/>
        <v>28233162.039999999</v>
      </c>
      <c r="AQ150" s="1118"/>
      <c r="AU150" s="1116">
        <f t="shared" si="483"/>
        <v>28233162.039999999</v>
      </c>
      <c r="AV150" s="1117">
        <f t="shared" si="484"/>
        <v>0</v>
      </c>
      <c r="AW150" s="1117">
        <f t="shared" si="485"/>
        <v>0</v>
      </c>
      <c r="AX150" s="1117">
        <f t="shared" si="486"/>
        <v>28233162.039999999</v>
      </c>
      <c r="AY150" s="1118"/>
      <c r="BC150" s="1116">
        <f t="shared" si="487"/>
        <v>28233162.039999999</v>
      </c>
      <c r="BD150" s="1117">
        <f t="shared" si="488"/>
        <v>0</v>
      </c>
      <c r="BE150" s="1117">
        <f t="shared" si="489"/>
        <v>0</v>
      </c>
      <c r="BF150" s="1117">
        <f t="shared" si="490"/>
        <v>28233162.039999999</v>
      </c>
      <c r="BG150" s="1118"/>
      <c r="BK150" s="1116">
        <f t="shared" si="491"/>
        <v>28233162.039999999</v>
      </c>
      <c r="BL150" s="1117">
        <f t="shared" si="492"/>
        <v>0</v>
      </c>
      <c r="BM150" s="1117">
        <f t="shared" si="493"/>
        <v>0</v>
      </c>
      <c r="BN150" s="1117">
        <f t="shared" si="494"/>
        <v>28233162.039999999</v>
      </c>
      <c r="BO150" s="1118"/>
      <c r="BS150" s="1116">
        <f t="shared" si="495"/>
        <v>28233162.039999999</v>
      </c>
      <c r="BT150" s="1117">
        <f t="shared" si="496"/>
        <v>0</v>
      </c>
      <c r="BU150" s="1117">
        <f t="shared" si="497"/>
        <v>0</v>
      </c>
      <c r="BV150" s="1117">
        <f t="shared" si="498"/>
        <v>28233162.039999999</v>
      </c>
      <c r="BW150" s="1118"/>
      <c r="CA150" s="1116">
        <f t="shared" si="499"/>
        <v>28233162.039999999</v>
      </c>
      <c r="CB150" s="1117">
        <f t="shared" si="500"/>
        <v>0</v>
      </c>
      <c r="CC150" s="1117">
        <f t="shared" si="501"/>
        <v>0</v>
      </c>
      <c r="CD150" s="1117">
        <f t="shared" si="502"/>
        <v>28233162.039999999</v>
      </c>
      <c r="CE150" s="1118"/>
      <c r="CI150" s="1116">
        <f t="shared" si="503"/>
        <v>28233162.039999999</v>
      </c>
      <c r="CJ150" s="1117">
        <f t="shared" si="504"/>
        <v>0</v>
      </c>
      <c r="CK150" s="1117">
        <f t="shared" si="505"/>
        <v>0</v>
      </c>
      <c r="CL150" s="1117">
        <f t="shared" si="506"/>
        <v>28233162.039999999</v>
      </c>
      <c r="CM150" s="1118"/>
      <c r="CQ150" s="1116">
        <f t="shared" si="507"/>
        <v>28233162.039999999</v>
      </c>
      <c r="CR150" s="1117">
        <f t="shared" si="508"/>
        <v>0</v>
      </c>
      <c r="CS150" s="1117">
        <f t="shared" si="509"/>
        <v>0</v>
      </c>
      <c r="CT150" s="1117">
        <f t="shared" si="510"/>
        <v>28233162.039999999</v>
      </c>
      <c r="CU150" s="1118"/>
      <c r="CY150" s="1116">
        <f t="shared" si="511"/>
        <v>28233162.039999999</v>
      </c>
      <c r="CZ150" s="1117">
        <f t="shared" si="512"/>
        <v>0</v>
      </c>
      <c r="DA150" s="1117">
        <f t="shared" si="513"/>
        <v>0</v>
      </c>
      <c r="DB150" s="1117">
        <f t="shared" si="514"/>
        <v>28233162.039999999</v>
      </c>
      <c r="DC150" s="1118"/>
      <c r="DG150" s="1116">
        <f t="shared" si="515"/>
        <v>28233162.039999999</v>
      </c>
      <c r="DH150" s="1117">
        <f t="shared" si="516"/>
        <v>0</v>
      </c>
      <c r="DI150" s="1117">
        <f t="shared" si="517"/>
        <v>0</v>
      </c>
      <c r="DJ150" s="1117">
        <f t="shared" si="518"/>
        <v>28233162.039999999</v>
      </c>
      <c r="DK150" s="1118"/>
      <c r="DO150" s="1116">
        <f t="shared" si="519"/>
        <v>28233162.039999999</v>
      </c>
      <c r="DP150" s="1117">
        <f t="shared" si="520"/>
        <v>0</v>
      </c>
      <c r="DQ150" s="1117">
        <f t="shared" si="521"/>
        <v>0</v>
      </c>
      <c r="DR150" s="1117">
        <f t="shared" si="522"/>
        <v>28233162.039999999</v>
      </c>
      <c r="DS150" s="1118"/>
      <c r="DW150" s="1116">
        <f t="shared" si="523"/>
        <v>28233162.039999999</v>
      </c>
      <c r="DX150" s="1117">
        <f t="shared" si="524"/>
        <v>0</v>
      </c>
      <c r="DY150" s="1117">
        <f t="shared" si="525"/>
        <v>0</v>
      </c>
      <c r="DZ150" s="1117">
        <f t="shared" si="526"/>
        <v>28233162.039999999</v>
      </c>
      <c r="EA150" s="1118"/>
      <c r="EE150" s="1116">
        <f t="shared" si="527"/>
        <v>28233162.039999999</v>
      </c>
      <c r="EF150" s="1117">
        <f t="shared" si="528"/>
        <v>0</v>
      </c>
      <c r="EG150" s="1117">
        <f t="shared" si="529"/>
        <v>0</v>
      </c>
      <c r="EH150" s="1117">
        <f t="shared" si="530"/>
        <v>28233162.039999999</v>
      </c>
      <c r="EI150" s="1118"/>
      <c r="EM150" s="1116">
        <f t="shared" si="531"/>
        <v>28233162.039999999</v>
      </c>
      <c r="EN150" s="1117">
        <f t="shared" si="532"/>
        <v>0</v>
      </c>
      <c r="EO150" s="1117">
        <f t="shared" si="533"/>
        <v>0</v>
      </c>
      <c r="EP150" s="1117">
        <f t="shared" si="534"/>
        <v>28233162.039999999</v>
      </c>
      <c r="EQ150" s="1118"/>
      <c r="EU150" s="1116">
        <f t="shared" si="535"/>
        <v>28233162.039999999</v>
      </c>
      <c r="EV150" s="1117">
        <f t="shared" si="536"/>
        <v>0</v>
      </c>
      <c r="EW150" s="1117">
        <f t="shared" si="537"/>
        <v>0</v>
      </c>
      <c r="EX150" s="1117">
        <f t="shared" si="538"/>
        <v>28233162.039999999</v>
      </c>
      <c r="EY150" s="1118"/>
      <c r="FC150" s="1116">
        <f t="shared" si="539"/>
        <v>28233162.039999999</v>
      </c>
      <c r="FD150" s="1117">
        <f t="shared" si="540"/>
        <v>0</v>
      </c>
      <c r="FE150" s="1117">
        <f t="shared" si="541"/>
        <v>0</v>
      </c>
      <c r="FF150" s="1117">
        <f t="shared" si="542"/>
        <v>28233162.039999999</v>
      </c>
      <c r="FG150" s="1118"/>
      <c r="FK150" s="1116">
        <f t="shared" si="543"/>
        <v>28233162.039999999</v>
      </c>
      <c r="FL150" s="1117">
        <f t="shared" si="544"/>
        <v>0</v>
      </c>
      <c r="FM150" s="1117">
        <f t="shared" si="545"/>
        <v>0</v>
      </c>
      <c r="FN150" s="1117">
        <f t="shared" si="546"/>
        <v>28233162.039999999</v>
      </c>
      <c r="FO150" s="1118"/>
    </row>
    <row r="151" spans="1:171">
      <c r="A151" s="912"/>
      <c r="B151" s="79" t="s">
        <v>24</v>
      </c>
      <c r="C151" s="888" t="s">
        <v>81</v>
      </c>
      <c r="D151" s="888">
        <v>256</v>
      </c>
      <c r="E151" s="182" t="str">
        <f>'Sch 1- Rate Base '!E151</f>
        <v>DIRECT</v>
      </c>
      <c r="F151" s="889"/>
      <c r="G151" s="182">
        <f>'Sch 1- Rate Base '!G151</f>
        <v>0</v>
      </c>
      <c r="H151" s="182">
        <f>'Sch 1- Rate Base '!H151</f>
        <v>0</v>
      </c>
      <c r="I151" s="182">
        <f>'Sch 1- Rate Base '!I151</f>
        <v>0</v>
      </c>
      <c r="J151" s="183">
        <f>'Sch 1- Rate Base '!J151</f>
        <v>0</v>
      </c>
      <c r="K151" s="903">
        <f t="shared" si="466"/>
        <v>0</v>
      </c>
      <c r="O151" s="1116">
        <f t="shared" si="467"/>
        <v>0</v>
      </c>
      <c r="P151" s="1117">
        <f t="shared" si="468"/>
        <v>0</v>
      </c>
      <c r="Q151" s="1117">
        <f t="shared" si="469"/>
        <v>0</v>
      </c>
      <c r="R151" s="1117">
        <f t="shared" si="470"/>
        <v>0</v>
      </c>
      <c r="S151" s="1118"/>
      <c r="W151" s="1116">
        <f t="shared" si="471"/>
        <v>0</v>
      </c>
      <c r="X151" s="1117">
        <f t="shared" si="472"/>
        <v>0</v>
      </c>
      <c r="Y151" s="1117">
        <f t="shared" si="473"/>
        <v>0</v>
      </c>
      <c r="Z151" s="1117">
        <f t="shared" si="474"/>
        <v>0</v>
      </c>
      <c r="AA151" s="1118"/>
      <c r="AE151" s="1116">
        <f t="shared" si="475"/>
        <v>0</v>
      </c>
      <c r="AF151" s="1117">
        <f t="shared" si="476"/>
        <v>0</v>
      </c>
      <c r="AG151" s="1117">
        <f t="shared" si="477"/>
        <v>0</v>
      </c>
      <c r="AH151" s="1117">
        <f t="shared" si="478"/>
        <v>0</v>
      </c>
      <c r="AI151" s="1118"/>
      <c r="AM151" s="1116">
        <f t="shared" si="479"/>
        <v>0</v>
      </c>
      <c r="AN151" s="1117">
        <f t="shared" si="480"/>
        <v>0</v>
      </c>
      <c r="AO151" s="1117">
        <f t="shared" si="481"/>
        <v>0</v>
      </c>
      <c r="AP151" s="1117">
        <f t="shared" si="482"/>
        <v>0</v>
      </c>
      <c r="AQ151" s="1118"/>
      <c r="AU151" s="1116">
        <f t="shared" si="483"/>
        <v>0</v>
      </c>
      <c r="AV151" s="1117">
        <f t="shared" si="484"/>
        <v>0</v>
      </c>
      <c r="AW151" s="1117">
        <f t="shared" si="485"/>
        <v>0</v>
      </c>
      <c r="AX151" s="1117">
        <f t="shared" si="486"/>
        <v>0</v>
      </c>
      <c r="AY151" s="1118"/>
      <c r="BC151" s="1116">
        <f t="shared" si="487"/>
        <v>0</v>
      </c>
      <c r="BD151" s="1117">
        <f t="shared" si="488"/>
        <v>0</v>
      </c>
      <c r="BE151" s="1117">
        <f t="shared" si="489"/>
        <v>0</v>
      </c>
      <c r="BF151" s="1117">
        <f t="shared" si="490"/>
        <v>0</v>
      </c>
      <c r="BG151" s="1118"/>
      <c r="BK151" s="1116">
        <f t="shared" si="491"/>
        <v>0</v>
      </c>
      <c r="BL151" s="1117">
        <f t="shared" si="492"/>
        <v>0</v>
      </c>
      <c r="BM151" s="1117">
        <f t="shared" si="493"/>
        <v>0</v>
      </c>
      <c r="BN151" s="1117">
        <f t="shared" si="494"/>
        <v>0</v>
      </c>
      <c r="BO151" s="1118"/>
      <c r="BS151" s="1116">
        <f t="shared" si="495"/>
        <v>0</v>
      </c>
      <c r="BT151" s="1117">
        <f t="shared" si="496"/>
        <v>0</v>
      </c>
      <c r="BU151" s="1117">
        <f t="shared" si="497"/>
        <v>0</v>
      </c>
      <c r="BV151" s="1117">
        <f t="shared" si="498"/>
        <v>0</v>
      </c>
      <c r="BW151" s="1118"/>
      <c r="CA151" s="1116">
        <f t="shared" si="499"/>
        <v>0</v>
      </c>
      <c r="CB151" s="1117">
        <f t="shared" si="500"/>
        <v>0</v>
      </c>
      <c r="CC151" s="1117">
        <f t="shared" si="501"/>
        <v>0</v>
      </c>
      <c r="CD151" s="1117">
        <f t="shared" si="502"/>
        <v>0</v>
      </c>
      <c r="CE151" s="1118"/>
      <c r="CI151" s="1116">
        <f t="shared" si="503"/>
        <v>0</v>
      </c>
      <c r="CJ151" s="1117">
        <f t="shared" si="504"/>
        <v>0</v>
      </c>
      <c r="CK151" s="1117">
        <f t="shared" si="505"/>
        <v>0</v>
      </c>
      <c r="CL151" s="1117">
        <f t="shared" si="506"/>
        <v>0</v>
      </c>
      <c r="CM151" s="1118"/>
      <c r="CQ151" s="1116">
        <f t="shared" si="507"/>
        <v>0</v>
      </c>
      <c r="CR151" s="1117">
        <f t="shared" si="508"/>
        <v>0</v>
      </c>
      <c r="CS151" s="1117">
        <f t="shared" si="509"/>
        <v>0</v>
      </c>
      <c r="CT151" s="1117">
        <f t="shared" si="510"/>
        <v>0</v>
      </c>
      <c r="CU151" s="1118"/>
      <c r="CY151" s="1116">
        <f t="shared" si="511"/>
        <v>0</v>
      </c>
      <c r="CZ151" s="1117">
        <f t="shared" si="512"/>
        <v>0</v>
      </c>
      <c r="DA151" s="1117">
        <f t="shared" si="513"/>
        <v>0</v>
      </c>
      <c r="DB151" s="1117">
        <f t="shared" si="514"/>
        <v>0</v>
      </c>
      <c r="DC151" s="1118"/>
      <c r="DG151" s="1116">
        <f t="shared" si="515"/>
        <v>0</v>
      </c>
      <c r="DH151" s="1117">
        <f t="shared" si="516"/>
        <v>0</v>
      </c>
      <c r="DI151" s="1117">
        <f t="shared" si="517"/>
        <v>0</v>
      </c>
      <c r="DJ151" s="1117">
        <f t="shared" si="518"/>
        <v>0</v>
      </c>
      <c r="DK151" s="1118"/>
      <c r="DO151" s="1116">
        <f t="shared" si="519"/>
        <v>0</v>
      </c>
      <c r="DP151" s="1117">
        <f t="shared" si="520"/>
        <v>0</v>
      </c>
      <c r="DQ151" s="1117">
        <f t="shared" si="521"/>
        <v>0</v>
      </c>
      <c r="DR151" s="1117">
        <f t="shared" si="522"/>
        <v>0</v>
      </c>
      <c r="DS151" s="1118"/>
      <c r="DW151" s="1116">
        <f t="shared" si="523"/>
        <v>0</v>
      </c>
      <c r="DX151" s="1117">
        <f t="shared" si="524"/>
        <v>0</v>
      </c>
      <c r="DY151" s="1117">
        <f t="shared" si="525"/>
        <v>0</v>
      </c>
      <c r="DZ151" s="1117">
        <f t="shared" si="526"/>
        <v>0</v>
      </c>
      <c r="EA151" s="1118"/>
      <c r="EE151" s="1116">
        <f t="shared" si="527"/>
        <v>0</v>
      </c>
      <c r="EF151" s="1117">
        <f t="shared" si="528"/>
        <v>0</v>
      </c>
      <c r="EG151" s="1117">
        <f t="shared" si="529"/>
        <v>0</v>
      </c>
      <c r="EH151" s="1117">
        <f t="shared" si="530"/>
        <v>0</v>
      </c>
      <c r="EI151" s="1118"/>
      <c r="EM151" s="1116">
        <f t="shared" si="531"/>
        <v>0</v>
      </c>
      <c r="EN151" s="1117">
        <f t="shared" si="532"/>
        <v>0</v>
      </c>
      <c r="EO151" s="1117">
        <f t="shared" si="533"/>
        <v>0</v>
      </c>
      <c r="EP151" s="1117">
        <f t="shared" si="534"/>
        <v>0</v>
      </c>
      <c r="EQ151" s="1118"/>
      <c r="EU151" s="1116">
        <f t="shared" si="535"/>
        <v>0</v>
      </c>
      <c r="EV151" s="1117">
        <f t="shared" si="536"/>
        <v>0</v>
      </c>
      <c r="EW151" s="1117">
        <f t="shared" si="537"/>
        <v>0</v>
      </c>
      <c r="EX151" s="1117">
        <f t="shared" si="538"/>
        <v>0</v>
      </c>
      <c r="EY151" s="1118"/>
      <c r="FC151" s="1116">
        <f t="shared" si="539"/>
        <v>0</v>
      </c>
      <c r="FD151" s="1117">
        <f t="shared" si="540"/>
        <v>0</v>
      </c>
      <c r="FE151" s="1117">
        <f t="shared" si="541"/>
        <v>0</v>
      </c>
      <c r="FF151" s="1117">
        <f t="shared" si="542"/>
        <v>0</v>
      </c>
      <c r="FG151" s="1118"/>
      <c r="FK151" s="1116">
        <f t="shared" si="543"/>
        <v>0</v>
      </c>
      <c r="FL151" s="1117">
        <f t="shared" si="544"/>
        <v>0</v>
      </c>
      <c r="FM151" s="1117">
        <f t="shared" si="545"/>
        <v>0</v>
      </c>
      <c r="FN151" s="1117">
        <f t="shared" si="546"/>
        <v>0</v>
      </c>
      <c r="FO151" s="1118"/>
    </row>
    <row r="152" spans="1:171">
      <c r="A152" s="912"/>
      <c r="B152" s="79" t="s">
        <v>27</v>
      </c>
      <c r="C152" s="888" t="s">
        <v>81</v>
      </c>
      <c r="D152" s="888">
        <v>257</v>
      </c>
      <c r="E152" s="182" t="str">
        <f>'Sch 1- Rate Base '!E152</f>
        <v>PTDG</v>
      </c>
      <c r="F152" s="889"/>
      <c r="G152" s="182">
        <f>'Sch 1- Rate Base '!G152</f>
        <v>942383.92</v>
      </c>
      <c r="H152" s="182">
        <f>'Sch 1- Rate Base '!H152</f>
        <v>299887.95798517752</v>
      </c>
      <c r="I152" s="182">
        <f>'Sch 1- Rate Base '!I152</f>
        <v>0</v>
      </c>
      <c r="J152" s="183">
        <f>'Sch 1- Rate Base '!J152</f>
        <v>642495.96191799198</v>
      </c>
      <c r="K152" s="903">
        <f t="shared" si="466"/>
        <v>1</v>
      </c>
      <c r="O152" s="1116">
        <f t="shared" si="467"/>
        <v>942383.92</v>
      </c>
      <c r="P152" s="1117">
        <f t="shared" si="468"/>
        <v>299887.95798517752</v>
      </c>
      <c r="Q152" s="1117">
        <f t="shared" si="469"/>
        <v>193828.7653338419</v>
      </c>
      <c r="R152" s="1117">
        <f t="shared" si="470"/>
        <v>448667.19668098073</v>
      </c>
      <c r="S152" s="1118"/>
      <c r="W152" s="1116">
        <f t="shared" si="471"/>
        <v>942383.92</v>
      </c>
      <c r="X152" s="1117">
        <f t="shared" si="472"/>
        <v>299887.95798517752</v>
      </c>
      <c r="Y152" s="1117">
        <f t="shared" si="473"/>
        <v>193828.7653338419</v>
      </c>
      <c r="Z152" s="1117">
        <f t="shared" si="474"/>
        <v>448667.19668098073</v>
      </c>
      <c r="AA152" s="1118"/>
      <c r="AE152" s="1116">
        <f t="shared" si="475"/>
        <v>942383.92</v>
      </c>
      <c r="AF152" s="1117">
        <f t="shared" si="476"/>
        <v>299887.95798517752</v>
      </c>
      <c r="AG152" s="1117">
        <f t="shared" si="477"/>
        <v>193828.7653338419</v>
      </c>
      <c r="AH152" s="1117">
        <f t="shared" si="478"/>
        <v>448667.19668098073</v>
      </c>
      <c r="AI152" s="1118"/>
      <c r="AM152" s="1116">
        <f t="shared" si="479"/>
        <v>942383.92</v>
      </c>
      <c r="AN152" s="1117">
        <f t="shared" si="480"/>
        <v>299887.95798517752</v>
      </c>
      <c r="AO152" s="1117">
        <f t="shared" si="481"/>
        <v>193828.7653338419</v>
      </c>
      <c r="AP152" s="1117">
        <f t="shared" si="482"/>
        <v>448667.19668098073</v>
      </c>
      <c r="AQ152" s="1118"/>
      <c r="AU152" s="1116">
        <f t="shared" si="483"/>
        <v>942383.92</v>
      </c>
      <c r="AV152" s="1117">
        <f t="shared" si="484"/>
        <v>299887.95798517752</v>
      </c>
      <c r="AW152" s="1117">
        <f t="shared" si="485"/>
        <v>193828.7653338419</v>
      </c>
      <c r="AX152" s="1117">
        <f t="shared" si="486"/>
        <v>448667.19668098073</v>
      </c>
      <c r="AY152" s="1118"/>
      <c r="BC152" s="1116">
        <f t="shared" si="487"/>
        <v>942383.92</v>
      </c>
      <c r="BD152" s="1117">
        <f t="shared" si="488"/>
        <v>299887.95798517752</v>
      </c>
      <c r="BE152" s="1117">
        <f t="shared" si="489"/>
        <v>193828.7653338419</v>
      </c>
      <c r="BF152" s="1117">
        <f t="shared" si="490"/>
        <v>448667.19668098073</v>
      </c>
      <c r="BG152" s="1118"/>
      <c r="BK152" s="1116">
        <f t="shared" si="491"/>
        <v>942383.92</v>
      </c>
      <c r="BL152" s="1117">
        <f t="shared" si="492"/>
        <v>299887.95798517752</v>
      </c>
      <c r="BM152" s="1117">
        <f t="shared" si="493"/>
        <v>193828.7653338419</v>
      </c>
      <c r="BN152" s="1117">
        <f t="shared" si="494"/>
        <v>448667.19668098073</v>
      </c>
      <c r="BO152" s="1118"/>
      <c r="BS152" s="1116">
        <f t="shared" si="495"/>
        <v>942383.92</v>
      </c>
      <c r="BT152" s="1117">
        <f t="shared" si="496"/>
        <v>299887.95798517752</v>
      </c>
      <c r="BU152" s="1117">
        <f t="shared" si="497"/>
        <v>193828.7653338419</v>
      </c>
      <c r="BV152" s="1117">
        <f t="shared" si="498"/>
        <v>448667.19668098073</v>
      </c>
      <c r="BW152" s="1118"/>
      <c r="CA152" s="1116">
        <f t="shared" si="499"/>
        <v>942383.92</v>
      </c>
      <c r="CB152" s="1117">
        <f t="shared" si="500"/>
        <v>299887.95798517752</v>
      </c>
      <c r="CC152" s="1117">
        <f t="shared" si="501"/>
        <v>193828.7653338419</v>
      </c>
      <c r="CD152" s="1117">
        <f t="shared" si="502"/>
        <v>448667.19668098073</v>
      </c>
      <c r="CE152" s="1118"/>
      <c r="CI152" s="1116">
        <f t="shared" si="503"/>
        <v>942383.92</v>
      </c>
      <c r="CJ152" s="1117">
        <f t="shared" si="504"/>
        <v>299887.95798517752</v>
      </c>
      <c r="CK152" s="1117">
        <f t="shared" si="505"/>
        <v>193828.7653338419</v>
      </c>
      <c r="CL152" s="1117">
        <f t="shared" si="506"/>
        <v>448667.19668098073</v>
      </c>
      <c r="CM152" s="1118"/>
      <c r="CQ152" s="1116">
        <f t="shared" si="507"/>
        <v>942383.92</v>
      </c>
      <c r="CR152" s="1117">
        <f t="shared" si="508"/>
        <v>299887.95798517752</v>
      </c>
      <c r="CS152" s="1117">
        <f t="shared" si="509"/>
        <v>193828.7653338419</v>
      </c>
      <c r="CT152" s="1117">
        <f t="shared" si="510"/>
        <v>448667.19668098073</v>
      </c>
      <c r="CU152" s="1118"/>
      <c r="CY152" s="1116">
        <f t="shared" si="511"/>
        <v>942383.92</v>
      </c>
      <c r="CZ152" s="1117">
        <f t="shared" si="512"/>
        <v>299887.95798517752</v>
      </c>
      <c r="DA152" s="1117">
        <f t="shared" si="513"/>
        <v>193828.7653338419</v>
      </c>
      <c r="DB152" s="1117">
        <f t="shared" si="514"/>
        <v>448667.19668098073</v>
      </c>
      <c r="DC152" s="1118"/>
      <c r="DG152" s="1116">
        <f t="shared" si="515"/>
        <v>942383.92</v>
      </c>
      <c r="DH152" s="1117">
        <f t="shared" si="516"/>
        <v>299887.95798517752</v>
      </c>
      <c r="DI152" s="1117">
        <f t="shared" si="517"/>
        <v>193828.7653338419</v>
      </c>
      <c r="DJ152" s="1117">
        <f t="shared" si="518"/>
        <v>448667.19668098073</v>
      </c>
      <c r="DK152" s="1118"/>
      <c r="DO152" s="1116">
        <f t="shared" si="519"/>
        <v>942383.92</v>
      </c>
      <c r="DP152" s="1117">
        <f t="shared" si="520"/>
        <v>299887.95798517752</v>
      </c>
      <c r="DQ152" s="1117">
        <f t="shared" si="521"/>
        <v>193828.7653338419</v>
      </c>
      <c r="DR152" s="1117">
        <f t="shared" si="522"/>
        <v>448667.19668098073</v>
      </c>
      <c r="DS152" s="1118"/>
      <c r="DW152" s="1116">
        <f t="shared" si="523"/>
        <v>942383.92</v>
      </c>
      <c r="DX152" s="1117">
        <f t="shared" si="524"/>
        <v>299887.95798517752</v>
      </c>
      <c r="DY152" s="1117">
        <f t="shared" si="525"/>
        <v>193828.7653338419</v>
      </c>
      <c r="DZ152" s="1117">
        <f t="shared" si="526"/>
        <v>448667.19668098073</v>
      </c>
      <c r="EA152" s="1118"/>
      <c r="EE152" s="1116">
        <f t="shared" si="527"/>
        <v>942383.92</v>
      </c>
      <c r="EF152" s="1117">
        <f t="shared" si="528"/>
        <v>299887.95798517752</v>
      </c>
      <c r="EG152" s="1117">
        <f t="shared" si="529"/>
        <v>193828.7653338419</v>
      </c>
      <c r="EH152" s="1117">
        <f t="shared" si="530"/>
        <v>448667.19668098073</v>
      </c>
      <c r="EI152" s="1118"/>
      <c r="EM152" s="1116">
        <f t="shared" si="531"/>
        <v>942383.92</v>
      </c>
      <c r="EN152" s="1117">
        <f t="shared" si="532"/>
        <v>299887.95798517752</v>
      </c>
      <c r="EO152" s="1117">
        <f t="shared" si="533"/>
        <v>193828.7653338419</v>
      </c>
      <c r="EP152" s="1117">
        <f t="shared" si="534"/>
        <v>448667.19668098073</v>
      </c>
      <c r="EQ152" s="1118"/>
      <c r="EU152" s="1116">
        <f t="shared" si="535"/>
        <v>942383.92</v>
      </c>
      <c r="EV152" s="1117">
        <f t="shared" si="536"/>
        <v>299887.95798517752</v>
      </c>
      <c r="EW152" s="1117">
        <f t="shared" si="537"/>
        <v>193828.7653338419</v>
      </c>
      <c r="EX152" s="1117">
        <f t="shared" si="538"/>
        <v>448667.19668098073</v>
      </c>
      <c r="EY152" s="1118"/>
      <c r="FC152" s="1116">
        <f t="shared" si="539"/>
        <v>942383.92</v>
      </c>
      <c r="FD152" s="1117">
        <f t="shared" si="540"/>
        <v>299887.95798517752</v>
      </c>
      <c r="FE152" s="1117">
        <f t="shared" si="541"/>
        <v>193828.7653338419</v>
      </c>
      <c r="FF152" s="1117">
        <f t="shared" si="542"/>
        <v>448667.19668098073</v>
      </c>
      <c r="FG152" s="1118"/>
      <c r="FK152" s="1116">
        <f t="shared" si="543"/>
        <v>942383.92</v>
      </c>
      <c r="FL152" s="1117">
        <f t="shared" si="544"/>
        <v>299887.95798517752</v>
      </c>
      <c r="FM152" s="1117">
        <f t="shared" si="545"/>
        <v>193828.7653338419</v>
      </c>
      <c r="FN152" s="1117">
        <f t="shared" si="546"/>
        <v>448667.19668098073</v>
      </c>
      <c r="FO152" s="1118"/>
    </row>
    <row r="153" spans="1:171">
      <c r="A153" s="912"/>
      <c r="B153" s="79" t="s">
        <v>31</v>
      </c>
      <c r="C153" s="888" t="s">
        <v>81</v>
      </c>
      <c r="D153" s="888">
        <v>281</v>
      </c>
      <c r="E153" s="182" t="str">
        <f>'Sch 1- Rate Base '!E153</f>
        <v>DIST</v>
      </c>
      <c r="F153" s="889"/>
      <c r="G153" s="182">
        <f>'Sch 1- Rate Base '!G153</f>
        <v>0</v>
      </c>
      <c r="H153" s="182">
        <f>'Sch 1- Rate Base '!H153</f>
        <v>0</v>
      </c>
      <c r="I153" s="182">
        <f>'Sch 1- Rate Base '!I153</f>
        <v>0</v>
      </c>
      <c r="J153" s="183">
        <f>'Sch 1- Rate Base '!J153</f>
        <v>0</v>
      </c>
      <c r="K153" s="903">
        <f t="shared" si="466"/>
        <v>1</v>
      </c>
      <c r="O153" s="1116">
        <f t="shared" si="467"/>
        <v>0</v>
      </c>
      <c r="P153" s="1117">
        <f t="shared" si="468"/>
        <v>0</v>
      </c>
      <c r="Q153" s="1117">
        <f t="shared" si="469"/>
        <v>0</v>
      </c>
      <c r="R153" s="1117">
        <f t="shared" si="470"/>
        <v>0</v>
      </c>
      <c r="S153" s="1118"/>
      <c r="W153" s="1116">
        <f t="shared" si="471"/>
        <v>0</v>
      </c>
      <c r="X153" s="1117">
        <f t="shared" si="472"/>
        <v>0</v>
      </c>
      <c r="Y153" s="1117">
        <f t="shared" si="473"/>
        <v>0</v>
      </c>
      <c r="Z153" s="1117">
        <f t="shared" si="474"/>
        <v>0</v>
      </c>
      <c r="AA153" s="1118"/>
      <c r="AE153" s="1116">
        <f t="shared" si="475"/>
        <v>0</v>
      </c>
      <c r="AF153" s="1117">
        <f t="shared" si="476"/>
        <v>0</v>
      </c>
      <c r="AG153" s="1117">
        <f t="shared" si="477"/>
        <v>0</v>
      </c>
      <c r="AH153" s="1117">
        <f t="shared" si="478"/>
        <v>0</v>
      </c>
      <c r="AI153" s="1118"/>
      <c r="AM153" s="1116">
        <f t="shared" si="479"/>
        <v>0</v>
      </c>
      <c r="AN153" s="1117">
        <f t="shared" si="480"/>
        <v>0</v>
      </c>
      <c r="AO153" s="1117">
        <f t="shared" si="481"/>
        <v>0</v>
      </c>
      <c r="AP153" s="1117">
        <f t="shared" si="482"/>
        <v>0</v>
      </c>
      <c r="AQ153" s="1118"/>
      <c r="AU153" s="1116">
        <f t="shared" si="483"/>
        <v>0</v>
      </c>
      <c r="AV153" s="1117">
        <f t="shared" si="484"/>
        <v>0</v>
      </c>
      <c r="AW153" s="1117">
        <f t="shared" si="485"/>
        <v>0</v>
      </c>
      <c r="AX153" s="1117">
        <f t="shared" si="486"/>
        <v>0</v>
      </c>
      <c r="AY153" s="1118"/>
      <c r="BC153" s="1116">
        <f t="shared" si="487"/>
        <v>0</v>
      </c>
      <c r="BD153" s="1117">
        <f t="shared" si="488"/>
        <v>0</v>
      </c>
      <c r="BE153" s="1117">
        <f t="shared" si="489"/>
        <v>0</v>
      </c>
      <c r="BF153" s="1117">
        <f t="shared" si="490"/>
        <v>0</v>
      </c>
      <c r="BG153" s="1118"/>
      <c r="BK153" s="1116">
        <f t="shared" si="491"/>
        <v>0</v>
      </c>
      <c r="BL153" s="1117">
        <f t="shared" si="492"/>
        <v>0</v>
      </c>
      <c r="BM153" s="1117">
        <f t="shared" si="493"/>
        <v>0</v>
      </c>
      <c r="BN153" s="1117">
        <f t="shared" si="494"/>
        <v>0</v>
      </c>
      <c r="BO153" s="1118"/>
      <c r="BS153" s="1116">
        <f t="shared" si="495"/>
        <v>0</v>
      </c>
      <c r="BT153" s="1117">
        <f t="shared" si="496"/>
        <v>0</v>
      </c>
      <c r="BU153" s="1117">
        <f t="shared" si="497"/>
        <v>0</v>
      </c>
      <c r="BV153" s="1117">
        <f t="shared" si="498"/>
        <v>0</v>
      </c>
      <c r="BW153" s="1118"/>
      <c r="CA153" s="1116">
        <f t="shared" si="499"/>
        <v>0</v>
      </c>
      <c r="CB153" s="1117">
        <f t="shared" si="500"/>
        <v>0</v>
      </c>
      <c r="CC153" s="1117">
        <f t="shared" si="501"/>
        <v>0</v>
      </c>
      <c r="CD153" s="1117">
        <f t="shared" si="502"/>
        <v>0</v>
      </c>
      <c r="CE153" s="1118"/>
      <c r="CI153" s="1116">
        <f t="shared" si="503"/>
        <v>0</v>
      </c>
      <c r="CJ153" s="1117">
        <f t="shared" si="504"/>
        <v>0</v>
      </c>
      <c r="CK153" s="1117">
        <f t="shared" si="505"/>
        <v>0</v>
      </c>
      <c r="CL153" s="1117">
        <f t="shared" si="506"/>
        <v>0</v>
      </c>
      <c r="CM153" s="1118"/>
      <c r="CQ153" s="1116">
        <f t="shared" si="507"/>
        <v>0</v>
      </c>
      <c r="CR153" s="1117">
        <f t="shared" si="508"/>
        <v>0</v>
      </c>
      <c r="CS153" s="1117">
        <f t="shared" si="509"/>
        <v>0</v>
      </c>
      <c r="CT153" s="1117">
        <f t="shared" si="510"/>
        <v>0</v>
      </c>
      <c r="CU153" s="1118"/>
      <c r="CY153" s="1116">
        <f t="shared" si="511"/>
        <v>0</v>
      </c>
      <c r="CZ153" s="1117">
        <f t="shared" si="512"/>
        <v>0</v>
      </c>
      <c r="DA153" s="1117">
        <f t="shared" si="513"/>
        <v>0</v>
      </c>
      <c r="DB153" s="1117">
        <f t="shared" si="514"/>
        <v>0</v>
      </c>
      <c r="DC153" s="1118"/>
      <c r="DG153" s="1116">
        <f t="shared" si="515"/>
        <v>0</v>
      </c>
      <c r="DH153" s="1117">
        <f t="shared" si="516"/>
        <v>0</v>
      </c>
      <c r="DI153" s="1117">
        <f t="shared" si="517"/>
        <v>0</v>
      </c>
      <c r="DJ153" s="1117">
        <f t="shared" si="518"/>
        <v>0</v>
      </c>
      <c r="DK153" s="1118"/>
      <c r="DO153" s="1116">
        <f t="shared" si="519"/>
        <v>0</v>
      </c>
      <c r="DP153" s="1117">
        <f t="shared" si="520"/>
        <v>0</v>
      </c>
      <c r="DQ153" s="1117">
        <f t="shared" si="521"/>
        <v>0</v>
      </c>
      <c r="DR153" s="1117">
        <f t="shared" si="522"/>
        <v>0</v>
      </c>
      <c r="DS153" s="1118"/>
      <c r="DW153" s="1116">
        <f t="shared" si="523"/>
        <v>0</v>
      </c>
      <c r="DX153" s="1117">
        <f t="shared" si="524"/>
        <v>0</v>
      </c>
      <c r="DY153" s="1117">
        <f t="shared" si="525"/>
        <v>0</v>
      </c>
      <c r="DZ153" s="1117">
        <f t="shared" si="526"/>
        <v>0</v>
      </c>
      <c r="EA153" s="1118"/>
      <c r="EE153" s="1116">
        <f t="shared" si="527"/>
        <v>0</v>
      </c>
      <c r="EF153" s="1117">
        <f t="shared" si="528"/>
        <v>0</v>
      </c>
      <c r="EG153" s="1117">
        <f t="shared" si="529"/>
        <v>0</v>
      </c>
      <c r="EH153" s="1117">
        <f t="shared" si="530"/>
        <v>0</v>
      </c>
      <c r="EI153" s="1118"/>
      <c r="EM153" s="1116">
        <f t="shared" si="531"/>
        <v>0</v>
      </c>
      <c r="EN153" s="1117">
        <f t="shared" si="532"/>
        <v>0</v>
      </c>
      <c r="EO153" s="1117">
        <f t="shared" si="533"/>
        <v>0</v>
      </c>
      <c r="EP153" s="1117">
        <f t="shared" si="534"/>
        <v>0</v>
      </c>
      <c r="EQ153" s="1118"/>
      <c r="EU153" s="1116">
        <f t="shared" si="535"/>
        <v>0</v>
      </c>
      <c r="EV153" s="1117">
        <f t="shared" si="536"/>
        <v>0</v>
      </c>
      <c r="EW153" s="1117">
        <f t="shared" si="537"/>
        <v>0</v>
      </c>
      <c r="EX153" s="1117">
        <f t="shared" si="538"/>
        <v>0</v>
      </c>
      <c r="EY153" s="1118"/>
      <c r="FC153" s="1116">
        <f t="shared" si="539"/>
        <v>0</v>
      </c>
      <c r="FD153" s="1117">
        <f t="shared" si="540"/>
        <v>0</v>
      </c>
      <c r="FE153" s="1117">
        <f t="shared" si="541"/>
        <v>0</v>
      </c>
      <c r="FF153" s="1117">
        <f t="shared" si="542"/>
        <v>0</v>
      </c>
      <c r="FG153" s="1118"/>
      <c r="FK153" s="1116">
        <f t="shared" si="543"/>
        <v>0</v>
      </c>
      <c r="FL153" s="1117">
        <f t="shared" si="544"/>
        <v>0</v>
      </c>
      <c r="FM153" s="1117">
        <f t="shared" si="545"/>
        <v>0</v>
      </c>
      <c r="FN153" s="1117">
        <f t="shared" si="546"/>
        <v>0</v>
      </c>
      <c r="FO153" s="1118"/>
    </row>
    <row r="154" spans="1:171">
      <c r="A154" s="912"/>
      <c r="B154" s="79" t="s">
        <v>32</v>
      </c>
      <c r="C154" s="888" t="s">
        <v>81</v>
      </c>
      <c r="D154" s="888">
        <v>282</v>
      </c>
      <c r="E154" s="182" t="str">
        <f>'Sch 1- Rate Base '!E154</f>
        <v>DIST</v>
      </c>
      <c r="F154" s="889"/>
      <c r="G154" s="182">
        <f>'Sch 1- Rate Base '!G154</f>
        <v>653219869.71000004</v>
      </c>
      <c r="H154" s="182">
        <f>'Sch 1- Rate Base '!H154</f>
        <v>0</v>
      </c>
      <c r="I154" s="182">
        <f>'Sch 1- Rate Base '!I154</f>
        <v>0</v>
      </c>
      <c r="J154" s="183">
        <f>'Sch 1- Rate Base '!J154</f>
        <v>653219869.71000004</v>
      </c>
      <c r="K154" s="903">
        <f t="shared" si="466"/>
        <v>1</v>
      </c>
      <c r="O154" s="1116">
        <f t="shared" si="467"/>
        <v>653219869.71000004</v>
      </c>
      <c r="P154" s="1117">
        <f t="shared" si="468"/>
        <v>0</v>
      </c>
      <c r="Q154" s="1117">
        <f t="shared" si="469"/>
        <v>0</v>
      </c>
      <c r="R154" s="1117">
        <f t="shared" si="470"/>
        <v>653219869.71000004</v>
      </c>
      <c r="S154" s="1118"/>
      <c r="W154" s="1116">
        <f t="shared" si="471"/>
        <v>653219869.71000004</v>
      </c>
      <c r="X154" s="1117">
        <f t="shared" si="472"/>
        <v>0</v>
      </c>
      <c r="Y154" s="1117">
        <f t="shared" si="473"/>
        <v>0</v>
      </c>
      <c r="Z154" s="1117">
        <f t="shared" si="474"/>
        <v>653219869.71000004</v>
      </c>
      <c r="AA154" s="1118"/>
      <c r="AE154" s="1116">
        <f t="shared" si="475"/>
        <v>653219869.71000004</v>
      </c>
      <c r="AF154" s="1117">
        <f t="shared" si="476"/>
        <v>0</v>
      </c>
      <c r="AG154" s="1117">
        <f t="shared" si="477"/>
        <v>0</v>
      </c>
      <c r="AH154" s="1117">
        <f t="shared" si="478"/>
        <v>653219869.71000004</v>
      </c>
      <c r="AI154" s="1118"/>
      <c r="AM154" s="1116">
        <f t="shared" si="479"/>
        <v>653219869.71000004</v>
      </c>
      <c r="AN154" s="1117">
        <f t="shared" si="480"/>
        <v>0</v>
      </c>
      <c r="AO154" s="1117">
        <f t="shared" si="481"/>
        <v>0</v>
      </c>
      <c r="AP154" s="1117">
        <f t="shared" si="482"/>
        <v>653219869.71000004</v>
      </c>
      <c r="AQ154" s="1118"/>
      <c r="AU154" s="1116">
        <f t="shared" si="483"/>
        <v>653219869.71000004</v>
      </c>
      <c r="AV154" s="1117">
        <f t="shared" si="484"/>
        <v>0</v>
      </c>
      <c r="AW154" s="1117">
        <f t="shared" si="485"/>
        <v>0</v>
      </c>
      <c r="AX154" s="1117">
        <f t="shared" si="486"/>
        <v>653219869.71000004</v>
      </c>
      <c r="AY154" s="1118"/>
      <c r="BC154" s="1116">
        <f t="shared" si="487"/>
        <v>653219869.71000004</v>
      </c>
      <c r="BD154" s="1117">
        <f t="shared" si="488"/>
        <v>0</v>
      </c>
      <c r="BE154" s="1117">
        <f t="shared" si="489"/>
        <v>0</v>
      </c>
      <c r="BF154" s="1117">
        <f t="shared" si="490"/>
        <v>653219869.71000004</v>
      </c>
      <c r="BG154" s="1118"/>
      <c r="BK154" s="1116">
        <f t="shared" si="491"/>
        <v>653219869.71000004</v>
      </c>
      <c r="BL154" s="1117">
        <f t="shared" si="492"/>
        <v>0</v>
      </c>
      <c r="BM154" s="1117">
        <f t="shared" si="493"/>
        <v>0</v>
      </c>
      <c r="BN154" s="1117">
        <f t="shared" si="494"/>
        <v>653219869.71000004</v>
      </c>
      <c r="BO154" s="1118"/>
      <c r="BS154" s="1116">
        <f t="shared" si="495"/>
        <v>653219869.71000004</v>
      </c>
      <c r="BT154" s="1117">
        <f t="shared" si="496"/>
        <v>0</v>
      </c>
      <c r="BU154" s="1117">
        <f t="shared" si="497"/>
        <v>0</v>
      </c>
      <c r="BV154" s="1117">
        <f t="shared" si="498"/>
        <v>653219869.71000004</v>
      </c>
      <c r="BW154" s="1118"/>
      <c r="CA154" s="1116">
        <f t="shared" si="499"/>
        <v>653219869.71000004</v>
      </c>
      <c r="CB154" s="1117">
        <f t="shared" si="500"/>
        <v>0</v>
      </c>
      <c r="CC154" s="1117">
        <f t="shared" si="501"/>
        <v>0</v>
      </c>
      <c r="CD154" s="1117">
        <f t="shared" si="502"/>
        <v>653219869.71000004</v>
      </c>
      <c r="CE154" s="1118"/>
      <c r="CI154" s="1116">
        <f t="shared" si="503"/>
        <v>653219869.71000004</v>
      </c>
      <c r="CJ154" s="1117">
        <f t="shared" si="504"/>
        <v>0</v>
      </c>
      <c r="CK154" s="1117">
        <f t="shared" si="505"/>
        <v>0</v>
      </c>
      <c r="CL154" s="1117">
        <f t="shared" si="506"/>
        <v>653219869.71000004</v>
      </c>
      <c r="CM154" s="1118"/>
      <c r="CQ154" s="1116">
        <f t="shared" si="507"/>
        <v>653219869.71000004</v>
      </c>
      <c r="CR154" s="1117">
        <f t="shared" si="508"/>
        <v>0</v>
      </c>
      <c r="CS154" s="1117">
        <f t="shared" si="509"/>
        <v>0</v>
      </c>
      <c r="CT154" s="1117">
        <f t="shared" si="510"/>
        <v>653219869.71000004</v>
      </c>
      <c r="CU154" s="1118"/>
      <c r="CY154" s="1116">
        <f t="shared" si="511"/>
        <v>653219869.71000004</v>
      </c>
      <c r="CZ154" s="1117">
        <f t="shared" si="512"/>
        <v>0</v>
      </c>
      <c r="DA154" s="1117">
        <f t="shared" si="513"/>
        <v>0</v>
      </c>
      <c r="DB154" s="1117">
        <f t="shared" si="514"/>
        <v>653219869.71000004</v>
      </c>
      <c r="DC154" s="1118"/>
      <c r="DG154" s="1116">
        <f t="shared" si="515"/>
        <v>653219869.71000004</v>
      </c>
      <c r="DH154" s="1117">
        <f t="shared" si="516"/>
        <v>0</v>
      </c>
      <c r="DI154" s="1117">
        <f t="shared" si="517"/>
        <v>0</v>
      </c>
      <c r="DJ154" s="1117">
        <f t="shared" si="518"/>
        <v>653219869.71000004</v>
      </c>
      <c r="DK154" s="1118"/>
      <c r="DO154" s="1116">
        <f t="shared" si="519"/>
        <v>653219869.71000004</v>
      </c>
      <c r="DP154" s="1117">
        <f t="shared" si="520"/>
        <v>0</v>
      </c>
      <c r="DQ154" s="1117">
        <f t="shared" si="521"/>
        <v>0</v>
      </c>
      <c r="DR154" s="1117">
        <f t="shared" si="522"/>
        <v>653219869.71000004</v>
      </c>
      <c r="DS154" s="1118"/>
      <c r="DW154" s="1116">
        <f t="shared" si="523"/>
        <v>653219869.71000004</v>
      </c>
      <c r="DX154" s="1117">
        <f t="shared" si="524"/>
        <v>0</v>
      </c>
      <c r="DY154" s="1117">
        <f t="shared" si="525"/>
        <v>0</v>
      </c>
      <c r="DZ154" s="1117">
        <f t="shared" si="526"/>
        <v>653219869.71000004</v>
      </c>
      <c r="EA154" s="1118"/>
      <c r="EE154" s="1116">
        <f t="shared" si="527"/>
        <v>653219869.71000004</v>
      </c>
      <c r="EF154" s="1117">
        <f t="shared" si="528"/>
        <v>0</v>
      </c>
      <c r="EG154" s="1117">
        <f t="shared" si="529"/>
        <v>0</v>
      </c>
      <c r="EH154" s="1117">
        <f t="shared" si="530"/>
        <v>653219869.71000004</v>
      </c>
      <c r="EI154" s="1118"/>
      <c r="EM154" s="1116">
        <f t="shared" si="531"/>
        <v>653219869.71000004</v>
      </c>
      <c r="EN154" s="1117">
        <f t="shared" si="532"/>
        <v>0</v>
      </c>
      <c r="EO154" s="1117">
        <f t="shared" si="533"/>
        <v>0</v>
      </c>
      <c r="EP154" s="1117">
        <f t="shared" si="534"/>
        <v>653219869.71000004</v>
      </c>
      <c r="EQ154" s="1118"/>
      <c r="EU154" s="1116">
        <f t="shared" si="535"/>
        <v>653219869.71000004</v>
      </c>
      <c r="EV154" s="1117">
        <f t="shared" si="536"/>
        <v>0</v>
      </c>
      <c r="EW154" s="1117">
        <f t="shared" si="537"/>
        <v>0</v>
      </c>
      <c r="EX154" s="1117">
        <f t="shared" si="538"/>
        <v>653219869.71000004</v>
      </c>
      <c r="EY154" s="1118"/>
      <c r="FC154" s="1116">
        <f t="shared" si="539"/>
        <v>653219869.71000004</v>
      </c>
      <c r="FD154" s="1117">
        <f t="shared" si="540"/>
        <v>0</v>
      </c>
      <c r="FE154" s="1117">
        <f t="shared" si="541"/>
        <v>0</v>
      </c>
      <c r="FF154" s="1117">
        <f t="shared" si="542"/>
        <v>653219869.71000004</v>
      </c>
      <c r="FG154" s="1118"/>
      <c r="FK154" s="1116">
        <f t="shared" si="543"/>
        <v>653219869.71000004</v>
      </c>
      <c r="FL154" s="1117">
        <f t="shared" si="544"/>
        <v>0</v>
      </c>
      <c r="FM154" s="1117">
        <f t="shared" si="545"/>
        <v>0</v>
      </c>
      <c r="FN154" s="1117">
        <f t="shared" si="546"/>
        <v>653219869.71000004</v>
      </c>
      <c r="FO154" s="1118"/>
    </row>
    <row r="155" spans="1:171">
      <c r="A155" s="912"/>
      <c r="B155" s="79" t="s">
        <v>33</v>
      </c>
      <c r="C155" s="888" t="s">
        <v>81</v>
      </c>
      <c r="D155" s="888">
        <v>283</v>
      </c>
      <c r="E155" s="182" t="str">
        <f>'Sch 1- Rate Base '!E155</f>
        <v>DIST</v>
      </c>
      <c r="F155" s="889"/>
      <c r="G155" s="182">
        <f>'Sch 1- Rate Base '!G155</f>
        <v>256710715.16</v>
      </c>
      <c r="H155" s="182">
        <f>'Sch 1- Rate Base '!H155</f>
        <v>0</v>
      </c>
      <c r="I155" s="182">
        <f>'Sch 1- Rate Base '!I155</f>
        <v>0</v>
      </c>
      <c r="J155" s="183">
        <f>'Sch 1- Rate Base '!J155</f>
        <v>256710715.16</v>
      </c>
      <c r="K155" s="903">
        <f t="shared" si="466"/>
        <v>1</v>
      </c>
      <c r="O155" s="1116">
        <f t="shared" si="467"/>
        <v>256710715.16</v>
      </c>
      <c r="P155" s="1117">
        <f t="shared" si="468"/>
        <v>0</v>
      </c>
      <c r="Q155" s="1117">
        <f t="shared" si="469"/>
        <v>0</v>
      </c>
      <c r="R155" s="1117">
        <f t="shared" si="470"/>
        <v>256710715.16</v>
      </c>
      <c r="S155" s="1118"/>
      <c r="W155" s="1116">
        <f t="shared" si="471"/>
        <v>256710715.16</v>
      </c>
      <c r="X155" s="1117">
        <f t="shared" si="472"/>
        <v>0</v>
      </c>
      <c r="Y155" s="1117">
        <f t="shared" si="473"/>
        <v>0</v>
      </c>
      <c r="Z155" s="1117">
        <f t="shared" si="474"/>
        <v>256710715.16</v>
      </c>
      <c r="AA155" s="1118"/>
      <c r="AE155" s="1116">
        <f t="shared" si="475"/>
        <v>256710715.16</v>
      </c>
      <c r="AF155" s="1117">
        <f t="shared" si="476"/>
        <v>0</v>
      </c>
      <c r="AG155" s="1117">
        <f t="shared" si="477"/>
        <v>0</v>
      </c>
      <c r="AH155" s="1117">
        <f t="shared" si="478"/>
        <v>256710715.16</v>
      </c>
      <c r="AI155" s="1118"/>
      <c r="AM155" s="1116">
        <f t="shared" si="479"/>
        <v>256710715.16</v>
      </c>
      <c r="AN155" s="1117">
        <f t="shared" si="480"/>
        <v>0</v>
      </c>
      <c r="AO155" s="1117">
        <f t="shared" si="481"/>
        <v>0</v>
      </c>
      <c r="AP155" s="1117">
        <f t="shared" si="482"/>
        <v>256710715.16</v>
      </c>
      <c r="AQ155" s="1118"/>
      <c r="AU155" s="1116">
        <f t="shared" si="483"/>
        <v>256710715.16</v>
      </c>
      <c r="AV155" s="1117">
        <f t="shared" si="484"/>
        <v>0</v>
      </c>
      <c r="AW155" s="1117">
        <f t="shared" si="485"/>
        <v>0</v>
      </c>
      <c r="AX155" s="1117">
        <f t="shared" si="486"/>
        <v>256710715.16</v>
      </c>
      <c r="AY155" s="1118"/>
      <c r="BC155" s="1116">
        <f t="shared" si="487"/>
        <v>256710715.16</v>
      </c>
      <c r="BD155" s="1117">
        <f t="shared" si="488"/>
        <v>0</v>
      </c>
      <c r="BE155" s="1117">
        <f t="shared" si="489"/>
        <v>0</v>
      </c>
      <c r="BF155" s="1117">
        <f t="shared" si="490"/>
        <v>256710715.16</v>
      </c>
      <c r="BG155" s="1118"/>
      <c r="BK155" s="1116">
        <f t="shared" si="491"/>
        <v>256710715.16</v>
      </c>
      <c r="BL155" s="1117">
        <f t="shared" si="492"/>
        <v>0</v>
      </c>
      <c r="BM155" s="1117">
        <f t="shared" si="493"/>
        <v>0</v>
      </c>
      <c r="BN155" s="1117">
        <f t="shared" si="494"/>
        <v>256710715.16</v>
      </c>
      <c r="BO155" s="1118"/>
      <c r="BS155" s="1116">
        <f t="shared" si="495"/>
        <v>256710715.16</v>
      </c>
      <c r="BT155" s="1117">
        <f t="shared" si="496"/>
        <v>0</v>
      </c>
      <c r="BU155" s="1117">
        <f t="shared" si="497"/>
        <v>0</v>
      </c>
      <c r="BV155" s="1117">
        <f t="shared" si="498"/>
        <v>256710715.16</v>
      </c>
      <c r="BW155" s="1118"/>
      <c r="CA155" s="1116">
        <f t="shared" si="499"/>
        <v>256710715.16</v>
      </c>
      <c r="CB155" s="1117">
        <f t="shared" si="500"/>
        <v>0</v>
      </c>
      <c r="CC155" s="1117">
        <f t="shared" si="501"/>
        <v>0</v>
      </c>
      <c r="CD155" s="1117">
        <f t="shared" si="502"/>
        <v>256710715.16</v>
      </c>
      <c r="CE155" s="1118"/>
      <c r="CI155" s="1116">
        <f t="shared" si="503"/>
        <v>256710715.16</v>
      </c>
      <c r="CJ155" s="1117">
        <f t="shared" si="504"/>
        <v>0</v>
      </c>
      <c r="CK155" s="1117">
        <f t="shared" si="505"/>
        <v>0</v>
      </c>
      <c r="CL155" s="1117">
        <f t="shared" si="506"/>
        <v>256710715.16</v>
      </c>
      <c r="CM155" s="1118"/>
      <c r="CQ155" s="1116">
        <f t="shared" si="507"/>
        <v>256710715.16</v>
      </c>
      <c r="CR155" s="1117">
        <f t="shared" si="508"/>
        <v>0</v>
      </c>
      <c r="CS155" s="1117">
        <f t="shared" si="509"/>
        <v>0</v>
      </c>
      <c r="CT155" s="1117">
        <f t="shared" si="510"/>
        <v>256710715.16</v>
      </c>
      <c r="CU155" s="1118"/>
      <c r="CY155" s="1116">
        <f t="shared" si="511"/>
        <v>256710715.16</v>
      </c>
      <c r="CZ155" s="1117">
        <f t="shared" si="512"/>
        <v>0</v>
      </c>
      <c r="DA155" s="1117">
        <f t="shared" si="513"/>
        <v>0</v>
      </c>
      <c r="DB155" s="1117">
        <f t="shared" si="514"/>
        <v>256710715.16</v>
      </c>
      <c r="DC155" s="1118"/>
      <c r="DG155" s="1116">
        <f t="shared" si="515"/>
        <v>256710715.16</v>
      </c>
      <c r="DH155" s="1117">
        <f t="shared" si="516"/>
        <v>0</v>
      </c>
      <c r="DI155" s="1117">
        <f t="shared" si="517"/>
        <v>0</v>
      </c>
      <c r="DJ155" s="1117">
        <f t="shared" si="518"/>
        <v>256710715.16</v>
      </c>
      <c r="DK155" s="1118"/>
      <c r="DO155" s="1116">
        <f t="shared" si="519"/>
        <v>256710715.16</v>
      </c>
      <c r="DP155" s="1117">
        <f t="shared" si="520"/>
        <v>0</v>
      </c>
      <c r="DQ155" s="1117">
        <f t="shared" si="521"/>
        <v>0</v>
      </c>
      <c r="DR155" s="1117">
        <f t="shared" si="522"/>
        <v>256710715.16</v>
      </c>
      <c r="DS155" s="1118"/>
      <c r="DW155" s="1116">
        <f t="shared" si="523"/>
        <v>256710715.16</v>
      </c>
      <c r="DX155" s="1117">
        <f t="shared" si="524"/>
        <v>0</v>
      </c>
      <c r="DY155" s="1117">
        <f t="shared" si="525"/>
        <v>0</v>
      </c>
      <c r="DZ155" s="1117">
        <f t="shared" si="526"/>
        <v>256710715.16</v>
      </c>
      <c r="EA155" s="1118"/>
      <c r="EE155" s="1116">
        <f t="shared" si="527"/>
        <v>256710715.16</v>
      </c>
      <c r="EF155" s="1117">
        <f t="shared" si="528"/>
        <v>0</v>
      </c>
      <c r="EG155" s="1117">
        <f t="shared" si="529"/>
        <v>0</v>
      </c>
      <c r="EH155" s="1117">
        <f t="shared" si="530"/>
        <v>256710715.16</v>
      </c>
      <c r="EI155" s="1118"/>
      <c r="EM155" s="1116">
        <f t="shared" si="531"/>
        <v>256710715.16</v>
      </c>
      <c r="EN155" s="1117">
        <f t="shared" si="532"/>
        <v>0</v>
      </c>
      <c r="EO155" s="1117">
        <f t="shared" si="533"/>
        <v>0</v>
      </c>
      <c r="EP155" s="1117">
        <f t="shared" si="534"/>
        <v>256710715.16</v>
      </c>
      <c r="EQ155" s="1118"/>
      <c r="EU155" s="1116">
        <f t="shared" si="535"/>
        <v>256710715.16</v>
      </c>
      <c r="EV155" s="1117">
        <f t="shared" si="536"/>
        <v>0</v>
      </c>
      <c r="EW155" s="1117">
        <f t="shared" si="537"/>
        <v>0</v>
      </c>
      <c r="EX155" s="1117">
        <f t="shared" si="538"/>
        <v>256710715.16</v>
      </c>
      <c r="EY155" s="1118"/>
      <c r="FC155" s="1116">
        <f t="shared" si="539"/>
        <v>256710715.16</v>
      </c>
      <c r="FD155" s="1117">
        <f t="shared" si="540"/>
        <v>0</v>
      </c>
      <c r="FE155" s="1117">
        <f t="shared" si="541"/>
        <v>0</v>
      </c>
      <c r="FF155" s="1117">
        <f t="shared" si="542"/>
        <v>256710715.16</v>
      </c>
      <c r="FG155" s="1118"/>
      <c r="FK155" s="1116">
        <f t="shared" si="543"/>
        <v>256710715.16</v>
      </c>
      <c r="FL155" s="1117">
        <f t="shared" si="544"/>
        <v>0</v>
      </c>
      <c r="FM155" s="1117">
        <f t="shared" si="545"/>
        <v>0</v>
      </c>
      <c r="FN155" s="1117">
        <f t="shared" si="546"/>
        <v>256710715.16</v>
      </c>
      <c r="FO155" s="1118"/>
    </row>
    <row r="156" spans="1:171">
      <c r="A156" s="912"/>
      <c r="B156" s="847" t="s">
        <v>104</v>
      </c>
      <c r="C156" s="914"/>
      <c r="D156" s="915"/>
      <c r="E156" s="915"/>
      <c r="F156" s="916"/>
      <c r="G156" s="923">
        <f>SUM(G147:G155)</f>
        <v>1455694801.4100001</v>
      </c>
      <c r="H156" s="923">
        <f>SUM(H147:H155)</f>
        <v>740163.95798517752</v>
      </c>
      <c r="I156" s="923">
        <f>SUM(I147:I155)</f>
        <v>0</v>
      </c>
      <c r="J156" s="1393">
        <f>SUM(J147:J155)</f>
        <v>1454954637.7519181</v>
      </c>
      <c r="K156" s="903"/>
      <c r="O156" s="1126">
        <f>SUM(O147:O155)</f>
        <v>1455694801.4100001</v>
      </c>
      <c r="P156" s="1126">
        <f>SUM(P147:P155)</f>
        <v>740163.95798517752</v>
      </c>
      <c r="Q156" s="1126">
        <f>SUM(Q147:Q155)</f>
        <v>193828.7653338419</v>
      </c>
      <c r="R156" s="1126">
        <f>SUM(R147:R155)</f>
        <v>1454760808.686681</v>
      </c>
      <c r="S156" s="1118"/>
      <c r="W156" s="1126">
        <f>SUM(W147:W155)</f>
        <v>1455694801.4100001</v>
      </c>
      <c r="X156" s="1126">
        <f>SUM(X147:X155)</f>
        <v>740163.95798517752</v>
      </c>
      <c r="Y156" s="1126">
        <f>SUM(Y147:Y155)</f>
        <v>193828.7653338419</v>
      </c>
      <c r="Z156" s="1126">
        <f>SUM(Z147:Z155)</f>
        <v>1454760808.686681</v>
      </c>
      <c r="AA156" s="1118"/>
      <c r="AE156" s="1126">
        <f>SUM(AE147:AE155)</f>
        <v>1455694801.4100001</v>
      </c>
      <c r="AF156" s="1126">
        <f>SUM(AF147:AF155)</f>
        <v>740163.95798517752</v>
      </c>
      <c r="AG156" s="1126">
        <f>SUM(AG147:AG155)</f>
        <v>193828.7653338419</v>
      </c>
      <c r="AH156" s="1126">
        <f>SUM(AH147:AH155)</f>
        <v>1454760808.686681</v>
      </c>
      <c r="AI156" s="1118"/>
      <c r="AM156" s="1126">
        <f>SUM(AM147:AM155)</f>
        <v>1455694801.4100001</v>
      </c>
      <c r="AN156" s="1126">
        <f>SUM(AN147:AN155)</f>
        <v>740163.95798517752</v>
      </c>
      <c r="AO156" s="1126">
        <f>SUM(AO147:AO155)</f>
        <v>193828.7653338419</v>
      </c>
      <c r="AP156" s="1126">
        <f>SUM(AP147:AP155)</f>
        <v>1454760808.686681</v>
      </c>
      <c r="AQ156" s="1118"/>
      <c r="AU156" s="1126">
        <f>SUM(AU147:AU155)</f>
        <v>1455694801.4100001</v>
      </c>
      <c r="AV156" s="1126">
        <f>SUM(AV147:AV155)</f>
        <v>740163.95798517752</v>
      </c>
      <c r="AW156" s="1126">
        <f>SUM(AW147:AW155)</f>
        <v>193828.7653338419</v>
      </c>
      <c r="AX156" s="1126">
        <f>SUM(AX147:AX155)</f>
        <v>1454760808.686681</v>
      </c>
      <c r="AY156" s="1118"/>
      <c r="BC156" s="1126">
        <f>SUM(BC147:BC155)</f>
        <v>1455694801.4100001</v>
      </c>
      <c r="BD156" s="1126">
        <f>SUM(BD147:BD155)</f>
        <v>740163.95798517752</v>
      </c>
      <c r="BE156" s="1126">
        <f>SUM(BE147:BE155)</f>
        <v>193828.7653338419</v>
      </c>
      <c r="BF156" s="1126">
        <f>SUM(BF147:BF155)</f>
        <v>1454760808.686681</v>
      </c>
      <c r="BG156" s="1118"/>
      <c r="BK156" s="1126">
        <f>SUM(BK147:BK155)</f>
        <v>1455694801.4100001</v>
      </c>
      <c r="BL156" s="1126">
        <f>SUM(BL147:BL155)</f>
        <v>740163.95798517752</v>
      </c>
      <c r="BM156" s="1126">
        <f>SUM(BM147:BM155)</f>
        <v>193828.7653338419</v>
      </c>
      <c r="BN156" s="1126">
        <f>SUM(BN147:BN155)</f>
        <v>1454760808.686681</v>
      </c>
      <c r="BO156" s="1118"/>
      <c r="BS156" s="1126">
        <f>SUM(BS147:BS155)</f>
        <v>1455694801.4100001</v>
      </c>
      <c r="BT156" s="1126">
        <f>SUM(BT147:BT155)</f>
        <v>740163.95798517752</v>
      </c>
      <c r="BU156" s="1126">
        <f>SUM(BU147:BU155)</f>
        <v>193828.7653338419</v>
      </c>
      <c r="BV156" s="1126">
        <f>SUM(BV147:BV155)</f>
        <v>1454760808.686681</v>
      </c>
      <c r="BW156" s="1118"/>
      <c r="CA156" s="1126">
        <f>SUM(CA147:CA155)</f>
        <v>1455694801.4100001</v>
      </c>
      <c r="CB156" s="1126">
        <f>SUM(CB147:CB155)</f>
        <v>740163.95798517752</v>
      </c>
      <c r="CC156" s="1126">
        <f>SUM(CC147:CC155)</f>
        <v>193828.7653338419</v>
      </c>
      <c r="CD156" s="1126">
        <f>SUM(CD147:CD155)</f>
        <v>1454760808.686681</v>
      </c>
      <c r="CE156" s="1118"/>
      <c r="CI156" s="1126">
        <f>SUM(CI147:CI155)</f>
        <v>1455694801.4100001</v>
      </c>
      <c r="CJ156" s="1126">
        <f>SUM(CJ147:CJ155)</f>
        <v>740163.95798517752</v>
      </c>
      <c r="CK156" s="1126">
        <f>SUM(CK147:CK155)</f>
        <v>193828.7653338419</v>
      </c>
      <c r="CL156" s="1126">
        <f>SUM(CL147:CL155)</f>
        <v>1454760808.686681</v>
      </c>
      <c r="CM156" s="1118"/>
      <c r="CQ156" s="1126">
        <f>SUM(CQ147:CQ155)</f>
        <v>1455694801.4100001</v>
      </c>
      <c r="CR156" s="1126">
        <f>SUM(CR147:CR155)</f>
        <v>740163.95798517752</v>
      </c>
      <c r="CS156" s="1126">
        <f>SUM(CS147:CS155)</f>
        <v>193828.7653338419</v>
      </c>
      <c r="CT156" s="1126">
        <f>SUM(CT147:CT155)</f>
        <v>1454760808.686681</v>
      </c>
      <c r="CU156" s="1118"/>
      <c r="CY156" s="1126">
        <f>SUM(CY147:CY155)</f>
        <v>1455694801.4100001</v>
      </c>
      <c r="CZ156" s="1126">
        <f>SUM(CZ147:CZ155)</f>
        <v>740163.95798517752</v>
      </c>
      <c r="DA156" s="1126">
        <f>SUM(DA147:DA155)</f>
        <v>193828.7653338419</v>
      </c>
      <c r="DB156" s="1126">
        <f>SUM(DB147:DB155)</f>
        <v>1454760808.686681</v>
      </c>
      <c r="DC156" s="1118"/>
      <c r="DG156" s="1126">
        <f>SUM(DG147:DG155)</f>
        <v>1455694801.4100001</v>
      </c>
      <c r="DH156" s="1126">
        <f>SUM(DH147:DH155)</f>
        <v>740163.95798517752</v>
      </c>
      <c r="DI156" s="1126">
        <f>SUM(DI147:DI155)</f>
        <v>193828.7653338419</v>
      </c>
      <c r="DJ156" s="1126">
        <f>SUM(DJ147:DJ155)</f>
        <v>1454760808.686681</v>
      </c>
      <c r="DK156" s="1118"/>
      <c r="DO156" s="1126">
        <f>SUM(DO147:DO155)</f>
        <v>1455694801.4100001</v>
      </c>
      <c r="DP156" s="1126">
        <f>SUM(DP147:DP155)</f>
        <v>740163.95798517752</v>
      </c>
      <c r="DQ156" s="1126">
        <f>SUM(DQ147:DQ155)</f>
        <v>193828.7653338419</v>
      </c>
      <c r="DR156" s="1126">
        <f>SUM(DR147:DR155)</f>
        <v>1454760808.686681</v>
      </c>
      <c r="DS156" s="1118"/>
      <c r="DW156" s="1126">
        <f>SUM(DW147:DW155)</f>
        <v>1455694801.4100001</v>
      </c>
      <c r="DX156" s="1126">
        <f>SUM(DX147:DX155)</f>
        <v>740163.95798517752</v>
      </c>
      <c r="DY156" s="1126">
        <f>SUM(DY147:DY155)</f>
        <v>193828.7653338419</v>
      </c>
      <c r="DZ156" s="1126">
        <f>SUM(DZ147:DZ155)</f>
        <v>1454760808.686681</v>
      </c>
      <c r="EA156" s="1118"/>
      <c r="EE156" s="1126">
        <f>SUM(EE147:EE155)</f>
        <v>1455694801.4100001</v>
      </c>
      <c r="EF156" s="1126">
        <f>SUM(EF147:EF155)</f>
        <v>740163.95798517752</v>
      </c>
      <c r="EG156" s="1126">
        <f>SUM(EG147:EG155)</f>
        <v>193828.7653338419</v>
      </c>
      <c r="EH156" s="1126">
        <f>SUM(EH147:EH155)</f>
        <v>1454760808.686681</v>
      </c>
      <c r="EI156" s="1118"/>
      <c r="EM156" s="1126">
        <f>SUM(EM147:EM155)</f>
        <v>1455694801.4100001</v>
      </c>
      <c r="EN156" s="1126">
        <f>SUM(EN147:EN155)</f>
        <v>740163.95798517752</v>
      </c>
      <c r="EO156" s="1126">
        <f>SUM(EO147:EO155)</f>
        <v>193828.7653338419</v>
      </c>
      <c r="EP156" s="1126">
        <f>SUM(EP147:EP155)</f>
        <v>1454760808.686681</v>
      </c>
      <c r="EQ156" s="1118"/>
      <c r="EU156" s="1126">
        <f>SUM(EU147:EU155)</f>
        <v>1455694801.4100001</v>
      </c>
      <c r="EV156" s="1126">
        <f>SUM(EV147:EV155)</f>
        <v>740163.95798517752</v>
      </c>
      <c r="EW156" s="1126">
        <f>SUM(EW147:EW155)</f>
        <v>193828.7653338419</v>
      </c>
      <c r="EX156" s="1126">
        <f>SUM(EX147:EX155)</f>
        <v>1454760808.686681</v>
      </c>
      <c r="EY156" s="1118"/>
      <c r="FC156" s="1126">
        <f>SUM(FC147:FC155)</f>
        <v>1455694801.4100001</v>
      </c>
      <c r="FD156" s="1126">
        <f>SUM(FD147:FD155)</f>
        <v>740163.95798517752</v>
      </c>
      <c r="FE156" s="1126">
        <f>SUM(FE147:FE155)</f>
        <v>193828.7653338419</v>
      </c>
      <c r="FF156" s="1126">
        <f>SUM(FF147:FF155)</f>
        <v>1454760808.686681</v>
      </c>
      <c r="FG156" s="1118"/>
      <c r="FK156" s="1126">
        <f>SUM(FK147:FK155)</f>
        <v>1455694801.4100001</v>
      </c>
      <c r="FL156" s="1126">
        <f>SUM(FL147:FL155)</f>
        <v>740163.95798517752</v>
      </c>
      <c r="FM156" s="1126">
        <f>SUM(FM147:FM155)</f>
        <v>193828.7653338419</v>
      </c>
      <c r="FN156" s="1126">
        <f>SUM(FN147:FN155)</f>
        <v>1454760808.686681</v>
      </c>
      <c r="FO156" s="1118"/>
    </row>
    <row r="157" spans="1:171">
      <c r="A157" s="912"/>
      <c r="B157" s="79"/>
      <c r="C157" s="196"/>
      <c r="D157" s="968"/>
      <c r="E157" s="196"/>
      <c r="F157" s="196"/>
      <c r="G157" s="970"/>
      <c r="H157" s="971"/>
      <c r="I157" s="971"/>
      <c r="J157" s="972"/>
      <c r="K157" s="903"/>
      <c r="O157" s="1079"/>
      <c r="S157" s="1118"/>
      <c r="W157" s="1079"/>
      <c r="AA157" s="1118"/>
      <c r="AE157" s="1079"/>
      <c r="AI157" s="1118"/>
      <c r="AM157" s="1079"/>
      <c r="AQ157" s="1118"/>
      <c r="AU157" s="1079"/>
      <c r="AY157" s="1118"/>
      <c r="BC157" s="1079"/>
      <c r="BG157" s="1118"/>
      <c r="BK157" s="1079"/>
      <c r="BO157" s="1118"/>
      <c r="BS157" s="1079"/>
      <c r="BW157" s="1118"/>
      <c r="CA157" s="1079"/>
      <c r="CE157" s="1118"/>
      <c r="CI157" s="1079"/>
      <c r="CM157" s="1118"/>
      <c r="CQ157" s="1079"/>
      <c r="CU157" s="1118"/>
      <c r="CY157" s="1079"/>
      <c r="DC157" s="1118"/>
      <c r="DG157" s="1079"/>
      <c r="DK157" s="1118"/>
      <c r="DO157" s="1079"/>
      <c r="DS157" s="1118"/>
      <c r="DW157" s="1079"/>
      <c r="EA157" s="1118"/>
      <c r="EE157" s="1079"/>
      <c r="EI157" s="1118"/>
      <c r="EM157" s="1079"/>
      <c r="EQ157" s="1118"/>
      <c r="EU157" s="1079"/>
      <c r="EY157" s="1118"/>
      <c r="FC157" s="1079"/>
      <c r="FG157" s="1118"/>
      <c r="FK157" s="1079"/>
      <c r="FO157" s="1118"/>
    </row>
    <row r="158" spans="1:171">
      <c r="A158" s="209" t="s">
        <v>73</v>
      </c>
      <c r="B158" s="64"/>
      <c r="C158" s="914"/>
      <c r="D158" s="915"/>
      <c r="E158" s="915"/>
      <c r="F158" s="916"/>
      <c r="G158" s="923">
        <f>+G156+G143</f>
        <v>1472911580.6600001</v>
      </c>
      <c r="H158" s="923">
        <f>+H156+H143</f>
        <v>740163.95798517752</v>
      </c>
      <c r="I158" s="923">
        <f>+I156+I143</f>
        <v>0</v>
      </c>
      <c r="J158" s="1393">
        <f>+J156+J143</f>
        <v>1472171417.0019181</v>
      </c>
      <c r="K158" s="903"/>
      <c r="O158" s="1133">
        <f>+O156+O143</f>
        <v>1472911580.6600001</v>
      </c>
      <c r="P158" s="1133">
        <f>+P156+P143</f>
        <v>740163.95798517752</v>
      </c>
      <c r="Q158" s="1133">
        <f>+Q156+Q143</f>
        <v>193828.7653338419</v>
      </c>
      <c r="R158" s="1133">
        <f>+R156+R143</f>
        <v>1471977587.936681</v>
      </c>
      <c r="S158" s="1118"/>
      <c r="W158" s="1133">
        <f>+W156+W143</f>
        <v>1472911580.6600001</v>
      </c>
      <c r="X158" s="1133">
        <f>+X156+X143</f>
        <v>740163.95798517752</v>
      </c>
      <c r="Y158" s="1133">
        <f>+Y156+Y143</f>
        <v>193828.7653338419</v>
      </c>
      <c r="Z158" s="1133">
        <f>+Z156+Z143</f>
        <v>1471977587.936681</v>
      </c>
      <c r="AA158" s="1118"/>
      <c r="AE158" s="1133">
        <f>+AE156+AE143</f>
        <v>1472911580.6600001</v>
      </c>
      <c r="AF158" s="1133">
        <f>+AF156+AF143</f>
        <v>740163.95798517752</v>
      </c>
      <c r="AG158" s="1133">
        <f>+AG156+AG143</f>
        <v>193828.7653338419</v>
      </c>
      <c r="AH158" s="1133">
        <f>+AH156+AH143</f>
        <v>1471977587.936681</v>
      </c>
      <c r="AI158" s="1118"/>
      <c r="AM158" s="1133">
        <f>+AM156+AM143</f>
        <v>1472911580.6600001</v>
      </c>
      <c r="AN158" s="1133">
        <f>+AN156+AN143</f>
        <v>740163.95798517752</v>
      </c>
      <c r="AO158" s="1133">
        <f>+AO156+AO143</f>
        <v>193828.7653338419</v>
      </c>
      <c r="AP158" s="1133">
        <f>+AP156+AP143</f>
        <v>1471977587.936681</v>
      </c>
      <c r="AQ158" s="1118"/>
      <c r="AU158" s="1133">
        <f>+AU156+AU143</f>
        <v>1472911580.6600001</v>
      </c>
      <c r="AV158" s="1133">
        <f>+AV156+AV143</f>
        <v>740163.95798517752</v>
      </c>
      <c r="AW158" s="1133">
        <f>+AW156+AW143</f>
        <v>193828.7653338419</v>
      </c>
      <c r="AX158" s="1133">
        <f>+AX156+AX143</f>
        <v>1471977587.936681</v>
      </c>
      <c r="AY158" s="1118"/>
      <c r="BC158" s="1133">
        <f>+BC156+BC143</f>
        <v>1472911580.6600001</v>
      </c>
      <c r="BD158" s="1133">
        <f>+BD156+BD143</f>
        <v>740163.95798517752</v>
      </c>
      <c r="BE158" s="1133">
        <f>+BE156+BE143</f>
        <v>193828.7653338419</v>
      </c>
      <c r="BF158" s="1133">
        <f>+BF156+BF143</f>
        <v>1471977587.936681</v>
      </c>
      <c r="BG158" s="1118"/>
      <c r="BK158" s="1133">
        <f>+BK156+BK143</f>
        <v>1472911580.6600001</v>
      </c>
      <c r="BL158" s="1133">
        <f>+BL156+BL143</f>
        <v>740163.95798517752</v>
      </c>
      <c r="BM158" s="1133">
        <f>+BM156+BM143</f>
        <v>193828.7653338419</v>
      </c>
      <c r="BN158" s="1133">
        <f>+BN156+BN143</f>
        <v>1471977587.936681</v>
      </c>
      <c r="BO158" s="1118"/>
      <c r="BS158" s="1133">
        <f>+BS156+BS143</f>
        <v>1472911580.6600001</v>
      </c>
      <c r="BT158" s="1133">
        <f>+BT156+BT143</f>
        <v>740163.95798517752</v>
      </c>
      <c r="BU158" s="1133">
        <f>+BU156+BU143</f>
        <v>193828.7653338419</v>
      </c>
      <c r="BV158" s="1133">
        <f>+BV156+BV143</f>
        <v>1471977587.936681</v>
      </c>
      <c r="BW158" s="1118"/>
      <c r="CA158" s="1133">
        <f>+CA156+CA143</f>
        <v>1472911580.6600001</v>
      </c>
      <c r="CB158" s="1133">
        <f>+CB156+CB143</f>
        <v>740163.95798517752</v>
      </c>
      <c r="CC158" s="1133">
        <f>+CC156+CC143</f>
        <v>193828.7653338419</v>
      </c>
      <c r="CD158" s="1133">
        <f>+CD156+CD143</f>
        <v>1471977587.936681</v>
      </c>
      <c r="CE158" s="1118"/>
      <c r="CI158" s="1133">
        <f>+CI156+CI143</f>
        <v>1472911580.6600001</v>
      </c>
      <c r="CJ158" s="1133">
        <f>+CJ156+CJ143</f>
        <v>740163.95798517752</v>
      </c>
      <c r="CK158" s="1133">
        <f>+CK156+CK143</f>
        <v>193828.7653338419</v>
      </c>
      <c r="CL158" s="1133">
        <f>+CL156+CL143</f>
        <v>1471977587.936681</v>
      </c>
      <c r="CM158" s="1118"/>
      <c r="CQ158" s="1133">
        <f>+CQ156+CQ143</f>
        <v>1472911580.6600001</v>
      </c>
      <c r="CR158" s="1133">
        <f>+CR156+CR143</f>
        <v>740163.95798517752</v>
      </c>
      <c r="CS158" s="1133">
        <f>+CS156+CS143</f>
        <v>193828.7653338419</v>
      </c>
      <c r="CT158" s="1133">
        <f>+CT156+CT143</f>
        <v>1471977587.936681</v>
      </c>
      <c r="CU158" s="1118"/>
      <c r="CY158" s="1133">
        <f>+CY156+CY143</f>
        <v>1472911580.6600001</v>
      </c>
      <c r="CZ158" s="1133">
        <f>+CZ156+CZ143</f>
        <v>740163.95798517752</v>
      </c>
      <c r="DA158" s="1133">
        <f>+DA156+DA143</f>
        <v>193828.7653338419</v>
      </c>
      <c r="DB158" s="1133">
        <f>+DB156+DB143</f>
        <v>1471977587.936681</v>
      </c>
      <c r="DC158" s="1118"/>
      <c r="DG158" s="1133">
        <f>+DG156+DG143</f>
        <v>1472911580.6600001</v>
      </c>
      <c r="DH158" s="1133">
        <f>+DH156+DH143</f>
        <v>740163.95798517752</v>
      </c>
      <c r="DI158" s="1133">
        <f>+DI156+DI143</f>
        <v>193828.7653338419</v>
      </c>
      <c r="DJ158" s="1133">
        <f>+DJ156+DJ143</f>
        <v>1471977587.936681</v>
      </c>
      <c r="DK158" s="1118"/>
      <c r="DO158" s="1133">
        <f>+DO156+DO143</f>
        <v>1472911580.6600001</v>
      </c>
      <c r="DP158" s="1133">
        <f>+DP156+DP143</f>
        <v>740163.95798517752</v>
      </c>
      <c r="DQ158" s="1133">
        <f>+DQ156+DQ143</f>
        <v>193828.7653338419</v>
      </c>
      <c r="DR158" s="1133">
        <f>+DR156+DR143</f>
        <v>1471977587.936681</v>
      </c>
      <c r="DS158" s="1118"/>
      <c r="DW158" s="1133">
        <f>+DW156+DW143</f>
        <v>1472911580.6600001</v>
      </c>
      <c r="DX158" s="1133">
        <f>+DX156+DX143</f>
        <v>740163.95798517752</v>
      </c>
      <c r="DY158" s="1133">
        <f>+DY156+DY143</f>
        <v>193828.7653338419</v>
      </c>
      <c r="DZ158" s="1133">
        <f>+DZ156+DZ143</f>
        <v>1471977587.936681</v>
      </c>
      <c r="EA158" s="1118"/>
      <c r="EE158" s="1133">
        <f>+EE156+EE143</f>
        <v>1472911580.6600001</v>
      </c>
      <c r="EF158" s="1133">
        <f>+EF156+EF143</f>
        <v>740163.95798517752</v>
      </c>
      <c r="EG158" s="1133">
        <f>+EG156+EG143</f>
        <v>193828.7653338419</v>
      </c>
      <c r="EH158" s="1133">
        <f>+EH156+EH143</f>
        <v>1471977587.936681</v>
      </c>
      <c r="EI158" s="1118"/>
      <c r="EM158" s="1133">
        <f>+EM156+EM143</f>
        <v>1472911580.6600001</v>
      </c>
      <c r="EN158" s="1133">
        <f>+EN156+EN143</f>
        <v>740163.95798517752</v>
      </c>
      <c r="EO158" s="1133">
        <f>+EO156+EO143</f>
        <v>193828.7653338419</v>
      </c>
      <c r="EP158" s="1133">
        <f>+EP156+EP143</f>
        <v>1471977587.936681</v>
      </c>
      <c r="EQ158" s="1118"/>
      <c r="EU158" s="1133">
        <f>+EU156+EU143</f>
        <v>1472911580.6600001</v>
      </c>
      <c r="EV158" s="1133">
        <f>+EV156+EV143</f>
        <v>740163.95798517752</v>
      </c>
      <c r="EW158" s="1133">
        <f>+EW156+EW143</f>
        <v>193828.7653338419</v>
      </c>
      <c r="EX158" s="1133">
        <f>+EX156+EX143</f>
        <v>1471977587.936681</v>
      </c>
      <c r="EY158" s="1118"/>
      <c r="FC158" s="1133">
        <f>+FC156+FC143</f>
        <v>1472911580.6600001</v>
      </c>
      <c r="FD158" s="1133">
        <f>+FD156+FD143</f>
        <v>740163.95798517752</v>
      </c>
      <c r="FE158" s="1133">
        <f>+FE156+FE143</f>
        <v>193828.7653338419</v>
      </c>
      <c r="FF158" s="1133">
        <f>+FF156+FF143</f>
        <v>1471977587.936681</v>
      </c>
      <c r="FG158" s="1118"/>
      <c r="FK158" s="1133">
        <f>+FK156+FK143</f>
        <v>1472911580.6600001</v>
      </c>
      <c r="FL158" s="1133">
        <f>+FL156+FL143</f>
        <v>740163.95798517752</v>
      </c>
      <c r="FM158" s="1133">
        <f>+FM156+FM143</f>
        <v>193828.7653338419</v>
      </c>
      <c r="FN158" s="1133">
        <f>+FN156+FN143</f>
        <v>1471977587.936681</v>
      </c>
      <c r="FO158" s="1118"/>
    </row>
    <row r="159" spans="1:171">
      <c r="A159" s="228"/>
      <c r="B159" s="64"/>
      <c r="C159" s="55"/>
      <c r="D159" s="55"/>
      <c r="E159" s="55"/>
      <c r="F159" s="55"/>
      <c r="G159" s="334"/>
      <c r="H159" s="334"/>
      <c r="I159" s="334"/>
      <c r="J159" s="962"/>
      <c r="K159" s="903"/>
      <c r="S159" s="1118"/>
      <c r="AA159" s="1118"/>
      <c r="AI159" s="1118"/>
      <c r="AQ159" s="1118"/>
      <c r="AY159" s="1118"/>
      <c r="BG159" s="1118"/>
      <c r="BO159" s="1118"/>
      <c r="BW159" s="1118"/>
      <c r="CE159" s="1118"/>
      <c r="CM159" s="1118"/>
      <c r="CU159" s="1118"/>
      <c r="DC159" s="1118"/>
      <c r="DK159" s="1118"/>
      <c r="DS159" s="1118"/>
      <c r="EA159" s="1118"/>
      <c r="EI159" s="1118"/>
      <c r="EQ159" s="1118"/>
      <c r="EY159" s="1118"/>
      <c r="FG159" s="1118"/>
      <c r="FO159" s="1118"/>
    </row>
    <row r="160" spans="1:171">
      <c r="A160" s="170"/>
      <c r="B160" s="79"/>
      <c r="C160" s="968"/>
      <c r="D160" s="968"/>
      <c r="E160" s="79"/>
      <c r="F160" s="79"/>
      <c r="G160" s="973"/>
      <c r="H160" s="973"/>
      <c r="I160" s="973"/>
      <c r="J160" s="974"/>
      <c r="K160" s="903"/>
      <c r="S160" s="1118"/>
      <c r="AA160" s="1118"/>
      <c r="AI160" s="1118"/>
      <c r="AQ160" s="1118"/>
      <c r="AY160" s="1118"/>
      <c r="BG160" s="1118"/>
      <c r="BO160" s="1118"/>
      <c r="BW160" s="1118"/>
      <c r="CE160" s="1118"/>
      <c r="CM160" s="1118"/>
      <c r="CU160" s="1118"/>
      <c r="DC160" s="1118"/>
      <c r="DK160" s="1118"/>
      <c r="DS160" s="1118"/>
      <c r="EA160" s="1118"/>
      <c r="EI160" s="1118"/>
      <c r="EQ160" s="1118"/>
      <c r="EY160" s="1118"/>
      <c r="FG160" s="1118"/>
      <c r="FO160" s="1118"/>
    </row>
    <row r="161" spans="1:171">
      <c r="A161" s="163" t="s">
        <v>482</v>
      </c>
      <c r="B161" s="64"/>
      <c r="C161" s="914"/>
      <c r="D161" s="915"/>
      <c r="E161" s="915"/>
      <c r="F161" s="916"/>
      <c r="G161" s="923">
        <f>G79+G135-G158</f>
        <v>3835555745.0787497</v>
      </c>
      <c r="H161" s="923">
        <f>H79+H135-H158</f>
        <v>1099153933.6067338</v>
      </c>
      <c r="I161" s="923">
        <f>I79+I135-I158</f>
        <v>0</v>
      </c>
      <c r="J161" s="1393">
        <f>J79+J135-J158</f>
        <v>2736401810.3225708</v>
      </c>
      <c r="K161" s="903"/>
      <c r="O161" s="1130">
        <f>O79+O135-O158</f>
        <v>3835555745.0787497</v>
      </c>
      <c r="P161" s="1130">
        <f>P79+P135-P158</f>
        <v>1099153933.6067338</v>
      </c>
      <c r="Q161" s="1130">
        <f>Q79+Q135-Q158</f>
        <v>830721954.56388795</v>
      </c>
      <c r="R161" s="1130">
        <f>R79+R135-R158</f>
        <v>1905679856.908128</v>
      </c>
      <c r="S161" s="1073"/>
      <c r="W161" s="1130">
        <f>W79+W135-W158</f>
        <v>3835555745.0787497</v>
      </c>
      <c r="X161" s="1130">
        <f>X79+X135-X158</f>
        <v>1099153933.6067338</v>
      </c>
      <c r="Y161" s="1130">
        <f>Y79+Y135-Y158</f>
        <v>830721954.56388795</v>
      </c>
      <c r="Z161" s="1130">
        <f>Z79+Z135-Z158</f>
        <v>1905679856.908128</v>
      </c>
      <c r="AA161" s="1073"/>
      <c r="AE161" s="1130">
        <f>AE79+AE135-AE158</f>
        <v>3835555745.0787497</v>
      </c>
      <c r="AF161" s="1130">
        <f>AF79+AF135-AF158</f>
        <v>1099153933.6067338</v>
      </c>
      <c r="AG161" s="1130">
        <f>AG79+AG135-AG158</f>
        <v>830721954.56388795</v>
      </c>
      <c r="AH161" s="1130">
        <f>AH79+AH135-AH158</f>
        <v>1905679856.908128</v>
      </c>
      <c r="AI161" s="1073"/>
      <c r="AM161" s="1130">
        <f>AM79+AM135-AM158</f>
        <v>3835555745.0787497</v>
      </c>
      <c r="AN161" s="1130">
        <f>AN79+AN135-AN158</f>
        <v>1099153933.6067338</v>
      </c>
      <c r="AO161" s="1130">
        <f>AO79+AO135-AO158</f>
        <v>830721954.56388795</v>
      </c>
      <c r="AP161" s="1130">
        <f>AP79+AP135-AP158</f>
        <v>1905679856.908128</v>
      </c>
      <c r="AQ161" s="1073"/>
      <c r="AU161" s="1130">
        <f>AU79+AU135-AU158</f>
        <v>3835555745.0787497</v>
      </c>
      <c r="AV161" s="1130">
        <f>AV79+AV135-AV158</f>
        <v>1099153933.6067338</v>
      </c>
      <c r="AW161" s="1130">
        <f>AW79+AW135-AW158</f>
        <v>830721954.56388795</v>
      </c>
      <c r="AX161" s="1130">
        <f>AX79+AX135-AX158</f>
        <v>1905679856.908128</v>
      </c>
      <c r="AY161" s="1073"/>
      <c r="BC161" s="1130">
        <f>BC79+BC135-BC158</f>
        <v>3835555745.0787497</v>
      </c>
      <c r="BD161" s="1130">
        <f>BD79+BD135-BD158</f>
        <v>1099153933.6067338</v>
      </c>
      <c r="BE161" s="1130">
        <f>BE79+BE135-BE158</f>
        <v>830721954.56388795</v>
      </c>
      <c r="BF161" s="1130">
        <f>BF79+BF135-BF158</f>
        <v>1905679856.908128</v>
      </c>
      <c r="BG161" s="1073"/>
      <c r="BK161" s="1130">
        <f>BK79+BK135-BK158</f>
        <v>3835555745.0787497</v>
      </c>
      <c r="BL161" s="1130">
        <f>BL79+BL135-BL158</f>
        <v>1099153933.6067338</v>
      </c>
      <c r="BM161" s="1130">
        <f>BM79+BM135-BM158</f>
        <v>830721954.56388795</v>
      </c>
      <c r="BN161" s="1130">
        <f>BN79+BN135-BN158</f>
        <v>1905679856.908128</v>
      </c>
      <c r="BO161" s="1073"/>
      <c r="BS161" s="1130">
        <f>BS79+BS135-BS158</f>
        <v>3835555745.0787497</v>
      </c>
      <c r="BT161" s="1130">
        <f>BT79+BT135-BT158</f>
        <v>1099153933.6067338</v>
      </c>
      <c r="BU161" s="1130">
        <f>BU79+BU135-BU158</f>
        <v>830721954.56388795</v>
      </c>
      <c r="BV161" s="1130">
        <f>BV79+BV135-BV158</f>
        <v>1905679856.908128</v>
      </c>
      <c r="BW161" s="1073"/>
      <c r="CA161" s="1130">
        <f>CA79+CA135-CA158</f>
        <v>3835555745.0787497</v>
      </c>
      <c r="CB161" s="1130">
        <f>CB79+CB135-CB158</f>
        <v>1099153933.6067338</v>
      </c>
      <c r="CC161" s="1130">
        <f>CC79+CC135-CC158</f>
        <v>830721954.56388795</v>
      </c>
      <c r="CD161" s="1130">
        <f>CD79+CD135-CD158</f>
        <v>1905679856.908128</v>
      </c>
      <c r="CE161" s="1073"/>
      <c r="CI161" s="1130">
        <f>CI79+CI135-CI158</f>
        <v>3835555745.0787497</v>
      </c>
      <c r="CJ161" s="1130">
        <f>CJ79+CJ135-CJ158</f>
        <v>1099153933.6067338</v>
      </c>
      <c r="CK161" s="1130">
        <f>CK79+CK135-CK158</f>
        <v>830721954.56388795</v>
      </c>
      <c r="CL161" s="1130">
        <f>CL79+CL135-CL158</f>
        <v>1905679856.908128</v>
      </c>
      <c r="CM161" s="1073"/>
      <c r="CQ161" s="1130">
        <f>CQ79+CQ135-CQ158</f>
        <v>3835555745.0787497</v>
      </c>
      <c r="CR161" s="1130">
        <f>CR79+CR135-CR158</f>
        <v>1099153933.6067338</v>
      </c>
      <c r="CS161" s="1130">
        <f>CS79+CS135-CS158</f>
        <v>830721954.56388795</v>
      </c>
      <c r="CT161" s="1130">
        <f>CT79+CT135-CT158</f>
        <v>1905679856.908128</v>
      </c>
      <c r="CU161" s="1073"/>
      <c r="CY161" s="1130">
        <f>CY79+CY135-CY158</f>
        <v>3835555745.0787497</v>
      </c>
      <c r="CZ161" s="1130">
        <f>CZ79+CZ135-CZ158</f>
        <v>1099153933.6067338</v>
      </c>
      <c r="DA161" s="1130">
        <f>DA79+DA135-DA158</f>
        <v>830721954.56388795</v>
      </c>
      <c r="DB161" s="1130">
        <f>DB79+DB135-DB158</f>
        <v>1905679856.908128</v>
      </c>
      <c r="DC161" s="1073"/>
      <c r="DG161" s="1130">
        <f>DG79+DG135-DG158</f>
        <v>3835555745.0787497</v>
      </c>
      <c r="DH161" s="1130">
        <f>DH79+DH135-DH158</f>
        <v>1099153933.6067338</v>
      </c>
      <c r="DI161" s="1130">
        <f>DI79+DI135-DI158</f>
        <v>830721954.56388795</v>
      </c>
      <c r="DJ161" s="1130">
        <f>DJ79+DJ135-DJ158</f>
        <v>1905679856.908128</v>
      </c>
      <c r="DK161" s="1073"/>
      <c r="DO161" s="1130">
        <f>DO79+DO135-DO158</f>
        <v>3835555745.0787497</v>
      </c>
      <c r="DP161" s="1130">
        <f>DP79+DP135-DP158</f>
        <v>1099153933.6067338</v>
      </c>
      <c r="DQ161" s="1130">
        <f>DQ79+DQ135-DQ158</f>
        <v>830721954.56388795</v>
      </c>
      <c r="DR161" s="1130">
        <f>DR79+DR135-DR158</f>
        <v>1905679856.908128</v>
      </c>
      <c r="DS161" s="1073"/>
      <c r="DW161" s="1130">
        <f>DW79+DW135-DW158</f>
        <v>3835555745.0787497</v>
      </c>
      <c r="DX161" s="1130">
        <f>DX79+DX135-DX158</f>
        <v>1099153933.6067338</v>
      </c>
      <c r="DY161" s="1130">
        <f>DY79+DY135-DY158</f>
        <v>830721954.56388795</v>
      </c>
      <c r="DZ161" s="1130">
        <f>DZ79+DZ135-DZ158</f>
        <v>1905679856.908128</v>
      </c>
      <c r="EA161" s="1073"/>
      <c r="EE161" s="1130">
        <f>EE79+EE135-EE158</f>
        <v>3835555745.0787497</v>
      </c>
      <c r="EF161" s="1130">
        <f>EF79+EF135-EF158</f>
        <v>1099153933.6067338</v>
      </c>
      <c r="EG161" s="1130">
        <f>EG79+EG135-EG158</f>
        <v>830721954.56388795</v>
      </c>
      <c r="EH161" s="1130">
        <f>EH79+EH135-EH158</f>
        <v>1905679856.908128</v>
      </c>
      <c r="EI161" s="1073"/>
      <c r="EM161" s="1130">
        <f>EM79+EM135-EM158</f>
        <v>3835555745.0787497</v>
      </c>
      <c r="EN161" s="1130">
        <f>EN79+EN135-EN158</f>
        <v>1099153933.6067338</v>
      </c>
      <c r="EO161" s="1130">
        <f>EO79+EO135-EO158</f>
        <v>830721954.56388795</v>
      </c>
      <c r="EP161" s="1130">
        <f>EP79+EP135-EP158</f>
        <v>1905679856.908128</v>
      </c>
      <c r="EQ161" s="1073"/>
      <c r="EU161" s="1130">
        <f>EU79+EU135-EU158</f>
        <v>3835555745.0787497</v>
      </c>
      <c r="EV161" s="1130">
        <f>EV79+EV135-EV158</f>
        <v>1099153933.6067338</v>
      </c>
      <c r="EW161" s="1130">
        <f>EW79+EW135-EW158</f>
        <v>830721954.56388795</v>
      </c>
      <c r="EX161" s="1130">
        <f>EX79+EX135-EX158</f>
        <v>1905679856.908128</v>
      </c>
      <c r="EY161" s="1073"/>
      <c r="FC161" s="1130">
        <f>FC79+FC135-FC158</f>
        <v>3835555745.0787497</v>
      </c>
      <c r="FD161" s="1130">
        <f>FD79+FD135-FD158</f>
        <v>1099153933.6067338</v>
      </c>
      <c r="FE161" s="1130">
        <f>FE79+FE135-FE158</f>
        <v>830721954.56388795</v>
      </c>
      <c r="FF161" s="1130">
        <f>FF79+FF135-FF158</f>
        <v>1905679856.908128</v>
      </c>
      <c r="FG161" s="1073"/>
      <c r="FK161" s="1130">
        <f>FK79+FK135-FK158</f>
        <v>3835555745.0787497</v>
      </c>
      <c r="FL161" s="1130">
        <f>FL79+FL135-FL158</f>
        <v>1099153933.6067338</v>
      </c>
      <c r="FM161" s="1130">
        <f>FM79+FM135-FM158</f>
        <v>830721954.56388795</v>
      </c>
      <c r="FN161" s="1130">
        <f>FN79+FN135-FN158</f>
        <v>1905679856.908128</v>
      </c>
      <c r="FO161" s="1073"/>
    </row>
    <row r="162" spans="1:171">
      <c r="A162" s="922" t="s">
        <v>83</v>
      </c>
      <c r="B162" s="64"/>
      <c r="C162" s="55"/>
      <c r="D162" s="55"/>
      <c r="E162" s="55"/>
      <c r="F162" s="55"/>
      <c r="G162" s="910"/>
      <c r="H162" s="885"/>
      <c r="I162" s="56"/>
      <c r="J162" s="270"/>
      <c r="K162" s="903"/>
      <c r="S162" s="1073"/>
      <c r="AA162" s="1073"/>
      <c r="AI162" s="1073"/>
      <c r="AQ162" s="1073"/>
      <c r="AY162" s="1073"/>
      <c r="BG162" s="1073"/>
      <c r="BO162" s="1073"/>
      <c r="BW162" s="1073"/>
      <c r="CE162" s="1073"/>
      <c r="CM162" s="1073"/>
      <c r="CU162" s="1073"/>
      <c r="DC162" s="1073"/>
      <c r="DK162" s="1073"/>
      <c r="DS162" s="1073"/>
      <c r="EA162" s="1073"/>
      <c r="EI162" s="1073"/>
      <c r="EQ162" s="1073"/>
      <c r="EY162" s="1073"/>
      <c r="FG162" s="1073"/>
      <c r="FO162" s="1073"/>
    </row>
    <row r="163" spans="1:171" ht="16.5" thickBot="1">
      <c r="A163" s="930"/>
      <c r="B163" s="931"/>
      <c r="C163" s="932"/>
      <c r="D163" s="932"/>
      <c r="E163" s="932"/>
      <c r="F163" s="932"/>
      <c r="G163" s="934"/>
      <c r="H163" s="975"/>
      <c r="I163" s="976"/>
      <c r="J163" s="273"/>
      <c r="K163" s="903"/>
      <c r="S163" s="1073"/>
      <c r="AA163" s="1073"/>
      <c r="AI163" s="1073"/>
      <c r="AQ163" s="1073"/>
      <c r="AY163" s="1073"/>
      <c r="BG163" s="1073"/>
      <c r="BO163" s="1073"/>
      <c r="BW163" s="1073"/>
      <c r="CE163" s="1073"/>
      <c r="CM163" s="1073"/>
      <c r="CU163" s="1073"/>
      <c r="DC163" s="1073"/>
      <c r="DK163" s="1073"/>
      <c r="DS163" s="1073"/>
      <c r="EA163" s="1073"/>
      <c r="EI163" s="1073"/>
      <c r="EQ163" s="1073"/>
      <c r="EY163" s="1073"/>
      <c r="FG163" s="1073"/>
      <c r="FO163" s="1073"/>
    </row>
    <row r="164" spans="1:171" ht="16.5" thickTop="1">
      <c r="A164" s="922"/>
      <c r="B164" s="64"/>
      <c r="C164" s="55"/>
      <c r="D164" s="55"/>
      <c r="E164" s="55"/>
      <c r="F164" s="55"/>
      <c r="G164" s="910"/>
      <c r="H164" s="885"/>
      <c r="I164" s="56"/>
      <c r="J164" s="270"/>
      <c r="K164" s="903"/>
      <c r="S164" s="1073"/>
      <c r="AA164" s="1073"/>
      <c r="AI164" s="1073"/>
      <c r="AQ164" s="1073"/>
      <c r="AY164" s="1073"/>
      <c r="BG164" s="1073"/>
      <c r="BO164" s="1073"/>
      <c r="BW164" s="1073"/>
      <c r="CE164" s="1073"/>
      <c r="CM164" s="1073"/>
      <c r="CU164" s="1073"/>
      <c r="DC164" s="1073"/>
      <c r="DK164" s="1073"/>
      <c r="DS164" s="1073"/>
      <c r="EA164" s="1073"/>
      <c r="EI164" s="1073"/>
      <c r="EQ164" s="1073"/>
      <c r="EY164" s="1073"/>
      <c r="FG164" s="1073"/>
      <c r="FO164" s="1073"/>
    </row>
    <row r="165" spans="1:171">
      <c r="A165" s="906" t="s">
        <v>63</v>
      </c>
      <c r="B165" s="1"/>
      <c r="C165" s="1"/>
      <c r="D165" s="1"/>
      <c r="E165" s="1"/>
      <c r="F165" s="1"/>
      <c r="G165" s="977">
        <f>'Sch 2 -Rate of Return'!E14</f>
        <v>8.3054675822784807E-2</v>
      </c>
      <c r="H165" s="992">
        <f>G165</f>
        <v>8.3054675822784807E-2</v>
      </c>
      <c r="I165" s="992">
        <f>G165</f>
        <v>8.3054675822784807E-2</v>
      </c>
      <c r="J165" s="993">
        <f>G165</f>
        <v>8.3054675822784807E-2</v>
      </c>
      <c r="K165" s="903"/>
      <c r="O165" s="1134">
        <f>$G$165</f>
        <v>8.3054675822784807E-2</v>
      </c>
      <c r="P165" s="1134">
        <f>$G$165</f>
        <v>8.3054675822784807E-2</v>
      </c>
      <c r="Q165" s="1134">
        <f>$G$165</f>
        <v>8.3054675822784807E-2</v>
      </c>
      <c r="R165" s="1134">
        <f>$G$165</f>
        <v>8.3054675822784807E-2</v>
      </c>
      <c r="S165" s="1073"/>
      <c r="W165" s="1134">
        <f>$G$165</f>
        <v>8.3054675822784807E-2</v>
      </c>
      <c r="X165" s="1134">
        <f>$G$165</f>
        <v>8.3054675822784807E-2</v>
      </c>
      <c r="Y165" s="1134">
        <f>$G$165</f>
        <v>8.3054675822784807E-2</v>
      </c>
      <c r="Z165" s="1134">
        <f>$G$165</f>
        <v>8.3054675822784807E-2</v>
      </c>
      <c r="AA165" s="1073"/>
      <c r="AE165" s="1134">
        <f>$G$165</f>
        <v>8.3054675822784807E-2</v>
      </c>
      <c r="AF165" s="1134">
        <f>$G$165</f>
        <v>8.3054675822784807E-2</v>
      </c>
      <c r="AG165" s="1134">
        <f>$G$165</f>
        <v>8.3054675822784807E-2</v>
      </c>
      <c r="AH165" s="1134">
        <f>$G$165</f>
        <v>8.3054675822784807E-2</v>
      </c>
      <c r="AI165" s="1073"/>
      <c r="AM165" s="1134">
        <f>$G$165</f>
        <v>8.3054675822784807E-2</v>
      </c>
      <c r="AN165" s="1134">
        <f>$G$165</f>
        <v>8.3054675822784807E-2</v>
      </c>
      <c r="AO165" s="1134">
        <f>$G$165</f>
        <v>8.3054675822784807E-2</v>
      </c>
      <c r="AP165" s="1134">
        <f>$G$165</f>
        <v>8.3054675822784807E-2</v>
      </c>
      <c r="AQ165" s="1073"/>
      <c r="AU165" s="1134">
        <f>$G$165</f>
        <v>8.3054675822784807E-2</v>
      </c>
      <c r="AV165" s="1134">
        <f>$G$165</f>
        <v>8.3054675822784807E-2</v>
      </c>
      <c r="AW165" s="1134">
        <f>$G$165</f>
        <v>8.3054675822784807E-2</v>
      </c>
      <c r="AX165" s="1134">
        <f>$G$165</f>
        <v>8.3054675822784807E-2</v>
      </c>
      <c r="AY165" s="1073"/>
      <c r="BC165" s="1134">
        <f>$G$165</f>
        <v>8.3054675822784807E-2</v>
      </c>
      <c r="BD165" s="1134">
        <f>$G$165</f>
        <v>8.3054675822784807E-2</v>
      </c>
      <c r="BE165" s="1134">
        <f>$G$165</f>
        <v>8.3054675822784807E-2</v>
      </c>
      <c r="BF165" s="1134">
        <f>$G$165</f>
        <v>8.3054675822784807E-2</v>
      </c>
      <c r="BG165" s="1073"/>
      <c r="BK165" s="1134">
        <f>$G$165</f>
        <v>8.3054675822784807E-2</v>
      </c>
      <c r="BL165" s="1134">
        <f>$G$165</f>
        <v>8.3054675822784807E-2</v>
      </c>
      <c r="BM165" s="1134">
        <f>$G$165</f>
        <v>8.3054675822784807E-2</v>
      </c>
      <c r="BN165" s="1134">
        <f>$G$165</f>
        <v>8.3054675822784807E-2</v>
      </c>
      <c r="BO165" s="1073"/>
      <c r="BS165" s="1134">
        <f>$G$165</f>
        <v>8.3054675822784807E-2</v>
      </c>
      <c r="BT165" s="1134">
        <f>$G$165</f>
        <v>8.3054675822784807E-2</v>
      </c>
      <c r="BU165" s="1134">
        <f>$G$165</f>
        <v>8.3054675822784807E-2</v>
      </c>
      <c r="BV165" s="1134">
        <f>$G$165</f>
        <v>8.3054675822784807E-2</v>
      </c>
      <c r="BW165" s="1073"/>
      <c r="CA165" s="1134">
        <f>$G$165</f>
        <v>8.3054675822784807E-2</v>
      </c>
      <c r="CB165" s="1134">
        <f>$G$165</f>
        <v>8.3054675822784807E-2</v>
      </c>
      <c r="CC165" s="1134">
        <f>$G$165</f>
        <v>8.3054675822784807E-2</v>
      </c>
      <c r="CD165" s="1134">
        <f>$G$165</f>
        <v>8.3054675822784807E-2</v>
      </c>
      <c r="CE165" s="1073"/>
      <c r="CI165" s="1134">
        <f>$G$165</f>
        <v>8.3054675822784807E-2</v>
      </c>
      <c r="CJ165" s="1134">
        <f>$G$165</f>
        <v>8.3054675822784807E-2</v>
      </c>
      <c r="CK165" s="1134">
        <f>$G$165</f>
        <v>8.3054675822784807E-2</v>
      </c>
      <c r="CL165" s="1134">
        <f>$G$165</f>
        <v>8.3054675822784807E-2</v>
      </c>
      <c r="CM165" s="1073"/>
      <c r="CQ165" s="1134">
        <f>$G$165</f>
        <v>8.3054675822784807E-2</v>
      </c>
      <c r="CR165" s="1134">
        <f>$G$165</f>
        <v>8.3054675822784807E-2</v>
      </c>
      <c r="CS165" s="1134">
        <f>$G$165</f>
        <v>8.3054675822784807E-2</v>
      </c>
      <c r="CT165" s="1134">
        <f>$G$165</f>
        <v>8.3054675822784807E-2</v>
      </c>
      <c r="CU165" s="1073"/>
      <c r="CY165" s="1134">
        <f>$G$165</f>
        <v>8.3054675822784807E-2</v>
      </c>
      <c r="CZ165" s="1134">
        <f>$G$165</f>
        <v>8.3054675822784807E-2</v>
      </c>
      <c r="DA165" s="1134">
        <f>$G$165</f>
        <v>8.3054675822784807E-2</v>
      </c>
      <c r="DB165" s="1134">
        <f>$G$165</f>
        <v>8.3054675822784807E-2</v>
      </c>
      <c r="DC165" s="1073"/>
      <c r="DG165" s="1134">
        <f>$G$165</f>
        <v>8.3054675822784807E-2</v>
      </c>
      <c r="DH165" s="1134">
        <f>$G$165</f>
        <v>8.3054675822784807E-2</v>
      </c>
      <c r="DI165" s="1134">
        <f>$G$165</f>
        <v>8.3054675822784807E-2</v>
      </c>
      <c r="DJ165" s="1134">
        <f>$G$165</f>
        <v>8.3054675822784807E-2</v>
      </c>
      <c r="DK165" s="1073"/>
      <c r="DO165" s="1134">
        <f>$G$165</f>
        <v>8.3054675822784807E-2</v>
      </c>
      <c r="DP165" s="1134">
        <f>$G$165</f>
        <v>8.3054675822784807E-2</v>
      </c>
      <c r="DQ165" s="1134">
        <f>$G$165</f>
        <v>8.3054675822784807E-2</v>
      </c>
      <c r="DR165" s="1134">
        <f>$G$165</f>
        <v>8.3054675822784807E-2</v>
      </c>
      <c r="DS165" s="1073"/>
      <c r="DW165" s="1134">
        <f>$G$165</f>
        <v>8.3054675822784807E-2</v>
      </c>
      <c r="DX165" s="1134">
        <f>$G$165</f>
        <v>8.3054675822784807E-2</v>
      </c>
      <c r="DY165" s="1134">
        <f>$G$165</f>
        <v>8.3054675822784807E-2</v>
      </c>
      <c r="DZ165" s="1134">
        <f>$G$165</f>
        <v>8.3054675822784807E-2</v>
      </c>
      <c r="EA165" s="1073"/>
      <c r="EE165" s="1134">
        <f>$G$165</f>
        <v>8.3054675822784807E-2</v>
      </c>
      <c r="EF165" s="1134">
        <f>$G$165</f>
        <v>8.3054675822784807E-2</v>
      </c>
      <c r="EG165" s="1134">
        <f>$G$165</f>
        <v>8.3054675822784807E-2</v>
      </c>
      <c r="EH165" s="1134">
        <f>$G$165</f>
        <v>8.3054675822784807E-2</v>
      </c>
      <c r="EI165" s="1073"/>
      <c r="EM165" s="1134">
        <f>$G$165</f>
        <v>8.3054675822784807E-2</v>
      </c>
      <c r="EN165" s="1134">
        <f>$G$165</f>
        <v>8.3054675822784807E-2</v>
      </c>
      <c r="EO165" s="1134">
        <f>$G$165</f>
        <v>8.3054675822784807E-2</v>
      </c>
      <c r="EP165" s="1134">
        <f>$G$165</f>
        <v>8.3054675822784807E-2</v>
      </c>
      <c r="EQ165" s="1073"/>
      <c r="EU165" s="1134">
        <f>$G$165</f>
        <v>8.3054675822784807E-2</v>
      </c>
      <c r="EV165" s="1134">
        <f>$G$165</f>
        <v>8.3054675822784807E-2</v>
      </c>
      <c r="EW165" s="1134">
        <f>$G$165</f>
        <v>8.3054675822784807E-2</v>
      </c>
      <c r="EX165" s="1134">
        <f>$G$165</f>
        <v>8.3054675822784807E-2</v>
      </c>
      <c r="EY165" s="1073"/>
      <c r="FC165" s="1134">
        <f>$G$165</f>
        <v>8.3054675822784807E-2</v>
      </c>
      <c r="FD165" s="1134">
        <f>$G$165</f>
        <v>8.3054675822784807E-2</v>
      </c>
      <c r="FE165" s="1134">
        <f>$G$165</f>
        <v>8.3054675822784807E-2</v>
      </c>
      <c r="FF165" s="1134">
        <f>$G$165</f>
        <v>8.3054675822784807E-2</v>
      </c>
      <c r="FG165" s="1073"/>
      <c r="FK165" s="1134">
        <f>$G$165</f>
        <v>8.3054675822784807E-2</v>
      </c>
      <c r="FL165" s="1134">
        <f>$G$165</f>
        <v>8.3054675822784807E-2</v>
      </c>
      <c r="FM165" s="1134">
        <f>$G$165</f>
        <v>8.3054675822784807E-2</v>
      </c>
      <c r="FN165" s="1134">
        <f>$G$165</f>
        <v>8.3054675822784807E-2</v>
      </c>
      <c r="FO165" s="1073"/>
    </row>
    <row r="166" spans="1:171">
      <c r="A166" s="214"/>
      <c r="B166" s="1"/>
      <c r="C166" s="1"/>
      <c r="D166" s="1"/>
      <c r="E166" s="1"/>
      <c r="F166" s="1"/>
      <c r="G166" s="1"/>
      <c r="H166" s="1"/>
      <c r="I166" s="1"/>
      <c r="J166" s="171"/>
      <c r="K166" s="903"/>
      <c r="S166" s="1073"/>
      <c r="AA166" s="1073"/>
      <c r="AI166" s="1073"/>
      <c r="AQ166" s="1073"/>
      <c r="AY166" s="1073"/>
      <c r="BG166" s="1073"/>
      <c r="BO166" s="1073"/>
      <c r="BW166" s="1073"/>
      <c r="CE166" s="1073"/>
      <c r="CM166" s="1073"/>
      <c r="CU166" s="1073"/>
      <c r="DC166" s="1073"/>
      <c r="DK166" s="1073"/>
      <c r="DS166" s="1073"/>
      <c r="EA166" s="1073"/>
      <c r="EI166" s="1073"/>
      <c r="EQ166" s="1073"/>
      <c r="EY166" s="1073"/>
      <c r="FG166" s="1073"/>
      <c r="FO166" s="1073"/>
    </row>
    <row r="167" spans="1:171">
      <c r="A167" s="978" t="s">
        <v>141</v>
      </c>
      <c r="B167" s="1"/>
      <c r="C167" s="1"/>
      <c r="D167" s="1"/>
      <c r="E167" s="1"/>
      <c r="F167" s="1"/>
      <c r="G167" s="979">
        <f>G161*G165</f>
        <v>318560839.00773537</v>
      </c>
      <c r="H167" s="979">
        <f>H161*H165</f>
        <v>91289873.635046005</v>
      </c>
      <c r="I167" s="979">
        <f>I161*I165</f>
        <v>0</v>
      </c>
      <c r="J167" s="980">
        <f>J161*J165</f>
        <v>227270965.2772226</v>
      </c>
      <c r="K167" s="903"/>
      <c r="O167" s="1130">
        <f>O161*O165</f>
        <v>318560839.00773537</v>
      </c>
      <c r="P167" s="1130">
        <f>P161*P165</f>
        <v>91289873.635046005</v>
      </c>
      <c r="Q167" s="1130">
        <f>Q161*Q165</f>
        <v>68995342.635173887</v>
      </c>
      <c r="R167" s="1130">
        <f>R161*R165</f>
        <v>158275622.73751551</v>
      </c>
      <c r="S167" s="1073"/>
      <c r="W167" s="1130">
        <f>W161*W165</f>
        <v>318560839.00773537</v>
      </c>
      <c r="X167" s="1130">
        <f>X161*X165</f>
        <v>91289873.635046005</v>
      </c>
      <c r="Y167" s="1130">
        <f>Y161*Y165</f>
        <v>68995342.635173887</v>
      </c>
      <c r="Z167" s="1130">
        <f>Z161*Z165</f>
        <v>158275622.73751551</v>
      </c>
      <c r="AA167" s="1073"/>
      <c r="AE167" s="1130">
        <f>AE161*AE165</f>
        <v>318560839.00773537</v>
      </c>
      <c r="AF167" s="1130">
        <f>AF161*AF165</f>
        <v>91289873.635046005</v>
      </c>
      <c r="AG167" s="1130">
        <f>AG161*AG165</f>
        <v>68995342.635173887</v>
      </c>
      <c r="AH167" s="1130">
        <f>AH161*AH165</f>
        <v>158275622.73751551</v>
      </c>
      <c r="AI167" s="1073"/>
      <c r="AM167" s="1130">
        <f>AM161*AM165</f>
        <v>318560839.00773537</v>
      </c>
      <c r="AN167" s="1130">
        <f>AN161*AN165</f>
        <v>91289873.635046005</v>
      </c>
      <c r="AO167" s="1130">
        <f>AO161*AO165</f>
        <v>68995342.635173887</v>
      </c>
      <c r="AP167" s="1130">
        <f>AP161*AP165</f>
        <v>158275622.73751551</v>
      </c>
      <c r="AQ167" s="1073"/>
      <c r="AU167" s="1130">
        <f>AU161*AU165</f>
        <v>318560839.00773537</v>
      </c>
      <c r="AV167" s="1130">
        <f>AV161*AV165</f>
        <v>91289873.635046005</v>
      </c>
      <c r="AW167" s="1130">
        <f>AW161*AW165</f>
        <v>68995342.635173887</v>
      </c>
      <c r="AX167" s="1130">
        <f>AX161*AX165</f>
        <v>158275622.73751551</v>
      </c>
      <c r="AY167" s="1073"/>
      <c r="BC167" s="1130">
        <f>BC161*BC165</f>
        <v>318560839.00773537</v>
      </c>
      <c r="BD167" s="1130">
        <f>BD161*BD165</f>
        <v>91289873.635046005</v>
      </c>
      <c r="BE167" s="1130">
        <f>BE161*BE165</f>
        <v>68995342.635173887</v>
      </c>
      <c r="BF167" s="1130">
        <f>BF161*BF165</f>
        <v>158275622.73751551</v>
      </c>
      <c r="BG167" s="1073"/>
      <c r="BK167" s="1130">
        <f>BK161*BK165</f>
        <v>318560839.00773537</v>
      </c>
      <c r="BL167" s="1130">
        <f>BL161*BL165</f>
        <v>91289873.635046005</v>
      </c>
      <c r="BM167" s="1130">
        <f>BM161*BM165</f>
        <v>68995342.635173887</v>
      </c>
      <c r="BN167" s="1130">
        <f>BN161*BN165</f>
        <v>158275622.73751551</v>
      </c>
      <c r="BO167" s="1073"/>
      <c r="BS167" s="1130">
        <f>BS161*BS165</f>
        <v>318560839.00773537</v>
      </c>
      <c r="BT167" s="1130">
        <f>BT161*BT165</f>
        <v>91289873.635046005</v>
      </c>
      <c r="BU167" s="1130">
        <f>BU161*BU165</f>
        <v>68995342.635173887</v>
      </c>
      <c r="BV167" s="1130">
        <f>BV161*BV165</f>
        <v>158275622.73751551</v>
      </c>
      <c r="BW167" s="1073"/>
      <c r="CA167" s="1130">
        <f>CA161*CA165</f>
        <v>318560839.00773537</v>
      </c>
      <c r="CB167" s="1130">
        <f>CB161*CB165</f>
        <v>91289873.635046005</v>
      </c>
      <c r="CC167" s="1130">
        <f>CC161*CC165</f>
        <v>68995342.635173887</v>
      </c>
      <c r="CD167" s="1130">
        <f>CD161*CD165</f>
        <v>158275622.73751551</v>
      </c>
      <c r="CE167" s="1073"/>
      <c r="CI167" s="1130">
        <f>CI161*CI165</f>
        <v>318560839.00773537</v>
      </c>
      <c r="CJ167" s="1130">
        <f>CJ161*CJ165</f>
        <v>91289873.635046005</v>
      </c>
      <c r="CK167" s="1130">
        <f>CK161*CK165</f>
        <v>68995342.635173887</v>
      </c>
      <c r="CL167" s="1130">
        <f>CL161*CL165</f>
        <v>158275622.73751551</v>
      </c>
      <c r="CM167" s="1073"/>
      <c r="CQ167" s="1130">
        <f>CQ161*CQ165</f>
        <v>318560839.00773537</v>
      </c>
      <c r="CR167" s="1130">
        <f>CR161*CR165</f>
        <v>91289873.635046005</v>
      </c>
      <c r="CS167" s="1130">
        <f>CS161*CS165</f>
        <v>68995342.635173887</v>
      </c>
      <c r="CT167" s="1130">
        <f>CT161*CT165</f>
        <v>158275622.73751551</v>
      </c>
      <c r="CU167" s="1073"/>
      <c r="CY167" s="1130">
        <f>CY161*CY165</f>
        <v>318560839.00773537</v>
      </c>
      <c r="CZ167" s="1130">
        <f>CZ161*CZ165</f>
        <v>91289873.635046005</v>
      </c>
      <c r="DA167" s="1130">
        <f>DA161*DA165</f>
        <v>68995342.635173887</v>
      </c>
      <c r="DB167" s="1130">
        <f>DB161*DB165</f>
        <v>158275622.73751551</v>
      </c>
      <c r="DC167" s="1073"/>
      <c r="DG167" s="1130">
        <f>DG161*DG165</f>
        <v>318560839.00773537</v>
      </c>
      <c r="DH167" s="1130">
        <f>DH161*DH165</f>
        <v>91289873.635046005</v>
      </c>
      <c r="DI167" s="1130">
        <f>DI161*DI165</f>
        <v>68995342.635173887</v>
      </c>
      <c r="DJ167" s="1130">
        <f>DJ161*DJ165</f>
        <v>158275622.73751551</v>
      </c>
      <c r="DK167" s="1073"/>
      <c r="DO167" s="1130">
        <f>DO161*DO165</f>
        <v>318560839.00773537</v>
      </c>
      <c r="DP167" s="1130">
        <f>DP161*DP165</f>
        <v>91289873.635046005</v>
      </c>
      <c r="DQ167" s="1130">
        <f>DQ161*DQ165</f>
        <v>68995342.635173887</v>
      </c>
      <c r="DR167" s="1130">
        <f>DR161*DR165</f>
        <v>158275622.73751551</v>
      </c>
      <c r="DS167" s="1073"/>
      <c r="DW167" s="1130">
        <f>DW161*DW165</f>
        <v>318560839.00773537</v>
      </c>
      <c r="DX167" s="1130">
        <f>DX161*DX165</f>
        <v>91289873.635046005</v>
      </c>
      <c r="DY167" s="1130">
        <f>DY161*DY165</f>
        <v>68995342.635173887</v>
      </c>
      <c r="DZ167" s="1130">
        <f>DZ161*DZ165</f>
        <v>158275622.73751551</v>
      </c>
      <c r="EA167" s="1073"/>
      <c r="EE167" s="1130">
        <f>EE161*EE165</f>
        <v>318560839.00773537</v>
      </c>
      <c r="EF167" s="1130">
        <f>EF161*EF165</f>
        <v>91289873.635046005</v>
      </c>
      <c r="EG167" s="1130">
        <f>EG161*EG165</f>
        <v>68995342.635173887</v>
      </c>
      <c r="EH167" s="1130">
        <f>EH161*EH165</f>
        <v>158275622.73751551</v>
      </c>
      <c r="EI167" s="1073"/>
      <c r="EM167" s="1130">
        <f>EM161*EM165</f>
        <v>318560839.00773537</v>
      </c>
      <c r="EN167" s="1130">
        <f>EN161*EN165</f>
        <v>91289873.635046005</v>
      </c>
      <c r="EO167" s="1130">
        <f>EO161*EO165</f>
        <v>68995342.635173887</v>
      </c>
      <c r="EP167" s="1130">
        <f>EP161*EP165</f>
        <v>158275622.73751551</v>
      </c>
      <c r="EQ167" s="1073"/>
      <c r="EU167" s="1130">
        <f>EU161*EU165</f>
        <v>318560839.00773537</v>
      </c>
      <c r="EV167" s="1130">
        <f>EV161*EV165</f>
        <v>91289873.635046005</v>
      </c>
      <c r="EW167" s="1130">
        <f>EW161*EW165</f>
        <v>68995342.635173887</v>
      </c>
      <c r="EX167" s="1130">
        <f>EX161*EX165</f>
        <v>158275622.73751551</v>
      </c>
      <c r="EY167" s="1073"/>
      <c r="FC167" s="1130">
        <f>FC161*FC165</f>
        <v>318560839.00773537</v>
      </c>
      <c r="FD167" s="1130">
        <f>FD161*FD165</f>
        <v>91289873.635046005</v>
      </c>
      <c r="FE167" s="1130">
        <f>FE161*FE165</f>
        <v>68995342.635173887</v>
      </c>
      <c r="FF167" s="1130">
        <f>FF161*FF165</f>
        <v>158275622.73751551</v>
      </c>
      <c r="FG167" s="1073"/>
      <c r="FK167" s="1130">
        <f>FK161*FK165</f>
        <v>318560839.00773537</v>
      </c>
      <c r="FL167" s="1130">
        <f>FL161*FL165</f>
        <v>91289873.635046005</v>
      </c>
      <c r="FM167" s="1130">
        <f>FM161*FM165</f>
        <v>68995342.635173887</v>
      </c>
      <c r="FN167" s="1130">
        <f>FN161*FN165</f>
        <v>158275622.73751551</v>
      </c>
      <c r="FO167" s="1073"/>
    </row>
    <row r="168" spans="1:171">
      <c r="A168" s="214"/>
      <c r="B168" s="1"/>
      <c r="C168" s="1"/>
      <c r="D168" s="1"/>
      <c r="E168" s="1"/>
      <c r="F168" s="1"/>
      <c r="G168" s="1"/>
      <c r="H168" s="1"/>
      <c r="I168" s="1"/>
      <c r="J168" s="171"/>
      <c r="K168" s="903"/>
      <c r="S168" s="1073"/>
      <c r="AA168" s="1073"/>
      <c r="AI168" s="1073"/>
      <c r="AQ168" s="1073"/>
      <c r="AY168" s="1073"/>
      <c r="BG168" s="1073"/>
      <c r="BO168" s="1073"/>
      <c r="BW168" s="1073"/>
      <c r="CE168" s="1073"/>
      <c r="CM168" s="1073"/>
      <c r="CU168" s="1073"/>
      <c r="DC168" s="1073"/>
      <c r="DK168" s="1073"/>
      <c r="DS168" s="1073"/>
      <c r="EA168" s="1073"/>
      <c r="EI168" s="1073"/>
      <c r="EQ168" s="1073"/>
      <c r="EY168" s="1073"/>
      <c r="FG168" s="1073"/>
      <c r="FO168" s="1073"/>
    </row>
    <row r="169" spans="1:171" ht="16.5" thickBot="1">
      <c r="A169" s="214"/>
      <c r="B169" s="1"/>
      <c r="C169" s="1"/>
      <c r="D169" s="1"/>
      <c r="E169" s="1"/>
      <c r="F169" s="1"/>
      <c r="G169" s="1"/>
      <c r="H169" s="1"/>
      <c r="I169" s="1"/>
      <c r="J169" s="171"/>
      <c r="K169" s="903"/>
      <c r="S169" s="1073"/>
      <c r="AA169" s="1073"/>
      <c r="AI169" s="1073"/>
      <c r="AQ169" s="1073"/>
      <c r="AY169" s="1073"/>
      <c r="BG169" s="1073"/>
      <c r="BO169" s="1073"/>
      <c r="BW169" s="1073"/>
      <c r="CE169" s="1073"/>
      <c r="CM169" s="1073"/>
      <c r="CU169" s="1073"/>
      <c r="DC169" s="1073"/>
      <c r="DK169" s="1073"/>
      <c r="DS169" s="1073"/>
      <c r="EA169" s="1073"/>
      <c r="EI169" s="1073"/>
      <c r="EQ169" s="1073"/>
      <c r="EY169" s="1073"/>
      <c r="FG169" s="1073"/>
      <c r="FO169" s="1073"/>
    </row>
    <row r="170" spans="1:171" ht="17.25" thickTop="1" thickBot="1">
      <c r="A170" s="981" t="s">
        <v>82</v>
      </c>
      <c r="B170" s="982"/>
      <c r="C170" s="982"/>
      <c r="D170" s="982"/>
      <c r="E170" s="983"/>
      <c r="F170" s="983"/>
      <c r="G170" s="984"/>
      <c r="H170" s="985"/>
      <c r="I170" s="985"/>
      <c r="J170" s="986"/>
      <c r="K170" s="903"/>
      <c r="S170" s="1073"/>
      <c r="AA170" s="1073"/>
      <c r="AI170" s="1073"/>
      <c r="AQ170" s="1073"/>
      <c r="AY170" s="1073"/>
      <c r="BG170" s="1073"/>
      <c r="BO170" s="1073"/>
      <c r="BW170" s="1073"/>
      <c r="CE170" s="1073"/>
      <c r="CM170" s="1073"/>
      <c r="CU170" s="1073"/>
      <c r="DC170" s="1073"/>
      <c r="DK170" s="1073"/>
      <c r="DS170" s="1073"/>
      <c r="EA170" s="1073"/>
      <c r="EI170" s="1073"/>
      <c r="EQ170" s="1073"/>
      <c r="EY170" s="1073"/>
      <c r="FG170" s="1073"/>
      <c r="FO170" s="1073"/>
    </row>
    <row r="171" spans="1:171" ht="17.25" thickTop="1" thickBot="1">
      <c r="A171" s="987"/>
      <c r="B171" s="2382" t="s">
        <v>100</v>
      </c>
      <c r="C171" s="325" t="s">
        <v>323</v>
      </c>
      <c r="D171" s="325"/>
      <c r="E171" s="2465" t="s">
        <v>354</v>
      </c>
      <c r="F171" s="2466"/>
      <c r="G171" s="2469" t="s">
        <v>104</v>
      </c>
      <c r="H171" s="2472" t="s">
        <v>105</v>
      </c>
      <c r="I171" s="2475" t="s">
        <v>106</v>
      </c>
      <c r="J171" s="326"/>
      <c r="K171" s="903"/>
      <c r="S171" s="1073"/>
      <c r="AA171" s="1073"/>
      <c r="AI171" s="1073"/>
      <c r="AQ171" s="1073"/>
      <c r="AY171" s="1073"/>
      <c r="BG171" s="1073"/>
      <c r="BO171" s="1073"/>
      <c r="BW171" s="1073"/>
      <c r="CE171" s="1073"/>
      <c r="CM171" s="1073"/>
      <c r="CU171" s="1073"/>
      <c r="DC171" s="1073"/>
      <c r="DK171" s="1073"/>
      <c r="DS171" s="1073"/>
      <c r="EA171" s="1073"/>
      <c r="EI171" s="1073"/>
      <c r="EQ171" s="1073"/>
      <c r="EY171" s="1073"/>
      <c r="FG171" s="1073"/>
      <c r="FO171" s="1073"/>
    </row>
    <row r="172" spans="1:171" ht="16.5" thickBot="1">
      <c r="A172" s="864"/>
      <c r="B172" s="2463"/>
      <c r="C172" s="322" t="s">
        <v>272</v>
      </c>
      <c r="D172" s="322" t="s">
        <v>96</v>
      </c>
      <c r="E172" s="2467"/>
      <c r="F172" s="2468"/>
      <c r="G172" s="2470"/>
      <c r="H172" s="2473"/>
      <c r="I172" s="2461"/>
      <c r="J172" s="310" t="s">
        <v>98</v>
      </c>
      <c r="K172" s="903"/>
      <c r="S172" s="1073"/>
      <c r="AA172" s="1073"/>
      <c r="AI172" s="1073"/>
      <c r="AQ172" s="1073"/>
      <c r="AY172" s="1073"/>
      <c r="BG172" s="1073"/>
      <c r="BO172" s="1073"/>
      <c r="BW172" s="1073"/>
      <c r="CE172" s="1073"/>
      <c r="CM172" s="1073"/>
      <c r="CU172" s="1073"/>
      <c r="DC172" s="1073"/>
      <c r="DK172" s="1073"/>
      <c r="DS172" s="1073"/>
      <c r="EA172" s="1073"/>
      <c r="EI172" s="1073"/>
      <c r="EQ172" s="1073"/>
      <c r="EY172" s="1073"/>
      <c r="FG172" s="1073"/>
      <c r="FO172" s="1073"/>
    </row>
    <row r="173" spans="1:171" ht="16.5" thickBot="1">
      <c r="A173" s="988"/>
      <c r="B173" s="2464"/>
      <c r="C173" s="311" t="s">
        <v>273</v>
      </c>
      <c r="D173" s="311" t="s">
        <v>252</v>
      </c>
      <c r="E173" s="311" t="s">
        <v>454</v>
      </c>
      <c r="F173" s="311" t="s">
        <v>623</v>
      </c>
      <c r="G173" s="2471"/>
      <c r="H173" s="2474"/>
      <c r="I173" s="2476"/>
      <c r="J173" s="314" t="s">
        <v>107</v>
      </c>
      <c r="K173" s="903"/>
      <c r="S173" s="1073"/>
      <c r="AA173" s="1073"/>
      <c r="AI173" s="1073"/>
      <c r="AQ173" s="1073"/>
      <c r="AY173" s="1073"/>
      <c r="BG173" s="1073"/>
      <c r="BO173" s="1073"/>
      <c r="BW173" s="1073"/>
      <c r="CE173" s="1073"/>
      <c r="CM173" s="1073"/>
      <c r="CU173" s="1073"/>
      <c r="DC173" s="1073"/>
      <c r="DK173" s="1073"/>
      <c r="DS173" s="1073"/>
      <c r="EA173" s="1073"/>
      <c r="EI173" s="1073"/>
      <c r="EQ173" s="1073"/>
      <c r="EY173" s="1073"/>
      <c r="FG173" s="1073"/>
      <c r="FO173" s="1073"/>
    </row>
    <row r="174" spans="1:171" ht="16.5" thickTop="1">
      <c r="A174" s="160" t="s">
        <v>460</v>
      </c>
      <c r="B174" s="64"/>
      <c r="C174" s="55"/>
      <c r="D174" s="55"/>
      <c r="E174" s="55"/>
      <c r="F174" s="55"/>
      <c r="G174" s="989"/>
      <c r="H174" s="885"/>
      <c r="I174" s="885"/>
      <c r="J174" s="936"/>
      <c r="K174" s="903"/>
      <c r="S174" s="1073"/>
      <c r="AA174" s="1073"/>
      <c r="AI174" s="1073"/>
      <c r="AQ174" s="1073"/>
      <c r="AY174" s="1073"/>
      <c r="BG174" s="1073"/>
      <c r="BO174" s="1073"/>
      <c r="BW174" s="1073"/>
      <c r="CE174" s="1073"/>
      <c r="CM174" s="1073"/>
      <c r="CU174" s="1073"/>
      <c r="DC174" s="1073"/>
      <c r="DK174" s="1073"/>
      <c r="DS174" s="1073"/>
      <c r="EA174" s="1073"/>
      <c r="EI174" s="1073"/>
      <c r="EQ174" s="1073"/>
      <c r="EY174" s="1073"/>
      <c r="FG174" s="1073"/>
      <c r="FO174" s="1073"/>
    </row>
    <row r="175" spans="1:171">
      <c r="A175" s="912"/>
      <c r="B175" s="180" t="s">
        <v>461</v>
      </c>
      <c r="C175" s="55"/>
      <c r="D175" s="55"/>
      <c r="E175" s="55"/>
      <c r="F175" s="55"/>
      <c r="G175" s="989"/>
      <c r="H175" s="885"/>
      <c r="I175" s="885"/>
      <c r="J175" s="936"/>
      <c r="K175" s="903"/>
      <c r="S175" s="1073"/>
      <c r="AA175" s="1073"/>
      <c r="AI175" s="1073"/>
      <c r="AQ175" s="1073"/>
      <c r="AY175" s="1073"/>
      <c r="BG175" s="1073"/>
      <c r="BO175" s="1073"/>
      <c r="BW175" s="1073"/>
      <c r="CE175" s="1073"/>
      <c r="CM175" s="1073"/>
      <c r="CU175" s="1073"/>
      <c r="DC175" s="1073"/>
      <c r="DK175" s="1073"/>
      <c r="DS175" s="1073"/>
      <c r="EA175" s="1073"/>
      <c r="EI175" s="1073"/>
      <c r="EQ175" s="1073"/>
      <c r="EY175" s="1073"/>
      <c r="FG175" s="1073"/>
      <c r="FO175" s="1073"/>
    </row>
    <row r="176" spans="1:171">
      <c r="A176" s="1392">
        <v>160</v>
      </c>
      <c r="B176" s="220" t="s">
        <v>259</v>
      </c>
      <c r="C176" s="888" t="s">
        <v>72</v>
      </c>
      <c r="D176" s="888">
        <v>501</v>
      </c>
      <c r="E176" s="182" t="str">
        <f>'Sch 3 - Expenses'!E16</f>
        <v>PROD</v>
      </c>
      <c r="F176" s="889"/>
      <c r="G176" s="182">
        <f>'Sch 3 - Expenses'!G16</f>
        <v>46052299</v>
      </c>
      <c r="H176" s="182">
        <f>'Sch 3 - Expenses'!H16</f>
        <v>46052299</v>
      </c>
      <c r="I176" s="182">
        <f>'Sch 3 - Expenses'!I16</f>
        <v>0</v>
      </c>
      <c r="J176" s="183">
        <f>'Sch 3 - Expenses'!J16</f>
        <v>0</v>
      </c>
      <c r="K176" s="903">
        <f t="shared" ref="K176:K195" si="547">IF($E176="DIRECT",0,1)</f>
        <v>1</v>
      </c>
      <c r="N176" s="1155">
        <f>VLOOKUP($A176,'New Resources - Individual'!$A$4:$Y$133,N$2,FALSE)*N$1</f>
        <v>0</v>
      </c>
      <c r="O176" s="1116">
        <f>$G176+N176</f>
        <v>46052299</v>
      </c>
      <c r="P176" s="1117">
        <f>VLOOKUP($E176,O$442:R$453,2,FALSE)*O176*($K176)+IF($G176&lt;&gt;0,($H176/$G176)*O176,0)*(1-$K176)</f>
        <v>46052299</v>
      </c>
      <c r="Q176" s="1117">
        <f>VLOOKUP($E176,O$442:R$453,3,FALSE)*O176*($K176)+IF($G176&lt;&gt;0,($I176/$G176)*O176,0)*(1-$K176)</f>
        <v>0</v>
      </c>
      <c r="R176" s="1117">
        <f>VLOOKUP($E176,O$442:R$453,4,FALSE)*O176*($K176)+(O176-P176-Q176)*(1-$K176)</f>
        <v>0</v>
      </c>
      <c r="S176" s="1073"/>
      <c r="V176" s="1155">
        <f>VLOOKUP($A176,'New Resources - Individual'!$A$4:$Y$133,V$2,FALSE)*V$1</f>
        <v>0</v>
      </c>
      <c r="W176" s="1116">
        <f>$G176+V176</f>
        <v>46052299</v>
      </c>
      <c r="X176" s="1117">
        <f>VLOOKUP($E176,W$442:Z$453,2,FALSE)*W176*($K176)+IF($G176&lt;&gt;0,($H176/$G176)*W176,0)*(1-$K176)</f>
        <v>46052299</v>
      </c>
      <c r="Y176" s="1117">
        <f>VLOOKUP($E176,W$442:Z$453,3,FALSE)*W176*($K176)+IF($G176&lt;&gt;0,($I176/$G176)*W176,0)*(1-$K176)</f>
        <v>0</v>
      </c>
      <c r="Z176" s="1117">
        <f>VLOOKUP($E176,W$442:Z$453,4,FALSE)*W176*($K176)+(W176-X176-Y176)*(1-$K176)</f>
        <v>0</v>
      </c>
      <c r="AA176" s="1073"/>
      <c r="AD176" s="1155">
        <f>VLOOKUP($A176,'New Resources - Individual'!$A$4:$Y$133,AD$2,FALSE)*AD$1</f>
        <v>0</v>
      </c>
      <c r="AE176" s="1116">
        <f>$G176+AD176</f>
        <v>46052299</v>
      </c>
      <c r="AF176" s="1117">
        <f>VLOOKUP($E176,AE$442:AH$453,2,FALSE)*AE176*($K176)+IF($G176&lt;&gt;0,($H176/$G176)*AE176,0)*(1-$K176)</f>
        <v>46052299</v>
      </c>
      <c r="AG176" s="1117">
        <f>VLOOKUP($E176,AE$442:AH$453,3,FALSE)*AE176*($K176)+IF($G176&lt;&gt;0,($I176/$G176)*AE176,0)*(1-$K176)</f>
        <v>0</v>
      </c>
      <c r="AH176" s="1117">
        <f>VLOOKUP($E176,AE$442:AH$453,4,FALSE)*AE176*($K176)+(AE176-AF176-AG176)*(1-$K176)</f>
        <v>0</v>
      </c>
      <c r="AI176" s="1073"/>
      <c r="AL176" s="1155">
        <f>VLOOKUP($A176,'New Resources - Individual'!$A$4:$Y$133,AL$2,FALSE)*AL$1</f>
        <v>0</v>
      </c>
      <c r="AM176" s="1116">
        <f>$G176+AL176</f>
        <v>46052299</v>
      </c>
      <c r="AN176" s="1117">
        <f>VLOOKUP($E176,AM$442:AP$453,2,FALSE)*AM176*($K176)+IF($G176&lt;&gt;0,($H176/$G176)*AM176,0)*(1-$K176)</f>
        <v>46052299</v>
      </c>
      <c r="AO176" s="1117">
        <f>VLOOKUP($E176,AM$442:AP$453,3,FALSE)*AM176*($K176)+IF($G176&lt;&gt;0,($I176/$G176)*AM176,0)*(1-$K176)</f>
        <v>0</v>
      </c>
      <c r="AP176" s="1117">
        <f>VLOOKUP($E176,AM$442:AP$453,4,FALSE)*AM176*($K176)+(AM176-AN176-AO176)*(1-$K176)</f>
        <v>0</v>
      </c>
      <c r="AQ176" s="1073"/>
      <c r="AT176" s="1155">
        <f>VLOOKUP($A176,'New Resources - Individual'!$A$4:$Y$133,AT$2,FALSE)*AT$1</f>
        <v>0</v>
      </c>
      <c r="AU176" s="1116">
        <f>$G176+AT176</f>
        <v>46052299</v>
      </c>
      <c r="AV176" s="1117">
        <f>VLOOKUP($E176,AU$442:AX$453,2,FALSE)*AU176*($K176)+IF($G176&lt;&gt;0,($H176/$G176)*AU176,0)*(1-$K176)</f>
        <v>46052299</v>
      </c>
      <c r="AW176" s="1117">
        <f>VLOOKUP($E176,AU$442:AX$453,3,FALSE)*AU176*($K176)+IF($G176&lt;&gt;0,($I176/$G176)*AU176,0)*(1-$K176)</f>
        <v>0</v>
      </c>
      <c r="AX176" s="1117">
        <f>VLOOKUP($E176,AU$442:AX$453,4,FALSE)*AU176*($K176)+(AU176-AV176-AW176)*(1-$K176)</f>
        <v>0</v>
      </c>
      <c r="AY176" s="1073"/>
      <c r="BB176" s="1155">
        <f>VLOOKUP($A176,'New Resources - Individual'!$A$4:$Y$133,BB$2,FALSE)*BB$1</f>
        <v>0</v>
      </c>
      <c r="BC176" s="1116">
        <f>$G176+BB176</f>
        <v>46052299</v>
      </c>
      <c r="BD176" s="1117">
        <f>VLOOKUP($E176,BC$442:BF$453,2,FALSE)*BC176*($K176)+IF($G176&lt;&gt;0,($H176/$G176)*BC176,0)*(1-$K176)</f>
        <v>46052299</v>
      </c>
      <c r="BE176" s="1117">
        <f>VLOOKUP($E176,BC$442:BF$453,3,FALSE)*BC176*($K176)+IF($G176&lt;&gt;0,($I176/$G176)*BC176,0)*(1-$K176)</f>
        <v>0</v>
      </c>
      <c r="BF176" s="1117">
        <f>VLOOKUP($E176,BC$442:BF$453,4,FALSE)*BC176*($K176)+(BC176-BD176-BE176)*(1-$K176)</f>
        <v>0</v>
      </c>
      <c r="BG176" s="1073"/>
      <c r="BJ176" s="1155">
        <f>VLOOKUP($A176,'New Resources - Individual'!$A$4:$Y$133,BJ$2,FALSE)*BJ$1</f>
        <v>0</v>
      </c>
      <c r="BK176" s="1116">
        <f>$G176+BJ176</f>
        <v>46052299</v>
      </c>
      <c r="BL176" s="1117">
        <f>VLOOKUP($E176,BK$442:BN$453,2,FALSE)*BK176*($K176)+IF($G176&lt;&gt;0,($H176/$G176)*BK176,0)*(1-$K176)</f>
        <v>46052299</v>
      </c>
      <c r="BM176" s="1117">
        <f>VLOOKUP($E176,BK$442:BN$453,3,FALSE)*BK176*($K176)+IF($G176&lt;&gt;0,($I176/$G176)*BK176,0)*(1-$K176)</f>
        <v>0</v>
      </c>
      <c r="BN176" s="1117">
        <f>VLOOKUP($E176,BK$442:BN$453,4,FALSE)*BK176*($K176)+(BK176-BL176-BM176)*(1-$K176)</f>
        <v>0</v>
      </c>
      <c r="BO176" s="1073"/>
      <c r="BR176" s="1155">
        <f>VLOOKUP($A176,'New Resources - Individual'!$A$4:$Y$133,BR$2,FALSE)*BR$1</f>
        <v>0</v>
      </c>
      <c r="BS176" s="1116">
        <f>$G176+BR176</f>
        <v>46052299</v>
      </c>
      <c r="BT176" s="1117">
        <f>VLOOKUP($E176,BS$442:BV$453,2,FALSE)*BS176*($K176)+IF($G176&lt;&gt;0,($H176/$G176)*BS176,0)*(1-$K176)</f>
        <v>46052299</v>
      </c>
      <c r="BU176" s="1117">
        <f>VLOOKUP($E176,BS$442:BV$453,3,FALSE)*BS176*($K176)+IF($G176&lt;&gt;0,($I176/$G176)*BS176,0)*(1-$K176)</f>
        <v>0</v>
      </c>
      <c r="BV176" s="1117">
        <f>VLOOKUP($E176,BS$442:BV$453,4,FALSE)*BS176*($K176)+(BS176-BT176-BU176)*(1-$K176)</f>
        <v>0</v>
      </c>
      <c r="BW176" s="1073"/>
      <c r="BZ176" s="1155">
        <f>VLOOKUP($A176,'New Resources - Individual'!$A$4:$Y$133,BZ$2,FALSE)*BZ$1</f>
        <v>0</v>
      </c>
      <c r="CA176" s="1116">
        <f>$G176+BZ176</f>
        <v>46052299</v>
      </c>
      <c r="CB176" s="1117">
        <f>VLOOKUP($E176,CA$442:CD$453,2,FALSE)*CA176*($K176)+IF($G176&lt;&gt;0,($H176/$G176)*CA176,0)*(1-$K176)</f>
        <v>46052299</v>
      </c>
      <c r="CC176" s="1117">
        <f>VLOOKUP($E176,CA$442:CD$453,3,FALSE)*CA176*($K176)+IF($G176&lt;&gt;0,($I176/$G176)*CA176,0)*(1-$K176)</f>
        <v>0</v>
      </c>
      <c r="CD176" s="1117">
        <f>VLOOKUP($E176,CA$442:CD$453,4,FALSE)*CA176*($K176)+(CA176-CB176-CC176)*(1-$K176)</f>
        <v>0</v>
      </c>
      <c r="CE176" s="1073"/>
      <c r="CH176" s="1155">
        <f>VLOOKUP($A176,'New Resources - Individual'!$A$4:$Y$133,CH$2,FALSE)*CH$1</f>
        <v>0</v>
      </c>
      <c r="CI176" s="1116">
        <f>$G176+CH176</f>
        <v>46052299</v>
      </c>
      <c r="CJ176" s="1117">
        <f>VLOOKUP($E176,CI$442:CL$453,2,FALSE)*CI176*($K176)+IF($G176&lt;&gt;0,($H176/$G176)*CI176,0)*(1-$K176)</f>
        <v>46052299</v>
      </c>
      <c r="CK176" s="1117">
        <f>VLOOKUP($E176,CI$442:CL$453,3,FALSE)*CI176*($K176)+IF($G176&lt;&gt;0,($I176/$G176)*CI176,0)*(1-$K176)</f>
        <v>0</v>
      </c>
      <c r="CL176" s="1117">
        <f>VLOOKUP($E176,CI$442:CL$453,4,FALSE)*CI176*($K176)+(CI176-CJ176-CK176)*(1-$K176)</f>
        <v>0</v>
      </c>
      <c r="CM176" s="1073"/>
      <c r="CP176" s="1155">
        <f>VLOOKUP($A176,'New Resources - Individual'!$A$4:$Y$133,CP$2,FALSE)*CP$1</f>
        <v>0</v>
      </c>
      <c r="CQ176" s="1116">
        <f>$G176+CP176</f>
        <v>46052299</v>
      </c>
      <c r="CR176" s="1117">
        <f>VLOOKUP($E176,CQ$442:CT$453,2,FALSE)*CQ176*($K176)+IF($G176&lt;&gt;0,($H176/$G176)*CQ176,0)*(1-$K176)</f>
        <v>46052299</v>
      </c>
      <c r="CS176" s="1117">
        <f>VLOOKUP($E176,CQ$442:CT$453,3,FALSE)*CQ176*($K176)+IF($G176&lt;&gt;0,($I176/$G176)*CQ176,0)*(1-$K176)</f>
        <v>0</v>
      </c>
      <c r="CT176" s="1117">
        <f>VLOOKUP($E176,CQ$442:CT$453,4,FALSE)*CQ176*($K176)+(CQ176-CR176-CS176)*(1-$K176)</f>
        <v>0</v>
      </c>
      <c r="CU176" s="1073"/>
      <c r="CX176" s="1155">
        <f>VLOOKUP($A176,'New Resources - Individual'!$A$4:$Y$133,CX$2,FALSE)*CX$1</f>
        <v>0</v>
      </c>
      <c r="CY176" s="1116">
        <f>$G176+CX176</f>
        <v>46052299</v>
      </c>
      <c r="CZ176" s="1117">
        <f>VLOOKUP($E176,CY$442:DB$453,2,FALSE)*CY176*($K176)+IF($G176&lt;&gt;0,($H176/$G176)*CY176,0)*(1-$K176)</f>
        <v>46052299</v>
      </c>
      <c r="DA176" s="1117">
        <f>VLOOKUP($E176,CY$442:DB$453,3,FALSE)*CY176*($K176)+IF($G176&lt;&gt;0,($I176/$G176)*CY176,0)*(1-$K176)</f>
        <v>0</v>
      </c>
      <c r="DB176" s="1117">
        <f>VLOOKUP($E176,CY$442:DB$453,4,FALSE)*CY176*($K176)+(CY176-CZ176-DA176)*(1-$K176)</f>
        <v>0</v>
      </c>
      <c r="DC176" s="1073"/>
      <c r="DF176" s="1155">
        <f>VLOOKUP($A176,'New Resources - Individual'!$A$4:$Y$133,DF$2,FALSE)*DF$1</f>
        <v>0</v>
      </c>
      <c r="DG176" s="1116">
        <f>$G176+DF176</f>
        <v>46052299</v>
      </c>
      <c r="DH176" s="1117">
        <f>VLOOKUP($E176,DG$442:DJ$453,2,FALSE)*DG176*($K176)+IF($G176&lt;&gt;0,($H176/$G176)*DG176,0)*(1-$K176)</f>
        <v>46052299</v>
      </c>
      <c r="DI176" s="1117">
        <f>VLOOKUP($E176,DG$442:DJ$453,3,FALSE)*DG176*($K176)+IF($G176&lt;&gt;0,($I176/$G176)*DG176,0)*(1-$K176)</f>
        <v>0</v>
      </c>
      <c r="DJ176" s="1117">
        <f>VLOOKUP($E176,DG$442:DJ$453,4,FALSE)*DG176*($K176)+(DG176-DH176-DI176)*(1-$K176)</f>
        <v>0</v>
      </c>
      <c r="DK176" s="1073"/>
      <c r="DN176" s="1155">
        <f>VLOOKUP($A176,'New Resources - Individual'!$A$4:$Y$133,DN$2,FALSE)*DN$1</f>
        <v>0</v>
      </c>
      <c r="DO176" s="1116">
        <f>$G176+DN176</f>
        <v>46052299</v>
      </c>
      <c r="DP176" s="1117">
        <f>VLOOKUP($E176,DO$442:DR$453,2,FALSE)*DO176*($K176)+IF($G176&lt;&gt;0,($H176/$G176)*DO176,0)*(1-$K176)</f>
        <v>46052299</v>
      </c>
      <c r="DQ176" s="1117">
        <f>VLOOKUP($E176,DO$442:DR$453,3,FALSE)*DO176*($K176)+IF($G176&lt;&gt;0,($I176/$G176)*DO176,0)*(1-$K176)</f>
        <v>0</v>
      </c>
      <c r="DR176" s="1117">
        <f>VLOOKUP($E176,DO$442:DR$453,4,FALSE)*DO176*($K176)+(DO176-DP176-DQ176)*(1-$K176)</f>
        <v>0</v>
      </c>
      <c r="DS176" s="1073"/>
      <c r="DV176" s="1155">
        <f>VLOOKUP($A176,'New Resources - Individual'!$A$4:$Y$133,DV$2,FALSE)*DV$1</f>
        <v>0</v>
      </c>
      <c r="DW176" s="1116">
        <f>$G176+DV176</f>
        <v>46052299</v>
      </c>
      <c r="DX176" s="1117">
        <f>VLOOKUP($E176,DW$442:DZ$453,2,FALSE)*DW176*($K176)+IF($G176&lt;&gt;0,($H176/$G176)*DW176,0)*(1-$K176)</f>
        <v>46052299</v>
      </c>
      <c r="DY176" s="1117">
        <f>VLOOKUP($E176,DW$442:DZ$453,3,FALSE)*DW176*($K176)+IF($G176&lt;&gt;0,($I176/$G176)*DW176,0)*(1-$K176)</f>
        <v>0</v>
      </c>
      <c r="DZ176" s="1117">
        <f>VLOOKUP($E176,DW$442:DZ$453,4,FALSE)*DW176*($K176)+(DW176-DX176-DY176)*(1-$K176)</f>
        <v>0</v>
      </c>
      <c r="EA176" s="1073"/>
      <c r="ED176" s="1155">
        <f>VLOOKUP($A176,'New Resources - Individual'!$A$4:$Y$133,ED$2,FALSE)*ED$1</f>
        <v>0</v>
      </c>
      <c r="EE176" s="1116">
        <f>$G176+ED176</f>
        <v>46052299</v>
      </c>
      <c r="EF176" s="1117">
        <f>VLOOKUP($E176,EE$442:EH$453,2,FALSE)*EE176*($K176)+IF($G176&lt;&gt;0,($H176/$G176)*EE176,0)*(1-$K176)</f>
        <v>46052299</v>
      </c>
      <c r="EG176" s="1117">
        <f>VLOOKUP($E176,EE$442:EH$453,3,FALSE)*EE176*($K176)+IF($G176&lt;&gt;0,($I176/$G176)*EE176,0)*(1-$K176)</f>
        <v>0</v>
      </c>
      <c r="EH176" s="1117">
        <f>VLOOKUP($E176,EE$442:EH$453,4,FALSE)*EE176*($K176)+(EE176-EF176-EG176)*(1-$K176)</f>
        <v>0</v>
      </c>
      <c r="EI176" s="1073"/>
      <c r="EL176" s="1155">
        <f>VLOOKUP($A176,'New Resources - Individual'!$A$4:$Y$133,EL$2,FALSE)*EL$1</f>
        <v>0</v>
      </c>
      <c r="EM176" s="1116">
        <f>$G176+EL176</f>
        <v>46052299</v>
      </c>
      <c r="EN176" s="1117">
        <f>VLOOKUP($E176,EM$442:EP$453,2,FALSE)*EM176*($K176)+IF($G176&lt;&gt;0,($H176/$G176)*EM176,0)*(1-$K176)</f>
        <v>46052299</v>
      </c>
      <c r="EO176" s="1117">
        <f>VLOOKUP($E176,EM$442:EP$453,3,FALSE)*EM176*($K176)+IF($G176&lt;&gt;0,($I176/$G176)*EM176,0)*(1-$K176)</f>
        <v>0</v>
      </c>
      <c r="EP176" s="1117">
        <f>VLOOKUP($E176,EM$442:EP$453,4,FALSE)*EM176*($K176)+(EM176-EN176-EO176)*(1-$K176)</f>
        <v>0</v>
      </c>
      <c r="EQ176" s="1073"/>
      <c r="ET176" s="1155">
        <f>VLOOKUP($A176,'New Resources - Individual'!$A$4:$Y$133,ET$2,FALSE)*ET$1</f>
        <v>0</v>
      </c>
      <c r="EU176" s="1116">
        <f>$G176+ET176</f>
        <v>46052299</v>
      </c>
      <c r="EV176" s="1117">
        <f>VLOOKUP($E176,EU$442:EX$453,2,FALSE)*EU176*($K176)+IF($G176&lt;&gt;0,($H176/$G176)*EU176,0)*(1-$K176)</f>
        <v>46052299</v>
      </c>
      <c r="EW176" s="1117">
        <f>VLOOKUP($E176,EU$442:EX$453,3,FALSE)*EU176*($K176)+IF($G176&lt;&gt;0,($I176/$G176)*EU176,0)*(1-$K176)</f>
        <v>0</v>
      </c>
      <c r="EX176" s="1117">
        <f>VLOOKUP($E176,EU$442:EX$453,4,FALSE)*EU176*($K176)+(EU176-EV176-EW176)*(1-$K176)</f>
        <v>0</v>
      </c>
      <c r="EY176" s="1073"/>
      <c r="FB176" s="1155">
        <f>VLOOKUP($A176,'New Resources - Individual'!$A$4:$Y$133,FB$2,FALSE)*FB$1</f>
        <v>0</v>
      </c>
      <c r="FC176" s="1116">
        <f>$G176+FB176</f>
        <v>46052299</v>
      </c>
      <c r="FD176" s="1117">
        <f>VLOOKUP($E176,FC$442:FF$453,2,FALSE)*FC176*($K176)+IF($G176&lt;&gt;0,($H176/$G176)*FC176,0)*(1-$K176)</f>
        <v>46052299</v>
      </c>
      <c r="FE176" s="1117">
        <f>VLOOKUP($E176,FC$442:FF$453,3,FALSE)*FC176*($K176)+IF($G176&lt;&gt;0,($I176/$G176)*FC176,0)*(1-$K176)</f>
        <v>0</v>
      </c>
      <c r="FF176" s="1117">
        <f>VLOOKUP($E176,FC$442:FF$453,4,FALSE)*FC176*($K176)+(FC176-FD176-FE176)*(1-$K176)</f>
        <v>0</v>
      </c>
      <c r="FG176" s="1073"/>
      <c r="FJ176" s="1155">
        <f>VLOOKUP($A176,'New Resources - Individual'!$A$4:$Y$133,FJ$2,FALSE)*FJ$1</f>
        <v>0</v>
      </c>
      <c r="FK176" s="1116">
        <f>$G176+FJ176</f>
        <v>46052299</v>
      </c>
      <c r="FL176" s="1117">
        <f>VLOOKUP($E176,FK$442:FN$453,2,FALSE)*FK176*($K176)+IF($G176&lt;&gt;0,($H176/$G176)*FK176,0)*(1-$K176)</f>
        <v>46052299</v>
      </c>
      <c r="FM176" s="1117">
        <f>VLOOKUP($E176,FK$442:FN$453,3,FALSE)*FK176*($K176)+IF($G176&lt;&gt;0,($I176/$G176)*FK176,0)*(1-$K176)</f>
        <v>0</v>
      </c>
      <c r="FN176" s="1117">
        <f>VLOOKUP($E176,FK$442:FN$453,4,FALSE)*FK176*($K176)+(FK176-FL176-FM176)*(1-$K176)</f>
        <v>0</v>
      </c>
      <c r="FO176" s="1073"/>
    </row>
    <row r="177" spans="1:171">
      <c r="A177" s="1392">
        <v>170</v>
      </c>
      <c r="B177" s="220" t="s">
        <v>260</v>
      </c>
      <c r="C177" s="888" t="s">
        <v>72</v>
      </c>
      <c r="D177" s="888" t="s">
        <v>456</v>
      </c>
      <c r="E177" s="182" t="str">
        <f>'Sch 3 - Expenses'!E17</f>
        <v>PROD</v>
      </c>
      <c r="F177" s="889"/>
      <c r="G177" s="182">
        <f>'Sch 3 - Expenses'!G17</f>
        <v>12263177</v>
      </c>
      <c r="H177" s="182">
        <f>'Sch 3 - Expenses'!H17</f>
        <v>12263177</v>
      </c>
      <c r="I177" s="182">
        <f>'Sch 3 - Expenses'!I17</f>
        <v>0</v>
      </c>
      <c r="J177" s="183">
        <f>'Sch 3 - Expenses'!J17</f>
        <v>0</v>
      </c>
      <c r="K177" s="903">
        <f t="shared" si="547"/>
        <v>1</v>
      </c>
      <c r="N177" s="1129">
        <f>VLOOKUP($A177,'New Resources - Individual'!$A$4:$Y$133,N$2,FALSE)*N$1</f>
        <v>0</v>
      </c>
      <c r="O177" s="1116">
        <f>$G177+N177</f>
        <v>12263177</v>
      </c>
      <c r="P177" s="1117">
        <f>VLOOKUP($E177,O$442:R$453,2,FALSE)*O177*($K177)+IF($G177&lt;&gt;0,($H177/$G177)*O177,0)*(1-$K177)</f>
        <v>12263177</v>
      </c>
      <c r="Q177" s="1117">
        <f>VLOOKUP($E177,O$442:R$453,3,FALSE)*O177*($K177)+IF($G177&lt;&gt;0,($I177/$G177)*O177,0)*(1-$K177)</f>
        <v>0</v>
      </c>
      <c r="R177" s="1117">
        <f>VLOOKUP($E177,O$442:R$453,4,FALSE)*O177*($K177)+(O177-P177-Q177)*(1-$K177)</f>
        <v>0</v>
      </c>
      <c r="S177" s="1073"/>
      <c r="V177" s="1129">
        <f>VLOOKUP($A177,'New Resources - Individual'!$A$4:$Y$133,V$2,FALSE)*V$1</f>
        <v>0</v>
      </c>
      <c r="W177" s="1116">
        <f>$G177+V177</f>
        <v>12263177</v>
      </c>
      <c r="X177" s="1117">
        <f>VLOOKUP($E177,W$442:Z$453,2,FALSE)*W177*($K177)+IF($G177&lt;&gt;0,($H177/$G177)*W177,0)*(1-$K177)</f>
        <v>12263177</v>
      </c>
      <c r="Y177" s="1117">
        <f>VLOOKUP($E177,W$442:Z$453,3,FALSE)*W177*($K177)+IF($G177&lt;&gt;0,($I177/$G177)*W177,0)*(1-$K177)</f>
        <v>0</v>
      </c>
      <c r="Z177" s="1117">
        <f>VLOOKUP($E177,W$442:Z$453,4,FALSE)*W177*($K177)+(W177-X177-Y177)*(1-$K177)</f>
        <v>0</v>
      </c>
      <c r="AA177" s="1073"/>
      <c r="AD177" s="1129">
        <f>VLOOKUP($A177,'New Resources - Individual'!$A$4:$Y$133,AD$2,FALSE)*AD$1</f>
        <v>0</v>
      </c>
      <c r="AE177" s="1116">
        <f>$G177+AD177</f>
        <v>12263177</v>
      </c>
      <c r="AF177" s="1117">
        <f>VLOOKUP($E177,AE$442:AH$453,2,FALSE)*AE177*($K177)+IF($G177&lt;&gt;0,($H177/$G177)*AE177,0)*(1-$K177)</f>
        <v>12263177</v>
      </c>
      <c r="AG177" s="1117">
        <f>VLOOKUP($E177,AE$442:AH$453,3,FALSE)*AE177*($K177)+IF($G177&lt;&gt;0,($I177/$G177)*AE177,0)*(1-$K177)</f>
        <v>0</v>
      </c>
      <c r="AH177" s="1117">
        <f>VLOOKUP($E177,AE$442:AH$453,4,FALSE)*AE177*($K177)+(AE177-AF177-AG177)*(1-$K177)</f>
        <v>0</v>
      </c>
      <c r="AI177" s="1073"/>
      <c r="AL177" s="1129">
        <f>VLOOKUP($A177,'New Resources - Individual'!$A$4:$Y$133,AL$2,FALSE)*AL$1</f>
        <v>0</v>
      </c>
      <c r="AM177" s="1116">
        <f>$G177+AL177</f>
        <v>12263177</v>
      </c>
      <c r="AN177" s="1117">
        <f>VLOOKUP($E177,AM$442:AP$453,2,FALSE)*AM177*($K177)+IF($G177&lt;&gt;0,($H177/$G177)*AM177,0)*(1-$K177)</f>
        <v>12263177</v>
      </c>
      <c r="AO177" s="1117">
        <f>VLOOKUP($E177,AM$442:AP$453,3,FALSE)*AM177*($K177)+IF($G177&lt;&gt;0,($I177/$G177)*AM177,0)*(1-$K177)</f>
        <v>0</v>
      </c>
      <c r="AP177" s="1117">
        <f>VLOOKUP($E177,AM$442:AP$453,4,FALSE)*AM177*($K177)+(AM177-AN177-AO177)*(1-$K177)</f>
        <v>0</v>
      </c>
      <c r="AQ177" s="1073"/>
      <c r="AT177" s="1129">
        <f>VLOOKUP($A177,'New Resources - Individual'!$A$4:$Y$133,AT$2,FALSE)*AT$1</f>
        <v>0</v>
      </c>
      <c r="AU177" s="1116">
        <f>$G177+AT177</f>
        <v>12263177</v>
      </c>
      <c r="AV177" s="1117">
        <f>VLOOKUP($E177,AU$442:AX$453,2,FALSE)*AU177*($K177)+IF($G177&lt;&gt;0,($H177/$G177)*AU177,0)*(1-$K177)</f>
        <v>12263177</v>
      </c>
      <c r="AW177" s="1117">
        <f>VLOOKUP($E177,AU$442:AX$453,3,FALSE)*AU177*($K177)+IF($G177&lt;&gt;0,($I177/$G177)*AU177,0)*(1-$K177)</f>
        <v>0</v>
      </c>
      <c r="AX177" s="1117">
        <f>VLOOKUP($E177,AU$442:AX$453,4,FALSE)*AU177*($K177)+(AU177-AV177-AW177)*(1-$K177)</f>
        <v>0</v>
      </c>
      <c r="AY177" s="1073"/>
      <c r="BB177" s="1129">
        <f>VLOOKUP($A177,'New Resources - Individual'!$A$4:$Y$133,BB$2,FALSE)*BB$1</f>
        <v>0</v>
      </c>
      <c r="BC177" s="1116">
        <f>$G177+BB177</f>
        <v>12263177</v>
      </c>
      <c r="BD177" s="1117">
        <f>VLOOKUP($E177,BC$442:BF$453,2,FALSE)*BC177*($K177)+IF($G177&lt;&gt;0,($H177/$G177)*BC177,0)*(1-$K177)</f>
        <v>12263177</v>
      </c>
      <c r="BE177" s="1117">
        <f>VLOOKUP($E177,BC$442:BF$453,3,FALSE)*BC177*($K177)+IF($G177&lt;&gt;0,($I177/$G177)*BC177,0)*(1-$K177)</f>
        <v>0</v>
      </c>
      <c r="BF177" s="1117">
        <f>VLOOKUP($E177,BC$442:BF$453,4,FALSE)*BC177*($K177)+(BC177-BD177-BE177)*(1-$K177)</f>
        <v>0</v>
      </c>
      <c r="BG177" s="1073"/>
      <c r="BJ177" s="1129">
        <f>VLOOKUP($A177,'New Resources - Individual'!$A$4:$Y$133,BJ$2,FALSE)*BJ$1</f>
        <v>0</v>
      </c>
      <c r="BK177" s="1116">
        <f>$G177+BJ177</f>
        <v>12263177</v>
      </c>
      <c r="BL177" s="1117">
        <f>VLOOKUP($E177,BK$442:BN$453,2,FALSE)*BK177*($K177)+IF($G177&lt;&gt;0,($H177/$G177)*BK177,0)*(1-$K177)</f>
        <v>12263177</v>
      </c>
      <c r="BM177" s="1117">
        <f>VLOOKUP($E177,BK$442:BN$453,3,FALSE)*BK177*($K177)+IF($G177&lt;&gt;0,($I177/$G177)*BK177,0)*(1-$K177)</f>
        <v>0</v>
      </c>
      <c r="BN177" s="1117">
        <f>VLOOKUP($E177,BK$442:BN$453,4,FALSE)*BK177*($K177)+(BK177-BL177-BM177)*(1-$K177)</f>
        <v>0</v>
      </c>
      <c r="BO177" s="1073"/>
      <c r="BR177" s="1129">
        <f>VLOOKUP($A177,'New Resources - Individual'!$A$4:$Y$133,BR$2,FALSE)*BR$1</f>
        <v>0</v>
      </c>
      <c r="BS177" s="1116">
        <f>$G177+BR177</f>
        <v>12263177</v>
      </c>
      <c r="BT177" s="1117">
        <f>VLOOKUP($E177,BS$442:BV$453,2,FALSE)*BS177*($K177)+IF($G177&lt;&gt;0,($H177/$G177)*BS177,0)*(1-$K177)</f>
        <v>12263177</v>
      </c>
      <c r="BU177" s="1117">
        <f>VLOOKUP($E177,BS$442:BV$453,3,FALSE)*BS177*($K177)+IF($G177&lt;&gt;0,($I177/$G177)*BS177,0)*(1-$K177)</f>
        <v>0</v>
      </c>
      <c r="BV177" s="1117">
        <f>VLOOKUP($E177,BS$442:BV$453,4,FALSE)*BS177*($K177)+(BS177-BT177-BU177)*(1-$K177)</f>
        <v>0</v>
      </c>
      <c r="BW177" s="1073"/>
      <c r="BZ177" s="1129">
        <f>VLOOKUP($A177,'New Resources - Individual'!$A$4:$Y$133,BZ$2,FALSE)*BZ$1</f>
        <v>0</v>
      </c>
      <c r="CA177" s="1116">
        <f>$G177+BZ177</f>
        <v>12263177</v>
      </c>
      <c r="CB177" s="1117">
        <f>VLOOKUP($E177,CA$442:CD$453,2,FALSE)*CA177*($K177)+IF($G177&lt;&gt;0,($H177/$G177)*CA177,0)*(1-$K177)</f>
        <v>12263177</v>
      </c>
      <c r="CC177" s="1117">
        <f>VLOOKUP($E177,CA$442:CD$453,3,FALSE)*CA177*($K177)+IF($G177&lt;&gt;0,($I177/$G177)*CA177,0)*(1-$K177)</f>
        <v>0</v>
      </c>
      <c r="CD177" s="1117">
        <f>VLOOKUP($E177,CA$442:CD$453,4,FALSE)*CA177*($K177)+(CA177-CB177-CC177)*(1-$K177)</f>
        <v>0</v>
      </c>
      <c r="CE177" s="1073"/>
      <c r="CH177" s="1129">
        <f>VLOOKUP($A177,'New Resources - Individual'!$A$4:$Y$133,CH$2,FALSE)*CH$1</f>
        <v>0</v>
      </c>
      <c r="CI177" s="1116">
        <f>$G177+CH177</f>
        <v>12263177</v>
      </c>
      <c r="CJ177" s="1117">
        <f>VLOOKUP($E177,CI$442:CL$453,2,FALSE)*CI177*($K177)+IF($G177&lt;&gt;0,($H177/$G177)*CI177,0)*(1-$K177)</f>
        <v>12263177</v>
      </c>
      <c r="CK177" s="1117">
        <f>VLOOKUP($E177,CI$442:CL$453,3,FALSE)*CI177*($K177)+IF($G177&lt;&gt;0,($I177/$G177)*CI177,0)*(1-$K177)</f>
        <v>0</v>
      </c>
      <c r="CL177" s="1117">
        <f>VLOOKUP($E177,CI$442:CL$453,4,FALSE)*CI177*($K177)+(CI177-CJ177-CK177)*(1-$K177)</f>
        <v>0</v>
      </c>
      <c r="CM177" s="1073"/>
      <c r="CP177" s="1129">
        <f>VLOOKUP($A177,'New Resources - Individual'!$A$4:$Y$133,CP$2,FALSE)*CP$1</f>
        <v>0</v>
      </c>
      <c r="CQ177" s="1116">
        <f>$G177+CP177</f>
        <v>12263177</v>
      </c>
      <c r="CR177" s="1117">
        <f>VLOOKUP($E177,CQ$442:CT$453,2,FALSE)*CQ177*($K177)+IF($G177&lt;&gt;0,($H177/$G177)*CQ177,0)*(1-$K177)</f>
        <v>12263177</v>
      </c>
      <c r="CS177" s="1117">
        <f>VLOOKUP($E177,CQ$442:CT$453,3,FALSE)*CQ177*($K177)+IF($G177&lt;&gt;0,($I177/$G177)*CQ177,0)*(1-$K177)</f>
        <v>0</v>
      </c>
      <c r="CT177" s="1117">
        <f>VLOOKUP($E177,CQ$442:CT$453,4,FALSE)*CQ177*($K177)+(CQ177-CR177-CS177)*(1-$K177)</f>
        <v>0</v>
      </c>
      <c r="CU177" s="1073"/>
      <c r="CX177" s="1129">
        <f>VLOOKUP($A177,'New Resources - Individual'!$A$4:$Y$133,CX$2,FALSE)*CX$1</f>
        <v>0</v>
      </c>
      <c r="CY177" s="1116">
        <f>$G177+CX177</f>
        <v>12263177</v>
      </c>
      <c r="CZ177" s="1117">
        <f>VLOOKUP($E177,CY$442:DB$453,2,FALSE)*CY177*($K177)+IF($G177&lt;&gt;0,($H177/$G177)*CY177,0)*(1-$K177)</f>
        <v>12263177</v>
      </c>
      <c r="DA177" s="1117">
        <f>VLOOKUP($E177,CY$442:DB$453,3,FALSE)*CY177*($K177)+IF($G177&lt;&gt;0,($I177/$G177)*CY177,0)*(1-$K177)</f>
        <v>0</v>
      </c>
      <c r="DB177" s="1117">
        <f>VLOOKUP($E177,CY$442:DB$453,4,FALSE)*CY177*($K177)+(CY177-CZ177-DA177)*(1-$K177)</f>
        <v>0</v>
      </c>
      <c r="DC177" s="1073"/>
      <c r="DF177" s="1129">
        <f>VLOOKUP($A177,'New Resources - Individual'!$A$4:$Y$133,DF$2,FALSE)*DF$1</f>
        <v>0</v>
      </c>
      <c r="DG177" s="1116">
        <f>$G177+DF177</f>
        <v>12263177</v>
      </c>
      <c r="DH177" s="1117">
        <f>VLOOKUP($E177,DG$442:DJ$453,2,FALSE)*DG177*($K177)+IF($G177&lt;&gt;0,($H177/$G177)*DG177,0)*(1-$K177)</f>
        <v>12263177</v>
      </c>
      <c r="DI177" s="1117">
        <f>VLOOKUP($E177,DG$442:DJ$453,3,FALSE)*DG177*($K177)+IF($G177&lt;&gt;0,($I177/$G177)*DG177,0)*(1-$K177)</f>
        <v>0</v>
      </c>
      <c r="DJ177" s="1117">
        <f>VLOOKUP($E177,DG$442:DJ$453,4,FALSE)*DG177*($K177)+(DG177-DH177-DI177)*(1-$K177)</f>
        <v>0</v>
      </c>
      <c r="DK177" s="1073"/>
      <c r="DN177" s="1129">
        <f>VLOOKUP($A177,'New Resources - Individual'!$A$4:$Y$133,DN$2,FALSE)*DN$1</f>
        <v>0</v>
      </c>
      <c r="DO177" s="1116">
        <f>$G177+DN177</f>
        <v>12263177</v>
      </c>
      <c r="DP177" s="1117">
        <f>VLOOKUP($E177,DO$442:DR$453,2,FALSE)*DO177*($K177)+IF($G177&lt;&gt;0,($H177/$G177)*DO177,0)*(1-$K177)</f>
        <v>12263177</v>
      </c>
      <c r="DQ177" s="1117">
        <f>VLOOKUP($E177,DO$442:DR$453,3,FALSE)*DO177*($K177)+IF($G177&lt;&gt;0,($I177/$G177)*DO177,0)*(1-$K177)</f>
        <v>0</v>
      </c>
      <c r="DR177" s="1117">
        <f>VLOOKUP($E177,DO$442:DR$453,4,FALSE)*DO177*($K177)+(DO177-DP177-DQ177)*(1-$K177)</f>
        <v>0</v>
      </c>
      <c r="DS177" s="1073"/>
      <c r="DV177" s="1129">
        <f>VLOOKUP($A177,'New Resources - Individual'!$A$4:$Y$133,DV$2,FALSE)*DV$1</f>
        <v>0</v>
      </c>
      <c r="DW177" s="1116">
        <f>$G177+DV177</f>
        <v>12263177</v>
      </c>
      <c r="DX177" s="1117">
        <f>VLOOKUP($E177,DW$442:DZ$453,2,FALSE)*DW177*($K177)+IF($G177&lt;&gt;0,($H177/$G177)*DW177,0)*(1-$K177)</f>
        <v>12263177</v>
      </c>
      <c r="DY177" s="1117">
        <f>VLOOKUP($E177,DW$442:DZ$453,3,FALSE)*DW177*($K177)+IF($G177&lt;&gt;0,($I177/$G177)*DW177,0)*(1-$K177)</f>
        <v>0</v>
      </c>
      <c r="DZ177" s="1117">
        <f>VLOOKUP($E177,DW$442:DZ$453,4,FALSE)*DW177*($K177)+(DW177-DX177-DY177)*(1-$K177)</f>
        <v>0</v>
      </c>
      <c r="EA177" s="1073"/>
      <c r="ED177" s="1129">
        <f>VLOOKUP($A177,'New Resources - Individual'!$A$4:$Y$133,ED$2,FALSE)*ED$1</f>
        <v>0</v>
      </c>
      <c r="EE177" s="1116">
        <f>$G177+ED177</f>
        <v>12263177</v>
      </c>
      <c r="EF177" s="1117">
        <f>VLOOKUP($E177,EE$442:EH$453,2,FALSE)*EE177*($K177)+IF($G177&lt;&gt;0,($H177/$G177)*EE177,0)*(1-$K177)</f>
        <v>12263177</v>
      </c>
      <c r="EG177" s="1117">
        <f>VLOOKUP($E177,EE$442:EH$453,3,FALSE)*EE177*($K177)+IF($G177&lt;&gt;0,($I177/$G177)*EE177,0)*(1-$K177)</f>
        <v>0</v>
      </c>
      <c r="EH177" s="1117">
        <f>VLOOKUP($E177,EE$442:EH$453,4,FALSE)*EE177*($K177)+(EE177-EF177-EG177)*(1-$K177)</f>
        <v>0</v>
      </c>
      <c r="EI177" s="1073"/>
      <c r="EL177" s="1129">
        <f>VLOOKUP($A177,'New Resources - Individual'!$A$4:$Y$133,EL$2,FALSE)*EL$1</f>
        <v>0</v>
      </c>
      <c r="EM177" s="1116">
        <f>$G177+EL177</f>
        <v>12263177</v>
      </c>
      <c r="EN177" s="1117">
        <f>VLOOKUP($E177,EM$442:EP$453,2,FALSE)*EM177*($K177)+IF($G177&lt;&gt;0,($H177/$G177)*EM177,0)*(1-$K177)</f>
        <v>12263177</v>
      </c>
      <c r="EO177" s="1117">
        <f>VLOOKUP($E177,EM$442:EP$453,3,FALSE)*EM177*($K177)+IF($G177&lt;&gt;0,($I177/$G177)*EM177,0)*(1-$K177)</f>
        <v>0</v>
      </c>
      <c r="EP177" s="1117">
        <f>VLOOKUP($E177,EM$442:EP$453,4,FALSE)*EM177*($K177)+(EM177-EN177-EO177)*(1-$K177)</f>
        <v>0</v>
      </c>
      <c r="EQ177" s="1073"/>
      <c r="ET177" s="1129">
        <f>VLOOKUP($A177,'New Resources - Individual'!$A$4:$Y$133,ET$2,FALSE)*ET$1</f>
        <v>0</v>
      </c>
      <c r="EU177" s="1116">
        <f>$G177+ET177</f>
        <v>12263177</v>
      </c>
      <c r="EV177" s="1117">
        <f>VLOOKUP($E177,EU$442:EX$453,2,FALSE)*EU177*($K177)+IF($G177&lt;&gt;0,($H177/$G177)*EU177,0)*(1-$K177)</f>
        <v>12263177</v>
      </c>
      <c r="EW177" s="1117">
        <f>VLOOKUP($E177,EU$442:EX$453,3,FALSE)*EU177*($K177)+IF($G177&lt;&gt;0,($I177/$G177)*EU177,0)*(1-$K177)</f>
        <v>0</v>
      </c>
      <c r="EX177" s="1117">
        <f>VLOOKUP($E177,EU$442:EX$453,4,FALSE)*EU177*($K177)+(EU177-EV177-EW177)*(1-$K177)</f>
        <v>0</v>
      </c>
      <c r="EY177" s="1073"/>
      <c r="FB177" s="1129">
        <f>VLOOKUP($A177,'New Resources - Individual'!$A$4:$Y$133,FB$2,FALSE)*FB$1</f>
        <v>0</v>
      </c>
      <c r="FC177" s="1116">
        <f>$G177+FB177</f>
        <v>12263177</v>
      </c>
      <c r="FD177" s="1117">
        <f>VLOOKUP($E177,FC$442:FF$453,2,FALSE)*FC177*($K177)+IF($G177&lt;&gt;0,($H177/$G177)*FC177,0)*(1-$K177)</f>
        <v>12263177</v>
      </c>
      <c r="FE177" s="1117">
        <f>VLOOKUP($E177,FC$442:FF$453,3,FALSE)*FC177*($K177)+IF($G177&lt;&gt;0,($I177/$G177)*FC177,0)*(1-$K177)</f>
        <v>0</v>
      </c>
      <c r="FF177" s="1117">
        <f>VLOOKUP($E177,FC$442:FF$453,4,FALSE)*FC177*($K177)+(FC177-FD177-FE177)*(1-$K177)</f>
        <v>0</v>
      </c>
      <c r="FG177" s="1073"/>
      <c r="FJ177" s="1129">
        <f>VLOOKUP($A177,'New Resources - Individual'!$A$4:$Y$133,FJ$2,FALSE)*FJ$1</f>
        <v>0</v>
      </c>
      <c r="FK177" s="1116">
        <f>$G177+FJ177</f>
        <v>12263177</v>
      </c>
      <c r="FL177" s="1117">
        <f>VLOOKUP($E177,FK$442:FN$453,2,FALSE)*FK177*($K177)+IF($G177&lt;&gt;0,($H177/$G177)*FK177,0)*(1-$K177)</f>
        <v>12263177</v>
      </c>
      <c r="FM177" s="1117">
        <f>VLOOKUP($E177,FK$442:FN$453,3,FALSE)*FK177*($K177)+IF($G177&lt;&gt;0,($I177/$G177)*FK177,0)*(1-$K177)</f>
        <v>0</v>
      </c>
      <c r="FN177" s="1117">
        <f>VLOOKUP($E177,FK$442:FN$453,4,FALSE)*FK177*($K177)+(FK177-FL177-FM177)*(1-$K177)</f>
        <v>0</v>
      </c>
      <c r="FO177" s="1073"/>
    </row>
    <row r="178" spans="1:171">
      <c r="A178" s="1392">
        <v>180</v>
      </c>
      <c r="B178" s="220" t="s">
        <v>261</v>
      </c>
      <c r="C178" s="888" t="s">
        <v>72</v>
      </c>
      <c r="D178" s="888" t="s">
        <v>262</v>
      </c>
      <c r="E178" s="182" t="str">
        <f>'Sch 3 - Expenses'!E18</f>
        <v>PROD</v>
      </c>
      <c r="F178" s="889"/>
      <c r="G178" s="182">
        <f>'Sch 3 - Expenses'!G18</f>
        <v>10563065</v>
      </c>
      <c r="H178" s="182">
        <f>'Sch 3 - Expenses'!H18</f>
        <v>10563065</v>
      </c>
      <c r="I178" s="182">
        <f>'Sch 3 - Expenses'!I18</f>
        <v>0</v>
      </c>
      <c r="J178" s="183">
        <f>'Sch 3 - Expenses'!J18</f>
        <v>0</v>
      </c>
      <c r="K178" s="903">
        <f t="shared" si="547"/>
        <v>1</v>
      </c>
      <c r="N178" s="1129">
        <f>VLOOKUP($A178,'New Resources - Individual'!$A$4:$Y$133,N$2,FALSE)*N$1</f>
        <v>0</v>
      </c>
      <c r="O178" s="1116">
        <f>$G178+N178</f>
        <v>10563065</v>
      </c>
      <c r="P178" s="1117">
        <f>VLOOKUP($E178,O$442:R$453,2,FALSE)*O178*($K178)+IF($G178&lt;&gt;0,($H178/$G178)*O178,0)*(1-$K178)</f>
        <v>10563065</v>
      </c>
      <c r="Q178" s="1117">
        <f>VLOOKUP($E178,O$442:R$453,3,FALSE)*O178*($K178)+IF($G178&lt;&gt;0,($I178/$G178)*O178,0)*(1-$K178)</f>
        <v>0</v>
      </c>
      <c r="R178" s="1117">
        <f>VLOOKUP($E178,O$442:R$453,4,FALSE)*O178*($K178)+(O178-P178-Q178)*(1-$K178)</f>
        <v>0</v>
      </c>
      <c r="S178" s="1073"/>
      <c r="V178" s="1129">
        <f>VLOOKUP($A178,'New Resources - Individual'!$A$4:$Y$133,V$2,FALSE)*V$1</f>
        <v>0</v>
      </c>
      <c r="W178" s="1116">
        <f>$G178+V178</f>
        <v>10563065</v>
      </c>
      <c r="X178" s="1117">
        <f>VLOOKUP($E178,W$442:Z$453,2,FALSE)*W178*($K178)+IF($G178&lt;&gt;0,($H178/$G178)*W178,0)*(1-$K178)</f>
        <v>10563065</v>
      </c>
      <c r="Y178" s="1117">
        <f>VLOOKUP($E178,W$442:Z$453,3,FALSE)*W178*($K178)+IF($G178&lt;&gt;0,($I178/$G178)*W178,0)*(1-$K178)</f>
        <v>0</v>
      </c>
      <c r="Z178" s="1117">
        <f>VLOOKUP($E178,W$442:Z$453,4,FALSE)*W178*($K178)+(W178-X178-Y178)*(1-$K178)</f>
        <v>0</v>
      </c>
      <c r="AA178" s="1073"/>
      <c r="AD178" s="1129">
        <f>VLOOKUP($A178,'New Resources - Individual'!$A$4:$Y$133,AD$2,FALSE)*AD$1</f>
        <v>0</v>
      </c>
      <c r="AE178" s="1116">
        <f>$G178+AD178</f>
        <v>10563065</v>
      </c>
      <c r="AF178" s="1117">
        <f>VLOOKUP($E178,AE$442:AH$453,2,FALSE)*AE178*($K178)+IF($G178&lt;&gt;0,($H178/$G178)*AE178,0)*(1-$K178)</f>
        <v>10563065</v>
      </c>
      <c r="AG178" s="1117">
        <f>VLOOKUP($E178,AE$442:AH$453,3,FALSE)*AE178*($K178)+IF($G178&lt;&gt;0,($I178/$G178)*AE178,0)*(1-$K178)</f>
        <v>0</v>
      </c>
      <c r="AH178" s="1117">
        <f>VLOOKUP($E178,AE$442:AH$453,4,FALSE)*AE178*($K178)+(AE178-AF178-AG178)*(1-$K178)</f>
        <v>0</v>
      </c>
      <c r="AI178" s="1073"/>
      <c r="AL178" s="1129">
        <f>VLOOKUP($A178,'New Resources - Individual'!$A$4:$Y$133,AL$2,FALSE)*AL$1</f>
        <v>0</v>
      </c>
      <c r="AM178" s="1116">
        <f>$G178+AL178</f>
        <v>10563065</v>
      </c>
      <c r="AN178" s="1117">
        <f>VLOOKUP($E178,AM$442:AP$453,2,FALSE)*AM178*($K178)+IF($G178&lt;&gt;0,($H178/$G178)*AM178,0)*(1-$K178)</f>
        <v>10563065</v>
      </c>
      <c r="AO178" s="1117">
        <f>VLOOKUP($E178,AM$442:AP$453,3,FALSE)*AM178*($K178)+IF($G178&lt;&gt;0,($I178/$G178)*AM178,0)*(1-$K178)</f>
        <v>0</v>
      </c>
      <c r="AP178" s="1117">
        <f>VLOOKUP($E178,AM$442:AP$453,4,FALSE)*AM178*($K178)+(AM178-AN178-AO178)*(1-$K178)</f>
        <v>0</v>
      </c>
      <c r="AQ178" s="1073"/>
      <c r="AT178" s="1129">
        <f>VLOOKUP($A178,'New Resources - Individual'!$A$4:$Y$133,AT$2,FALSE)*AT$1</f>
        <v>0</v>
      </c>
      <c r="AU178" s="1116">
        <f>$G178+AT178</f>
        <v>10563065</v>
      </c>
      <c r="AV178" s="1117">
        <f>VLOOKUP($E178,AU$442:AX$453,2,FALSE)*AU178*($K178)+IF($G178&lt;&gt;0,($H178/$G178)*AU178,0)*(1-$K178)</f>
        <v>10563065</v>
      </c>
      <c r="AW178" s="1117">
        <f>VLOOKUP($E178,AU$442:AX$453,3,FALSE)*AU178*($K178)+IF($G178&lt;&gt;0,($I178/$G178)*AU178,0)*(1-$K178)</f>
        <v>0</v>
      </c>
      <c r="AX178" s="1117">
        <f>VLOOKUP($E178,AU$442:AX$453,4,FALSE)*AU178*($K178)+(AU178-AV178-AW178)*(1-$K178)</f>
        <v>0</v>
      </c>
      <c r="AY178" s="1073"/>
      <c r="BB178" s="1129">
        <f>VLOOKUP($A178,'New Resources - Individual'!$A$4:$Y$133,BB$2,FALSE)*BB$1</f>
        <v>0</v>
      </c>
      <c r="BC178" s="1116">
        <f>$G178+BB178</f>
        <v>10563065</v>
      </c>
      <c r="BD178" s="1117">
        <f>VLOOKUP($E178,BC$442:BF$453,2,FALSE)*BC178*($K178)+IF($G178&lt;&gt;0,($H178/$G178)*BC178,0)*(1-$K178)</f>
        <v>10563065</v>
      </c>
      <c r="BE178" s="1117">
        <f>VLOOKUP($E178,BC$442:BF$453,3,FALSE)*BC178*($K178)+IF($G178&lt;&gt;0,($I178/$G178)*BC178,0)*(1-$K178)</f>
        <v>0</v>
      </c>
      <c r="BF178" s="1117">
        <f>VLOOKUP($E178,BC$442:BF$453,4,FALSE)*BC178*($K178)+(BC178-BD178-BE178)*(1-$K178)</f>
        <v>0</v>
      </c>
      <c r="BG178" s="1073"/>
      <c r="BJ178" s="1129">
        <f>VLOOKUP($A178,'New Resources - Individual'!$A$4:$Y$133,BJ$2,FALSE)*BJ$1</f>
        <v>0</v>
      </c>
      <c r="BK178" s="1116">
        <f>$G178+BJ178</f>
        <v>10563065</v>
      </c>
      <c r="BL178" s="1117">
        <f>VLOOKUP($E178,BK$442:BN$453,2,FALSE)*BK178*($K178)+IF($G178&lt;&gt;0,($H178/$G178)*BK178,0)*(1-$K178)</f>
        <v>10563065</v>
      </c>
      <c r="BM178" s="1117">
        <f>VLOOKUP($E178,BK$442:BN$453,3,FALSE)*BK178*($K178)+IF($G178&lt;&gt;0,($I178/$G178)*BK178,0)*(1-$K178)</f>
        <v>0</v>
      </c>
      <c r="BN178" s="1117">
        <f>VLOOKUP($E178,BK$442:BN$453,4,FALSE)*BK178*($K178)+(BK178-BL178-BM178)*(1-$K178)</f>
        <v>0</v>
      </c>
      <c r="BO178" s="1073"/>
      <c r="BR178" s="1129">
        <f>VLOOKUP($A178,'New Resources - Individual'!$A$4:$Y$133,BR$2,FALSE)*BR$1</f>
        <v>0</v>
      </c>
      <c r="BS178" s="1116">
        <f>$G178+BR178</f>
        <v>10563065</v>
      </c>
      <c r="BT178" s="1117">
        <f>VLOOKUP($E178,BS$442:BV$453,2,FALSE)*BS178*($K178)+IF($G178&lt;&gt;0,($H178/$G178)*BS178,0)*(1-$K178)</f>
        <v>10563065</v>
      </c>
      <c r="BU178" s="1117">
        <f>VLOOKUP($E178,BS$442:BV$453,3,FALSE)*BS178*($K178)+IF($G178&lt;&gt;0,($I178/$G178)*BS178,0)*(1-$K178)</f>
        <v>0</v>
      </c>
      <c r="BV178" s="1117">
        <f>VLOOKUP($E178,BS$442:BV$453,4,FALSE)*BS178*($K178)+(BS178-BT178-BU178)*(1-$K178)</f>
        <v>0</v>
      </c>
      <c r="BW178" s="1073"/>
      <c r="BZ178" s="1129">
        <f>VLOOKUP($A178,'New Resources - Individual'!$A$4:$Y$133,BZ$2,FALSE)*BZ$1</f>
        <v>0</v>
      </c>
      <c r="CA178" s="1116">
        <f>$G178+BZ178</f>
        <v>10563065</v>
      </c>
      <c r="CB178" s="1117">
        <f>VLOOKUP($E178,CA$442:CD$453,2,FALSE)*CA178*($K178)+IF($G178&lt;&gt;0,($H178/$G178)*CA178,0)*(1-$K178)</f>
        <v>10563065</v>
      </c>
      <c r="CC178" s="1117">
        <f>VLOOKUP($E178,CA$442:CD$453,3,FALSE)*CA178*($K178)+IF($G178&lt;&gt;0,($I178/$G178)*CA178,0)*(1-$K178)</f>
        <v>0</v>
      </c>
      <c r="CD178" s="1117">
        <f>VLOOKUP($E178,CA$442:CD$453,4,FALSE)*CA178*($K178)+(CA178-CB178-CC178)*(1-$K178)</f>
        <v>0</v>
      </c>
      <c r="CE178" s="1073"/>
      <c r="CH178" s="1129">
        <f>VLOOKUP($A178,'New Resources - Individual'!$A$4:$Y$133,CH$2,FALSE)*CH$1</f>
        <v>0</v>
      </c>
      <c r="CI178" s="1116">
        <f>$G178+CH178</f>
        <v>10563065</v>
      </c>
      <c r="CJ178" s="1117">
        <f>VLOOKUP($E178,CI$442:CL$453,2,FALSE)*CI178*($K178)+IF($G178&lt;&gt;0,($H178/$G178)*CI178,0)*(1-$K178)</f>
        <v>10563065</v>
      </c>
      <c r="CK178" s="1117">
        <f>VLOOKUP($E178,CI$442:CL$453,3,FALSE)*CI178*($K178)+IF($G178&lt;&gt;0,($I178/$G178)*CI178,0)*(1-$K178)</f>
        <v>0</v>
      </c>
      <c r="CL178" s="1117">
        <f>VLOOKUP($E178,CI$442:CL$453,4,FALSE)*CI178*($K178)+(CI178-CJ178-CK178)*(1-$K178)</f>
        <v>0</v>
      </c>
      <c r="CM178" s="1073"/>
      <c r="CP178" s="1129">
        <f>VLOOKUP($A178,'New Resources - Individual'!$A$4:$Y$133,CP$2,FALSE)*CP$1</f>
        <v>0</v>
      </c>
      <c r="CQ178" s="1116">
        <f>$G178+CP178</f>
        <v>10563065</v>
      </c>
      <c r="CR178" s="1117">
        <f>VLOOKUP($E178,CQ$442:CT$453,2,FALSE)*CQ178*($K178)+IF($G178&lt;&gt;0,($H178/$G178)*CQ178,0)*(1-$K178)</f>
        <v>10563065</v>
      </c>
      <c r="CS178" s="1117">
        <f>VLOOKUP($E178,CQ$442:CT$453,3,FALSE)*CQ178*($K178)+IF($G178&lt;&gt;0,($I178/$G178)*CQ178,0)*(1-$K178)</f>
        <v>0</v>
      </c>
      <c r="CT178" s="1117">
        <f>VLOOKUP($E178,CQ$442:CT$453,4,FALSE)*CQ178*($K178)+(CQ178-CR178-CS178)*(1-$K178)</f>
        <v>0</v>
      </c>
      <c r="CU178" s="1073"/>
      <c r="CX178" s="1129">
        <f>VLOOKUP($A178,'New Resources - Individual'!$A$4:$Y$133,CX$2,FALSE)*CX$1</f>
        <v>0</v>
      </c>
      <c r="CY178" s="1116">
        <f>$G178+CX178</f>
        <v>10563065</v>
      </c>
      <c r="CZ178" s="1117">
        <f>VLOOKUP($E178,CY$442:DB$453,2,FALSE)*CY178*($K178)+IF($G178&lt;&gt;0,($H178/$G178)*CY178,0)*(1-$K178)</f>
        <v>10563065</v>
      </c>
      <c r="DA178" s="1117">
        <f>VLOOKUP($E178,CY$442:DB$453,3,FALSE)*CY178*($K178)+IF($G178&lt;&gt;0,($I178/$G178)*CY178,0)*(1-$K178)</f>
        <v>0</v>
      </c>
      <c r="DB178" s="1117">
        <f>VLOOKUP($E178,CY$442:DB$453,4,FALSE)*CY178*($K178)+(CY178-CZ178-DA178)*(1-$K178)</f>
        <v>0</v>
      </c>
      <c r="DC178" s="1073"/>
      <c r="DF178" s="1129">
        <f>VLOOKUP($A178,'New Resources - Individual'!$A$4:$Y$133,DF$2,FALSE)*DF$1</f>
        <v>0</v>
      </c>
      <c r="DG178" s="1116">
        <f>$G178+DF178</f>
        <v>10563065</v>
      </c>
      <c r="DH178" s="1117">
        <f>VLOOKUP($E178,DG$442:DJ$453,2,FALSE)*DG178*($K178)+IF($G178&lt;&gt;0,($H178/$G178)*DG178,0)*(1-$K178)</f>
        <v>10563065</v>
      </c>
      <c r="DI178" s="1117">
        <f>VLOOKUP($E178,DG$442:DJ$453,3,FALSE)*DG178*($K178)+IF($G178&lt;&gt;0,($I178/$G178)*DG178,0)*(1-$K178)</f>
        <v>0</v>
      </c>
      <c r="DJ178" s="1117">
        <f>VLOOKUP($E178,DG$442:DJ$453,4,FALSE)*DG178*($K178)+(DG178-DH178-DI178)*(1-$K178)</f>
        <v>0</v>
      </c>
      <c r="DK178" s="1073"/>
      <c r="DN178" s="1129">
        <f>VLOOKUP($A178,'New Resources - Individual'!$A$4:$Y$133,DN$2,FALSE)*DN$1</f>
        <v>0</v>
      </c>
      <c r="DO178" s="1116">
        <f>$G178+DN178</f>
        <v>10563065</v>
      </c>
      <c r="DP178" s="1117">
        <f>VLOOKUP($E178,DO$442:DR$453,2,FALSE)*DO178*($K178)+IF($G178&lt;&gt;0,($H178/$G178)*DO178,0)*(1-$K178)</f>
        <v>10563065</v>
      </c>
      <c r="DQ178" s="1117">
        <f>VLOOKUP($E178,DO$442:DR$453,3,FALSE)*DO178*($K178)+IF($G178&lt;&gt;0,($I178/$G178)*DO178,0)*(1-$K178)</f>
        <v>0</v>
      </c>
      <c r="DR178" s="1117">
        <f>VLOOKUP($E178,DO$442:DR$453,4,FALSE)*DO178*($K178)+(DO178-DP178-DQ178)*(1-$K178)</f>
        <v>0</v>
      </c>
      <c r="DS178" s="1073"/>
      <c r="DV178" s="1129">
        <f>VLOOKUP($A178,'New Resources - Individual'!$A$4:$Y$133,DV$2,FALSE)*DV$1</f>
        <v>0</v>
      </c>
      <c r="DW178" s="1116">
        <f>$G178+DV178</f>
        <v>10563065</v>
      </c>
      <c r="DX178" s="1117">
        <f>VLOOKUP($E178,DW$442:DZ$453,2,FALSE)*DW178*($K178)+IF($G178&lt;&gt;0,($H178/$G178)*DW178,0)*(1-$K178)</f>
        <v>10563065</v>
      </c>
      <c r="DY178" s="1117">
        <f>VLOOKUP($E178,DW$442:DZ$453,3,FALSE)*DW178*($K178)+IF($G178&lt;&gt;0,($I178/$G178)*DW178,0)*(1-$K178)</f>
        <v>0</v>
      </c>
      <c r="DZ178" s="1117">
        <f>VLOOKUP($E178,DW$442:DZ$453,4,FALSE)*DW178*($K178)+(DW178-DX178-DY178)*(1-$K178)</f>
        <v>0</v>
      </c>
      <c r="EA178" s="1073"/>
      <c r="ED178" s="1129">
        <f>VLOOKUP($A178,'New Resources - Individual'!$A$4:$Y$133,ED$2,FALSE)*ED$1</f>
        <v>0</v>
      </c>
      <c r="EE178" s="1116">
        <f>$G178+ED178</f>
        <v>10563065</v>
      </c>
      <c r="EF178" s="1117">
        <f>VLOOKUP($E178,EE$442:EH$453,2,FALSE)*EE178*($K178)+IF($G178&lt;&gt;0,($H178/$G178)*EE178,0)*(1-$K178)</f>
        <v>10563065</v>
      </c>
      <c r="EG178" s="1117">
        <f>VLOOKUP($E178,EE$442:EH$453,3,FALSE)*EE178*($K178)+IF($G178&lt;&gt;0,($I178/$G178)*EE178,0)*(1-$K178)</f>
        <v>0</v>
      </c>
      <c r="EH178" s="1117">
        <f>VLOOKUP($E178,EE$442:EH$453,4,FALSE)*EE178*($K178)+(EE178-EF178-EG178)*(1-$K178)</f>
        <v>0</v>
      </c>
      <c r="EI178" s="1073"/>
      <c r="EL178" s="1129">
        <f>VLOOKUP($A178,'New Resources - Individual'!$A$4:$Y$133,EL$2,FALSE)*EL$1</f>
        <v>0</v>
      </c>
      <c r="EM178" s="1116">
        <f>$G178+EL178</f>
        <v>10563065</v>
      </c>
      <c r="EN178" s="1117">
        <f>VLOOKUP($E178,EM$442:EP$453,2,FALSE)*EM178*($K178)+IF($G178&lt;&gt;0,($H178/$G178)*EM178,0)*(1-$K178)</f>
        <v>10563065</v>
      </c>
      <c r="EO178" s="1117">
        <f>VLOOKUP($E178,EM$442:EP$453,3,FALSE)*EM178*($K178)+IF($G178&lt;&gt;0,($I178/$G178)*EM178,0)*(1-$K178)</f>
        <v>0</v>
      </c>
      <c r="EP178" s="1117">
        <f>VLOOKUP($E178,EM$442:EP$453,4,FALSE)*EM178*($K178)+(EM178-EN178-EO178)*(1-$K178)</f>
        <v>0</v>
      </c>
      <c r="EQ178" s="1073"/>
      <c r="ET178" s="1129">
        <f>VLOOKUP($A178,'New Resources - Individual'!$A$4:$Y$133,ET$2,FALSE)*ET$1</f>
        <v>0</v>
      </c>
      <c r="EU178" s="1116">
        <f>$G178+ET178</f>
        <v>10563065</v>
      </c>
      <c r="EV178" s="1117">
        <f>VLOOKUP($E178,EU$442:EX$453,2,FALSE)*EU178*($K178)+IF($G178&lt;&gt;0,($H178/$G178)*EU178,0)*(1-$K178)</f>
        <v>10563065</v>
      </c>
      <c r="EW178" s="1117">
        <f>VLOOKUP($E178,EU$442:EX$453,3,FALSE)*EU178*($K178)+IF($G178&lt;&gt;0,($I178/$G178)*EU178,0)*(1-$K178)</f>
        <v>0</v>
      </c>
      <c r="EX178" s="1117">
        <f>VLOOKUP($E178,EU$442:EX$453,4,FALSE)*EU178*($K178)+(EU178-EV178-EW178)*(1-$K178)</f>
        <v>0</v>
      </c>
      <c r="EY178" s="1073"/>
      <c r="FB178" s="1129">
        <f>VLOOKUP($A178,'New Resources - Individual'!$A$4:$Y$133,FB$2,FALSE)*FB$1</f>
        <v>0</v>
      </c>
      <c r="FC178" s="1116">
        <f>$G178+FB178</f>
        <v>10563065</v>
      </c>
      <c r="FD178" s="1117">
        <f>VLOOKUP($E178,FC$442:FF$453,2,FALSE)*FC178*($K178)+IF($G178&lt;&gt;0,($H178/$G178)*FC178,0)*(1-$K178)</f>
        <v>10563065</v>
      </c>
      <c r="FE178" s="1117">
        <f>VLOOKUP($E178,FC$442:FF$453,3,FALSE)*FC178*($K178)+IF($G178&lt;&gt;0,($I178/$G178)*FC178,0)*(1-$K178)</f>
        <v>0</v>
      </c>
      <c r="FF178" s="1117">
        <f>VLOOKUP($E178,FC$442:FF$453,4,FALSE)*FC178*($K178)+(FC178-FD178-FE178)*(1-$K178)</f>
        <v>0</v>
      </c>
      <c r="FG178" s="1073"/>
      <c r="FJ178" s="1129">
        <f>VLOOKUP($A178,'New Resources - Individual'!$A$4:$Y$133,FJ$2,FALSE)*FJ$1</f>
        <v>0</v>
      </c>
      <c r="FK178" s="1116">
        <f>$G178+FJ178</f>
        <v>10563065</v>
      </c>
      <c r="FL178" s="1117">
        <f>VLOOKUP($E178,FK$442:FN$453,2,FALSE)*FK178*($K178)+IF($G178&lt;&gt;0,($H178/$G178)*FK178,0)*(1-$K178)</f>
        <v>10563065</v>
      </c>
      <c r="FM178" s="1117">
        <f>VLOOKUP($E178,FK$442:FN$453,3,FALSE)*FK178*($K178)+IF($G178&lt;&gt;0,($I178/$G178)*FK178,0)*(1-$K178)</f>
        <v>0</v>
      </c>
      <c r="FN178" s="1117">
        <f>VLOOKUP($E178,FK$442:FN$453,4,FALSE)*FK178*($K178)+(FK178-FL178-FM178)*(1-$K178)</f>
        <v>0</v>
      </c>
      <c r="FO178" s="1073"/>
    </row>
    <row r="179" spans="1:171">
      <c r="A179" s="1394"/>
      <c r="B179" s="990" t="s">
        <v>462</v>
      </c>
      <c r="C179" s="55"/>
      <c r="D179" s="55"/>
      <c r="E179" s="196"/>
      <c r="F179" s="196"/>
      <c r="G179" s="68"/>
      <c r="H179" s="68"/>
      <c r="I179" s="68"/>
      <c r="J179" s="991"/>
      <c r="K179" s="903"/>
      <c r="S179" s="1073"/>
      <c r="AA179" s="1073"/>
      <c r="AI179" s="1073"/>
      <c r="AQ179" s="1073"/>
      <c r="AY179" s="1073"/>
      <c r="BG179" s="1073"/>
      <c r="BO179" s="1073"/>
      <c r="BW179" s="1073"/>
      <c r="CE179" s="1073"/>
      <c r="CM179" s="1073"/>
      <c r="CU179" s="1073"/>
      <c r="DC179" s="1073"/>
      <c r="DK179" s="1073"/>
      <c r="DS179" s="1073"/>
      <c r="EA179" s="1073"/>
      <c r="EI179" s="1073"/>
      <c r="EQ179" s="1073"/>
      <c r="EY179" s="1073"/>
      <c r="FG179" s="1073"/>
      <c r="FO179" s="1073"/>
    </row>
    <row r="180" spans="1:171">
      <c r="A180" s="1392">
        <v>290</v>
      </c>
      <c r="B180" s="220" t="s">
        <v>85</v>
      </c>
      <c r="C180" s="888" t="s">
        <v>72</v>
      </c>
      <c r="D180" s="888">
        <v>518</v>
      </c>
      <c r="E180" s="182" t="str">
        <f>'Sch 3 - Expenses'!E20</f>
        <v>PROD</v>
      </c>
      <c r="F180" s="889"/>
      <c r="G180" s="182">
        <f>'Sch 3 - Expenses'!G20</f>
        <v>0</v>
      </c>
      <c r="H180" s="182">
        <f>'Sch 3 - Expenses'!H20</f>
        <v>0</v>
      </c>
      <c r="I180" s="182">
        <f>'Sch 3 - Expenses'!I20</f>
        <v>0</v>
      </c>
      <c r="J180" s="183">
        <f>'Sch 3 - Expenses'!J20</f>
        <v>0</v>
      </c>
      <c r="K180" s="903">
        <f t="shared" si="547"/>
        <v>1</v>
      </c>
      <c r="N180" s="1129">
        <f>VLOOKUP($A180,'New Resources - Individual'!$A$4:$Y$133,N$2,FALSE)*N$1</f>
        <v>0</v>
      </c>
      <c r="O180" s="1116">
        <f>$G180+N180</f>
        <v>0</v>
      </c>
      <c r="P180" s="1117">
        <f>VLOOKUP($E180,O$442:R$453,2,FALSE)*O180*($K180)+IF($G180&lt;&gt;0,($H180/$G180)*O180,0)*(1-$K180)</f>
        <v>0</v>
      </c>
      <c r="Q180" s="1117">
        <f>VLOOKUP($E180,O$442:R$453,3,FALSE)*O180*($K180)+IF($G180&lt;&gt;0,($I180/$G180)*O180,0)*(1-$K180)</f>
        <v>0</v>
      </c>
      <c r="R180" s="1117">
        <f>VLOOKUP($E180,O$442:R$453,4,FALSE)*O180*($K180)+(O180-P180-Q180)*(1-$K180)</f>
        <v>0</v>
      </c>
      <c r="S180" s="1073"/>
      <c r="V180" s="1129">
        <f>VLOOKUP($A180,'New Resources - Individual'!$A$4:$Y$133,V$2,FALSE)*V$1</f>
        <v>0</v>
      </c>
      <c r="W180" s="1116">
        <f>$G180+V180</f>
        <v>0</v>
      </c>
      <c r="X180" s="1117">
        <f>VLOOKUP($E180,W$442:Z$453,2,FALSE)*W180*($K180)+IF($G180&lt;&gt;0,($H180/$G180)*W180,0)*(1-$K180)</f>
        <v>0</v>
      </c>
      <c r="Y180" s="1117">
        <f>VLOOKUP($E180,W$442:Z$453,3,FALSE)*W180*($K180)+IF($G180&lt;&gt;0,($I180/$G180)*W180,0)*(1-$K180)</f>
        <v>0</v>
      </c>
      <c r="Z180" s="1117">
        <f>VLOOKUP($E180,W$442:Z$453,4,FALSE)*W180*($K180)+(W180-X180-Y180)*(1-$K180)</f>
        <v>0</v>
      </c>
      <c r="AA180" s="1073"/>
      <c r="AD180" s="1129">
        <f>VLOOKUP($A180,'New Resources - Individual'!$A$4:$Y$133,AD$2,FALSE)*AD$1</f>
        <v>0</v>
      </c>
      <c r="AE180" s="1116">
        <f>$G180+AD180</f>
        <v>0</v>
      </c>
      <c r="AF180" s="1117">
        <f>VLOOKUP($E180,AE$442:AH$453,2,FALSE)*AE180*($K180)+IF($G180&lt;&gt;0,($H180/$G180)*AE180,0)*(1-$K180)</f>
        <v>0</v>
      </c>
      <c r="AG180" s="1117">
        <f>VLOOKUP($E180,AE$442:AH$453,3,FALSE)*AE180*($K180)+IF($G180&lt;&gt;0,($I180/$G180)*AE180,0)*(1-$K180)</f>
        <v>0</v>
      </c>
      <c r="AH180" s="1117">
        <f>VLOOKUP($E180,AE$442:AH$453,4,FALSE)*AE180*($K180)+(AE180-AF180-AG180)*(1-$K180)</f>
        <v>0</v>
      </c>
      <c r="AI180" s="1073"/>
      <c r="AL180" s="1129">
        <f>VLOOKUP($A180,'New Resources - Individual'!$A$4:$Y$133,AL$2,FALSE)*AL$1</f>
        <v>0</v>
      </c>
      <c r="AM180" s="1116">
        <f>$G180+AL180</f>
        <v>0</v>
      </c>
      <c r="AN180" s="1117">
        <f>VLOOKUP($E180,AM$442:AP$453,2,FALSE)*AM180*($K180)+IF($G180&lt;&gt;0,($H180/$G180)*AM180,0)*(1-$K180)</f>
        <v>0</v>
      </c>
      <c r="AO180" s="1117">
        <f>VLOOKUP($E180,AM$442:AP$453,3,FALSE)*AM180*($K180)+IF($G180&lt;&gt;0,($I180/$G180)*AM180,0)*(1-$K180)</f>
        <v>0</v>
      </c>
      <c r="AP180" s="1117">
        <f>VLOOKUP($E180,AM$442:AP$453,4,FALSE)*AM180*($K180)+(AM180-AN180-AO180)*(1-$K180)</f>
        <v>0</v>
      </c>
      <c r="AQ180" s="1073"/>
      <c r="AT180" s="1129">
        <f>VLOOKUP($A180,'New Resources - Individual'!$A$4:$Y$133,AT$2,FALSE)*AT$1</f>
        <v>0</v>
      </c>
      <c r="AU180" s="1116">
        <f>$G180+AT180</f>
        <v>0</v>
      </c>
      <c r="AV180" s="1117">
        <f>VLOOKUP($E180,AU$442:AX$453,2,FALSE)*AU180*($K180)+IF($G180&lt;&gt;0,($H180/$G180)*AU180,0)*(1-$K180)</f>
        <v>0</v>
      </c>
      <c r="AW180" s="1117">
        <f>VLOOKUP($E180,AU$442:AX$453,3,FALSE)*AU180*($K180)+IF($G180&lt;&gt;0,($I180/$G180)*AU180,0)*(1-$K180)</f>
        <v>0</v>
      </c>
      <c r="AX180" s="1117">
        <f>VLOOKUP($E180,AU$442:AX$453,4,FALSE)*AU180*($K180)+(AU180-AV180-AW180)*(1-$K180)</f>
        <v>0</v>
      </c>
      <c r="AY180" s="1073"/>
      <c r="BB180" s="1129">
        <f>VLOOKUP($A180,'New Resources - Individual'!$A$4:$Y$133,BB$2,FALSE)*BB$1</f>
        <v>0</v>
      </c>
      <c r="BC180" s="1116">
        <f>$G180+BB180</f>
        <v>0</v>
      </c>
      <c r="BD180" s="1117">
        <f>VLOOKUP($E180,BC$442:BF$453,2,FALSE)*BC180*($K180)+IF($G180&lt;&gt;0,($H180/$G180)*BC180,0)*(1-$K180)</f>
        <v>0</v>
      </c>
      <c r="BE180" s="1117">
        <f>VLOOKUP($E180,BC$442:BF$453,3,FALSE)*BC180*($K180)+IF($G180&lt;&gt;0,($I180/$G180)*BC180,0)*(1-$K180)</f>
        <v>0</v>
      </c>
      <c r="BF180" s="1117">
        <f>VLOOKUP($E180,BC$442:BF$453,4,FALSE)*BC180*($K180)+(BC180-BD180-BE180)*(1-$K180)</f>
        <v>0</v>
      </c>
      <c r="BG180" s="1073"/>
      <c r="BJ180" s="1129">
        <f>VLOOKUP($A180,'New Resources - Individual'!$A$4:$Y$133,BJ$2,FALSE)*BJ$1</f>
        <v>0</v>
      </c>
      <c r="BK180" s="1116">
        <f>$G180+BJ180</f>
        <v>0</v>
      </c>
      <c r="BL180" s="1117">
        <f>VLOOKUP($E180,BK$442:BN$453,2,FALSE)*BK180*($K180)+IF($G180&lt;&gt;0,($H180/$G180)*BK180,0)*(1-$K180)</f>
        <v>0</v>
      </c>
      <c r="BM180" s="1117">
        <f>VLOOKUP($E180,BK$442:BN$453,3,FALSE)*BK180*($K180)+IF($G180&lt;&gt;0,($I180/$G180)*BK180,0)*(1-$K180)</f>
        <v>0</v>
      </c>
      <c r="BN180" s="1117">
        <f>VLOOKUP($E180,BK$442:BN$453,4,FALSE)*BK180*($K180)+(BK180-BL180-BM180)*(1-$K180)</f>
        <v>0</v>
      </c>
      <c r="BO180" s="1073"/>
      <c r="BR180" s="1129">
        <f>VLOOKUP($A180,'New Resources - Individual'!$A$4:$Y$133,BR$2,FALSE)*BR$1</f>
        <v>0</v>
      </c>
      <c r="BS180" s="1116">
        <f>$G180+BR180</f>
        <v>0</v>
      </c>
      <c r="BT180" s="1117">
        <f>VLOOKUP($E180,BS$442:BV$453,2,FALSE)*BS180*($K180)+IF($G180&lt;&gt;0,($H180/$G180)*BS180,0)*(1-$K180)</f>
        <v>0</v>
      </c>
      <c r="BU180" s="1117">
        <f>VLOOKUP($E180,BS$442:BV$453,3,FALSE)*BS180*($K180)+IF($G180&lt;&gt;0,($I180/$G180)*BS180,0)*(1-$K180)</f>
        <v>0</v>
      </c>
      <c r="BV180" s="1117">
        <f>VLOOKUP($E180,BS$442:BV$453,4,FALSE)*BS180*($K180)+(BS180-BT180-BU180)*(1-$K180)</f>
        <v>0</v>
      </c>
      <c r="BW180" s="1073"/>
      <c r="BZ180" s="1129">
        <f>VLOOKUP($A180,'New Resources - Individual'!$A$4:$Y$133,BZ$2,FALSE)*BZ$1</f>
        <v>0</v>
      </c>
      <c r="CA180" s="1116">
        <f>$G180+BZ180</f>
        <v>0</v>
      </c>
      <c r="CB180" s="1117">
        <f>VLOOKUP($E180,CA$442:CD$453,2,FALSE)*CA180*($K180)+IF($G180&lt;&gt;0,($H180/$G180)*CA180,0)*(1-$K180)</f>
        <v>0</v>
      </c>
      <c r="CC180" s="1117">
        <f>VLOOKUP($E180,CA$442:CD$453,3,FALSE)*CA180*($K180)+IF($G180&lt;&gt;0,($I180/$G180)*CA180,0)*(1-$K180)</f>
        <v>0</v>
      </c>
      <c r="CD180" s="1117">
        <f>VLOOKUP($E180,CA$442:CD$453,4,FALSE)*CA180*($K180)+(CA180-CB180-CC180)*(1-$K180)</f>
        <v>0</v>
      </c>
      <c r="CE180" s="1073"/>
      <c r="CH180" s="1129">
        <f>VLOOKUP($A180,'New Resources - Individual'!$A$4:$Y$133,CH$2,FALSE)*CH$1</f>
        <v>0</v>
      </c>
      <c r="CI180" s="1116">
        <f>$G180+CH180</f>
        <v>0</v>
      </c>
      <c r="CJ180" s="1117">
        <f>VLOOKUP($E180,CI$442:CL$453,2,FALSE)*CI180*($K180)+IF($G180&lt;&gt;0,($H180/$G180)*CI180,0)*(1-$K180)</f>
        <v>0</v>
      </c>
      <c r="CK180" s="1117">
        <f>VLOOKUP($E180,CI$442:CL$453,3,FALSE)*CI180*($K180)+IF($G180&lt;&gt;0,($I180/$G180)*CI180,0)*(1-$K180)</f>
        <v>0</v>
      </c>
      <c r="CL180" s="1117">
        <f>VLOOKUP($E180,CI$442:CL$453,4,FALSE)*CI180*($K180)+(CI180-CJ180-CK180)*(1-$K180)</f>
        <v>0</v>
      </c>
      <c r="CM180" s="1073"/>
      <c r="CP180" s="1129">
        <f>VLOOKUP($A180,'New Resources - Individual'!$A$4:$Y$133,CP$2,FALSE)*CP$1</f>
        <v>0</v>
      </c>
      <c r="CQ180" s="1116">
        <f>$G180+CP180</f>
        <v>0</v>
      </c>
      <c r="CR180" s="1117">
        <f>VLOOKUP($E180,CQ$442:CT$453,2,FALSE)*CQ180*($K180)+IF($G180&lt;&gt;0,($H180/$G180)*CQ180,0)*(1-$K180)</f>
        <v>0</v>
      </c>
      <c r="CS180" s="1117">
        <f>VLOOKUP($E180,CQ$442:CT$453,3,FALSE)*CQ180*($K180)+IF($G180&lt;&gt;0,($I180/$G180)*CQ180,0)*(1-$K180)</f>
        <v>0</v>
      </c>
      <c r="CT180" s="1117">
        <f>VLOOKUP($E180,CQ$442:CT$453,4,FALSE)*CQ180*($K180)+(CQ180-CR180-CS180)*(1-$K180)</f>
        <v>0</v>
      </c>
      <c r="CU180" s="1073"/>
      <c r="CX180" s="1129">
        <f>VLOOKUP($A180,'New Resources - Individual'!$A$4:$Y$133,CX$2,FALSE)*CX$1</f>
        <v>0</v>
      </c>
      <c r="CY180" s="1116">
        <f>$G180+CX180</f>
        <v>0</v>
      </c>
      <c r="CZ180" s="1117">
        <f>VLOOKUP($E180,CY$442:DB$453,2,FALSE)*CY180*($K180)+IF($G180&lt;&gt;0,($H180/$G180)*CY180,0)*(1-$K180)</f>
        <v>0</v>
      </c>
      <c r="DA180" s="1117">
        <f>VLOOKUP($E180,CY$442:DB$453,3,FALSE)*CY180*($K180)+IF($G180&lt;&gt;0,($I180/$G180)*CY180,0)*(1-$K180)</f>
        <v>0</v>
      </c>
      <c r="DB180" s="1117">
        <f>VLOOKUP($E180,CY$442:DB$453,4,FALSE)*CY180*($K180)+(CY180-CZ180-DA180)*(1-$K180)</f>
        <v>0</v>
      </c>
      <c r="DC180" s="1073"/>
      <c r="DF180" s="1129">
        <f>VLOOKUP($A180,'New Resources - Individual'!$A$4:$Y$133,DF$2,FALSE)*DF$1</f>
        <v>0</v>
      </c>
      <c r="DG180" s="1116">
        <f>$G180+DF180</f>
        <v>0</v>
      </c>
      <c r="DH180" s="1117">
        <f>VLOOKUP($E180,DG$442:DJ$453,2,FALSE)*DG180*($K180)+IF($G180&lt;&gt;0,($H180/$G180)*DG180,0)*(1-$K180)</f>
        <v>0</v>
      </c>
      <c r="DI180" s="1117">
        <f>VLOOKUP($E180,DG$442:DJ$453,3,FALSE)*DG180*($K180)+IF($G180&lt;&gt;0,($I180/$G180)*DG180,0)*(1-$K180)</f>
        <v>0</v>
      </c>
      <c r="DJ180" s="1117">
        <f>VLOOKUP($E180,DG$442:DJ$453,4,FALSE)*DG180*($K180)+(DG180-DH180-DI180)*(1-$K180)</f>
        <v>0</v>
      </c>
      <c r="DK180" s="1073"/>
      <c r="DN180" s="1129">
        <f>VLOOKUP($A180,'New Resources - Individual'!$A$4:$Y$133,DN$2,FALSE)*DN$1</f>
        <v>0</v>
      </c>
      <c r="DO180" s="1116">
        <f>$G180+DN180</f>
        <v>0</v>
      </c>
      <c r="DP180" s="1117">
        <f>VLOOKUP($E180,DO$442:DR$453,2,FALSE)*DO180*($K180)+IF($G180&lt;&gt;0,($H180/$G180)*DO180,0)*(1-$K180)</f>
        <v>0</v>
      </c>
      <c r="DQ180" s="1117">
        <f>VLOOKUP($E180,DO$442:DR$453,3,FALSE)*DO180*($K180)+IF($G180&lt;&gt;0,($I180/$G180)*DO180,0)*(1-$K180)</f>
        <v>0</v>
      </c>
      <c r="DR180" s="1117">
        <f>VLOOKUP($E180,DO$442:DR$453,4,FALSE)*DO180*($K180)+(DO180-DP180-DQ180)*(1-$K180)</f>
        <v>0</v>
      </c>
      <c r="DS180" s="1073"/>
      <c r="DV180" s="1129">
        <f>VLOOKUP($A180,'New Resources - Individual'!$A$4:$Y$133,DV$2,FALSE)*DV$1</f>
        <v>0</v>
      </c>
      <c r="DW180" s="1116">
        <f>$G180+DV180</f>
        <v>0</v>
      </c>
      <c r="DX180" s="1117">
        <f>VLOOKUP($E180,DW$442:DZ$453,2,FALSE)*DW180*($K180)+IF($G180&lt;&gt;0,($H180/$G180)*DW180,0)*(1-$K180)</f>
        <v>0</v>
      </c>
      <c r="DY180" s="1117">
        <f>VLOOKUP($E180,DW$442:DZ$453,3,FALSE)*DW180*($K180)+IF($G180&lt;&gt;0,($I180/$G180)*DW180,0)*(1-$K180)</f>
        <v>0</v>
      </c>
      <c r="DZ180" s="1117">
        <f>VLOOKUP($E180,DW$442:DZ$453,4,FALSE)*DW180*($K180)+(DW180-DX180-DY180)*(1-$K180)</f>
        <v>0</v>
      </c>
      <c r="EA180" s="1073"/>
      <c r="ED180" s="1129">
        <f>VLOOKUP($A180,'New Resources - Individual'!$A$4:$Y$133,ED$2,FALSE)*ED$1</f>
        <v>0</v>
      </c>
      <c r="EE180" s="1116">
        <f>$G180+ED180</f>
        <v>0</v>
      </c>
      <c r="EF180" s="1117">
        <f>VLOOKUP($E180,EE$442:EH$453,2,FALSE)*EE180*($K180)+IF($G180&lt;&gt;0,($H180/$G180)*EE180,0)*(1-$K180)</f>
        <v>0</v>
      </c>
      <c r="EG180" s="1117">
        <f>VLOOKUP($E180,EE$442:EH$453,3,FALSE)*EE180*($K180)+IF($G180&lt;&gt;0,($I180/$G180)*EE180,0)*(1-$K180)</f>
        <v>0</v>
      </c>
      <c r="EH180" s="1117">
        <f>VLOOKUP($E180,EE$442:EH$453,4,FALSE)*EE180*($K180)+(EE180-EF180-EG180)*(1-$K180)</f>
        <v>0</v>
      </c>
      <c r="EI180" s="1073"/>
      <c r="EL180" s="1129">
        <f>VLOOKUP($A180,'New Resources - Individual'!$A$4:$Y$133,EL$2,FALSE)*EL$1</f>
        <v>0</v>
      </c>
      <c r="EM180" s="1116">
        <f>$G180+EL180</f>
        <v>0</v>
      </c>
      <c r="EN180" s="1117">
        <f>VLOOKUP($E180,EM$442:EP$453,2,FALSE)*EM180*($K180)+IF($G180&lt;&gt;0,($H180/$G180)*EM180,0)*(1-$K180)</f>
        <v>0</v>
      </c>
      <c r="EO180" s="1117">
        <f>VLOOKUP($E180,EM$442:EP$453,3,FALSE)*EM180*($K180)+IF($G180&lt;&gt;0,($I180/$G180)*EM180,0)*(1-$K180)</f>
        <v>0</v>
      </c>
      <c r="EP180" s="1117">
        <f>VLOOKUP($E180,EM$442:EP$453,4,FALSE)*EM180*($K180)+(EM180-EN180-EO180)*(1-$K180)</f>
        <v>0</v>
      </c>
      <c r="EQ180" s="1073"/>
      <c r="ET180" s="1129">
        <f>VLOOKUP($A180,'New Resources - Individual'!$A$4:$Y$133,ET$2,FALSE)*ET$1</f>
        <v>0</v>
      </c>
      <c r="EU180" s="1116">
        <f>$G180+ET180</f>
        <v>0</v>
      </c>
      <c r="EV180" s="1117">
        <f>VLOOKUP($E180,EU$442:EX$453,2,FALSE)*EU180*($K180)+IF($G180&lt;&gt;0,($H180/$G180)*EU180,0)*(1-$K180)</f>
        <v>0</v>
      </c>
      <c r="EW180" s="1117">
        <f>VLOOKUP($E180,EU$442:EX$453,3,FALSE)*EU180*($K180)+IF($G180&lt;&gt;0,($I180/$G180)*EU180,0)*(1-$K180)</f>
        <v>0</v>
      </c>
      <c r="EX180" s="1117">
        <f>VLOOKUP($E180,EU$442:EX$453,4,FALSE)*EU180*($K180)+(EU180-EV180-EW180)*(1-$K180)</f>
        <v>0</v>
      </c>
      <c r="EY180" s="1073"/>
      <c r="FB180" s="1129">
        <f>VLOOKUP($A180,'New Resources - Individual'!$A$4:$Y$133,FB$2,FALSE)*FB$1</f>
        <v>0</v>
      </c>
      <c r="FC180" s="1116">
        <f>$G180+FB180</f>
        <v>0</v>
      </c>
      <c r="FD180" s="1117">
        <f>VLOOKUP($E180,FC$442:FF$453,2,FALSE)*FC180*($K180)+IF($G180&lt;&gt;0,($H180/$G180)*FC180,0)*(1-$K180)</f>
        <v>0</v>
      </c>
      <c r="FE180" s="1117">
        <f>VLOOKUP($E180,FC$442:FF$453,3,FALSE)*FC180*($K180)+IF($G180&lt;&gt;0,($I180/$G180)*FC180,0)*(1-$K180)</f>
        <v>0</v>
      </c>
      <c r="FF180" s="1117">
        <f>VLOOKUP($E180,FC$442:FF$453,4,FALSE)*FC180*($K180)+(FC180-FD180-FE180)*(1-$K180)</f>
        <v>0</v>
      </c>
      <c r="FG180" s="1073"/>
      <c r="FJ180" s="1129">
        <f>VLOOKUP($A180,'New Resources - Individual'!$A$4:$Y$133,FJ$2,FALSE)*FJ$1</f>
        <v>0</v>
      </c>
      <c r="FK180" s="1116">
        <f>$G180+FJ180</f>
        <v>0</v>
      </c>
      <c r="FL180" s="1117">
        <f>VLOOKUP($E180,FK$442:FN$453,2,FALSE)*FK180*($K180)+IF($G180&lt;&gt;0,($H180/$G180)*FK180,0)*(1-$K180)</f>
        <v>0</v>
      </c>
      <c r="FM180" s="1117">
        <f>VLOOKUP($E180,FK$442:FN$453,3,FALSE)*FK180*($K180)+IF($G180&lt;&gt;0,($I180/$G180)*FK180,0)*(1-$K180)</f>
        <v>0</v>
      </c>
      <c r="FN180" s="1117">
        <f>VLOOKUP($E180,FK$442:FN$453,4,FALSE)*FK180*($K180)+(FK180-FL180-FM180)*(1-$K180)</f>
        <v>0</v>
      </c>
      <c r="FO180" s="1073"/>
    </row>
    <row r="181" spans="1:171">
      <c r="A181" s="1392">
        <v>300</v>
      </c>
      <c r="B181" s="913" t="s">
        <v>264</v>
      </c>
      <c r="C181" s="888" t="s">
        <v>72</v>
      </c>
      <c r="D181" s="888" t="s">
        <v>457</v>
      </c>
      <c r="E181" s="182" t="str">
        <f>'Sch 3 - Expenses'!E21</f>
        <v>PROD</v>
      </c>
      <c r="F181" s="889"/>
      <c r="G181" s="182">
        <f>'Sch 3 - Expenses'!G21</f>
        <v>0</v>
      </c>
      <c r="H181" s="182">
        <f>'Sch 3 - Expenses'!H21</f>
        <v>0</v>
      </c>
      <c r="I181" s="182">
        <f>'Sch 3 - Expenses'!I21</f>
        <v>0</v>
      </c>
      <c r="J181" s="183">
        <f>'Sch 3 - Expenses'!J21</f>
        <v>0</v>
      </c>
      <c r="K181" s="903">
        <f t="shared" si="547"/>
        <v>1</v>
      </c>
      <c r="N181" s="1129">
        <f>VLOOKUP($A181,'New Resources - Individual'!$A$4:$Y$133,N$2,FALSE)*N$1</f>
        <v>0</v>
      </c>
      <c r="O181" s="1116">
        <f>$G181+N181</f>
        <v>0</v>
      </c>
      <c r="P181" s="1117">
        <f>VLOOKUP($E181,O$442:R$453,2,FALSE)*O181*($K181)+IF($G181&lt;&gt;0,($H181/$G181)*O181,0)*(1-$K181)</f>
        <v>0</v>
      </c>
      <c r="Q181" s="1117">
        <f>VLOOKUP($E181,O$442:R$453,3,FALSE)*O181*($K181)+IF($G181&lt;&gt;0,($I181/$G181)*O181,0)*(1-$K181)</f>
        <v>0</v>
      </c>
      <c r="R181" s="1117">
        <f>VLOOKUP($E181,O$442:R$453,4,FALSE)*O181*($K181)+(O181-P181-Q181)*(1-$K181)</f>
        <v>0</v>
      </c>
      <c r="S181" s="1073"/>
      <c r="V181" s="1129">
        <f>VLOOKUP($A181,'New Resources - Individual'!$A$4:$Y$133,V$2,FALSE)*V$1</f>
        <v>0</v>
      </c>
      <c r="W181" s="1116">
        <f>$G181+V181</f>
        <v>0</v>
      </c>
      <c r="X181" s="1117">
        <f>VLOOKUP($E181,W$442:Z$453,2,FALSE)*W181*($K181)+IF($G181&lt;&gt;0,($H181/$G181)*W181,0)*(1-$K181)</f>
        <v>0</v>
      </c>
      <c r="Y181" s="1117">
        <f>VLOOKUP($E181,W$442:Z$453,3,FALSE)*W181*($K181)+IF($G181&lt;&gt;0,($I181/$G181)*W181,0)*(1-$K181)</f>
        <v>0</v>
      </c>
      <c r="Z181" s="1117">
        <f>VLOOKUP($E181,W$442:Z$453,4,FALSE)*W181*($K181)+(W181-X181-Y181)*(1-$K181)</f>
        <v>0</v>
      </c>
      <c r="AA181" s="1073"/>
      <c r="AD181" s="1129">
        <f>VLOOKUP($A181,'New Resources - Individual'!$A$4:$Y$133,AD$2,FALSE)*AD$1</f>
        <v>0</v>
      </c>
      <c r="AE181" s="1116">
        <f>$G181+AD181</f>
        <v>0</v>
      </c>
      <c r="AF181" s="1117">
        <f>VLOOKUP($E181,AE$442:AH$453,2,FALSE)*AE181*($K181)+IF($G181&lt;&gt;0,($H181/$G181)*AE181,0)*(1-$K181)</f>
        <v>0</v>
      </c>
      <c r="AG181" s="1117">
        <f>VLOOKUP($E181,AE$442:AH$453,3,FALSE)*AE181*($K181)+IF($G181&lt;&gt;0,($I181/$G181)*AE181,0)*(1-$K181)</f>
        <v>0</v>
      </c>
      <c r="AH181" s="1117">
        <f>VLOOKUP($E181,AE$442:AH$453,4,FALSE)*AE181*($K181)+(AE181-AF181-AG181)*(1-$K181)</f>
        <v>0</v>
      </c>
      <c r="AI181" s="1073"/>
      <c r="AL181" s="1129">
        <f>VLOOKUP($A181,'New Resources - Individual'!$A$4:$Y$133,AL$2,FALSE)*AL$1</f>
        <v>0</v>
      </c>
      <c r="AM181" s="1116">
        <f>$G181+AL181</f>
        <v>0</v>
      </c>
      <c r="AN181" s="1117">
        <f>VLOOKUP($E181,AM$442:AP$453,2,FALSE)*AM181*($K181)+IF($G181&lt;&gt;0,($H181/$G181)*AM181,0)*(1-$K181)</f>
        <v>0</v>
      </c>
      <c r="AO181" s="1117">
        <f>VLOOKUP($E181,AM$442:AP$453,3,FALSE)*AM181*($K181)+IF($G181&lt;&gt;0,($I181/$G181)*AM181,0)*(1-$K181)</f>
        <v>0</v>
      </c>
      <c r="AP181" s="1117">
        <f>VLOOKUP($E181,AM$442:AP$453,4,FALSE)*AM181*($K181)+(AM181-AN181-AO181)*(1-$K181)</f>
        <v>0</v>
      </c>
      <c r="AQ181" s="1073"/>
      <c r="AT181" s="1129">
        <f>VLOOKUP($A181,'New Resources - Individual'!$A$4:$Y$133,AT$2,FALSE)*AT$1</f>
        <v>0</v>
      </c>
      <c r="AU181" s="1116">
        <f>$G181+AT181</f>
        <v>0</v>
      </c>
      <c r="AV181" s="1117">
        <f>VLOOKUP($E181,AU$442:AX$453,2,FALSE)*AU181*($K181)+IF($G181&lt;&gt;0,($H181/$G181)*AU181,0)*(1-$K181)</f>
        <v>0</v>
      </c>
      <c r="AW181" s="1117">
        <f>VLOOKUP($E181,AU$442:AX$453,3,FALSE)*AU181*($K181)+IF($G181&lt;&gt;0,($I181/$G181)*AU181,0)*(1-$K181)</f>
        <v>0</v>
      </c>
      <c r="AX181" s="1117">
        <f>VLOOKUP($E181,AU$442:AX$453,4,FALSE)*AU181*($K181)+(AU181-AV181-AW181)*(1-$K181)</f>
        <v>0</v>
      </c>
      <c r="AY181" s="1073"/>
      <c r="BB181" s="1129">
        <f>VLOOKUP($A181,'New Resources - Individual'!$A$4:$Y$133,BB$2,FALSE)*BB$1</f>
        <v>0</v>
      </c>
      <c r="BC181" s="1116">
        <f>$G181+BB181</f>
        <v>0</v>
      </c>
      <c r="BD181" s="1117">
        <f>VLOOKUP($E181,BC$442:BF$453,2,FALSE)*BC181*($K181)+IF($G181&lt;&gt;0,($H181/$G181)*BC181,0)*(1-$K181)</f>
        <v>0</v>
      </c>
      <c r="BE181" s="1117">
        <f>VLOOKUP($E181,BC$442:BF$453,3,FALSE)*BC181*($K181)+IF($G181&lt;&gt;0,($I181/$G181)*BC181,0)*(1-$K181)</f>
        <v>0</v>
      </c>
      <c r="BF181" s="1117">
        <f>VLOOKUP($E181,BC$442:BF$453,4,FALSE)*BC181*($K181)+(BC181-BD181-BE181)*(1-$K181)</f>
        <v>0</v>
      </c>
      <c r="BG181" s="1073"/>
      <c r="BJ181" s="1129">
        <f>VLOOKUP($A181,'New Resources - Individual'!$A$4:$Y$133,BJ$2,FALSE)*BJ$1</f>
        <v>0</v>
      </c>
      <c r="BK181" s="1116">
        <f>$G181+BJ181</f>
        <v>0</v>
      </c>
      <c r="BL181" s="1117">
        <f>VLOOKUP($E181,BK$442:BN$453,2,FALSE)*BK181*($K181)+IF($G181&lt;&gt;0,($H181/$G181)*BK181,0)*(1-$K181)</f>
        <v>0</v>
      </c>
      <c r="BM181" s="1117">
        <f>VLOOKUP($E181,BK$442:BN$453,3,FALSE)*BK181*($K181)+IF($G181&lt;&gt;0,($I181/$G181)*BK181,0)*(1-$K181)</f>
        <v>0</v>
      </c>
      <c r="BN181" s="1117">
        <f>VLOOKUP($E181,BK$442:BN$453,4,FALSE)*BK181*($K181)+(BK181-BL181-BM181)*(1-$K181)</f>
        <v>0</v>
      </c>
      <c r="BO181" s="1073"/>
      <c r="BR181" s="1129">
        <f>VLOOKUP($A181,'New Resources - Individual'!$A$4:$Y$133,BR$2,FALSE)*BR$1</f>
        <v>0</v>
      </c>
      <c r="BS181" s="1116">
        <f>$G181+BR181</f>
        <v>0</v>
      </c>
      <c r="BT181" s="1117">
        <f>VLOOKUP($E181,BS$442:BV$453,2,FALSE)*BS181*($K181)+IF($G181&lt;&gt;0,($H181/$G181)*BS181,0)*(1-$K181)</f>
        <v>0</v>
      </c>
      <c r="BU181" s="1117">
        <f>VLOOKUP($E181,BS$442:BV$453,3,FALSE)*BS181*($K181)+IF($G181&lt;&gt;0,($I181/$G181)*BS181,0)*(1-$K181)</f>
        <v>0</v>
      </c>
      <c r="BV181" s="1117">
        <f>VLOOKUP($E181,BS$442:BV$453,4,FALSE)*BS181*($K181)+(BS181-BT181-BU181)*(1-$K181)</f>
        <v>0</v>
      </c>
      <c r="BW181" s="1073"/>
      <c r="BZ181" s="1129">
        <f>VLOOKUP($A181,'New Resources - Individual'!$A$4:$Y$133,BZ$2,FALSE)*BZ$1</f>
        <v>0</v>
      </c>
      <c r="CA181" s="1116">
        <f>$G181+BZ181</f>
        <v>0</v>
      </c>
      <c r="CB181" s="1117">
        <f>VLOOKUP($E181,CA$442:CD$453,2,FALSE)*CA181*($K181)+IF($G181&lt;&gt;0,($H181/$G181)*CA181,0)*(1-$K181)</f>
        <v>0</v>
      </c>
      <c r="CC181" s="1117">
        <f>VLOOKUP($E181,CA$442:CD$453,3,FALSE)*CA181*($K181)+IF($G181&lt;&gt;0,($I181/$G181)*CA181,0)*(1-$K181)</f>
        <v>0</v>
      </c>
      <c r="CD181" s="1117">
        <f>VLOOKUP($E181,CA$442:CD$453,4,FALSE)*CA181*($K181)+(CA181-CB181-CC181)*(1-$K181)</f>
        <v>0</v>
      </c>
      <c r="CE181" s="1073"/>
      <c r="CH181" s="1129">
        <f>VLOOKUP($A181,'New Resources - Individual'!$A$4:$Y$133,CH$2,FALSE)*CH$1</f>
        <v>0</v>
      </c>
      <c r="CI181" s="1116">
        <f>$G181+CH181</f>
        <v>0</v>
      </c>
      <c r="CJ181" s="1117">
        <f>VLOOKUP($E181,CI$442:CL$453,2,FALSE)*CI181*($K181)+IF($G181&lt;&gt;0,($H181/$G181)*CI181,0)*(1-$K181)</f>
        <v>0</v>
      </c>
      <c r="CK181" s="1117">
        <f>VLOOKUP($E181,CI$442:CL$453,3,FALSE)*CI181*($K181)+IF($G181&lt;&gt;0,($I181/$G181)*CI181,0)*(1-$K181)</f>
        <v>0</v>
      </c>
      <c r="CL181" s="1117">
        <f>VLOOKUP($E181,CI$442:CL$453,4,FALSE)*CI181*($K181)+(CI181-CJ181-CK181)*(1-$K181)</f>
        <v>0</v>
      </c>
      <c r="CM181" s="1073"/>
      <c r="CP181" s="1129">
        <f>VLOOKUP($A181,'New Resources - Individual'!$A$4:$Y$133,CP$2,FALSE)*CP$1</f>
        <v>0</v>
      </c>
      <c r="CQ181" s="1116">
        <f>$G181+CP181</f>
        <v>0</v>
      </c>
      <c r="CR181" s="1117">
        <f>VLOOKUP($E181,CQ$442:CT$453,2,FALSE)*CQ181*($K181)+IF($G181&lt;&gt;0,($H181/$G181)*CQ181,0)*(1-$K181)</f>
        <v>0</v>
      </c>
      <c r="CS181" s="1117">
        <f>VLOOKUP($E181,CQ$442:CT$453,3,FALSE)*CQ181*($K181)+IF($G181&lt;&gt;0,($I181/$G181)*CQ181,0)*(1-$K181)</f>
        <v>0</v>
      </c>
      <c r="CT181" s="1117">
        <f>VLOOKUP($E181,CQ$442:CT$453,4,FALSE)*CQ181*($K181)+(CQ181-CR181-CS181)*(1-$K181)</f>
        <v>0</v>
      </c>
      <c r="CU181" s="1073"/>
      <c r="CX181" s="1129">
        <f>VLOOKUP($A181,'New Resources - Individual'!$A$4:$Y$133,CX$2,FALSE)*CX$1</f>
        <v>0</v>
      </c>
      <c r="CY181" s="1116">
        <f>$G181+CX181</f>
        <v>0</v>
      </c>
      <c r="CZ181" s="1117">
        <f>VLOOKUP($E181,CY$442:DB$453,2,FALSE)*CY181*($K181)+IF($G181&lt;&gt;0,($H181/$G181)*CY181,0)*(1-$K181)</f>
        <v>0</v>
      </c>
      <c r="DA181" s="1117">
        <f>VLOOKUP($E181,CY$442:DB$453,3,FALSE)*CY181*($K181)+IF($G181&lt;&gt;0,($I181/$G181)*CY181,0)*(1-$K181)</f>
        <v>0</v>
      </c>
      <c r="DB181" s="1117">
        <f>VLOOKUP($E181,CY$442:DB$453,4,FALSE)*CY181*($K181)+(CY181-CZ181-DA181)*(1-$K181)</f>
        <v>0</v>
      </c>
      <c r="DC181" s="1073"/>
      <c r="DF181" s="1129">
        <f>VLOOKUP($A181,'New Resources - Individual'!$A$4:$Y$133,DF$2,FALSE)*DF$1</f>
        <v>0</v>
      </c>
      <c r="DG181" s="1116">
        <f>$G181+DF181</f>
        <v>0</v>
      </c>
      <c r="DH181" s="1117">
        <f>VLOOKUP($E181,DG$442:DJ$453,2,FALSE)*DG181*($K181)+IF($G181&lt;&gt;0,($H181/$G181)*DG181,0)*(1-$K181)</f>
        <v>0</v>
      </c>
      <c r="DI181" s="1117">
        <f>VLOOKUP($E181,DG$442:DJ$453,3,FALSE)*DG181*($K181)+IF($G181&lt;&gt;0,($I181/$G181)*DG181,0)*(1-$K181)</f>
        <v>0</v>
      </c>
      <c r="DJ181" s="1117">
        <f>VLOOKUP($E181,DG$442:DJ$453,4,FALSE)*DG181*($K181)+(DG181-DH181-DI181)*(1-$K181)</f>
        <v>0</v>
      </c>
      <c r="DK181" s="1073"/>
      <c r="DN181" s="1129">
        <f>VLOOKUP($A181,'New Resources - Individual'!$A$4:$Y$133,DN$2,FALSE)*DN$1</f>
        <v>0</v>
      </c>
      <c r="DO181" s="1116">
        <f>$G181+DN181</f>
        <v>0</v>
      </c>
      <c r="DP181" s="1117">
        <f>VLOOKUP($E181,DO$442:DR$453,2,FALSE)*DO181*($K181)+IF($G181&lt;&gt;0,($H181/$G181)*DO181,0)*(1-$K181)</f>
        <v>0</v>
      </c>
      <c r="DQ181" s="1117">
        <f>VLOOKUP($E181,DO$442:DR$453,3,FALSE)*DO181*($K181)+IF($G181&lt;&gt;0,($I181/$G181)*DO181,0)*(1-$K181)</f>
        <v>0</v>
      </c>
      <c r="DR181" s="1117">
        <f>VLOOKUP($E181,DO$442:DR$453,4,FALSE)*DO181*($K181)+(DO181-DP181-DQ181)*(1-$K181)</f>
        <v>0</v>
      </c>
      <c r="DS181" s="1073"/>
      <c r="DV181" s="1129">
        <f>VLOOKUP($A181,'New Resources - Individual'!$A$4:$Y$133,DV$2,FALSE)*DV$1</f>
        <v>0</v>
      </c>
      <c r="DW181" s="1116">
        <f>$G181+DV181</f>
        <v>0</v>
      </c>
      <c r="DX181" s="1117">
        <f>VLOOKUP($E181,DW$442:DZ$453,2,FALSE)*DW181*($K181)+IF($G181&lt;&gt;0,($H181/$G181)*DW181,0)*(1-$K181)</f>
        <v>0</v>
      </c>
      <c r="DY181" s="1117">
        <f>VLOOKUP($E181,DW$442:DZ$453,3,FALSE)*DW181*($K181)+IF($G181&lt;&gt;0,($I181/$G181)*DW181,0)*(1-$K181)</f>
        <v>0</v>
      </c>
      <c r="DZ181" s="1117">
        <f>VLOOKUP($E181,DW$442:DZ$453,4,FALSE)*DW181*($K181)+(DW181-DX181-DY181)*(1-$K181)</f>
        <v>0</v>
      </c>
      <c r="EA181" s="1073"/>
      <c r="ED181" s="1129">
        <f>VLOOKUP($A181,'New Resources - Individual'!$A$4:$Y$133,ED$2,FALSE)*ED$1</f>
        <v>0</v>
      </c>
      <c r="EE181" s="1116">
        <f>$G181+ED181</f>
        <v>0</v>
      </c>
      <c r="EF181" s="1117">
        <f>VLOOKUP($E181,EE$442:EH$453,2,FALSE)*EE181*($K181)+IF($G181&lt;&gt;0,($H181/$G181)*EE181,0)*(1-$K181)</f>
        <v>0</v>
      </c>
      <c r="EG181" s="1117">
        <f>VLOOKUP($E181,EE$442:EH$453,3,FALSE)*EE181*($K181)+IF($G181&lt;&gt;0,($I181/$G181)*EE181,0)*(1-$K181)</f>
        <v>0</v>
      </c>
      <c r="EH181" s="1117">
        <f>VLOOKUP($E181,EE$442:EH$453,4,FALSE)*EE181*($K181)+(EE181-EF181-EG181)*(1-$K181)</f>
        <v>0</v>
      </c>
      <c r="EI181" s="1073"/>
      <c r="EL181" s="1129">
        <f>VLOOKUP($A181,'New Resources - Individual'!$A$4:$Y$133,EL$2,FALSE)*EL$1</f>
        <v>0</v>
      </c>
      <c r="EM181" s="1116">
        <f>$G181+EL181</f>
        <v>0</v>
      </c>
      <c r="EN181" s="1117">
        <f>VLOOKUP($E181,EM$442:EP$453,2,FALSE)*EM181*($K181)+IF($G181&lt;&gt;0,($H181/$G181)*EM181,0)*(1-$K181)</f>
        <v>0</v>
      </c>
      <c r="EO181" s="1117">
        <f>VLOOKUP($E181,EM$442:EP$453,3,FALSE)*EM181*($K181)+IF($G181&lt;&gt;0,($I181/$G181)*EM181,0)*(1-$K181)</f>
        <v>0</v>
      </c>
      <c r="EP181" s="1117">
        <f>VLOOKUP($E181,EM$442:EP$453,4,FALSE)*EM181*($K181)+(EM181-EN181-EO181)*(1-$K181)</f>
        <v>0</v>
      </c>
      <c r="EQ181" s="1073"/>
      <c r="ET181" s="1129">
        <f>VLOOKUP($A181,'New Resources - Individual'!$A$4:$Y$133,ET$2,FALSE)*ET$1</f>
        <v>0</v>
      </c>
      <c r="EU181" s="1116">
        <f>$G181+ET181</f>
        <v>0</v>
      </c>
      <c r="EV181" s="1117">
        <f>VLOOKUP($E181,EU$442:EX$453,2,FALSE)*EU181*($K181)+IF($G181&lt;&gt;0,($H181/$G181)*EU181,0)*(1-$K181)</f>
        <v>0</v>
      </c>
      <c r="EW181" s="1117">
        <f>VLOOKUP($E181,EU$442:EX$453,3,FALSE)*EU181*($K181)+IF($G181&lt;&gt;0,($I181/$G181)*EU181,0)*(1-$K181)</f>
        <v>0</v>
      </c>
      <c r="EX181" s="1117">
        <f>VLOOKUP($E181,EU$442:EX$453,4,FALSE)*EU181*($K181)+(EU181-EV181-EW181)*(1-$K181)</f>
        <v>0</v>
      </c>
      <c r="EY181" s="1073"/>
      <c r="FB181" s="1129">
        <f>VLOOKUP($A181,'New Resources - Individual'!$A$4:$Y$133,FB$2,FALSE)*FB$1</f>
        <v>0</v>
      </c>
      <c r="FC181" s="1116">
        <f>$G181+FB181</f>
        <v>0</v>
      </c>
      <c r="FD181" s="1117">
        <f>VLOOKUP($E181,FC$442:FF$453,2,FALSE)*FC181*($K181)+IF($G181&lt;&gt;0,($H181/$G181)*FC181,0)*(1-$K181)</f>
        <v>0</v>
      </c>
      <c r="FE181" s="1117">
        <f>VLOOKUP($E181,FC$442:FF$453,3,FALSE)*FC181*($K181)+IF($G181&lt;&gt;0,($I181/$G181)*FC181,0)*(1-$K181)</f>
        <v>0</v>
      </c>
      <c r="FF181" s="1117">
        <f>VLOOKUP($E181,FC$442:FF$453,4,FALSE)*FC181*($K181)+(FC181-FD181-FE181)*(1-$K181)</f>
        <v>0</v>
      </c>
      <c r="FG181" s="1073"/>
      <c r="FJ181" s="1129">
        <f>VLOOKUP($A181,'New Resources - Individual'!$A$4:$Y$133,FJ$2,FALSE)*FJ$1</f>
        <v>0</v>
      </c>
      <c r="FK181" s="1116">
        <f>$G181+FJ181</f>
        <v>0</v>
      </c>
      <c r="FL181" s="1117">
        <f>VLOOKUP($E181,FK$442:FN$453,2,FALSE)*FK181*($K181)+IF($G181&lt;&gt;0,($H181/$G181)*FK181,0)*(1-$K181)</f>
        <v>0</v>
      </c>
      <c r="FM181" s="1117">
        <f>VLOOKUP($E181,FK$442:FN$453,3,FALSE)*FK181*($K181)+IF($G181&lt;&gt;0,($I181/$G181)*FK181,0)*(1-$K181)</f>
        <v>0</v>
      </c>
      <c r="FN181" s="1117">
        <f>VLOOKUP($E181,FK$442:FN$453,4,FALSE)*FK181*($K181)+(FK181-FL181-FM181)*(1-$K181)</f>
        <v>0</v>
      </c>
      <c r="FO181" s="1073"/>
    </row>
    <row r="182" spans="1:171">
      <c r="A182" s="1392">
        <v>310</v>
      </c>
      <c r="B182" s="10" t="s">
        <v>483</v>
      </c>
      <c r="C182" s="888" t="s">
        <v>72</v>
      </c>
      <c r="D182" s="888" t="s">
        <v>484</v>
      </c>
      <c r="E182" s="182" t="str">
        <f>'Sch 3 - Expenses'!E22</f>
        <v>PROD</v>
      </c>
      <c r="F182" s="889"/>
      <c r="G182" s="182">
        <f>'Sch 3 - Expenses'!G22</f>
        <v>0</v>
      </c>
      <c r="H182" s="182">
        <f>'Sch 3 - Expenses'!H22</f>
        <v>0</v>
      </c>
      <c r="I182" s="182">
        <f>'Sch 3 - Expenses'!I22</f>
        <v>0</v>
      </c>
      <c r="J182" s="183">
        <f>'Sch 3 - Expenses'!J22</f>
        <v>0</v>
      </c>
      <c r="K182" s="903">
        <f t="shared" si="547"/>
        <v>1</v>
      </c>
      <c r="N182" s="1129">
        <f>VLOOKUP($A182,'New Resources - Individual'!$A$4:$Y$133,N$2,FALSE)*N$1</f>
        <v>0</v>
      </c>
      <c r="O182" s="1116">
        <f>$G182+N182</f>
        <v>0</v>
      </c>
      <c r="P182" s="1117">
        <f>VLOOKUP($E182,O$442:R$453,2,FALSE)*O182*($K182)+IF($G182&lt;&gt;0,($H182/$G182)*O182,0)*(1-$K182)</f>
        <v>0</v>
      </c>
      <c r="Q182" s="1117">
        <f>VLOOKUP($E182,O$442:R$453,3,FALSE)*O182*($K182)+IF($G182&lt;&gt;0,($I182/$G182)*O182,0)*(1-$K182)</f>
        <v>0</v>
      </c>
      <c r="R182" s="1117">
        <f>VLOOKUP($E182,O$442:R$453,4,FALSE)*O182*($K182)+(O182-P182-Q182)*(1-$K182)</f>
        <v>0</v>
      </c>
      <c r="S182" s="1073"/>
      <c r="V182" s="1129">
        <f>VLOOKUP($A182,'New Resources - Individual'!$A$4:$Y$133,V$2,FALSE)*V$1</f>
        <v>0</v>
      </c>
      <c r="W182" s="1116">
        <f>$G182+V182</f>
        <v>0</v>
      </c>
      <c r="X182" s="1117">
        <f>VLOOKUP($E182,W$442:Z$453,2,FALSE)*W182*($K182)+IF($G182&lt;&gt;0,($H182/$G182)*W182,0)*(1-$K182)</f>
        <v>0</v>
      </c>
      <c r="Y182" s="1117">
        <f>VLOOKUP($E182,W$442:Z$453,3,FALSE)*W182*($K182)+IF($G182&lt;&gt;0,($I182/$G182)*W182,0)*(1-$K182)</f>
        <v>0</v>
      </c>
      <c r="Z182" s="1117">
        <f>VLOOKUP($E182,W$442:Z$453,4,FALSE)*W182*($K182)+(W182-X182-Y182)*(1-$K182)</f>
        <v>0</v>
      </c>
      <c r="AA182" s="1073"/>
      <c r="AD182" s="1129">
        <f>VLOOKUP($A182,'New Resources - Individual'!$A$4:$Y$133,AD$2,FALSE)*AD$1</f>
        <v>0</v>
      </c>
      <c r="AE182" s="1116">
        <f>$G182+AD182</f>
        <v>0</v>
      </c>
      <c r="AF182" s="1117">
        <f>VLOOKUP($E182,AE$442:AH$453,2,FALSE)*AE182*($K182)+IF($G182&lt;&gt;0,($H182/$G182)*AE182,0)*(1-$K182)</f>
        <v>0</v>
      </c>
      <c r="AG182" s="1117">
        <f>VLOOKUP($E182,AE$442:AH$453,3,FALSE)*AE182*($K182)+IF($G182&lt;&gt;0,($I182/$G182)*AE182,0)*(1-$K182)</f>
        <v>0</v>
      </c>
      <c r="AH182" s="1117">
        <f>VLOOKUP($E182,AE$442:AH$453,4,FALSE)*AE182*($K182)+(AE182-AF182-AG182)*(1-$K182)</f>
        <v>0</v>
      </c>
      <c r="AI182" s="1073"/>
      <c r="AL182" s="1129">
        <f>VLOOKUP($A182,'New Resources - Individual'!$A$4:$Y$133,AL$2,FALSE)*AL$1</f>
        <v>0</v>
      </c>
      <c r="AM182" s="1116">
        <f>$G182+AL182</f>
        <v>0</v>
      </c>
      <c r="AN182" s="1117">
        <f>VLOOKUP($E182,AM$442:AP$453,2,FALSE)*AM182*($K182)+IF($G182&lt;&gt;0,($H182/$G182)*AM182,0)*(1-$K182)</f>
        <v>0</v>
      </c>
      <c r="AO182" s="1117">
        <f>VLOOKUP($E182,AM$442:AP$453,3,FALSE)*AM182*($K182)+IF($G182&lt;&gt;0,($I182/$G182)*AM182,0)*(1-$K182)</f>
        <v>0</v>
      </c>
      <c r="AP182" s="1117">
        <f>VLOOKUP($E182,AM$442:AP$453,4,FALSE)*AM182*($K182)+(AM182-AN182-AO182)*(1-$K182)</f>
        <v>0</v>
      </c>
      <c r="AQ182" s="1073"/>
      <c r="AT182" s="1129">
        <f>VLOOKUP($A182,'New Resources - Individual'!$A$4:$Y$133,AT$2,FALSE)*AT$1</f>
        <v>0</v>
      </c>
      <c r="AU182" s="1116">
        <f>$G182+AT182</f>
        <v>0</v>
      </c>
      <c r="AV182" s="1117">
        <f>VLOOKUP($E182,AU$442:AX$453,2,FALSE)*AU182*($K182)+IF($G182&lt;&gt;0,($H182/$G182)*AU182,0)*(1-$K182)</f>
        <v>0</v>
      </c>
      <c r="AW182" s="1117">
        <f>VLOOKUP($E182,AU$442:AX$453,3,FALSE)*AU182*($K182)+IF($G182&lt;&gt;0,($I182/$G182)*AU182,0)*(1-$K182)</f>
        <v>0</v>
      </c>
      <c r="AX182" s="1117">
        <f>VLOOKUP($E182,AU$442:AX$453,4,FALSE)*AU182*($K182)+(AU182-AV182-AW182)*(1-$K182)</f>
        <v>0</v>
      </c>
      <c r="AY182" s="1073"/>
      <c r="BB182" s="1129">
        <f>VLOOKUP($A182,'New Resources - Individual'!$A$4:$Y$133,BB$2,FALSE)*BB$1</f>
        <v>0</v>
      </c>
      <c r="BC182" s="1116">
        <f>$G182+BB182</f>
        <v>0</v>
      </c>
      <c r="BD182" s="1117">
        <f>VLOOKUP($E182,BC$442:BF$453,2,FALSE)*BC182*($K182)+IF($G182&lt;&gt;0,($H182/$G182)*BC182,0)*(1-$K182)</f>
        <v>0</v>
      </c>
      <c r="BE182" s="1117">
        <f>VLOOKUP($E182,BC$442:BF$453,3,FALSE)*BC182*($K182)+IF($G182&lt;&gt;0,($I182/$G182)*BC182,0)*(1-$K182)</f>
        <v>0</v>
      </c>
      <c r="BF182" s="1117">
        <f>VLOOKUP($E182,BC$442:BF$453,4,FALSE)*BC182*($K182)+(BC182-BD182-BE182)*(1-$K182)</f>
        <v>0</v>
      </c>
      <c r="BG182" s="1073"/>
      <c r="BJ182" s="1129">
        <f>VLOOKUP($A182,'New Resources - Individual'!$A$4:$Y$133,BJ$2,FALSE)*BJ$1</f>
        <v>0</v>
      </c>
      <c r="BK182" s="1116">
        <f>$G182+BJ182</f>
        <v>0</v>
      </c>
      <c r="BL182" s="1117">
        <f>VLOOKUP($E182,BK$442:BN$453,2,FALSE)*BK182*($K182)+IF($G182&lt;&gt;0,($H182/$G182)*BK182,0)*(1-$K182)</f>
        <v>0</v>
      </c>
      <c r="BM182" s="1117">
        <f>VLOOKUP($E182,BK$442:BN$453,3,FALSE)*BK182*($K182)+IF($G182&lt;&gt;0,($I182/$G182)*BK182,0)*(1-$K182)</f>
        <v>0</v>
      </c>
      <c r="BN182" s="1117">
        <f>VLOOKUP($E182,BK$442:BN$453,4,FALSE)*BK182*($K182)+(BK182-BL182-BM182)*(1-$K182)</f>
        <v>0</v>
      </c>
      <c r="BO182" s="1073"/>
      <c r="BR182" s="1129">
        <f>VLOOKUP($A182,'New Resources - Individual'!$A$4:$Y$133,BR$2,FALSE)*BR$1</f>
        <v>0</v>
      </c>
      <c r="BS182" s="1116">
        <f>$G182+BR182</f>
        <v>0</v>
      </c>
      <c r="BT182" s="1117">
        <f>VLOOKUP($E182,BS$442:BV$453,2,FALSE)*BS182*($K182)+IF($G182&lt;&gt;0,($H182/$G182)*BS182,0)*(1-$K182)</f>
        <v>0</v>
      </c>
      <c r="BU182" s="1117">
        <f>VLOOKUP($E182,BS$442:BV$453,3,FALSE)*BS182*($K182)+IF($G182&lt;&gt;0,($I182/$G182)*BS182,0)*(1-$K182)</f>
        <v>0</v>
      </c>
      <c r="BV182" s="1117">
        <f>VLOOKUP($E182,BS$442:BV$453,4,FALSE)*BS182*($K182)+(BS182-BT182-BU182)*(1-$K182)</f>
        <v>0</v>
      </c>
      <c r="BW182" s="1073"/>
      <c r="BZ182" s="1129">
        <f>VLOOKUP($A182,'New Resources - Individual'!$A$4:$Y$133,BZ$2,FALSE)*BZ$1</f>
        <v>0</v>
      </c>
      <c r="CA182" s="1116">
        <f>$G182+BZ182</f>
        <v>0</v>
      </c>
      <c r="CB182" s="1117">
        <f>VLOOKUP($E182,CA$442:CD$453,2,FALSE)*CA182*($K182)+IF($G182&lt;&gt;0,($H182/$G182)*CA182,0)*(1-$K182)</f>
        <v>0</v>
      </c>
      <c r="CC182" s="1117">
        <f>VLOOKUP($E182,CA$442:CD$453,3,FALSE)*CA182*($K182)+IF($G182&lt;&gt;0,($I182/$G182)*CA182,0)*(1-$K182)</f>
        <v>0</v>
      </c>
      <c r="CD182" s="1117">
        <f>VLOOKUP($E182,CA$442:CD$453,4,FALSE)*CA182*($K182)+(CA182-CB182-CC182)*(1-$K182)</f>
        <v>0</v>
      </c>
      <c r="CE182" s="1073"/>
      <c r="CH182" s="1129">
        <f>VLOOKUP($A182,'New Resources - Individual'!$A$4:$Y$133,CH$2,FALSE)*CH$1</f>
        <v>0</v>
      </c>
      <c r="CI182" s="1116">
        <f>$G182+CH182</f>
        <v>0</v>
      </c>
      <c r="CJ182" s="1117">
        <f>VLOOKUP($E182,CI$442:CL$453,2,FALSE)*CI182*($K182)+IF($G182&lt;&gt;0,($H182/$G182)*CI182,0)*(1-$K182)</f>
        <v>0</v>
      </c>
      <c r="CK182" s="1117">
        <f>VLOOKUP($E182,CI$442:CL$453,3,FALSE)*CI182*($K182)+IF($G182&lt;&gt;0,($I182/$G182)*CI182,0)*(1-$K182)</f>
        <v>0</v>
      </c>
      <c r="CL182" s="1117">
        <f>VLOOKUP($E182,CI$442:CL$453,4,FALSE)*CI182*($K182)+(CI182-CJ182-CK182)*(1-$K182)</f>
        <v>0</v>
      </c>
      <c r="CM182" s="1073"/>
      <c r="CP182" s="1129">
        <f>VLOOKUP($A182,'New Resources - Individual'!$A$4:$Y$133,CP$2,FALSE)*CP$1</f>
        <v>0</v>
      </c>
      <c r="CQ182" s="1116">
        <f>$G182+CP182</f>
        <v>0</v>
      </c>
      <c r="CR182" s="1117">
        <f>VLOOKUP($E182,CQ$442:CT$453,2,FALSE)*CQ182*($K182)+IF($G182&lt;&gt;0,($H182/$G182)*CQ182,0)*(1-$K182)</f>
        <v>0</v>
      </c>
      <c r="CS182" s="1117">
        <f>VLOOKUP($E182,CQ$442:CT$453,3,FALSE)*CQ182*($K182)+IF($G182&lt;&gt;0,($I182/$G182)*CQ182,0)*(1-$K182)</f>
        <v>0</v>
      </c>
      <c r="CT182" s="1117">
        <f>VLOOKUP($E182,CQ$442:CT$453,4,FALSE)*CQ182*($K182)+(CQ182-CR182-CS182)*(1-$K182)</f>
        <v>0</v>
      </c>
      <c r="CU182" s="1073"/>
      <c r="CX182" s="1129">
        <f>VLOOKUP($A182,'New Resources - Individual'!$A$4:$Y$133,CX$2,FALSE)*CX$1</f>
        <v>0</v>
      </c>
      <c r="CY182" s="1116">
        <f>$G182+CX182</f>
        <v>0</v>
      </c>
      <c r="CZ182" s="1117">
        <f>VLOOKUP($E182,CY$442:DB$453,2,FALSE)*CY182*($K182)+IF($G182&lt;&gt;0,($H182/$G182)*CY182,0)*(1-$K182)</f>
        <v>0</v>
      </c>
      <c r="DA182" s="1117">
        <f>VLOOKUP($E182,CY$442:DB$453,3,FALSE)*CY182*($K182)+IF($G182&lt;&gt;0,($I182/$G182)*CY182,0)*(1-$K182)</f>
        <v>0</v>
      </c>
      <c r="DB182" s="1117">
        <f>VLOOKUP($E182,CY$442:DB$453,4,FALSE)*CY182*($K182)+(CY182-CZ182-DA182)*(1-$K182)</f>
        <v>0</v>
      </c>
      <c r="DC182" s="1073"/>
      <c r="DF182" s="1129">
        <f>VLOOKUP($A182,'New Resources - Individual'!$A$4:$Y$133,DF$2,FALSE)*DF$1</f>
        <v>0</v>
      </c>
      <c r="DG182" s="1116">
        <f>$G182+DF182</f>
        <v>0</v>
      </c>
      <c r="DH182" s="1117">
        <f>VLOOKUP($E182,DG$442:DJ$453,2,FALSE)*DG182*($K182)+IF($G182&lt;&gt;0,($H182/$G182)*DG182,0)*(1-$K182)</f>
        <v>0</v>
      </c>
      <c r="DI182" s="1117">
        <f>VLOOKUP($E182,DG$442:DJ$453,3,FALSE)*DG182*($K182)+IF($G182&lt;&gt;0,($I182/$G182)*DG182,0)*(1-$K182)</f>
        <v>0</v>
      </c>
      <c r="DJ182" s="1117">
        <f>VLOOKUP($E182,DG$442:DJ$453,4,FALSE)*DG182*($K182)+(DG182-DH182-DI182)*(1-$K182)</f>
        <v>0</v>
      </c>
      <c r="DK182" s="1073"/>
      <c r="DN182" s="1129">
        <f>VLOOKUP($A182,'New Resources - Individual'!$A$4:$Y$133,DN$2,FALSE)*DN$1</f>
        <v>0</v>
      </c>
      <c r="DO182" s="1116">
        <f>$G182+DN182</f>
        <v>0</v>
      </c>
      <c r="DP182" s="1117">
        <f>VLOOKUP($E182,DO$442:DR$453,2,FALSE)*DO182*($K182)+IF($G182&lt;&gt;0,($H182/$G182)*DO182,0)*(1-$K182)</f>
        <v>0</v>
      </c>
      <c r="DQ182" s="1117">
        <f>VLOOKUP($E182,DO$442:DR$453,3,FALSE)*DO182*($K182)+IF($G182&lt;&gt;0,($I182/$G182)*DO182,0)*(1-$K182)</f>
        <v>0</v>
      </c>
      <c r="DR182" s="1117">
        <f>VLOOKUP($E182,DO$442:DR$453,4,FALSE)*DO182*($K182)+(DO182-DP182-DQ182)*(1-$K182)</f>
        <v>0</v>
      </c>
      <c r="DS182" s="1073"/>
      <c r="DV182" s="1129">
        <f>VLOOKUP($A182,'New Resources - Individual'!$A$4:$Y$133,DV$2,FALSE)*DV$1</f>
        <v>0</v>
      </c>
      <c r="DW182" s="1116">
        <f>$G182+DV182</f>
        <v>0</v>
      </c>
      <c r="DX182" s="1117">
        <f>VLOOKUP($E182,DW$442:DZ$453,2,FALSE)*DW182*($K182)+IF($G182&lt;&gt;0,($H182/$G182)*DW182,0)*(1-$K182)</f>
        <v>0</v>
      </c>
      <c r="DY182" s="1117">
        <f>VLOOKUP($E182,DW$442:DZ$453,3,FALSE)*DW182*($K182)+IF($G182&lt;&gt;0,($I182/$G182)*DW182,0)*(1-$K182)</f>
        <v>0</v>
      </c>
      <c r="DZ182" s="1117">
        <f>VLOOKUP($E182,DW$442:DZ$453,4,FALSE)*DW182*($K182)+(DW182-DX182-DY182)*(1-$K182)</f>
        <v>0</v>
      </c>
      <c r="EA182" s="1073"/>
      <c r="ED182" s="1129">
        <f>VLOOKUP($A182,'New Resources - Individual'!$A$4:$Y$133,ED$2,FALSE)*ED$1</f>
        <v>0</v>
      </c>
      <c r="EE182" s="1116">
        <f>$G182+ED182</f>
        <v>0</v>
      </c>
      <c r="EF182" s="1117">
        <f>VLOOKUP($E182,EE$442:EH$453,2,FALSE)*EE182*($K182)+IF($G182&lt;&gt;0,($H182/$G182)*EE182,0)*(1-$K182)</f>
        <v>0</v>
      </c>
      <c r="EG182" s="1117">
        <f>VLOOKUP($E182,EE$442:EH$453,3,FALSE)*EE182*($K182)+IF($G182&lt;&gt;0,($I182/$G182)*EE182,0)*(1-$K182)</f>
        <v>0</v>
      </c>
      <c r="EH182" s="1117">
        <f>VLOOKUP($E182,EE$442:EH$453,4,FALSE)*EE182*($K182)+(EE182-EF182-EG182)*(1-$K182)</f>
        <v>0</v>
      </c>
      <c r="EI182" s="1073"/>
      <c r="EL182" s="1129">
        <f>VLOOKUP($A182,'New Resources - Individual'!$A$4:$Y$133,EL$2,FALSE)*EL$1</f>
        <v>0</v>
      </c>
      <c r="EM182" s="1116">
        <f>$G182+EL182</f>
        <v>0</v>
      </c>
      <c r="EN182" s="1117">
        <f>VLOOKUP($E182,EM$442:EP$453,2,FALSE)*EM182*($K182)+IF($G182&lt;&gt;0,($H182/$G182)*EM182,0)*(1-$K182)</f>
        <v>0</v>
      </c>
      <c r="EO182" s="1117">
        <f>VLOOKUP($E182,EM$442:EP$453,3,FALSE)*EM182*($K182)+IF($G182&lt;&gt;0,($I182/$G182)*EM182,0)*(1-$K182)</f>
        <v>0</v>
      </c>
      <c r="EP182" s="1117">
        <f>VLOOKUP($E182,EM$442:EP$453,4,FALSE)*EM182*($K182)+(EM182-EN182-EO182)*(1-$K182)</f>
        <v>0</v>
      </c>
      <c r="EQ182" s="1073"/>
      <c r="ET182" s="1129">
        <f>VLOOKUP($A182,'New Resources - Individual'!$A$4:$Y$133,ET$2,FALSE)*ET$1</f>
        <v>0</v>
      </c>
      <c r="EU182" s="1116">
        <f>$G182+ET182</f>
        <v>0</v>
      </c>
      <c r="EV182" s="1117">
        <f>VLOOKUP($E182,EU$442:EX$453,2,FALSE)*EU182*($K182)+IF($G182&lt;&gt;0,($H182/$G182)*EU182,0)*(1-$K182)</f>
        <v>0</v>
      </c>
      <c r="EW182" s="1117">
        <f>VLOOKUP($E182,EU$442:EX$453,3,FALSE)*EU182*($K182)+IF($G182&lt;&gt;0,($I182/$G182)*EU182,0)*(1-$K182)</f>
        <v>0</v>
      </c>
      <c r="EX182" s="1117">
        <f>VLOOKUP($E182,EU$442:EX$453,4,FALSE)*EU182*($K182)+(EU182-EV182-EW182)*(1-$K182)</f>
        <v>0</v>
      </c>
      <c r="EY182" s="1073"/>
      <c r="FB182" s="1129">
        <f>VLOOKUP($A182,'New Resources - Individual'!$A$4:$Y$133,FB$2,FALSE)*FB$1</f>
        <v>0</v>
      </c>
      <c r="FC182" s="1116">
        <f>$G182+FB182</f>
        <v>0</v>
      </c>
      <c r="FD182" s="1117">
        <f>VLOOKUP($E182,FC$442:FF$453,2,FALSE)*FC182*($K182)+IF($G182&lt;&gt;0,($H182/$G182)*FC182,0)*(1-$K182)</f>
        <v>0</v>
      </c>
      <c r="FE182" s="1117">
        <f>VLOOKUP($E182,FC$442:FF$453,3,FALSE)*FC182*($K182)+IF($G182&lt;&gt;0,($I182/$G182)*FC182,0)*(1-$K182)</f>
        <v>0</v>
      </c>
      <c r="FF182" s="1117">
        <f>VLOOKUP($E182,FC$442:FF$453,4,FALSE)*FC182*($K182)+(FC182-FD182-FE182)*(1-$K182)</f>
        <v>0</v>
      </c>
      <c r="FG182" s="1073"/>
      <c r="FJ182" s="1129">
        <f>VLOOKUP($A182,'New Resources - Individual'!$A$4:$Y$133,FJ$2,FALSE)*FJ$1</f>
        <v>0</v>
      </c>
      <c r="FK182" s="1116">
        <f>$G182+FJ182</f>
        <v>0</v>
      </c>
      <c r="FL182" s="1117">
        <f>VLOOKUP($E182,FK$442:FN$453,2,FALSE)*FK182*($K182)+IF($G182&lt;&gt;0,($H182/$G182)*FK182,0)*(1-$K182)</f>
        <v>0</v>
      </c>
      <c r="FM182" s="1117">
        <f>VLOOKUP($E182,FK$442:FN$453,3,FALSE)*FK182*($K182)+IF($G182&lt;&gt;0,($I182/$G182)*FK182,0)*(1-$K182)</f>
        <v>0</v>
      </c>
      <c r="FN182" s="1117">
        <f>VLOOKUP($E182,FK$442:FN$453,4,FALSE)*FK182*($K182)+(FK182-FL182-FM182)*(1-$K182)</f>
        <v>0</v>
      </c>
      <c r="FO182" s="1073"/>
    </row>
    <row r="183" spans="1:171">
      <c r="A183" s="1395"/>
      <c r="B183" s="990" t="s">
        <v>463</v>
      </c>
      <c r="C183" s="55"/>
      <c r="D183" s="55"/>
      <c r="E183" s="196"/>
      <c r="F183" s="196"/>
      <c r="G183" s="68"/>
      <c r="H183" s="68"/>
      <c r="I183" s="68"/>
      <c r="J183" s="991"/>
      <c r="K183" s="903"/>
      <c r="S183" s="1073"/>
      <c r="AA183" s="1073"/>
      <c r="AI183" s="1073"/>
      <c r="AQ183" s="1073"/>
      <c r="AY183" s="1073"/>
      <c r="BG183" s="1073"/>
      <c r="BO183" s="1073"/>
      <c r="BW183" s="1073"/>
      <c r="CE183" s="1073"/>
      <c r="CM183" s="1073"/>
      <c r="CU183" s="1073"/>
      <c r="DC183" s="1073"/>
      <c r="DK183" s="1073"/>
      <c r="DS183" s="1073"/>
      <c r="EA183" s="1073"/>
      <c r="EI183" s="1073"/>
      <c r="EQ183" s="1073"/>
      <c r="EY183" s="1073"/>
      <c r="FG183" s="1073"/>
      <c r="FO183" s="1073"/>
    </row>
    <row r="184" spans="1:171">
      <c r="A184" s="1392">
        <v>410</v>
      </c>
      <c r="B184" s="913" t="s">
        <v>86</v>
      </c>
      <c r="C184" s="888" t="s">
        <v>72</v>
      </c>
      <c r="D184" s="888" t="s">
        <v>610</v>
      </c>
      <c r="E184" s="182" t="str">
        <f>'Sch 3 - Expenses'!E24</f>
        <v>PROD</v>
      </c>
      <c r="F184" s="889"/>
      <c r="G184" s="182">
        <f>'Sch 3 - Expenses'!G24</f>
        <v>29951984</v>
      </c>
      <c r="H184" s="182">
        <f>'Sch 3 - Expenses'!H24</f>
        <v>29951984</v>
      </c>
      <c r="I184" s="182">
        <f>'Sch 3 - Expenses'!I24</f>
        <v>0</v>
      </c>
      <c r="J184" s="183">
        <f>'Sch 3 - Expenses'!J24</f>
        <v>0</v>
      </c>
      <c r="K184" s="903">
        <f t="shared" si="547"/>
        <v>1</v>
      </c>
      <c r="N184" s="1129">
        <f>VLOOKUP($A184,'New Resources - Individual'!$A$4:$Y$133,N$2,FALSE)*N$1</f>
        <v>0</v>
      </c>
      <c r="O184" s="1116">
        <f>$G184+N184</f>
        <v>29951984</v>
      </c>
      <c r="P184" s="1117">
        <f>VLOOKUP($E184,O$442:R$453,2,FALSE)*O184*($K184)+IF($G184&lt;&gt;0,($H184/$G184)*O184,0)*(1-$K184)</f>
        <v>29951984</v>
      </c>
      <c r="Q184" s="1117">
        <f>VLOOKUP($E184,O$442:R$453,3,FALSE)*O184*($K184)+IF($G184&lt;&gt;0,($I184/$G184)*O184,0)*(1-$K184)</f>
        <v>0</v>
      </c>
      <c r="R184" s="1117">
        <f>VLOOKUP($E184,O$442:R$453,4,FALSE)*O184*($K184)+(O184-P184-Q184)*(1-$K184)</f>
        <v>0</v>
      </c>
      <c r="S184" s="1073"/>
      <c r="V184" s="1129">
        <f>VLOOKUP($A184,'New Resources - Individual'!$A$4:$Y$133,V$2,FALSE)*V$1</f>
        <v>0</v>
      </c>
      <c r="W184" s="1116">
        <f>$G184+V184</f>
        <v>29951984</v>
      </c>
      <c r="X184" s="1117">
        <f>VLOOKUP($E184,W$442:Z$453,2,FALSE)*W184*($K184)+IF($G184&lt;&gt;0,($H184/$G184)*W184,0)*(1-$K184)</f>
        <v>29951984</v>
      </c>
      <c r="Y184" s="1117">
        <f>VLOOKUP($E184,W$442:Z$453,3,FALSE)*W184*($K184)+IF($G184&lt;&gt;0,($I184/$G184)*W184,0)*(1-$K184)</f>
        <v>0</v>
      </c>
      <c r="Z184" s="1117">
        <f>VLOOKUP($E184,W$442:Z$453,4,FALSE)*W184*($K184)+(W184-X184-Y184)*(1-$K184)</f>
        <v>0</v>
      </c>
      <c r="AA184" s="1073"/>
      <c r="AD184" s="1129">
        <f>VLOOKUP($A184,'New Resources - Individual'!$A$4:$Y$133,AD$2,FALSE)*AD$1</f>
        <v>0</v>
      </c>
      <c r="AE184" s="1116">
        <f>$G184+AD184</f>
        <v>29951984</v>
      </c>
      <c r="AF184" s="1117">
        <f>VLOOKUP($E184,AE$442:AH$453,2,FALSE)*AE184*($K184)+IF($G184&lt;&gt;0,($H184/$G184)*AE184,0)*(1-$K184)</f>
        <v>29951984</v>
      </c>
      <c r="AG184" s="1117">
        <f>VLOOKUP($E184,AE$442:AH$453,3,FALSE)*AE184*($K184)+IF($G184&lt;&gt;0,($I184/$G184)*AE184,0)*(1-$K184)</f>
        <v>0</v>
      </c>
      <c r="AH184" s="1117">
        <f>VLOOKUP($E184,AE$442:AH$453,4,FALSE)*AE184*($K184)+(AE184-AF184-AG184)*(1-$K184)</f>
        <v>0</v>
      </c>
      <c r="AI184" s="1073"/>
      <c r="AL184" s="1129">
        <f>VLOOKUP($A184,'New Resources - Individual'!$A$4:$Y$133,AL$2,FALSE)*AL$1</f>
        <v>0</v>
      </c>
      <c r="AM184" s="1116">
        <f>$G184+AL184</f>
        <v>29951984</v>
      </c>
      <c r="AN184" s="1117">
        <f>VLOOKUP($E184,AM$442:AP$453,2,FALSE)*AM184*($K184)+IF($G184&lt;&gt;0,($H184/$G184)*AM184,0)*(1-$K184)</f>
        <v>29951984</v>
      </c>
      <c r="AO184" s="1117">
        <f>VLOOKUP($E184,AM$442:AP$453,3,FALSE)*AM184*($K184)+IF($G184&lt;&gt;0,($I184/$G184)*AM184,0)*(1-$K184)</f>
        <v>0</v>
      </c>
      <c r="AP184" s="1117">
        <f>VLOOKUP($E184,AM$442:AP$453,4,FALSE)*AM184*($K184)+(AM184-AN184-AO184)*(1-$K184)</f>
        <v>0</v>
      </c>
      <c r="AQ184" s="1073"/>
      <c r="AT184" s="1129">
        <f>VLOOKUP($A184,'New Resources - Individual'!$A$4:$Y$133,AT$2,FALSE)*AT$1</f>
        <v>0</v>
      </c>
      <c r="AU184" s="1116">
        <f>$G184+AT184</f>
        <v>29951984</v>
      </c>
      <c r="AV184" s="1117">
        <f>VLOOKUP($E184,AU$442:AX$453,2,FALSE)*AU184*($K184)+IF($G184&lt;&gt;0,($H184/$G184)*AU184,0)*(1-$K184)</f>
        <v>29951984</v>
      </c>
      <c r="AW184" s="1117">
        <f>VLOOKUP($E184,AU$442:AX$453,3,FALSE)*AU184*($K184)+IF($G184&lt;&gt;0,($I184/$G184)*AU184,0)*(1-$K184)</f>
        <v>0</v>
      </c>
      <c r="AX184" s="1117">
        <f>VLOOKUP($E184,AU$442:AX$453,4,FALSE)*AU184*($K184)+(AU184-AV184-AW184)*(1-$K184)</f>
        <v>0</v>
      </c>
      <c r="AY184" s="1073"/>
      <c r="BB184" s="1129">
        <f>VLOOKUP($A184,'New Resources - Individual'!$A$4:$Y$133,BB$2,FALSE)*BB$1</f>
        <v>0</v>
      </c>
      <c r="BC184" s="1116">
        <f>$G184+BB184</f>
        <v>29951984</v>
      </c>
      <c r="BD184" s="1117">
        <f>VLOOKUP($E184,BC$442:BF$453,2,FALSE)*BC184*($K184)+IF($G184&lt;&gt;0,($H184/$G184)*BC184,0)*(1-$K184)</f>
        <v>29951984</v>
      </c>
      <c r="BE184" s="1117">
        <f>VLOOKUP($E184,BC$442:BF$453,3,FALSE)*BC184*($K184)+IF($G184&lt;&gt;0,($I184/$G184)*BC184,0)*(1-$K184)</f>
        <v>0</v>
      </c>
      <c r="BF184" s="1117">
        <f>VLOOKUP($E184,BC$442:BF$453,4,FALSE)*BC184*($K184)+(BC184-BD184-BE184)*(1-$K184)</f>
        <v>0</v>
      </c>
      <c r="BG184" s="1073"/>
      <c r="BJ184" s="1129">
        <f>VLOOKUP($A184,'New Resources - Individual'!$A$4:$Y$133,BJ$2,FALSE)*BJ$1</f>
        <v>0</v>
      </c>
      <c r="BK184" s="1116">
        <f>$G184+BJ184</f>
        <v>29951984</v>
      </c>
      <c r="BL184" s="1117">
        <f>VLOOKUP($E184,BK$442:BN$453,2,FALSE)*BK184*($K184)+IF($G184&lt;&gt;0,($H184/$G184)*BK184,0)*(1-$K184)</f>
        <v>29951984</v>
      </c>
      <c r="BM184" s="1117">
        <f>VLOOKUP($E184,BK$442:BN$453,3,FALSE)*BK184*($K184)+IF($G184&lt;&gt;0,($I184/$G184)*BK184,0)*(1-$K184)</f>
        <v>0</v>
      </c>
      <c r="BN184" s="1117">
        <f>VLOOKUP($E184,BK$442:BN$453,4,FALSE)*BK184*($K184)+(BK184-BL184-BM184)*(1-$K184)</f>
        <v>0</v>
      </c>
      <c r="BO184" s="1073"/>
      <c r="BR184" s="1129">
        <f>VLOOKUP($A184,'New Resources - Individual'!$A$4:$Y$133,BR$2,FALSE)*BR$1</f>
        <v>0</v>
      </c>
      <c r="BS184" s="1116">
        <f>$G184+BR184</f>
        <v>29951984</v>
      </c>
      <c r="BT184" s="1117">
        <f>VLOOKUP($E184,BS$442:BV$453,2,FALSE)*BS184*($K184)+IF($G184&lt;&gt;0,($H184/$G184)*BS184,0)*(1-$K184)</f>
        <v>29951984</v>
      </c>
      <c r="BU184" s="1117">
        <f>VLOOKUP($E184,BS$442:BV$453,3,FALSE)*BS184*($K184)+IF($G184&lt;&gt;0,($I184/$G184)*BS184,0)*(1-$K184)</f>
        <v>0</v>
      </c>
      <c r="BV184" s="1117">
        <f>VLOOKUP($E184,BS$442:BV$453,4,FALSE)*BS184*($K184)+(BS184-BT184-BU184)*(1-$K184)</f>
        <v>0</v>
      </c>
      <c r="BW184" s="1073"/>
      <c r="BZ184" s="1129">
        <f>VLOOKUP($A184,'New Resources - Individual'!$A$4:$Y$133,BZ$2,FALSE)*BZ$1</f>
        <v>0</v>
      </c>
      <c r="CA184" s="1116">
        <f>$G184+BZ184</f>
        <v>29951984</v>
      </c>
      <c r="CB184" s="1117">
        <f>VLOOKUP($E184,CA$442:CD$453,2,FALSE)*CA184*($K184)+IF($G184&lt;&gt;0,($H184/$G184)*CA184,0)*(1-$K184)</f>
        <v>29951984</v>
      </c>
      <c r="CC184" s="1117">
        <f>VLOOKUP($E184,CA$442:CD$453,3,FALSE)*CA184*($K184)+IF($G184&lt;&gt;0,($I184/$G184)*CA184,0)*(1-$K184)</f>
        <v>0</v>
      </c>
      <c r="CD184" s="1117">
        <f>VLOOKUP($E184,CA$442:CD$453,4,FALSE)*CA184*($K184)+(CA184-CB184-CC184)*(1-$K184)</f>
        <v>0</v>
      </c>
      <c r="CE184" s="1073"/>
      <c r="CH184" s="1129">
        <f>VLOOKUP($A184,'New Resources - Individual'!$A$4:$Y$133,CH$2,FALSE)*CH$1</f>
        <v>0</v>
      </c>
      <c r="CI184" s="1116">
        <f>$G184+CH184</f>
        <v>29951984</v>
      </c>
      <c r="CJ184" s="1117">
        <f>VLOOKUP($E184,CI$442:CL$453,2,FALSE)*CI184*($K184)+IF($G184&lt;&gt;0,($H184/$G184)*CI184,0)*(1-$K184)</f>
        <v>29951984</v>
      </c>
      <c r="CK184" s="1117">
        <f>VLOOKUP($E184,CI$442:CL$453,3,FALSE)*CI184*($K184)+IF($G184&lt;&gt;0,($I184/$G184)*CI184,0)*(1-$K184)</f>
        <v>0</v>
      </c>
      <c r="CL184" s="1117">
        <f>VLOOKUP($E184,CI$442:CL$453,4,FALSE)*CI184*($K184)+(CI184-CJ184-CK184)*(1-$K184)</f>
        <v>0</v>
      </c>
      <c r="CM184" s="1073"/>
      <c r="CP184" s="1129">
        <f>VLOOKUP($A184,'New Resources - Individual'!$A$4:$Y$133,CP$2,FALSE)*CP$1</f>
        <v>0</v>
      </c>
      <c r="CQ184" s="1116">
        <f>$G184+CP184</f>
        <v>29951984</v>
      </c>
      <c r="CR184" s="1117">
        <f>VLOOKUP($E184,CQ$442:CT$453,2,FALSE)*CQ184*($K184)+IF($G184&lt;&gt;0,($H184/$G184)*CQ184,0)*(1-$K184)</f>
        <v>29951984</v>
      </c>
      <c r="CS184" s="1117">
        <f>VLOOKUP($E184,CQ$442:CT$453,3,FALSE)*CQ184*($K184)+IF($G184&lt;&gt;0,($I184/$G184)*CQ184,0)*(1-$K184)</f>
        <v>0</v>
      </c>
      <c r="CT184" s="1117">
        <f>VLOOKUP($E184,CQ$442:CT$453,4,FALSE)*CQ184*($K184)+(CQ184-CR184-CS184)*(1-$K184)</f>
        <v>0</v>
      </c>
      <c r="CU184" s="1073"/>
      <c r="CX184" s="1129">
        <f>VLOOKUP($A184,'New Resources - Individual'!$A$4:$Y$133,CX$2,FALSE)*CX$1</f>
        <v>0</v>
      </c>
      <c r="CY184" s="1116">
        <f>$G184+CX184</f>
        <v>29951984</v>
      </c>
      <c r="CZ184" s="1117">
        <f>VLOOKUP($E184,CY$442:DB$453,2,FALSE)*CY184*($K184)+IF($G184&lt;&gt;0,($H184/$G184)*CY184,0)*(1-$K184)</f>
        <v>29951984</v>
      </c>
      <c r="DA184" s="1117">
        <f>VLOOKUP($E184,CY$442:DB$453,3,FALSE)*CY184*($K184)+IF($G184&lt;&gt;0,($I184/$G184)*CY184,0)*(1-$K184)</f>
        <v>0</v>
      </c>
      <c r="DB184" s="1117">
        <f>VLOOKUP($E184,CY$442:DB$453,4,FALSE)*CY184*($K184)+(CY184-CZ184-DA184)*(1-$K184)</f>
        <v>0</v>
      </c>
      <c r="DC184" s="1073"/>
      <c r="DF184" s="1129">
        <f>VLOOKUP($A184,'New Resources - Individual'!$A$4:$Y$133,DF$2,FALSE)*DF$1</f>
        <v>0</v>
      </c>
      <c r="DG184" s="1116">
        <f>$G184+DF184</f>
        <v>29951984</v>
      </c>
      <c r="DH184" s="1117">
        <f>VLOOKUP($E184,DG$442:DJ$453,2,FALSE)*DG184*($K184)+IF($G184&lt;&gt;0,($H184/$G184)*DG184,0)*(1-$K184)</f>
        <v>29951984</v>
      </c>
      <c r="DI184" s="1117">
        <f>VLOOKUP($E184,DG$442:DJ$453,3,FALSE)*DG184*($K184)+IF($G184&lt;&gt;0,($I184/$G184)*DG184,0)*(1-$K184)</f>
        <v>0</v>
      </c>
      <c r="DJ184" s="1117">
        <f>VLOOKUP($E184,DG$442:DJ$453,4,FALSE)*DG184*($K184)+(DG184-DH184-DI184)*(1-$K184)</f>
        <v>0</v>
      </c>
      <c r="DK184" s="1073"/>
      <c r="DN184" s="1129">
        <f>VLOOKUP($A184,'New Resources - Individual'!$A$4:$Y$133,DN$2,FALSE)*DN$1</f>
        <v>0</v>
      </c>
      <c r="DO184" s="1116">
        <f>$G184+DN184</f>
        <v>29951984</v>
      </c>
      <c r="DP184" s="1117">
        <f>VLOOKUP($E184,DO$442:DR$453,2,FALSE)*DO184*($K184)+IF($G184&lt;&gt;0,($H184/$G184)*DO184,0)*(1-$K184)</f>
        <v>29951984</v>
      </c>
      <c r="DQ184" s="1117">
        <f>VLOOKUP($E184,DO$442:DR$453,3,FALSE)*DO184*($K184)+IF($G184&lt;&gt;0,($I184/$G184)*DO184,0)*(1-$K184)</f>
        <v>0</v>
      </c>
      <c r="DR184" s="1117">
        <f>VLOOKUP($E184,DO$442:DR$453,4,FALSE)*DO184*($K184)+(DO184-DP184-DQ184)*(1-$K184)</f>
        <v>0</v>
      </c>
      <c r="DS184" s="1073"/>
      <c r="DV184" s="1129">
        <f>VLOOKUP($A184,'New Resources - Individual'!$A$4:$Y$133,DV$2,FALSE)*DV$1</f>
        <v>0</v>
      </c>
      <c r="DW184" s="1116">
        <f>$G184+DV184</f>
        <v>29951984</v>
      </c>
      <c r="DX184" s="1117">
        <f>VLOOKUP($E184,DW$442:DZ$453,2,FALSE)*DW184*($K184)+IF($G184&lt;&gt;0,($H184/$G184)*DW184,0)*(1-$K184)</f>
        <v>29951984</v>
      </c>
      <c r="DY184" s="1117">
        <f>VLOOKUP($E184,DW$442:DZ$453,3,FALSE)*DW184*($K184)+IF($G184&lt;&gt;0,($I184/$G184)*DW184,0)*(1-$K184)</f>
        <v>0</v>
      </c>
      <c r="DZ184" s="1117">
        <f>VLOOKUP($E184,DW$442:DZ$453,4,FALSE)*DW184*($K184)+(DW184-DX184-DY184)*(1-$K184)</f>
        <v>0</v>
      </c>
      <c r="EA184" s="1073"/>
      <c r="ED184" s="1129">
        <f>VLOOKUP($A184,'New Resources - Individual'!$A$4:$Y$133,ED$2,FALSE)*ED$1</f>
        <v>0</v>
      </c>
      <c r="EE184" s="1116">
        <f>$G184+ED184</f>
        <v>29951984</v>
      </c>
      <c r="EF184" s="1117">
        <f>VLOOKUP($E184,EE$442:EH$453,2,FALSE)*EE184*($K184)+IF($G184&lt;&gt;0,($H184/$G184)*EE184,0)*(1-$K184)</f>
        <v>29951984</v>
      </c>
      <c r="EG184" s="1117">
        <f>VLOOKUP($E184,EE$442:EH$453,3,FALSE)*EE184*($K184)+IF($G184&lt;&gt;0,($I184/$G184)*EE184,0)*(1-$K184)</f>
        <v>0</v>
      </c>
      <c r="EH184" s="1117">
        <f>VLOOKUP($E184,EE$442:EH$453,4,FALSE)*EE184*($K184)+(EE184-EF184-EG184)*(1-$K184)</f>
        <v>0</v>
      </c>
      <c r="EI184" s="1073"/>
      <c r="EL184" s="1129">
        <f>VLOOKUP($A184,'New Resources - Individual'!$A$4:$Y$133,EL$2,FALSE)*EL$1</f>
        <v>0</v>
      </c>
      <c r="EM184" s="1116">
        <f>$G184+EL184</f>
        <v>29951984</v>
      </c>
      <c r="EN184" s="1117">
        <f>VLOOKUP($E184,EM$442:EP$453,2,FALSE)*EM184*($K184)+IF($G184&lt;&gt;0,($H184/$G184)*EM184,0)*(1-$K184)</f>
        <v>29951984</v>
      </c>
      <c r="EO184" s="1117">
        <f>VLOOKUP($E184,EM$442:EP$453,3,FALSE)*EM184*($K184)+IF($G184&lt;&gt;0,($I184/$G184)*EM184,0)*(1-$K184)</f>
        <v>0</v>
      </c>
      <c r="EP184" s="1117">
        <f>VLOOKUP($E184,EM$442:EP$453,4,FALSE)*EM184*($K184)+(EM184-EN184-EO184)*(1-$K184)</f>
        <v>0</v>
      </c>
      <c r="EQ184" s="1073"/>
      <c r="ET184" s="1129">
        <f>VLOOKUP($A184,'New Resources - Individual'!$A$4:$Y$133,ET$2,FALSE)*ET$1</f>
        <v>0</v>
      </c>
      <c r="EU184" s="1116">
        <f>$G184+ET184</f>
        <v>29951984</v>
      </c>
      <c r="EV184" s="1117">
        <f>VLOOKUP($E184,EU$442:EX$453,2,FALSE)*EU184*($K184)+IF($G184&lt;&gt;0,($H184/$G184)*EU184,0)*(1-$K184)</f>
        <v>29951984</v>
      </c>
      <c r="EW184" s="1117">
        <f>VLOOKUP($E184,EU$442:EX$453,3,FALSE)*EU184*($K184)+IF($G184&lt;&gt;0,($I184/$G184)*EU184,0)*(1-$K184)</f>
        <v>0</v>
      </c>
      <c r="EX184" s="1117">
        <f>VLOOKUP($E184,EU$442:EX$453,4,FALSE)*EU184*($K184)+(EU184-EV184-EW184)*(1-$K184)</f>
        <v>0</v>
      </c>
      <c r="EY184" s="1073"/>
      <c r="FB184" s="1129">
        <f>VLOOKUP($A184,'New Resources - Individual'!$A$4:$Y$133,FB$2,FALSE)*FB$1</f>
        <v>0</v>
      </c>
      <c r="FC184" s="1116">
        <f>$G184+FB184</f>
        <v>29951984</v>
      </c>
      <c r="FD184" s="1117">
        <f>VLOOKUP($E184,FC$442:FF$453,2,FALSE)*FC184*($K184)+IF($G184&lt;&gt;0,($H184/$G184)*FC184,0)*(1-$K184)</f>
        <v>29951984</v>
      </c>
      <c r="FE184" s="1117">
        <f>VLOOKUP($E184,FC$442:FF$453,3,FALSE)*FC184*($K184)+IF($G184&lt;&gt;0,($I184/$G184)*FC184,0)*(1-$K184)</f>
        <v>0</v>
      </c>
      <c r="FF184" s="1117">
        <f>VLOOKUP($E184,FC$442:FF$453,4,FALSE)*FC184*($K184)+(FC184-FD184-FE184)*(1-$K184)</f>
        <v>0</v>
      </c>
      <c r="FG184" s="1073"/>
      <c r="FJ184" s="1129">
        <f>VLOOKUP($A184,'New Resources - Individual'!$A$4:$Y$133,FJ$2,FALSE)*FJ$1</f>
        <v>0</v>
      </c>
      <c r="FK184" s="1116">
        <f>$G184+FJ184</f>
        <v>29951984</v>
      </c>
      <c r="FL184" s="1117">
        <f>VLOOKUP($E184,FK$442:FN$453,2,FALSE)*FK184*($K184)+IF($G184&lt;&gt;0,($H184/$G184)*FK184,0)*(1-$K184)</f>
        <v>29951984</v>
      </c>
      <c r="FM184" s="1117">
        <f>VLOOKUP($E184,FK$442:FN$453,3,FALSE)*FK184*($K184)+IF($G184&lt;&gt;0,($I184/$G184)*FK184,0)*(1-$K184)</f>
        <v>0</v>
      </c>
      <c r="FN184" s="1117">
        <f>VLOOKUP($E184,FK$442:FN$453,4,FALSE)*FK184*($K184)+(FK184-FL184-FM184)*(1-$K184)</f>
        <v>0</v>
      </c>
      <c r="FO184" s="1073"/>
    </row>
    <row r="185" spans="1:171">
      <c r="A185" s="1392">
        <v>420</v>
      </c>
      <c r="B185" s="913" t="s">
        <v>87</v>
      </c>
      <c r="C185" s="888" t="s">
        <v>72</v>
      </c>
      <c r="D185" s="888" t="s">
        <v>611</v>
      </c>
      <c r="E185" s="182" t="str">
        <f>'Sch 3 - Expenses'!E25</f>
        <v>PROD</v>
      </c>
      <c r="F185" s="889"/>
      <c r="G185" s="182">
        <f>'Sch 3 - Expenses'!G25</f>
        <v>5501093</v>
      </c>
      <c r="H185" s="182">
        <f>'Sch 3 - Expenses'!H25</f>
        <v>5501093</v>
      </c>
      <c r="I185" s="182">
        <f>'Sch 3 - Expenses'!I25</f>
        <v>0</v>
      </c>
      <c r="J185" s="183">
        <f>'Sch 3 - Expenses'!J25</f>
        <v>0</v>
      </c>
      <c r="K185" s="903">
        <f t="shared" si="547"/>
        <v>1</v>
      </c>
      <c r="N185" s="1129">
        <f>VLOOKUP($A185,'New Resources - Individual'!$A$4:$Y$133,N$2,FALSE)*N$1</f>
        <v>0</v>
      </c>
      <c r="O185" s="1116">
        <f>$G185+N185</f>
        <v>5501093</v>
      </c>
      <c r="P185" s="1117">
        <f>VLOOKUP($E185,O$442:R$453,2,FALSE)*O185*($K185)+IF($G185&lt;&gt;0,($H185/$G185)*O185,0)*(1-$K185)</f>
        <v>5501093</v>
      </c>
      <c r="Q185" s="1117">
        <f>VLOOKUP($E185,O$442:R$453,3,FALSE)*O185*($K185)+IF($G185&lt;&gt;0,($I185/$G185)*O185,0)*(1-$K185)</f>
        <v>0</v>
      </c>
      <c r="R185" s="1117">
        <f>VLOOKUP($E185,O$442:R$453,4,FALSE)*O185*($K185)+(O185-P185-Q185)*(1-$K185)</f>
        <v>0</v>
      </c>
      <c r="S185" s="1073"/>
      <c r="V185" s="1129">
        <f>VLOOKUP($A185,'New Resources - Individual'!$A$4:$Y$133,V$2,FALSE)*V$1</f>
        <v>0</v>
      </c>
      <c r="W185" s="1116">
        <f>$G185+V185</f>
        <v>5501093</v>
      </c>
      <c r="X185" s="1117">
        <f>VLOOKUP($E185,W$442:Z$453,2,FALSE)*W185*($K185)+IF($G185&lt;&gt;0,($H185/$G185)*W185,0)*(1-$K185)</f>
        <v>5501093</v>
      </c>
      <c r="Y185" s="1117">
        <f>VLOOKUP($E185,W$442:Z$453,3,FALSE)*W185*($K185)+IF($G185&lt;&gt;0,($I185/$G185)*W185,0)*(1-$K185)</f>
        <v>0</v>
      </c>
      <c r="Z185" s="1117">
        <f>VLOOKUP($E185,W$442:Z$453,4,FALSE)*W185*($K185)+(W185-X185-Y185)*(1-$K185)</f>
        <v>0</v>
      </c>
      <c r="AA185" s="1073"/>
      <c r="AD185" s="1129">
        <f>VLOOKUP($A185,'New Resources - Individual'!$A$4:$Y$133,AD$2,FALSE)*AD$1</f>
        <v>0</v>
      </c>
      <c r="AE185" s="1116">
        <f>$G185+AD185</f>
        <v>5501093</v>
      </c>
      <c r="AF185" s="1117">
        <f>VLOOKUP($E185,AE$442:AH$453,2,FALSE)*AE185*($K185)+IF($G185&lt;&gt;0,($H185/$G185)*AE185,0)*(1-$K185)</f>
        <v>5501093</v>
      </c>
      <c r="AG185" s="1117">
        <f>VLOOKUP($E185,AE$442:AH$453,3,FALSE)*AE185*($K185)+IF($G185&lt;&gt;0,($I185/$G185)*AE185,0)*(1-$K185)</f>
        <v>0</v>
      </c>
      <c r="AH185" s="1117">
        <f>VLOOKUP($E185,AE$442:AH$453,4,FALSE)*AE185*($K185)+(AE185-AF185-AG185)*(1-$K185)</f>
        <v>0</v>
      </c>
      <c r="AI185" s="1073"/>
      <c r="AL185" s="1129">
        <f>VLOOKUP($A185,'New Resources - Individual'!$A$4:$Y$133,AL$2,FALSE)*AL$1</f>
        <v>0</v>
      </c>
      <c r="AM185" s="1116">
        <f>$G185+AL185</f>
        <v>5501093</v>
      </c>
      <c r="AN185" s="1117">
        <f>VLOOKUP($E185,AM$442:AP$453,2,FALSE)*AM185*($K185)+IF($G185&lt;&gt;0,($H185/$G185)*AM185,0)*(1-$K185)</f>
        <v>5501093</v>
      </c>
      <c r="AO185" s="1117">
        <f>VLOOKUP($E185,AM$442:AP$453,3,FALSE)*AM185*($K185)+IF($G185&lt;&gt;0,($I185/$G185)*AM185,0)*(1-$K185)</f>
        <v>0</v>
      </c>
      <c r="AP185" s="1117">
        <f>VLOOKUP($E185,AM$442:AP$453,4,FALSE)*AM185*($K185)+(AM185-AN185-AO185)*(1-$K185)</f>
        <v>0</v>
      </c>
      <c r="AQ185" s="1073"/>
      <c r="AT185" s="1129">
        <f>VLOOKUP($A185,'New Resources - Individual'!$A$4:$Y$133,AT$2,FALSE)*AT$1</f>
        <v>0</v>
      </c>
      <c r="AU185" s="1116">
        <f>$G185+AT185</f>
        <v>5501093</v>
      </c>
      <c r="AV185" s="1117">
        <f>VLOOKUP($E185,AU$442:AX$453,2,FALSE)*AU185*($K185)+IF($G185&lt;&gt;0,($H185/$G185)*AU185,0)*(1-$K185)</f>
        <v>5501093</v>
      </c>
      <c r="AW185" s="1117">
        <f>VLOOKUP($E185,AU$442:AX$453,3,FALSE)*AU185*($K185)+IF($G185&lt;&gt;0,($I185/$G185)*AU185,0)*(1-$K185)</f>
        <v>0</v>
      </c>
      <c r="AX185" s="1117">
        <f>VLOOKUP($E185,AU$442:AX$453,4,FALSE)*AU185*($K185)+(AU185-AV185-AW185)*(1-$K185)</f>
        <v>0</v>
      </c>
      <c r="AY185" s="1073"/>
      <c r="BB185" s="1129">
        <f>VLOOKUP($A185,'New Resources - Individual'!$A$4:$Y$133,BB$2,FALSE)*BB$1</f>
        <v>0</v>
      </c>
      <c r="BC185" s="1116">
        <f>$G185+BB185</f>
        <v>5501093</v>
      </c>
      <c r="BD185" s="1117">
        <f>VLOOKUP($E185,BC$442:BF$453,2,FALSE)*BC185*($K185)+IF($G185&lt;&gt;0,($H185/$G185)*BC185,0)*(1-$K185)</f>
        <v>5501093</v>
      </c>
      <c r="BE185" s="1117">
        <f>VLOOKUP($E185,BC$442:BF$453,3,FALSE)*BC185*($K185)+IF($G185&lt;&gt;0,($I185/$G185)*BC185,0)*(1-$K185)</f>
        <v>0</v>
      </c>
      <c r="BF185" s="1117">
        <f>VLOOKUP($E185,BC$442:BF$453,4,FALSE)*BC185*($K185)+(BC185-BD185-BE185)*(1-$K185)</f>
        <v>0</v>
      </c>
      <c r="BG185" s="1073"/>
      <c r="BJ185" s="1129">
        <f>VLOOKUP($A185,'New Resources - Individual'!$A$4:$Y$133,BJ$2,FALSE)*BJ$1</f>
        <v>0</v>
      </c>
      <c r="BK185" s="1116">
        <f>$G185+BJ185</f>
        <v>5501093</v>
      </c>
      <c r="BL185" s="1117">
        <f>VLOOKUP($E185,BK$442:BN$453,2,FALSE)*BK185*($K185)+IF($G185&lt;&gt;0,($H185/$G185)*BK185,0)*(1-$K185)</f>
        <v>5501093</v>
      </c>
      <c r="BM185" s="1117">
        <f>VLOOKUP($E185,BK$442:BN$453,3,FALSE)*BK185*($K185)+IF($G185&lt;&gt;0,($I185/$G185)*BK185,0)*(1-$K185)</f>
        <v>0</v>
      </c>
      <c r="BN185" s="1117">
        <f>VLOOKUP($E185,BK$442:BN$453,4,FALSE)*BK185*($K185)+(BK185-BL185-BM185)*(1-$K185)</f>
        <v>0</v>
      </c>
      <c r="BO185" s="1073"/>
      <c r="BR185" s="1129">
        <f>VLOOKUP($A185,'New Resources - Individual'!$A$4:$Y$133,BR$2,FALSE)*BR$1</f>
        <v>0</v>
      </c>
      <c r="BS185" s="1116">
        <f>$G185+BR185</f>
        <v>5501093</v>
      </c>
      <c r="BT185" s="1117">
        <f>VLOOKUP($E185,BS$442:BV$453,2,FALSE)*BS185*($K185)+IF($G185&lt;&gt;0,($H185/$G185)*BS185,0)*(1-$K185)</f>
        <v>5501093</v>
      </c>
      <c r="BU185" s="1117">
        <f>VLOOKUP($E185,BS$442:BV$453,3,FALSE)*BS185*($K185)+IF($G185&lt;&gt;0,($I185/$G185)*BS185,0)*(1-$K185)</f>
        <v>0</v>
      </c>
      <c r="BV185" s="1117">
        <f>VLOOKUP($E185,BS$442:BV$453,4,FALSE)*BS185*($K185)+(BS185-BT185-BU185)*(1-$K185)</f>
        <v>0</v>
      </c>
      <c r="BW185" s="1073"/>
      <c r="BZ185" s="1129">
        <f>VLOOKUP($A185,'New Resources - Individual'!$A$4:$Y$133,BZ$2,FALSE)*BZ$1</f>
        <v>0</v>
      </c>
      <c r="CA185" s="1116">
        <f>$G185+BZ185</f>
        <v>5501093</v>
      </c>
      <c r="CB185" s="1117">
        <f>VLOOKUP($E185,CA$442:CD$453,2,FALSE)*CA185*($K185)+IF($G185&lt;&gt;0,($H185/$G185)*CA185,0)*(1-$K185)</f>
        <v>5501093</v>
      </c>
      <c r="CC185" s="1117">
        <f>VLOOKUP($E185,CA$442:CD$453,3,FALSE)*CA185*($K185)+IF($G185&lt;&gt;0,($I185/$G185)*CA185,0)*(1-$K185)</f>
        <v>0</v>
      </c>
      <c r="CD185" s="1117">
        <f>VLOOKUP($E185,CA$442:CD$453,4,FALSE)*CA185*($K185)+(CA185-CB185-CC185)*(1-$K185)</f>
        <v>0</v>
      </c>
      <c r="CE185" s="1073"/>
      <c r="CH185" s="1129">
        <f>VLOOKUP($A185,'New Resources - Individual'!$A$4:$Y$133,CH$2,FALSE)*CH$1</f>
        <v>0</v>
      </c>
      <c r="CI185" s="1116">
        <f>$G185+CH185</f>
        <v>5501093</v>
      </c>
      <c r="CJ185" s="1117">
        <f>VLOOKUP($E185,CI$442:CL$453,2,FALSE)*CI185*($K185)+IF($G185&lt;&gt;0,($H185/$G185)*CI185,0)*(1-$K185)</f>
        <v>5501093</v>
      </c>
      <c r="CK185" s="1117">
        <f>VLOOKUP($E185,CI$442:CL$453,3,FALSE)*CI185*($K185)+IF($G185&lt;&gt;0,($I185/$G185)*CI185,0)*(1-$K185)</f>
        <v>0</v>
      </c>
      <c r="CL185" s="1117">
        <f>VLOOKUP($E185,CI$442:CL$453,4,FALSE)*CI185*($K185)+(CI185-CJ185-CK185)*(1-$K185)</f>
        <v>0</v>
      </c>
      <c r="CM185" s="1073"/>
      <c r="CP185" s="1129">
        <f>VLOOKUP($A185,'New Resources - Individual'!$A$4:$Y$133,CP$2,FALSE)*CP$1</f>
        <v>0</v>
      </c>
      <c r="CQ185" s="1116">
        <f>$G185+CP185</f>
        <v>5501093</v>
      </c>
      <c r="CR185" s="1117">
        <f>VLOOKUP($E185,CQ$442:CT$453,2,FALSE)*CQ185*($K185)+IF($G185&lt;&gt;0,($H185/$G185)*CQ185,0)*(1-$K185)</f>
        <v>5501093</v>
      </c>
      <c r="CS185" s="1117">
        <f>VLOOKUP($E185,CQ$442:CT$453,3,FALSE)*CQ185*($K185)+IF($G185&lt;&gt;0,($I185/$G185)*CQ185,0)*(1-$K185)</f>
        <v>0</v>
      </c>
      <c r="CT185" s="1117">
        <f>VLOOKUP($E185,CQ$442:CT$453,4,FALSE)*CQ185*($K185)+(CQ185-CR185-CS185)*(1-$K185)</f>
        <v>0</v>
      </c>
      <c r="CU185" s="1073"/>
      <c r="CX185" s="1129">
        <f>VLOOKUP($A185,'New Resources - Individual'!$A$4:$Y$133,CX$2,FALSE)*CX$1</f>
        <v>0</v>
      </c>
      <c r="CY185" s="1116">
        <f>$G185+CX185</f>
        <v>5501093</v>
      </c>
      <c r="CZ185" s="1117">
        <f>VLOOKUP($E185,CY$442:DB$453,2,FALSE)*CY185*($K185)+IF($G185&lt;&gt;0,($H185/$G185)*CY185,0)*(1-$K185)</f>
        <v>5501093</v>
      </c>
      <c r="DA185" s="1117">
        <f>VLOOKUP($E185,CY$442:DB$453,3,FALSE)*CY185*($K185)+IF($G185&lt;&gt;0,($I185/$G185)*CY185,0)*(1-$K185)</f>
        <v>0</v>
      </c>
      <c r="DB185" s="1117">
        <f>VLOOKUP($E185,CY$442:DB$453,4,FALSE)*CY185*($K185)+(CY185-CZ185-DA185)*(1-$K185)</f>
        <v>0</v>
      </c>
      <c r="DC185" s="1073"/>
      <c r="DF185" s="1129">
        <f>VLOOKUP($A185,'New Resources - Individual'!$A$4:$Y$133,DF$2,FALSE)*DF$1</f>
        <v>0</v>
      </c>
      <c r="DG185" s="1116">
        <f>$G185+DF185</f>
        <v>5501093</v>
      </c>
      <c r="DH185" s="1117">
        <f>VLOOKUP($E185,DG$442:DJ$453,2,FALSE)*DG185*($K185)+IF($G185&lt;&gt;0,($H185/$G185)*DG185,0)*(1-$K185)</f>
        <v>5501093</v>
      </c>
      <c r="DI185" s="1117">
        <f>VLOOKUP($E185,DG$442:DJ$453,3,FALSE)*DG185*($K185)+IF($G185&lt;&gt;0,($I185/$G185)*DG185,0)*(1-$K185)</f>
        <v>0</v>
      </c>
      <c r="DJ185" s="1117">
        <f>VLOOKUP($E185,DG$442:DJ$453,4,FALSE)*DG185*($K185)+(DG185-DH185-DI185)*(1-$K185)</f>
        <v>0</v>
      </c>
      <c r="DK185" s="1073"/>
      <c r="DN185" s="1129">
        <f>VLOOKUP($A185,'New Resources - Individual'!$A$4:$Y$133,DN$2,FALSE)*DN$1</f>
        <v>0</v>
      </c>
      <c r="DO185" s="1116">
        <f>$G185+DN185</f>
        <v>5501093</v>
      </c>
      <c r="DP185" s="1117">
        <f>VLOOKUP($E185,DO$442:DR$453,2,FALSE)*DO185*($K185)+IF($G185&lt;&gt;0,($H185/$G185)*DO185,0)*(1-$K185)</f>
        <v>5501093</v>
      </c>
      <c r="DQ185" s="1117">
        <f>VLOOKUP($E185,DO$442:DR$453,3,FALSE)*DO185*($K185)+IF($G185&lt;&gt;0,($I185/$G185)*DO185,0)*(1-$K185)</f>
        <v>0</v>
      </c>
      <c r="DR185" s="1117">
        <f>VLOOKUP($E185,DO$442:DR$453,4,FALSE)*DO185*($K185)+(DO185-DP185-DQ185)*(1-$K185)</f>
        <v>0</v>
      </c>
      <c r="DS185" s="1073"/>
      <c r="DV185" s="1129">
        <f>VLOOKUP($A185,'New Resources - Individual'!$A$4:$Y$133,DV$2,FALSE)*DV$1</f>
        <v>0</v>
      </c>
      <c r="DW185" s="1116">
        <f>$G185+DV185</f>
        <v>5501093</v>
      </c>
      <c r="DX185" s="1117">
        <f>VLOOKUP($E185,DW$442:DZ$453,2,FALSE)*DW185*($K185)+IF($G185&lt;&gt;0,($H185/$G185)*DW185,0)*(1-$K185)</f>
        <v>5501093</v>
      </c>
      <c r="DY185" s="1117">
        <f>VLOOKUP($E185,DW$442:DZ$453,3,FALSE)*DW185*($K185)+IF($G185&lt;&gt;0,($I185/$G185)*DW185,0)*(1-$K185)</f>
        <v>0</v>
      </c>
      <c r="DZ185" s="1117">
        <f>VLOOKUP($E185,DW$442:DZ$453,4,FALSE)*DW185*($K185)+(DW185-DX185-DY185)*(1-$K185)</f>
        <v>0</v>
      </c>
      <c r="EA185" s="1073"/>
      <c r="ED185" s="1129">
        <f>VLOOKUP($A185,'New Resources - Individual'!$A$4:$Y$133,ED$2,FALSE)*ED$1</f>
        <v>0</v>
      </c>
      <c r="EE185" s="1116">
        <f>$G185+ED185</f>
        <v>5501093</v>
      </c>
      <c r="EF185" s="1117">
        <f>VLOOKUP($E185,EE$442:EH$453,2,FALSE)*EE185*($K185)+IF($G185&lt;&gt;0,($H185/$G185)*EE185,0)*(1-$K185)</f>
        <v>5501093</v>
      </c>
      <c r="EG185" s="1117">
        <f>VLOOKUP($E185,EE$442:EH$453,3,FALSE)*EE185*($K185)+IF($G185&lt;&gt;0,($I185/$G185)*EE185,0)*(1-$K185)</f>
        <v>0</v>
      </c>
      <c r="EH185" s="1117">
        <f>VLOOKUP($E185,EE$442:EH$453,4,FALSE)*EE185*($K185)+(EE185-EF185-EG185)*(1-$K185)</f>
        <v>0</v>
      </c>
      <c r="EI185" s="1073"/>
      <c r="EL185" s="1129">
        <f>VLOOKUP($A185,'New Resources - Individual'!$A$4:$Y$133,EL$2,FALSE)*EL$1</f>
        <v>0</v>
      </c>
      <c r="EM185" s="1116">
        <f>$G185+EL185</f>
        <v>5501093</v>
      </c>
      <c r="EN185" s="1117">
        <f>VLOOKUP($E185,EM$442:EP$453,2,FALSE)*EM185*($K185)+IF($G185&lt;&gt;0,($H185/$G185)*EM185,0)*(1-$K185)</f>
        <v>5501093</v>
      </c>
      <c r="EO185" s="1117">
        <f>VLOOKUP($E185,EM$442:EP$453,3,FALSE)*EM185*($K185)+IF($G185&lt;&gt;0,($I185/$G185)*EM185,0)*(1-$K185)</f>
        <v>0</v>
      </c>
      <c r="EP185" s="1117">
        <f>VLOOKUP($E185,EM$442:EP$453,4,FALSE)*EM185*($K185)+(EM185-EN185-EO185)*(1-$K185)</f>
        <v>0</v>
      </c>
      <c r="EQ185" s="1073"/>
      <c r="ET185" s="1129">
        <f>VLOOKUP($A185,'New Resources - Individual'!$A$4:$Y$133,ET$2,FALSE)*ET$1</f>
        <v>0</v>
      </c>
      <c r="EU185" s="1116">
        <f>$G185+ET185</f>
        <v>5501093</v>
      </c>
      <c r="EV185" s="1117">
        <f>VLOOKUP($E185,EU$442:EX$453,2,FALSE)*EU185*($K185)+IF($G185&lt;&gt;0,($H185/$G185)*EU185,0)*(1-$K185)</f>
        <v>5501093</v>
      </c>
      <c r="EW185" s="1117">
        <f>VLOOKUP($E185,EU$442:EX$453,3,FALSE)*EU185*($K185)+IF($G185&lt;&gt;0,($I185/$G185)*EU185,0)*(1-$K185)</f>
        <v>0</v>
      </c>
      <c r="EX185" s="1117">
        <f>VLOOKUP($E185,EU$442:EX$453,4,FALSE)*EU185*($K185)+(EU185-EV185-EW185)*(1-$K185)</f>
        <v>0</v>
      </c>
      <c r="EY185" s="1073"/>
      <c r="FB185" s="1129">
        <f>VLOOKUP($A185,'New Resources - Individual'!$A$4:$Y$133,FB$2,FALSE)*FB$1</f>
        <v>0</v>
      </c>
      <c r="FC185" s="1116">
        <f>$G185+FB185</f>
        <v>5501093</v>
      </c>
      <c r="FD185" s="1117">
        <f>VLOOKUP($E185,FC$442:FF$453,2,FALSE)*FC185*($K185)+IF($G185&lt;&gt;0,($H185/$G185)*FC185,0)*(1-$K185)</f>
        <v>5501093</v>
      </c>
      <c r="FE185" s="1117">
        <f>VLOOKUP($E185,FC$442:FF$453,3,FALSE)*FC185*($K185)+IF($G185&lt;&gt;0,($I185/$G185)*FC185,0)*(1-$K185)</f>
        <v>0</v>
      </c>
      <c r="FF185" s="1117">
        <f>VLOOKUP($E185,FC$442:FF$453,4,FALSE)*FC185*($K185)+(FC185-FD185-FE185)*(1-$K185)</f>
        <v>0</v>
      </c>
      <c r="FG185" s="1073"/>
      <c r="FJ185" s="1129">
        <f>VLOOKUP($A185,'New Resources - Individual'!$A$4:$Y$133,FJ$2,FALSE)*FJ$1</f>
        <v>0</v>
      </c>
      <c r="FK185" s="1116">
        <f>$G185+FJ185</f>
        <v>5501093</v>
      </c>
      <c r="FL185" s="1117">
        <f>VLOOKUP($E185,FK$442:FN$453,2,FALSE)*FK185*($K185)+IF($G185&lt;&gt;0,($H185/$G185)*FK185,0)*(1-$K185)</f>
        <v>5501093</v>
      </c>
      <c r="FM185" s="1117">
        <f>VLOOKUP($E185,FK$442:FN$453,3,FALSE)*FK185*($K185)+IF($G185&lt;&gt;0,($I185/$G185)*FK185,0)*(1-$K185)</f>
        <v>0</v>
      </c>
      <c r="FN185" s="1117">
        <f>VLOOKUP($E185,FK$442:FN$453,4,FALSE)*FK185*($K185)+(FK185-FL185-FM185)*(1-$K185)</f>
        <v>0</v>
      </c>
      <c r="FO185" s="1073"/>
    </row>
    <row r="186" spans="1:171">
      <c r="A186" s="1395"/>
      <c r="B186" s="990" t="s">
        <v>464</v>
      </c>
      <c r="C186" s="55"/>
      <c r="D186" s="55"/>
      <c r="E186" s="196"/>
      <c r="F186" s="196"/>
      <c r="G186" s="68"/>
      <c r="H186" s="68"/>
      <c r="I186" s="68"/>
      <c r="J186" s="991"/>
      <c r="K186" s="903"/>
      <c r="S186" s="1073"/>
      <c r="AA186" s="1073"/>
      <c r="AI186" s="1073"/>
      <c r="AQ186" s="1073"/>
      <c r="AY186" s="1073"/>
      <c r="BG186" s="1073"/>
      <c r="BO186" s="1073"/>
      <c r="BW186" s="1073"/>
      <c r="CE186" s="1073"/>
      <c r="CM186" s="1073"/>
      <c r="CU186" s="1073"/>
      <c r="DC186" s="1073"/>
      <c r="DK186" s="1073"/>
      <c r="DS186" s="1073"/>
      <c r="EA186" s="1073"/>
      <c r="EI186" s="1073"/>
      <c r="EQ186" s="1073"/>
      <c r="EY186" s="1073"/>
      <c r="FG186" s="1073"/>
      <c r="FO186" s="1073"/>
    </row>
    <row r="187" spans="1:171">
      <c r="A187" s="1392">
        <v>560</v>
      </c>
      <c r="B187" s="220" t="s">
        <v>455</v>
      </c>
      <c r="C187" s="888" t="s">
        <v>72</v>
      </c>
      <c r="D187" s="888">
        <v>547</v>
      </c>
      <c r="E187" s="182" t="str">
        <f>'Sch 3 - Expenses'!E27</f>
        <v>PROD</v>
      </c>
      <c r="F187" s="889"/>
      <c r="G187" s="182">
        <f>'Sch 3 - Expenses'!G27</f>
        <v>116227146</v>
      </c>
      <c r="H187" s="182">
        <f>'Sch 3 - Expenses'!H27</f>
        <v>116227146</v>
      </c>
      <c r="I187" s="182">
        <f>'Sch 3 - Expenses'!I27</f>
        <v>0</v>
      </c>
      <c r="J187" s="183">
        <f>'Sch 3 - Expenses'!J27</f>
        <v>0</v>
      </c>
      <c r="K187" s="903">
        <f t="shared" si="547"/>
        <v>1</v>
      </c>
      <c r="N187" s="1129">
        <f>VLOOKUP($A187,'New Resources - Individual'!$A$4:$Y$133,N$2,FALSE)*N$1</f>
        <v>0</v>
      </c>
      <c r="O187" s="1116">
        <f>$G187+N187</f>
        <v>116227146</v>
      </c>
      <c r="P187" s="1117">
        <f>VLOOKUP($E187,O$442:R$453,2,FALSE)*O187*($K187)+IF($G187&lt;&gt;0,($H187/$G187)*O187,0)*(1-$K187)</f>
        <v>116227146</v>
      </c>
      <c r="Q187" s="1117">
        <f>VLOOKUP($E187,O$442:R$453,3,FALSE)*O187*($K187)+IF($G187&lt;&gt;0,($I187/$G187)*O187,0)*(1-$K187)</f>
        <v>0</v>
      </c>
      <c r="R187" s="1117">
        <f>VLOOKUP($E187,O$442:R$453,4,FALSE)*O187*($K187)+(O187-P187-Q187)*(1-$K187)</f>
        <v>0</v>
      </c>
      <c r="S187" s="1073"/>
      <c r="V187" s="1129">
        <f>VLOOKUP($A187,'New Resources - Individual'!$A$4:$Y$133,V$2,FALSE)*V$1</f>
        <v>0</v>
      </c>
      <c r="W187" s="1116">
        <f>$G187+V187</f>
        <v>116227146</v>
      </c>
      <c r="X187" s="1117">
        <f>VLOOKUP($E187,W$442:Z$453,2,FALSE)*W187*($K187)+IF($G187&lt;&gt;0,($H187/$G187)*W187,0)*(1-$K187)</f>
        <v>116227146</v>
      </c>
      <c r="Y187" s="1117">
        <f>VLOOKUP($E187,W$442:Z$453,3,FALSE)*W187*($K187)+IF($G187&lt;&gt;0,($I187/$G187)*W187,0)*(1-$K187)</f>
        <v>0</v>
      </c>
      <c r="Z187" s="1117">
        <f>VLOOKUP($E187,W$442:Z$453,4,FALSE)*W187*($K187)+(W187-X187-Y187)*(1-$K187)</f>
        <v>0</v>
      </c>
      <c r="AA187" s="1073"/>
      <c r="AD187" s="1129">
        <f>VLOOKUP($A187,'New Resources - Individual'!$A$4:$Y$133,AD$2,FALSE)*AD$1</f>
        <v>0</v>
      </c>
      <c r="AE187" s="1116">
        <f>$G187+AD187</f>
        <v>116227146</v>
      </c>
      <c r="AF187" s="1117">
        <f>VLOOKUP($E187,AE$442:AH$453,2,FALSE)*AE187*($K187)+IF($G187&lt;&gt;0,($H187/$G187)*AE187,0)*(1-$K187)</f>
        <v>116227146</v>
      </c>
      <c r="AG187" s="1117">
        <f>VLOOKUP($E187,AE$442:AH$453,3,FALSE)*AE187*($K187)+IF($G187&lt;&gt;0,($I187/$G187)*AE187,0)*(1-$K187)</f>
        <v>0</v>
      </c>
      <c r="AH187" s="1117">
        <f>VLOOKUP($E187,AE$442:AH$453,4,FALSE)*AE187*($K187)+(AE187-AF187-AG187)*(1-$K187)</f>
        <v>0</v>
      </c>
      <c r="AI187" s="1073"/>
      <c r="AL187" s="1129">
        <f>VLOOKUP($A187,'New Resources - Individual'!$A$4:$Y$133,AL$2,FALSE)*AL$1</f>
        <v>0</v>
      </c>
      <c r="AM187" s="1116">
        <f>$G187+AL187</f>
        <v>116227146</v>
      </c>
      <c r="AN187" s="1117">
        <f>VLOOKUP($E187,AM$442:AP$453,2,FALSE)*AM187*($K187)+IF($G187&lt;&gt;0,($H187/$G187)*AM187,0)*(1-$K187)</f>
        <v>116227146</v>
      </c>
      <c r="AO187" s="1117">
        <f>VLOOKUP($E187,AM$442:AP$453,3,FALSE)*AM187*($K187)+IF($G187&lt;&gt;0,($I187/$G187)*AM187,0)*(1-$K187)</f>
        <v>0</v>
      </c>
      <c r="AP187" s="1117">
        <f>VLOOKUP($E187,AM$442:AP$453,4,FALSE)*AM187*($K187)+(AM187-AN187-AO187)*(1-$K187)</f>
        <v>0</v>
      </c>
      <c r="AQ187" s="1073"/>
      <c r="AT187" s="1129">
        <f>VLOOKUP($A187,'New Resources - Individual'!$A$4:$Y$133,AT$2,FALSE)*AT$1</f>
        <v>0</v>
      </c>
      <c r="AU187" s="1116">
        <f>$G187+AT187</f>
        <v>116227146</v>
      </c>
      <c r="AV187" s="1117">
        <f>VLOOKUP($E187,AU$442:AX$453,2,FALSE)*AU187*($K187)+IF($G187&lt;&gt;0,($H187/$G187)*AU187,0)*(1-$K187)</f>
        <v>116227146</v>
      </c>
      <c r="AW187" s="1117">
        <f>VLOOKUP($E187,AU$442:AX$453,3,FALSE)*AU187*($K187)+IF($G187&lt;&gt;0,($I187/$G187)*AU187,0)*(1-$K187)</f>
        <v>0</v>
      </c>
      <c r="AX187" s="1117">
        <f>VLOOKUP($E187,AU$442:AX$453,4,FALSE)*AU187*($K187)+(AU187-AV187-AW187)*(1-$K187)</f>
        <v>0</v>
      </c>
      <c r="AY187" s="1073"/>
      <c r="BB187" s="1129">
        <f>VLOOKUP($A187,'New Resources - Individual'!$A$4:$Y$133,BB$2,FALSE)*BB$1</f>
        <v>0</v>
      </c>
      <c r="BC187" s="1116">
        <f>$G187+BB187</f>
        <v>116227146</v>
      </c>
      <c r="BD187" s="1117">
        <f>VLOOKUP($E187,BC$442:BF$453,2,FALSE)*BC187*($K187)+IF($G187&lt;&gt;0,($H187/$G187)*BC187,0)*(1-$K187)</f>
        <v>116227146</v>
      </c>
      <c r="BE187" s="1117">
        <f>VLOOKUP($E187,BC$442:BF$453,3,FALSE)*BC187*($K187)+IF($G187&lt;&gt;0,($I187/$G187)*BC187,0)*(1-$K187)</f>
        <v>0</v>
      </c>
      <c r="BF187" s="1117">
        <f>VLOOKUP($E187,BC$442:BF$453,4,FALSE)*BC187*($K187)+(BC187-BD187-BE187)*(1-$K187)</f>
        <v>0</v>
      </c>
      <c r="BG187" s="1073"/>
      <c r="BJ187" s="1129">
        <f>VLOOKUP($A187,'New Resources - Individual'!$A$4:$Y$133,BJ$2,FALSE)*BJ$1</f>
        <v>0</v>
      </c>
      <c r="BK187" s="1116">
        <f>$G187+BJ187</f>
        <v>116227146</v>
      </c>
      <c r="BL187" s="1117">
        <f>VLOOKUP($E187,BK$442:BN$453,2,FALSE)*BK187*($K187)+IF($G187&lt;&gt;0,($H187/$G187)*BK187,0)*(1-$K187)</f>
        <v>116227146</v>
      </c>
      <c r="BM187" s="1117">
        <f>VLOOKUP($E187,BK$442:BN$453,3,FALSE)*BK187*($K187)+IF($G187&lt;&gt;0,($I187/$G187)*BK187,0)*(1-$K187)</f>
        <v>0</v>
      </c>
      <c r="BN187" s="1117">
        <f>VLOOKUP($E187,BK$442:BN$453,4,FALSE)*BK187*($K187)+(BK187-BL187-BM187)*(1-$K187)</f>
        <v>0</v>
      </c>
      <c r="BO187" s="1073"/>
      <c r="BR187" s="1129">
        <f>VLOOKUP($A187,'New Resources - Individual'!$A$4:$Y$133,BR$2,FALSE)*BR$1</f>
        <v>0</v>
      </c>
      <c r="BS187" s="1116">
        <f>$G187+BR187</f>
        <v>116227146</v>
      </c>
      <c r="BT187" s="1117">
        <f>VLOOKUP($E187,BS$442:BV$453,2,FALSE)*BS187*($K187)+IF($G187&lt;&gt;0,($H187/$G187)*BS187,0)*(1-$K187)</f>
        <v>116227146</v>
      </c>
      <c r="BU187" s="1117">
        <f>VLOOKUP($E187,BS$442:BV$453,3,FALSE)*BS187*($K187)+IF($G187&lt;&gt;0,($I187/$G187)*BS187,0)*(1-$K187)</f>
        <v>0</v>
      </c>
      <c r="BV187" s="1117">
        <f>VLOOKUP($E187,BS$442:BV$453,4,FALSE)*BS187*($K187)+(BS187-BT187-BU187)*(1-$K187)</f>
        <v>0</v>
      </c>
      <c r="BW187" s="1073"/>
      <c r="BZ187" s="1129">
        <f>VLOOKUP($A187,'New Resources - Individual'!$A$4:$Y$133,BZ$2,FALSE)*BZ$1</f>
        <v>0</v>
      </c>
      <c r="CA187" s="1116">
        <f>$G187+BZ187</f>
        <v>116227146</v>
      </c>
      <c r="CB187" s="1117">
        <f>VLOOKUP($E187,CA$442:CD$453,2,FALSE)*CA187*($K187)+IF($G187&lt;&gt;0,($H187/$G187)*CA187,0)*(1-$K187)</f>
        <v>116227146</v>
      </c>
      <c r="CC187" s="1117">
        <f>VLOOKUP($E187,CA$442:CD$453,3,FALSE)*CA187*($K187)+IF($G187&lt;&gt;0,($I187/$G187)*CA187,0)*(1-$K187)</f>
        <v>0</v>
      </c>
      <c r="CD187" s="1117">
        <f>VLOOKUP($E187,CA$442:CD$453,4,FALSE)*CA187*($K187)+(CA187-CB187-CC187)*(1-$K187)</f>
        <v>0</v>
      </c>
      <c r="CE187" s="1073"/>
      <c r="CH187" s="1129">
        <f>VLOOKUP($A187,'New Resources - Individual'!$A$4:$Y$133,CH$2,FALSE)*CH$1</f>
        <v>0</v>
      </c>
      <c r="CI187" s="1116">
        <f>$G187+CH187</f>
        <v>116227146</v>
      </c>
      <c r="CJ187" s="1117">
        <f>VLOOKUP($E187,CI$442:CL$453,2,FALSE)*CI187*($K187)+IF($G187&lt;&gt;0,($H187/$G187)*CI187,0)*(1-$K187)</f>
        <v>116227146</v>
      </c>
      <c r="CK187" s="1117">
        <f>VLOOKUP($E187,CI$442:CL$453,3,FALSE)*CI187*($K187)+IF($G187&lt;&gt;0,($I187/$G187)*CI187,0)*(1-$K187)</f>
        <v>0</v>
      </c>
      <c r="CL187" s="1117">
        <f>VLOOKUP($E187,CI$442:CL$453,4,FALSE)*CI187*($K187)+(CI187-CJ187-CK187)*(1-$K187)</f>
        <v>0</v>
      </c>
      <c r="CM187" s="1073"/>
      <c r="CP187" s="1129">
        <f>VLOOKUP($A187,'New Resources - Individual'!$A$4:$Y$133,CP$2,FALSE)*CP$1</f>
        <v>0</v>
      </c>
      <c r="CQ187" s="1116">
        <f>$G187+CP187</f>
        <v>116227146</v>
      </c>
      <c r="CR187" s="1117">
        <f>VLOOKUP($E187,CQ$442:CT$453,2,FALSE)*CQ187*($K187)+IF($G187&lt;&gt;0,($H187/$G187)*CQ187,0)*(1-$K187)</f>
        <v>116227146</v>
      </c>
      <c r="CS187" s="1117">
        <f>VLOOKUP($E187,CQ$442:CT$453,3,FALSE)*CQ187*($K187)+IF($G187&lt;&gt;0,($I187/$G187)*CQ187,0)*(1-$K187)</f>
        <v>0</v>
      </c>
      <c r="CT187" s="1117">
        <f>VLOOKUP($E187,CQ$442:CT$453,4,FALSE)*CQ187*($K187)+(CQ187-CR187-CS187)*(1-$K187)</f>
        <v>0</v>
      </c>
      <c r="CU187" s="1073"/>
      <c r="CX187" s="1129">
        <f>VLOOKUP($A187,'New Resources - Individual'!$A$4:$Y$133,CX$2,FALSE)*CX$1</f>
        <v>0</v>
      </c>
      <c r="CY187" s="1116">
        <f>$G187+CX187</f>
        <v>116227146</v>
      </c>
      <c r="CZ187" s="1117">
        <f>VLOOKUP($E187,CY$442:DB$453,2,FALSE)*CY187*($K187)+IF($G187&lt;&gt;0,($H187/$G187)*CY187,0)*(1-$K187)</f>
        <v>116227146</v>
      </c>
      <c r="DA187" s="1117">
        <f>VLOOKUP($E187,CY$442:DB$453,3,FALSE)*CY187*($K187)+IF($G187&lt;&gt;0,($I187/$G187)*CY187,0)*(1-$K187)</f>
        <v>0</v>
      </c>
      <c r="DB187" s="1117">
        <f>VLOOKUP($E187,CY$442:DB$453,4,FALSE)*CY187*($K187)+(CY187-CZ187-DA187)*(1-$K187)</f>
        <v>0</v>
      </c>
      <c r="DC187" s="1073"/>
      <c r="DF187" s="1129">
        <f>VLOOKUP($A187,'New Resources - Individual'!$A$4:$Y$133,DF$2,FALSE)*DF$1</f>
        <v>0</v>
      </c>
      <c r="DG187" s="1116">
        <f>$G187+DF187</f>
        <v>116227146</v>
      </c>
      <c r="DH187" s="1117">
        <f>VLOOKUP($E187,DG$442:DJ$453,2,FALSE)*DG187*($K187)+IF($G187&lt;&gt;0,($H187/$G187)*DG187,0)*(1-$K187)</f>
        <v>116227146</v>
      </c>
      <c r="DI187" s="1117">
        <f>VLOOKUP($E187,DG$442:DJ$453,3,FALSE)*DG187*($K187)+IF($G187&lt;&gt;0,($I187/$G187)*DG187,0)*(1-$K187)</f>
        <v>0</v>
      </c>
      <c r="DJ187" s="1117">
        <f>VLOOKUP($E187,DG$442:DJ$453,4,FALSE)*DG187*($K187)+(DG187-DH187-DI187)*(1-$K187)</f>
        <v>0</v>
      </c>
      <c r="DK187" s="1073"/>
      <c r="DN187" s="1129">
        <f>VLOOKUP($A187,'New Resources - Individual'!$A$4:$Y$133,DN$2,FALSE)*DN$1</f>
        <v>0</v>
      </c>
      <c r="DO187" s="1116">
        <f>$G187+DN187</f>
        <v>116227146</v>
      </c>
      <c r="DP187" s="1117">
        <f>VLOOKUP($E187,DO$442:DR$453,2,FALSE)*DO187*($K187)+IF($G187&lt;&gt;0,($H187/$G187)*DO187,0)*(1-$K187)</f>
        <v>116227146</v>
      </c>
      <c r="DQ187" s="1117">
        <f>VLOOKUP($E187,DO$442:DR$453,3,FALSE)*DO187*($K187)+IF($G187&lt;&gt;0,($I187/$G187)*DO187,0)*(1-$K187)</f>
        <v>0</v>
      </c>
      <c r="DR187" s="1117">
        <f>VLOOKUP($E187,DO$442:DR$453,4,FALSE)*DO187*($K187)+(DO187-DP187-DQ187)*(1-$K187)</f>
        <v>0</v>
      </c>
      <c r="DS187" s="1073"/>
      <c r="DV187" s="1129">
        <f>VLOOKUP($A187,'New Resources - Individual'!$A$4:$Y$133,DV$2,FALSE)*DV$1</f>
        <v>0</v>
      </c>
      <c r="DW187" s="1116">
        <f>$G187+DV187</f>
        <v>116227146</v>
      </c>
      <c r="DX187" s="1117">
        <f>VLOOKUP($E187,DW$442:DZ$453,2,FALSE)*DW187*($K187)+IF($G187&lt;&gt;0,($H187/$G187)*DW187,0)*(1-$K187)</f>
        <v>116227146</v>
      </c>
      <c r="DY187" s="1117">
        <f>VLOOKUP($E187,DW$442:DZ$453,3,FALSE)*DW187*($K187)+IF($G187&lt;&gt;0,($I187/$G187)*DW187,0)*(1-$K187)</f>
        <v>0</v>
      </c>
      <c r="DZ187" s="1117">
        <f>VLOOKUP($E187,DW$442:DZ$453,4,FALSE)*DW187*($K187)+(DW187-DX187-DY187)*(1-$K187)</f>
        <v>0</v>
      </c>
      <c r="EA187" s="1073"/>
      <c r="ED187" s="1129">
        <f>VLOOKUP($A187,'New Resources - Individual'!$A$4:$Y$133,ED$2,FALSE)*ED$1</f>
        <v>0</v>
      </c>
      <c r="EE187" s="1116">
        <f>$G187+ED187</f>
        <v>116227146</v>
      </c>
      <c r="EF187" s="1117">
        <f>VLOOKUP($E187,EE$442:EH$453,2,FALSE)*EE187*($K187)+IF($G187&lt;&gt;0,($H187/$G187)*EE187,0)*(1-$K187)</f>
        <v>116227146</v>
      </c>
      <c r="EG187" s="1117">
        <f>VLOOKUP($E187,EE$442:EH$453,3,FALSE)*EE187*($K187)+IF($G187&lt;&gt;0,($I187/$G187)*EE187,0)*(1-$K187)</f>
        <v>0</v>
      </c>
      <c r="EH187" s="1117">
        <f>VLOOKUP($E187,EE$442:EH$453,4,FALSE)*EE187*($K187)+(EE187-EF187-EG187)*(1-$K187)</f>
        <v>0</v>
      </c>
      <c r="EI187" s="1073"/>
      <c r="EL187" s="1129">
        <f>VLOOKUP($A187,'New Resources - Individual'!$A$4:$Y$133,EL$2,FALSE)*EL$1</f>
        <v>0</v>
      </c>
      <c r="EM187" s="1116">
        <f>$G187+EL187</f>
        <v>116227146</v>
      </c>
      <c r="EN187" s="1117">
        <f>VLOOKUP($E187,EM$442:EP$453,2,FALSE)*EM187*($K187)+IF($G187&lt;&gt;0,($H187/$G187)*EM187,0)*(1-$K187)</f>
        <v>116227146</v>
      </c>
      <c r="EO187" s="1117">
        <f>VLOOKUP($E187,EM$442:EP$453,3,FALSE)*EM187*($K187)+IF($G187&lt;&gt;0,($I187/$G187)*EM187,0)*(1-$K187)</f>
        <v>0</v>
      </c>
      <c r="EP187" s="1117">
        <f>VLOOKUP($E187,EM$442:EP$453,4,FALSE)*EM187*($K187)+(EM187-EN187-EO187)*(1-$K187)</f>
        <v>0</v>
      </c>
      <c r="EQ187" s="1073"/>
      <c r="ET187" s="1129">
        <f>VLOOKUP($A187,'New Resources - Individual'!$A$4:$Y$133,ET$2,FALSE)*ET$1</f>
        <v>0</v>
      </c>
      <c r="EU187" s="1116">
        <f>$G187+ET187</f>
        <v>116227146</v>
      </c>
      <c r="EV187" s="1117">
        <f>VLOOKUP($E187,EU$442:EX$453,2,FALSE)*EU187*($K187)+IF($G187&lt;&gt;0,($H187/$G187)*EU187,0)*(1-$K187)</f>
        <v>116227146</v>
      </c>
      <c r="EW187" s="1117">
        <f>VLOOKUP($E187,EU$442:EX$453,3,FALSE)*EU187*($K187)+IF($G187&lt;&gt;0,($I187/$G187)*EU187,0)*(1-$K187)</f>
        <v>0</v>
      </c>
      <c r="EX187" s="1117">
        <f>VLOOKUP($E187,EU$442:EX$453,4,FALSE)*EU187*($K187)+(EU187-EV187-EW187)*(1-$K187)</f>
        <v>0</v>
      </c>
      <c r="EY187" s="1073"/>
      <c r="FB187" s="1129">
        <f>VLOOKUP($A187,'New Resources - Individual'!$A$4:$Y$133,FB$2,FALSE)*FB$1</f>
        <v>0</v>
      </c>
      <c r="FC187" s="1116">
        <f>$G187+FB187</f>
        <v>116227146</v>
      </c>
      <c r="FD187" s="1117">
        <f>VLOOKUP($E187,FC$442:FF$453,2,FALSE)*FC187*($K187)+IF($G187&lt;&gt;0,($H187/$G187)*FC187,0)*(1-$K187)</f>
        <v>116227146</v>
      </c>
      <c r="FE187" s="1117">
        <f>VLOOKUP($E187,FC$442:FF$453,3,FALSE)*FC187*($K187)+IF($G187&lt;&gt;0,($I187/$G187)*FC187,0)*(1-$K187)</f>
        <v>0</v>
      </c>
      <c r="FF187" s="1117">
        <f>VLOOKUP($E187,FC$442:FF$453,4,FALSE)*FC187*($K187)+(FC187-FD187-FE187)*(1-$K187)</f>
        <v>0</v>
      </c>
      <c r="FG187" s="1073"/>
      <c r="FJ187" s="1129">
        <f>VLOOKUP($A187,'New Resources - Individual'!$A$4:$Y$133,FJ$2,FALSE)*FJ$1</f>
        <v>0</v>
      </c>
      <c r="FK187" s="1116">
        <f>$G187+FJ187</f>
        <v>116227146</v>
      </c>
      <c r="FL187" s="1117">
        <f>VLOOKUP($E187,FK$442:FN$453,2,FALSE)*FK187*($K187)+IF($G187&lt;&gt;0,($H187/$G187)*FK187,0)*(1-$K187)</f>
        <v>116227146</v>
      </c>
      <c r="FM187" s="1117">
        <f>VLOOKUP($E187,FK$442:FN$453,3,FALSE)*FK187*($K187)+IF($G187&lt;&gt;0,($I187/$G187)*FK187,0)*(1-$K187)</f>
        <v>0</v>
      </c>
      <c r="FN187" s="1117">
        <f>VLOOKUP($E187,FK$442:FN$453,4,FALSE)*FK187*($K187)+(FK187-FL187-FM187)*(1-$K187)</f>
        <v>0</v>
      </c>
      <c r="FO187" s="1073"/>
    </row>
    <row r="188" spans="1:171">
      <c r="A188" s="1392">
        <v>570</v>
      </c>
      <c r="B188" s="913" t="s">
        <v>263</v>
      </c>
      <c r="C188" s="888" t="s">
        <v>72</v>
      </c>
      <c r="D188" s="888" t="s">
        <v>615</v>
      </c>
      <c r="E188" s="182" t="str">
        <f>'Sch 3 - Expenses'!E28</f>
        <v>PROD</v>
      </c>
      <c r="F188" s="889"/>
      <c r="G188" s="182">
        <f>'Sch 3 - Expenses'!G28</f>
        <v>5842028</v>
      </c>
      <c r="H188" s="182">
        <f>'Sch 3 - Expenses'!H28</f>
        <v>5842028</v>
      </c>
      <c r="I188" s="182">
        <f>'Sch 3 - Expenses'!I28</f>
        <v>0</v>
      </c>
      <c r="J188" s="183">
        <f>'Sch 3 - Expenses'!J28</f>
        <v>0</v>
      </c>
      <c r="K188" s="903">
        <f t="shared" si="547"/>
        <v>1</v>
      </c>
      <c r="N188" s="1129">
        <f>VLOOKUP($A188,'New Resources - Individual'!$A$4:$Y$133,N$2,FALSE)*N$1</f>
        <v>0</v>
      </c>
      <c r="O188" s="1116">
        <f>$G188+N188</f>
        <v>5842028</v>
      </c>
      <c r="P188" s="1117">
        <f>VLOOKUP($E188,O$442:R$453,2,FALSE)*O188*($K188)+IF($G188&lt;&gt;0,($H188/$G188)*O188,0)*(1-$K188)</f>
        <v>5842028</v>
      </c>
      <c r="Q188" s="1117">
        <f>VLOOKUP($E188,O$442:R$453,3,FALSE)*O188*($K188)+IF($G188&lt;&gt;0,($I188/$G188)*O188,0)*(1-$K188)</f>
        <v>0</v>
      </c>
      <c r="R188" s="1117">
        <f>VLOOKUP($E188,O$442:R$453,4,FALSE)*O188*($K188)+(O188-P188-Q188)*(1-$K188)</f>
        <v>0</v>
      </c>
      <c r="S188" s="1073"/>
      <c r="V188" s="1129">
        <f>VLOOKUP($A188,'New Resources - Individual'!$A$4:$Y$133,V$2,FALSE)*V$1</f>
        <v>0</v>
      </c>
      <c r="W188" s="1116">
        <f>$G188+V188</f>
        <v>5842028</v>
      </c>
      <c r="X188" s="1117">
        <f>VLOOKUP($E188,W$442:Z$453,2,FALSE)*W188*($K188)+IF($G188&lt;&gt;0,($H188/$G188)*W188,0)*(1-$K188)</f>
        <v>5842028</v>
      </c>
      <c r="Y188" s="1117">
        <f>VLOOKUP($E188,W$442:Z$453,3,FALSE)*W188*($K188)+IF($G188&lt;&gt;0,($I188/$G188)*W188,0)*(1-$K188)</f>
        <v>0</v>
      </c>
      <c r="Z188" s="1117">
        <f>VLOOKUP($E188,W$442:Z$453,4,FALSE)*W188*($K188)+(W188-X188-Y188)*(1-$K188)</f>
        <v>0</v>
      </c>
      <c r="AA188" s="1073"/>
      <c r="AD188" s="1129">
        <f>VLOOKUP($A188,'New Resources - Individual'!$A$4:$Y$133,AD$2,FALSE)*AD$1</f>
        <v>0</v>
      </c>
      <c r="AE188" s="1116">
        <f>$G188+AD188</f>
        <v>5842028</v>
      </c>
      <c r="AF188" s="1117">
        <f>VLOOKUP($E188,AE$442:AH$453,2,FALSE)*AE188*($K188)+IF($G188&lt;&gt;0,($H188/$G188)*AE188,0)*(1-$K188)</f>
        <v>5842028</v>
      </c>
      <c r="AG188" s="1117">
        <f>VLOOKUP($E188,AE$442:AH$453,3,FALSE)*AE188*($K188)+IF($G188&lt;&gt;0,($I188/$G188)*AE188,0)*(1-$K188)</f>
        <v>0</v>
      </c>
      <c r="AH188" s="1117">
        <f>VLOOKUP($E188,AE$442:AH$453,4,FALSE)*AE188*($K188)+(AE188-AF188-AG188)*(1-$K188)</f>
        <v>0</v>
      </c>
      <c r="AI188" s="1073"/>
      <c r="AL188" s="1129">
        <f>VLOOKUP($A188,'New Resources - Individual'!$A$4:$Y$133,AL$2,FALSE)*AL$1</f>
        <v>0</v>
      </c>
      <c r="AM188" s="1116">
        <f>$G188+AL188</f>
        <v>5842028</v>
      </c>
      <c r="AN188" s="1117">
        <f>VLOOKUP($E188,AM$442:AP$453,2,FALSE)*AM188*($K188)+IF($G188&lt;&gt;0,($H188/$G188)*AM188,0)*(1-$K188)</f>
        <v>5842028</v>
      </c>
      <c r="AO188" s="1117">
        <f>VLOOKUP($E188,AM$442:AP$453,3,FALSE)*AM188*($K188)+IF($G188&lt;&gt;0,($I188/$G188)*AM188,0)*(1-$K188)</f>
        <v>0</v>
      </c>
      <c r="AP188" s="1117">
        <f>VLOOKUP($E188,AM$442:AP$453,4,FALSE)*AM188*($K188)+(AM188-AN188-AO188)*(1-$K188)</f>
        <v>0</v>
      </c>
      <c r="AQ188" s="1073"/>
      <c r="AT188" s="1129">
        <f>VLOOKUP($A188,'New Resources - Individual'!$A$4:$Y$133,AT$2,FALSE)*AT$1</f>
        <v>0</v>
      </c>
      <c r="AU188" s="1116">
        <f>$G188+AT188</f>
        <v>5842028</v>
      </c>
      <c r="AV188" s="1117">
        <f>VLOOKUP($E188,AU$442:AX$453,2,FALSE)*AU188*($K188)+IF($G188&lt;&gt;0,($H188/$G188)*AU188,0)*(1-$K188)</f>
        <v>5842028</v>
      </c>
      <c r="AW188" s="1117">
        <f>VLOOKUP($E188,AU$442:AX$453,3,FALSE)*AU188*($K188)+IF($G188&lt;&gt;0,($I188/$G188)*AU188,0)*(1-$K188)</f>
        <v>0</v>
      </c>
      <c r="AX188" s="1117">
        <f>VLOOKUP($E188,AU$442:AX$453,4,FALSE)*AU188*($K188)+(AU188-AV188-AW188)*(1-$K188)</f>
        <v>0</v>
      </c>
      <c r="AY188" s="1073"/>
      <c r="BB188" s="1129">
        <f>VLOOKUP($A188,'New Resources - Individual'!$A$4:$Y$133,BB$2,FALSE)*BB$1</f>
        <v>0</v>
      </c>
      <c r="BC188" s="1116">
        <f>$G188+BB188</f>
        <v>5842028</v>
      </c>
      <c r="BD188" s="1117">
        <f>VLOOKUP($E188,BC$442:BF$453,2,FALSE)*BC188*($K188)+IF($G188&lt;&gt;0,($H188/$G188)*BC188,0)*(1-$K188)</f>
        <v>5842028</v>
      </c>
      <c r="BE188" s="1117">
        <f>VLOOKUP($E188,BC$442:BF$453,3,FALSE)*BC188*($K188)+IF($G188&lt;&gt;0,($I188/$G188)*BC188,0)*(1-$K188)</f>
        <v>0</v>
      </c>
      <c r="BF188" s="1117">
        <f>VLOOKUP($E188,BC$442:BF$453,4,FALSE)*BC188*($K188)+(BC188-BD188-BE188)*(1-$K188)</f>
        <v>0</v>
      </c>
      <c r="BG188" s="1073"/>
      <c r="BJ188" s="1129">
        <f>VLOOKUP($A188,'New Resources - Individual'!$A$4:$Y$133,BJ$2,FALSE)*BJ$1</f>
        <v>0</v>
      </c>
      <c r="BK188" s="1116">
        <f>$G188+BJ188</f>
        <v>5842028</v>
      </c>
      <c r="BL188" s="1117">
        <f>VLOOKUP($E188,BK$442:BN$453,2,FALSE)*BK188*($K188)+IF($G188&lt;&gt;0,($H188/$G188)*BK188,0)*(1-$K188)</f>
        <v>5842028</v>
      </c>
      <c r="BM188" s="1117">
        <f>VLOOKUP($E188,BK$442:BN$453,3,FALSE)*BK188*($K188)+IF($G188&lt;&gt;0,($I188/$G188)*BK188,0)*(1-$K188)</f>
        <v>0</v>
      </c>
      <c r="BN188" s="1117">
        <f>VLOOKUP($E188,BK$442:BN$453,4,FALSE)*BK188*($K188)+(BK188-BL188-BM188)*(1-$K188)</f>
        <v>0</v>
      </c>
      <c r="BO188" s="1073"/>
      <c r="BR188" s="1129">
        <f>VLOOKUP($A188,'New Resources - Individual'!$A$4:$Y$133,BR$2,FALSE)*BR$1</f>
        <v>0</v>
      </c>
      <c r="BS188" s="1116">
        <f>$G188+BR188</f>
        <v>5842028</v>
      </c>
      <c r="BT188" s="1117">
        <f>VLOOKUP($E188,BS$442:BV$453,2,FALSE)*BS188*($K188)+IF($G188&lt;&gt;0,($H188/$G188)*BS188,0)*(1-$K188)</f>
        <v>5842028</v>
      </c>
      <c r="BU188" s="1117">
        <f>VLOOKUP($E188,BS$442:BV$453,3,FALSE)*BS188*($K188)+IF($G188&lt;&gt;0,($I188/$G188)*BS188,0)*(1-$K188)</f>
        <v>0</v>
      </c>
      <c r="BV188" s="1117">
        <f>VLOOKUP($E188,BS$442:BV$453,4,FALSE)*BS188*($K188)+(BS188-BT188-BU188)*(1-$K188)</f>
        <v>0</v>
      </c>
      <c r="BW188" s="1073"/>
      <c r="BZ188" s="1129">
        <f>VLOOKUP($A188,'New Resources - Individual'!$A$4:$Y$133,BZ$2,FALSE)*BZ$1</f>
        <v>0</v>
      </c>
      <c r="CA188" s="1116">
        <f>$G188+BZ188</f>
        <v>5842028</v>
      </c>
      <c r="CB188" s="1117">
        <f>VLOOKUP($E188,CA$442:CD$453,2,FALSE)*CA188*($K188)+IF($G188&lt;&gt;0,($H188/$G188)*CA188,0)*(1-$K188)</f>
        <v>5842028</v>
      </c>
      <c r="CC188" s="1117">
        <f>VLOOKUP($E188,CA$442:CD$453,3,FALSE)*CA188*($K188)+IF($G188&lt;&gt;0,($I188/$G188)*CA188,0)*(1-$K188)</f>
        <v>0</v>
      </c>
      <c r="CD188" s="1117">
        <f>VLOOKUP($E188,CA$442:CD$453,4,FALSE)*CA188*($K188)+(CA188-CB188-CC188)*(1-$K188)</f>
        <v>0</v>
      </c>
      <c r="CE188" s="1073"/>
      <c r="CH188" s="1129">
        <f>VLOOKUP($A188,'New Resources - Individual'!$A$4:$Y$133,CH$2,FALSE)*CH$1</f>
        <v>0</v>
      </c>
      <c r="CI188" s="1116">
        <f>$G188+CH188</f>
        <v>5842028</v>
      </c>
      <c r="CJ188" s="1117">
        <f>VLOOKUP($E188,CI$442:CL$453,2,FALSE)*CI188*($K188)+IF($G188&lt;&gt;0,($H188/$G188)*CI188,0)*(1-$K188)</f>
        <v>5842028</v>
      </c>
      <c r="CK188" s="1117">
        <f>VLOOKUP($E188,CI$442:CL$453,3,FALSE)*CI188*($K188)+IF($G188&lt;&gt;0,($I188/$G188)*CI188,0)*(1-$K188)</f>
        <v>0</v>
      </c>
      <c r="CL188" s="1117">
        <f>VLOOKUP($E188,CI$442:CL$453,4,FALSE)*CI188*($K188)+(CI188-CJ188-CK188)*(1-$K188)</f>
        <v>0</v>
      </c>
      <c r="CM188" s="1073"/>
      <c r="CP188" s="1129">
        <f>VLOOKUP($A188,'New Resources - Individual'!$A$4:$Y$133,CP$2,FALSE)*CP$1</f>
        <v>0</v>
      </c>
      <c r="CQ188" s="1116">
        <f>$G188+CP188</f>
        <v>5842028</v>
      </c>
      <c r="CR188" s="1117">
        <f>VLOOKUP($E188,CQ$442:CT$453,2,FALSE)*CQ188*($K188)+IF($G188&lt;&gt;0,($H188/$G188)*CQ188,0)*(1-$K188)</f>
        <v>5842028</v>
      </c>
      <c r="CS188" s="1117">
        <f>VLOOKUP($E188,CQ$442:CT$453,3,FALSE)*CQ188*($K188)+IF($G188&lt;&gt;0,($I188/$G188)*CQ188,0)*(1-$K188)</f>
        <v>0</v>
      </c>
      <c r="CT188" s="1117">
        <f>VLOOKUP($E188,CQ$442:CT$453,4,FALSE)*CQ188*($K188)+(CQ188-CR188-CS188)*(1-$K188)</f>
        <v>0</v>
      </c>
      <c r="CU188" s="1073"/>
      <c r="CX188" s="1129">
        <f>VLOOKUP($A188,'New Resources - Individual'!$A$4:$Y$133,CX$2,FALSE)*CX$1</f>
        <v>0</v>
      </c>
      <c r="CY188" s="1116">
        <f>$G188+CX188</f>
        <v>5842028</v>
      </c>
      <c r="CZ188" s="1117">
        <f>VLOOKUP($E188,CY$442:DB$453,2,FALSE)*CY188*($K188)+IF($G188&lt;&gt;0,($H188/$G188)*CY188,0)*(1-$K188)</f>
        <v>5842028</v>
      </c>
      <c r="DA188" s="1117">
        <f>VLOOKUP($E188,CY$442:DB$453,3,FALSE)*CY188*($K188)+IF($G188&lt;&gt;0,($I188/$G188)*CY188,0)*(1-$K188)</f>
        <v>0</v>
      </c>
      <c r="DB188" s="1117">
        <f>VLOOKUP($E188,CY$442:DB$453,4,FALSE)*CY188*($K188)+(CY188-CZ188-DA188)*(1-$K188)</f>
        <v>0</v>
      </c>
      <c r="DC188" s="1073"/>
      <c r="DF188" s="1129">
        <f>VLOOKUP($A188,'New Resources - Individual'!$A$4:$Y$133,DF$2,FALSE)*DF$1</f>
        <v>0</v>
      </c>
      <c r="DG188" s="1116">
        <f>$G188+DF188</f>
        <v>5842028</v>
      </c>
      <c r="DH188" s="1117">
        <f>VLOOKUP($E188,DG$442:DJ$453,2,FALSE)*DG188*($K188)+IF($G188&lt;&gt;0,($H188/$G188)*DG188,0)*(1-$K188)</f>
        <v>5842028</v>
      </c>
      <c r="DI188" s="1117">
        <f>VLOOKUP($E188,DG$442:DJ$453,3,FALSE)*DG188*($K188)+IF($G188&lt;&gt;0,($I188/$G188)*DG188,0)*(1-$K188)</f>
        <v>0</v>
      </c>
      <c r="DJ188" s="1117">
        <f>VLOOKUP($E188,DG$442:DJ$453,4,FALSE)*DG188*($K188)+(DG188-DH188-DI188)*(1-$K188)</f>
        <v>0</v>
      </c>
      <c r="DK188" s="1073"/>
      <c r="DN188" s="1129">
        <f>VLOOKUP($A188,'New Resources - Individual'!$A$4:$Y$133,DN$2,FALSE)*DN$1</f>
        <v>0</v>
      </c>
      <c r="DO188" s="1116">
        <f>$G188+DN188</f>
        <v>5842028</v>
      </c>
      <c r="DP188" s="1117">
        <f>VLOOKUP($E188,DO$442:DR$453,2,FALSE)*DO188*($K188)+IF($G188&lt;&gt;0,($H188/$G188)*DO188,0)*(1-$K188)</f>
        <v>5842028</v>
      </c>
      <c r="DQ188" s="1117">
        <f>VLOOKUP($E188,DO$442:DR$453,3,FALSE)*DO188*($K188)+IF($G188&lt;&gt;0,($I188/$G188)*DO188,0)*(1-$K188)</f>
        <v>0</v>
      </c>
      <c r="DR188" s="1117">
        <f>VLOOKUP($E188,DO$442:DR$453,4,FALSE)*DO188*($K188)+(DO188-DP188-DQ188)*(1-$K188)</f>
        <v>0</v>
      </c>
      <c r="DS188" s="1073"/>
      <c r="DV188" s="1129">
        <f>VLOOKUP($A188,'New Resources - Individual'!$A$4:$Y$133,DV$2,FALSE)*DV$1</f>
        <v>0</v>
      </c>
      <c r="DW188" s="1116">
        <f>$G188+DV188</f>
        <v>5842028</v>
      </c>
      <c r="DX188" s="1117">
        <f>VLOOKUP($E188,DW$442:DZ$453,2,FALSE)*DW188*($K188)+IF($G188&lt;&gt;0,($H188/$G188)*DW188,0)*(1-$K188)</f>
        <v>5842028</v>
      </c>
      <c r="DY188" s="1117">
        <f>VLOOKUP($E188,DW$442:DZ$453,3,FALSE)*DW188*($K188)+IF($G188&lt;&gt;0,($I188/$G188)*DW188,0)*(1-$K188)</f>
        <v>0</v>
      </c>
      <c r="DZ188" s="1117">
        <f>VLOOKUP($E188,DW$442:DZ$453,4,FALSE)*DW188*($K188)+(DW188-DX188-DY188)*(1-$K188)</f>
        <v>0</v>
      </c>
      <c r="EA188" s="1073"/>
      <c r="ED188" s="1129">
        <f>VLOOKUP($A188,'New Resources - Individual'!$A$4:$Y$133,ED$2,FALSE)*ED$1</f>
        <v>0</v>
      </c>
      <c r="EE188" s="1116">
        <f>$G188+ED188</f>
        <v>5842028</v>
      </c>
      <c r="EF188" s="1117">
        <f>VLOOKUP($E188,EE$442:EH$453,2,FALSE)*EE188*($K188)+IF($G188&lt;&gt;0,($H188/$G188)*EE188,0)*(1-$K188)</f>
        <v>5842028</v>
      </c>
      <c r="EG188" s="1117">
        <f>VLOOKUP($E188,EE$442:EH$453,3,FALSE)*EE188*($K188)+IF($G188&lt;&gt;0,($I188/$G188)*EE188,0)*(1-$K188)</f>
        <v>0</v>
      </c>
      <c r="EH188" s="1117">
        <f>VLOOKUP($E188,EE$442:EH$453,4,FALSE)*EE188*($K188)+(EE188-EF188-EG188)*(1-$K188)</f>
        <v>0</v>
      </c>
      <c r="EI188" s="1073"/>
      <c r="EL188" s="1129">
        <f>VLOOKUP($A188,'New Resources - Individual'!$A$4:$Y$133,EL$2,FALSE)*EL$1</f>
        <v>0</v>
      </c>
      <c r="EM188" s="1116">
        <f>$G188+EL188</f>
        <v>5842028</v>
      </c>
      <c r="EN188" s="1117">
        <f>VLOOKUP($E188,EM$442:EP$453,2,FALSE)*EM188*($K188)+IF($G188&lt;&gt;0,($H188/$G188)*EM188,0)*(1-$K188)</f>
        <v>5842028</v>
      </c>
      <c r="EO188" s="1117">
        <f>VLOOKUP($E188,EM$442:EP$453,3,FALSE)*EM188*($K188)+IF($G188&lt;&gt;0,($I188/$G188)*EM188,0)*(1-$K188)</f>
        <v>0</v>
      </c>
      <c r="EP188" s="1117">
        <f>VLOOKUP($E188,EM$442:EP$453,4,FALSE)*EM188*($K188)+(EM188-EN188-EO188)*(1-$K188)</f>
        <v>0</v>
      </c>
      <c r="EQ188" s="1073"/>
      <c r="ET188" s="1129">
        <f>VLOOKUP($A188,'New Resources - Individual'!$A$4:$Y$133,ET$2,FALSE)*ET$1</f>
        <v>0</v>
      </c>
      <c r="EU188" s="1116">
        <f>$G188+ET188</f>
        <v>5842028</v>
      </c>
      <c r="EV188" s="1117">
        <f>VLOOKUP($E188,EU$442:EX$453,2,FALSE)*EU188*($K188)+IF($G188&lt;&gt;0,($H188/$G188)*EU188,0)*(1-$K188)</f>
        <v>5842028</v>
      </c>
      <c r="EW188" s="1117">
        <f>VLOOKUP($E188,EU$442:EX$453,3,FALSE)*EU188*($K188)+IF($G188&lt;&gt;0,($I188/$G188)*EU188,0)*(1-$K188)</f>
        <v>0</v>
      </c>
      <c r="EX188" s="1117">
        <f>VLOOKUP($E188,EU$442:EX$453,4,FALSE)*EU188*($K188)+(EU188-EV188-EW188)*(1-$K188)</f>
        <v>0</v>
      </c>
      <c r="EY188" s="1073"/>
      <c r="FB188" s="1129">
        <f>VLOOKUP($A188,'New Resources - Individual'!$A$4:$Y$133,FB$2,FALSE)*FB$1</f>
        <v>0</v>
      </c>
      <c r="FC188" s="1116">
        <f>$G188+FB188</f>
        <v>5842028</v>
      </c>
      <c r="FD188" s="1117">
        <f>VLOOKUP($E188,FC$442:FF$453,2,FALSE)*FC188*($K188)+IF($G188&lt;&gt;0,($H188/$G188)*FC188,0)*(1-$K188)</f>
        <v>5842028</v>
      </c>
      <c r="FE188" s="1117">
        <f>VLOOKUP($E188,FC$442:FF$453,3,FALSE)*FC188*($K188)+IF($G188&lt;&gt;0,($I188/$G188)*FC188,0)*(1-$K188)</f>
        <v>0</v>
      </c>
      <c r="FF188" s="1117">
        <f>VLOOKUP($E188,FC$442:FF$453,4,FALSE)*FC188*($K188)+(FC188-FD188-FE188)*(1-$K188)</f>
        <v>0</v>
      </c>
      <c r="FG188" s="1073"/>
      <c r="FJ188" s="1129">
        <f>VLOOKUP($A188,'New Resources - Individual'!$A$4:$Y$133,FJ$2,FALSE)*FJ$1</f>
        <v>0</v>
      </c>
      <c r="FK188" s="1116">
        <f>$G188+FJ188</f>
        <v>5842028</v>
      </c>
      <c r="FL188" s="1117">
        <f>VLOOKUP($E188,FK$442:FN$453,2,FALSE)*FK188*($K188)+IF($G188&lt;&gt;0,($H188/$G188)*FK188,0)*(1-$K188)</f>
        <v>5842028</v>
      </c>
      <c r="FM188" s="1117">
        <f>VLOOKUP($E188,FK$442:FN$453,3,FALSE)*FK188*($K188)+IF($G188&lt;&gt;0,($I188/$G188)*FK188,0)*(1-$K188)</f>
        <v>0</v>
      </c>
      <c r="FN188" s="1117">
        <f>VLOOKUP($E188,FK$442:FN$453,4,FALSE)*FK188*($K188)+(FK188-FL188-FM188)*(1-$K188)</f>
        <v>0</v>
      </c>
      <c r="FO188" s="1073"/>
    </row>
    <row r="189" spans="1:171">
      <c r="A189" s="1392">
        <v>580</v>
      </c>
      <c r="B189" s="913" t="s">
        <v>265</v>
      </c>
      <c r="C189" s="888" t="s">
        <v>72</v>
      </c>
      <c r="D189" s="888" t="s">
        <v>616</v>
      </c>
      <c r="E189" s="182" t="str">
        <f>'Sch 3 - Expenses'!E29</f>
        <v>PROD</v>
      </c>
      <c r="F189" s="889"/>
      <c r="G189" s="182">
        <f>'Sch 3 - Expenses'!G29</f>
        <v>3782274</v>
      </c>
      <c r="H189" s="182">
        <f>'Sch 3 - Expenses'!H29</f>
        <v>3782274</v>
      </c>
      <c r="I189" s="182">
        <f>'Sch 3 - Expenses'!I29</f>
        <v>0</v>
      </c>
      <c r="J189" s="183">
        <f>'Sch 3 - Expenses'!J29</f>
        <v>0</v>
      </c>
      <c r="K189" s="903">
        <f t="shared" si="547"/>
        <v>1</v>
      </c>
      <c r="N189" s="1129">
        <f>VLOOKUP($A189,'New Resources - Individual'!$A$4:$Y$133,N$2,FALSE)*N$1</f>
        <v>0</v>
      </c>
      <c r="O189" s="1116">
        <f>$G189+N189</f>
        <v>3782274</v>
      </c>
      <c r="P189" s="1117">
        <f>VLOOKUP($E189,O$442:R$453,2,FALSE)*O189*($K189)+IF($G189&lt;&gt;0,($H189/$G189)*O189,0)*(1-$K189)</f>
        <v>3782274</v>
      </c>
      <c r="Q189" s="1117">
        <f>VLOOKUP($E189,O$442:R$453,3,FALSE)*O189*($K189)+IF($G189&lt;&gt;0,($I189/$G189)*O189,0)*(1-$K189)</f>
        <v>0</v>
      </c>
      <c r="R189" s="1117">
        <f>VLOOKUP($E189,O$442:R$453,4,FALSE)*O189*($K189)+(O189-P189-Q189)*(1-$K189)</f>
        <v>0</v>
      </c>
      <c r="S189" s="1073"/>
      <c r="V189" s="1129">
        <f>VLOOKUP($A189,'New Resources - Individual'!$A$4:$Y$133,V$2,FALSE)*V$1</f>
        <v>0</v>
      </c>
      <c r="W189" s="1116">
        <f>$G189+V189</f>
        <v>3782274</v>
      </c>
      <c r="X189" s="1117">
        <f>VLOOKUP($E189,W$442:Z$453,2,FALSE)*W189*($K189)+IF($G189&lt;&gt;0,($H189/$G189)*W189,0)*(1-$K189)</f>
        <v>3782274</v>
      </c>
      <c r="Y189" s="1117">
        <f>VLOOKUP($E189,W$442:Z$453,3,FALSE)*W189*($K189)+IF($G189&lt;&gt;0,($I189/$G189)*W189,0)*(1-$K189)</f>
        <v>0</v>
      </c>
      <c r="Z189" s="1117">
        <f>VLOOKUP($E189,W$442:Z$453,4,FALSE)*W189*($K189)+(W189-X189-Y189)*(1-$K189)</f>
        <v>0</v>
      </c>
      <c r="AA189" s="1073"/>
      <c r="AD189" s="1129">
        <f>VLOOKUP($A189,'New Resources - Individual'!$A$4:$Y$133,AD$2,FALSE)*AD$1</f>
        <v>0</v>
      </c>
      <c r="AE189" s="1116">
        <f>$G189+AD189</f>
        <v>3782274</v>
      </c>
      <c r="AF189" s="1117">
        <f>VLOOKUP($E189,AE$442:AH$453,2,FALSE)*AE189*($K189)+IF($G189&lt;&gt;0,($H189/$G189)*AE189,0)*(1-$K189)</f>
        <v>3782274</v>
      </c>
      <c r="AG189" s="1117">
        <f>VLOOKUP($E189,AE$442:AH$453,3,FALSE)*AE189*($K189)+IF($G189&lt;&gt;0,($I189/$G189)*AE189,0)*(1-$K189)</f>
        <v>0</v>
      </c>
      <c r="AH189" s="1117">
        <f>VLOOKUP($E189,AE$442:AH$453,4,FALSE)*AE189*($K189)+(AE189-AF189-AG189)*(1-$K189)</f>
        <v>0</v>
      </c>
      <c r="AI189" s="1073"/>
      <c r="AL189" s="1129">
        <f>VLOOKUP($A189,'New Resources - Individual'!$A$4:$Y$133,AL$2,FALSE)*AL$1</f>
        <v>0</v>
      </c>
      <c r="AM189" s="1116">
        <f>$G189+AL189</f>
        <v>3782274</v>
      </c>
      <c r="AN189" s="1117">
        <f>VLOOKUP($E189,AM$442:AP$453,2,FALSE)*AM189*($K189)+IF($G189&lt;&gt;0,($H189/$G189)*AM189,0)*(1-$K189)</f>
        <v>3782274</v>
      </c>
      <c r="AO189" s="1117">
        <f>VLOOKUP($E189,AM$442:AP$453,3,FALSE)*AM189*($K189)+IF($G189&lt;&gt;0,($I189/$G189)*AM189,0)*(1-$K189)</f>
        <v>0</v>
      </c>
      <c r="AP189" s="1117">
        <f>VLOOKUP($E189,AM$442:AP$453,4,FALSE)*AM189*($K189)+(AM189-AN189-AO189)*(1-$K189)</f>
        <v>0</v>
      </c>
      <c r="AQ189" s="1073"/>
      <c r="AT189" s="1129">
        <f>VLOOKUP($A189,'New Resources - Individual'!$A$4:$Y$133,AT$2,FALSE)*AT$1</f>
        <v>0</v>
      </c>
      <c r="AU189" s="1116">
        <f>$G189+AT189</f>
        <v>3782274</v>
      </c>
      <c r="AV189" s="1117">
        <f>VLOOKUP($E189,AU$442:AX$453,2,FALSE)*AU189*($K189)+IF($G189&lt;&gt;0,($H189/$G189)*AU189,0)*(1-$K189)</f>
        <v>3782274</v>
      </c>
      <c r="AW189" s="1117">
        <f>VLOOKUP($E189,AU$442:AX$453,3,FALSE)*AU189*($K189)+IF($G189&lt;&gt;0,($I189/$G189)*AU189,0)*(1-$K189)</f>
        <v>0</v>
      </c>
      <c r="AX189" s="1117">
        <f>VLOOKUP($E189,AU$442:AX$453,4,FALSE)*AU189*($K189)+(AU189-AV189-AW189)*(1-$K189)</f>
        <v>0</v>
      </c>
      <c r="AY189" s="1073"/>
      <c r="BB189" s="1129">
        <f>VLOOKUP($A189,'New Resources - Individual'!$A$4:$Y$133,BB$2,FALSE)*BB$1</f>
        <v>0</v>
      </c>
      <c r="BC189" s="1116">
        <f>$G189+BB189</f>
        <v>3782274</v>
      </c>
      <c r="BD189" s="1117">
        <f>VLOOKUP($E189,BC$442:BF$453,2,FALSE)*BC189*($K189)+IF($G189&lt;&gt;0,($H189/$G189)*BC189,0)*(1-$K189)</f>
        <v>3782274</v>
      </c>
      <c r="BE189" s="1117">
        <f>VLOOKUP($E189,BC$442:BF$453,3,FALSE)*BC189*($K189)+IF($G189&lt;&gt;0,($I189/$G189)*BC189,0)*(1-$K189)</f>
        <v>0</v>
      </c>
      <c r="BF189" s="1117">
        <f>VLOOKUP($E189,BC$442:BF$453,4,FALSE)*BC189*($K189)+(BC189-BD189-BE189)*(1-$K189)</f>
        <v>0</v>
      </c>
      <c r="BG189" s="1073"/>
      <c r="BJ189" s="1129">
        <f>VLOOKUP($A189,'New Resources - Individual'!$A$4:$Y$133,BJ$2,FALSE)*BJ$1</f>
        <v>0</v>
      </c>
      <c r="BK189" s="1116">
        <f>$G189+BJ189</f>
        <v>3782274</v>
      </c>
      <c r="BL189" s="1117">
        <f>VLOOKUP($E189,BK$442:BN$453,2,FALSE)*BK189*($K189)+IF($G189&lt;&gt;0,($H189/$G189)*BK189,0)*(1-$K189)</f>
        <v>3782274</v>
      </c>
      <c r="BM189" s="1117">
        <f>VLOOKUP($E189,BK$442:BN$453,3,FALSE)*BK189*($K189)+IF($G189&lt;&gt;0,($I189/$G189)*BK189,0)*(1-$K189)</f>
        <v>0</v>
      </c>
      <c r="BN189" s="1117">
        <f>VLOOKUP($E189,BK$442:BN$453,4,FALSE)*BK189*($K189)+(BK189-BL189-BM189)*(1-$K189)</f>
        <v>0</v>
      </c>
      <c r="BO189" s="1073"/>
      <c r="BR189" s="1129">
        <f>VLOOKUP($A189,'New Resources - Individual'!$A$4:$Y$133,BR$2,FALSE)*BR$1</f>
        <v>0</v>
      </c>
      <c r="BS189" s="1116">
        <f>$G189+BR189</f>
        <v>3782274</v>
      </c>
      <c r="BT189" s="1117">
        <f>VLOOKUP($E189,BS$442:BV$453,2,FALSE)*BS189*($K189)+IF($G189&lt;&gt;0,($H189/$G189)*BS189,0)*(1-$K189)</f>
        <v>3782274</v>
      </c>
      <c r="BU189" s="1117">
        <f>VLOOKUP($E189,BS$442:BV$453,3,FALSE)*BS189*($K189)+IF($G189&lt;&gt;0,($I189/$G189)*BS189,0)*(1-$K189)</f>
        <v>0</v>
      </c>
      <c r="BV189" s="1117">
        <f>VLOOKUP($E189,BS$442:BV$453,4,FALSE)*BS189*($K189)+(BS189-BT189-BU189)*(1-$K189)</f>
        <v>0</v>
      </c>
      <c r="BW189" s="1073"/>
      <c r="BZ189" s="1129">
        <f>VLOOKUP($A189,'New Resources - Individual'!$A$4:$Y$133,BZ$2,FALSE)*BZ$1</f>
        <v>0</v>
      </c>
      <c r="CA189" s="1116">
        <f>$G189+BZ189</f>
        <v>3782274</v>
      </c>
      <c r="CB189" s="1117">
        <f>VLOOKUP($E189,CA$442:CD$453,2,FALSE)*CA189*($K189)+IF($G189&lt;&gt;0,($H189/$G189)*CA189,0)*(1-$K189)</f>
        <v>3782274</v>
      </c>
      <c r="CC189" s="1117">
        <f>VLOOKUP($E189,CA$442:CD$453,3,FALSE)*CA189*($K189)+IF($G189&lt;&gt;0,($I189/$G189)*CA189,0)*(1-$K189)</f>
        <v>0</v>
      </c>
      <c r="CD189" s="1117">
        <f>VLOOKUP($E189,CA$442:CD$453,4,FALSE)*CA189*($K189)+(CA189-CB189-CC189)*(1-$K189)</f>
        <v>0</v>
      </c>
      <c r="CE189" s="1073"/>
      <c r="CH189" s="1129">
        <f>VLOOKUP($A189,'New Resources - Individual'!$A$4:$Y$133,CH$2,FALSE)*CH$1</f>
        <v>0</v>
      </c>
      <c r="CI189" s="1116">
        <f>$G189+CH189</f>
        <v>3782274</v>
      </c>
      <c r="CJ189" s="1117">
        <f>VLOOKUP($E189,CI$442:CL$453,2,FALSE)*CI189*($K189)+IF($G189&lt;&gt;0,($H189/$G189)*CI189,0)*(1-$K189)</f>
        <v>3782274</v>
      </c>
      <c r="CK189" s="1117">
        <f>VLOOKUP($E189,CI$442:CL$453,3,FALSE)*CI189*($K189)+IF($G189&lt;&gt;0,($I189/$G189)*CI189,0)*(1-$K189)</f>
        <v>0</v>
      </c>
      <c r="CL189" s="1117">
        <f>VLOOKUP($E189,CI$442:CL$453,4,FALSE)*CI189*($K189)+(CI189-CJ189-CK189)*(1-$K189)</f>
        <v>0</v>
      </c>
      <c r="CM189" s="1073"/>
      <c r="CP189" s="1129">
        <f>VLOOKUP($A189,'New Resources - Individual'!$A$4:$Y$133,CP$2,FALSE)*CP$1</f>
        <v>0</v>
      </c>
      <c r="CQ189" s="1116">
        <f>$G189+CP189</f>
        <v>3782274</v>
      </c>
      <c r="CR189" s="1117">
        <f>VLOOKUP($E189,CQ$442:CT$453,2,FALSE)*CQ189*($K189)+IF($G189&lt;&gt;0,($H189/$G189)*CQ189,0)*(1-$K189)</f>
        <v>3782274</v>
      </c>
      <c r="CS189" s="1117">
        <f>VLOOKUP($E189,CQ$442:CT$453,3,FALSE)*CQ189*($K189)+IF($G189&lt;&gt;0,($I189/$G189)*CQ189,0)*(1-$K189)</f>
        <v>0</v>
      </c>
      <c r="CT189" s="1117">
        <f>VLOOKUP($E189,CQ$442:CT$453,4,FALSE)*CQ189*($K189)+(CQ189-CR189-CS189)*(1-$K189)</f>
        <v>0</v>
      </c>
      <c r="CU189" s="1073"/>
      <c r="CX189" s="1129">
        <f>VLOOKUP($A189,'New Resources - Individual'!$A$4:$Y$133,CX$2,FALSE)*CX$1</f>
        <v>0</v>
      </c>
      <c r="CY189" s="1116">
        <f>$G189+CX189</f>
        <v>3782274</v>
      </c>
      <c r="CZ189" s="1117">
        <f>VLOOKUP($E189,CY$442:DB$453,2,FALSE)*CY189*($K189)+IF($G189&lt;&gt;0,($H189/$G189)*CY189,0)*(1-$K189)</f>
        <v>3782274</v>
      </c>
      <c r="DA189" s="1117">
        <f>VLOOKUP($E189,CY$442:DB$453,3,FALSE)*CY189*($K189)+IF($G189&lt;&gt;0,($I189/$G189)*CY189,0)*(1-$K189)</f>
        <v>0</v>
      </c>
      <c r="DB189" s="1117">
        <f>VLOOKUP($E189,CY$442:DB$453,4,FALSE)*CY189*($K189)+(CY189-CZ189-DA189)*(1-$K189)</f>
        <v>0</v>
      </c>
      <c r="DC189" s="1073"/>
      <c r="DF189" s="1129">
        <f>VLOOKUP($A189,'New Resources - Individual'!$A$4:$Y$133,DF$2,FALSE)*DF$1</f>
        <v>0</v>
      </c>
      <c r="DG189" s="1116">
        <f>$G189+DF189</f>
        <v>3782274</v>
      </c>
      <c r="DH189" s="1117">
        <f>VLOOKUP($E189,DG$442:DJ$453,2,FALSE)*DG189*($K189)+IF($G189&lt;&gt;0,($H189/$G189)*DG189,0)*(1-$K189)</f>
        <v>3782274</v>
      </c>
      <c r="DI189" s="1117">
        <f>VLOOKUP($E189,DG$442:DJ$453,3,FALSE)*DG189*($K189)+IF($G189&lt;&gt;0,($I189/$G189)*DG189,0)*(1-$K189)</f>
        <v>0</v>
      </c>
      <c r="DJ189" s="1117">
        <f>VLOOKUP($E189,DG$442:DJ$453,4,FALSE)*DG189*($K189)+(DG189-DH189-DI189)*(1-$K189)</f>
        <v>0</v>
      </c>
      <c r="DK189" s="1073"/>
      <c r="DN189" s="1129">
        <f>VLOOKUP($A189,'New Resources - Individual'!$A$4:$Y$133,DN$2,FALSE)*DN$1</f>
        <v>0</v>
      </c>
      <c r="DO189" s="1116">
        <f>$G189+DN189</f>
        <v>3782274</v>
      </c>
      <c r="DP189" s="1117">
        <f>VLOOKUP($E189,DO$442:DR$453,2,FALSE)*DO189*($K189)+IF($G189&lt;&gt;0,($H189/$G189)*DO189,0)*(1-$K189)</f>
        <v>3782274</v>
      </c>
      <c r="DQ189" s="1117">
        <f>VLOOKUP($E189,DO$442:DR$453,3,FALSE)*DO189*($K189)+IF($G189&lt;&gt;0,($I189/$G189)*DO189,0)*(1-$K189)</f>
        <v>0</v>
      </c>
      <c r="DR189" s="1117">
        <f>VLOOKUP($E189,DO$442:DR$453,4,FALSE)*DO189*($K189)+(DO189-DP189-DQ189)*(1-$K189)</f>
        <v>0</v>
      </c>
      <c r="DS189" s="1073"/>
      <c r="DV189" s="1129">
        <f>VLOOKUP($A189,'New Resources - Individual'!$A$4:$Y$133,DV$2,FALSE)*DV$1</f>
        <v>0</v>
      </c>
      <c r="DW189" s="1116">
        <f>$G189+DV189</f>
        <v>3782274</v>
      </c>
      <c r="DX189" s="1117">
        <f>VLOOKUP($E189,DW$442:DZ$453,2,FALSE)*DW189*($K189)+IF($G189&lt;&gt;0,($H189/$G189)*DW189,0)*(1-$K189)</f>
        <v>3782274</v>
      </c>
      <c r="DY189" s="1117">
        <f>VLOOKUP($E189,DW$442:DZ$453,3,FALSE)*DW189*($K189)+IF($G189&lt;&gt;0,($I189/$G189)*DW189,0)*(1-$K189)</f>
        <v>0</v>
      </c>
      <c r="DZ189" s="1117">
        <f>VLOOKUP($E189,DW$442:DZ$453,4,FALSE)*DW189*($K189)+(DW189-DX189-DY189)*(1-$K189)</f>
        <v>0</v>
      </c>
      <c r="EA189" s="1073"/>
      <c r="ED189" s="1129">
        <f>VLOOKUP($A189,'New Resources - Individual'!$A$4:$Y$133,ED$2,FALSE)*ED$1</f>
        <v>0</v>
      </c>
      <c r="EE189" s="1116">
        <f>$G189+ED189</f>
        <v>3782274</v>
      </c>
      <c r="EF189" s="1117">
        <f>VLOOKUP($E189,EE$442:EH$453,2,FALSE)*EE189*($K189)+IF($G189&lt;&gt;0,($H189/$G189)*EE189,0)*(1-$K189)</f>
        <v>3782274</v>
      </c>
      <c r="EG189" s="1117">
        <f>VLOOKUP($E189,EE$442:EH$453,3,FALSE)*EE189*($K189)+IF($G189&lt;&gt;0,($I189/$G189)*EE189,0)*(1-$K189)</f>
        <v>0</v>
      </c>
      <c r="EH189" s="1117">
        <f>VLOOKUP($E189,EE$442:EH$453,4,FALSE)*EE189*($K189)+(EE189-EF189-EG189)*(1-$K189)</f>
        <v>0</v>
      </c>
      <c r="EI189" s="1073"/>
      <c r="EL189" s="1129">
        <f>VLOOKUP($A189,'New Resources - Individual'!$A$4:$Y$133,EL$2,FALSE)*EL$1</f>
        <v>0</v>
      </c>
      <c r="EM189" s="1116">
        <f>$G189+EL189</f>
        <v>3782274</v>
      </c>
      <c r="EN189" s="1117">
        <f>VLOOKUP($E189,EM$442:EP$453,2,FALSE)*EM189*($K189)+IF($G189&lt;&gt;0,($H189/$G189)*EM189,0)*(1-$K189)</f>
        <v>3782274</v>
      </c>
      <c r="EO189" s="1117">
        <f>VLOOKUP($E189,EM$442:EP$453,3,FALSE)*EM189*($K189)+IF($G189&lt;&gt;0,($I189/$G189)*EM189,0)*(1-$K189)</f>
        <v>0</v>
      </c>
      <c r="EP189" s="1117">
        <f>VLOOKUP($E189,EM$442:EP$453,4,FALSE)*EM189*($K189)+(EM189-EN189-EO189)*(1-$K189)</f>
        <v>0</v>
      </c>
      <c r="EQ189" s="1073"/>
      <c r="ET189" s="1129">
        <f>VLOOKUP($A189,'New Resources - Individual'!$A$4:$Y$133,ET$2,FALSE)*ET$1</f>
        <v>0</v>
      </c>
      <c r="EU189" s="1116">
        <f>$G189+ET189</f>
        <v>3782274</v>
      </c>
      <c r="EV189" s="1117">
        <f>VLOOKUP($E189,EU$442:EX$453,2,FALSE)*EU189*($K189)+IF($G189&lt;&gt;0,($H189/$G189)*EU189,0)*(1-$K189)</f>
        <v>3782274</v>
      </c>
      <c r="EW189" s="1117">
        <f>VLOOKUP($E189,EU$442:EX$453,3,FALSE)*EU189*($K189)+IF($G189&lt;&gt;0,($I189/$G189)*EU189,0)*(1-$K189)</f>
        <v>0</v>
      </c>
      <c r="EX189" s="1117">
        <f>VLOOKUP($E189,EU$442:EX$453,4,FALSE)*EU189*($K189)+(EU189-EV189-EW189)*(1-$K189)</f>
        <v>0</v>
      </c>
      <c r="EY189" s="1073"/>
      <c r="FB189" s="1129">
        <f>VLOOKUP($A189,'New Resources - Individual'!$A$4:$Y$133,FB$2,FALSE)*FB$1</f>
        <v>0</v>
      </c>
      <c r="FC189" s="1116">
        <f>$G189+FB189</f>
        <v>3782274</v>
      </c>
      <c r="FD189" s="1117">
        <f>VLOOKUP($E189,FC$442:FF$453,2,FALSE)*FC189*($K189)+IF($G189&lt;&gt;0,($H189/$G189)*FC189,0)*(1-$K189)</f>
        <v>3782274</v>
      </c>
      <c r="FE189" s="1117">
        <f>VLOOKUP($E189,FC$442:FF$453,3,FALSE)*FC189*($K189)+IF($G189&lt;&gt;0,($I189/$G189)*FC189,0)*(1-$K189)</f>
        <v>0</v>
      </c>
      <c r="FF189" s="1117">
        <f>VLOOKUP($E189,FC$442:FF$453,4,FALSE)*FC189*($K189)+(FC189-FD189-FE189)*(1-$K189)</f>
        <v>0</v>
      </c>
      <c r="FG189" s="1073"/>
      <c r="FJ189" s="1129">
        <f>VLOOKUP($A189,'New Resources - Individual'!$A$4:$Y$133,FJ$2,FALSE)*FJ$1</f>
        <v>0</v>
      </c>
      <c r="FK189" s="1116">
        <f>$G189+FJ189</f>
        <v>3782274</v>
      </c>
      <c r="FL189" s="1117">
        <f>VLOOKUP($E189,FK$442:FN$453,2,FALSE)*FK189*($K189)+IF($G189&lt;&gt;0,($H189/$G189)*FK189,0)*(1-$K189)</f>
        <v>3782274</v>
      </c>
      <c r="FM189" s="1117">
        <f>VLOOKUP($E189,FK$442:FN$453,3,FALSE)*FK189*($K189)+IF($G189&lt;&gt;0,($I189/$G189)*FK189,0)*(1-$K189)</f>
        <v>0</v>
      </c>
      <c r="FN189" s="1117">
        <f>VLOOKUP($E189,FK$442:FN$453,4,FALSE)*FK189*($K189)+(FK189-FL189-FM189)*(1-$K189)</f>
        <v>0</v>
      </c>
      <c r="FO189" s="1073"/>
    </row>
    <row r="190" spans="1:171">
      <c r="A190" s="1395"/>
      <c r="B190" s="990" t="s">
        <v>458</v>
      </c>
      <c r="C190" s="55"/>
      <c r="D190" s="55"/>
      <c r="E190" s="196"/>
      <c r="F190" s="196"/>
      <c r="G190" s="68"/>
      <c r="H190" s="68"/>
      <c r="I190" s="68"/>
      <c r="J190" s="991"/>
      <c r="K190" s="903"/>
      <c r="S190" s="1073"/>
      <c r="AA190" s="1073"/>
      <c r="AI190" s="1073"/>
      <c r="AQ190" s="1073"/>
      <c r="AY190" s="1073"/>
      <c r="BG190" s="1073"/>
      <c r="BO190" s="1073"/>
      <c r="BW190" s="1073"/>
      <c r="CE190" s="1073"/>
      <c r="CM190" s="1073"/>
      <c r="CU190" s="1073"/>
      <c r="DC190" s="1073"/>
      <c r="DK190" s="1073"/>
      <c r="DS190" s="1073"/>
      <c r="EA190" s="1073"/>
      <c r="EI190" s="1073"/>
      <c r="EQ190" s="1073"/>
      <c r="EY190" s="1073"/>
      <c r="FG190" s="1073"/>
      <c r="FO190" s="1073"/>
    </row>
    <row r="191" spans="1:171">
      <c r="B191" s="220" t="s">
        <v>266</v>
      </c>
      <c r="C191" s="888" t="s">
        <v>72</v>
      </c>
      <c r="D191" s="888">
        <v>555</v>
      </c>
      <c r="E191" s="182" t="str">
        <f>'Sch 3 - Expenses'!E31</f>
        <v>PROD</v>
      </c>
      <c r="F191" s="889"/>
      <c r="G191" s="182">
        <f>'Sch 3 - Expenses'!G31</f>
        <v>216427715</v>
      </c>
      <c r="H191" s="182">
        <f>'Sch 3 - Expenses'!H31</f>
        <v>216427715</v>
      </c>
      <c r="I191" s="182">
        <f>'Sch 3 - Expenses'!I31</f>
        <v>0</v>
      </c>
      <c r="J191" s="183">
        <f>'Sch 3 - Expenses'!J31</f>
        <v>0</v>
      </c>
      <c r="K191" s="903">
        <f t="shared" si="547"/>
        <v>1</v>
      </c>
      <c r="O191" s="1145">
        <f>O465</f>
        <v>216427715</v>
      </c>
      <c r="P191" s="1117">
        <f>VLOOKUP($E191,O$442:R$453,2,FALSE)*O191*($K191)+IF($G191&lt;&gt;0,($H191/$G191)*O191,0)*(1-$K191)</f>
        <v>216427715</v>
      </c>
      <c r="Q191" s="1117">
        <f>VLOOKUP($E191,O$442:R$453,3,FALSE)*O191*($K191)+IF($G191&lt;&gt;0,($I191/$G191)*O191,0)*(1-$K191)</f>
        <v>0</v>
      </c>
      <c r="R191" s="1117">
        <f>VLOOKUP($E191,O$442:R$453,4,FALSE)*O191*($K191)+(O191-P191-Q191)*(1-$K191)</f>
        <v>0</v>
      </c>
      <c r="S191" s="1073"/>
      <c r="W191" s="1145">
        <f>W465</f>
        <v>216427715</v>
      </c>
      <c r="X191" s="1117">
        <f>VLOOKUP($E191,W$442:Z$453,2,FALSE)*W191*($K191)+IF($G191&lt;&gt;0,($H191/$G191)*W191,0)*(1-$K191)</f>
        <v>216427715</v>
      </c>
      <c r="Y191" s="1117">
        <f>VLOOKUP($E191,W$442:Z$453,3,FALSE)*W191*($K191)+IF($G191&lt;&gt;0,($I191/$G191)*W191,0)*(1-$K191)</f>
        <v>0</v>
      </c>
      <c r="Z191" s="1117">
        <f>VLOOKUP($E191,W$442:Z$453,4,FALSE)*W191*($K191)+(W191-X191-Y191)*(1-$K191)</f>
        <v>0</v>
      </c>
      <c r="AA191" s="1073"/>
      <c r="AE191" s="1145">
        <f>AE465</f>
        <v>216427715</v>
      </c>
      <c r="AF191" s="1117">
        <f>VLOOKUP($E191,AE$442:AH$453,2,FALSE)*AE191*($K191)+IF($G191&lt;&gt;0,($H191/$G191)*AE191,0)*(1-$K191)</f>
        <v>216427715</v>
      </c>
      <c r="AG191" s="1117">
        <f>VLOOKUP($E191,AE$442:AH$453,3,FALSE)*AE191*($K191)+IF($G191&lt;&gt;0,($I191/$G191)*AE191,0)*(1-$K191)</f>
        <v>0</v>
      </c>
      <c r="AH191" s="1117">
        <f>VLOOKUP($E191,AE$442:AH$453,4,FALSE)*AE191*($K191)+(AE191-AF191-AG191)*(1-$K191)</f>
        <v>0</v>
      </c>
      <c r="AI191" s="1073"/>
      <c r="AM191" s="1145">
        <f>AM465</f>
        <v>216427715</v>
      </c>
      <c r="AN191" s="1117">
        <f>VLOOKUP($E191,AM$442:AP$453,2,FALSE)*AM191*($K191)+IF($G191&lt;&gt;0,($H191/$G191)*AM191,0)*(1-$K191)</f>
        <v>216427715</v>
      </c>
      <c r="AO191" s="1117">
        <f>VLOOKUP($E191,AM$442:AP$453,3,FALSE)*AM191*($K191)+IF($G191&lt;&gt;0,($I191/$G191)*AM191,0)*(1-$K191)</f>
        <v>0</v>
      </c>
      <c r="AP191" s="1117">
        <f>VLOOKUP($E191,AM$442:AP$453,4,FALSE)*AM191*($K191)+(AM191-AN191-AO191)*(1-$K191)</f>
        <v>0</v>
      </c>
      <c r="AQ191" s="1073"/>
      <c r="AU191" s="1145">
        <f>AU465</f>
        <v>216427715</v>
      </c>
      <c r="AV191" s="1117">
        <f>VLOOKUP($E191,AU$442:AX$453,2,FALSE)*AU191*($K191)+IF($G191&lt;&gt;0,($H191/$G191)*AU191,0)*(1-$K191)</f>
        <v>216427715</v>
      </c>
      <c r="AW191" s="1117">
        <f>VLOOKUP($E191,AU$442:AX$453,3,FALSE)*AU191*($K191)+IF($G191&lt;&gt;0,($I191/$G191)*AU191,0)*(1-$K191)</f>
        <v>0</v>
      </c>
      <c r="AX191" s="1117">
        <f>VLOOKUP($E191,AU$442:AX$453,4,FALSE)*AU191*($K191)+(AU191-AV191-AW191)*(1-$K191)</f>
        <v>0</v>
      </c>
      <c r="AY191" s="1073"/>
      <c r="BC191" s="1145">
        <f>BC465</f>
        <v>216427715</v>
      </c>
      <c r="BD191" s="1117">
        <f>VLOOKUP($E191,BC$442:BF$453,2,FALSE)*BC191*($K191)+IF($G191&lt;&gt;0,($H191/$G191)*BC191,0)*(1-$K191)</f>
        <v>216427715</v>
      </c>
      <c r="BE191" s="1117">
        <f>VLOOKUP($E191,BC$442:BF$453,3,FALSE)*BC191*($K191)+IF($G191&lt;&gt;0,($I191/$G191)*BC191,0)*(1-$K191)</f>
        <v>0</v>
      </c>
      <c r="BF191" s="1117">
        <f>VLOOKUP($E191,BC$442:BF$453,4,FALSE)*BC191*($K191)+(BC191-BD191-BE191)*(1-$K191)</f>
        <v>0</v>
      </c>
      <c r="BG191" s="1073"/>
      <c r="BK191" s="1145">
        <f>BK465</f>
        <v>216427715</v>
      </c>
      <c r="BL191" s="1117">
        <f>VLOOKUP($E191,BK$442:BN$453,2,FALSE)*BK191*($K191)+IF($G191&lt;&gt;0,($H191/$G191)*BK191,0)*(1-$K191)</f>
        <v>216427715</v>
      </c>
      <c r="BM191" s="1117">
        <f>VLOOKUP($E191,BK$442:BN$453,3,FALSE)*BK191*($K191)+IF($G191&lt;&gt;0,($I191/$G191)*BK191,0)*(1-$K191)</f>
        <v>0</v>
      </c>
      <c r="BN191" s="1117">
        <f>VLOOKUP($E191,BK$442:BN$453,4,FALSE)*BK191*($K191)+(BK191-BL191-BM191)*(1-$K191)</f>
        <v>0</v>
      </c>
      <c r="BO191" s="1073"/>
      <c r="BS191" s="1145">
        <f>BS465</f>
        <v>216427715</v>
      </c>
      <c r="BT191" s="1117">
        <f>VLOOKUP($E191,BS$442:BV$453,2,FALSE)*BS191*($K191)+IF($G191&lt;&gt;0,($H191/$G191)*BS191,0)*(1-$K191)</f>
        <v>216427715</v>
      </c>
      <c r="BU191" s="1117">
        <f>VLOOKUP($E191,BS$442:BV$453,3,FALSE)*BS191*($K191)+IF($G191&lt;&gt;0,($I191/$G191)*BS191,0)*(1-$K191)</f>
        <v>0</v>
      </c>
      <c r="BV191" s="1117">
        <f>VLOOKUP($E191,BS$442:BV$453,4,FALSE)*BS191*($K191)+(BS191-BT191-BU191)*(1-$K191)</f>
        <v>0</v>
      </c>
      <c r="BW191" s="1073"/>
      <c r="CA191" s="1145">
        <f>CA465</f>
        <v>216427715</v>
      </c>
      <c r="CB191" s="1117">
        <f>VLOOKUP($E191,CA$442:CD$453,2,FALSE)*CA191*($K191)+IF($G191&lt;&gt;0,($H191/$G191)*CA191,0)*(1-$K191)</f>
        <v>216427715</v>
      </c>
      <c r="CC191" s="1117">
        <f>VLOOKUP($E191,CA$442:CD$453,3,FALSE)*CA191*($K191)+IF($G191&lt;&gt;0,($I191/$G191)*CA191,0)*(1-$K191)</f>
        <v>0</v>
      </c>
      <c r="CD191" s="1117">
        <f>VLOOKUP($E191,CA$442:CD$453,4,FALSE)*CA191*($K191)+(CA191-CB191-CC191)*(1-$K191)</f>
        <v>0</v>
      </c>
      <c r="CE191" s="1073"/>
      <c r="CI191" s="1145">
        <f>CI465</f>
        <v>216427715</v>
      </c>
      <c r="CJ191" s="1117">
        <f>VLOOKUP($E191,CI$442:CL$453,2,FALSE)*CI191*($K191)+IF($G191&lt;&gt;0,($H191/$G191)*CI191,0)*(1-$K191)</f>
        <v>216427715</v>
      </c>
      <c r="CK191" s="1117">
        <f>VLOOKUP($E191,CI$442:CL$453,3,FALSE)*CI191*($K191)+IF($G191&lt;&gt;0,($I191/$G191)*CI191,0)*(1-$K191)</f>
        <v>0</v>
      </c>
      <c r="CL191" s="1117">
        <f>VLOOKUP($E191,CI$442:CL$453,4,FALSE)*CI191*($K191)+(CI191-CJ191-CK191)*(1-$K191)</f>
        <v>0</v>
      </c>
      <c r="CM191" s="1073"/>
      <c r="CQ191" s="1145">
        <f>CQ465</f>
        <v>216427715</v>
      </c>
      <c r="CR191" s="1117">
        <f>VLOOKUP($E191,CQ$442:CT$453,2,FALSE)*CQ191*($K191)+IF($G191&lt;&gt;0,($H191/$G191)*CQ191,0)*(1-$K191)</f>
        <v>216427715</v>
      </c>
      <c r="CS191" s="1117">
        <f>VLOOKUP($E191,CQ$442:CT$453,3,FALSE)*CQ191*($K191)+IF($G191&lt;&gt;0,($I191/$G191)*CQ191,0)*(1-$K191)</f>
        <v>0</v>
      </c>
      <c r="CT191" s="1117">
        <f>VLOOKUP($E191,CQ$442:CT$453,4,FALSE)*CQ191*($K191)+(CQ191-CR191-CS191)*(1-$K191)</f>
        <v>0</v>
      </c>
      <c r="CU191" s="1073"/>
      <c r="CY191" s="1145">
        <f>CY465</f>
        <v>216427715</v>
      </c>
      <c r="CZ191" s="1117">
        <f>VLOOKUP($E191,CY$442:DB$453,2,FALSE)*CY191*($K191)+IF($G191&lt;&gt;0,($H191/$G191)*CY191,0)*(1-$K191)</f>
        <v>216427715</v>
      </c>
      <c r="DA191" s="1117">
        <f>VLOOKUP($E191,CY$442:DB$453,3,FALSE)*CY191*($K191)+IF($G191&lt;&gt;0,($I191/$G191)*CY191,0)*(1-$K191)</f>
        <v>0</v>
      </c>
      <c r="DB191" s="1117">
        <f>VLOOKUP($E191,CY$442:DB$453,4,FALSE)*CY191*($K191)+(CY191-CZ191-DA191)*(1-$K191)</f>
        <v>0</v>
      </c>
      <c r="DC191" s="1073"/>
      <c r="DG191" s="1145">
        <f>DG465</f>
        <v>216427715</v>
      </c>
      <c r="DH191" s="1117">
        <f>VLOOKUP($E191,DG$442:DJ$453,2,FALSE)*DG191*($K191)+IF($G191&lt;&gt;0,($H191/$G191)*DG191,0)*(1-$K191)</f>
        <v>216427715</v>
      </c>
      <c r="DI191" s="1117">
        <f>VLOOKUP($E191,DG$442:DJ$453,3,FALSE)*DG191*($K191)+IF($G191&lt;&gt;0,($I191/$G191)*DG191,0)*(1-$K191)</f>
        <v>0</v>
      </c>
      <c r="DJ191" s="1117">
        <f>VLOOKUP($E191,DG$442:DJ$453,4,FALSE)*DG191*($K191)+(DG191-DH191-DI191)*(1-$K191)</f>
        <v>0</v>
      </c>
      <c r="DK191" s="1073"/>
      <c r="DO191" s="1145">
        <f>DO465</f>
        <v>216427715</v>
      </c>
      <c r="DP191" s="1117">
        <f>VLOOKUP($E191,DO$442:DR$453,2,FALSE)*DO191*($K191)+IF($G191&lt;&gt;0,($H191/$G191)*DO191,0)*(1-$K191)</f>
        <v>216427715</v>
      </c>
      <c r="DQ191" s="1117">
        <f>VLOOKUP($E191,DO$442:DR$453,3,FALSE)*DO191*($K191)+IF($G191&lt;&gt;0,($I191/$G191)*DO191,0)*(1-$K191)</f>
        <v>0</v>
      </c>
      <c r="DR191" s="1117">
        <f>VLOOKUP($E191,DO$442:DR$453,4,FALSE)*DO191*($K191)+(DO191-DP191-DQ191)*(1-$K191)</f>
        <v>0</v>
      </c>
      <c r="DS191" s="1073"/>
      <c r="DW191" s="1145">
        <f>DW465</f>
        <v>216427715</v>
      </c>
      <c r="DX191" s="1117">
        <f>VLOOKUP($E191,DW$442:DZ$453,2,FALSE)*DW191*($K191)+IF($G191&lt;&gt;0,($H191/$G191)*DW191,0)*(1-$K191)</f>
        <v>216427715</v>
      </c>
      <c r="DY191" s="1117">
        <f>VLOOKUP($E191,DW$442:DZ$453,3,FALSE)*DW191*($K191)+IF($G191&lt;&gt;0,($I191/$G191)*DW191,0)*(1-$K191)</f>
        <v>0</v>
      </c>
      <c r="DZ191" s="1117">
        <f>VLOOKUP($E191,DW$442:DZ$453,4,FALSE)*DW191*($K191)+(DW191-DX191-DY191)*(1-$K191)</f>
        <v>0</v>
      </c>
      <c r="EA191" s="1073"/>
      <c r="EE191" s="1145">
        <f>EE465</f>
        <v>216427715</v>
      </c>
      <c r="EF191" s="1117">
        <f>VLOOKUP($E191,EE$442:EH$453,2,FALSE)*EE191*($K191)+IF($G191&lt;&gt;0,($H191/$G191)*EE191,0)*(1-$K191)</f>
        <v>216427715</v>
      </c>
      <c r="EG191" s="1117">
        <f>VLOOKUP($E191,EE$442:EH$453,3,FALSE)*EE191*($K191)+IF($G191&lt;&gt;0,($I191/$G191)*EE191,0)*(1-$K191)</f>
        <v>0</v>
      </c>
      <c r="EH191" s="1117">
        <f>VLOOKUP($E191,EE$442:EH$453,4,FALSE)*EE191*($K191)+(EE191-EF191-EG191)*(1-$K191)</f>
        <v>0</v>
      </c>
      <c r="EI191" s="1073"/>
      <c r="EM191" s="1145">
        <f>EM465</f>
        <v>216427715</v>
      </c>
      <c r="EN191" s="1117">
        <f>VLOOKUP($E191,EM$442:EP$453,2,FALSE)*EM191*($K191)+IF($G191&lt;&gt;0,($H191/$G191)*EM191,0)*(1-$K191)</f>
        <v>216427715</v>
      </c>
      <c r="EO191" s="1117">
        <f>VLOOKUP($E191,EM$442:EP$453,3,FALSE)*EM191*($K191)+IF($G191&lt;&gt;0,($I191/$G191)*EM191,0)*(1-$K191)</f>
        <v>0</v>
      </c>
      <c r="EP191" s="1117">
        <f>VLOOKUP($E191,EM$442:EP$453,4,FALSE)*EM191*($K191)+(EM191-EN191-EO191)*(1-$K191)</f>
        <v>0</v>
      </c>
      <c r="EQ191" s="1073"/>
      <c r="EU191" s="1145">
        <f>EU465</f>
        <v>216427715</v>
      </c>
      <c r="EV191" s="1117">
        <f>VLOOKUP($E191,EU$442:EX$453,2,FALSE)*EU191*($K191)+IF($G191&lt;&gt;0,($H191/$G191)*EU191,0)*(1-$K191)</f>
        <v>216427715</v>
      </c>
      <c r="EW191" s="1117">
        <f>VLOOKUP($E191,EU$442:EX$453,3,FALSE)*EU191*($K191)+IF($G191&lt;&gt;0,($I191/$G191)*EU191,0)*(1-$K191)</f>
        <v>0</v>
      </c>
      <c r="EX191" s="1117">
        <f>VLOOKUP($E191,EU$442:EX$453,4,FALSE)*EU191*($K191)+(EU191-EV191-EW191)*(1-$K191)</f>
        <v>0</v>
      </c>
      <c r="EY191" s="1073"/>
      <c r="FC191" s="1145">
        <f>FC465</f>
        <v>216427715</v>
      </c>
      <c r="FD191" s="1117">
        <f>VLOOKUP($E191,FC$442:FF$453,2,FALSE)*FC191*($K191)+IF($G191&lt;&gt;0,($H191/$G191)*FC191,0)*(1-$K191)</f>
        <v>216427715</v>
      </c>
      <c r="FE191" s="1117">
        <f>VLOOKUP($E191,FC$442:FF$453,3,FALSE)*FC191*($K191)+IF($G191&lt;&gt;0,($I191/$G191)*FC191,0)*(1-$K191)</f>
        <v>0</v>
      </c>
      <c r="FF191" s="1117">
        <f>VLOOKUP($E191,FC$442:FF$453,4,FALSE)*FC191*($K191)+(FC191-FD191-FE191)*(1-$K191)</f>
        <v>0</v>
      </c>
      <c r="FG191" s="1073"/>
      <c r="FK191" s="1145">
        <f>FK465</f>
        <v>216427715</v>
      </c>
      <c r="FL191" s="1117">
        <f>VLOOKUP($E191,FK$442:FN$453,2,FALSE)*FK191*($K191)+IF($G191&lt;&gt;0,($H191/$G191)*FK191,0)*(1-$K191)</f>
        <v>216427715</v>
      </c>
      <c r="FM191" s="1117">
        <f>VLOOKUP($E191,FK$442:FN$453,3,FALSE)*FK191*($K191)+IF($G191&lt;&gt;0,($I191/$G191)*FK191,0)*(1-$K191)</f>
        <v>0</v>
      </c>
      <c r="FN191" s="1117">
        <f>VLOOKUP($E191,FK$442:FN$453,4,FALSE)*FK191*($K191)+(FK191-FL191-FM191)*(1-$K191)</f>
        <v>0</v>
      </c>
      <c r="FO191" s="1073"/>
    </row>
    <row r="192" spans="1:171">
      <c r="A192" s="1392">
        <v>810</v>
      </c>
      <c r="B192" s="913" t="s">
        <v>459</v>
      </c>
      <c r="C192" s="888" t="s">
        <v>72</v>
      </c>
      <c r="D192" s="888">
        <v>556</v>
      </c>
      <c r="E192" s="182" t="str">
        <f>'Sch 3 - Expenses'!E32</f>
        <v>PROD</v>
      </c>
      <c r="F192" s="889"/>
      <c r="G192" s="182">
        <f>'Sch 3 - Expenses'!G32</f>
        <v>764664</v>
      </c>
      <c r="H192" s="182">
        <f>'Sch 3 - Expenses'!H32</f>
        <v>764664</v>
      </c>
      <c r="I192" s="182">
        <f>'Sch 3 - Expenses'!I32</f>
        <v>0</v>
      </c>
      <c r="J192" s="183">
        <f>'Sch 3 - Expenses'!J32</f>
        <v>0</v>
      </c>
      <c r="K192" s="903">
        <f t="shared" si="547"/>
        <v>1</v>
      </c>
      <c r="N192" s="1129">
        <f>VLOOKUP($A192,'New Resources - Individual'!$A$4:$Y$133,N$2,FALSE)*N$1</f>
        <v>0</v>
      </c>
      <c r="O192" s="1116">
        <f>$G192+N192</f>
        <v>764664</v>
      </c>
      <c r="P192" s="1117">
        <f>VLOOKUP($E192,O$442:R$453,2,FALSE)*O192*($K192)+IF($G192&lt;&gt;0,($H192/$G192)*O192,0)*(1-$K192)</f>
        <v>764664</v>
      </c>
      <c r="Q192" s="1117">
        <f>VLOOKUP($E192,O$442:R$453,3,FALSE)*O192*($K192)+IF($G192&lt;&gt;0,($I192/$G192)*O192,0)*(1-$K192)</f>
        <v>0</v>
      </c>
      <c r="R192" s="1117">
        <f>VLOOKUP($E192,O$442:R$453,4,FALSE)*O192*($K192)+(O192-P192-Q192)*(1-$K192)</f>
        <v>0</v>
      </c>
      <c r="S192" s="1073"/>
      <c r="V192" s="1129">
        <f>VLOOKUP($A192,'New Resources - Individual'!$A$4:$Y$133,V$2,FALSE)*V$1</f>
        <v>0</v>
      </c>
      <c r="W192" s="1116">
        <f>$G192+V192</f>
        <v>764664</v>
      </c>
      <c r="X192" s="1117">
        <f>VLOOKUP($E192,W$442:Z$453,2,FALSE)*W192*($K192)+IF($G192&lt;&gt;0,($H192/$G192)*W192,0)*(1-$K192)</f>
        <v>764664</v>
      </c>
      <c r="Y192" s="1117">
        <f>VLOOKUP($E192,W$442:Z$453,3,FALSE)*W192*($K192)+IF($G192&lt;&gt;0,($I192/$G192)*W192,0)*(1-$K192)</f>
        <v>0</v>
      </c>
      <c r="Z192" s="1117">
        <f>VLOOKUP($E192,W$442:Z$453,4,FALSE)*W192*($K192)+(W192-X192-Y192)*(1-$K192)</f>
        <v>0</v>
      </c>
      <c r="AA192" s="1073"/>
      <c r="AD192" s="1129">
        <f>VLOOKUP($A192,'New Resources - Individual'!$A$4:$Y$133,AD$2,FALSE)*AD$1</f>
        <v>0</v>
      </c>
      <c r="AE192" s="1116">
        <f>$G192+AD192</f>
        <v>764664</v>
      </c>
      <c r="AF192" s="1117">
        <f>VLOOKUP($E192,AE$442:AH$453,2,FALSE)*AE192*($K192)+IF($G192&lt;&gt;0,($H192/$G192)*AE192,0)*(1-$K192)</f>
        <v>764664</v>
      </c>
      <c r="AG192" s="1117">
        <f>VLOOKUP($E192,AE$442:AH$453,3,FALSE)*AE192*($K192)+IF($G192&lt;&gt;0,($I192/$G192)*AE192,0)*(1-$K192)</f>
        <v>0</v>
      </c>
      <c r="AH192" s="1117">
        <f>VLOOKUP($E192,AE$442:AH$453,4,FALSE)*AE192*($K192)+(AE192-AF192-AG192)*(1-$K192)</f>
        <v>0</v>
      </c>
      <c r="AI192" s="1073"/>
      <c r="AL192" s="1129">
        <f>VLOOKUP($A192,'New Resources - Individual'!$A$4:$Y$133,AL$2,FALSE)*AL$1</f>
        <v>0</v>
      </c>
      <c r="AM192" s="1116">
        <f>$G192+AL192</f>
        <v>764664</v>
      </c>
      <c r="AN192" s="1117">
        <f>VLOOKUP($E192,AM$442:AP$453,2,FALSE)*AM192*($K192)+IF($G192&lt;&gt;0,($H192/$G192)*AM192,0)*(1-$K192)</f>
        <v>764664</v>
      </c>
      <c r="AO192" s="1117">
        <f>VLOOKUP($E192,AM$442:AP$453,3,FALSE)*AM192*($K192)+IF($G192&lt;&gt;0,($I192/$G192)*AM192,0)*(1-$K192)</f>
        <v>0</v>
      </c>
      <c r="AP192" s="1117">
        <f>VLOOKUP($E192,AM$442:AP$453,4,FALSE)*AM192*($K192)+(AM192-AN192-AO192)*(1-$K192)</f>
        <v>0</v>
      </c>
      <c r="AQ192" s="1073"/>
      <c r="AT192" s="1129">
        <f>VLOOKUP($A192,'New Resources - Individual'!$A$4:$Y$133,AT$2,FALSE)*AT$1</f>
        <v>0</v>
      </c>
      <c r="AU192" s="1116">
        <f>$G192+AT192</f>
        <v>764664</v>
      </c>
      <c r="AV192" s="1117">
        <f>VLOOKUP($E192,AU$442:AX$453,2,FALSE)*AU192*($K192)+IF($G192&lt;&gt;0,($H192/$G192)*AU192,0)*(1-$K192)</f>
        <v>764664</v>
      </c>
      <c r="AW192" s="1117">
        <f>VLOOKUP($E192,AU$442:AX$453,3,FALSE)*AU192*($K192)+IF($G192&lt;&gt;0,($I192/$G192)*AU192,0)*(1-$K192)</f>
        <v>0</v>
      </c>
      <c r="AX192" s="1117">
        <f>VLOOKUP($E192,AU$442:AX$453,4,FALSE)*AU192*($K192)+(AU192-AV192-AW192)*(1-$K192)</f>
        <v>0</v>
      </c>
      <c r="AY192" s="1073"/>
      <c r="BB192" s="1129">
        <f>VLOOKUP($A192,'New Resources - Individual'!$A$4:$Y$133,BB$2,FALSE)*BB$1</f>
        <v>0</v>
      </c>
      <c r="BC192" s="1116">
        <f>$G192+BB192</f>
        <v>764664</v>
      </c>
      <c r="BD192" s="1117">
        <f>VLOOKUP($E192,BC$442:BF$453,2,FALSE)*BC192*($K192)+IF($G192&lt;&gt;0,($H192/$G192)*BC192,0)*(1-$K192)</f>
        <v>764664</v>
      </c>
      <c r="BE192" s="1117">
        <f>VLOOKUP($E192,BC$442:BF$453,3,FALSE)*BC192*($K192)+IF($G192&lt;&gt;0,($I192/$G192)*BC192,0)*(1-$K192)</f>
        <v>0</v>
      </c>
      <c r="BF192" s="1117">
        <f>VLOOKUP($E192,BC$442:BF$453,4,FALSE)*BC192*($K192)+(BC192-BD192-BE192)*(1-$K192)</f>
        <v>0</v>
      </c>
      <c r="BG192" s="1073"/>
      <c r="BJ192" s="1129">
        <f>VLOOKUP($A192,'New Resources - Individual'!$A$4:$Y$133,BJ$2,FALSE)*BJ$1</f>
        <v>0</v>
      </c>
      <c r="BK192" s="1116">
        <f>$G192+BJ192</f>
        <v>764664</v>
      </c>
      <c r="BL192" s="1117">
        <f>VLOOKUP($E192,BK$442:BN$453,2,FALSE)*BK192*($K192)+IF($G192&lt;&gt;0,($H192/$G192)*BK192,0)*(1-$K192)</f>
        <v>764664</v>
      </c>
      <c r="BM192" s="1117">
        <f>VLOOKUP($E192,BK$442:BN$453,3,FALSE)*BK192*($K192)+IF($G192&lt;&gt;0,($I192/$G192)*BK192,0)*(1-$K192)</f>
        <v>0</v>
      </c>
      <c r="BN192" s="1117">
        <f>VLOOKUP($E192,BK$442:BN$453,4,FALSE)*BK192*($K192)+(BK192-BL192-BM192)*(1-$K192)</f>
        <v>0</v>
      </c>
      <c r="BO192" s="1073"/>
      <c r="BR192" s="1129">
        <f>VLOOKUP($A192,'New Resources - Individual'!$A$4:$Y$133,BR$2,FALSE)*BR$1</f>
        <v>0</v>
      </c>
      <c r="BS192" s="1116">
        <f>$G192+BR192</f>
        <v>764664</v>
      </c>
      <c r="BT192" s="1117">
        <f>VLOOKUP($E192,BS$442:BV$453,2,FALSE)*BS192*($K192)+IF($G192&lt;&gt;0,($H192/$G192)*BS192,0)*(1-$K192)</f>
        <v>764664</v>
      </c>
      <c r="BU192" s="1117">
        <f>VLOOKUP($E192,BS$442:BV$453,3,FALSE)*BS192*($K192)+IF($G192&lt;&gt;0,($I192/$G192)*BS192,0)*(1-$K192)</f>
        <v>0</v>
      </c>
      <c r="BV192" s="1117">
        <f>VLOOKUP($E192,BS$442:BV$453,4,FALSE)*BS192*($K192)+(BS192-BT192-BU192)*(1-$K192)</f>
        <v>0</v>
      </c>
      <c r="BW192" s="1073"/>
      <c r="BZ192" s="1129">
        <f>VLOOKUP($A192,'New Resources - Individual'!$A$4:$Y$133,BZ$2,FALSE)*BZ$1</f>
        <v>0</v>
      </c>
      <c r="CA192" s="1116">
        <f>$G192+BZ192</f>
        <v>764664</v>
      </c>
      <c r="CB192" s="1117">
        <f>VLOOKUP($E192,CA$442:CD$453,2,FALSE)*CA192*($K192)+IF($G192&lt;&gt;0,($H192/$G192)*CA192,0)*(1-$K192)</f>
        <v>764664</v>
      </c>
      <c r="CC192" s="1117">
        <f>VLOOKUP($E192,CA$442:CD$453,3,FALSE)*CA192*($K192)+IF($G192&lt;&gt;0,($I192/$G192)*CA192,0)*(1-$K192)</f>
        <v>0</v>
      </c>
      <c r="CD192" s="1117">
        <f>VLOOKUP($E192,CA$442:CD$453,4,FALSE)*CA192*($K192)+(CA192-CB192-CC192)*(1-$K192)</f>
        <v>0</v>
      </c>
      <c r="CE192" s="1073"/>
      <c r="CH192" s="1129">
        <f>VLOOKUP($A192,'New Resources - Individual'!$A$4:$Y$133,CH$2,FALSE)*CH$1</f>
        <v>0</v>
      </c>
      <c r="CI192" s="1116">
        <f>$G192+CH192</f>
        <v>764664</v>
      </c>
      <c r="CJ192" s="1117">
        <f>VLOOKUP($E192,CI$442:CL$453,2,FALSE)*CI192*($K192)+IF($G192&lt;&gt;0,($H192/$G192)*CI192,0)*(1-$K192)</f>
        <v>764664</v>
      </c>
      <c r="CK192" s="1117">
        <f>VLOOKUP($E192,CI$442:CL$453,3,FALSE)*CI192*($K192)+IF($G192&lt;&gt;0,($I192/$G192)*CI192,0)*(1-$K192)</f>
        <v>0</v>
      </c>
      <c r="CL192" s="1117">
        <f>VLOOKUP($E192,CI$442:CL$453,4,FALSE)*CI192*($K192)+(CI192-CJ192-CK192)*(1-$K192)</f>
        <v>0</v>
      </c>
      <c r="CM192" s="1073"/>
      <c r="CP192" s="1129">
        <f>VLOOKUP($A192,'New Resources - Individual'!$A$4:$Y$133,CP$2,FALSE)*CP$1</f>
        <v>0</v>
      </c>
      <c r="CQ192" s="1116">
        <f>$G192+CP192</f>
        <v>764664</v>
      </c>
      <c r="CR192" s="1117">
        <f>VLOOKUP($E192,CQ$442:CT$453,2,FALSE)*CQ192*($K192)+IF($G192&lt;&gt;0,($H192/$G192)*CQ192,0)*(1-$K192)</f>
        <v>764664</v>
      </c>
      <c r="CS192" s="1117">
        <f>VLOOKUP($E192,CQ$442:CT$453,3,FALSE)*CQ192*($K192)+IF($G192&lt;&gt;0,($I192/$G192)*CQ192,0)*(1-$K192)</f>
        <v>0</v>
      </c>
      <c r="CT192" s="1117">
        <f>VLOOKUP($E192,CQ$442:CT$453,4,FALSE)*CQ192*($K192)+(CQ192-CR192-CS192)*(1-$K192)</f>
        <v>0</v>
      </c>
      <c r="CU192" s="1073"/>
      <c r="CX192" s="1129">
        <f>VLOOKUP($A192,'New Resources - Individual'!$A$4:$Y$133,CX$2,FALSE)*CX$1</f>
        <v>0</v>
      </c>
      <c r="CY192" s="1116">
        <f>$G192+CX192</f>
        <v>764664</v>
      </c>
      <c r="CZ192" s="1117">
        <f>VLOOKUP($E192,CY$442:DB$453,2,FALSE)*CY192*($K192)+IF($G192&lt;&gt;0,($H192/$G192)*CY192,0)*(1-$K192)</f>
        <v>764664</v>
      </c>
      <c r="DA192" s="1117">
        <f>VLOOKUP($E192,CY$442:DB$453,3,FALSE)*CY192*($K192)+IF($G192&lt;&gt;0,($I192/$G192)*CY192,0)*(1-$K192)</f>
        <v>0</v>
      </c>
      <c r="DB192" s="1117">
        <f>VLOOKUP($E192,CY$442:DB$453,4,FALSE)*CY192*($K192)+(CY192-CZ192-DA192)*(1-$K192)</f>
        <v>0</v>
      </c>
      <c r="DC192" s="1073"/>
      <c r="DF192" s="1129">
        <f>VLOOKUP($A192,'New Resources - Individual'!$A$4:$Y$133,DF$2,FALSE)*DF$1</f>
        <v>0</v>
      </c>
      <c r="DG192" s="1116">
        <f>$G192+DF192</f>
        <v>764664</v>
      </c>
      <c r="DH192" s="1117">
        <f>VLOOKUP($E192,DG$442:DJ$453,2,FALSE)*DG192*($K192)+IF($G192&lt;&gt;0,($H192/$G192)*DG192,0)*(1-$K192)</f>
        <v>764664</v>
      </c>
      <c r="DI192" s="1117">
        <f>VLOOKUP($E192,DG$442:DJ$453,3,FALSE)*DG192*($K192)+IF($G192&lt;&gt;0,($I192/$G192)*DG192,0)*(1-$K192)</f>
        <v>0</v>
      </c>
      <c r="DJ192" s="1117">
        <f>VLOOKUP($E192,DG$442:DJ$453,4,FALSE)*DG192*($K192)+(DG192-DH192-DI192)*(1-$K192)</f>
        <v>0</v>
      </c>
      <c r="DK192" s="1073"/>
      <c r="DN192" s="1129">
        <f>VLOOKUP($A192,'New Resources - Individual'!$A$4:$Y$133,DN$2,FALSE)*DN$1</f>
        <v>0</v>
      </c>
      <c r="DO192" s="1116">
        <f>$G192+DN192</f>
        <v>764664</v>
      </c>
      <c r="DP192" s="1117">
        <f>VLOOKUP($E192,DO$442:DR$453,2,FALSE)*DO192*($K192)+IF($G192&lt;&gt;0,($H192/$G192)*DO192,0)*(1-$K192)</f>
        <v>764664</v>
      </c>
      <c r="DQ192" s="1117">
        <f>VLOOKUP($E192,DO$442:DR$453,3,FALSE)*DO192*($K192)+IF($G192&lt;&gt;0,($I192/$G192)*DO192,0)*(1-$K192)</f>
        <v>0</v>
      </c>
      <c r="DR192" s="1117">
        <f>VLOOKUP($E192,DO$442:DR$453,4,FALSE)*DO192*($K192)+(DO192-DP192-DQ192)*(1-$K192)</f>
        <v>0</v>
      </c>
      <c r="DS192" s="1073"/>
      <c r="DV192" s="1129">
        <f>VLOOKUP($A192,'New Resources - Individual'!$A$4:$Y$133,DV$2,FALSE)*DV$1</f>
        <v>0</v>
      </c>
      <c r="DW192" s="1116">
        <f>$G192+DV192</f>
        <v>764664</v>
      </c>
      <c r="DX192" s="1117">
        <f>VLOOKUP($E192,DW$442:DZ$453,2,FALSE)*DW192*($K192)+IF($G192&lt;&gt;0,($H192/$G192)*DW192,0)*(1-$K192)</f>
        <v>764664</v>
      </c>
      <c r="DY192" s="1117">
        <f>VLOOKUP($E192,DW$442:DZ$453,3,FALSE)*DW192*($K192)+IF($G192&lt;&gt;0,($I192/$G192)*DW192,0)*(1-$K192)</f>
        <v>0</v>
      </c>
      <c r="DZ192" s="1117">
        <f>VLOOKUP($E192,DW$442:DZ$453,4,FALSE)*DW192*($K192)+(DW192-DX192-DY192)*(1-$K192)</f>
        <v>0</v>
      </c>
      <c r="EA192" s="1073"/>
      <c r="ED192" s="1129">
        <f>VLOOKUP($A192,'New Resources - Individual'!$A$4:$Y$133,ED$2,FALSE)*ED$1</f>
        <v>0</v>
      </c>
      <c r="EE192" s="1116">
        <f>$G192+ED192</f>
        <v>764664</v>
      </c>
      <c r="EF192" s="1117">
        <f>VLOOKUP($E192,EE$442:EH$453,2,FALSE)*EE192*($K192)+IF($G192&lt;&gt;0,($H192/$G192)*EE192,0)*(1-$K192)</f>
        <v>764664</v>
      </c>
      <c r="EG192" s="1117">
        <f>VLOOKUP($E192,EE$442:EH$453,3,FALSE)*EE192*($K192)+IF($G192&lt;&gt;0,($I192/$G192)*EE192,0)*(1-$K192)</f>
        <v>0</v>
      </c>
      <c r="EH192" s="1117">
        <f>VLOOKUP($E192,EE$442:EH$453,4,FALSE)*EE192*($K192)+(EE192-EF192-EG192)*(1-$K192)</f>
        <v>0</v>
      </c>
      <c r="EI192" s="1073"/>
      <c r="EL192" s="1129">
        <f>VLOOKUP($A192,'New Resources - Individual'!$A$4:$Y$133,EL$2,FALSE)*EL$1</f>
        <v>0</v>
      </c>
      <c r="EM192" s="1116">
        <f>$G192+EL192</f>
        <v>764664</v>
      </c>
      <c r="EN192" s="1117">
        <f>VLOOKUP($E192,EM$442:EP$453,2,FALSE)*EM192*($K192)+IF($G192&lt;&gt;0,($H192/$G192)*EM192,0)*(1-$K192)</f>
        <v>764664</v>
      </c>
      <c r="EO192" s="1117">
        <f>VLOOKUP($E192,EM$442:EP$453,3,FALSE)*EM192*($K192)+IF($G192&lt;&gt;0,($I192/$G192)*EM192,0)*(1-$K192)</f>
        <v>0</v>
      </c>
      <c r="EP192" s="1117">
        <f>VLOOKUP($E192,EM$442:EP$453,4,FALSE)*EM192*($K192)+(EM192-EN192-EO192)*(1-$K192)</f>
        <v>0</v>
      </c>
      <c r="EQ192" s="1073"/>
      <c r="ET192" s="1129">
        <f>VLOOKUP($A192,'New Resources - Individual'!$A$4:$Y$133,ET$2,FALSE)*ET$1</f>
        <v>0</v>
      </c>
      <c r="EU192" s="1116">
        <f>$G192+ET192</f>
        <v>764664</v>
      </c>
      <c r="EV192" s="1117">
        <f>VLOOKUP($E192,EU$442:EX$453,2,FALSE)*EU192*($K192)+IF($G192&lt;&gt;0,($H192/$G192)*EU192,0)*(1-$K192)</f>
        <v>764664</v>
      </c>
      <c r="EW192" s="1117">
        <f>VLOOKUP($E192,EU$442:EX$453,3,FALSE)*EU192*($K192)+IF($G192&lt;&gt;0,($I192/$G192)*EU192,0)*(1-$K192)</f>
        <v>0</v>
      </c>
      <c r="EX192" s="1117">
        <f>VLOOKUP($E192,EU$442:EX$453,4,FALSE)*EU192*($K192)+(EU192-EV192-EW192)*(1-$K192)</f>
        <v>0</v>
      </c>
      <c r="EY192" s="1073"/>
      <c r="FB192" s="1129">
        <f>VLOOKUP($A192,'New Resources - Individual'!$A$4:$Y$133,FB$2,FALSE)*FB$1</f>
        <v>0</v>
      </c>
      <c r="FC192" s="1116">
        <f>$G192+FB192</f>
        <v>764664</v>
      </c>
      <c r="FD192" s="1117">
        <f>VLOOKUP($E192,FC$442:FF$453,2,FALSE)*FC192*($K192)+IF($G192&lt;&gt;0,($H192/$G192)*FC192,0)*(1-$K192)</f>
        <v>764664</v>
      </c>
      <c r="FE192" s="1117">
        <f>VLOOKUP($E192,FC$442:FF$453,3,FALSE)*FC192*($K192)+IF($G192&lt;&gt;0,($I192/$G192)*FC192,0)*(1-$K192)</f>
        <v>0</v>
      </c>
      <c r="FF192" s="1117">
        <f>VLOOKUP($E192,FC$442:FF$453,4,FALSE)*FC192*($K192)+(FC192-FD192-FE192)*(1-$K192)</f>
        <v>0</v>
      </c>
      <c r="FG192" s="1073"/>
      <c r="FJ192" s="1129">
        <f>VLOOKUP($A192,'New Resources - Individual'!$A$4:$Y$133,FJ$2,FALSE)*FJ$1</f>
        <v>0</v>
      </c>
      <c r="FK192" s="1116">
        <f>$G192+FJ192</f>
        <v>764664</v>
      </c>
      <c r="FL192" s="1117">
        <f>VLOOKUP($E192,FK$442:FN$453,2,FALSE)*FK192*($K192)+IF($G192&lt;&gt;0,($H192/$G192)*FK192,0)*(1-$K192)</f>
        <v>764664</v>
      </c>
      <c r="FM192" s="1117">
        <f>VLOOKUP($E192,FK$442:FN$453,3,FALSE)*FK192*($K192)+IF($G192&lt;&gt;0,($I192/$G192)*FK192,0)*(1-$K192)</f>
        <v>0</v>
      </c>
      <c r="FN192" s="1117">
        <f>VLOOKUP($E192,FK$442:FN$453,4,FALSE)*FK192*($K192)+(FK192-FL192-FM192)*(1-$K192)</f>
        <v>0</v>
      </c>
      <c r="FO192" s="1073"/>
    </row>
    <row r="193" spans="1:171">
      <c r="A193" s="1392">
        <v>820</v>
      </c>
      <c r="B193" s="913" t="s">
        <v>267</v>
      </c>
      <c r="C193" s="888" t="s">
        <v>72</v>
      </c>
      <c r="D193" s="888">
        <v>557</v>
      </c>
      <c r="E193" s="182" t="str">
        <f>'Sch 3 - Expenses'!E33</f>
        <v>PROD</v>
      </c>
      <c r="F193" s="889"/>
      <c r="G193" s="182">
        <f>'Sch 3 - Expenses'!G33</f>
        <v>38247947</v>
      </c>
      <c r="H193" s="182">
        <f>'Sch 3 - Expenses'!H33</f>
        <v>38247947</v>
      </c>
      <c r="I193" s="182">
        <f>'Sch 3 - Expenses'!I33</f>
        <v>0</v>
      </c>
      <c r="J193" s="183">
        <f>'Sch 3 - Expenses'!J33</f>
        <v>0</v>
      </c>
      <c r="K193" s="903">
        <f t="shared" si="547"/>
        <v>1</v>
      </c>
      <c r="N193" s="1157">
        <f>VLOOKUP($A193,'New Resources - Individual'!$A$4:$Y$133,N$2,FALSE)*N$1</f>
        <v>0</v>
      </c>
      <c r="O193" s="1116">
        <f>$G193+N193</f>
        <v>38247947</v>
      </c>
      <c r="P193" s="1117">
        <f>VLOOKUP($E193,O$442:R$453,2,FALSE)*O193*($K193)+IF($G193&lt;&gt;0,($H193/$G193)*O193,0)*(1-$K193)</f>
        <v>38247947</v>
      </c>
      <c r="Q193" s="1117">
        <f>VLOOKUP($E193,O$442:R$453,3,FALSE)*O193*($K193)+IF($G193&lt;&gt;0,($I193/$G193)*O193,0)*(1-$K193)</f>
        <v>0</v>
      </c>
      <c r="R193" s="1117">
        <f>VLOOKUP($E193,O$442:R$453,4,FALSE)*O193*($K193)+(O193-P193-Q193)*(1-$K193)</f>
        <v>0</v>
      </c>
      <c r="S193" s="1073"/>
      <c r="V193" s="1157">
        <f>VLOOKUP($A193,'New Resources - Individual'!$A$4:$Y$133,V$2,FALSE)*V$1</f>
        <v>0</v>
      </c>
      <c r="W193" s="1116">
        <f>$G193+V193</f>
        <v>38247947</v>
      </c>
      <c r="X193" s="1117">
        <f>VLOOKUP($E193,W$442:Z$453,2,FALSE)*W193*($K193)+IF($G193&lt;&gt;0,($H193/$G193)*W193,0)*(1-$K193)</f>
        <v>38247947</v>
      </c>
      <c r="Y193" s="1117">
        <f>VLOOKUP($E193,W$442:Z$453,3,FALSE)*W193*($K193)+IF($G193&lt;&gt;0,($I193/$G193)*W193,0)*(1-$K193)</f>
        <v>0</v>
      </c>
      <c r="Z193" s="1117">
        <f>VLOOKUP($E193,W$442:Z$453,4,FALSE)*W193*($K193)+(W193-X193-Y193)*(1-$K193)</f>
        <v>0</v>
      </c>
      <c r="AA193" s="1073"/>
      <c r="AD193" s="1157">
        <f>VLOOKUP($A193,'New Resources - Individual'!$A$4:$Y$133,AD$2,FALSE)*AD$1</f>
        <v>0</v>
      </c>
      <c r="AE193" s="1116">
        <f>$G193+AD193</f>
        <v>38247947</v>
      </c>
      <c r="AF193" s="1117">
        <f>VLOOKUP($E193,AE$442:AH$453,2,FALSE)*AE193*($K193)+IF($G193&lt;&gt;0,($H193/$G193)*AE193,0)*(1-$K193)</f>
        <v>38247947</v>
      </c>
      <c r="AG193" s="1117">
        <f>VLOOKUP($E193,AE$442:AH$453,3,FALSE)*AE193*($K193)+IF($G193&lt;&gt;0,($I193/$G193)*AE193,0)*(1-$K193)</f>
        <v>0</v>
      </c>
      <c r="AH193" s="1117">
        <f>VLOOKUP($E193,AE$442:AH$453,4,FALSE)*AE193*($K193)+(AE193-AF193-AG193)*(1-$K193)</f>
        <v>0</v>
      </c>
      <c r="AI193" s="1073"/>
      <c r="AL193" s="1157">
        <f>VLOOKUP($A193,'New Resources - Individual'!$A$4:$Y$133,AL$2,FALSE)*AL$1</f>
        <v>0</v>
      </c>
      <c r="AM193" s="1116">
        <f>$G193+AL193</f>
        <v>38247947</v>
      </c>
      <c r="AN193" s="1117">
        <f>VLOOKUP($E193,AM$442:AP$453,2,FALSE)*AM193*($K193)+IF($G193&lt;&gt;0,($H193/$G193)*AM193,0)*(1-$K193)</f>
        <v>38247947</v>
      </c>
      <c r="AO193" s="1117">
        <f>VLOOKUP($E193,AM$442:AP$453,3,FALSE)*AM193*($K193)+IF($G193&lt;&gt;0,($I193/$G193)*AM193,0)*(1-$K193)</f>
        <v>0</v>
      </c>
      <c r="AP193" s="1117">
        <f>VLOOKUP($E193,AM$442:AP$453,4,FALSE)*AM193*($K193)+(AM193-AN193-AO193)*(1-$K193)</f>
        <v>0</v>
      </c>
      <c r="AQ193" s="1073"/>
      <c r="AT193" s="1157">
        <f>VLOOKUP($A193,'New Resources - Individual'!$A$4:$Y$133,AT$2,FALSE)*AT$1</f>
        <v>0</v>
      </c>
      <c r="AU193" s="1116">
        <f>$G193+AT193</f>
        <v>38247947</v>
      </c>
      <c r="AV193" s="1117">
        <f>VLOOKUP($E193,AU$442:AX$453,2,FALSE)*AU193*($K193)+IF($G193&lt;&gt;0,($H193/$G193)*AU193,0)*(1-$K193)</f>
        <v>38247947</v>
      </c>
      <c r="AW193" s="1117">
        <f>VLOOKUP($E193,AU$442:AX$453,3,FALSE)*AU193*($K193)+IF($G193&lt;&gt;0,($I193/$G193)*AU193,0)*(1-$K193)</f>
        <v>0</v>
      </c>
      <c r="AX193" s="1117">
        <f>VLOOKUP($E193,AU$442:AX$453,4,FALSE)*AU193*($K193)+(AU193-AV193-AW193)*(1-$K193)</f>
        <v>0</v>
      </c>
      <c r="AY193" s="1073"/>
      <c r="BB193" s="1157">
        <f>VLOOKUP($A193,'New Resources - Individual'!$A$4:$Y$133,BB$2,FALSE)*BB$1</f>
        <v>0</v>
      </c>
      <c r="BC193" s="1116">
        <f>$G193+BB193</f>
        <v>38247947</v>
      </c>
      <c r="BD193" s="1117">
        <f>VLOOKUP($E193,BC$442:BF$453,2,FALSE)*BC193*($K193)+IF($G193&lt;&gt;0,($H193/$G193)*BC193,0)*(1-$K193)</f>
        <v>38247947</v>
      </c>
      <c r="BE193" s="1117">
        <f>VLOOKUP($E193,BC$442:BF$453,3,FALSE)*BC193*($K193)+IF($G193&lt;&gt;0,($I193/$G193)*BC193,0)*(1-$K193)</f>
        <v>0</v>
      </c>
      <c r="BF193" s="1117">
        <f>VLOOKUP($E193,BC$442:BF$453,4,FALSE)*BC193*($K193)+(BC193-BD193-BE193)*(1-$K193)</f>
        <v>0</v>
      </c>
      <c r="BG193" s="1073"/>
      <c r="BJ193" s="1157">
        <f>VLOOKUP($A193,'New Resources - Individual'!$A$4:$Y$133,BJ$2,FALSE)*BJ$1</f>
        <v>0</v>
      </c>
      <c r="BK193" s="1116">
        <f>$G193+BJ193</f>
        <v>38247947</v>
      </c>
      <c r="BL193" s="1117">
        <f>VLOOKUP($E193,BK$442:BN$453,2,FALSE)*BK193*($K193)+IF($G193&lt;&gt;0,($H193/$G193)*BK193,0)*(1-$K193)</f>
        <v>38247947</v>
      </c>
      <c r="BM193" s="1117">
        <f>VLOOKUP($E193,BK$442:BN$453,3,FALSE)*BK193*($K193)+IF($G193&lt;&gt;0,($I193/$G193)*BK193,0)*(1-$K193)</f>
        <v>0</v>
      </c>
      <c r="BN193" s="1117">
        <f>VLOOKUP($E193,BK$442:BN$453,4,FALSE)*BK193*($K193)+(BK193-BL193-BM193)*(1-$K193)</f>
        <v>0</v>
      </c>
      <c r="BO193" s="1073"/>
      <c r="BR193" s="1157">
        <f>VLOOKUP($A193,'New Resources - Individual'!$A$4:$Y$133,BR$2,FALSE)*BR$1</f>
        <v>0</v>
      </c>
      <c r="BS193" s="1116">
        <f>$G193+BR193</f>
        <v>38247947</v>
      </c>
      <c r="BT193" s="1117">
        <f>VLOOKUP($E193,BS$442:BV$453,2,FALSE)*BS193*($K193)+IF($G193&lt;&gt;0,($H193/$G193)*BS193,0)*(1-$K193)</f>
        <v>38247947</v>
      </c>
      <c r="BU193" s="1117">
        <f>VLOOKUP($E193,BS$442:BV$453,3,FALSE)*BS193*($K193)+IF($G193&lt;&gt;0,($I193/$G193)*BS193,0)*(1-$K193)</f>
        <v>0</v>
      </c>
      <c r="BV193" s="1117">
        <f>VLOOKUP($E193,BS$442:BV$453,4,FALSE)*BS193*($K193)+(BS193-BT193-BU193)*(1-$K193)</f>
        <v>0</v>
      </c>
      <c r="BW193" s="1073"/>
      <c r="BZ193" s="1157">
        <f>VLOOKUP($A193,'New Resources - Individual'!$A$4:$Y$133,BZ$2,FALSE)*BZ$1</f>
        <v>0</v>
      </c>
      <c r="CA193" s="1116">
        <f>$G193+BZ193</f>
        <v>38247947</v>
      </c>
      <c r="CB193" s="1117">
        <f>VLOOKUP($E193,CA$442:CD$453,2,FALSE)*CA193*($K193)+IF($G193&lt;&gt;0,($H193/$G193)*CA193,0)*(1-$K193)</f>
        <v>38247947</v>
      </c>
      <c r="CC193" s="1117">
        <f>VLOOKUP($E193,CA$442:CD$453,3,FALSE)*CA193*($K193)+IF($G193&lt;&gt;0,($I193/$G193)*CA193,0)*(1-$K193)</f>
        <v>0</v>
      </c>
      <c r="CD193" s="1117">
        <f>VLOOKUP($E193,CA$442:CD$453,4,FALSE)*CA193*($K193)+(CA193-CB193-CC193)*(1-$K193)</f>
        <v>0</v>
      </c>
      <c r="CE193" s="1073"/>
      <c r="CH193" s="1157">
        <f>VLOOKUP($A193,'New Resources - Individual'!$A$4:$Y$133,CH$2,FALSE)*CH$1</f>
        <v>0</v>
      </c>
      <c r="CI193" s="1116">
        <f>$G193+CH193</f>
        <v>38247947</v>
      </c>
      <c r="CJ193" s="1117">
        <f>VLOOKUP($E193,CI$442:CL$453,2,FALSE)*CI193*($K193)+IF($G193&lt;&gt;0,($H193/$G193)*CI193,0)*(1-$K193)</f>
        <v>38247947</v>
      </c>
      <c r="CK193" s="1117">
        <f>VLOOKUP($E193,CI$442:CL$453,3,FALSE)*CI193*($K193)+IF($G193&lt;&gt;0,($I193/$G193)*CI193,0)*(1-$K193)</f>
        <v>0</v>
      </c>
      <c r="CL193" s="1117">
        <f>VLOOKUP($E193,CI$442:CL$453,4,FALSE)*CI193*($K193)+(CI193-CJ193-CK193)*(1-$K193)</f>
        <v>0</v>
      </c>
      <c r="CM193" s="1073"/>
      <c r="CP193" s="1157">
        <f>VLOOKUP($A193,'New Resources - Individual'!$A$4:$Y$133,CP$2,FALSE)*CP$1</f>
        <v>0</v>
      </c>
      <c r="CQ193" s="1116">
        <f>$G193+CP193</f>
        <v>38247947</v>
      </c>
      <c r="CR193" s="1117">
        <f>VLOOKUP($E193,CQ$442:CT$453,2,FALSE)*CQ193*($K193)+IF($G193&lt;&gt;0,($H193/$G193)*CQ193,0)*(1-$K193)</f>
        <v>38247947</v>
      </c>
      <c r="CS193" s="1117">
        <f>VLOOKUP($E193,CQ$442:CT$453,3,FALSE)*CQ193*($K193)+IF($G193&lt;&gt;0,($I193/$G193)*CQ193,0)*(1-$K193)</f>
        <v>0</v>
      </c>
      <c r="CT193" s="1117">
        <f>VLOOKUP($E193,CQ$442:CT$453,4,FALSE)*CQ193*($K193)+(CQ193-CR193-CS193)*(1-$K193)</f>
        <v>0</v>
      </c>
      <c r="CU193" s="1073"/>
      <c r="CX193" s="1157">
        <f>VLOOKUP($A193,'New Resources - Individual'!$A$4:$Y$133,CX$2,FALSE)*CX$1</f>
        <v>0</v>
      </c>
      <c r="CY193" s="1116">
        <f>$G193+CX193</f>
        <v>38247947</v>
      </c>
      <c r="CZ193" s="1117">
        <f>VLOOKUP($E193,CY$442:DB$453,2,FALSE)*CY193*($K193)+IF($G193&lt;&gt;0,($H193/$G193)*CY193,0)*(1-$K193)</f>
        <v>38247947</v>
      </c>
      <c r="DA193" s="1117">
        <f>VLOOKUP($E193,CY$442:DB$453,3,FALSE)*CY193*($K193)+IF($G193&lt;&gt;0,($I193/$G193)*CY193,0)*(1-$K193)</f>
        <v>0</v>
      </c>
      <c r="DB193" s="1117">
        <f>VLOOKUP($E193,CY$442:DB$453,4,FALSE)*CY193*($K193)+(CY193-CZ193-DA193)*(1-$K193)</f>
        <v>0</v>
      </c>
      <c r="DC193" s="1073"/>
      <c r="DF193" s="1157">
        <f>VLOOKUP($A193,'New Resources - Individual'!$A$4:$Y$133,DF$2,FALSE)*DF$1</f>
        <v>0</v>
      </c>
      <c r="DG193" s="1116">
        <f>$G193+DF193</f>
        <v>38247947</v>
      </c>
      <c r="DH193" s="1117">
        <f>VLOOKUP($E193,DG$442:DJ$453,2,FALSE)*DG193*($K193)+IF($G193&lt;&gt;0,($H193/$G193)*DG193,0)*(1-$K193)</f>
        <v>38247947</v>
      </c>
      <c r="DI193" s="1117">
        <f>VLOOKUP($E193,DG$442:DJ$453,3,FALSE)*DG193*($K193)+IF($G193&lt;&gt;0,($I193/$G193)*DG193,0)*(1-$K193)</f>
        <v>0</v>
      </c>
      <c r="DJ193" s="1117">
        <f>VLOOKUP($E193,DG$442:DJ$453,4,FALSE)*DG193*($K193)+(DG193-DH193-DI193)*(1-$K193)</f>
        <v>0</v>
      </c>
      <c r="DK193" s="1073"/>
      <c r="DN193" s="1157">
        <f>VLOOKUP($A193,'New Resources - Individual'!$A$4:$Y$133,DN$2,FALSE)*DN$1</f>
        <v>0</v>
      </c>
      <c r="DO193" s="1116">
        <f>$G193+DN193</f>
        <v>38247947</v>
      </c>
      <c r="DP193" s="1117">
        <f>VLOOKUP($E193,DO$442:DR$453,2,FALSE)*DO193*($K193)+IF($G193&lt;&gt;0,($H193/$G193)*DO193,0)*(1-$K193)</f>
        <v>38247947</v>
      </c>
      <c r="DQ193" s="1117">
        <f>VLOOKUP($E193,DO$442:DR$453,3,FALSE)*DO193*($K193)+IF($G193&lt;&gt;0,($I193/$G193)*DO193,0)*(1-$K193)</f>
        <v>0</v>
      </c>
      <c r="DR193" s="1117">
        <f>VLOOKUP($E193,DO$442:DR$453,4,FALSE)*DO193*($K193)+(DO193-DP193-DQ193)*(1-$K193)</f>
        <v>0</v>
      </c>
      <c r="DS193" s="1073"/>
      <c r="DV193" s="1157">
        <f>VLOOKUP($A193,'New Resources - Individual'!$A$4:$Y$133,DV$2,FALSE)*DV$1</f>
        <v>0</v>
      </c>
      <c r="DW193" s="1116">
        <f>$G193+DV193</f>
        <v>38247947</v>
      </c>
      <c r="DX193" s="1117">
        <f>VLOOKUP($E193,DW$442:DZ$453,2,FALSE)*DW193*($K193)+IF($G193&lt;&gt;0,($H193/$G193)*DW193,0)*(1-$K193)</f>
        <v>38247947</v>
      </c>
      <c r="DY193" s="1117">
        <f>VLOOKUP($E193,DW$442:DZ$453,3,FALSE)*DW193*($K193)+IF($G193&lt;&gt;0,($I193/$G193)*DW193,0)*(1-$K193)</f>
        <v>0</v>
      </c>
      <c r="DZ193" s="1117">
        <f>VLOOKUP($E193,DW$442:DZ$453,4,FALSE)*DW193*($K193)+(DW193-DX193-DY193)*(1-$K193)</f>
        <v>0</v>
      </c>
      <c r="EA193" s="1073"/>
      <c r="ED193" s="1157">
        <f>VLOOKUP($A193,'New Resources - Individual'!$A$4:$Y$133,ED$2,FALSE)*ED$1</f>
        <v>0</v>
      </c>
      <c r="EE193" s="1116">
        <f>$G193+ED193</f>
        <v>38247947</v>
      </c>
      <c r="EF193" s="1117">
        <f>VLOOKUP($E193,EE$442:EH$453,2,FALSE)*EE193*($K193)+IF($G193&lt;&gt;0,($H193/$G193)*EE193,0)*(1-$K193)</f>
        <v>38247947</v>
      </c>
      <c r="EG193" s="1117">
        <f>VLOOKUP($E193,EE$442:EH$453,3,FALSE)*EE193*($K193)+IF($G193&lt;&gt;0,($I193/$G193)*EE193,0)*(1-$K193)</f>
        <v>0</v>
      </c>
      <c r="EH193" s="1117">
        <f>VLOOKUP($E193,EE$442:EH$453,4,FALSE)*EE193*($K193)+(EE193-EF193-EG193)*(1-$K193)</f>
        <v>0</v>
      </c>
      <c r="EI193" s="1073"/>
      <c r="EL193" s="1157">
        <f>VLOOKUP($A193,'New Resources - Individual'!$A$4:$Y$133,EL$2,FALSE)*EL$1</f>
        <v>0</v>
      </c>
      <c r="EM193" s="1116">
        <f>$G193+EL193</f>
        <v>38247947</v>
      </c>
      <c r="EN193" s="1117">
        <f>VLOOKUP($E193,EM$442:EP$453,2,FALSE)*EM193*($K193)+IF($G193&lt;&gt;0,($H193/$G193)*EM193,0)*(1-$K193)</f>
        <v>38247947</v>
      </c>
      <c r="EO193" s="1117">
        <f>VLOOKUP($E193,EM$442:EP$453,3,FALSE)*EM193*($K193)+IF($G193&lt;&gt;0,($I193/$G193)*EM193,0)*(1-$K193)</f>
        <v>0</v>
      </c>
      <c r="EP193" s="1117">
        <f>VLOOKUP($E193,EM$442:EP$453,4,FALSE)*EM193*($K193)+(EM193-EN193-EO193)*(1-$K193)</f>
        <v>0</v>
      </c>
      <c r="EQ193" s="1073"/>
      <c r="ET193" s="1157">
        <f>VLOOKUP($A193,'New Resources - Individual'!$A$4:$Y$133,ET$2,FALSE)*ET$1</f>
        <v>0</v>
      </c>
      <c r="EU193" s="1116">
        <f>$G193+ET193</f>
        <v>38247947</v>
      </c>
      <c r="EV193" s="1117">
        <f>VLOOKUP($E193,EU$442:EX$453,2,FALSE)*EU193*($K193)+IF($G193&lt;&gt;0,($H193/$G193)*EU193,0)*(1-$K193)</f>
        <v>38247947</v>
      </c>
      <c r="EW193" s="1117">
        <f>VLOOKUP($E193,EU$442:EX$453,3,FALSE)*EU193*($K193)+IF($G193&lt;&gt;0,($I193/$G193)*EU193,0)*(1-$K193)</f>
        <v>0</v>
      </c>
      <c r="EX193" s="1117">
        <f>VLOOKUP($E193,EU$442:EX$453,4,FALSE)*EU193*($K193)+(EU193-EV193-EW193)*(1-$K193)</f>
        <v>0</v>
      </c>
      <c r="EY193" s="1073"/>
      <c r="FB193" s="1157">
        <f>VLOOKUP($A193,'New Resources - Individual'!$A$4:$Y$133,FB$2,FALSE)*FB$1</f>
        <v>0</v>
      </c>
      <c r="FC193" s="1116">
        <f>$G193+FB193</f>
        <v>38247947</v>
      </c>
      <c r="FD193" s="1117">
        <f>VLOOKUP($E193,FC$442:FF$453,2,FALSE)*FC193*($K193)+IF($G193&lt;&gt;0,($H193/$G193)*FC193,0)*(1-$K193)</f>
        <v>38247947</v>
      </c>
      <c r="FE193" s="1117">
        <f>VLOOKUP($E193,FC$442:FF$453,3,FALSE)*FC193*($K193)+IF($G193&lt;&gt;0,($I193/$G193)*FC193,0)*(1-$K193)</f>
        <v>0</v>
      </c>
      <c r="FF193" s="1117">
        <f>VLOOKUP($E193,FC$442:FF$453,4,FALSE)*FC193*($K193)+(FC193-FD193-FE193)*(1-$K193)</f>
        <v>0</v>
      </c>
      <c r="FG193" s="1073"/>
      <c r="FJ193" s="1157">
        <f>VLOOKUP($A193,'New Resources - Individual'!$A$4:$Y$133,FJ$2,FALSE)*FJ$1</f>
        <v>0</v>
      </c>
      <c r="FK193" s="1116">
        <f>$G193+FJ193</f>
        <v>38247947</v>
      </c>
      <c r="FL193" s="1117">
        <f>VLOOKUP($E193,FK$442:FN$453,2,FALSE)*FK193*($K193)+IF($G193&lt;&gt;0,($H193/$G193)*FK193,0)*(1-$K193)</f>
        <v>38247947</v>
      </c>
      <c r="FM193" s="1117">
        <f>VLOOKUP($E193,FK$442:FN$453,3,FALSE)*FK193*($K193)+IF($G193&lt;&gt;0,($I193/$G193)*FK193,0)*(1-$K193)</f>
        <v>0</v>
      </c>
      <c r="FN193" s="1117">
        <f>VLOOKUP($E193,FK$442:FN$453,4,FALSE)*FK193*($K193)+(FK193-FL193-FM193)*(1-$K193)</f>
        <v>0</v>
      </c>
      <c r="FO193" s="1073"/>
    </row>
    <row r="194" spans="1:171">
      <c r="A194" s="912"/>
      <c r="B194" s="220" t="s">
        <v>52</v>
      </c>
      <c r="C194" s="888">
        <v>327</v>
      </c>
      <c r="D194" s="888">
        <v>555</v>
      </c>
      <c r="E194" s="182" t="str">
        <f>'Sch 3 - Expenses'!E34</f>
        <v>PROD</v>
      </c>
      <c r="F194" s="889"/>
      <c r="G194" s="182">
        <f>'Sch 3 - Expenses'!G34</f>
        <v>0</v>
      </c>
      <c r="H194" s="182">
        <f>'Sch 3 - Expenses'!H34</f>
        <v>0</v>
      </c>
      <c r="I194" s="182">
        <f>'Sch 3 - Expenses'!I34</f>
        <v>0</v>
      </c>
      <c r="J194" s="183">
        <f>'Sch 3 - Expenses'!J34</f>
        <v>0</v>
      </c>
      <c r="K194" s="903">
        <f t="shared" si="547"/>
        <v>1</v>
      </c>
      <c r="O194" s="1116">
        <f>$G194</f>
        <v>0</v>
      </c>
      <c r="P194" s="1117">
        <f>VLOOKUP($E194,O$442:R$453,2,FALSE)*O194*($K194)+IF($G194&lt;&gt;0,($H194/$G194)*O194,0)*(1-$K194)</f>
        <v>0</v>
      </c>
      <c r="Q194" s="1117">
        <f>VLOOKUP($E194,O$442:R$453,3,FALSE)*O194*($K194)+IF($G194&lt;&gt;0,($I194/$G194)*O194,0)*(1-$K194)</f>
        <v>0</v>
      </c>
      <c r="R194" s="1117">
        <f>VLOOKUP($E194,O$442:R$453,4,FALSE)*O194*($K194)+(O194-P194-Q194)*(1-$K194)</f>
        <v>0</v>
      </c>
      <c r="S194" s="1073"/>
      <c r="W194" s="1116">
        <f>$G194</f>
        <v>0</v>
      </c>
      <c r="X194" s="1117">
        <f>VLOOKUP($E194,W$442:Z$453,2,FALSE)*W194*($K194)+IF($G194&lt;&gt;0,($H194/$G194)*W194,0)*(1-$K194)</f>
        <v>0</v>
      </c>
      <c r="Y194" s="1117">
        <f>VLOOKUP($E194,W$442:Z$453,3,FALSE)*W194*($K194)+IF($G194&lt;&gt;0,($I194/$G194)*W194,0)*(1-$K194)</f>
        <v>0</v>
      </c>
      <c r="Z194" s="1117">
        <f>VLOOKUP($E194,W$442:Z$453,4,FALSE)*W194*($K194)+(W194-X194-Y194)*(1-$K194)</f>
        <v>0</v>
      </c>
      <c r="AA194" s="1073"/>
      <c r="AE194" s="1116">
        <f>$G194</f>
        <v>0</v>
      </c>
      <c r="AF194" s="1117">
        <f>VLOOKUP($E194,AE$442:AH$453,2,FALSE)*AE194*($K194)+IF($G194&lt;&gt;0,($H194/$G194)*AE194,0)*(1-$K194)</f>
        <v>0</v>
      </c>
      <c r="AG194" s="1117">
        <f>VLOOKUP($E194,AE$442:AH$453,3,FALSE)*AE194*($K194)+IF($G194&lt;&gt;0,($I194/$G194)*AE194,0)*(1-$K194)</f>
        <v>0</v>
      </c>
      <c r="AH194" s="1117">
        <f>VLOOKUP($E194,AE$442:AH$453,4,FALSE)*AE194*($K194)+(AE194-AF194-AG194)*(1-$K194)</f>
        <v>0</v>
      </c>
      <c r="AI194" s="1073"/>
      <c r="AM194" s="1116">
        <f>$G194</f>
        <v>0</v>
      </c>
      <c r="AN194" s="1117">
        <f>VLOOKUP($E194,AM$442:AP$453,2,FALSE)*AM194*($K194)+IF($G194&lt;&gt;0,($H194/$G194)*AM194,0)*(1-$K194)</f>
        <v>0</v>
      </c>
      <c r="AO194" s="1117">
        <f>VLOOKUP($E194,AM$442:AP$453,3,FALSE)*AM194*($K194)+IF($G194&lt;&gt;0,($I194/$G194)*AM194,0)*(1-$K194)</f>
        <v>0</v>
      </c>
      <c r="AP194" s="1117">
        <f>VLOOKUP($E194,AM$442:AP$453,4,FALSE)*AM194*($K194)+(AM194-AN194-AO194)*(1-$K194)</f>
        <v>0</v>
      </c>
      <c r="AQ194" s="1073"/>
      <c r="AU194" s="1116">
        <f>$G194</f>
        <v>0</v>
      </c>
      <c r="AV194" s="1117">
        <f>VLOOKUP($E194,AU$442:AX$453,2,FALSE)*AU194*($K194)+IF($G194&lt;&gt;0,($H194/$G194)*AU194,0)*(1-$K194)</f>
        <v>0</v>
      </c>
      <c r="AW194" s="1117">
        <f>VLOOKUP($E194,AU$442:AX$453,3,FALSE)*AU194*($K194)+IF($G194&lt;&gt;0,($I194/$G194)*AU194,0)*(1-$K194)</f>
        <v>0</v>
      </c>
      <c r="AX194" s="1117">
        <f>VLOOKUP($E194,AU$442:AX$453,4,FALSE)*AU194*($K194)+(AU194-AV194-AW194)*(1-$K194)</f>
        <v>0</v>
      </c>
      <c r="AY194" s="1073"/>
      <c r="BC194" s="1116">
        <f>$G194</f>
        <v>0</v>
      </c>
      <c r="BD194" s="1117">
        <f>VLOOKUP($E194,BC$442:BF$453,2,FALSE)*BC194*($K194)+IF($G194&lt;&gt;0,($H194/$G194)*BC194,0)*(1-$K194)</f>
        <v>0</v>
      </c>
      <c r="BE194" s="1117">
        <f>VLOOKUP($E194,BC$442:BF$453,3,FALSE)*BC194*($K194)+IF($G194&lt;&gt;0,($I194/$G194)*BC194,0)*(1-$K194)</f>
        <v>0</v>
      </c>
      <c r="BF194" s="1117">
        <f>VLOOKUP($E194,BC$442:BF$453,4,FALSE)*BC194*($K194)+(BC194-BD194-BE194)*(1-$K194)</f>
        <v>0</v>
      </c>
      <c r="BG194" s="1073"/>
      <c r="BK194" s="1116">
        <f>$G194</f>
        <v>0</v>
      </c>
      <c r="BL194" s="1117">
        <f>VLOOKUP($E194,BK$442:BN$453,2,FALSE)*BK194*($K194)+IF($G194&lt;&gt;0,($H194/$G194)*BK194,0)*(1-$K194)</f>
        <v>0</v>
      </c>
      <c r="BM194" s="1117">
        <f>VLOOKUP($E194,BK$442:BN$453,3,FALSE)*BK194*($K194)+IF($G194&lt;&gt;0,($I194/$G194)*BK194,0)*(1-$K194)</f>
        <v>0</v>
      </c>
      <c r="BN194" s="1117">
        <f>VLOOKUP($E194,BK$442:BN$453,4,FALSE)*BK194*($K194)+(BK194-BL194-BM194)*(1-$K194)</f>
        <v>0</v>
      </c>
      <c r="BO194" s="1073"/>
      <c r="BS194" s="1116">
        <f>$G194</f>
        <v>0</v>
      </c>
      <c r="BT194" s="1117">
        <f>VLOOKUP($E194,BS$442:BV$453,2,FALSE)*BS194*($K194)+IF($G194&lt;&gt;0,($H194/$G194)*BS194,0)*(1-$K194)</f>
        <v>0</v>
      </c>
      <c r="BU194" s="1117">
        <f>VLOOKUP($E194,BS$442:BV$453,3,FALSE)*BS194*($K194)+IF($G194&lt;&gt;0,($I194/$G194)*BS194,0)*(1-$K194)</f>
        <v>0</v>
      </c>
      <c r="BV194" s="1117">
        <f>VLOOKUP($E194,BS$442:BV$453,4,FALSE)*BS194*($K194)+(BS194-BT194-BU194)*(1-$K194)</f>
        <v>0</v>
      </c>
      <c r="BW194" s="1073"/>
      <c r="CA194" s="1116">
        <f>$G194</f>
        <v>0</v>
      </c>
      <c r="CB194" s="1117">
        <f>VLOOKUP($E194,CA$442:CD$453,2,FALSE)*CA194*($K194)+IF($G194&lt;&gt;0,($H194/$G194)*CA194,0)*(1-$K194)</f>
        <v>0</v>
      </c>
      <c r="CC194" s="1117">
        <f>VLOOKUP($E194,CA$442:CD$453,3,FALSE)*CA194*($K194)+IF($G194&lt;&gt;0,($I194/$G194)*CA194,0)*(1-$K194)</f>
        <v>0</v>
      </c>
      <c r="CD194" s="1117">
        <f>VLOOKUP($E194,CA$442:CD$453,4,FALSE)*CA194*($K194)+(CA194-CB194-CC194)*(1-$K194)</f>
        <v>0</v>
      </c>
      <c r="CE194" s="1073"/>
      <c r="CI194" s="1116">
        <f>$G194</f>
        <v>0</v>
      </c>
      <c r="CJ194" s="1117">
        <f>VLOOKUP($E194,CI$442:CL$453,2,FALSE)*CI194*($K194)+IF($G194&lt;&gt;0,($H194/$G194)*CI194,0)*(1-$K194)</f>
        <v>0</v>
      </c>
      <c r="CK194" s="1117">
        <f>VLOOKUP($E194,CI$442:CL$453,3,FALSE)*CI194*($K194)+IF($G194&lt;&gt;0,($I194/$G194)*CI194,0)*(1-$K194)</f>
        <v>0</v>
      </c>
      <c r="CL194" s="1117">
        <f>VLOOKUP($E194,CI$442:CL$453,4,FALSE)*CI194*($K194)+(CI194-CJ194-CK194)*(1-$K194)</f>
        <v>0</v>
      </c>
      <c r="CM194" s="1073"/>
      <c r="CQ194" s="1116">
        <f>$G194</f>
        <v>0</v>
      </c>
      <c r="CR194" s="1117">
        <f>VLOOKUP($E194,CQ$442:CT$453,2,FALSE)*CQ194*($K194)+IF($G194&lt;&gt;0,($H194/$G194)*CQ194,0)*(1-$K194)</f>
        <v>0</v>
      </c>
      <c r="CS194" s="1117">
        <f>VLOOKUP($E194,CQ$442:CT$453,3,FALSE)*CQ194*($K194)+IF($G194&lt;&gt;0,($I194/$G194)*CQ194,0)*(1-$K194)</f>
        <v>0</v>
      </c>
      <c r="CT194" s="1117">
        <f>VLOOKUP($E194,CQ$442:CT$453,4,FALSE)*CQ194*($K194)+(CQ194-CR194-CS194)*(1-$K194)</f>
        <v>0</v>
      </c>
      <c r="CU194" s="1073"/>
      <c r="CY194" s="1116">
        <f>$G194</f>
        <v>0</v>
      </c>
      <c r="CZ194" s="1117">
        <f>VLOOKUP($E194,CY$442:DB$453,2,FALSE)*CY194*($K194)+IF($G194&lt;&gt;0,($H194/$G194)*CY194,0)*(1-$K194)</f>
        <v>0</v>
      </c>
      <c r="DA194" s="1117">
        <f>VLOOKUP($E194,CY$442:DB$453,3,FALSE)*CY194*($K194)+IF($G194&lt;&gt;0,($I194/$G194)*CY194,0)*(1-$K194)</f>
        <v>0</v>
      </c>
      <c r="DB194" s="1117">
        <f>VLOOKUP($E194,CY$442:DB$453,4,FALSE)*CY194*($K194)+(CY194-CZ194-DA194)*(1-$K194)</f>
        <v>0</v>
      </c>
      <c r="DC194" s="1073"/>
      <c r="DG194" s="1116">
        <f>$G194</f>
        <v>0</v>
      </c>
      <c r="DH194" s="1117">
        <f>VLOOKUP($E194,DG$442:DJ$453,2,FALSE)*DG194*($K194)+IF($G194&lt;&gt;0,($H194/$G194)*DG194,0)*(1-$K194)</f>
        <v>0</v>
      </c>
      <c r="DI194" s="1117">
        <f>VLOOKUP($E194,DG$442:DJ$453,3,FALSE)*DG194*($K194)+IF($G194&lt;&gt;0,($I194/$G194)*DG194,0)*(1-$K194)</f>
        <v>0</v>
      </c>
      <c r="DJ194" s="1117">
        <f>VLOOKUP($E194,DG$442:DJ$453,4,FALSE)*DG194*($K194)+(DG194-DH194-DI194)*(1-$K194)</f>
        <v>0</v>
      </c>
      <c r="DK194" s="1073"/>
      <c r="DO194" s="1116">
        <f>$G194</f>
        <v>0</v>
      </c>
      <c r="DP194" s="1117">
        <f>VLOOKUP($E194,DO$442:DR$453,2,FALSE)*DO194*($K194)+IF($G194&lt;&gt;0,($H194/$G194)*DO194,0)*(1-$K194)</f>
        <v>0</v>
      </c>
      <c r="DQ194" s="1117">
        <f>VLOOKUP($E194,DO$442:DR$453,3,FALSE)*DO194*($K194)+IF($G194&lt;&gt;0,($I194/$G194)*DO194,0)*(1-$K194)</f>
        <v>0</v>
      </c>
      <c r="DR194" s="1117">
        <f>VLOOKUP($E194,DO$442:DR$453,4,FALSE)*DO194*($K194)+(DO194-DP194-DQ194)*(1-$K194)</f>
        <v>0</v>
      </c>
      <c r="DS194" s="1073"/>
      <c r="DW194" s="1116">
        <f>$G194</f>
        <v>0</v>
      </c>
      <c r="DX194" s="1117">
        <f>VLOOKUP($E194,DW$442:DZ$453,2,FALSE)*DW194*($K194)+IF($G194&lt;&gt;0,($H194/$G194)*DW194,0)*(1-$K194)</f>
        <v>0</v>
      </c>
      <c r="DY194" s="1117">
        <f>VLOOKUP($E194,DW$442:DZ$453,3,FALSE)*DW194*($K194)+IF($G194&lt;&gt;0,($I194/$G194)*DW194,0)*(1-$K194)</f>
        <v>0</v>
      </c>
      <c r="DZ194" s="1117">
        <f>VLOOKUP($E194,DW$442:DZ$453,4,FALSE)*DW194*($K194)+(DW194-DX194-DY194)*(1-$K194)</f>
        <v>0</v>
      </c>
      <c r="EA194" s="1073"/>
      <c r="EE194" s="1116">
        <f>$G194</f>
        <v>0</v>
      </c>
      <c r="EF194" s="1117">
        <f>VLOOKUP($E194,EE$442:EH$453,2,FALSE)*EE194*($K194)+IF($G194&lt;&gt;0,($H194/$G194)*EE194,0)*(1-$K194)</f>
        <v>0</v>
      </c>
      <c r="EG194" s="1117">
        <f>VLOOKUP($E194,EE$442:EH$453,3,FALSE)*EE194*($K194)+IF($G194&lt;&gt;0,($I194/$G194)*EE194,0)*(1-$K194)</f>
        <v>0</v>
      </c>
      <c r="EH194" s="1117">
        <f>VLOOKUP($E194,EE$442:EH$453,4,FALSE)*EE194*($K194)+(EE194-EF194-EG194)*(1-$K194)</f>
        <v>0</v>
      </c>
      <c r="EI194" s="1073"/>
      <c r="EM194" s="1116">
        <f>$G194</f>
        <v>0</v>
      </c>
      <c r="EN194" s="1117">
        <f>VLOOKUP($E194,EM$442:EP$453,2,FALSE)*EM194*($K194)+IF($G194&lt;&gt;0,($H194/$G194)*EM194,0)*(1-$K194)</f>
        <v>0</v>
      </c>
      <c r="EO194" s="1117">
        <f>VLOOKUP($E194,EM$442:EP$453,3,FALSE)*EM194*($K194)+IF($G194&lt;&gt;0,($I194/$G194)*EM194,0)*(1-$K194)</f>
        <v>0</v>
      </c>
      <c r="EP194" s="1117">
        <f>VLOOKUP($E194,EM$442:EP$453,4,FALSE)*EM194*($K194)+(EM194-EN194-EO194)*(1-$K194)</f>
        <v>0</v>
      </c>
      <c r="EQ194" s="1073"/>
      <c r="EU194" s="1116">
        <f>$G194</f>
        <v>0</v>
      </c>
      <c r="EV194" s="1117">
        <f>VLOOKUP($E194,EU$442:EX$453,2,FALSE)*EU194*($K194)+IF($G194&lt;&gt;0,($H194/$G194)*EU194,0)*(1-$K194)</f>
        <v>0</v>
      </c>
      <c r="EW194" s="1117">
        <f>VLOOKUP($E194,EU$442:EX$453,3,FALSE)*EU194*($K194)+IF($G194&lt;&gt;0,($I194/$G194)*EU194,0)*(1-$K194)</f>
        <v>0</v>
      </c>
      <c r="EX194" s="1117">
        <f>VLOOKUP($E194,EU$442:EX$453,4,FALSE)*EU194*($K194)+(EU194-EV194-EW194)*(1-$K194)</f>
        <v>0</v>
      </c>
      <c r="EY194" s="1073"/>
      <c r="FC194" s="1116">
        <f>$G194</f>
        <v>0</v>
      </c>
      <c r="FD194" s="1117">
        <f>VLOOKUP($E194,FC$442:FF$453,2,FALSE)*FC194*($K194)+IF($G194&lt;&gt;0,($H194/$G194)*FC194,0)*(1-$K194)</f>
        <v>0</v>
      </c>
      <c r="FE194" s="1117">
        <f>VLOOKUP($E194,FC$442:FF$453,3,FALSE)*FC194*($K194)+IF($G194&lt;&gt;0,($I194/$G194)*FC194,0)*(1-$K194)</f>
        <v>0</v>
      </c>
      <c r="FF194" s="1117">
        <f>VLOOKUP($E194,FC$442:FF$453,4,FALSE)*FC194*($K194)+(FC194-FD194-FE194)*(1-$K194)</f>
        <v>0</v>
      </c>
      <c r="FG194" s="1073"/>
      <c r="FK194" s="1116">
        <f>$G194</f>
        <v>0</v>
      </c>
      <c r="FL194" s="1117">
        <f>VLOOKUP($E194,FK$442:FN$453,2,FALSE)*FK194*($K194)+IF($G194&lt;&gt;0,($H194/$G194)*FK194,0)*(1-$K194)</f>
        <v>0</v>
      </c>
      <c r="FM194" s="1117">
        <f>VLOOKUP($E194,FK$442:FN$453,3,FALSE)*FK194*($K194)+IF($G194&lt;&gt;0,($I194/$G194)*FK194,0)*(1-$K194)</f>
        <v>0</v>
      </c>
      <c r="FN194" s="1117">
        <f>VLOOKUP($E194,FK$442:FN$453,4,FALSE)*FK194*($K194)+(FK194-FL194-FM194)*(1-$K194)</f>
        <v>0</v>
      </c>
      <c r="FO194" s="1073"/>
    </row>
    <row r="195" spans="1:171">
      <c r="A195" s="912"/>
      <c r="B195" s="913" t="s">
        <v>506</v>
      </c>
      <c r="C195" s="888"/>
      <c r="D195" s="889"/>
      <c r="E195" s="182" t="str">
        <f>'Sch 3 - Expenses'!E35</f>
        <v>DIRECT</v>
      </c>
      <c r="F195" s="889"/>
      <c r="G195" s="182">
        <f>'Sch 3 - Expenses'!G35</f>
        <v>0</v>
      </c>
      <c r="H195" s="182">
        <f>'Sch 3 - Expenses'!H35</f>
        <v>0</v>
      </c>
      <c r="I195" s="182">
        <f>'Sch 3 - Expenses'!I35</f>
        <v>0</v>
      </c>
      <c r="J195" s="183">
        <f>'Sch 3 - Expenses'!J35</f>
        <v>0</v>
      </c>
      <c r="K195" s="903">
        <f t="shared" si="547"/>
        <v>0</v>
      </c>
      <c r="O195" s="1116">
        <f>$G195</f>
        <v>0</v>
      </c>
      <c r="P195" s="1117">
        <f>VLOOKUP($E195,O$442:R$453,2,FALSE)*O195*($K195)+IF($G195&lt;&gt;0,($H195/$G195)*O195,0)*(1-$K195)</f>
        <v>0</v>
      </c>
      <c r="Q195" s="1117">
        <f>VLOOKUP($E195,O$442:R$453,3,FALSE)*O195*($K195)+IF($G195&lt;&gt;0,($I195/$G195)*O195,0)*(1-$K195)</f>
        <v>0</v>
      </c>
      <c r="R195" s="1117">
        <f>VLOOKUP($E195,O$442:R$453,4,FALSE)*O195*($K195)+(O195-P195-Q195)*(1-$K195)</f>
        <v>0</v>
      </c>
      <c r="S195" s="1073"/>
      <c r="W195" s="1116">
        <f>$G195</f>
        <v>0</v>
      </c>
      <c r="X195" s="1117">
        <f>VLOOKUP($E195,W$442:Z$453,2,FALSE)*W195*($K195)+IF($G195&lt;&gt;0,($H195/$G195)*W195,0)*(1-$K195)</f>
        <v>0</v>
      </c>
      <c r="Y195" s="1117">
        <f>VLOOKUP($E195,W$442:Z$453,3,FALSE)*W195*($K195)+IF($G195&lt;&gt;0,($I195/$G195)*W195,0)*(1-$K195)</f>
        <v>0</v>
      </c>
      <c r="Z195" s="1117">
        <f>VLOOKUP($E195,W$442:Z$453,4,FALSE)*W195*($K195)+(W195-X195-Y195)*(1-$K195)</f>
        <v>0</v>
      </c>
      <c r="AA195" s="1073"/>
      <c r="AE195" s="1116">
        <f>$G195</f>
        <v>0</v>
      </c>
      <c r="AF195" s="1117">
        <f>VLOOKUP($E195,AE$442:AH$453,2,FALSE)*AE195*($K195)+IF($G195&lt;&gt;0,($H195/$G195)*AE195,0)*(1-$K195)</f>
        <v>0</v>
      </c>
      <c r="AG195" s="1117">
        <f>VLOOKUP($E195,AE$442:AH$453,3,FALSE)*AE195*($K195)+IF($G195&lt;&gt;0,($I195/$G195)*AE195,0)*(1-$K195)</f>
        <v>0</v>
      </c>
      <c r="AH195" s="1117">
        <f>VLOOKUP($E195,AE$442:AH$453,4,FALSE)*AE195*($K195)+(AE195-AF195-AG195)*(1-$K195)</f>
        <v>0</v>
      </c>
      <c r="AI195" s="1073"/>
      <c r="AM195" s="1116">
        <f>$G195</f>
        <v>0</v>
      </c>
      <c r="AN195" s="1117">
        <f>VLOOKUP($E195,AM$442:AP$453,2,FALSE)*AM195*($K195)+IF($G195&lt;&gt;0,($H195/$G195)*AM195,0)*(1-$K195)</f>
        <v>0</v>
      </c>
      <c r="AO195" s="1117">
        <f>VLOOKUP($E195,AM$442:AP$453,3,FALSE)*AM195*($K195)+IF($G195&lt;&gt;0,($I195/$G195)*AM195,0)*(1-$K195)</f>
        <v>0</v>
      </c>
      <c r="AP195" s="1117">
        <f>VLOOKUP($E195,AM$442:AP$453,4,FALSE)*AM195*($K195)+(AM195-AN195-AO195)*(1-$K195)</f>
        <v>0</v>
      </c>
      <c r="AQ195" s="1073"/>
      <c r="AU195" s="1116">
        <f>$G195</f>
        <v>0</v>
      </c>
      <c r="AV195" s="1117">
        <f>VLOOKUP($E195,AU$442:AX$453,2,FALSE)*AU195*($K195)+IF($G195&lt;&gt;0,($H195/$G195)*AU195,0)*(1-$K195)</f>
        <v>0</v>
      </c>
      <c r="AW195" s="1117">
        <f>VLOOKUP($E195,AU$442:AX$453,3,FALSE)*AU195*($K195)+IF($G195&lt;&gt;0,($I195/$G195)*AU195,0)*(1-$K195)</f>
        <v>0</v>
      </c>
      <c r="AX195" s="1117">
        <f>VLOOKUP($E195,AU$442:AX$453,4,FALSE)*AU195*($K195)+(AU195-AV195-AW195)*(1-$K195)</f>
        <v>0</v>
      </c>
      <c r="AY195" s="1073"/>
      <c r="BC195" s="1116">
        <f>$G195</f>
        <v>0</v>
      </c>
      <c r="BD195" s="1117">
        <f>VLOOKUP($E195,BC$442:BF$453,2,FALSE)*BC195*($K195)+IF($G195&lt;&gt;0,($H195/$G195)*BC195,0)*(1-$K195)</f>
        <v>0</v>
      </c>
      <c r="BE195" s="1117">
        <f>VLOOKUP($E195,BC$442:BF$453,3,FALSE)*BC195*($K195)+IF($G195&lt;&gt;0,($I195/$G195)*BC195,0)*(1-$K195)</f>
        <v>0</v>
      </c>
      <c r="BF195" s="1117">
        <f>VLOOKUP($E195,BC$442:BF$453,4,FALSE)*BC195*($K195)+(BC195-BD195-BE195)*(1-$K195)</f>
        <v>0</v>
      </c>
      <c r="BG195" s="1073"/>
      <c r="BK195" s="1116">
        <f>$G195</f>
        <v>0</v>
      </c>
      <c r="BL195" s="1117">
        <f>VLOOKUP($E195,BK$442:BN$453,2,FALSE)*BK195*($K195)+IF($G195&lt;&gt;0,($H195/$G195)*BK195,0)*(1-$K195)</f>
        <v>0</v>
      </c>
      <c r="BM195" s="1117">
        <f>VLOOKUP($E195,BK$442:BN$453,3,FALSE)*BK195*($K195)+IF($G195&lt;&gt;0,($I195/$G195)*BK195,0)*(1-$K195)</f>
        <v>0</v>
      </c>
      <c r="BN195" s="1117">
        <f>VLOOKUP($E195,BK$442:BN$453,4,FALSE)*BK195*($K195)+(BK195-BL195-BM195)*(1-$K195)</f>
        <v>0</v>
      </c>
      <c r="BO195" s="1073"/>
      <c r="BS195" s="1116">
        <f>$G195</f>
        <v>0</v>
      </c>
      <c r="BT195" s="1117">
        <f>VLOOKUP($E195,BS$442:BV$453,2,FALSE)*BS195*($K195)+IF($G195&lt;&gt;0,($H195/$G195)*BS195,0)*(1-$K195)</f>
        <v>0</v>
      </c>
      <c r="BU195" s="1117">
        <f>VLOOKUP($E195,BS$442:BV$453,3,FALSE)*BS195*($K195)+IF($G195&lt;&gt;0,($I195/$G195)*BS195,0)*(1-$K195)</f>
        <v>0</v>
      </c>
      <c r="BV195" s="1117">
        <f>VLOOKUP($E195,BS$442:BV$453,4,FALSE)*BS195*($K195)+(BS195-BT195-BU195)*(1-$K195)</f>
        <v>0</v>
      </c>
      <c r="BW195" s="1073"/>
      <c r="CA195" s="1116">
        <f>$G195</f>
        <v>0</v>
      </c>
      <c r="CB195" s="1117">
        <f>VLOOKUP($E195,CA$442:CD$453,2,FALSE)*CA195*($K195)+IF($G195&lt;&gt;0,($H195/$G195)*CA195,0)*(1-$K195)</f>
        <v>0</v>
      </c>
      <c r="CC195" s="1117">
        <f>VLOOKUP($E195,CA$442:CD$453,3,FALSE)*CA195*($K195)+IF($G195&lt;&gt;0,($I195/$G195)*CA195,0)*(1-$K195)</f>
        <v>0</v>
      </c>
      <c r="CD195" s="1117">
        <f>VLOOKUP($E195,CA$442:CD$453,4,FALSE)*CA195*($K195)+(CA195-CB195-CC195)*(1-$K195)</f>
        <v>0</v>
      </c>
      <c r="CE195" s="1073"/>
      <c r="CI195" s="1116">
        <f>$G195</f>
        <v>0</v>
      </c>
      <c r="CJ195" s="1117">
        <f>VLOOKUP($E195,CI$442:CL$453,2,FALSE)*CI195*($K195)+IF($G195&lt;&gt;0,($H195/$G195)*CI195,0)*(1-$K195)</f>
        <v>0</v>
      </c>
      <c r="CK195" s="1117">
        <f>VLOOKUP($E195,CI$442:CL$453,3,FALSE)*CI195*($K195)+IF($G195&lt;&gt;0,($I195/$G195)*CI195,0)*(1-$K195)</f>
        <v>0</v>
      </c>
      <c r="CL195" s="1117">
        <f>VLOOKUP($E195,CI$442:CL$453,4,FALSE)*CI195*($K195)+(CI195-CJ195-CK195)*(1-$K195)</f>
        <v>0</v>
      </c>
      <c r="CM195" s="1073"/>
      <c r="CQ195" s="1116">
        <f>$G195</f>
        <v>0</v>
      </c>
      <c r="CR195" s="1117">
        <f>VLOOKUP($E195,CQ$442:CT$453,2,FALSE)*CQ195*($K195)+IF($G195&lt;&gt;0,($H195/$G195)*CQ195,0)*(1-$K195)</f>
        <v>0</v>
      </c>
      <c r="CS195" s="1117">
        <f>VLOOKUP($E195,CQ$442:CT$453,3,FALSE)*CQ195*($K195)+IF($G195&lt;&gt;0,($I195/$G195)*CQ195,0)*(1-$K195)</f>
        <v>0</v>
      </c>
      <c r="CT195" s="1117">
        <f>VLOOKUP($E195,CQ$442:CT$453,4,FALSE)*CQ195*($K195)+(CQ195-CR195-CS195)*(1-$K195)</f>
        <v>0</v>
      </c>
      <c r="CU195" s="1073"/>
      <c r="CY195" s="1116">
        <f>$G195</f>
        <v>0</v>
      </c>
      <c r="CZ195" s="1117">
        <f>VLOOKUP($E195,CY$442:DB$453,2,FALSE)*CY195*($K195)+IF($G195&lt;&gt;0,($H195/$G195)*CY195,0)*(1-$K195)</f>
        <v>0</v>
      </c>
      <c r="DA195" s="1117">
        <f>VLOOKUP($E195,CY$442:DB$453,3,FALSE)*CY195*($K195)+IF($G195&lt;&gt;0,($I195/$G195)*CY195,0)*(1-$K195)</f>
        <v>0</v>
      </c>
      <c r="DB195" s="1117">
        <f>VLOOKUP($E195,CY$442:DB$453,4,FALSE)*CY195*($K195)+(CY195-CZ195-DA195)*(1-$K195)</f>
        <v>0</v>
      </c>
      <c r="DC195" s="1073"/>
      <c r="DG195" s="1116">
        <f>$G195</f>
        <v>0</v>
      </c>
      <c r="DH195" s="1117">
        <f>VLOOKUP($E195,DG$442:DJ$453,2,FALSE)*DG195*($K195)+IF($G195&lt;&gt;0,($H195/$G195)*DG195,0)*(1-$K195)</f>
        <v>0</v>
      </c>
      <c r="DI195" s="1117">
        <f>VLOOKUP($E195,DG$442:DJ$453,3,FALSE)*DG195*($K195)+IF($G195&lt;&gt;0,($I195/$G195)*DG195,0)*(1-$K195)</f>
        <v>0</v>
      </c>
      <c r="DJ195" s="1117">
        <f>VLOOKUP($E195,DG$442:DJ$453,4,FALSE)*DG195*($K195)+(DG195-DH195-DI195)*(1-$K195)</f>
        <v>0</v>
      </c>
      <c r="DK195" s="1073"/>
      <c r="DO195" s="1116">
        <f>$G195</f>
        <v>0</v>
      </c>
      <c r="DP195" s="1117">
        <f>VLOOKUP($E195,DO$442:DR$453,2,FALSE)*DO195*($K195)+IF($G195&lt;&gt;0,($H195/$G195)*DO195,0)*(1-$K195)</f>
        <v>0</v>
      </c>
      <c r="DQ195" s="1117">
        <f>VLOOKUP($E195,DO$442:DR$453,3,FALSE)*DO195*($K195)+IF($G195&lt;&gt;0,($I195/$G195)*DO195,0)*(1-$K195)</f>
        <v>0</v>
      </c>
      <c r="DR195" s="1117">
        <f>VLOOKUP($E195,DO$442:DR$453,4,FALSE)*DO195*($K195)+(DO195-DP195-DQ195)*(1-$K195)</f>
        <v>0</v>
      </c>
      <c r="DS195" s="1073"/>
      <c r="DW195" s="1116">
        <f>$G195</f>
        <v>0</v>
      </c>
      <c r="DX195" s="1117">
        <f>VLOOKUP($E195,DW$442:DZ$453,2,FALSE)*DW195*($K195)+IF($G195&lt;&gt;0,($H195/$G195)*DW195,0)*(1-$K195)</f>
        <v>0</v>
      </c>
      <c r="DY195" s="1117">
        <f>VLOOKUP($E195,DW$442:DZ$453,3,FALSE)*DW195*($K195)+IF($G195&lt;&gt;0,($I195/$G195)*DW195,0)*(1-$K195)</f>
        <v>0</v>
      </c>
      <c r="DZ195" s="1117">
        <f>VLOOKUP($E195,DW$442:DZ$453,4,FALSE)*DW195*($K195)+(DW195-DX195-DY195)*(1-$K195)</f>
        <v>0</v>
      </c>
      <c r="EA195" s="1073"/>
      <c r="EE195" s="1116">
        <f>$G195</f>
        <v>0</v>
      </c>
      <c r="EF195" s="1117">
        <f>VLOOKUP($E195,EE$442:EH$453,2,FALSE)*EE195*($K195)+IF($G195&lt;&gt;0,($H195/$G195)*EE195,0)*(1-$K195)</f>
        <v>0</v>
      </c>
      <c r="EG195" s="1117">
        <f>VLOOKUP($E195,EE$442:EH$453,3,FALSE)*EE195*($K195)+IF($G195&lt;&gt;0,($I195/$G195)*EE195,0)*(1-$K195)</f>
        <v>0</v>
      </c>
      <c r="EH195" s="1117">
        <f>VLOOKUP($E195,EE$442:EH$453,4,FALSE)*EE195*($K195)+(EE195-EF195-EG195)*(1-$K195)</f>
        <v>0</v>
      </c>
      <c r="EI195" s="1073"/>
      <c r="EM195" s="1116">
        <f>$G195</f>
        <v>0</v>
      </c>
      <c r="EN195" s="1117">
        <f>VLOOKUP($E195,EM$442:EP$453,2,FALSE)*EM195*($K195)+IF($G195&lt;&gt;0,($H195/$G195)*EM195,0)*(1-$K195)</f>
        <v>0</v>
      </c>
      <c r="EO195" s="1117">
        <f>VLOOKUP($E195,EM$442:EP$453,3,FALSE)*EM195*($K195)+IF($G195&lt;&gt;0,($I195/$G195)*EM195,0)*(1-$K195)</f>
        <v>0</v>
      </c>
      <c r="EP195" s="1117">
        <f>VLOOKUP($E195,EM$442:EP$453,4,FALSE)*EM195*($K195)+(EM195-EN195-EO195)*(1-$K195)</f>
        <v>0</v>
      </c>
      <c r="EQ195" s="1073"/>
      <c r="EU195" s="1116">
        <f>$G195</f>
        <v>0</v>
      </c>
      <c r="EV195" s="1117">
        <f>VLOOKUP($E195,EU$442:EX$453,2,FALSE)*EU195*($K195)+IF($G195&lt;&gt;0,($H195/$G195)*EU195,0)*(1-$K195)</f>
        <v>0</v>
      </c>
      <c r="EW195" s="1117">
        <f>VLOOKUP($E195,EU$442:EX$453,3,FALSE)*EU195*($K195)+IF($G195&lt;&gt;0,($I195/$G195)*EU195,0)*(1-$K195)</f>
        <v>0</v>
      </c>
      <c r="EX195" s="1117">
        <f>VLOOKUP($E195,EU$442:EX$453,4,FALSE)*EU195*($K195)+(EU195-EV195-EW195)*(1-$K195)</f>
        <v>0</v>
      </c>
      <c r="EY195" s="1073"/>
      <c r="FC195" s="1116">
        <f>$G195</f>
        <v>0</v>
      </c>
      <c r="FD195" s="1117">
        <f>VLOOKUP($E195,FC$442:FF$453,2,FALSE)*FC195*($K195)+IF($G195&lt;&gt;0,($H195/$G195)*FC195,0)*(1-$K195)</f>
        <v>0</v>
      </c>
      <c r="FE195" s="1117">
        <f>VLOOKUP($E195,FC$442:FF$453,3,FALSE)*FC195*($K195)+IF($G195&lt;&gt;0,($I195/$G195)*FC195,0)*(1-$K195)</f>
        <v>0</v>
      </c>
      <c r="FF195" s="1117">
        <f>VLOOKUP($E195,FC$442:FF$453,4,FALSE)*FC195*($K195)+(FC195-FD195-FE195)*(1-$K195)</f>
        <v>0</v>
      </c>
      <c r="FG195" s="1073"/>
      <c r="FK195" s="1116">
        <f>$G195</f>
        <v>0</v>
      </c>
      <c r="FL195" s="1117">
        <f>VLOOKUP($E195,FK$442:FN$453,2,FALSE)*FK195*($K195)+IF($G195&lt;&gt;0,($H195/$G195)*FK195,0)*(1-$K195)</f>
        <v>0</v>
      </c>
      <c r="FM195" s="1117">
        <f>VLOOKUP($E195,FK$442:FN$453,3,FALSE)*FK195*($K195)+IF($G195&lt;&gt;0,($I195/$G195)*FK195,0)*(1-$K195)</f>
        <v>0</v>
      </c>
      <c r="FN195" s="1117">
        <f>VLOOKUP($E195,FK$442:FN$453,4,FALSE)*FK195*($K195)+(FK195-FL195-FM195)*(1-$K195)</f>
        <v>0</v>
      </c>
      <c r="FO195" s="1073"/>
    </row>
    <row r="196" spans="1:171">
      <c r="A196" s="163" t="s">
        <v>485</v>
      </c>
      <c r="B196" s="10"/>
      <c r="C196" s="914"/>
      <c r="D196" s="915"/>
      <c r="E196" s="915"/>
      <c r="F196" s="916"/>
      <c r="G196" s="923">
        <f>SUM(G176:G195)</f>
        <v>485623392</v>
      </c>
      <c r="H196" s="923">
        <f>SUM(H176:H195)</f>
        <v>485623392</v>
      </c>
      <c r="I196" s="923">
        <f>SUM(I176:I195)</f>
        <v>0</v>
      </c>
      <c r="J196" s="1393">
        <f>SUM(J176:J195)</f>
        <v>0</v>
      </c>
      <c r="K196" s="903"/>
      <c r="O196" s="1135">
        <f>SUM(O176:O195)</f>
        <v>485623392</v>
      </c>
      <c r="P196" s="1135">
        <f>SUM(P176:P195)</f>
        <v>485623392</v>
      </c>
      <c r="Q196" s="1135">
        <f>SUM(Q176:Q195)</f>
        <v>0</v>
      </c>
      <c r="R196" s="1135">
        <f>SUM(R176:R195)</f>
        <v>0</v>
      </c>
      <c r="S196" s="1073"/>
      <c r="W196" s="1135">
        <f>SUM(W176:W195)</f>
        <v>485623392</v>
      </c>
      <c r="X196" s="1135">
        <f>SUM(X176:X195)</f>
        <v>485623392</v>
      </c>
      <c r="Y196" s="1135">
        <f>SUM(Y176:Y195)</f>
        <v>0</v>
      </c>
      <c r="Z196" s="1135">
        <f>SUM(Z176:Z195)</f>
        <v>0</v>
      </c>
      <c r="AA196" s="1073"/>
      <c r="AE196" s="1135">
        <f>SUM(AE176:AE195)</f>
        <v>485623392</v>
      </c>
      <c r="AF196" s="1135">
        <f>SUM(AF176:AF195)</f>
        <v>485623392</v>
      </c>
      <c r="AG196" s="1135">
        <f>SUM(AG176:AG195)</f>
        <v>0</v>
      </c>
      <c r="AH196" s="1135">
        <f>SUM(AH176:AH195)</f>
        <v>0</v>
      </c>
      <c r="AI196" s="1073"/>
      <c r="AM196" s="1135">
        <f>SUM(AM176:AM195)</f>
        <v>485623392</v>
      </c>
      <c r="AN196" s="1135">
        <f>SUM(AN176:AN195)</f>
        <v>485623392</v>
      </c>
      <c r="AO196" s="1135">
        <f>SUM(AO176:AO195)</f>
        <v>0</v>
      </c>
      <c r="AP196" s="1135">
        <f>SUM(AP176:AP195)</f>
        <v>0</v>
      </c>
      <c r="AQ196" s="1073"/>
      <c r="AU196" s="1135">
        <f>SUM(AU176:AU195)</f>
        <v>485623392</v>
      </c>
      <c r="AV196" s="1135">
        <f>SUM(AV176:AV195)</f>
        <v>485623392</v>
      </c>
      <c r="AW196" s="1135">
        <f>SUM(AW176:AW195)</f>
        <v>0</v>
      </c>
      <c r="AX196" s="1135">
        <f>SUM(AX176:AX195)</f>
        <v>0</v>
      </c>
      <c r="AY196" s="1073"/>
      <c r="BC196" s="1135">
        <f>SUM(BC176:BC195)</f>
        <v>485623392</v>
      </c>
      <c r="BD196" s="1135">
        <f>SUM(BD176:BD195)</f>
        <v>485623392</v>
      </c>
      <c r="BE196" s="1135">
        <f>SUM(BE176:BE195)</f>
        <v>0</v>
      </c>
      <c r="BF196" s="1135">
        <f>SUM(BF176:BF195)</f>
        <v>0</v>
      </c>
      <c r="BG196" s="1073"/>
      <c r="BK196" s="1135">
        <f>SUM(BK176:BK195)</f>
        <v>485623392</v>
      </c>
      <c r="BL196" s="1135">
        <f>SUM(BL176:BL195)</f>
        <v>485623392</v>
      </c>
      <c r="BM196" s="1135">
        <f>SUM(BM176:BM195)</f>
        <v>0</v>
      </c>
      <c r="BN196" s="1135">
        <f>SUM(BN176:BN195)</f>
        <v>0</v>
      </c>
      <c r="BO196" s="1073"/>
      <c r="BS196" s="1135">
        <f>SUM(BS176:BS195)</f>
        <v>485623392</v>
      </c>
      <c r="BT196" s="1135">
        <f>SUM(BT176:BT195)</f>
        <v>485623392</v>
      </c>
      <c r="BU196" s="1135">
        <f>SUM(BU176:BU195)</f>
        <v>0</v>
      </c>
      <c r="BV196" s="1135">
        <f>SUM(BV176:BV195)</f>
        <v>0</v>
      </c>
      <c r="BW196" s="1073"/>
      <c r="CA196" s="1135">
        <f>SUM(CA176:CA195)</f>
        <v>485623392</v>
      </c>
      <c r="CB196" s="1135">
        <f>SUM(CB176:CB195)</f>
        <v>485623392</v>
      </c>
      <c r="CC196" s="1135">
        <f>SUM(CC176:CC195)</f>
        <v>0</v>
      </c>
      <c r="CD196" s="1135">
        <f>SUM(CD176:CD195)</f>
        <v>0</v>
      </c>
      <c r="CE196" s="1073"/>
      <c r="CI196" s="1135">
        <f>SUM(CI176:CI195)</f>
        <v>485623392</v>
      </c>
      <c r="CJ196" s="1135">
        <f>SUM(CJ176:CJ195)</f>
        <v>485623392</v>
      </c>
      <c r="CK196" s="1135">
        <f>SUM(CK176:CK195)</f>
        <v>0</v>
      </c>
      <c r="CL196" s="1135">
        <f>SUM(CL176:CL195)</f>
        <v>0</v>
      </c>
      <c r="CM196" s="1073"/>
      <c r="CQ196" s="1135">
        <f>SUM(CQ176:CQ195)</f>
        <v>485623392</v>
      </c>
      <c r="CR196" s="1135">
        <f>SUM(CR176:CR195)</f>
        <v>485623392</v>
      </c>
      <c r="CS196" s="1135">
        <f>SUM(CS176:CS195)</f>
        <v>0</v>
      </c>
      <c r="CT196" s="1135">
        <f>SUM(CT176:CT195)</f>
        <v>0</v>
      </c>
      <c r="CU196" s="1073"/>
      <c r="CY196" s="1135">
        <f>SUM(CY176:CY195)</f>
        <v>485623392</v>
      </c>
      <c r="CZ196" s="1135">
        <f>SUM(CZ176:CZ195)</f>
        <v>485623392</v>
      </c>
      <c r="DA196" s="1135">
        <f>SUM(DA176:DA195)</f>
        <v>0</v>
      </c>
      <c r="DB196" s="1135">
        <f>SUM(DB176:DB195)</f>
        <v>0</v>
      </c>
      <c r="DC196" s="1073"/>
      <c r="DG196" s="1135">
        <f>SUM(DG176:DG195)</f>
        <v>485623392</v>
      </c>
      <c r="DH196" s="1135">
        <f>SUM(DH176:DH195)</f>
        <v>485623392</v>
      </c>
      <c r="DI196" s="1135">
        <f>SUM(DI176:DI195)</f>
        <v>0</v>
      </c>
      <c r="DJ196" s="1135">
        <f>SUM(DJ176:DJ195)</f>
        <v>0</v>
      </c>
      <c r="DK196" s="1073"/>
      <c r="DO196" s="1135">
        <f>SUM(DO176:DO195)</f>
        <v>485623392</v>
      </c>
      <c r="DP196" s="1135">
        <f>SUM(DP176:DP195)</f>
        <v>485623392</v>
      </c>
      <c r="DQ196" s="1135">
        <f>SUM(DQ176:DQ195)</f>
        <v>0</v>
      </c>
      <c r="DR196" s="1135">
        <f>SUM(DR176:DR195)</f>
        <v>0</v>
      </c>
      <c r="DS196" s="1073"/>
      <c r="DW196" s="1135">
        <f>SUM(DW176:DW195)</f>
        <v>485623392</v>
      </c>
      <c r="DX196" s="1135">
        <f>SUM(DX176:DX195)</f>
        <v>485623392</v>
      </c>
      <c r="DY196" s="1135">
        <f>SUM(DY176:DY195)</f>
        <v>0</v>
      </c>
      <c r="DZ196" s="1135">
        <f>SUM(DZ176:DZ195)</f>
        <v>0</v>
      </c>
      <c r="EA196" s="1073"/>
      <c r="EE196" s="1135">
        <f>SUM(EE176:EE195)</f>
        <v>485623392</v>
      </c>
      <c r="EF196" s="1135">
        <f>SUM(EF176:EF195)</f>
        <v>485623392</v>
      </c>
      <c r="EG196" s="1135">
        <f>SUM(EG176:EG195)</f>
        <v>0</v>
      </c>
      <c r="EH196" s="1135">
        <f>SUM(EH176:EH195)</f>
        <v>0</v>
      </c>
      <c r="EI196" s="1073"/>
      <c r="EM196" s="1135">
        <f>SUM(EM176:EM195)</f>
        <v>485623392</v>
      </c>
      <c r="EN196" s="1135">
        <f>SUM(EN176:EN195)</f>
        <v>485623392</v>
      </c>
      <c r="EO196" s="1135">
        <f>SUM(EO176:EO195)</f>
        <v>0</v>
      </c>
      <c r="EP196" s="1135">
        <f>SUM(EP176:EP195)</f>
        <v>0</v>
      </c>
      <c r="EQ196" s="1073"/>
      <c r="EU196" s="1135">
        <f>SUM(EU176:EU195)</f>
        <v>485623392</v>
      </c>
      <c r="EV196" s="1135">
        <f>SUM(EV176:EV195)</f>
        <v>485623392</v>
      </c>
      <c r="EW196" s="1135">
        <f>SUM(EW176:EW195)</f>
        <v>0</v>
      </c>
      <c r="EX196" s="1135">
        <f>SUM(EX176:EX195)</f>
        <v>0</v>
      </c>
      <c r="EY196" s="1073"/>
      <c r="FC196" s="1135">
        <f>SUM(FC176:FC195)</f>
        <v>485623392</v>
      </c>
      <c r="FD196" s="1135">
        <f>SUM(FD176:FD195)</f>
        <v>485623392</v>
      </c>
      <c r="FE196" s="1135">
        <f>SUM(FE176:FE195)</f>
        <v>0</v>
      </c>
      <c r="FF196" s="1135">
        <f>SUM(FF176:FF195)</f>
        <v>0</v>
      </c>
      <c r="FG196" s="1073"/>
      <c r="FK196" s="1135">
        <f>SUM(FK176:FK195)</f>
        <v>485623392</v>
      </c>
      <c r="FL196" s="1135">
        <f>SUM(FL176:FL195)</f>
        <v>485623392</v>
      </c>
      <c r="FM196" s="1135">
        <f>SUM(FM176:FM195)</f>
        <v>0</v>
      </c>
      <c r="FN196" s="1135">
        <f>SUM(FN176:FN195)</f>
        <v>0</v>
      </c>
      <c r="FO196" s="1073"/>
    </row>
    <row r="197" spans="1:171">
      <c r="A197" s="228"/>
      <c r="B197" s="10"/>
      <c r="C197" s="55"/>
      <c r="D197" s="55"/>
      <c r="E197" s="64"/>
      <c r="F197" s="64"/>
      <c r="G197" s="989"/>
      <c r="H197" s="885"/>
      <c r="I197" s="885"/>
      <c r="J197" s="936"/>
      <c r="K197" s="903"/>
      <c r="S197" s="1073"/>
      <c r="AA197" s="1073"/>
      <c r="AI197" s="1073"/>
      <c r="AQ197" s="1073"/>
      <c r="AY197" s="1073"/>
      <c r="BG197" s="1073"/>
      <c r="BO197" s="1073"/>
      <c r="BW197" s="1073"/>
      <c r="CE197" s="1073"/>
      <c r="CM197" s="1073"/>
      <c r="CU197" s="1073"/>
      <c r="DC197" s="1073"/>
      <c r="DK197" s="1073"/>
      <c r="DS197" s="1073"/>
      <c r="EA197" s="1073"/>
      <c r="EI197" s="1073"/>
      <c r="EQ197" s="1073"/>
      <c r="EY197" s="1073"/>
      <c r="FG197" s="1073"/>
      <c r="FO197" s="1073"/>
    </row>
    <row r="198" spans="1:171">
      <c r="A198" s="160" t="s">
        <v>505</v>
      </c>
      <c r="B198" s="10"/>
      <c r="C198" s="55"/>
      <c r="D198" s="196"/>
      <c r="E198" s="10"/>
      <c r="F198" s="10"/>
      <c r="G198" s="989"/>
      <c r="H198" s="885"/>
      <c r="I198" s="885"/>
      <c r="J198" s="936"/>
      <c r="K198" s="903"/>
      <c r="S198" s="1073"/>
      <c r="AA198" s="1073"/>
      <c r="AI198" s="1073"/>
      <c r="AQ198" s="1073"/>
      <c r="AY198" s="1073"/>
      <c r="BG198" s="1073"/>
      <c r="BO198" s="1073"/>
      <c r="BW198" s="1073"/>
      <c r="CE198" s="1073"/>
      <c r="CM198" s="1073"/>
      <c r="CU198" s="1073"/>
      <c r="DC198" s="1073"/>
      <c r="DK198" s="1073"/>
      <c r="DS198" s="1073"/>
      <c r="EA198" s="1073"/>
      <c r="EI198" s="1073"/>
      <c r="EQ198" s="1073"/>
      <c r="EY198" s="1073"/>
      <c r="FG198" s="1073"/>
      <c r="FO198" s="1073"/>
    </row>
    <row r="199" spans="1:171">
      <c r="A199" s="1392">
        <v>870</v>
      </c>
      <c r="B199" s="913" t="s">
        <v>402</v>
      </c>
      <c r="C199" s="888" t="s">
        <v>72</v>
      </c>
      <c r="D199" s="889" t="s">
        <v>486</v>
      </c>
      <c r="E199" s="182" t="str">
        <f>'Sch 3 - Expenses'!E39</f>
        <v>prod</v>
      </c>
      <c r="F199" s="889"/>
      <c r="G199" s="182">
        <f>'Sch 3 - Expenses'!G39</f>
        <v>19063436</v>
      </c>
      <c r="H199" s="182">
        <f>'Sch 3 - Expenses'!H39</f>
        <v>19063436</v>
      </c>
      <c r="I199" s="182">
        <f>'Sch 3 - Expenses'!I39</f>
        <v>0</v>
      </c>
      <c r="J199" s="183">
        <f>'Sch 3 - Expenses'!J39</f>
        <v>0</v>
      </c>
      <c r="K199" s="903">
        <f>IF($E199="DIRECT",0,1)</f>
        <v>1</v>
      </c>
      <c r="N199" s="1129">
        <f>VLOOKUP($A199,'New Resources - Individual'!$A$4:$Y$133,N$2,FALSE)*N$1</f>
        <v>0</v>
      </c>
      <c r="O199" s="1116">
        <f>$G199+N199</f>
        <v>19063436</v>
      </c>
      <c r="P199" s="1117">
        <f>VLOOKUP($E199,O$442:R$453,2,FALSE)*O199*($K199)+IF($G199&lt;&gt;0,($H199/$G199)*O199,0)*(1-$K199)</f>
        <v>19063436</v>
      </c>
      <c r="Q199" s="1117">
        <f>VLOOKUP($E199,O$442:R$453,3,FALSE)*O199*($K199)+IF($G199&lt;&gt;0,($I199/$G199)*O199,0)*(1-$K199)</f>
        <v>0</v>
      </c>
      <c r="R199" s="1117">
        <f>VLOOKUP($E199,O$442:R$453,4,FALSE)*O199*($K199)+(O199-P199-Q199)*(1-$K199)</f>
        <v>0</v>
      </c>
      <c r="S199" s="1073"/>
      <c r="V199" s="1129">
        <f>VLOOKUP($A199,'New Resources - Individual'!$A$4:$Y$133,V$2,FALSE)*V$1</f>
        <v>0</v>
      </c>
      <c r="W199" s="1116">
        <f>$G199+V199</f>
        <v>19063436</v>
      </c>
      <c r="X199" s="1117">
        <f>VLOOKUP($E199,W$442:Z$453,2,FALSE)*W199*($K199)+IF($G199&lt;&gt;0,($H199/$G199)*W199,0)*(1-$K199)</f>
        <v>19063436</v>
      </c>
      <c r="Y199" s="1117">
        <f>VLOOKUP($E199,W$442:Z$453,3,FALSE)*W199*($K199)+IF($G199&lt;&gt;0,($I199/$G199)*W199,0)*(1-$K199)</f>
        <v>0</v>
      </c>
      <c r="Z199" s="1117">
        <f>VLOOKUP($E199,W$442:Z$453,4,FALSE)*W199*($K199)+(W199-X199-Y199)*(1-$K199)</f>
        <v>0</v>
      </c>
      <c r="AA199" s="1073"/>
      <c r="AD199" s="1129">
        <f>VLOOKUP($A199,'New Resources - Individual'!$A$4:$Y$133,AD$2,FALSE)*AD$1</f>
        <v>0</v>
      </c>
      <c r="AE199" s="1116">
        <f>$G199+AD199</f>
        <v>19063436</v>
      </c>
      <c r="AF199" s="1117">
        <f>VLOOKUP($E199,AE$442:AH$453,2,FALSE)*AE199*($K199)+IF($G199&lt;&gt;0,($H199/$G199)*AE199,0)*(1-$K199)</f>
        <v>19063436</v>
      </c>
      <c r="AG199" s="1117">
        <f>VLOOKUP($E199,AE$442:AH$453,3,FALSE)*AE199*($K199)+IF($G199&lt;&gt;0,($I199/$G199)*AE199,0)*(1-$K199)</f>
        <v>0</v>
      </c>
      <c r="AH199" s="1117">
        <f>VLOOKUP($E199,AE$442:AH$453,4,FALSE)*AE199*($K199)+(AE199-AF199-AG199)*(1-$K199)</f>
        <v>0</v>
      </c>
      <c r="AI199" s="1073"/>
      <c r="AL199" s="1129">
        <f>VLOOKUP($A199,'New Resources - Individual'!$A$4:$Y$133,AL$2,FALSE)*AL$1</f>
        <v>0</v>
      </c>
      <c r="AM199" s="1116">
        <f>$G199+AL199</f>
        <v>19063436</v>
      </c>
      <c r="AN199" s="1117">
        <f>VLOOKUP($E199,AM$442:AP$453,2,FALSE)*AM199*($K199)+IF($G199&lt;&gt;0,($H199/$G199)*AM199,0)*(1-$K199)</f>
        <v>19063436</v>
      </c>
      <c r="AO199" s="1117">
        <f>VLOOKUP($E199,AM$442:AP$453,3,FALSE)*AM199*($K199)+IF($G199&lt;&gt;0,($I199/$G199)*AM199,0)*(1-$K199)</f>
        <v>0</v>
      </c>
      <c r="AP199" s="1117">
        <f>VLOOKUP($E199,AM$442:AP$453,4,FALSE)*AM199*($K199)+(AM199-AN199-AO199)*(1-$K199)</f>
        <v>0</v>
      </c>
      <c r="AQ199" s="1073"/>
      <c r="AT199" s="1129">
        <f>VLOOKUP($A199,'New Resources - Individual'!$A$4:$Y$133,AT$2,FALSE)*AT$1</f>
        <v>0</v>
      </c>
      <c r="AU199" s="1116">
        <f>$G199+AT199</f>
        <v>19063436</v>
      </c>
      <c r="AV199" s="1117">
        <f>VLOOKUP($E199,AU$442:AX$453,2,FALSE)*AU199*($K199)+IF($G199&lt;&gt;0,($H199/$G199)*AU199,0)*(1-$K199)</f>
        <v>19063436</v>
      </c>
      <c r="AW199" s="1117">
        <f>VLOOKUP($E199,AU$442:AX$453,3,FALSE)*AU199*($K199)+IF($G199&lt;&gt;0,($I199/$G199)*AU199,0)*(1-$K199)</f>
        <v>0</v>
      </c>
      <c r="AX199" s="1117">
        <f>VLOOKUP($E199,AU$442:AX$453,4,FALSE)*AU199*($K199)+(AU199-AV199-AW199)*(1-$K199)</f>
        <v>0</v>
      </c>
      <c r="AY199" s="1073"/>
      <c r="BB199" s="1129">
        <f>VLOOKUP($A199,'New Resources - Individual'!$A$4:$Y$133,BB$2,FALSE)*BB$1</f>
        <v>0</v>
      </c>
      <c r="BC199" s="1116">
        <f>$G199+BB199</f>
        <v>19063436</v>
      </c>
      <c r="BD199" s="1117">
        <f>VLOOKUP($E199,BC$442:BF$453,2,FALSE)*BC199*($K199)+IF($G199&lt;&gt;0,($H199/$G199)*BC199,0)*(1-$K199)</f>
        <v>19063436</v>
      </c>
      <c r="BE199" s="1117">
        <f>VLOOKUP($E199,BC$442:BF$453,3,FALSE)*BC199*($K199)+IF($G199&lt;&gt;0,($I199/$G199)*BC199,0)*(1-$K199)</f>
        <v>0</v>
      </c>
      <c r="BF199" s="1117">
        <f>VLOOKUP($E199,BC$442:BF$453,4,FALSE)*BC199*($K199)+(BC199-BD199-BE199)*(1-$K199)</f>
        <v>0</v>
      </c>
      <c r="BG199" s="1073"/>
      <c r="BJ199" s="1129">
        <f>VLOOKUP($A199,'New Resources - Individual'!$A$4:$Y$133,BJ$2,FALSE)*BJ$1</f>
        <v>0</v>
      </c>
      <c r="BK199" s="1116">
        <f>$G199+BJ199</f>
        <v>19063436</v>
      </c>
      <c r="BL199" s="1117">
        <f>VLOOKUP($E199,BK$442:BN$453,2,FALSE)*BK199*($K199)+IF($G199&lt;&gt;0,($H199/$G199)*BK199,0)*(1-$K199)</f>
        <v>19063436</v>
      </c>
      <c r="BM199" s="1117">
        <f>VLOOKUP($E199,BK$442:BN$453,3,FALSE)*BK199*($K199)+IF($G199&lt;&gt;0,($I199/$G199)*BK199,0)*(1-$K199)</f>
        <v>0</v>
      </c>
      <c r="BN199" s="1117">
        <f>VLOOKUP($E199,BK$442:BN$453,4,FALSE)*BK199*($K199)+(BK199-BL199-BM199)*(1-$K199)</f>
        <v>0</v>
      </c>
      <c r="BO199" s="1073"/>
      <c r="BR199" s="1129">
        <f>VLOOKUP($A199,'New Resources - Individual'!$A$4:$Y$133,BR$2,FALSE)*BR$1</f>
        <v>0</v>
      </c>
      <c r="BS199" s="1116">
        <f>$G199+BR199</f>
        <v>19063436</v>
      </c>
      <c r="BT199" s="1117">
        <f>VLOOKUP($E199,BS$442:BV$453,2,FALSE)*BS199*($K199)+IF($G199&lt;&gt;0,($H199/$G199)*BS199,0)*(1-$K199)</f>
        <v>19063436</v>
      </c>
      <c r="BU199" s="1117">
        <f>VLOOKUP($E199,BS$442:BV$453,3,FALSE)*BS199*($K199)+IF($G199&lt;&gt;0,($I199/$G199)*BS199,0)*(1-$K199)</f>
        <v>0</v>
      </c>
      <c r="BV199" s="1117">
        <f>VLOOKUP($E199,BS$442:BV$453,4,FALSE)*BS199*($K199)+(BS199-BT199-BU199)*(1-$K199)</f>
        <v>0</v>
      </c>
      <c r="BW199" s="1073"/>
      <c r="BZ199" s="1129">
        <f>VLOOKUP($A199,'New Resources - Individual'!$A$4:$Y$133,BZ$2,FALSE)*BZ$1</f>
        <v>0</v>
      </c>
      <c r="CA199" s="1116">
        <f>$G199+BZ199</f>
        <v>19063436</v>
      </c>
      <c r="CB199" s="1117">
        <f>VLOOKUP($E199,CA$442:CD$453,2,FALSE)*CA199*($K199)+IF($G199&lt;&gt;0,($H199/$G199)*CA199,0)*(1-$K199)</f>
        <v>19063436</v>
      </c>
      <c r="CC199" s="1117">
        <f>VLOOKUP($E199,CA$442:CD$453,3,FALSE)*CA199*($K199)+IF($G199&lt;&gt;0,($I199/$G199)*CA199,0)*(1-$K199)</f>
        <v>0</v>
      </c>
      <c r="CD199" s="1117">
        <f>VLOOKUP($E199,CA$442:CD$453,4,FALSE)*CA199*($K199)+(CA199-CB199-CC199)*(1-$K199)</f>
        <v>0</v>
      </c>
      <c r="CE199" s="1073"/>
      <c r="CH199" s="1129">
        <f>VLOOKUP($A199,'New Resources - Individual'!$A$4:$Y$133,CH$2,FALSE)*CH$1</f>
        <v>0</v>
      </c>
      <c r="CI199" s="1116">
        <f>$G199+CH199</f>
        <v>19063436</v>
      </c>
      <c r="CJ199" s="1117">
        <f>VLOOKUP($E199,CI$442:CL$453,2,FALSE)*CI199*($K199)+IF($G199&lt;&gt;0,($H199/$G199)*CI199,0)*(1-$K199)</f>
        <v>19063436</v>
      </c>
      <c r="CK199" s="1117">
        <f>VLOOKUP($E199,CI$442:CL$453,3,FALSE)*CI199*($K199)+IF($G199&lt;&gt;0,($I199/$G199)*CI199,0)*(1-$K199)</f>
        <v>0</v>
      </c>
      <c r="CL199" s="1117">
        <f>VLOOKUP($E199,CI$442:CL$453,4,FALSE)*CI199*($K199)+(CI199-CJ199-CK199)*(1-$K199)</f>
        <v>0</v>
      </c>
      <c r="CM199" s="1073"/>
      <c r="CP199" s="1129">
        <f>VLOOKUP($A199,'New Resources - Individual'!$A$4:$Y$133,CP$2,FALSE)*CP$1</f>
        <v>0</v>
      </c>
      <c r="CQ199" s="1116">
        <f>$G199+CP199</f>
        <v>19063436</v>
      </c>
      <c r="CR199" s="1117">
        <f>VLOOKUP($E199,CQ$442:CT$453,2,FALSE)*CQ199*($K199)+IF($G199&lt;&gt;0,($H199/$G199)*CQ199,0)*(1-$K199)</f>
        <v>19063436</v>
      </c>
      <c r="CS199" s="1117">
        <f>VLOOKUP($E199,CQ$442:CT$453,3,FALSE)*CQ199*($K199)+IF($G199&lt;&gt;0,($I199/$G199)*CQ199,0)*(1-$K199)</f>
        <v>0</v>
      </c>
      <c r="CT199" s="1117">
        <f>VLOOKUP($E199,CQ$442:CT$453,4,FALSE)*CQ199*($K199)+(CQ199-CR199-CS199)*(1-$K199)</f>
        <v>0</v>
      </c>
      <c r="CU199" s="1073"/>
      <c r="CX199" s="1129">
        <f>VLOOKUP($A199,'New Resources - Individual'!$A$4:$Y$133,CX$2,FALSE)*CX$1</f>
        <v>0</v>
      </c>
      <c r="CY199" s="1116">
        <f>$G199+CX199</f>
        <v>19063436</v>
      </c>
      <c r="CZ199" s="1117">
        <f>VLOOKUP($E199,CY$442:DB$453,2,FALSE)*CY199*($K199)+IF($G199&lt;&gt;0,($H199/$G199)*CY199,0)*(1-$K199)</f>
        <v>19063436</v>
      </c>
      <c r="DA199" s="1117">
        <f>VLOOKUP($E199,CY$442:DB$453,3,FALSE)*CY199*($K199)+IF($G199&lt;&gt;0,($I199/$G199)*CY199,0)*(1-$K199)</f>
        <v>0</v>
      </c>
      <c r="DB199" s="1117">
        <f>VLOOKUP($E199,CY$442:DB$453,4,FALSE)*CY199*($K199)+(CY199-CZ199-DA199)*(1-$K199)</f>
        <v>0</v>
      </c>
      <c r="DC199" s="1073"/>
      <c r="DF199" s="1129">
        <f>VLOOKUP($A199,'New Resources - Individual'!$A$4:$Y$133,DF$2,FALSE)*DF$1</f>
        <v>0</v>
      </c>
      <c r="DG199" s="1116">
        <f>$G199+DF199</f>
        <v>19063436</v>
      </c>
      <c r="DH199" s="1117">
        <f>VLOOKUP($E199,DG$442:DJ$453,2,FALSE)*DG199*($K199)+IF($G199&lt;&gt;0,($H199/$G199)*DG199,0)*(1-$K199)</f>
        <v>19063436</v>
      </c>
      <c r="DI199" s="1117">
        <f>VLOOKUP($E199,DG$442:DJ$453,3,FALSE)*DG199*($K199)+IF($G199&lt;&gt;0,($I199/$G199)*DG199,0)*(1-$K199)</f>
        <v>0</v>
      </c>
      <c r="DJ199" s="1117">
        <f>VLOOKUP($E199,DG$442:DJ$453,4,FALSE)*DG199*($K199)+(DG199-DH199-DI199)*(1-$K199)</f>
        <v>0</v>
      </c>
      <c r="DK199" s="1073"/>
      <c r="DN199" s="1129">
        <f>VLOOKUP($A199,'New Resources - Individual'!$A$4:$Y$133,DN$2,FALSE)*DN$1</f>
        <v>0</v>
      </c>
      <c r="DO199" s="1116">
        <f>$G199+DN199</f>
        <v>19063436</v>
      </c>
      <c r="DP199" s="1117">
        <f>VLOOKUP($E199,DO$442:DR$453,2,FALSE)*DO199*($K199)+IF($G199&lt;&gt;0,($H199/$G199)*DO199,0)*(1-$K199)</f>
        <v>19063436</v>
      </c>
      <c r="DQ199" s="1117">
        <f>VLOOKUP($E199,DO$442:DR$453,3,FALSE)*DO199*($K199)+IF($G199&lt;&gt;0,($I199/$G199)*DO199,0)*(1-$K199)</f>
        <v>0</v>
      </c>
      <c r="DR199" s="1117">
        <f>VLOOKUP($E199,DO$442:DR$453,4,FALSE)*DO199*($K199)+(DO199-DP199-DQ199)*(1-$K199)</f>
        <v>0</v>
      </c>
      <c r="DS199" s="1073"/>
      <c r="DV199" s="1129">
        <f>VLOOKUP($A199,'New Resources - Individual'!$A$4:$Y$133,DV$2,FALSE)*DV$1</f>
        <v>0</v>
      </c>
      <c r="DW199" s="1116">
        <f>$G199+DV199</f>
        <v>19063436</v>
      </c>
      <c r="DX199" s="1117">
        <f>VLOOKUP($E199,DW$442:DZ$453,2,FALSE)*DW199*($K199)+IF($G199&lt;&gt;0,($H199/$G199)*DW199,0)*(1-$K199)</f>
        <v>19063436</v>
      </c>
      <c r="DY199" s="1117">
        <f>VLOOKUP($E199,DW$442:DZ$453,3,FALSE)*DW199*($K199)+IF($G199&lt;&gt;0,($I199/$G199)*DW199,0)*(1-$K199)</f>
        <v>0</v>
      </c>
      <c r="DZ199" s="1117">
        <f>VLOOKUP($E199,DW$442:DZ$453,4,FALSE)*DW199*($K199)+(DW199-DX199-DY199)*(1-$K199)</f>
        <v>0</v>
      </c>
      <c r="EA199" s="1073"/>
      <c r="ED199" s="1129">
        <f>VLOOKUP($A199,'New Resources - Individual'!$A$4:$Y$133,ED$2,FALSE)*ED$1</f>
        <v>0</v>
      </c>
      <c r="EE199" s="1116">
        <f>$G199+ED199</f>
        <v>19063436</v>
      </c>
      <c r="EF199" s="1117">
        <f>VLOOKUP($E199,EE$442:EH$453,2,FALSE)*EE199*($K199)+IF($G199&lt;&gt;0,($H199/$G199)*EE199,0)*(1-$K199)</f>
        <v>19063436</v>
      </c>
      <c r="EG199" s="1117">
        <f>VLOOKUP($E199,EE$442:EH$453,3,FALSE)*EE199*($K199)+IF($G199&lt;&gt;0,($I199/$G199)*EE199,0)*(1-$K199)</f>
        <v>0</v>
      </c>
      <c r="EH199" s="1117">
        <f>VLOOKUP($E199,EE$442:EH$453,4,FALSE)*EE199*($K199)+(EE199-EF199-EG199)*(1-$K199)</f>
        <v>0</v>
      </c>
      <c r="EI199" s="1073"/>
      <c r="EL199" s="1129">
        <f>VLOOKUP($A199,'New Resources - Individual'!$A$4:$Y$133,EL$2,FALSE)*EL$1</f>
        <v>0</v>
      </c>
      <c r="EM199" s="1116">
        <f>$G199+EL199</f>
        <v>19063436</v>
      </c>
      <c r="EN199" s="1117">
        <f>VLOOKUP($E199,EM$442:EP$453,2,FALSE)*EM199*($K199)+IF($G199&lt;&gt;0,($H199/$G199)*EM199,0)*(1-$K199)</f>
        <v>19063436</v>
      </c>
      <c r="EO199" s="1117">
        <f>VLOOKUP($E199,EM$442:EP$453,3,FALSE)*EM199*($K199)+IF($G199&lt;&gt;0,($I199/$G199)*EM199,0)*(1-$K199)</f>
        <v>0</v>
      </c>
      <c r="EP199" s="1117">
        <f>VLOOKUP($E199,EM$442:EP$453,4,FALSE)*EM199*($K199)+(EM199-EN199-EO199)*(1-$K199)</f>
        <v>0</v>
      </c>
      <c r="EQ199" s="1073"/>
      <c r="ET199" s="1129">
        <f>VLOOKUP($A199,'New Resources - Individual'!$A$4:$Y$133,ET$2,FALSE)*ET$1</f>
        <v>0</v>
      </c>
      <c r="EU199" s="1116">
        <f>$G199+ET199</f>
        <v>19063436</v>
      </c>
      <c r="EV199" s="1117">
        <f>VLOOKUP($E199,EU$442:EX$453,2,FALSE)*EU199*($K199)+IF($G199&lt;&gt;0,($H199/$G199)*EU199,0)*(1-$K199)</f>
        <v>19063436</v>
      </c>
      <c r="EW199" s="1117">
        <f>VLOOKUP($E199,EU$442:EX$453,3,FALSE)*EU199*($K199)+IF($G199&lt;&gt;0,($I199/$G199)*EU199,0)*(1-$K199)</f>
        <v>0</v>
      </c>
      <c r="EX199" s="1117">
        <f>VLOOKUP($E199,EU$442:EX$453,4,FALSE)*EU199*($K199)+(EU199-EV199-EW199)*(1-$K199)</f>
        <v>0</v>
      </c>
      <c r="EY199" s="1073"/>
      <c r="FB199" s="1129">
        <f>VLOOKUP($A199,'New Resources - Individual'!$A$4:$Y$133,FB$2,FALSE)*FB$1</f>
        <v>0</v>
      </c>
      <c r="FC199" s="1116">
        <f>$G199+FB199</f>
        <v>19063436</v>
      </c>
      <c r="FD199" s="1117">
        <f>VLOOKUP($E199,FC$442:FF$453,2,FALSE)*FC199*($K199)+IF($G199&lt;&gt;0,($H199/$G199)*FC199,0)*(1-$K199)</f>
        <v>19063436</v>
      </c>
      <c r="FE199" s="1117">
        <f>VLOOKUP($E199,FC$442:FF$453,3,FALSE)*FC199*($K199)+IF($G199&lt;&gt;0,($I199/$G199)*FC199,0)*(1-$K199)</f>
        <v>0</v>
      </c>
      <c r="FF199" s="1117">
        <f>VLOOKUP($E199,FC$442:FF$453,4,FALSE)*FC199*($K199)+(FC199-FD199-FE199)*(1-$K199)</f>
        <v>0</v>
      </c>
      <c r="FG199" s="1073"/>
      <c r="FJ199" s="1129">
        <f>VLOOKUP($A199,'New Resources - Individual'!$A$4:$Y$133,FJ$2,FALSE)*FJ$1</f>
        <v>0</v>
      </c>
      <c r="FK199" s="1116">
        <f>$G199+FJ199</f>
        <v>19063436</v>
      </c>
      <c r="FL199" s="1117">
        <f>VLOOKUP($E199,FK$442:FN$453,2,FALSE)*FK199*($K199)+IF($G199&lt;&gt;0,($H199/$G199)*FK199,0)*(1-$K199)</f>
        <v>19063436</v>
      </c>
      <c r="FM199" s="1117">
        <f>VLOOKUP($E199,FK$442:FN$453,3,FALSE)*FK199*($K199)+IF($G199&lt;&gt;0,($I199/$G199)*FK199,0)*(1-$K199)</f>
        <v>0</v>
      </c>
      <c r="FN199" s="1117">
        <f>VLOOKUP($E199,FK$442:FN$453,4,FALSE)*FK199*($K199)+(FK199-FL199-FM199)*(1-$K199)</f>
        <v>0</v>
      </c>
      <c r="FO199" s="1073"/>
    </row>
    <row r="200" spans="1:171">
      <c r="A200" s="1392">
        <v>880</v>
      </c>
      <c r="B200" s="913" t="s">
        <v>465</v>
      </c>
      <c r="C200" s="888" t="s">
        <v>72</v>
      </c>
      <c r="D200" s="889" t="s">
        <v>302</v>
      </c>
      <c r="E200" s="182" t="str">
        <f>'Sch 3 - Expenses'!E40</f>
        <v>TRANS</v>
      </c>
      <c r="F200" s="889"/>
      <c r="G200" s="182">
        <f>'Sch 3 - Expenses'!G40</f>
        <v>10227273</v>
      </c>
      <c r="H200" s="182">
        <f>'Sch 3 - Expenses'!H40</f>
        <v>0</v>
      </c>
      <c r="I200" s="182">
        <f>'Sch 3 - Expenses'!I40</f>
        <v>0</v>
      </c>
      <c r="J200" s="183">
        <f>'Sch 3 - Expenses'!J40</f>
        <v>10227273</v>
      </c>
      <c r="K200" s="903">
        <f>IF($E200="DIRECT",0,1)</f>
        <v>1</v>
      </c>
      <c r="N200" s="1129">
        <f>VLOOKUP($A200,'New Resources - Individual'!$A$4:$Y$133,N$2,FALSE)*N$1</f>
        <v>0</v>
      </c>
      <c r="O200" s="1116">
        <f>$G200+N200</f>
        <v>10227273</v>
      </c>
      <c r="P200" s="1117">
        <f>VLOOKUP($E200,O$442:R$453,2,FALSE)*O200*($K200)+IF($G200&lt;&gt;0,($H200/$G200)*O200,0)*(1-$K200)</f>
        <v>0</v>
      </c>
      <c r="Q200" s="1117">
        <f>VLOOKUP($E200,O$442:R$453,3,FALSE)*O200*($K200)+IF($G200&lt;&gt;0,($I200/$G200)*O200,0)*(1-$K200)</f>
        <v>10227273</v>
      </c>
      <c r="R200" s="1117">
        <f>VLOOKUP($E200,O$442:R$453,4,FALSE)*O200*($K200)+(O200-P200-Q200)*(1-$K200)</f>
        <v>0</v>
      </c>
      <c r="S200" s="1073"/>
      <c r="V200" s="1129">
        <f>VLOOKUP($A200,'New Resources - Individual'!$A$4:$Y$133,V$2,FALSE)*V$1</f>
        <v>0</v>
      </c>
      <c r="W200" s="1116">
        <f>$G200+V200</f>
        <v>10227273</v>
      </c>
      <c r="X200" s="1117">
        <f>VLOOKUP($E200,W$442:Z$453,2,FALSE)*W200*($K200)+IF($G200&lt;&gt;0,($H200/$G200)*W200,0)*(1-$K200)</f>
        <v>0</v>
      </c>
      <c r="Y200" s="1117">
        <f>VLOOKUP($E200,W$442:Z$453,3,FALSE)*W200*($K200)+IF($G200&lt;&gt;0,($I200/$G200)*W200,0)*(1-$K200)</f>
        <v>10227273</v>
      </c>
      <c r="Z200" s="1117">
        <f>VLOOKUP($E200,W$442:Z$453,4,FALSE)*W200*($K200)+(W200-X200-Y200)*(1-$K200)</f>
        <v>0</v>
      </c>
      <c r="AA200" s="1073"/>
      <c r="AD200" s="1129">
        <f>VLOOKUP($A200,'New Resources - Individual'!$A$4:$Y$133,AD$2,FALSE)*AD$1</f>
        <v>0</v>
      </c>
      <c r="AE200" s="1116">
        <f>$G200+AD200</f>
        <v>10227273</v>
      </c>
      <c r="AF200" s="1117">
        <f>VLOOKUP($E200,AE$442:AH$453,2,FALSE)*AE200*($K200)+IF($G200&lt;&gt;0,($H200/$G200)*AE200,0)*(1-$K200)</f>
        <v>0</v>
      </c>
      <c r="AG200" s="1117">
        <f>VLOOKUP($E200,AE$442:AH$453,3,FALSE)*AE200*($K200)+IF($G200&lt;&gt;0,($I200/$G200)*AE200,0)*(1-$K200)</f>
        <v>10227273</v>
      </c>
      <c r="AH200" s="1117">
        <f>VLOOKUP($E200,AE$442:AH$453,4,FALSE)*AE200*($K200)+(AE200-AF200-AG200)*(1-$K200)</f>
        <v>0</v>
      </c>
      <c r="AI200" s="1073"/>
      <c r="AL200" s="1129">
        <f>VLOOKUP($A200,'New Resources - Individual'!$A$4:$Y$133,AL$2,FALSE)*AL$1</f>
        <v>0</v>
      </c>
      <c r="AM200" s="1116">
        <f>$G200+AL200</f>
        <v>10227273</v>
      </c>
      <c r="AN200" s="1117">
        <f>VLOOKUP($E200,AM$442:AP$453,2,FALSE)*AM200*($K200)+IF($G200&lt;&gt;0,($H200/$G200)*AM200,0)*(1-$K200)</f>
        <v>0</v>
      </c>
      <c r="AO200" s="1117">
        <f>VLOOKUP($E200,AM$442:AP$453,3,FALSE)*AM200*($K200)+IF($G200&lt;&gt;0,($I200/$G200)*AM200,0)*(1-$K200)</f>
        <v>10227273</v>
      </c>
      <c r="AP200" s="1117">
        <f>VLOOKUP($E200,AM$442:AP$453,4,FALSE)*AM200*($K200)+(AM200-AN200-AO200)*(1-$K200)</f>
        <v>0</v>
      </c>
      <c r="AQ200" s="1073"/>
      <c r="AT200" s="1129">
        <f>VLOOKUP($A200,'New Resources - Individual'!$A$4:$Y$133,AT$2,FALSE)*AT$1</f>
        <v>0</v>
      </c>
      <c r="AU200" s="1116">
        <f>$G200+AT200</f>
        <v>10227273</v>
      </c>
      <c r="AV200" s="1117">
        <f>VLOOKUP($E200,AU$442:AX$453,2,FALSE)*AU200*($K200)+IF($G200&lt;&gt;0,($H200/$G200)*AU200,0)*(1-$K200)</f>
        <v>0</v>
      </c>
      <c r="AW200" s="1117">
        <f>VLOOKUP($E200,AU$442:AX$453,3,FALSE)*AU200*($K200)+IF($G200&lt;&gt;0,($I200/$G200)*AU200,0)*(1-$K200)</f>
        <v>10227273</v>
      </c>
      <c r="AX200" s="1117">
        <f>VLOOKUP($E200,AU$442:AX$453,4,FALSE)*AU200*($K200)+(AU200-AV200-AW200)*(1-$K200)</f>
        <v>0</v>
      </c>
      <c r="AY200" s="1073"/>
      <c r="BB200" s="1129">
        <f>VLOOKUP($A200,'New Resources - Individual'!$A$4:$Y$133,BB$2,FALSE)*BB$1</f>
        <v>0</v>
      </c>
      <c r="BC200" s="1116">
        <f>$G200+BB200</f>
        <v>10227273</v>
      </c>
      <c r="BD200" s="1117">
        <f>VLOOKUP($E200,BC$442:BF$453,2,FALSE)*BC200*($K200)+IF($G200&lt;&gt;0,($H200/$G200)*BC200,0)*(1-$K200)</f>
        <v>0</v>
      </c>
      <c r="BE200" s="1117">
        <f>VLOOKUP($E200,BC$442:BF$453,3,FALSE)*BC200*($K200)+IF($G200&lt;&gt;0,($I200/$G200)*BC200,0)*(1-$K200)</f>
        <v>10227273</v>
      </c>
      <c r="BF200" s="1117">
        <f>VLOOKUP($E200,BC$442:BF$453,4,FALSE)*BC200*($K200)+(BC200-BD200-BE200)*(1-$K200)</f>
        <v>0</v>
      </c>
      <c r="BG200" s="1073"/>
      <c r="BJ200" s="1129">
        <f>VLOOKUP($A200,'New Resources - Individual'!$A$4:$Y$133,BJ$2,FALSE)*BJ$1</f>
        <v>0</v>
      </c>
      <c r="BK200" s="1116">
        <f>$G200+BJ200</f>
        <v>10227273</v>
      </c>
      <c r="BL200" s="1117">
        <f>VLOOKUP($E200,BK$442:BN$453,2,FALSE)*BK200*($K200)+IF($G200&lt;&gt;0,($H200/$G200)*BK200,0)*(1-$K200)</f>
        <v>0</v>
      </c>
      <c r="BM200" s="1117">
        <f>VLOOKUP($E200,BK$442:BN$453,3,FALSE)*BK200*($K200)+IF($G200&lt;&gt;0,($I200/$G200)*BK200,0)*(1-$K200)</f>
        <v>10227273</v>
      </c>
      <c r="BN200" s="1117">
        <f>VLOOKUP($E200,BK$442:BN$453,4,FALSE)*BK200*($K200)+(BK200-BL200-BM200)*(1-$K200)</f>
        <v>0</v>
      </c>
      <c r="BO200" s="1073"/>
      <c r="BR200" s="1129">
        <f>VLOOKUP($A200,'New Resources - Individual'!$A$4:$Y$133,BR$2,FALSE)*BR$1</f>
        <v>0</v>
      </c>
      <c r="BS200" s="1116">
        <f>$G200+BR200</f>
        <v>10227273</v>
      </c>
      <c r="BT200" s="1117">
        <f>VLOOKUP($E200,BS$442:BV$453,2,FALSE)*BS200*($K200)+IF($G200&lt;&gt;0,($H200/$G200)*BS200,0)*(1-$K200)</f>
        <v>0</v>
      </c>
      <c r="BU200" s="1117">
        <f>VLOOKUP($E200,BS$442:BV$453,3,FALSE)*BS200*($K200)+IF($G200&lt;&gt;0,($I200/$G200)*BS200,0)*(1-$K200)</f>
        <v>10227273</v>
      </c>
      <c r="BV200" s="1117">
        <f>VLOOKUP($E200,BS$442:BV$453,4,FALSE)*BS200*($K200)+(BS200-BT200-BU200)*(1-$K200)</f>
        <v>0</v>
      </c>
      <c r="BW200" s="1073"/>
      <c r="BZ200" s="1129">
        <f>VLOOKUP($A200,'New Resources - Individual'!$A$4:$Y$133,BZ$2,FALSE)*BZ$1</f>
        <v>0</v>
      </c>
      <c r="CA200" s="1116">
        <f>$G200+BZ200</f>
        <v>10227273</v>
      </c>
      <c r="CB200" s="1117">
        <f>VLOOKUP($E200,CA$442:CD$453,2,FALSE)*CA200*($K200)+IF($G200&lt;&gt;0,($H200/$G200)*CA200,0)*(1-$K200)</f>
        <v>0</v>
      </c>
      <c r="CC200" s="1117">
        <f>VLOOKUP($E200,CA$442:CD$453,3,FALSE)*CA200*($K200)+IF($G200&lt;&gt;0,($I200/$G200)*CA200,0)*(1-$K200)</f>
        <v>10227273</v>
      </c>
      <c r="CD200" s="1117">
        <f>VLOOKUP($E200,CA$442:CD$453,4,FALSE)*CA200*($K200)+(CA200-CB200-CC200)*(1-$K200)</f>
        <v>0</v>
      </c>
      <c r="CE200" s="1073"/>
      <c r="CH200" s="1129">
        <f>VLOOKUP($A200,'New Resources - Individual'!$A$4:$Y$133,CH$2,FALSE)*CH$1</f>
        <v>0</v>
      </c>
      <c r="CI200" s="1116">
        <f>$G200+CH200</f>
        <v>10227273</v>
      </c>
      <c r="CJ200" s="1117">
        <f>VLOOKUP($E200,CI$442:CL$453,2,FALSE)*CI200*($K200)+IF($G200&lt;&gt;0,($H200/$G200)*CI200,0)*(1-$K200)</f>
        <v>0</v>
      </c>
      <c r="CK200" s="1117">
        <f>VLOOKUP($E200,CI$442:CL$453,3,FALSE)*CI200*($K200)+IF($G200&lt;&gt;0,($I200/$G200)*CI200,0)*(1-$K200)</f>
        <v>10227273</v>
      </c>
      <c r="CL200" s="1117">
        <f>VLOOKUP($E200,CI$442:CL$453,4,FALSE)*CI200*($K200)+(CI200-CJ200-CK200)*(1-$K200)</f>
        <v>0</v>
      </c>
      <c r="CM200" s="1073"/>
      <c r="CP200" s="1129">
        <f>VLOOKUP($A200,'New Resources - Individual'!$A$4:$Y$133,CP$2,FALSE)*CP$1</f>
        <v>0</v>
      </c>
      <c r="CQ200" s="1116">
        <f>$G200+CP200</f>
        <v>10227273</v>
      </c>
      <c r="CR200" s="1117">
        <f>VLOOKUP($E200,CQ$442:CT$453,2,FALSE)*CQ200*($K200)+IF($G200&lt;&gt;0,($H200/$G200)*CQ200,0)*(1-$K200)</f>
        <v>0</v>
      </c>
      <c r="CS200" s="1117">
        <f>VLOOKUP($E200,CQ$442:CT$453,3,FALSE)*CQ200*($K200)+IF($G200&lt;&gt;0,($I200/$G200)*CQ200,0)*(1-$K200)</f>
        <v>10227273</v>
      </c>
      <c r="CT200" s="1117">
        <f>VLOOKUP($E200,CQ$442:CT$453,4,FALSE)*CQ200*($K200)+(CQ200-CR200-CS200)*(1-$K200)</f>
        <v>0</v>
      </c>
      <c r="CU200" s="1073"/>
      <c r="CX200" s="1129">
        <f>VLOOKUP($A200,'New Resources - Individual'!$A$4:$Y$133,CX$2,FALSE)*CX$1</f>
        <v>0</v>
      </c>
      <c r="CY200" s="1116">
        <f>$G200+CX200</f>
        <v>10227273</v>
      </c>
      <c r="CZ200" s="1117">
        <f>VLOOKUP($E200,CY$442:DB$453,2,FALSE)*CY200*($K200)+IF($G200&lt;&gt;0,($H200/$G200)*CY200,0)*(1-$K200)</f>
        <v>0</v>
      </c>
      <c r="DA200" s="1117">
        <f>VLOOKUP($E200,CY$442:DB$453,3,FALSE)*CY200*($K200)+IF($G200&lt;&gt;0,($I200/$G200)*CY200,0)*(1-$K200)</f>
        <v>10227273</v>
      </c>
      <c r="DB200" s="1117">
        <f>VLOOKUP($E200,CY$442:DB$453,4,FALSE)*CY200*($K200)+(CY200-CZ200-DA200)*(1-$K200)</f>
        <v>0</v>
      </c>
      <c r="DC200" s="1073"/>
      <c r="DF200" s="1129">
        <f>VLOOKUP($A200,'New Resources - Individual'!$A$4:$Y$133,DF$2,FALSE)*DF$1</f>
        <v>0</v>
      </c>
      <c r="DG200" s="1116">
        <f>$G200+DF200</f>
        <v>10227273</v>
      </c>
      <c r="DH200" s="1117">
        <f>VLOOKUP($E200,DG$442:DJ$453,2,FALSE)*DG200*($K200)+IF($G200&lt;&gt;0,($H200/$G200)*DG200,0)*(1-$K200)</f>
        <v>0</v>
      </c>
      <c r="DI200" s="1117">
        <f>VLOOKUP($E200,DG$442:DJ$453,3,FALSE)*DG200*($K200)+IF($G200&lt;&gt;0,($I200/$G200)*DG200,0)*(1-$K200)</f>
        <v>10227273</v>
      </c>
      <c r="DJ200" s="1117">
        <f>VLOOKUP($E200,DG$442:DJ$453,4,FALSE)*DG200*($K200)+(DG200-DH200-DI200)*(1-$K200)</f>
        <v>0</v>
      </c>
      <c r="DK200" s="1073"/>
      <c r="DN200" s="1129">
        <f>VLOOKUP($A200,'New Resources - Individual'!$A$4:$Y$133,DN$2,FALSE)*DN$1</f>
        <v>0</v>
      </c>
      <c r="DO200" s="1116">
        <f>$G200+DN200</f>
        <v>10227273</v>
      </c>
      <c r="DP200" s="1117">
        <f>VLOOKUP($E200,DO$442:DR$453,2,FALSE)*DO200*($K200)+IF($G200&lt;&gt;0,($H200/$G200)*DO200,0)*(1-$K200)</f>
        <v>0</v>
      </c>
      <c r="DQ200" s="1117">
        <f>VLOOKUP($E200,DO$442:DR$453,3,FALSE)*DO200*($K200)+IF($G200&lt;&gt;0,($I200/$G200)*DO200,0)*(1-$K200)</f>
        <v>10227273</v>
      </c>
      <c r="DR200" s="1117">
        <f>VLOOKUP($E200,DO$442:DR$453,4,FALSE)*DO200*($K200)+(DO200-DP200-DQ200)*(1-$K200)</f>
        <v>0</v>
      </c>
      <c r="DS200" s="1073"/>
      <c r="DV200" s="1129">
        <f>VLOOKUP($A200,'New Resources - Individual'!$A$4:$Y$133,DV$2,FALSE)*DV$1</f>
        <v>0</v>
      </c>
      <c r="DW200" s="1116">
        <f>$G200+DV200</f>
        <v>10227273</v>
      </c>
      <c r="DX200" s="1117">
        <f>VLOOKUP($E200,DW$442:DZ$453,2,FALSE)*DW200*($K200)+IF($G200&lt;&gt;0,($H200/$G200)*DW200,0)*(1-$K200)</f>
        <v>0</v>
      </c>
      <c r="DY200" s="1117">
        <f>VLOOKUP($E200,DW$442:DZ$453,3,FALSE)*DW200*($K200)+IF($G200&lt;&gt;0,($I200/$G200)*DW200,0)*(1-$K200)</f>
        <v>10227273</v>
      </c>
      <c r="DZ200" s="1117">
        <f>VLOOKUP($E200,DW$442:DZ$453,4,FALSE)*DW200*($K200)+(DW200-DX200-DY200)*(1-$K200)</f>
        <v>0</v>
      </c>
      <c r="EA200" s="1073"/>
      <c r="ED200" s="1129">
        <f>VLOOKUP($A200,'New Resources - Individual'!$A$4:$Y$133,ED$2,FALSE)*ED$1</f>
        <v>0</v>
      </c>
      <c r="EE200" s="1116">
        <f>$G200+ED200</f>
        <v>10227273</v>
      </c>
      <c r="EF200" s="1117">
        <f>VLOOKUP($E200,EE$442:EH$453,2,FALSE)*EE200*($K200)+IF($G200&lt;&gt;0,($H200/$G200)*EE200,0)*(1-$K200)</f>
        <v>0</v>
      </c>
      <c r="EG200" s="1117">
        <f>VLOOKUP($E200,EE$442:EH$453,3,FALSE)*EE200*($K200)+IF($G200&lt;&gt;0,($I200/$G200)*EE200,0)*(1-$K200)</f>
        <v>10227273</v>
      </c>
      <c r="EH200" s="1117">
        <f>VLOOKUP($E200,EE$442:EH$453,4,FALSE)*EE200*($K200)+(EE200-EF200-EG200)*(1-$K200)</f>
        <v>0</v>
      </c>
      <c r="EI200" s="1073"/>
      <c r="EL200" s="1129">
        <f>VLOOKUP($A200,'New Resources - Individual'!$A$4:$Y$133,EL$2,FALSE)*EL$1</f>
        <v>0</v>
      </c>
      <c r="EM200" s="1116">
        <f>$G200+EL200</f>
        <v>10227273</v>
      </c>
      <c r="EN200" s="1117">
        <f>VLOOKUP($E200,EM$442:EP$453,2,FALSE)*EM200*($K200)+IF($G200&lt;&gt;0,($H200/$G200)*EM200,0)*(1-$K200)</f>
        <v>0</v>
      </c>
      <c r="EO200" s="1117">
        <f>VLOOKUP($E200,EM$442:EP$453,3,FALSE)*EM200*($K200)+IF($G200&lt;&gt;0,($I200/$G200)*EM200,0)*(1-$K200)</f>
        <v>10227273</v>
      </c>
      <c r="EP200" s="1117">
        <f>VLOOKUP($E200,EM$442:EP$453,4,FALSE)*EM200*($K200)+(EM200-EN200-EO200)*(1-$K200)</f>
        <v>0</v>
      </c>
      <c r="EQ200" s="1073"/>
      <c r="ET200" s="1129">
        <f>VLOOKUP($A200,'New Resources - Individual'!$A$4:$Y$133,ET$2,FALSE)*ET$1</f>
        <v>0</v>
      </c>
      <c r="EU200" s="1116">
        <f>$G200+ET200</f>
        <v>10227273</v>
      </c>
      <c r="EV200" s="1117">
        <f>VLOOKUP($E200,EU$442:EX$453,2,FALSE)*EU200*($K200)+IF($G200&lt;&gt;0,($H200/$G200)*EU200,0)*(1-$K200)</f>
        <v>0</v>
      </c>
      <c r="EW200" s="1117">
        <f>VLOOKUP($E200,EU$442:EX$453,3,FALSE)*EU200*($K200)+IF($G200&lt;&gt;0,($I200/$G200)*EU200,0)*(1-$K200)</f>
        <v>10227273</v>
      </c>
      <c r="EX200" s="1117">
        <f>VLOOKUP($E200,EU$442:EX$453,4,FALSE)*EU200*($K200)+(EU200-EV200-EW200)*(1-$K200)</f>
        <v>0</v>
      </c>
      <c r="EY200" s="1073"/>
      <c r="FB200" s="1129">
        <f>VLOOKUP($A200,'New Resources - Individual'!$A$4:$Y$133,FB$2,FALSE)*FB$1</f>
        <v>0</v>
      </c>
      <c r="FC200" s="1116">
        <f>$G200+FB200</f>
        <v>10227273</v>
      </c>
      <c r="FD200" s="1117">
        <f>VLOOKUP($E200,FC$442:FF$453,2,FALSE)*FC200*($K200)+IF($G200&lt;&gt;0,($H200/$G200)*FC200,0)*(1-$K200)</f>
        <v>0</v>
      </c>
      <c r="FE200" s="1117">
        <f>VLOOKUP($E200,FC$442:FF$453,3,FALSE)*FC200*($K200)+IF($G200&lt;&gt;0,($I200/$G200)*FC200,0)*(1-$K200)</f>
        <v>10227273</v>
      </c>
      <c r="FF200" s="1117">
        <f>VLOOKUP($E200,FC$442:FF$453,4,FALSE)*FC200*($K200)+(FC200-FD200-FE200)*(1-$K200)</f>
        <v>0</v>
      </c>
      <c r="FG200" s="1073"/>
      <c r="FJ200" s="1129">
        <f>VLOOKUP($A200,'New Resources - Individual'!$A$4:$Y$133,FJ$2,FALSE)*FJ$1</f>
        <v>0</v>
      </c>
      <c r="FK200" s="1116">
        <f>$G200+FJ200</f>
        <v>10227273</v>
      </c>
      <c r="FL200" s="1117">
        <f>VLOOKUP($E200,FK$442:FN$453,2,FALSE)*FK200*($K200)+IF($G200&lt;&gt;0,($H200/$G200)*FK200,0)*(1-$K200)</f>
        <v>0</v>
      </c>
      <c r="FM200" s="1117">
        <f>VLOOKUP($E200,FK$442:FN$453,3,FALSE)*FK200*($K200)+IF($G200&lt;&gt;0,($I200/$G200)*FK200,0)*(1-$K200)</f>
        <v>10227273</v>
      </c>
      <c r="FN200" s="1117">
        <f>VLOOKUP($E200,FK$442:FN$453,4,FALSE)*FK200*($K200)+(FK200-FL200-FM200)*(1-$K200)</f>
        <v>0</v>
      </c>
      <c r="FO200" s="1073"/>
    </row>
    <row r="201" spans="1:171">
      <c r="A201" s="1392">
        <v>890</v>
      </c>
      <c r="B201" s="913" t="s">
        <v>466</v>
      </c>
      <c r="C201" s="888" t="s">
        <v>72</v>
      </c>
      <c r="D201" s="889" t="s">
        <v>303</v>
      </c>
      <c r="E201" s="182" t="str">
        <f>'Sch 3 - Expenses'!E41</f>
        <v>TRANS</v>
      </c>
      <c r="F201" s="889"/>
      <c r="G201" s="182">
        <f>'Sch 3 - Expenses'!G41</f>
        <v>4374909</v>
      </c>
      <c r="H201" s="182">
        <f>'Sch 3 - Expenses'!H41</f>
        <v>0</v>
      </c>
      <c r="I201" s="182">
        <f>'Sch 3 - Expenses'!I41</f>
        <v>0</v>
      </c>
      <c r="J201" s="183">
        <f>'Sch 3 - Expenses'!J41</f>
        <v>4374909</v>
      </c>
      <c r="K201" s="903">
        <f>IF($E201="DIRECT",0,1)</f>
        <v>1</v>
      </c>
      <c r="N201" s="1129">
        <f>VLOOKUP($A201,'New Resources - Individual'!$A$4:$Y$133,N$2,FALSE)*N$1</f>
        <v>0</v>
      </c>
      <c r="O201" s="1116">
        <f>$G201+N201</f>
        <v>4374909</v>
      </c>
      <c r="P201" s="1117">
        <f>VLOOKUP($E201,O$442:R$453,2,FALSE)*O201*($K201)+IF($G201&lt;&gt;0,($H201/$G201)*O201,0)*(1-$K201)</f>
        <v>0</v>
      </c>
      <c r="Q201" s="1117">
        <f>VLOOKUP($E201,O$442:R$453,3,FALSE)*O201*($K201)+IF($G201&lt;&gt;0,($I201/$G201)*O201,0)*(1-$K201)</f>
        <v>4374909</v>
      </c>
      <c r="R201" s="1117">
        <f>VLOOKUP($E201,O$442:R$453,4,FALSE)*O201*($K201)+(O201-P201-Q201)*(1-$K201)</f>
        <v>0</v>
      </c>
      <c r="S201" s="1073"/>
      <c r="V201" s="1129">
        <f>VLOOKUP($A201,'New Resources - Individual'!$A$4:$Y$133,V$2,FALSE)*V$1</f>
        <v>0</v>
      </c>
      <c r="W201" s="1116">
        <f>$G201+V201</f>
        <v>4374909</v>
      </c>
      <c r="X201" s="1117">
        <f>VLOOKUP($E201,W$442:Z$453,2,FALSE)*W201*($K201)+IF($G201&lt;&gt;0,($H201/$G201)*W201,0)*(1-$K201)</f>
        <v>0</v>
      </c>
      <c r="Y201" s="1117">
        <f>VLOOKUP($E201,W$442:Z$453,3,FALSE)*W201*($K201)+IF($G201&lt;&gt;0,($I201/$G201)*W201,0)*(1-$K201)</f>
        <v>4374909</v>
      </c>
      <c r="Z201" s="1117">
        <f>VLOOKUP($E201,W$442:Z$453,4,FALSE)*W201*($K201)+(W201-X201-Y201)*(1-$K201)</f>
        <v>0</v>
      </c>
      <c r="AA201" s="1073"/>
      <c r="AD201" s="1129">
        <f>VLOOKUP($A201,'New Resources - Individual'!$A$4:$Y$133,AD$2,FALSE)*AD$1</f>
        <v>0</v>
      </c>
      <c r="AE201" s="1116">
        <f>$G201+AD201</f>
        <v>4374909</v>
      </c>
      <c r="AF201" s="1117">
        <f>VLOOKUP($E201,AE$442:AH$453,2,FALSE)*AE201*($K201)+IF($G201&lt;&gt;0,($H201/$G201)*AE201,0)*(1-$K201)</f>
        <v>0</v>
      </c>
      <c r="AG201" s="1117">
        <f>VLOOKUP($E201,AE$442:AH$453,3,FALSE)*AE201*($K201)+IF($G201&lt;&gt;0,($I201/$G201)*AE201,0)*(1-$K201)</f>
        <v>4374909</v>
      </c>
      <c r="AH201" s="1117">
        <f>VLOOKUP($E201,AE$442:AH$453,4,FALSE)*AE201*($K201)+(AE201-AF201-AG201)*(1-$K201)</f>
        <v>0</v>
      </c>
      <c r="AI201" s="1073"/>
      <c r="AL201" s="1129">
        <f>VLOOKUP($A201,'New Resources - Individual'!$A$4:$Y$133,AL$2,FALSE)*AL$1</f>
        <v>0</v>
      </c>
      <c r="AM201" s="1116">
        <f>$G201+AL201</f>
        <v>4374909</v>
      </c>
      <c r="AN201" s="1117">
        <f>VLOOKUP($E201,AM$442:AP$453,2,FALSE)*AM201*($K201)+IF($G201&lt;&gt;0,($H201/$G201)*AM201,0)*(1-$K201)</f>
        <v>0</v>
      </c>
      <c r="AO201" s="1117">
        <f>VLOOKUP($E201,AM$442:AP$453,3,FALSE)*AM201*($K201)+IF($G201&lt;&gt;0,($I201/$G201)*AM201,0)*(1-$K201)</f>
        <v>4374909</v>
      </c>
      <c r="AP201" s="1117">
        <f>VLOOKUP($E201,AM$442:AP$453,4,FALSE)*AM201*($K201)+(AM201-AN201-AO201)*(1-$K201)</f>
        <v>0</v>
      </c>
      <c r="AQ201" s="1073"/>
      <c r="AT201" s="1129">
        <f>VLOOKUP($A201,'New Resources - Individual'!$A$4:$Y$133,AT$2,FALSE)*AT$1</f>
        <v>0</v>
      </c>
      <c r="AU201" s="1116">
        <f>$G201+AT201</f>
        <v>4374909</v>
      </c>
      <c r="AV201" s="1117">
        <f>VLOOKUP($E201,AU$442:AX$453,2,FALSE)*AU201*($K201)+IF($G201&lt;&gt;0,($H201/$G201)*AU201,0)*(1-$K201)</f>
        <v>0</v>
      </c>
      <c r="AW201" s="1117">
        <f>VLOOKUP($E201,AU$442:AX$453,3,FALSE)*AU201*($K201)+IF($G201&lt;&gt;0,($I201/$G201)*AU201,0)*(1-$K201)</f>
        <v>4374909</v>
      </c>
      <c r="AX201" s="1117">
        <f>VLOOKUP($E201,AU$442:AX$453,4,FALSE)*AU201*($K201)+(AU201-AV201-AW201)*(1-$K201)</f>
        <v>0</v>
      </c>
      <c r="AY201" s="1073"/>
      <c r="BB201" s="1129">
        <f>VLOOKUP($A201,'New Resources - Individual'!$A$4:$Y$133,BB$2,FALSE)*BB$1</f>
        <v>0</v>
      </c>
      <c r="BC201" s="1116">
        <f>$G201+BB201</f>
        <v>4374909</v>
      </c>
      <c r="BD201" s="1117">
        <f>VLOOKUP($E201,BC$442:BF$453,2,FALSE)*BC201*($K201)+IF($G201&lt;&gt;0,($H201/$G201)*BC201,0)*(1-$K201)</f>
        <v>0</v>
      </c>
      <c r="BE201" s="1117">
        <f>VLOOKUP($E201,BC$442:BF$453,3,FALSE)*BC201*($K201)+IF($G201&lt;&gt;0,($I201/$G201)*BC201,0)*(1-$K201)</f>
        <v>4374909</v>
      </c>
      <c r="BF201" s="1117">
        <f>VLOOKUP($E201,BC$442:BF$453,4,FALSE)*BC201*($K201)+(BC201-BD201-BE201)*(1-$K201)</f>
        <v>0</v>
      </c>
      <c r="BG201" s="1073"/>
      <c r="BJ201" s="1129">
        <f>VLOOKUP($A201,'New Resources - Individual'!$A$4:$Y$133,BJ$2,FALSE)*BJ$1</f>
        <v>0</v>
      </c>
      <c r="BK201" s="1116">
        <f>$G201+BJ201</f>
        <v>4374909</v>
      </c>
      <c r="BL201" s="1117">
        <f>VLOOKUP($E201,BK$442:BN$453,2,FALSE)*BK201*($K201)+IF($G201&lt;&gt;0,($H201/$G201)*BK201,0)*(1-$K201)</f>
        <v>0</v>
      </c>
      <c r="BM201" s="1117">
        <f>VLOOKUP($E201,BK$442:BN$453,3,FALSE)*BK201*($K201)+IF($G201&lt;&gt;0,($I201/$G201)*BK201,0)*(1-$K201)</f>
        <v>4374909</v>
      </c>
      <c r="BN201" s="1117">
        <f>VLOOKUP($E201,BK$442:BN$453,4,FALSE)*BK201*($K201)+(BK201-BL201-BM201)*(1-$K201)</f>
        <v>0</v>
      </c>
      <c r="BO201" s="1073"/>
      <c r="BR201" s="1129">
        <f>VLOOKUP($A201,'New Resources - Individual'!$A$4:$Y$133,BR$2,FALSE)*BR$1</f>
        <v>0</v>
      </c>
      <c r="BS201" s="1116">
        <f>$G201+BR201</f>
        <v>4374909</v>
      </c>
      <c r="BT201" s="1117">
        <f>VLOOKUP($E201,BS$442:BV$453,2,FALSE)*BS201*($K201)+IF($G201&lt;&gt;0,($H201/$G201)*BS201,0)*(1-$K201)</f>
        <v>0</v>
      </c>
      <c r="BU201" s="1117">
        <f>VLOOKUP($E201,BS$442:BV$453,3,FALSE)*BS201*($K201)+IF($G201&lt;&gt;0,($I201/$G201)*BS201,0)*(1-$K201)</f>
        <v>4374909</v>
      </c>
      <c r="BV201" s="1117">
        <f>VLOOKUP($E201,BS$442:BV$453,4,FALSE)*BS201*($K201)+(BS201-BT201-BU201)*(1-$K201)</f>
        <v>0</v>
      </c>
      <c r="BW201" s="1073"/>
      <c r="BZ201" s="1129">
        <f>VLOOKUP($A201,'New Resources - Individual'!$A$4:$Y$133,BZ$2,FALSE)*BZ$1</f>
        <v>0</v>
      </c>
      <c r="CA201" s="1116">
        <f>$G201+BZ201</f>
        <v>4374909</v>
      </c>
      <c r="CB201" s="1117">
        <f>VLOOKUP($E201,CA$442:CD$453,2,FALSE)*CA201*($K201)+IF($G201&lt;&gt;0,($H201/$G201)*CA201,0)*(1-$K201)</f>
        <v>0</v>
      </c>
      <c r="CC201" s="1117">
        <f>VLOOKUP($E201,CA$442:CD$453,3,FALSE)*CA201*($K201)+IF($G201&lt;&gt;0,($I201/$G201)*CA201,0)*(1-$K201)</f>
        <v>4374909</v>
      </c>
      <c r="CD201" s="1117">
        <f>VLOOKUP($E201,CA$442:CD$453,4,FALSE)*CA201*($K201)+(CA201-CB201-CC201)*(1-$K201)</f>
        <v>0</v>
      </c>
      <c r="CE201" s="1073"/>
      <c r="CH201" s="1129">
        <f>VLOOKUP($A201,'New Resources - Individual'!$A$4:$Y$133,CH$2,FALSE)*CH$1</f>
        <v>0</v>
      </c>
      <c r="CI201" s="1116">
        <f>$G201+CH201</f>
        <v>4374909</v>
      </c>
      <c r="CJ201" s="1117">
        <f>VLOOKUP($E201,CI$442:CL$453,2,FALSE)*CI201*($K201)+IF($G201&lt;&gt;0,($H201/$G201)*CI201,0)*(1-$K201)</f>
        <v>0</v>
      </c>
      <c r="CK201" s="1117">
        <f>VLOOKUP($E201,CI$442:CL$453,3,FALSE)*CI201*($K201)+IF($G201&lt;&gt;0,($I201/$G201)*CI201,0)*(1-$K201)</f>
        <v>4374909</v>
      </c>
      <c r="CL201" s="1117">
        <f>VLOOKUP($E201,CI$442:CL$453,4,FALSE)*CI201*($K201)+(CI201-CJ201-CK201)*(1-$K201)</f>
        <v>0</v>
      </c>
      <c r="CM201" s="1073"/>
      <c r="CP201" s="1129">
        <f>VLOOKUP($A201,'New Resources - Individual'!$A$4:$Y$133,CP$2,FALSE)*CP$1</f>
        <v>0</v>
      </c>
      <c r="CQ201" s="1116">
        <f>$G201+CP201</f>
        <v>4374909</v>
      </c>
      <c r="CR201" s="1117">
        <f>VLOOKUP($E201,CQ$442:CT$453,2,FALSE)*CQ201*($K201)+IF($G201&lt;&gt;0,($H201/$G201)*CQ201,0)*(1-$K201)</f>
        <v>0</v>
      </c>
      <c r="CS201" s="1117">
        <f>VLOOKUP($E201,CQ$442:CT$453,3,FALSE)*CQ201*($K201)+IF($G201&lt;&gt;0,($I201/$G201)*CQ201,0)*(1-$K201)</f>
        <v>4374909</v>
      </c>
      <c r="CT201" s="1117">
        <f>VLOOKUP($E201,CQ$442:CT$453,4,FALSE)*CQ201*($K201)+(CQ201-CR201-CS201)*(1-$K201)</f>
        <v>0</v>
      </c>
      <c r="CU201" s="1073"/>
      <c r="CX201" s="1129">
        <f>VLOOKUP($A201,'New Resources - Individual'!$A$4:$Y$133,CX$2,FALSE)*CX$1</f>
        <v>0</v>
      </c>
      <c r="CY201" s="1116">
        <f>$G201+CX201</f>
        <v>4374909</v>
      </c>
      <c r="CZ201" s="1117">
        <f>VLOOKUP($E201,CY$442:DB$453,2,FALSE)*CY201*($K201)+IF($G201&lt;&gt;0,($H201/$G201)*CY201,0)*(1-$K201)</f>
        <v>0</v>
      </c>
      <c r="DA201" s="1117">
        <f>VLOOKUP($E201,CY$442:DB$453,3,FALSE)*CY201*($K201)+IF($G201&lt;&gt;0,($I201/$G201)*CY201,0)*(1-$K201)</f>
        <v>4374909</v>
      </c>
      <c r="DB201" s="1117">
        <f>VLOOKUP($E201,CY$442:DB$453,4,FALSE)*CY201*($K201)+(CY201-CZ201-DA201)*(1-$K201)</f>
        <v>0</v>
      </c>
      <c r="DC201" s="1073"/>
      <c r="DF201" s="1129">
        <f>VLOOKUP($A201,'New Resources - Individual'!$A$4:$Y$133,DF$2,FALSE)*DF$1</f>
        <v>0</v>
      </c>
      <c r="DG201" s="1116">
        <f>$G201+DF201</f>
        <v>4374909</v>
      </c>
      <c r="DH201" s="1117">
        <f>VLOOKUP($E201,DG$442:DJ$453,2,FALSE)*DG201*($K201)+IF($G201&lt;&gt;0,($H201/$G201)*DG201,0)*(1-$K201)</f>
        <v>0</v>
      </c>
      <c r="DI201" s="1117">
        <f>VLOOKUP($E201,DG$442:DJ$453,3,FALSE)*DG201*($K201)+IF($G201&lt;&gt;0,($I201/$G201)*DG201,0)*(1-$K201)</f>
        <v>4374909</v>
      </c>
      <c r="DJ201" s="1117">
        <f>VLOOKUP($E201,DG$442:DJ$453,4,FALSE)*DG201*($K201)+(DG201-DH201-DI201)*(1-$K201)</f>
        <v>0</v>
      </c>
      <c r="DK201" s="1073"/>
      <c r="DN201" s="1129">
        <f>VLOOKUP($A201,'New Resources - Individual'!$A$4:$Y$133,DN$2,FALSE)*DN$1</f>
        <v>0</v>
      </c>
      <c r="DO201" s="1116">
        <f>$G201+DN201</f>
        <v>4374909</v>
      </c>
      <c r="DP201" s="1117">
        <f>VLOOKUP($E201,DO$442:DR$453,2,FALSE)*DO201*($K201)+IF($G201&lt;&gt;0,($H201/$G201)*DO201,0)*(1-$K201)</f>
        <v>0</v>
      </c>
      <c r="DQ201" s="1117">
        <f>VLOOKUP($E201,DO$442:DR$453,3,FALSE)*DO201*($K201)+IF($G201&lt;&gt;0,($I201/$G201)*DO201,0)*(1-$K201)</f>
        <v>4374909</v>
      </c>
      <c r="DR201" s="1117">
        <f>VLOOKUP($E201,DO$442:DR$453,4,FALSE)*DO201*($K201)+(DO201-DP201-DQ201)*(1-$K201)</f>
        <v>0</v>
      </c>
      <c r="DS201" s="1073"/>
      <c r="DV201" s="1129">
        <f>VLOOKUP($A201,'New Resources - Individual'!$A$4:$Y$133,DV$2,FALSE)*DV$1</f>
        <v>0</v>
      </c>
      <c r="DW201" s="1116">
        <f>$G201+DV201</f>
        <v>4374909</v>
      </c>
      <c r="DX201" s="1117">
        <f>VLOOKUP($E201,DW$442:DZ$453,2,FALSE)*DW201*($K201)+IF($G201&lt;&gt;0,($H201/$G201)*DW201,0)*(1-$K201)</f>
        <v>0</v>
      </c>
      <c r="DY201" s="1117">
        <f>VLOOKUP($E201,DW$442:DZ$453,3,FALSE)*DW201*($K201)+IF($G201&lt;&gt;0,($I201/$G201)*DW201,0)*(1-$K201)</f>
        <v>4374909</v>
      </c>
      <c r="DZ201" s="1117">
        <f>VLOOKUP($E201,DW$442:DZ$453,4,FALSE)*DW201*($K201)+(DW201-DX201-DY201)*(1-$K201)</f>
        <v>0</v>
      </c>
      <c r="EA201" s="1073"/>
      <c r="ED201" s="1129">
        <f>VLOOKUP($A201,'New Resources - Individual'!$A$4:$Y$133,ED$2,FALSE)*ED$1</f>
        <v>0</v>
      </c>
      <c r="EE201" s="1116">
        <f>$G201+ED201</f>
        <v>4374909</v>
      </c>
      <c r="EF201" s="1117">
        <f>VLOOKUP($E201,EE$442:EH$453,2,FALSE)*EE201*($K201)+IF($G201&lt;&gt;0,($H201/$G201)*EE201,0)*(1-$K201)</f>
        <v>0</v>
      </c>
      <c r="EG201" s="1117">
        <f>VLOOKUP($E201,EE$442:EH$453,3,FALSE)*EE201*($K201)+IF($G201&lt;&gt;0,($I201/$G201)*EE201,0)*(1-$K201)</f>
        <v>4374909</v>
      </c>
      <c r="EH201" s="1117">
        <f>VLOOKUP($E201,EE$442:EH$453,4,FALSE)*EE201*($K201)+(EE201-EF201-EG201)*(1-$K201)</f>
        <v>0</v>
      </c>
      <c r="EI201" s="1073"/>
      <c r="EL201" s="1129">
        <f>VLOOKUP($A201,'New Resources - Individual'!$A$4:$Y$133,EL$2,FALSE)*EL$1</f>
        <v>0</v>
      </c>
      <c r="EM201" s="1116">
        <f>$G201+EL201</f>
        <v>4374909</v>
      </c>
      <c r="EN201" s="1117">
        <f>VLOOKUP($E201,EM$442:EP$453,2,FALSE)*EM201*($K201)+IF($G201&lt;&gt;0,($H201/$G201)*EM201,0)*(1-$K201)</f>
        <v>0</v>
      </c>
      <c r="EO201" s="1117">
        <f>VLOOKUP($E201,EM$442:EP$453,3,FALSE)*EM201*($K201)+IF($G201&lt;&gt;0,($I201/$G201)*EM201,0)*(1-$K201)</f>
        <v>4374909</v>
      </c>
      <c r="EP201" s="1117">
        <f>VLOOKUP($E201,EM$442:EP$453,4,FALSE)*EM201*($K201)+(EM201-EN201-EO201)*(1-$K201)</f>
        <v>0</v>
      </c>
      <c r="EQ201" s="1073"/>
      <c r="ET201" s="1129">
        <f>VLOOKUP($A201,'New Resources - Individual'!$A$4:$Y$133,ET$2,FALSE)*ET$1</f>
        <v>0</v>
      </c>
      <c r="EU201" s="1116">
        <f>$G201+ET201</f>
        <v>4374909</v>
      </c>
      <c r="EV201" s="1117">
        <f>VLOOKUP($E201,EU$442:EX$453,2,FALSE)*EU201*($K201)+IF($G201&lt;&gt;0,($H201/$G201)*EU201,0)*(1-$K201)</f>
        <v>0</v>
      </c>
      <c r="EW201" s="1117">
        <f>VLOOKUP($E201,EU$442:EX$453,3,FALSE)*EU201*($K201)+IF($G201&lt;&gt;0,($I201/$G201)*EU201,0)*(1-$K201)</f>
        <v>4374909</v>
      </c>
      <c r="EX201" s="1117">
        <f>VLOOKUP($E201,EU$442:EX$453,4,FALSE)*EU201*($K201)+(EU201-EV201-EW201)*(1-$K201)</f>
        <v>0</v>
      </c>
      <c r="EY201" s="1073"/>
      <c r="FB201" s="1129">
        <f>VLOOKUP($A201,'New Resources - Individual'!$A$4:$Y$133,FB$2,FALSE)*FB$1</f>
        <v>0</v>
      </c>
      <c r="FC201" s="1116">
        <f>$G201+FB201</f>
        <v>4374909</v>
      </c>
      <c r="FD201" s="1117">
        <f>VLOOKUP($E201,FC$442:FF$453,2,FALSE)*FC201*($K201)+IF($G201&lt;&gt;0,($H201/$G201)*FC201,0)*(1-$K201)</f>
        <v>0</v>
      </c>
      <c r="FE201" s="1117">
        <f>VLOOKUP($E201,FC$442:FF$453,3,FALSE)*FC201*($K201)+IF($G201&lt;&gt;0,($I201/$G201)*FC201,0)*(1-$K201)</f>
        <v>4374909</v>
      </c>
      <c r="FF201" s="1117">
        <f>VLOOKUP($E201,FC$442:FF$453,4,FALSE)*FC201*($K201)+(FC201-FD201-FE201)*(1-$K201)</f>
        <v>0</v>
      </c>
      <c r="FG201" s="1073"/>
      <c r="FJ201" s="1129">
        <f>VLOOKUP($A201,'New Resources - Individual'!$A$4:$Y$133,FJ$2,FALSE)*FJ$1</f>
        <v>0</v>
      </c>
      <c r="FK201" s="1116">
        <f>$G201+FJ201</f>
        <v>4374909</v>
      </c>
      <c r="FL201" s="1117">
        <f>VLOOKUP($E201,FK$442:FN$453,2,FALSE)*FK201*($K201)+IF($G201&lt;&gt;0,($H201/$G201)*FK201,0)*(1-$K201)</f>
        <v>0</v>
      </c>
      <c r="FM201" s="1117">
        <f>VLOOKUP($E201,FK$442:FN$453,3,FALSE)*FK201*($K201)+IF($G201&lt;&gt;0,($I201/$G201)*FK201,0)*(1-$K201)</f>
        <v>4374909</v>
      </c>
      <c r="FN201" s="1117">
        <f>VLOOKUP($E201,FK$442:FN$453,4,FALSE)*FK201*($K201)+(FK201-FL201-FM201)*(1-$K201)</f>
        <v>0</v>
      </c>
      <c r="FO201" s="1073"/>
    </row>
    <row r="202" spans="1:171">
      <c r="A202" s="163" t="s">
        <v>487</v>
      </c>
      <c r="B202" s="10"/>
      <c r="C202" s="914"/>
      <c r="D202" s="915"/>
      <c r="E202" s="915"/>
      <c r="F202" s="916"/>
      <c r="G202" s="923">
        <f>SUM(G199:G201)</f>
        <v>33665618</v>
      </c>
      <c r="H202" s="923">
        <f>SUM(H199:H201)</f>
        <v>19063436</v>
      </c>
      <c r="I202" s="923">
        <f>SUM(I199:I201)</f>
        <v>0</v>
      </c>
      <c r="J202" s="1393">
        <f>SUM(J199:J201)</f>
        <v>14602182</v>
      </c>
      <c r="K202" s="903"/>
      <c r="O202" s="1135">
        <f>SUM(O199:O201)</f>
        <v>33665618</v>
      </c>
      <c r="P202" s="1135">
        <f>SUM(P199:P201)</f>
        <v>19063436</v>
      </c>
      <c r="Q202" s="1135">
        <f>SUM(Q199:Q201)</f>
        <v>14602182</v>
      </c>
      <c r="R202" s="1135">
        <f>SUM(R199:R201)</f>
        <v>0</v>
      </c>
      <c r="S202" s="1073"/>
      <c r="W202" s="1135">
        <f>SUM(W199:W201)</f>
        <v>33665618</v>
      </c>
      <c r="X202" s="1135">
        <f>SUM(X199:X201)</f>
        <v>19063436</v>
      </c>
      <c r="Y202" s="1135">
        <f>SUM(Y199:Y201)</f>
        <v>14602182</v>
      </c>
      <c r="Z202" s="1135">
        <f>SUM(Z199:Z201)</f>
        <v>0</v>
      </c>
      <c r="AA202" s="1073"/>
      <c r="AE202" s="1135">
        <f>SUM(AE199:AE201)</f>
        <v>33665618</v>
      </c>
      <c r="AF202" s="1135">
        <f>SUM(AF199:AF201)</f>
        <v>19063436</v>
      </c>
      <c r="AG202" s="1135">
        <f>SUM(AG199:AG201)</f>
        <v>14602182</v>
      </c>
      <c r="AH202" s="1135">
        <f>SUM(AH199:AH201)</f>
        <v>0</v>
      </c>
      <c r="AI202" s="1073"/>
      <c r="AM202" s="1135">
        <f>SUM(AM199:AM201)</f>
        <v>33665618</v>
      </c>
      <c r="AN202" s="1135">
        <f>SUM(AN199:AN201)</f>
        <v>19063436</v>
      </c>
      <c r="AO202" s="1135">
        <f>SUM(AO199:AO201)</f>
        <v>14602182</v>
      </c>
      <c r="AP202" s="1135">
        <f>SUM(AP199:AP201)</f>
        <v>0</v>
      </c>
      <c r="AQ202" s="1073"/>
      <c r="AU202" s="1135">
        <f>SUM(AU199:AU201)</f>
        <v>33665618</v>
      </c>
      <c r="AV202" s="1135">
        <f>SUM(AV199:AV201)</f>
        <v>19063436</v>
      </c>
      <c r="AW202" s="1135">
        <f>SUM(AW199:AW201)</f>
        <v>14602182</v>
      </c>
      <c r="AX202" s="1135">
        <f>SUM(AX199:AX201)</f>
        <v>0</v>
      </c>
      <c r="AY202" s="1073"/>
      <c r="BC202" s="1135">
        <f>SUM(BC199:BC201)</f>
        <v>33665618</v>
      </c>
      <c r="BD202" s="1135">
        <f>SUM(BD199:BD201)</f>
        <v>19063436</v>
      </c>
      <c r="BE202" s="1135">
        <f>SUM(BE199:BE201)</f>
        <v>14602182</v>
      </c>
      <c r="BF202" s="1135">
        <f>SUM(BF199:BF201)</f>
        <v>0</v>
      </c>
      <c r="BG202" s="1073"/>
      <c r="BK202" s="1135">
        <f>SUM(BK199:BK201)</f>
        <v>33665618</v>
      </c>
      <c r="BL202" s="1135">
        <f>SUM(BL199:BL201)</f>
        <v>19063436</v>
      </c>
      <c r="BM202" s="1135">
        <f>SUM(BM199:BM201)</f>
        <v>14602182</v>
      </c>
      <c r="BN202" s="1135">
        <f>SUM(BN199:BN201)</f>
        <v>0</v>
      </c>
      <c r="BO202" s="1073"/>
      <c r="BS202" s="1135">
        <f>SUM(BS199:BS201)</f>
        <v>33665618</v>
      </c>
      <c r="BT202" s="1135">
        <f>SUM(BT199:BT201)</f>
        <v>19063436</v>
      </c>
      <c r="BU202" s="1135">
        <f>SUM(BU199:BU201)</f>
        <v>14602182</v>
      </c>
      <c r="BV202" s="1135">
        <f>SUM(BV199:BV201)</f>
        <v>0</v>
      </c>
      <c r="BW202" s="1073"/>
      <c r="CA202" s="1135">
        <f>SUM(CA199:CA201)</f>
        <v>33665618</v>
      </c>
      <c r="CB202" s="1135">
        <f>SUM(CB199:CB201)</f>
        <v>19063436</v>
      </c>
      <c r="CC202" s="1135">
        <f>SUM(CC199:CC201)</f>
        <v>14602182</v>
      </c>
      <c r="CD202" s="1135">
        <f>SUM(CD199:CD201)</f>
        <v>0</v>
      </c>
      <c r="CE202" s="1073"/>
      <c r="CI202" s="1135">
        <f>SUM(CI199:CI201)</f>
        <v>33665618</v>
      </c>
      <c r="CJ202" s="1135">
        <f>SUM(CJ199:CJ201)</f>
        <v>19063436</v>
      </c>
      <c r="CK202" s="1135">
        <f>SUM(CK199:CK201)</f>
        <v>14602182</v>
      </c>
      <c r="CL202" s="1135">
        <f>SUM(CL199:CL201)</f>
        <v>0</v>
      </c>
      <c r="CM202" s="1073"/>
      <c r="CQ202" s="1135">
        <f>SUM(CQ199:CQ201)</f>
        <v>33665618</v>
      </c>
      <c r="CR202" s="1135">
        <f>SUM(CR199:CR201)</f>
        <v>19063436</v>
      </c>
      <c r="CS202" s="1135">
        <f>SUM(CS199:CS201)</f>
        <v>14602182</v>
      </c>
      <c r="CT202" s="1135">
        <f>SUM(CT199:CT201)</f>
        <v>0</v>
      </c>
      <c r="CU202" s="1073"/>
      <c r="CY202" s="1135">
        <f>SUM(CY199:CY201)</f>
        <v>33665618</v>
      </c>
      <c r="CZ202" s="1135">
        <f>SUM(CZ199:CZ201)</f>
        <v>19063436</v>
      </c>
      <c r="DA202" s="1135">
        <f>SUM(DA199:DA201)</f>
        <v>14602182</v>
      </c>
      <c r="DB202" s="1135">
        <f>SUM(DB199:DB201)</f>
        <v>0</v>
      </c>
      <c r="DC202" s="1073"/>
      <c r="DG202" s="1135">
        <f>SUM(DG199:DG201)</f>
        <v>33665618</v>
      </c>
      <c r="DH202" s="1135">
        <f>SUM(DH199:DH201)</f>
        <v>19063436</v>
      </c>
      <c r="DI202" s="1135">
        <f>SUM(DI199:DI201)</f>
        <v>14602182</v>
      </c>
      <c r="DJ202" s="1135">
        <f>SUM(DJ199:DJ201)</f>
        <v>0</v>
      </c>
      <c r="DK202" s="1073"/>
      <c r="DO202" s="1135">
        <f>SUM(DO199:DO201)</f>
        <v>33665618</v>
      </c>
      <c r="DP202" s="1135">
        <f>SUM(DP199:DP201)</f>
        <v>19063436</v>
      </c>
      <c r="DQ202" s="1135">
        <f>SUM(DQ199:DQ201)</f>
        <v>14602182</v>
      </c>
      <c r="DR202" s="1135">
        <f>SUM(DR199:DR201)</f>
        <v>0</v>
      </c>
      <c r="DS202" s="1073"/>
      <c r="DW202" s="1135">
        <f>SUM(DW199:DW201)</f>
        <v>33665618</v>
      </c>
      <c r="DX202" s="1135">
        <f>SUM(DX199:DX201)</f>
        <v>19063436</v>
      </c>
      <c r="DY202" s="1135">
        <f>SUM(DY199:DY201)</f>
        <v>14602182</v>
      </c>
      <c r="DZ202" s="1135">
        <f>SUM(DZ199:DZ201)</f>
        <v>0</v>
      </c>
      <c r="EA202" s="1073"/>
      <c r="EE202" s="1135">
        <f>SUM(EE199:EE201)</f>
        <v>33665618</v>
      </c>
      <c r="EF202" s="1135">
        <f>SUM(EF199:EF201)</f>
        <v>19063436</v>
      </c>
      <c r="EG202" s="1135">
        <f>SUM(EG199:EG201)</f>
        <v>14602182</v>
      </c>
      <c r="EH202" s="1135">
        <f>SUM(EH199:EH201)</f>
        <v>0</v>
      </c>
      <c r="EI202" s="1073"/>
      <c r="EM202" s="1135">
        <f>SUM(EM199:EM201)</f>
        <v>33665618</v>
      </c>
      <c r="EN202" s="1135">
        <f>SUM(EN199:EN201)</f>
        <v>19063436</v>
      </c>
      <c r="EO202" s="1135">
        <f>SUM(EO199:EO201)</f>
        <v>14602182</v>
      </c>
      <c r="EP202" s="1135">
        <f>SUM(EP199:EP201)</f>
        <v>0</v>
      </c>
      <c r="EQ202" s="1073"/>
      <c r="EU202" s="1135">
        <f>SUM(EU199:EU201)</f>
        <v>33665618</v>
      </c>
      <c r="EV202" s="1135">
        <f>SUM(EV199:EV201)</f>
        <v>19063436</v>
      </c>
      <c r="EW202" s="1135">
        <f>SUM(EW199:EW201)</f>
        <v>14602182</v>
      </c>
      <c r="EX202" s="1135">
        <f>SUM(EX199:EX201)</f>
        <v>0</v>
      </c>
      <c r="EY202" s="1073"/>
      <c r="FC202" s="1135">
        <f>SUM(FC199:FC201)</f>
        <v>33665618</v>
      </c>
      <c r="FD202" s="1135">
        <f>SUM(FD199:FD201)</f>
        <v>19063436</v>
      </c>
      <c r="FE202" s="1135">
        <f>SUM(FE199:FE201)</f>
        <v>14602182</v>
      </c>
      <c r="FF202" s="1135">
        <f>SUM(FF199:FF201)</f>
        <v>0</v>
      </c>
      <c r="FG202" s="1073"/>
      <c r="FK202" s="1135">
        <f>SUM(FK199:FK201)</f>
        <v>33665618</v>
      </c>
      <c r="FL202" s="1135">
        <f>SUM(FL199:FL201)</f>
        <v>19063436</v>
      </c>
      <c r="FM202" s="1135">
        <f>SUM(FM199:FM201)</f>
        <v>14602182</v>
      </c>
      <c r="FN202" s="1135">
        <f>SUM(FN199:FN201)</f>
        <v>0</v>
      </c>
      <c r="FO202" s="1073"/>
    </row>
    <row r="203" spans="1:171" ht="16.5" thickBot="1">
      <c r="A203" s="994"/>
      <c r="B203" s="995"/>
      <c r="C203" s="932"/>
      <c r="D203" s="932"/>
      <c r="E203" s="931"/>
      <c r="F203" s="931"/>
      <c r="G203" s="996"/>
      <c r="H203" s="975"/>
      <c r="I203" s="975"/>
      <c r="J203" s="997"/>
      <c r="K203" s="903"/>
      <c r="S203" s="1073"/>
      <c r="AA203" s="1073"/>
      <c r="AI203" s="1073"/>
      <c r="AQ203" s="1073"/>
      <c r="AY203" s="1073"/>
      <c r="BG203" s="1073"/>
      <c r="BO203" s="1073"/>
      <c r="BW203" s="1073"/>
      <c r="CE203" s="1073"/>
      <c r="CM203" s="1073"/>
      <c r="CU203" s="1073"/>
      <c r="DC203" s="1073"/>
      <c r="DK203" s="1073"/>
      <c r="DS203" s="1073"/>
      <c r="EA203" s="1073"/>
      <c r="EI203" s="1073"/>
      <c r="EQ203" s="1073"/>
      <c r="EY203" s="1073"/>
      <c r="FG203" s="1073"/>
      <c r="FO203" s="1073"/>
    </row>
    <row r="204" spans="1:171" ht="16.5" thickTop="1">
      <c r="A204" s="160" t="s">
        <v>488</v>
      </c>
      <c r="B204" s="10"/>
      <c r="C204" s="55"/>
      <c r="D204" s="196"/>
      <c r="E204" s="10"/>
      <c r="F204" s="10"/>
      <c r="G204" s="989"/>
      <c r="H204" s="885"/>
      <c r="I204" s="885"/>
      <c r="J204" s="936"/>
      <c r="K204" s="903"/>
      <c r="S204" s="1073"/>
      <c r="AA204" s="1073"/>
      <c r="AI204" s="1073"/>
      <c r="AQ204" s="1073"/>
      <c r="AY204" s="1073"/>
      <c r="BG204" s="1073"/>
      <c r="BO204" s="1073"/>
      <c r="BW204" s="1073"/>
      <c r="CE204" s="1073"/>
      <c r="CM204" s="1073"/>
      <c r="CU204" s="1073"/>
      <c r="DC204" s="1073"/>
      <c r="DK204" s="1073"/>
      <c r="DS204" s="1073"/>
      <c r="EA204" s="1073"/>
      <c r="EI204" s="1073"/>
      <c r="EQ204" s="1073"/>
      <c r="EY204" s="1073"/>
      <c r="FG204" s="1073"/>
      <c r="FO204" s="1073"/>
    </row>
    <row r="205" spans="1:171">
      <c r="A205" s="912"/>
      <c r="B205" s="913" t="s">
        <v>467</v>
      </c>
      <c r="C205" s="888" t="s">
        <v>72</v>
      </c>
      <c r="D205" s="889" t="s">
        <v>489</v>
      </c>
      <c r="E205" s="182" t="str">
        <f>'Sch 3 - Expenses'!E45</f>
        <v>DIST</v>
      </c>
      <c r="F205" s="889"/>
      <c r="G205" s="182">
        <f>'Sch 3 - Expenses'!G45</f>
        <v>23429072</v>
      </c>
      <c r="H205" s="182">
        <f>'Sch 3 - Expenses'!H45</f>
        <v>0</v>
      </c>
      <c r="I205" s="182">
        <f>'Sch 3 - Expenses'!I45</f>
        <v>0</v>
      </c>
      <c r="J205" s="183">
        <f>'Sch 3 - Expenses'!J45</f>
        <v>23429072</v>
      </c>
      <c r="K205" s="903">
        <f>IF($E205="DIRECT",0,1)</f>
        <v>1</v>
      </c>
      <c r="O205" s="1116">
        <f>$G205</f>
        <v>23429072</v>
      </c>
      <c r="P205" s="1117">
        <f>VLOOKUP($E205,O$442:R$453,2,FALSE)*O205*($K205)+IF($G205&lt;&gt;0,($H205/$G205)*O205,0)*(1-$K205)</f>
        <v>0</v>
      </c>
      <c r="Q205" s="1117">
        <f>VLOOKUP($E205,O$442:R$453,3,FALSE)*O205*($K205)+IF($G205&lt;&gt;0,($I205/$G205)*O205,0)*(1-$K205)</f>
        <v>0</v>
      </c>
      <c r="R205" s="1117">
        <f>VLOOKUP($E205,O$442:R$453,4,FALSE)*O205*($K205)+(O205-P205-Q205)*(1-$K205)</f>
        <v>23429072</v>
      </c>
      <c r="S205" s="1073"/>
      <c r="W205" s="1116">
        <f>$G205</f>
        <v>23429072</v>
      </c>
      <c r="X205" s="1117">
        <f>VLOOKUP($E205,W$442:Z$453,2,FALSE)*W205*($K205)+IF($G205&lt;&gt;0,($H205/$G205)*W205,0)*(1-$K205)</f>
        <v>0</v>
      </c>
      <c r="Y205" s="1117">
        <f>VLOOKUP($E205,W$442:Z$453,3,FALSE)*W205*($K205)+IF($G205&lt;&gt;0,($I205/$G205)*W205,0)*(1-$K205)</f>
        <v>0</v>
      </c>
      <c r="Z205" s="1117">
        <f>VLOOKUP($E205,W$442:Z$453,4,FALSE)*W205*($K205)+(W205-X205-Y205)*(1-$K205)</f>
        <v>23429072</v>
      </c>
      <c r="AA205" s="1073"/>
      <c r="AE205" s="1116">
        <f>$G205</f>
        <v>23429072</v>
      </c>
      <c r="AF205" s="1117">
        <f>VLOOKUP($E205,AE$442:AH$453,2,FALSE)*AE205*($K205)+IF($G205&lt;&gt;0,($H205/$G205)*AE205,0)*(1-$K205)</f>
        <v>0</v>
      </c>
      <c r="AG205" s="1117">
        <f>VLOOKUP($E205,AE$442:AH$453,3,FALSE)*AE205*($K205)+IF($G205&lt;&gt;0,($I205/$G205)*AE205,0)*(1-$K205)</f>
        <v>0</v>
      </c>
      <c r="AH205" s="1117">
        <f>VLOOKUP($E205,AE$442:AH$453,4,FALSE)*AE205*($K205)+(AE205-AF205-AG205)*(1-$K205)</f>
        <v>23429072</v>
      </c>
      <c r="AI205" s="1073"/>
      <c r="AM205" s="1116">
        <f>$G205</f>
        <v>23429072</v>
      </c>
      <c r="AN205" s="1117">
        <f>VLOOKUP($E205,AM$442:AP$453,2,FALSE)*AM205*($K205)+IF($G205&lt;&gt;0,($H205/$G205)*AM205,0)*(1-$K205)</f>
        <v>0</v>
      </c>
      <c r="AO205" s="1117">
        <f>VLOOKUP($E205,AM$442:AP$453,3,FALSE)*AM205*($K205)+IF($G205&lt;&gt;0,($I205/$G205)*AM205,0)*(1-$K205)</f>
        <v>0</v>
      </c>
      <c r="AP205" s="1117">
        <f>VLOOKUP($E205,AM$442:AP$453,4,FALSE)*AM205*($K205)+(AM205-AN205-AO205)*(1-$K205)</f>
        <v>23429072</v>
      </c>
      <c r="AQ205" s="1073"/>
      <c r="AU205" s="1116">
        <f>$G205</f>
        <v>23429072</v>
      </c>
      <c r="AV205" s="1117">
        <f>VLOOKUP($E205,AU$442:AX$453,2,FALSE)*AU205*($K205)+IF($G205&lt;&gt;0,($H205/$G205)*AU205,0)*(1-$K205)</f>
        <v>0</v>
      </c>
      <c r="AW205" s="1117">
        <f>VLOOKUP($E205,AU$442:AX$453,3,FALSE)*AU205*($K205)+IF($G205&lt;&gt;0,($I205/$G205)*AU205,0)*(1-$K205)</f>
        <v>0</v>
      </c>
      <c r="AX205" s="1117">
        <f>VLOOKUP($E205,AU$442:AX$453,4,FALSE)*AU205*($K205)+(AU205-AV205-AW205)*(1-$K205)</f>
        <v>23429072</v>
      </c>
      <c r="AY205" s="1073"/>
      <c r="BC205" s="1116">
        <f>$G205</f>
        <v>23429072</v>
      </c>
      <c r="BD205" s="1117">
        <f>VLOOKUP($E205,BC$442:BF$453,2,FALSE)*BC205*($K205)+IF($G205&lt;&gt;0,($H205/$G205)*BC205,0)*(1-$K205)</f>
        <v>0</v>
      </c>
      <c r="BE205" s="1117">
        <f>VLOOKUP($E205,BC$442:BF$453,3,FALSE)*BC205*($K205)+IF($G205&lt;&gt;0,($I205/$G205)*BC205,0)*(1-$K205)</f>
        <v>0</v>
      </c>
      <c r="BF205" s="1117">
        <f>VLOOKUP($E205,BC$442:BF$453,4,FALSE)*BC205*($K205)+(BC205-BD205-BE205)*(1-$K205)</f>
        <v>23429072</v>
      </c>
      <c r="BG205" s="1073"/>
      <c r="BK205" s="1116">
        <f>$G205</f>
        <v>23429072</v>
      </c>
      <c r="BL205" s="1117">
        <f>VLOOKUP($E205,BK$442:BN$453,2,FALSE)*BK205*($K205)+IF($G205&lt;&gt;0,($H205/$G205)*BK205,0)*(1-$K205)</f>
        <v>0</v>
      </c>
      <c r="BM205" s="1117">
        <f>VLOOKUP($E205,BK$442:BN$453,3,FALSE)*BK205*($K205)+IF($G205&lt;&gt;0,($I205/$G205)*BK205,0)*(1-$K205)</f>
        <v>0</v>
      </c>
      <c r="BN205" s="1117">
        <f>VLOOKUP($E205,BK$442:BN$453,4,FALSE)*BK205*($K205)+(BK205-BL205-BM205)*(1-$K205)</f>
        <v>23429072</v>
      </c>
      <c r="BO205" s="1073"/>
      <c r="BS205" s="1116">
        <f>$G205</f>
        <v>23429072</v>
      </c>
      <c r="BT205" s="1117">
        <f>VLOOKUP($E205,BS$442:BV$453,2,FALSE)*BS205*($K205)+IF($G205&lt;&gt;0,($H205/$G205)*BS205,0)*(1-$K205)</f>
        <v>0</v>
      </c>
      <c r="BU205" s="1117">
        <f>VLOOKUP($E205,BS$442:BV$453,3,FALSE)*BS205*($K205)+IF($G205&lt;&gt;0,($I205/$G205)*BS205,0)*(1-$K205)</f>
        <v>0</v>
      </c>
      <c r="BV205" s="1117">
        <f>VLOOKUP($E205,BS$442:BV$453,4,FALSE)*BS205*($K205)+(BS205-BT205-BU205)*(1-$K205)</f>
        <v>23429072</v>
      </c>
      <c r="BW205" s="1073"/>
      <c r="CA205" s="1116">
        <f>$G205</f>
        <v>23429072</v>
      </c>
      <c r="CB205" s="1117">
        <f>VLOOKUP($E205,CA$442:CD$453,2,FALSE)*CA205*($K205)+IF($G205&lt;&gt;0,($H205/$G205)*CA205,0)*(1-$K205)</f>
        <v>0</v>
      </c>
      <c r="CC205" s="1117">
        <f>VLOOKUP($E205,CA$442:CD$453,3,FALSE)*CA205*($K205)+IF($G205&lt;&gt;0,($I205/$G205)*CA205,0)*(1-$K205)</f>
        <v>0</v>
      </c>
      <c r="CD205" s="1117">
        <f>VLOOKUP($E205,CA$442:CD$453,4,FALSE)*CA205*($K205)+(CA205-CB205-CC205)*(1-$K205)</f>
        <v>23429072</v>
      </c>
      <c r="CE205" s="1073"/>
      <c r="CI205" s="1116">
        <f>$G205</f>
        <v>23429072</v>
      </c>
      <c r="CJ205" s="1117">
        <f>VLOOKUP($E205,CI$442:CL$453,2,FALSE)*CI205*($K205)+IF($G205&lt;&gt;0,($H205/$G205)*CI205,0)*(1-$K205)</f>
        <v>0</v>
      </c>
      <c r="CK205" s="1117">
        <f>VLOOKUP($E205,CI$442:CL$453,3,FALSE)*CI205*($K205)+IF($G205&lt;&gt;0,($I205/$G205)*CI205,0)*(1-$K205)</f>
        <v>0</v>
      </c>
      <c r="CL205" s="1117">
        <f>VLOOKUP($E205,CI$442:CL$453,4,FALSE)*CI205*($K205)+(CI205-CJ205-CK205)*(1-$K205)</f>
        <v>23429072</v>
      </c>
      <c r="CM205" s="1073"/>
      <c r="CQ205" s="1116">
        <f>$G205</f>
        <v>23429072</v>
      </c>
      <c r="CR205" s="1117">
        <f>VLOOKUP($E205,CQ$442:CT$453,2,FALSE)*CQ205*($K205)+IF($G205&lt;&gt;0,($H205/$G205)*CQ205,0)*(1-$K205)</f>
        <v>0</v>
      </c>
      <c r="CS205" s="1117">
        <f>VLOOKUP($E205,CQ$442:CT$453,3,FALSE)*CQ205*($K205)+IF($G205&lt;&gt;0,($I205/$G205)*CQ205,0)*(1-$K205)</f>
        <v>0</v>
      </c>
      <c r="CT205" s="1117">
        <f>VLOOKUP($E205,CQ$442:CT$453,4,FALSE)*CQ205*($K205)+(CQ205-CR205-CS205)*(1-$K205)</f>
        <v>23429072</v>
      </c>
      <c r="CU205" s="1073"/>
      <c r="CY205" s="1116">
        <f>$G205</f>
        <v>23429072</v>
      </c>
      <c r="CZ205" s="1117">
        <f>VLOOKUP($E205,CY$442:DB$453,2,FALSE)*CY205*($K205)+IF($G205&lt;&gt;0,($H205/$G205)*CY205,0)*(1-$K205)</f>
        <v>0</v>
      </c>
      <c r="DA205" s="1117">
        <f>VLOOKUP($E205,CY$442:DB$453,3,FALSE)*CY205*($K205)+IF($G205&lt;&gt;0,($I205/$G205)*CY205,0)*(1-$K205)</f>
        <v>0</v>
      </c>
      <c r="DB205" s="1117">
        <f>VLOOKUP($E205,CY$442:DB$453,4,FALSE)*CY205*($K205)+(CY205-CZ205-DA205)*(1-$K205)</f>
        <v>23429072</v>
      </c>
      <c r="DC205" s="1073"/>
      <c r="DG205" s="1116">
        <f>$G205</f>
        <v>23429072</v>
      </c>
      <c r="DH205" s="1117">
        <f>VLOOKUP($E205,DG$442:DJ$453,2,FALSE)*DG205*($K205)+IF($G205&lt;&gt;0,($H205/$G205)*DG205,0)*(1-$K205)</f>
        <v>0</v>
      </c>
      <c r="DI205" s="1117">
        <f>VLOOKUP($E205,DG$442:DJ$453,3,FALSE)*DG205*($K205)+IF($G205&lt;&gt;0,($I205/$G205)*DG205,0)*(1-$K205)</f>
        <v>0</v>
      </c>
      <c r="DJ205" s="1117">
        <f>VLOOKUP($E205,DG$442:DJ$453,4,FALSE)*DG205*($K205)+(DG205-DH205-DI205)*(1-$K205)</f>
        <v>23429072</v>
      </c>
      <c r="DK205" s="1073"/>
      <c r="DO205" s="1116">
        <f>$G205</f>
        <v>23429072</v>
      </c>
      <c r="DP205" s="1117">
        <f>VLOOKUP($E205,DO$442:DR$453,2,FALSE)*DO205*($K205)+IF($G205&lt;&gt;0,($H205/$G205)*DO205,0)*(1-$K205)</f>
        <v>0</v>
      </c>
      <c r="DQ205" s="1117">
        <f>VLOOKUP($E205,DO$442:DR$453,3,FALSE)*DO205*($K205)+IF($G205&lt;&gt;0,($I205/$G205)*DO205,0)*(1-$K205)</f>
        <v>0</v>
      </c>
      <c r="DR205" s="1117">
        <f>VLOOKUP($E205,DO$442:DR$453,4,FALSE)*DO205*($K205)+(DO205-DP205-DQ205)*(1-$K205)</f>
        <v>23429072</v>
      </c>
      <c r="DS205" s="1073"/>
      <c r="DW205" s="1116">
        <f>$G205</f>
        <v>23429072</v>
      </c>
      <c r="DX205" s="1117">
        <f>VLOOKUP($E205,DW$442:DZ$453,2,FALSE)*DW205*($K205)+IF($G205&lt;&gt;0,($H205/$G205)*DW205,0)*(1-$K205)</f>
        <v>0</v>
      </c>
      <c r="DY205" s="1117">
        <f>VLOOKUP($E205,DW$442:DZ$453,3,FALSE)*DW205*($K205)+IF($G205&lt;&gt;0,($I205/$G205)*DW205,0)*(1-$K205)</f>
        <v>0</v>
      </c>
      <c r="DZ205" s="1117">
        <f>VLOOKUP($E205,DW$442:DZ$453,4,FALSE)*DW205*($K205)+(DW205-DX205-DY205)*(1-$K205)</f>
        <v>23429072</v>
      </c>
      <c r="EA205" s="1073"/>
      <c r="EE205" s="1116">
        <f>$G205</f>
        <v>23429072</v>
      </c>
      <c r="EF205" s="1117">
        <f>VLOOKUP($E205,EE$442:EH$453,2,FALSE)*EE205*($K205)+IF($G205&lt;&gt;0,($H205/$G205)*EE205,0)*(1-$K205)</f>
        <v>0</v>
      </c>
      <c r="EG205" s="1117">
        <f>VLOOKUP($E205,EE$442:EH$453,3,FALSE)*EE205*($K205)+IF($G205&lt;&gt;0,($I205/$G205)*EE205,0)*(1-$K205)</f>
        <v>0</v>
      </c>
      <c r="EH205" s="1117">
        <f>VLOOKUP($E205,EE$442:EH$453,4,FALSE)*EE205*($K205)+(EE205-EF205-EG205)*(1-$K205)</f>
        <v>23429072</v>
      </c>
      <c r="EI205" s="1073"/>
      <c r="EM205" s="1116">
        <f>$G205</f>
        <v>23429072</v>
      </c>
      <c r="EN205" s="1117">
        <f>VLOOKUP($E205,EM$442:EP$453,2,FALSE)*EM205*($K205)+IF($G205&lt;&gt;0,($H205/$G205)*EM205,0)*(1-$K205)</f>
        <v>0</v>
      </c>
      <c r="EO205" s="1117">
        <f>VLOOKUP($E205,EM$442:EP$453,3,FALSE)*EM205*($K205)+IF($G205&lt;&gt;0,($I205/$G205)*EM205,0)*(1-$K205)</f>
        <v>0</v>
      </c>
      <c r="EP205" s="1117">
        <f>VLOOKUP($E205,EM$442:EP$453,4,FALSE)*EM205*($K205)+(EM205-EN205-EO205)*(1-$K205)</f>
        <v>23429072</v>
      </c>
      <c r="EQ205" s="1073"/>
      <c r="EU205" s="1116">
        <f>$G205</f>
        <v>23429072</v>
      </c>
      <c r="EV205" s="1117">
        <f>VLOOKUP($E205,EU$442:EX$453,2,FALSE)*EU205*($K205)+IF($G205&lt;&gt;0,($H205/$G205)*EU205,0)*(1-$K205)</f>
        <v>0</v>
      </c>
      <c r="EW205" s="1117">
        <f>VLOOKUP($E205,EU$442:EX$453,3,FALSE)*EU205*($K205)+IF($G205&lt;&gt;0,($I205/$G205)*EU205,0)*(1-$K205)</f>
        <v>0</v>
      </c>
      <c r="EX205" s="1117">
        <f>VLOOKUP($E205,EU$442:EX$453,4,FALSE)*EU205*($K205)+(EU205-EV205-EW205)*(1-$K205)</f>
        <v>23429072</v>
      </c>
      <c r="EY205" s="1073"/>
      <c r="FC205" s="1116">
        <f>$G205</f>
        <v>23429072</v>
      </c>
      <c r="FD205" s="1117">
        <f>VLOOKUP($E205,FC$442:FF$453,2,FALSE)*FC205*($K205)+IF($G205&lt;&gt;0,($H205/$G205)*FC205,0)*(1-$K205)</f>
        <v>0</v>
      </c>
      <c r="FE205" s="1117">
        <f>VLOOKUP($E205,FC$442:FF$453,3,FALSE)*FC205*($K205)+IF($G205&lt;&gt;0,($I205/$G205)*FC205,0)*(1-$K205)</f>
        <v>0</v>
      </c>
      <c r="FF205" s="1117">
        <f>VLOOKUP($E205,FC$442:FF$453,4,FALSE)*FC205*($K205)+(FC205-FD205-FE205)*(1-$K205)</f>
        <v>23429072</v>
      </c>
      <c r="FG205" s="1073"/>
      <c r="FK205" s="1116">
        <f>$G205</f>
        <v>23429072</v>
      </c>
      <c r="FL205" s="1117">
        <f>VLOOKUP($E205,FK$442:FN$453,2,FALSE)*FK205*($K205)+IF($G205&lt;&gt;0,($H205/$G205)*FK205,0)*(1-$K205)</f>
        <v>0</v>
      </c>
      <c r="FM205" s="1117">
        <f>VLOOKUP($E205,FK$442:FN$453,3,FALSE)*FK205*($K205)+IF($G205&lt;&gt;0,($I205/$G205)*FK205,0)*(1-$K205)</f>
        <v>0</v>
      </c>
      <c r="FN205" s="1117">
        <f>VLOOKUP($E205,FK$442:FN$453,4,FALSE)*FK205*($K205)+(FK205-FL205-FM205)*(1-$K205)</f>
        <v>23429072</v>
      </c>
      <c r="FO205" s="1073"/>
    </row>
    <row r="206" spans="1:171">
      <c r="A206" s="912"/>
      <c r="B206" s="913" t="s">
        <v>466</v>
      </c>
      <c r="C206" s="888" t="s">
        <v>72</v>
      </c>
      <c r="D206" s="889" t="s">
        <v>490</v>
      </c>
      <c r="E206" s="182" t="str">
        <f>'Sch 3 - Expenses'!E46</f>
        <v>DIST</v>
      </c>
      <c r="F206" s="889"/>
      <c r="G206" s="182">
        <f>'Sch 3 - Expenses'!G46</f>
        <v>32595713.199999999</v>
      </c>
      <c r="H206" s="182">
        <f>'Sch 3 - Expenses'!H46</f>
        <v>0</v>
      </c>
      <c r="I206" s="182">
        <f>'Sch 3 - Expenses'!I46</f>
        <v>0</v>
      </c>
      <c r="J206" s="183">
        <f>'Sch 3 - Expenses'!J46</f>
        <v>32595713.199999999</v>
      </c>
      <c r="K206" s="903">
        <f>IF($E206="DIRECT",0,1)</f>
        <v>1</v>
      </c>
      <c r="O206" s="1116">
        <f>$G206</f>
        <v>32595713.199999999</v>
      </c>
      <c r="P206" s="1117">
        <f>VLOOKUP($E206,O$442:R$453,2,FALSE)*O206*($K206)+IF($G206&lt;&gt;0,($H206/$G206)*O206,0)*(1-$K206)</f>
        <v>0</v>
      </c>
      <c r="Q206" s="1117">
        <f>VLOOKUP($E206,O$442:R$453,3,FALSE)*O206*($K206)+IF($G206&lt;&gt;0,($I206/$G206)*O206,0)*(1-$K206)</f>
        <v>0</v>
      </c>
      <c r="R206" s="1117">
        <f>VLOOKUP($E206,O$442:R$453,4,FALSE)*O206*($K206)+(O206-P206-Q206)*(1-$K206)</f>
        <v>32595713.199999999</v>
      </c>
      <c r="S206" s="1073"/>
      <c r="W206" s="1116">
        <f>$G206</f>
        <v>32595713.199999999</v>
      </c>
      <c r="X206" s="1117">
        <f>VLOOKUP($E206,W$442:Z$453,2,FALSE)*W206*($K206)+IF($G206&lt;&gt;0,($H206/$G206)*W206,0)*(1-$K206)</f>
        <v>0</v>
      </c>
      <c r="Y206" s="1117">
        <f>VLOOKUP($E206,W$442:Z$453,3,FALSE)*W206*($K206)+IF($G206&lt;&gt;0,($I206/$G206)*W206,0)*(1-$K206)</f>
        <v>0</v>
      </c>
      <c r="Z206" s="1117">
        <f>VLOOKUP($E206,W$442:Z$453,4,FALSE)*W206*($K206)+(W206-X206-Y206)*(1-$K206)</f>
        <v>32595713.199999999</v>
      </c>
      <c r="AA206" s="1073"/>
      <c r="AE206" s="1116">
        <f>$G206</f>
        <v>32595713.199999999</v>
      </c>
      <c r="AF206" s="1117">
        <f>VLOOKUP($E206,AE$442:AH$453,2,FALSE)*AE206*($K206)+IF($G206&lt;&gt;0,($H206/$G206)*AE206,0)*(1-$K206)</f>
        <v>0</v>
      </c>
      <c r="AG206" s="1117">
        <f>VLOOKUP($E206,AE$442:AH$453,3,FALSE)*AE206*($K206)+IF($G206&lt;&gt;0,($I206/$G206)*AE206,0)*(1-$K206)</f>
        <v>0</v>
      </c>
      <c r="AH206" s="1117">
        <f>VLOOKUP($E206,AE$442:AH$453,4,FALSE)*AE206*($K206)+(AE206-AF206-AG206)*(1-$K206)</f>
        <v>32595713.199999999</v>
      </c>
      <c r="AI206" s="1073"/>
      <c r="AM206" s="1116">
        <f>$G206</f>
        <v>32595713.199999999</v>
      </c>
      <c r="AN206" s="1117">
        <f>VLOOKUP($E206,AM$442:AP$453,2,FALSE)*AM206*($K206)+IF($G206&lt;&gt;0,($H206/$G206)*AM206,0)*(1-$K206)</f>
        <v>0</v>
      </c>
      <c r="AO206" s="1117">
        <f>VLOOKUP($E206,AM$442:AP$453,3,FALSE)*AM206*($K206)+IF($G206&lt;&gt;0,($I206/$G206)*AM206,0)*(1-$K206)</f>
        <v>0</v>
      </c>
      <c r="AP206" s="1117">
        <f>VLOOKUP($E206,AM$442:AP$453,4,FALSE)*AM206*($K206)+(AM206-AN206-AO206)*(1-$K206)</f>
        <v>32595713.199999999</v>
      </c>
      <c r="AQ206" s="1073"/>
      <c r="AU206" s="1116">
        <f>$G206</f>
        <v>32595713.199999999</v>
      </c>
      <c r="AV206" s="1117">
        <f>VLOOKUP($E206,AU$442:AX$453,2,FALSE)*AU206*($K206)+IF($G206&lt;&gt;0,($H206/$G206)*AU206,0)*(1-$K206)</f>
        <v>0</v>
      </c>
      <c r="AW206" s="1117">
        <f>VLOOKUP($E206,AU$442:AX$453,3,FALSE)*AU206*($K206)+IF($G206&lt;&gt;0,($I206/$G206)*AU206,0)*(1-$K206)</f>
        <v>0</v>
      </c>
      <c r="AX206" s="1117">
        <f>VLOOKUP($E206,AU$442:AX$453,4,FALSE)*AU206*($K206)+(AU206-AV206-AW206)*(1-$K206)</f>
        <v>32595713.199999999</v>
      </c>
      <c r="AY206" s="1073"/>
      <c r="BC206" s="1116">
        <f>$G206</f>
        <v>32595713.199999999</v>
      </c>
      <c r="BD206" s="1117">
        <f>VLOOKUP($E206,BC$442:BF$453,2,FALSE)*BC206*($K206)+IF($G206&lt;&gt;0,($H206/$G206)*BC206,0)*(1-$K206)</f>
        <v>0</v>
      </c>
      <c r="BE206" s="1117">
        <f>VLOOKUP($E206,BC$442:BF$453,3,FALSE)*BC206*($K206)+IF($G206&lt;&gt;0,($I206/$G206)*BC206,0)*(1-$K206)</f>
        <v>0</v>
      </c>
      <c r="BF206" s="1117">
        <f>VLOOKUP($E206,BC$442:BF$453,4,FALSE)*BC206*($K206)+(BC206-BD206-BE206)*(1-$K206)</f>
        <v>32595713.199999999</v>
      </c>
      <c r="BG206" s="1073"/>
      <c r="BK206" s="1116">
        <f>$G206</f>
        <v>32595713.199999999</v>
      </c>
      <c r="BL206" s="1117">
        <f>VLOOKUP($E206,BK$442:BN$453,2,FALSE)*BK206*($K206)+IF($G206&lt;&gt;0,($H206/$G206)*BK206,0)*(1-$K206)</f>
        <v>0</v>
      </c>
      <c r="BM206" s="1117">
        <f>VLOOKUP($E206,BK$442:BN$453,3,FALSE)*BK206*($K206)+IF($G206&lt;&gt;0,($I206/$G206)*BK206,0)*(1-$K206)</f>
        <v>0</v>
      </c>
      <c r="BN206" s="1117">
        <f>VLOOKUP($E206,BK$442:BN$453,4,FALSE)*BK206*($K206)+(BK206-BL206-BM206)*(1-$K206)</f>
        <v>32595713.199999999</v>
      </c>
      <c r="BO206" s="1073"/>
      <c r="BS206" s="1116">
        <f>$G206</f>
        <v>32595713.199999999</v>
      </c>
      <c r="BT206" s="1117">
        <f>VLOOKUP($E206,BS$442:BV$453,2,FALSE)*BS206*($K206)+IF($G206&lt;&gt;0,($H206/$G206)*BS206,0)*(1-$K206)</f>
        <v>0</v>
      </c>
      <c r="BU206" s="1117">
        <f>VLOOKUP($E206,BS$442:BV$453,3,FALSE)*BS206*($K206)+IF($G206&lt;&gt;0,($I206/$G206)*BS206,0)*(1-$K206)</f>
        <v>0</v>
      </c>
      <c r="BV206" s="1117">
        <f>VLOOKUP($E206,BS$442:BV$453,4,FALSE)*BS206*($K206)+(BS206-BT206-BU206)*(1-$K206)</f>
        <v>32595713.199999999</v>
      </c>
      <c r="BW206" s="1073"/>
      <c r="CA206" s="1116">
        <f>$G206</f>
        <v>32595713.199999999</v>
      </c>
      <c r="CB206" s="1117">
        <f>VLOOKUP($E206,CA$442:CD$453,2,FALSE)*CA206*($K206)+IF($G206&lt;&gt;0,($H206/$G206)*CA206,0)*(1-$K206)</f>
        <v>0</v>
      </c>
      <c r="CC206" s="1117">
        <f>VLOOKUP($E206,CA$442:CD$453,3,FALSE)*CA206*($K206)+IF($G206&lt;&gt;0,($I206/$G206)*CA206,0)*(1-$K206)</f>
        <v>0</v>
      </c>
      <c r="CD206" s="1117">
        <f>VLOOKUP($E206,CA$442:CD$453,4,FALSE)*CA206*($K206)+(CA206-CB206-CC206)*(1-$K206)</f>
        <v>32595713.199999999</v>
      </c>
      <c r="CE206" s="1073"/>
      <c r="CI206" s="1116">
        <f>$G206</f>
        <v>32595713.199999999</v>
      </c>
      <c r="CJ206" s="1117">
        <f>VLOOKUP($E206,CI$442:CL$453,2,FALSE)*CI206*($K206)+IF($G206&lt;&gt;0,($H206/$G206)*CI206,0)*(1-$K206)</f>
        <v>0</v>
      </c>
      <c r="CK206" s="1117">
        <f>VLOOKUP($E206,CI$442:CL$453,3,FALSE)*CI206*($K206)+IF($G206&lt;&gt;0,($I206/$G206)*CI206,0)*(1-$K206)</f>
        <v>0</v>
      </c>
      <c r="CL206" s="1117">
        <f>VLOOKUP($E206,CI$442:CL$453,4,FALSE)*CI206*($K206)+(CI206-CJ206-CK206)*(1-$K206)</f>
        <v>32595713.199999999</v>
      </c>
      <c r="CM206" s="1073"/>
      <c r="CQ206" s="1116">
        <f>$G206</f>
        <v>32595713.199999999</v>
      </c>
      <c r="CR206" s="1117">
        <f>VLOOKUP($E206,CQ$442:CT$453,2,FALSE)*CQ206*($K206)+IF($G206&lt;&gt;0,($H206/$G206)*CQ206,0)*(1-$K206)</f>
        <v>0</v>
      </c>
      <c r="CS206" s="1117">
        <f>VLOOKUP($E206,CQ$442:CT$453,3,FALSE)*CQ206*($K206)+IF($G206&lt;&gt;0,($I206/$G206)*CQ206,0)*(1-$K206)</f>
        <v>0</v>
      </c>
      <c r="CT206" s="1117">
        <f>VLOOKUP($E206,CQ$442:CT$453,4,FALSE)*CQ206*($K206)+(CQ206-CR206-CS206)*(1-$K206)</f>
        <v>32595713.199999999</v>
      </c>
      <c r="CU206" s="1073"/>
      <c r="CY206" s="1116">
        <f>$G206</f>
        <v>32595713.199999999</v>
      </c>
      <c r="CZ206" s="1117">
        <f>VLOOKUP($E206,CY$442:DB$453,2,FALSE)*CY206*($K206)+IF($G206&lt;&gt;0,($H206/$G206)*CY206,0)*(1-$K206)</f>
        <v>0</v>
      </c>
      <c r="DA206" s="1117">
        <f>VLOOKUP($E206,CY$442:DB$453,3,FALSE)*CY206*($K206)+IF($G206&lt;&gt;0,($I206/$G206)*CY206,0)*(1-$K206)</f>
        <v>0</v>
      </c>
      <c r="DB206" s="1117">
        <f>VLOOKUP($E206,CY$442:DB$453,4,FALSE)*CY206*($K206)+(CY206-CZ206-DA206)*(1-$K206)</f>
        <v>32595713.199999999</v>
      </c>
      <c r="DC206" s="1073"/>
      <c r="DG206" s="1116">
        <f>$G206</f>
        <v>32595713.199999999</v>
      </c>
      <c r="DH206" s="1117">
        <f>VLOOKUP($E206,DG$442:DJ$453,2,FALSE)*DG206*($K206)+IF($G206&lt;&gt;0,($H206/$G206)*DG206,0)*(1-$K206)</f>
        <v>0</v>
      </c>
      <c r="DI206" s="1117">
        <f>VLOOKUP($E206,DG$442:DJ$453,3,FALSE)*DG206*($K206)+IF($G206&lt;&gt;0,($I206/$G206)*DG206,0)*(1-$K206)</f>
        <v>0</v>
      </c>
      <c r="DJ206" s="1117">
        <f>VLOOKUP($E206,DG$442:DJ$453,4,FALSE)*DG206*($K206)+(DG206-DH206-DI206)*(1-$K206)</f>
        <v>32595713.199999999</v>
      </c>
      <c r="DK206" s="1073"/>
      <c r="DO206" s="1116">
        <f>$G206</f>
        <v>32595713.199999999</v>
      </c>
      <c r="DP206" s="1117">
        <f>VLOOKUP($E206,DO$442:DR$453,2,FALSE)*DO206*($K206)+IF($G206&lt;&gt;0,($H206/$G206)*DO206,0)*(1-$K206)</f>
        <v>0</v>
      </c>
      <c r="DQ206" s="1117">
        <f>VLOOKUP($E206,DO$442:DR$453,3,FALSE)*DO206*($K206)+IF($G206&lt;&gt;0,($I206/$G206)*DO206,0)*(1-$K206)</f>
        <v>0</v>
      </c>
      <c r="DR206" s="1117">
        <f>VLOOKUP($E206,DO$442:DR$453,4,FALSE)*DO206*($K206)+(DO206-DP206-DQ206)*(1-$K206)</f>
        <v>32595713.199999999</v>
      </c>
      <c r="DS206" s="1073"/>
      <c r="DW206" s="1116">
        <f>$G206</f>
        <v>32595713.199999999</v>
      </c>
      <c r="DX206" s="1117">
        <f>VLOOKUP($E206,DW$442:DZ$453,2,FALSE)*DW206*($K206)+IF($G206&lt;&gt;0,($H206/$G206)*DW206,0)*(1-$K206)</f>
        <v>0</v>
      </c>
      <c r="DY206" s="1117">
        <f>VLOOKUP($E206,DW$442:DZ$453,3,FALSE)*DW206*($K206)+IF($G206&lt;&gt;0,($I206/$G206)*DW206,0)*(1-$K206)</f>
        <v>0</v>
      </c>
      <c r="DZ206" s="1117">
        <f>VLOOKUP($E206,DW$442:DZ$453,4,FALSE)*DW206*($K206)+(DW206-DX206-DY206)*(1-$K206)</f>
        <v>32595713.199999999</v>
      </c>
      <c r="EA206" s="1073"/>
      <c r="EE206" s="1116">
        <f>$G206</f>
        <v>32595713.199999999</v>
      </c>
      <c r="EF206" s="1117">
        <f>VLOOKUP($E206,EE$442:EH$453,2,FALSE)*EE206*($K206)+IF($G206&lt;&gt;0,($H206/$G206)*EE206,0)*(1-$K206)</f>
        <v>0</v>
      </c>
      <c r="EG206" s="1117">
        <f>VLOOKUP($E206,EE$442:EH$453,3,FALSE)*EE206*($K206)+IF($G206&lt;&gt;0,($I206/$G206)*EE206,0)*(1-$K206)</f>
        <v>0</v>
      </c>
      <c r="EH206" s="1117">
        <f>VLOOKUP($E206,EE$442:EH$453,4,FALSE)*EE206*($K206)+(EE206-EF206-EG206)*(1-$K206)</f>
        <v>32595713.199999999</v>
      </c>
      <c r="EI206" s="1073"/>
      <c r="EM206" s="1116">
        <f>$G206</f>
        <v>32595713.199999999</v>
      </c>
      <c r="EN206" s="1117">
        <f>VLOOKUP($E206,EM$442:EP$453,2,FALSE)*EM206*($K206)+IF($G206&lt;&gt;0,($H206/$G206)*EM206,0)*(1-$K206)</f>
        <v>0</v>
      </c>
      <c r="EO206" s="1117">
        <f>VLOOKUP($E206,EM$442:EP$453,3,FALSE)*EM206*($K206)+IF($G206&lt;&gt;0,($I206/$G206)*EM206,0)*(1-$K206)</f>
        <v>0</v>
      </c>
      <c r="EP206" s="1117">
        <f>VLOOKUP($E206,EM$442:EP$453,4,FALSE)*EM206*($K206)+(EM206-EN206-EO206)*(1-$K206)</f>
        <v>32595713.199999999</v>
      </c>
      <c r="EQ206" s="1073"/>
      <c r="EU206" s="1116">
        <f>$G206</f>
        <v>32595713.199999999</v>
      </c>
      <c r="EV206" s="1117">
        <f>VLOOKUP($E206,EU$442:EX$453,2,FALSE)*EU206*($K206)+IF($G206&lt;&gt;0,($H206/$G206)*EU206,0)*(1-$K206)</f>
        <v>0</v>
      </c>
      <c r="EW206" s="1117">
        <f>VLOOKUP($E206,EU$442:EX$453,3,FALSE)*EU206*($K206)+IF($G206&lt;&gt;0,($I206/$G206)*EU206,0)*(1-$K206)</f>
        <v>0</v>
      </c>
      <c r="EX206" s="1117">
        <f>VLOOKUP($E206,EU$442:EX$453,4,FALSE)*EU206*($K206)+(EU206-EV206-EW206)*(1-$K206)</f>
        <v>32595713.199999999</v>
      </c>
      <c r="EY206" s="1073"/>
      <c r="FC206" s="1116">
        <f>$G206</f>
        <v>32595713.199999999</v>
      </c>
      <c r="FD206" s="1117">
        <f>VLOOKUP($E206,FC$442:FF$453,2,FALSE)*FC206*($K206)+IF($G206&lt;&gt;0,($H206/$G206)*FC206,0)*(1-$K206)</f>
        <v>0</v>
      </c>
      <c r="FE206" s="1117">
        <f>VLOOKUP($E206,FC$442:FF$453,3,FALSE)*FC206*($K206)+IF($G206&lt;&gt;0,($I206/$G206)*FC206,0)*(1-$K206)</f>
        <v>0</v>
      </c>
      <c r="FF206" s="1117">
        <f>VLOOKUP($E206,FC$442:FF$453,4,FALSE)*FC206*($K206)+(FC206-FD206-FE206)*(1-$K206)</f>
        <v>32595713.199999999</v>
      </c>
      <c r="FG206" s="1073"/>
      <c r="FK206" s="1116">
        <f>$G206</f>
        <v>32595713.199999999</v>
      </c>
      <c r="FL206" s="1117">
        <f>VLOOKUP($E206,FK$442:FN$453,2,FALSE)*FK206*($K206)+IF($G206&lt;&gt;0,($H206/$G206)*FK206,0)*(1-$K206)</f>
        <v>0</v>
      </c>
      <c r="FM206" s="1117">
        <f>VLOOKUP($E206,FK$442:FN$453,3,FALSE)*FK206*($K206)+IF($G206&lt;&gt;0,($I206/$G206)*FK206,0)*(1-$K206)</f>
        <v>0</v>
      </c>
      <c r="FN206" s="1117">
        <f>VLOOKUP($E206,FK$442:FN$453,4,FALSE)*FK206*($K206)+(FK206-FL206-FM206)*(1-$K206)</f>
        <v>32595713.199999999</v>
      </c>
      <c r="FO206" s="1073"/>
    </row>
    <row r="207" spans="1:171">
      <c r="A207" s="163" t="s">
        <v>491</v>
      </c>
      <c r="B207" s="10"/>
      <c r="C207" s="914"/>
      <c r="D207" s="915"/>
      <c r="E207" s="915"/>
      <c r="F207" s="916"/>
      <c r="G207" s="923">
        <f>SUM(G205:G206)</f>
        <v>56024785.200000003</v>
      </c>
      <c r="H207" s="923">
        <f>SUM(H205:H206)</f>
        <v>0</v>
      </c>
      <c r="I207" s="923">
        <f>SUM(I205:I206)</f>
        <v>0</v>
      </c>
      <c r="J207" s="1393">
        <f>SUM(J205:J206)</f>
        <v>56024785.200000003</v>
      </c>
      <c r="K207" s="903"/>
      <c r="O207" s="1135">
        <f>SUM(O205:O206)</f>
        <v>56024785.200000003</v>
      </c>
      <c r="P207" s="1135">
        <f>SUM(P205:P206)</f>
        <v>0</v>
      </c>
      <c r="Q207" s="1135">
        <f>SUM(Q205:Q206)</f>
        <v>0</v>
      </c>
      <c r="R207" s="1135">
        <f>SUM(R205:R206)</f>
        <v>56024785.200000003</v>
      </c>
      <c r="S207" s="1073"/>
      <c r="W207" s="1135">
        <f>SUM(W205:W206)</f>
        <v>56024785.200000003</v>
      </c>
      <c r="X207" s="1135">
        <f>SUM(X205:X206)</f>
        <v>0</v>
      </c>
      <c r="Y207" s="1135">
        <f>SUM(Y205:Y206)</f>
        <v>0</v>
      </c>
      <c r="Z207" s="1135">
        <f>SUM(Z205:Z206)</f>
        <v>56024785.200000003</v>
      </c>
      <c r="AA207" s="1073"/>
      <c r="AE207" s="1135">
        <f>SUM(AE205:AE206)</f>
        <v>56024785.200000003</v>
      </c>
      <c r="AF207" s="1135">
        <f>SUM(AF205:AF206)</f>
        <v>0</v>
      </c>
      <c r="AG207" s="1135">
        <f>SUM(AG205:AG206)</f>
        <v>0</v>
      </c>
      <c r="AH207" s="1135">
        <f>SUM(AH205:AH206)</f>
        <v>56024785.200000003</v>
      </c>
      <c r="AI207" s="1073"/>
      <c r="AM207" s="1135">
        <f>SUM(AM205:AM206)</f>
        <v>56024785.200000003</v>
      </c>
      <c r="AN207" s="1135">
        <f>SUM(AN205:AN206)</f>
        <v>0</v>
      </c>
      <c r="AO207" s="1135">
        <f>SUM(AO205:AO206)</f>
        <v>0</v>
      </c>
      <c r="AP207" s="1135">
        <f>SUM(AP205:AP206)</f>
        <v>56024785.200000003</v>
      </c>
      <c r="AQ207" s="1073"/>
      <c r="AU207" s="1135">
        <f>SUM(AU205:AU206)</f>
        <v>56024785.200000003</v>
      </c>
      <c r="AV207" s="1135">
        <f>SUM(AV205:AV206)</f>
        <v>0</v>
      </c>
      <c r="AW207" s="1135">
        <f>SUM(AW205:AW206)</f>
        <v>0</v>
      </c>
      <c r="AX207" s="1135">
        <f>SUM(AX205:AX206)</f>
        <v>56024785.200000003</v>
      </c>
      <c r="AY207" s="1073"/>
      <c r="BC207" s="1135">
        <f>SUM(BC205:BC206)</f>
        <v>56024785.200000003</v>
      </c>
      <c r="BD207" s="1135">
        <f>SUM(BD205:BD206)</f>
        <v>0</v>
      </c>
      <c r="BE207" s="1135">
        <f>SUM(BE205:BE206)</f>
        <v>0</v>
      </c>
      <c r="BF207" s="1135">
        <f>SUM(BF205:BF206)</f>
        <v>56024785.200000003</v>
      </c>
      <c r="BG207" s="1073"/>
      <c r="BK207" s="1135">
        <f>SUM(BK205:BK206)</f>
        <v>56024785.200000003</v>
      </c>
      <c r="BL207" s="1135">
        <f>SUM(BL205:BL206)</f>
        <v>0</v>
      </c>
      <c r="BM207" s="1135">
        <f>SUM(BM205:BM206)</f>
        <v>0</v>
      </c>
      <c r="BN207" s="1135">
        <f>SUM(BN205:BN206)</f>
        <v>56024785.200000003</v>
      </c>
      <c r="BO207" s="1073"/>
      <c r="BS207" s="1135">
        <f>SUM(BS205:BS206)</f>
        <v>56024785.200000003</v>
      </c>
      <c r="BT207" s="1135">
        <f>SUM(BT205:BT206)</f>
        <v>0</v>
      </c>
      <c r="BU207" s="1135">
        <f>SUM(BU205:BU206)</f>
        <v>0</v>
      </c>
      <c r="BV207" s="1135">
        <f>SUM(BV205:BV206)</f>
        <v>56024785.200000003</v>
      </c>
      <c r="BW207" s="1073"/>
      <c r="CA207" s="1135">
        <f>SUM(CA205:CA206)</f>
        <v>56024785.200000003</v>
      </c>
      <c r="CB207" s="1135">
        <f>SUM(CB205:CB206)</f>
        <v>0</v>
      </c>
      <c r="CC207" s="1135">
        <f>SUM(CC205:CC206)</f>
        <v>0</v>
      </c>
      <c r="CD207" s="1135">
        <f>SUM(CD205:CD206)</f>
        <v>56024785.200000003</v>
      </c>
      <c r="CE207" s="1073"/>
      <c r="CI207" s="1135">
        <f>SUM(CI205:CI206)</f>
        <v>56024785.200000003</v>
      </c>
      <c r="CJ207" s="1135">
        <f>SUM(CJ205:CJ206)</f>
        <v>0</v>
      </c>
      <c r="CK207" s="1135">
        <f>SUM(CK205:CK206)</f>
        <v>0</v>
      </c>
      <c r="CL207" s="1135">
        <f>SUM(CL205:CL206)</f>
        <v>56024785.200000003</v>
      </c>
      <c r="CM207" s="1073"/>
      <c r="CQ207" s="1135">
        <f>SUM(CQ205:CQ206)</f>
        <v>56024785.200000003</v>
      </c>
      <c r="CR207" s="1135">
        <f>SUM(CR205:CR206)</f>
        <v>0</v>
      </c>
      <c r="CS207" s="1135">
        <f>SUM(CS205:CS206)</f>
        <v>0</v>
      </c>
      <c r="CT207" s="1135">
        <f>SUM(CT205:CT206)</f>
        <v>56024785.200000003</v>
      </c>
      <c r="CU207" s="1073"/>
      <c r="CY207" s="1135">
        <f>SUM(CY205:CY206)</f>
        <v>56024785.200000003</v>
      </c>
      <c r="CZ207" s="1135">
        <f>SUM(CZ205:CZ206)</f>
        <v>0</v>
      </c>
      <c r="DA207" s="1135">
        <f>SUM(DA205:DA206)</f>
        <v>0</v>
      </c>
      <c r="DB207" s="1135">
        <f>SUM(DB205:DB206)</f>
        <v>56024785.200000003</v>
      </c>
      <c r="DC207" s="1073"/>
      <c r="DG207" s="1135">
        <f>SUM(DG205:DG206)</f>
        <v>56024785.200000003</v>
      </c>
      <c r="DH207" s="1135">
        <f>SUM(DH205:DH206)</f>
        <v>0</v>
      </c>
      <c r="DI207" s="1135">
        <f>SUM(DI205:DI206)</f>
        <v>0</v>
      </c>
      <c r="DJ207" s="1135">
        <f>SUM(DJ205:DJ206)</f>
        <v>56024785.200000003</v>
      </c>
      <c r="DK207" s="1073"/>
      <c r="DO207" s="1135">
        <f>SUM(DO205:DO206)</f>
        <v>56024785.200000003</v>
      </c>
      <c r="DP207" s="1135">
        <f>SUM(DP205:DP206)</f>
        <v>0</v>
      </c>
      <c r="DQ207" s="1135">
        <f>SUM(DQ205:DQ206)</f>
        <v>0</v>
      </c>
      <c r="DR207" s="1135">
        <f>SUM(DR205:DR206)</f>
        <v>56024785.200000003</v>
      </c>
      <c r="DS207" s="1073"/>
      <c r="DW207" s="1135">
        <f>SUM(DW205:DW206)</f>
        <v>56024785.200000003</v>
      </c>
      <c r="DX207" s="1135">
        <f>SUM(DX205:DX206)</f>
        <v>0</v>
      </c>
      <c r="DY207" s="1135">
        <f>SUM(DY205:DY206)</f>
        <v>0</v>
      </c>
      <c r="DZ207" s="1135">
        <f>SUM(DZ205:DZ206)</f>
        <v>56024785.200000003</v>
      </c>
      <c r="EA207" s="1073"/>
      <c r="EE207" s="1135">
        <f>SUM(EE205:EE206)</f>
        <v>56024785.200000003</v>
      </c>
      <c r="EF207" s="1135">
        <f>SUM(EF205:EF206)</f>
        <v>0</v>
      </c>
      <c r="EG207" s="1135">
        <f>SUM(EG205:EG206)</f>
        <v>0</v>
      </c>
      <c r="EH207" s="1135">
        <f>SUM(EH205:EH206)</f>
        <v>56024785.200000003</v>
      </c>
      <c r="EI207" s="1073"/>
      <c r="EM207" s="1135">
        <f>SUM(EM205:EM206)</f>
        <v>56024785.200000003</v>
      </c>
      <c r="EN207" s="1135">
        <f>SUM(EN205:EN206)</f>
        <v>0</v>
      </c>
      <c r="EO207" s="1135">
        <f>SUM(EO205:EO206)</f>
        <v>0</v>
      </c>
      <c r="EP207" s="1135">
        <f>SUM(EP205:EP206)</f>
        <v>56024785.200000003</v>
      </c>
      <c r="EQ207" s="1073"/>
      <c r="EU207" s="1135">
        <f>SUM(EU205:EU206)</f>
        <v>56024785.200000003</v>
      </c>
      <c r="EV207" s="1135">
        <f>SUM(EV205:EV206)</f>
        <v>0</v>
      </c>
      <c r="EW207" s="1135">
        <f>SUM(EW205:EW206)</f>
        <v>0</v>
      </c>
      <c r="EX207" s="1135">
        <f>SUM(EX205:EX206)</f>
        <v>56024785.200000003</v>
      </c>
      <c r="EY207" s="1073"/>
      <c r="FC207" s="1135">
        <f>SUM(FC205:FC206)</f>
        <v>56024785.200000003</v>
      </c>
      <c r="FD207" s="1135">
        <f>SUM(FD205:FD206)</f>
        <v>0</v>
      </c>
      <c r="FE207" s="1135">
        <f>SUM(FE205:FE206)</f>
        <v>0</v>
      </c>
      <c r="FF207" s="1135">
        <f>SUM(FF205:FF206)</f>
        <v>56024785.200000003</v>
      </c>
      <c r="FG207" s="1073"/>
      <c r="FK207" s="1135">
        <f>SUM(FK205:FK206)</f>
        <v>56024785.200000003</v>
      </c>
      <c r="FL207" s="1135">
        <f>SUM(FL205:FL206)</f>
        <v>0</v>
      </c>
      <c r="FM207" s="1135">
        <f>SUM(FM205:FM206)</f>
        <v>0</v>
      </c>
      <c r="FN207" s="1135">
        <f>SUM(FN205:FN206)</f>
        <v>56024785.200000003</v>
      </c>
      <c r="FO207" s="1073"/>
    </row>
    <row r="208" spans="1:171">
      <c r="A208" s="228"/>
      <c r="B208" s="10"/>
      <c r="C208" s="55"/>
      <c r="D208" s="55"/>
      <c r="E208" s="55"/>
      <c r="F208" s="55"/>
      <c r="G208" s="998"/>
      <c r="H208" s="56"/>
      <c r="I208" s="56"/>
      <c r="J208" s="999"/>
      <c r="K208" s="903"/>
      <c r="O208" s="1079"/>
      <c r="S208" s="1073"/>
      <c r="W208" s="1079"/>
      <c r="AA208" s="1073"/>
      <c r="AE208" s="1079"/>
      <c r="AI208" s="1073"/>
      <c r="AM208" s="1079"/>
      <c r="AQ208" s="1073"/>
      <c r="AU208" s="1079"/>
      <c r="AY208" s="1073"/>
      <c r="BC208" s="1079"/>
      <c r="BG208" s="1073"/>
      <c r="BK208" s="1079"/>
      <c r="BO208" s="1073"/>
      <c r="BS208" s="1079"/>
      <c r="BW208" s="1073"/>
      <c r="CA208" s="1079"/>
      <c r="CE208" s="1073"/>
      <c r="CI208" s="1079"/>
      <c r="CM208" s="1073"/>
      <c r="CQ208" s="1079"/>
      <c r="CU208" s="1073"/>
      <c r="CY208" s="1079"/>
      <c r="DC208" s="1073"/>
      <c r="DG208" s="1079"/>
      <c r="DK208" s="1073"/>
      <c r="DO208" s="1079"/>
      <c r="DS208" s="1073"/>
      <c r="DW208" s="1079"/>
      <c r="EA208" s="1073"/>
      <c r="EE208" s="1079"/>
      <c r="EI208" s="1073"/>
      <c r="EM208" s="1079"/>
      <c r="EQ208" s="1073"/>
      <c r="EU208" s="1079"/>
      <c r="EY208" s="1073"/>
      <c r="FC208" s="1079"/>
      <c r="FG208" s="1073"/>
      <c r="FK208" s="1079"/>
      <c r="FO208" s="1073"/>
    </row>
    <row r="209" spans="1:171">
      <c r="A209" s="160" t="s">
        <v>492</v>
      </c>
      <c r="B209" s="10"/>
      <c r="C209" s="55"/>
      <c r="D209" s="55"/>
      <c r="E209" s="55"/>
      <c r="F209" s="55"/>
      <c r="G209" s="998"/>
      <c r="H209" s="56"/>
      <c r="I209" s="56"/>
      <c r="J209" s="999"/>
      <c r="K209" s="903"/>
      <c r="O209" s="1079"/>
      <c r="S209" s="1073"/>
      <c r="W209" s="1079"/>
      <c r="AA209" s="1073"/>
      <c r="AE209" s="1079"/>
      <c r="AI209" s="1073"/>
      <c r="AM209" s="1079"/>
      <c r="AQ209" s="1073"/>
      <c r="AU209" s="1079"/>
      <c r="AY209" s="1073"/>
      <c r="BC209" s="1079"/>
      <c r="BG209" s="1073"/>
      <c r="BK209" s="1079"/>
      <c r="BO209" s="1073"/>
      <c r="BS209" s="1079"/>
      <c r="BW209" s="1073"/>
      <c r="CA209" s="1079"/>
      <c r="CE209" s="1073"/>
      <c r="CI209" s="1079"/>
      <c r="CM209" s="1073"/>
      <c r="CQ209" s="1079"/>
      <c r="CU209" s="1073"/>
      <c r="CY209" s="1079"/>
      <c r="DC209" s="1073"/>
      <c r="DG209" s="1079"/>
      <c r="DK209" s="1073"/>
      <c r="DO209" s="1079"/>
      <c r="DS209" s="1073"/>
      <c r="DW209" s="1079"/>
      <c r="EA209" s="1073"/>
      <c r="EE209" s="1079"/>
      <c r="EI209" s="1073"/>
      <c r="EM209" s="1079"/>
      <c r="EQ209" s="1073"/>
      <c r="EU209" s="1079"/>
      <c r="EY209" s="1073"/>
      <c r="FC209" s="1079"/>
      <c r="FG209" s="1073"/>
      <c r="FK209" s="1079"/>
      <c r="FO209" s="1073"/>
    </row>
    <row r="210" spans="1:171">
      <c r="A210" s="912"/>
      <c r="B210" s="913" t="s">
        <v>468</v>
      </c>
      <c r="C210" s="888" t="s">
        <v>72</v>
      </c>
      <c r="D210" s="888" t="s">
        <v>493</v>
      </c>
      <c r="E210" s="182" t="str">
        <f>'Sch 3 - Expenses'!E50</f>
        <v>DIST</v>
      </c>
      <c r="F210" s="889"/>
      <c r="G210" s="182">
        <f>'Sch 3 - Expenses'!G50</f>
        <v>10411205</v>
      </c>
      <c r="H210" s="182">
        <f>'Sch 3 - Expenses'!H50</f>
        <v>0</v>
      </c>
      <c r="I210" s="182">
        <f>'Sch 3 - Expenses'!I50</f>
        <v>0</v>
      </c>
      <c r="J210" s="183">
        <f>'Sch 3 - Expenses'!J50</f>
        <v>10411205</v>
      </c>
      <c r="K210" s="903">
        <f>IF($E210="DIRECT",0,1)</f>
        <v>1</v>
      </c>
      <c r="O210" s="1116">
        <f>$G210</f>
        <v>10411205</v>
      </c>
      <c r="P210" s="1117">
        <f>VLOOKUP($E210,O$442:R$453,2,FALSE)*O210*($K210)+IF($G210&lt;&gt;0,($H210/$G210)*O210,0)*(1-$K210)</f>
        <v>0</v>
      </c>
      <c r="Q210" s="1117">
        <f>VLOOKUP($E210,O$442:R$453,3,FALSE)*O210*($K210)+IF($G210&lt;&gt;0,($I210/$G210)*O210,0)*(1-$K210)</f>
        <v>0</v>
      </c>
      <c r="R210" s="1117">
        <f>VLOOKUP($E210,O$442:R$453,4,FALSE)*O210*($K210)+(O210-P210-Q210)*(1-$K210)</f>
        <v>10411205</v>
      </c>
      <c r="S210" s="1073"/>
      <c r="W210" s="1116">
        <f>$G210</f>
        <v>10411205</v>
      </c>
      <c r="X210" s="1117">
        <f>VLOOKUP($E210,W$442:Z$453,2,FALSE)*W210*($K210)+IF($G210&lt;&gt;0,($H210/$G210)*W210,0)*(1-$K210)</f>
        <v>0</v>
      </c>
      <c r="Y210" s="1117">
        <f>VLOOKUP($E210,W$442:Z$453,3,FALSE)*W210*($K210)+IF($G210&lt;&gt;0,($I210/$G210)*W210,0)*(1-$K210)</f>
        <v>0</v>
      </c>
      <c r="Z210" s="1117">
        <f>VLOOKUP($E210,W$442:Z$453,4,FALSE)*W210*($K210)+(W210-X210-Y210)*(1-$K210)</f>
        <v>10411205</v>
      </c>
      <c r="AA210" s="1073"/>
      <c r="AE210" s="1116">
        <f>$G210</f>
        <v>10411205</v>
      </c>
      <c r="AF210" s="1117">
        <f>VLOOKUP($E210,AE$442:AH$453,2,FALSE)*AE210*($K210)+IF($G210&lt;&gt;0,($H210/$G210)*AE210,0)*(1-$K210)</f>
        <v>0</v>
      </c>
      <c r="AG210" s="1117">
        <f>VLOOKUP($E210,AE$442:AH$453,3,FALSE)*AE210*($K210)+IF($G210&lt;&gt;0,($I210/$G210)*AE210,0)*(1-$K210)</f>
        <v>0</v>
      </c>
      <c r="AH210" s="1117">
        <f>VLOOKUP($E210,AE$442:AH$453,4,FALSE)*AE210*($K210)+(AE210-AF210-AG210)*(1-$K210)</f>
        <v>10411205</v>
      </c>
      <c r="AI210" s="1073"/>
      <c r="AM210" s="1116">
        <f>$G210</f>
        <v>10411205</v>
      </c>
      <c r="AN210" s="1117">
        <f>VLOOKUP($E210,AM$442:AP$453,2,FALSE)*AM210*($K210)+IF($G210&lt;&gt;0,($H210/$G210)*AM210,0)*(1-$K210)</f>
        <v>0</v>
      </c>
      <c r="AO210" s="1117">
        <f>VLOOKUP($E210,AM$442:AP$453,3,FALSE)*AM210*($K210)+IF($G210&lt;&gt;0,($I210/$G210)*AM210,0)*(1-$K210)</f>
        <v>0</v>
      </c>
      <c r="AP210" s="1117">
        <f>VLOOKUP($E210,AM$442:AP$453,4,FALSE)*AM210*($K210)+(AM210-AN210-AO210)*(1-$K210)</f>
        <v>10411205</v>
      </c>
      <c r="AQ210" s="1073"/>
      <c r="AU210" s="1116">
        <f>$G210</f>
        <v>10411205</v>
      </c>
      <c r="AV210" s="1117">
        <f>VLOOKUP($E210,AU$442:AX$453,2,FALSE)*AU210*($K210)+IF($G210&lt;&gt;0,($H210/$G210)*AU210,0)*(1-$K210)</f>
        <v>0</v>
      </c>
      <c r="AW210" s="1117">
        <f>VLOOKUP($E210,AU$442:AX$453,3,FALSE)*AU210*($K210)+IF($G210&lt;&gt;0,($I210/$G210)*AU210,0)*(1-$K210)</f>
        <v>0</v>
      </c>
      <c r="AX210" s="1117">
        <f>VLOOKUP($E210,AU$442:AX$453,4,FALSE)*AU210*($K210)+(AU210-AV210-AW210)*(1-$K210)</f>
        <v>10411205</v>
      </c>
      <c r="AY210" s="1073"/>
      <c r="BC210" s="1116">
        <f>$G210</f>
        <v>10411205</v>
      </c>
      <c r="BD210" s="1117">
        <f>VLOOKUP($E210,BC$442:BF$453,2,FALSE)*BC210*($K210)+IF($G210&lt;&gt;0,($H210/$G210)*BC210,0)*(1-$K210)</f>
        <v>0</v>
      </c>
      <c r="BE210" s="1117">
        <f>VLOOKUP($E210,BC$442:BF$453,3,FALSE)*BC210*($K210)+IF($G210&lt;&gt;0,($I210/$G210)*BC210,0)*(1-$K210)</f>
        <v>0</v>
      </c>
      <c r="BF210" s="1117">
        <f>VLOOKUP($E210,BC$442:BF$453,4,FALSE)*BC210*($K210)+(BC210-BD210-BE210)*(1-$K210)</f>
        <v>10411205</v>
      </c>
      <c r="BG210" s="1073"/>
      <c r="BK210" s="1116">
        <f>$G210</f>
        <v>10411205</v>
      </c>
      <c r="BL210" s="1117">
        <f>VLOOKUP($E210,BK$442:BN$453,2,FALSE)*BK210*($K210)+IF($G210&lt;&gt;0,($H210/$G210)*BK210,0)*(1-$K210)</f>
        <v>0</v>
      </c>
      <c r="BM210" s="1117">
        <f>VLOOKUP($E210,BK$442:BN$453,3,FALSE)*BK210*($K210)+IF($G210&lt;&gt;0,($I210/$G210)*BK210,0)*(1-$K210)</f>
        <v>0</v>
      </c>
      <c r="BN210" s="1117">
        <f>VLOOKUP($E210,BK$442:BN$453,4,FALSE)*BK210*($K210)+(BK210-BL210-BM210)*(1-$K210)</f>
        <v>10411205</v>
      </c>
      <c r="BO210" s="1073"/>
      <c r="BS210" s="1116">
        <f>$G210</f>
        <v>10411205</v>
      </c>
      <c r="BT210" s="1117">
        <f>VLOOKUP($E210,BS$442:BV$453,2,FALSE)*BS210*($K210)+IF($G210&lt;&gt;0,($H210/$G210)*BS210,0)*(1-$K210)</f>
        <v>0</v>
      </c>
      <c r="BU210" s="1117">
        <f>VLOOKUP($E210,BS$442:BV$453,3,FALSE)*BS210*($K210)+IF($G210&lt;&gt;0,($I210/$G210)*BS210,0)*(1-$K210)</f>
        <v>0</v>
      </c>
      <c r="BV210" s="1117">
        <f>VLOOKUP($E210,BS$442:BV$453,4,FALSE)*BS210*($K210)+(BS210-BT210-BU210)*(1-$K210)</f>
        <v>10411205</v>
      </c>
      <c r="BW210" s="1073"/>
      <c r="CA210" s="1116">
        <f>$G210</f>
        <v>10411205</v>
      </c>
      <c r="CB210" s="1117">
        <f>VLOOKUP($E210,CA$442:CD$453,2,FALSE)*CA210*($K210)+IF($G210&lt;&gt;0,($H210/$G210)*CA210,0)*(1-$K210)</f>
        <v>0</v>
      </c>
      <c r="CC210" s="1117">
        <f>VLOOKUP($E210,CA$442:CD$453,3,FALSE)*CA210*($K210)+IF($G210&lt;&gt;0,($I210/$G210)*CA210,0)*(1-$K210)</f>
        <v>0</v>
      </c>
      <c r="CD210" s="1117">
        <f>VLOOKUP($E210,CA$442:CD$453,4,FALSE)*CA210*($K210)+(CA210-CB210-CC210)*(1-$K210)</f>
        <v>10411205</v>
      </c>
      <c r="CE210" s="1073"/>
      <c r="CI210" s="1116">
        <f>$G210</f>
        <v>10411205</v>
      </c>
      <c r="CJ210" s="1117">
        <f>VLOOKUP($E210,CI$442:CL$453,2,FALSE)*CI210*($K210)+IF($G210&lt;&gt;0,($H210/$G210)*CI210,0)*(1-$K210)</f>
        <v>0</v>
      </c>
      <c r="CK210" s="1117">
        <f>VLOOKUP($E210,CI$442:CL$453,3,FALSE)*CI210*($K210)+IF($G210&lt;&gt;0,($I210/$G210)*CI210,0)*(1-$K210)</f>
        <v>0</v>
      </c>
      <c r="CL210" s="1117">
        <f>VLOOKUP($E210,CI$442:CL$453,4,FALSE)*CI210*($K210)+(CI210-CJ210-CK210)*(1-$K210)</f>
        <v>10411205</v>
      </c>
      <c r="CM210" s="1073"/>
      <c r="CQ210" s="1116">
        <f>$G210</f>
        <v>10411205</v>
      </c>
      <c r="CR210" s="1117">
        <f>VLOOKUP($E210,CQ$442:CT$453,2,FALSE)*CQ210*($K210)+IF($G210&lt;&gt;0,($H210/$G210)*CQ210,0)*(1-$K210)</f>
        <v>0</v>
      </c>
      <c r="CS210" s="1117">
        <f>VLOOKUP($E210,CQ$442:CT$453,3,FALSE)*CQ210*($K210)+IF($G210&lt;&gt;0,($I210/$G210)*CQ210,0)*(1-$K210)</f>
        <v>0</v>
      </c>
      <c r="CT210" s="1117">
        <f>VLOOKUP($E210,CQ$442:CT$453,4,FALSE)*CQ210*($K210)+(CQ210-CR210-CS210)*(1-$K210)</f>
        <v>10411205</v>
      </c>
      <c r="CU210" s="1073"/>
      <c r="CY210" s="1116">
        <f>$G210</f>
        <v>10411205</v>
      </c>
      <c r="CZ210" s="1117">
        <f>VLOOKUP($E210,CY$442:DB$453,2,FALSE)*CY210*($K210)+IF($G210&lt;&gt;0,($H210/$G210)*CY210,0)*(1-$K210)</f>
        <v>0</v>
      </c>
      <c r="DA210" s="1117">
        <f>VLOOKUP($E210,CY$442:DB$453,3,FALSE)*CY210*($K210)+IF($G210&lt;&gt;0,($I210/$G210)*CY210,0)*(1-$K210)</f>
        <v>0</v>
      </c>
      <c r="DB210" s="1117">
        <f>VLOOKUP($E210,CY$442:DB$453,4,FALSE)*CY210*($K210)+(CY210-CZ210-DA210)*(1-$K210)</f>
        <v>10411205</v>
      </c>
      <c r="DC210" s="1073"/>
      <c r="DG210" s="1116">
        <f>$G210</f>
        <v>10411205</v>
      </c>
      <c r="DH210" s="1117">
        <f>VLOOKUP($E210,DG$442:DJ$453,2,FALSE)*DG210*($K210)+IF($G210&lt;&gt;0,($H210/$G210)*DG210,0)*(1-$K210)</f>
        <v>0</v>
      </c>
      <c r="DI210" s="1117">
        <f>VLOOKUP($E210,DG$442:DJ$453,3,FALSE)*DG210*($K210)+IF($G210&lt;&gt;0,($I210/$G210)*DG210,0)*(1-$K210)</f>
        <v>0</v>
      </c>
      <c r="DJ210" s="1117">
        <f>VLOOKUP($E210,DG$442:DJ$453,4,FALSE)*DG210*($K210)+(DG210-DH210-DI210)*(1-$K210)</f>
        <v>10411205</v>
      </c>
      <c r="DK210" s="1073"/>
      <c r="DO210" s="1116">
        <f>$G210</f>
        <v>10411205</v>
      </c>
      <c r="DP210" s="1117">
        <f>VLOOKUP($E210,DO$442:DR$453,2,FALSE)*DO210*($K210)+IF($G210&lt;&gt;0,($H210/$G210)*DO210,0)*(1-$K210)</f>
        <v>0</v>
      </c>
      <c r="DQ210" s="1117">
        <f>VLOOKUP($E210,DO$442:DR$453,3,FALSE)*DO210*($K210)+IF($G210&lt;&gt;0,($I210/$G210)*DO210,0)*(1-$K210)</f>
        <v>0</v>
      </c>
      <c r="DR210" s="1117">
        <f>VLOOKUP($E210,DO$442:DR$453,4,FALSE)*DO210*($K210)+(DO210-DP210-DQ210)*(1-$K210)</f>
        <v>10411205</v>
      </c>
      <c r="DS210" s="1073"/>
      <c r="DW210" s="1116">
        <f>$G210</f>
        <v>10411205</v>
      </c>
      <c r="DX210" s="1117">
        <f>VLOOKUP($E210,DW$442:DZ$453,2,FALSE)*DW210*($K210)+IF($G210&lt;&gt;0,($H210/$G210)*DW210,0)*(1-$K210)</f>
        <v>0</v>
      </c>
      <c r="DY210" s="1117">
        <f>VLOOKUP($E210,DW$442:DZ$453,3,FALSE)*DW210*($K210)+IF($G210&lt;&gt;0,($I210/$G210)*DW210,0)*(1-$K210)</f>
        <v>0</v>
      </c>
      <c r="DZ210" s="1117">
        <f>VLOOKUP($E210,DW$442:DZ$453,4,FALSE)*DW210*($K210)+(DW210-DX210-DY210)*(1-$K210)</f>
        <v>10411205</v>
      </c>
      <c r="EA210" s="1073"/>
      <c r="EE210" s="1116">
        <f>$G210</f>
        <v>10411205</v>
      </c>
      <c r="EF210" s="1117">
        <f>VLOOKUP($E210,EE$442:EH$453,2,FALSE)*EE210*($K210)+IF($G210&lt;&gt;0,($H210/$G210)*EE210,0)*(1-$K210)</f>
        <v>0</v>
      </c>
      <c r="EG210" s="1117">
        <f>VLOOKUP($E210,EE$442:EH$453,3,FALSE)*EE210*($K210)+IF($G210&lt;&gt;0,($I210/$G210)*EE210,0)*(1-$K210)</f>
        <v>0</v>
      </c>
      <c r="EH210" s="1117">
        <f>VLOOKUP($E210,EE$442:EH$453,4,FALSE)*EE210*($K210)+(EE210-EF210-EG210)*(1-$K210)</f>
        <v>10411205</v>
      </c>
      <c r="EI210" s="1073"/>
      <c r="EM210" s="1116">
        <f>$G210</f>
        <v>10411205</v>
      </c>
      <c r="EN210" s="1117">
        <f>VLOOKUP($E210,EM$442:EP$453,2,FALSE)*EM210*($K210)+IF($G210&lt;&gt;0,($H210/$G210)*EM210,0)*(1-$K210)</f>
        <v>0</v>
      </c>
      <c r="EO210" s="1117">
        <f>VLOOKUP($E210,EM$442:EP$453,3,FALSE)*EM210*($K210)+IF($G210&lt;&gt;0,($I210/$G210)*EM210,0)*(1-$K210)</f>
        <v>0</v>
      </c>
      <c r="EP210" s="1117">
        <f>VLOOKUP($E210,EM$442:EP$453,4,FALSE)*EM210*($K210)+(EM210-EN210-EO210)*(1-$K210)</f>
        <v>10411205</v>
      </c>
      <c r="EQ210" s="1073"/>
      <c r="EU210" s="1116">
        <f>$G210</f>
        <v>10411205</v>
      </c>
      <c r="EV210" s="1117">
        <f>VLOOKUP($E210,EU$442:EX$453,2,FALSE)*EU210*($K210)+IF($G210&lt;&gt;0,($H210/$G210)*EU210,0)*(1-$K210)</f>
        <v>0</v>
      </c>
      <c r="EW210" s="1117">
        <f>VLOOKUP($E210,EU$442:EX$453,3,FALSE)*EU210*($K210)+IF($G210&lt;&gt;0,($I210/$G210)*EU210,0)*(1-$K210)</f>
        <v>0</v>
      </c>
      <c r="EX210" s="1117">
        <f>VLOOKUP($E210,EU$442:EX$453,4,FALSE)*EU210*($K210)+(EU210-EV210-EW210)*(1-$K210)</f>
        <v>10411205</v>
      </c>
      <c r="EY210" s="1073"/>
      <c r="FC210" s="1116">
        <f>$G210</f>
        <v>10411205</v>
      </c>
      <c r="FD210" s="1117">
        <f>VLOOKUP($E210,FC$442:FF$453,2,FALSE)*FC210*($K210)+IF($G210&lt;&gt;0,($H210/$G210)*FC210,0)*(1-$K210)</f>
        <v>0</v>
      </c>
      <c r="FE210" s="1117">
        <f>VLOOKUP($E210,FC$442:FF$453,3,FALSE)*FC210*($K210)+IF($G210&lt;&gt;0,($I210/$G210)*FC210,0)*(1-$K210)</f>
        <v>0</v>
      </c>
      <c r="FF210" s="1117">
        <f>VLOOKUP($E210,FC$442:FF$453,4,FALSE)*FC210*($K210)+(FC210-FD210-FE210)*(1-$K210)</f>
        <v>10411205</v>
      </c>
      <c r="FG210" s="1073"/>
      <c r="FK210" s="1116">
        <f>$G210</f>
        <v>10411205</v>
      </c>
      <c r="FL210" s="1117">
        <f>VLOOKUP($E210,FK$442:FN$453,2,FALSE)*FK210*($K210)+IF($G210&lt;&gt;0,($H210/$G210)*FK210,0)*(1-$K210)</f>
        <v>0</v>
      </c>
      <c r="FM210" s="1117">
        <f>VLOOKUP($E210,FK$442:FN$453,3,FALSE)*FK210*($K210)+IF($G210&lt;&gt;0,($I210/$G210)*FK210,0)*(1-$K210)</f>
        <v>0</v>
      </c>
      <c r="FN210" s="1117">
        <f>VLOOKUP($E210,FK$442:FN$453,4,FALSE)*FK210*($K210)+(FK210-FL210-FM210)*(1-$K210)</f>
        <v>10411205</v>
      </c>
      <c r="FO210" s="1073"/>
    </row>
    <row r="211" spans="1:171">
      <c r="A211" s="912"/>
      <c r="B211" s="913" t="s">
        <v>172</v>
      </c>
      <c r="C211" s="888" t="s">
        <v>72</v>
      </c>
      <c r="D211" s="888" t="s">
        <v>398</v>
      </c>
      <c r="E211" s="182" t="str">
        <f>'Sch 3 - Expenses'!E51</f>
        <v>DIST</v>
      </c>
      <c r="F211" s="889"/>
      <c r="G211" s="182">
        <f>'Sch 3 - Expenses'!G51</f>
        <v>0</v>
      </c>
      <c r="H211" s="182">
        <f>'Sch 3 - Expenses'!H51</f>
        <v>0</v>
      </c>
      <c r="I211" s="182">
        <f>'Sch 3 - Expenses'!I51</f>
        <v>0</v>
      </c>
      <c r="J211" s="183">
        <f>'Sch 3 - Expenses'!J51</f>
        <v>0</v>
      </c>
      <c r="K211" s="903">
        <f>IF($E211="DIRECT",0,1)</f>
        <v>1</v>
      </c>
      <c r="O211" s="1116">
        <f>$G211</f>
        <v>0</v>
      </c>
      <c r="P211" s="1117">
        <f>VLOOKUP($E211,O$442:R$453,2,FALSE)*O211*($K211)+IF($G211&lt;&gt;0,($H211/$G211)*O211,0)*(1-$K211)</f>
        <v>0</v>
      </c>
      <c r="Q211" s="1117">
        <f>VLOOKUP($E211,O$442:R$453,3,FALSE)*O211*($K211)+IF($G211&lt;&gt;0,($I211/$G211)*O211,0)*(1-$K211)</f>
        <v>0</v>
      </c>
      <c r="R211" s="1117">
        <f>VLOOKUP($E211,O$442:R$453,4,FALSE)*O211*($K211)+(O211-P211-Q211)*(1-$K211)</f>
        <v>0</v>
      </c>
      <c r="S211" s="1073"/>
      <c r="W211" s="1116">
        <f>$G211</f>
        <v>0</v>
      </c>
      <c r="X211" s="1117">
        <f>VLOOKUP($E211,W$442:Z$453,2,FALSE)*W211*($K211)+IF($G211&lt;&gt;0,($H211/$G211)*W211,0)*(1-$K211)</f>
        <v>0</v>
      </c>
      <c r="Y211" s="1117">
        <f>VLOOKUP($E211,W$442:Z$453,3,FALSE)*W211*($K211)+IF($G211&lt;&gt;0,($I211/$G211)*W211,0)*(1-$K211)</f>
        <v>0</v>
      </c>
      <c r="Z211" s="1117">
        <f>VLOOKUP($E211,W$442:Z$453,4,FALSE)*W211*($K211)+(W211-X211-Y211)*(1-$K211)</f>
        <v>0</v>
      </c>
      <c r="AA211" s="1073"/>
      <c r="AE211" s="1116">
        <f>$G211</f>
        <v>0</v>
      </c>
      <c r="AF211" s="1117">
        <f>VLOOKUP($E211,AE$442:AH$453,2,FALSE)*AE211*($K211)+IF($G211&lt;&gt;0,($H211/$G211)*AE211,0)*(1-$K211)</f>
        <v>0</v>
      </c>
      <c r="AG211" s="1117">
        <f>VLOOKUP($E211,AE$442:AH$453,3,FALSE)*AE211*($K211)+IF($G211&lt;&gt;0,($I211/$G211)*AE211,0)*(1-$K211)</f>
        <v>0</v>
      </c>
      <c r="AH211" s="1117">
        <f>VLOOKUP($E211,AE$442:AH$453,4,FALSE)*AE211*($K211)+(AE211-AF211-AG211)*(1-$K211)</f>
        <v>0</v>
      </c>
      <c r="AI211" s="1073"/>
      <c r="AM211" s="1116">
        <f>$G211</f>
        <v>0</v>
      </c>
      <c r="AN211" s="1117">
        <f>VLOOKUP($E211,AM$442:AP$453,2,FALSE)*AM211*($K211)+IF($G211&lt;&gt;0,($H211/$G211)*AM211,0)*(1-$K211)</f>
        <v>0</v>
      </c>
      <c r="AO211" s="1117">
        <f>VLOOKUP($E211,AM$442:AP$453,3,FALSE)*AM211*($K211)+IF($G211&lt;&gt;0,($I211/$G211)*AM211,0)*(1-$K211)</f>
        <v>0</v>
      </c>
      <c r="AP211" s="1117">
        <f>VLOOKUP($E211,AM$442:AP$453,4,FALSE)*AM211*($K211)+(AM211-AN211-AO211)*(1-$K211)</f>
        <v>0</v>
      </c>
      <c r="AQ211" s="1073"/>
      <c r="AU211" s="1116">
        <f>$G211</f>
        <v>0</v>
      </c>
      <c r="AV211" s="1117">
        <f>VLOOKUP($E211,AU$442:AX$453,2,FALSE)*AU211*($K211)+IF($G211&lt;&gt;0,($H211/$G211)*AU211,0)*(1-$K211)</f>
        <v>0</v>
      </c>
      <c r="AW211" s="1117">
        <f>VLOOKUP($E211,AU$442:AX$453,3,FALSE)*AU211*($K211)+IF($G211&lt;&gt;0,($I211/$G211)*AU211,0)*(1-$K211)</f>
        <v>0</v>
      </c>
      <c r="AX211" s="1117">
        <f>VLOOKUP($E211,AU$442:AX$453,4,FALSE)*AU211*($K211)+(AU211-AV211-AW211)*(1-$K211)</f>
        <v>0</v>
      </c>
      <c r="AY211" s="1073"/>
      <c r="BC211" s="1116">
        <f>$G211</f>
        <v>0</v>
      </c>
      <c r="BD211" s="1117">
        <f>VLOOKUP($E211,BC$442:BF$453,2,FALSE)*BC211*($K211)+IF($G211&lt;&gt;0,($H211/$G211)*BC211,0)*(1-$K211)</f>
        <v>0</v>
      </c>
      <c r="BE211" s="1117">
        <f>VLOOKUP($E211,BC$442:BF$453,3,FALSE)*BC211*($K211)+IF($G211&lt;&gt;0,($I211/$G211)*BC211,0)*(1-$K211)</f>
        <v>0</v>
      </c>
      <c r="BF211" s="1117">
        <f>VLOOKUP($E211,BC$442:BF$453,4,FALSE)*BC211*($K211)+(BC211-BD211-BE211)*(1-$K211)</f>
        <v>0</v>
      </c>
      <c r="BG211" s="1073"/>
      <c r="BK211" s="1116">
        <f>$G211</f>
        <v>0</v>
      </c>
      <c r="BL211" s="1117">
        <f>VLOOKUP($E211,BK$442:BN$453,2,FALSE)*BK211*($K211)+IF($G211&lt;&gt;0,($H211/$G211)*BK211,0)*(1-$K211)</f>
        <v>0</v>
      </c>
      <c r="BM211" s="1117">
        <f>VLOOKUP($E211,BK$442:BN$453,3,FALSE)*BK211*($K211)+IF($G211&lt;&gt;0,($I211/$G211)*BK211,0)*(1-$K211)</f>
        <v>0</v>
      </c>
      <c r="BN211" s="1117">
        <f>VLOOKUP($E211,BK$442:BN$453,4,FALSE)*BK211*($K211)+(BK211-BL211-BM211)*(1-$K211)</f>
        <v>0</v>
      </c>
      <c r="BO211" s="1073"/>
      <c r="BS211" s="1116">
        <f>$G211</f>
        <v>0</v>
      </c>
      <c r="BT211" s="1117">
        <f>VLOOKUP($E211,BS$442:BV$453,2,FALSE)*BS211*($K211)+IF($G211&lt;&gt;0,($H211/$G211)*BS211,0)*(1-$K211)</f>
        <v>0</v>
      </c>
      <c r="BU211" s="1117">
        <f>VLOOKUP($E211,BS$442:BV$453,3,FALSE)*BS211*($K211)+IF($G211&lt;&gt;0,($I211/$G211)*BS211,0)*(1-$K211)</f>
        <v>0</v>
      </c>
      <c r="BV211" s="1117">
        <f>VLOOKUP($E211,BS$442:BV$453,4,FALSE)*BS211*($K211)+(BS211-BT211-BU211)*(1-$K211)</f>
        <v>0</v>
      </c>
      <c r="BW211" s="1073"/>
      <c r="CA211" s="1116">
        <f>$G211</f>
        <v>0</v>
      </c>
      <c r="CB211" s="1117">
        <f>VLOOKUP($E211,CA$442:CD$453,2,FALSE)*CA211*($K211)+IF($G211&lt;&gt;0,($H211/$G211)*CA211,0)*(1-$K211)</f>
        <v>0</v>
      </c>
      <c r="CC211" s="1117">
        <f>VLOOKUP($E211,CA$442:CD$453,3,FALSE)*CA211*($K211)+IF($G211&lt;&gt;0,($I211/$G211)*CA211,0)*(1-$K211)</f>
        <v>0</v>
      </c>
      <c r="CD211" s="1117">
        <f>VLOOKUP($E211,CA$442:CD$453,4,FALSE)*CA211*($K211)+(CA211-CB211-CC211)*(1-$K211)</f>
        <v>0</v>
      </c>
      <c r="CE211" s="1073"/>
      <c r="CI211" s="1116">
        <f>$G211</f>
        <v>0</v>
      </c>
      <c r="CJ211" s="1117">
        <f>VLOOKUP($E211,CI$442:CL$453,2,FALSE)*CI211*($K211)+IF($G211&lt;&gt;0,($H211/$G211)*CI211,0)*(1-$K211)</f>
        <v>0</v>
      </c>
      <c r="CK211" s="1117">
        <f>VLOOKUP($E211,CI$442:CL$453,3,FALSE)*CI211*($K211)+IF($G211&lt;&gt;0,($I211/$G211)*CI211,0)*(1-$K211)</f>
        <v>0</v>
      </c>
      <c r="CL211" s="1117">
        <f>VLOOKUP($E211,CI$442:CL$453,4,FALSE)*CI211*($K211)+(CI211-CJ211-CK211)*(1-$K211)</f>
        <v>0</v>
      </c>
      <c r="CM211" s="1073"/>
      <c r="CQ211" s="1116">
        <f>$G211</f>
        <v>0</v>
      </c>
      <c r="CR211" s="1117">
        <f>VLOOKUP($E211,CQ$442:CT$453,2,FALSE)*CQ211*($K211)+IF($G211&lt;&gt;0,($H211/$G211)*CQ211,0)*(1-$K211)</f>
        <v>0</v>
      </c>
      <c r="CS211" s="1117">
        <f>VLOOKUP($E211,CQ$442:CT$453,3,FALSE)*CQ211*($K211)+IF($G211&lt;&gt;0,($I211/$G211)*CQ211,0)*(1-$K211)</f>
        <v>0</v>
      </c>
      <c r="CT211" s="1117">
        <f>VLOOKUP($E211,CQ$442:CT$453,4,FALSE)*CQ211*($K211)+(CQ211-CR211-CS211)*(1-$K211)</f>
        <v>0</v>
      </c>
      <c r="CU211" s="1073"/>
      <c r="CY211" s="1116">
        <f>$G211</f>
        <v>0</v>
      </c>
      <c r="CZ211" s="1117">
        <f>VLOOKUP($E211,CY$442:DB$453,2,FALSE)*CY211*($K211)+IF($G211&lt;&gt;0,($H211/$G211)*CY211,0)*(1-$K211)</f>
        <v>0</v>
      </c>
      <c r="DA211" s="1117">
        <f>VLOOKUP($E211,CY$442:DB$453,3,FALSE)*CY211*($K211)+IF($G211&lt;&gt;0,($I211/$G211)*CY211,0)*(1-$K211)</f>
        <v>0</v>
      </c>
      <c r="DB211" s="1117">
        <f>VLOOKUP($E211,CY$442:DB$453,4,FALSE)*CY211*($K211)+(CY211-CZ211-DA211)*(1-$K211)</f>
        <v>0</v>
      </c>
      <c r="DC211" s="1073"/>
      <c r="DG211" s="1116">
        <f>$G211</f>
        <v>0</v>
      </c>
      <c r="DH211" s="1117">
        <f>VLOOKUP($E211,DG$442:DJ$453,2,FALSE)*DG211*($K211)+IF($G211&lt;&gt;0,($H211/$G211)*DG211,0)*(1-$K211)</f>
        <v>0</v>
      </c>
      <c r="DI211" s="1117">
        <f>VLOOKUP($E211,DG$442:DJ$453,3,FALSE)*DG211*($K211)+IF($G211&lt;&gt;0,($I211/$G211)*DG211,0)*(1-$K211)</f>
        <v>0</v>
      </c>
      <c r="DJ211" s="1117">
        <f>VLOOKUP($E211,DG$442:DJ$453,4,FALSE)*DG211*($K211)+(DG211-DH211-DI211)*(1-$K211)</f>
        <v>0</v>
      </c>
      <c r="DK211" s="1073"/>
      <c r="DO211" s="1116">
        <f>$G211</f>
        <v>0</v>
      </c>
      <c r="DP211" s="1117">
        <f>VLOOKUP($E211,DO$442:DR$453,2,FALSE)*DO211*($K211)+IF($G211&lt;&gt;0,($H211/$G211)*DO211,0)*(1-$K211)</f>
        <v>0</v>
      </c>
      <c r="DQ211" s="1117">
        <f>VLOOKUP($E211,DO$442:DR$453,3,FALSE)*DO211*($K211)+IF($G211&lt;&gt;0,($I211/$G211)*DO211,0)*(1-$K211)</f>
        <v>0</v>
      </c>
      <c r="DR211" s="1117">
        <f>VLOOKUP($E211,DO$442:DR$453,4,FALSE)*DO211*($K211)+(DO211-DP211-DQ211)*(1-$K211)</f>
        <v>0</v>
      </c>
      <c r="DS211" s="1073"/>
      <c r="DW211" s="1116">
        <f>$G211</f>
        <v>0</v>
      </c>
      <c r="DX211" s="1117">
        <f>VLOOKUP($E211,DW$442:DZ$453,2,FALSE)*DW211*($K211)+IF($G211&lt;&gt;0,($H211/$G211)*DW211,0)*(1-$K211)</f>
        <v>0</v>
      </c>
      <c r="DY211" s="1117">
        <f>VLOOKUP($E211,DW$442:DZ$453,3,FALSE)*DW211*($K211)+IF($G211&lt;&gt;0,($I211/$G211)*DW211,0)*(1-$K211)</f>
        <v>0</v>
      </c>
      <c r="DZ211" s="1117">
        <f>VLOOKUP($E211,DW$442:DZ$453,4,FALSE)*DW211*($K211)+(DW211-DX211-DY211)*(1-$K211)</f>
        <v>0</v>
      </c>
      <c r="EA211" s="1073"/>
      <c r="EE211" s="1116">
        <f>$G211</f>
        <v>0</v>
      </c>
      <c r="EF211" s="1117">
        <f>VLOOKUP($E211,EE$442:EH$453,2,FALSE)*EE211*($K211)+IF($G211&lt;&gt;0,($H211/$G211)*EE211,0)*(1-$K211)</f>
        <v>0</v>
      </c>
      <c r="EG211" s="1117">
        <f>VLOOKUP($E211,EE$442:EH$453,3,FALSE)*EE211*($K211)+IF($G211&lt;&gt;0,($I211/$G211)*EE211,0)*(1-$K211)</f>
        <v>0</v>
      </c>
      <c r="EH211" s="1117">
        <f>VLOOKUP($E211,EE$442:EH$453,4,FALSE)*EE211*($K211)+(EE211-EF211-EG211)*(1-$K211)</f>
        <v>0</v>
      </c>
      <c r="EI211" s="1073"/>
      <c r="EM211" s="1116">
        <f>$G211</f>
        <v>0</v>
      </c>
      <c r="EN211" s="1117">
        <f>VLOOKUP($E211,EM$442:EP$453,2,FALSE)*EM211*($K211)+IF($G211&lt;&gt;0,($H211/$G211)*EM211,0)*(1-$K211)</f>
        <v>0</v>
      </c>
      <c r="EO211" s="1117">
        <f>VLOOKUP($E211,EM$442:EP$453,3,FALSE)*EM211*($K211)+IF($G211&lt;&gt;0,($I211/$G211)*EM211,0)*(1-$K211)</f>
        <v>0</v>
      </c>
      <c r="EP211" s="1117">
        <f>VLOOKUP($E211,EM$442:EP$453,4,FALSE)*EM211*($K211)+(EM211-EN211-EO211)*(1-$K211)</f>
        <v>0</v>
      </c>
      <c r="EQ211" s="1073"/>
      <c r="EU211" s="1116">
        <f>$G211</f>
        <v>0</v>
      </c>
      <c r="EV211" s="1117">
        <f>VLOOKUP($E211,EU$442:EX$453,2,FALSE)*EU211*($K211)+IF($G211&lt;&gt;0,($H211/$G211)*EU211,0)*(1-$K211)</f>
        <v>0</v>
      </c>
      <c r="EW211" s="1117">
        <f>VLOOKUP($E211,EU$442:EX$453,3,FALSE)*EU211*($K211)+IF($G211&lt;&gt;0,($I211/$G211)*EU211,0)*(1-$K211)</f>
        <v>0</v>
      </c>
      <c r="EX211" s="1117">
        <f>VLOOKUP($E211,EU$442:EX$453,4,FALSE)*EU211*($K211)+(EU211-EV211-EW211)*(1-$K211)</f>
        <v>0</v>
      </c>
      <c r="EY211" s="1073"/>
      <c r="FC211" s="1116">
        <f>$G211</f>
        <v>0</v>
      </c>
      <c r="FD211" s="1117">
        <f>VLOOKUP($E211,FC$442:FF$453,2,FALSE)*FC211*($K211)+IF($G211&lt;&gt;0,($H211/$G211)*FC211,0)*(1-$K211)</f>
        <v>0</v>
      </c>
      <c r="FE211" s="1117">
        <f>VLOOKUP($E211,FC$442:FF$453,3,FALSE)*FC211*($K211)+IF($G211&lt;&gt;0,($I211/$G211)*FC211,0)*(1-$K211)</f>
        <v>0</v>
      </c>
      <c r="FF211" s="1117">
        <f>VLOOKUP($E211,FC$442:FF$453,4,FALSE)*FC211*($K211)+(FC211-FD211-FE211)*(1-$K211)</f>
        <v>0</v>
      </c>
      <c r="FG211" s="1073"/>
      <c r="FK211" s="1116">
        <f>$G211</f>
        <v>0</v>
      </c>
      <c r="FL211" s="1117">
        <f>VLOOKUP($E211,FK$442:FN$453,2,FALSE)*FK211*($K211)+IF($G211&lt;&gt;0,($H211/$G211)*FK211,0)*(1-$K211)</f>
        <v>0</v>
      </c>
      <c r="FM211" s="1117">
        <f>VLOOKUP($E211,FK$442:FN$453,3,FALSE)*FK211*($K211)+IF($G211&lt;&gt;0,($I211/$G211)*FK211,0)*(1-$K211)</f>
        <v>0</v>
      </c>
      <c r="FN211" s="1117">
        <f>VLOOKUP($E211,FK$442:FN$453,4,FALSE)*FK211*($K211)+(FK211-FL211-FM211)*(1-$K211)</f>
        <v>0</v>
      </c>
      <c r="FO211" s="1073"/>
    </row>
    <row r="212" spans="1:171">
      <c r="A212" s="912"/>
      <c r="B212" s="913" t="s">
        <v>631</v>
      </c>
      <c r="C212" s="888" t="s">
        <v>72</v>
      </c>
      <c r="D212" s="888">
        <v>908</v>
      </c>
      <c r="E212" s="182" t="str">
        <f>'Sch 3 - Expenses'!E52</f>
        <v>Direct</v>
      </c>
      <c r="F212" s="889"/>
      <c r="G212" s="182">
        <f>'Sch 3 - Expenses'!G52</f>
        <v>31870071.329999998</v>
      </c>
      <c r="H212" s="182">
        <f>'Sch 3 - Expenses'!H52</f>
        <v>0</v>
      </c>
      <c r="I212" s="182">
        <f>'Sch 3 - Expenses'!I52</f>
        <v>0</v>
      </c>
      <c r="J212" s="183">
        <f>'Sch 3 - Expenses'!J52</f>
        <v>31870071.329999998</v>
      </c>
      <c r="K212" s="903">
        <f>IF($E212="DIRECT",0,1)</f>
        <v>0</v>
      </c>
      <c r="O212" s="1116">
        <f>$G212</f>
        <v>31870071.329999998</v>
      </c>
      <c r="P212" s="1117">
        <f>VLOOKUP($E212,O$442:R$453,2,FALSE)*O212*($K212)+IF($G212&lt;&gt;0,($H212/$G212)*O212,0)*(1-$K212)</f>
        <v>0</v>
      </c>
      <c r="Q212" s="1117">
        <f>VLOOKUP($E212,O$442:R$453,3,FALSE)*O212*($K212)+IF($G212&lt;&gt;0,($I212/$G212)*O212,0)*(1-$K212)</f>
        <v>0</v>
      </c>
      <c r="R212" s="1117">
        <f>VLOOKUP($E212,O$442:R$453,4,FALSE)*O212*($K212)+(O212-P212-Q212)*(1-$K212)</f>
        <v>31870071.329999998</v>
      </c>
      <c r="S212" s="1073"/>
      <c r="W212" s="1116">
        <f>$G212</f>
        <v>31870071.329999998</v>
      </c>
      <c r="X212" s="1117">
        <f>VLOOKUP($E212,W$442:Z$453,2,FALSE)*W212*($K212)+IF($G212&lt;&gt;0,($H212/$G212)*W212,0)*(1-$K212)</f>
        <v>0</v>
      </c>
      <c r="Y212" s="1117">
        <f>VLOOKUP($E212,W$442:Z$453,3,FALSE)*W212*($K212)+IF($G212&lt;&gt;0,($I212/$G212)*W212,0)*(1-$K212)</f>
        <v>0</v>
      </c>
      <c r="Z212" s="1117">
        <f>VLOOKUP($E212,W$442:Z$453,4,FALSE)*W212*($K212)+(W212-X212-Y212)*(1-$K212)</f>
        <v>31870071.329999998</v>
      </c>
      <c r="AA212" s="1073"/>
      <c r="AE212" s="1116">
        <f>$G212</f>
        <v>31870071.329999998</v>
      </c>
      <c r="AF212" s="1117">
        <f>VLOOKUP($E212,AE$442:AH$453,2,FALSE)*AE212*($K212)+IF($G212&lt;&gt;0,($H212/$G212)*AE212,0)*(1-$K212)</f>
        <v>0</v>
      </c>
      <c r="AG212" s="1117">
        <f>VLOOKUP($E212,AE$442:AH$453,3,FALSE)*AE212*($K212)+IF($G212&lt;&gt;0,($I212/$G212)*AE212,0)*(1-$K212)</f>
        <v>0</v>
      </c>
      <c r="AH212" s="1117">
        <f>VLOOKUP($E212,AE$442:AH$453,4,FALSE)*AE212*($K212)+(AE212-AF212-AG212)*(1-$K212)</f>
        <v>31870071.329999998</v>
      </c>
      <c r="AI212" s="1073"/>
      <c r="AM212" s="1116">
        <f>$G212</f>
        <v>31870071.329999998</v>
      </c>
      <c r="AN212" s="1117">
        <f>VLOOKUP($E212,AM$442:AP$453,2,FALSE)*AM212*($K212)+IF($G212&lt;&gt;0,($H212/$G212)*AM212,0)*(1-$K212)</f>
        <v>0</v>
      </c>
      <c r="AO212" s="1117">
        <f>VLOOKUP($E212,AM$442:AP$453,3,FALSE)*AM212*($K212)+IF($G212&lt;&gt;0,($I212/$G212)*AM212,0)*(1-$K212)</f>
        <v>0</v>
      </c>
      <c r="AP212" s="1117">
        <f>VLOOKUP($E212,AM$442:AP$453,4,FALSE)*AM212*($K212)+(AM212-AN212-AO212)*(1-$K212)</f>
        <v>31870071.329999998</v>
      </c>
      <c r="AQ212" s="1073"/>
      <c r="AU212" s="1116">
        <f>$G212</f>
        <v>31870071.329999998</v>
      </c>
      <c r="AV212" s="1117">
        <f>VLOOKUP($E212,AU$442:AX$453,2,FALSE)*AU212*($K212)+IF($G212&lt;&gt;0,($H212/$G212)*AU212,0)*(1-$K212)</f>
        <v>0</v>
      </c>
      <c r="AW212" s="1117">
        <f>VLOOKUP($E212,AU$442:AX$453,3,FALSE)*AU212*($K212)+IF($G212&lt;&gt;0,($I212/$G212)*AU212,0)*(1-$K212)</f>
        <v>0</v>
      </c>
      <c r="AX212" s="1117">
        <f>VLOOKUP($E212,AU$442:AX$453,4,FALSE)*AU212*($K212)+(AU212-AV212-AW212)*(1-$K212)</f>
        <v>31870071.329999998</v>
      </c>
      <c r="AY212" s="1073"/>
      <c r="BC212" s="1116">
        <f>$G212</f>
        <v>31870071.329999998</v>
      </c>
      <c r="BD212" s="1117">
        <f>VLOOKUP($E212,BC$442:BF$453,2,FALSE)*BC212*($K212)+IF($G212&lt;&gt;0,($H212/$G212)*BC212,0)*(1-$K212)</f>
        <v>0</v>
      </c>
      <c r="BE212" s="1117">
        <f>VLOOKUP($E212,BC$442:BF$453,3,FALSE)*BC212*($K212)+IF($G212&lt;&gt;0,($I212/$G212)*BC212,0)*(1-$K212)</f>
        <v>0</v>
      </c>
      <c r="BF212" s="1117">
        <f>VLOOKUP($E212,BC$442:BF$453,4,FALSE)*BC212*($K212)+(BC212-BD212-BE212)*(1-$K212)</f>
        <v>31870071.329999998</v>
      </c>
      <c r="BG212" s="1073"/>
      <c r="BK212" s="1116">
        <f>$G212</f>
        <v>31870071.329999998</v>
      </c>
      <c r="BL212" s="1117">
        <f>VLOOKUP($E212,BK$442:BN$453,2,FALSE)*BK212*($K212)+IF($G212&lt;&gt;0,($H212/$G212)*BK212,0)*(1-$K212)</f>
        <v>0</v>
      </c>
      <c r="BM212" s="1117">
        <f>VLOOKUP($E212,BK$442:BN$453,3,FALSE)*BK212*($K212)+IF($G212&lt;&gt;0,($I212/$G212)*BK212,0)*(1-$K212)</f>
        <v>0</v>
      </c>
      <c r="BN212" s="1117">
        <f>VLOOKUP($E212,BK$442:BN$453,4,FALSE)*BK212*($K212)+(BK212-BL212-BM212)*(1-$K212)</f>
        <v>31870071.329999998</v>
      </c>
      <c r="BO212" s="1073"/>
      <c r="BS212" s="1116">
        <f>$G212</f>
        <v>31870071.329999998</v>
      </c>
      <c r="BT212" s="1117">
        <f>VLOOKUP($E212,BS$442:BV$453,2,FALSE)*BS212*($K212)+IF($G212&lt;&gt;0,($H212/$G212)*BS212,0)*(1-$K212)</f>
        <v>0</v>
      </c>
      <c r="BU212" s="1117">
        <f>VLOOKUP($E212,BS$442:BV$453,3,FALSE)*BS212*($K212)+IF($G212&lt;&gt;0,($I212/$G212)*BS212,0)*(1-$K212)</f>
        <v>0</v>
      </c>
      <c r="BV212" s="1117">
        <f>VLOOKUP($E212,BS$442:BV$453,4,FALSE)*BS212*($K212)+(BS212-BT212-BU212)*(1-$K212)</f>
        <v>31870071.329999998</v>
      </c>
      <c r="BW212" s="1073"/>
      <c r="CA212" s="1116">
        <f>$G212</f>
        <v>31870071.329999998</v>
      </c>
      <c r="CB212" s="1117">
        <f>VLOOKUP($E212,CA$442:CD$453,2,FALSE)*CA212*($K212)+IF($G212&lt;&gt;0,($H212/$G212)*CA212,0)*(1-$K212)</f>
        <v>0</v>
      </c>
      <c r="CC212" s="1117">
        <f>VLOOKUP($E212,CA$442:CD$453,3,FALSE)*CA212*($K212)+IF($G212&lt;&gt;0,($I212/$G212)*CA212,0)*(1-$K212)</f>
        <v>0</v>
      </c>
      <c r="CD212" s="1117">
        <f>VLOOKUP($E212,CA$442:CD$453,4,FALSE)*CA212*($K212)+(CA212-CB212-CC212)*(1-$K212)</f>
        <v>31870071.329999998</v>
      </c>
      <c r="CE212" s="1073"/>
      <c r="CI212" s="1116">
        <f>$G212</f>
        <v>31870071.329999998</v>
      </c>
      <c r="CJ212" s="1117">
        <f>VLOOKUP($E212,CI$442:CL$453,2,FALSE)*CI212*($K212)+IF($G212&lt;&gt;0,($H212/$G212)*CI212,0)*(1-$K212)</f>
        <v>0</v>
      </c>
      <c r="CK212" s="1117">
        <f>VLOOKUP($E212,CI$442:CL$453,3,FALSE)*CI212*($K212)+IF($G212&lt;&gt;0,($I212/$G212)*CI212,0)*(1-$K212)</f>
        <v>0</v>
      </c>
      <c r="CL212" s="1117">
        <f>VLOOKUP($E212,CI$442:CL$453,4,FALSE)*CI212*($K212)+(CI212-CJ212-CK212)*(1-$K212)</f>
        <v>31870071.329999998</v>
      </c>
      <c r="CM212" s="1073"/>
      <c r="CQ212" s="1116">
        <f>$G212</f>
        <v>31870071.329999998</v>
      </c>
      <c r="CR212" s="1117">
        <f>VLOOKUP($E212,CQ$442:CT$453,2,FALSE)*CQ212*($K212)+IF($G212&lt;&gt;0,($H212/$G212)*CQ212,0)*(1-$K212)</f>
        <v>0</v>
      </c>
      <c r="CS212" s="1117">
        <f>VLOOKUP($E212,CQ$442:CT$453,3,FALSE)*CQ212*($K212)+IF($G212&lt;&gt;0,($I212/$G212)*CQ212,0)*(1-$K212)</f>
        <v>0</v>
      </c>
      <c r="CT212" s="1117">
        <f>VLOOKUP($E212,CQ$442:CT$453,4,FALSE)*CQ212*($K212)+(CQ212-CR212-CS212)*(1-$K212)</f>
        <v>31870071.329999998</v>
      </c>
      <c r="CU212" s="1073"/>
      <c r="CY212" s="1116">
        <f>$G212</f>
        <v>31870071.329999998</v>
      </c>
      <c r="CZ212" s="1117">
        <f>VLOOKUP($E212,CY$442:DB$453,2,FALSE)*CY212*($K212)+IF($G212&lt;&gt;0,($H212/$G212)*CY212,0)*(1-$K212)</f>
        <v>0</v>
      </c>
      <c r="DA212" s="1117">
        <f>VLOOKUP($E212,CY$442:DB$453,3,FALSE)*CY212*($K212)+IF($G212&lt;&gt;0,($I212/$G212)*CY212,0)*(1-$K212)</f>
        <v>0</v>
      </c>
      <c r="DB212" s="1117">
        <f>VLOOKUP($E212,CY$442:DB$453,4,FALSE)*CY212*($K212)+(CY212-CZ212-DA212)*(1-$K212)</f>
        <v>31870071.329999998</v>
      </c>
      <c r="DC212" s="1073"/>
      <c r="DG212" s="1116">
        <f>$G212</f>
        <v>31870071.329999998</v>
      </c>
      <c r="DH212" s="1117">
        <f>VLOOKUP($E212,DG$442:DJ$453,2,FALSE)*DG212*($K212)+IF($G212&lt;&gt;0,($H212/$G212)*DG212,0)*(1-$K212)</f>
        <v>0</v>
      </c>
      <c r="DI212" s="1117">
        <f>VLOOKUP($E212,DG$442:DJ$453,3,FALSE)*DG212*($K212)+IF($G212&lt;&gt;0,($I212/$G212)*DG212,0)*(1-$K212)</f>
        <v>0</v>
      </c>
      <c r="DJ212" s="1117">
        <f>VLOOKUP($E212,DG$442:DJ$453,4,FALSE)*DG212*($K212)+(DG212-DH212-DI212)*(1-$K212)</f>
        <v>31870071.329999998</v>
      </c>
      <c r="DK212" s="1073"/>
      <c r="DO212" s="1116">
        <f>$G212</f>
        <v>31870071.329999998</v>
      </c>
      <c r="DP212" s="1117">
        <f>VLOOKUP($E212,DO$442:DR$453,2,FALSE)*DO212*($K212)+IF($G212&lt;&gt;0,($H212/$G212)*DO212,0)*(1-$K212)</f>
        <v>0</v>
      </c>
      <c r="DQ212" s="1117">
        <f>VLOOKUP($E212,DO$442:DR$453,3,FALSE)*DO212*($K212)+IF($G212&lt;&gt;0,($I212/$G212)*DO212,0)*(1-$K212)</f>
        <v>0</v>
      </c>
      <c r="DR212" s="1117">
        <f>VLOOKUP($E212,DO$442:DR$453,4,FALSE)*DO212*($K212)+(DO212-DP212-DQ212)*(1-$K212)</f>
        <v>31870071.329999998</v>
      </c>
      <c r="DS212" s="1073"/>
      <c r="DW212" s="1116">
        <f>$G212</f>
        <v>31870071.329999998</v>
      </c>
      <c r="DX212" s="1117">
        <f>VLOOKUP($E212,DW$442:DZ$453,2,FALSE)*DW212*($K212)+IF($G212&lt;&gt;0,($H212/$G212)*DW212,0)*(1-$K212)</f>
        <v>0</v>
      </c>
      <c r="DY212" s="1117">
        <f>VLOOKUP($E212,DW$442:DZ$453,3,FALSE)*DW212*($K212)+IF($G212&lt;&gt;0,($I212/$G212)*DW212,0)*(1-$K212)</f>
        <v>0</v>
      </c>
      <c r="DZ212" s="1117">
        <f>VLOOKUP($E212,DW$442:DZ$453,4,FALSE)*DW212*($K212)+(DW212-DX212-DY212)*(1-$K212)</f>
        <v>31870071.329999998</v>
      </c>
      <c r="EA212" s="1073"/>
      <c r="EE212" s="1116">
        <f>$G212</f>
        <v>31870071.329999998</v>
      </c>
      <c r="EF212" s="1117">
        <f>VLOOKUP($E212,EE$442:EH$453,2,FALSE)*EE212*($K212)+IF($G212&lt;&gt;0,($H212/$G212)*EE212,0)*(1-$K212)</f>
        <v>0</v>
      </c>
      <c r="EG212" s="1117">
        <f>VLOOKUP($E212,EE$442:EH$453,3,FALSE)*EE212*($K212)+IF($G212&lt;&gt;0,($I212/$G212)*EE212,0)*(1-$K212)</f>
        <v>0</v>
      </c>
      <c r="EH212" s="1117">
        <f>VLOOKUP($E212,EE$442:EH$453,4,FALSE)*EE212*($K212)+(EE212-EF212-EG212)*(1-$K212)</f>
        <v>31870071.329999998</v>
      </c>
      <c r="EI212" s="1073"/>
      <c r="EM212" s="1116">
        <f>$G212</f>
        <v>31870071.329999998</v>
      </c>
      <c r="EN212" s="1117">
        <f>VLOOKUP($E212,EM$442:EP$453,2,FALSE)*EM212*($K212)+IF($G212&lt;&gt;0,($H212/$G212)*EM212,0)*(1-$K212)</f>
        <v>0</v>
      </c>
      <c r="EO212" s="1117">
        <f>VLOOKUP($E212,EM$442:EP$453,3,FALSE)*EM212*($K212)+IF($G212&lt;&gt;0,($I212/$G212)*EM212,0)*(1-$K212)</f>
        <v>0</v>
      </c>
      <c r="EP212" s="1117">
        <f>VLOOKUP($E212,EM$442:EP$453,4,FALSE)*EM212*($K212)+(EM212-EN212-EO212)*(1-$K212)</f>
        <v>31870071.329999998</v>
      </c>
      <c r="EQ212" s="1073"/>
      <c r="EU212" s="1116">
        <f>$G212</f>
        <v>31870071.329999998</v>
      </c>
      <c r="EV212" s="1117">
        <f>VLOOKUP($E212,EU$442:EX$453,2,FALSE)*EU212*($K212)+IF($G212&lt;&gt;0,($H212/$G212)*EU212,0)*(1-$K212)</f>
        <v>0</v>
      </c>
      <c r="EW212" s="1117">
        <f>VLOOKUP($E212,EU$442:EX$453,3,FALSE)*EU212*($K212)+IF($G212&lt;&gt;0,($I212/$G212)*EU212,0)*(1-$K212)</f>
        <v>0</v>
      </c>
      <c r="EX212" s="1117">
        <f>VLOOKUP($E212,EU$442:EX$453,4,FALSE)*EU212*($K212)+(EU212-EV212-EW212)*(1-$K212)</f>
        <v>31870071.329999998</v>
      </c>
      <c r="EY212" s="1073"/>
      <c r="FC212" s="1116">
        <f>$G212</f>
        <v>31870071.329999998</v>
      </c>
      <c r="FD212" s="1117">
        <f>VLOOKUP($E212,FC$442:FF$453,2,FALSE)*FC212*($K212)+IF($G212&lt;&gt;0,($H212/$G212)*FC212,0)*(1-$K212)</f>
        <v>0</v>
      </c>
      <c r="FE212" s="1117">
        <f>VLOOKUP($E212,FC$442:FF$453,3,FALSE)*FC212*($K212)+IF($G212&lt;&gt;0,($I212/$G212)*FC212,0)*(1-$K212)</f>
        <v>0</v>
      </c>
      <c r="FF212" s="1117">
        <f>VLOOKUP($E212,FC$442:FF$453,4,FALSE)*FC212*($K212)+(FC212-FD212-FE212)*(1-$K212)</f>
        <v>31870071.329999998</v>
      </c>
      <c r="FG212" s="1073"/>
      <c r="FK212" s="1116">
        <f>$G212</f>
        <v>31870071.329999998</v>
      </c>
      <c r="FL212" s="1117">
        <f>VLOOKUP($E212,FK$442:FN$453,2,FALSE)*FK212*($K212)+IF($G212&lt;&gt;0,($H212/$G212)*FK212,0)*(1-$K212)</f>
        <v>0</v>
      </c>
      <c r="FM212" s="1117">
        <f>VLOOKUP($E212,FK$442:FN$453,3,FALSE)*FK212*($K212)+IF($G212&lt;&gt;0,($I212/$G212)*FK212,0)*(1-$K212)</f>
        <v>0</v>
      </c>
      <c r="FN212" s="1117">
        <f>VLOOKUP($E212,FK$442:FN$453,4,FALSE)*FK212*($K212)+(FK212-FL212-FM212)*(1-$K212)</f>
        <v>31870071.329999998</v>
      </c>
      <c r="FO212" s="1073"/>
    </row>
    <row r="213" spans="1:171">
      <c r="A213" s="912"/>
      <c r="B213" s="913" t="s">
        <v>172</v>
      </c>
      <c r="C213" s="888" t="s">
        <v>72</v>
      </c>
      <c r="D213" s="888" t="s">
        <v>399</v>
      </c>
      <c r="E213" s="182" t="str">
        <f>'Sch 3 - Expenses'!E53</f>
        <v>DIST</v>
      </c>
      <c r="F213" s="889"/>
      <c r="G213" s="182">
        <f>'Sch 3 - Expenses'!G53</f>
        <v>1095949.52</v>
      </c>
      <c r="H213" s="182">
        <f>'Sch 3 - Expenses'!H53</f>
        <v>0</v>
      </c>
      <c r="I213" s="182">
        <f>'Sch 3 - Expenses'!I53</f>
        <v>0</v>
      </c>
      <c r="J213" s="183">
        <f>'Sch 3 - Expenses'!J53</f>
        <v>1095949.52</v>
      </c>
      <c r="K213" s="903">
        <f>IF($E213="DIRECT",0,1)</f>
        <v>1</v>
      </c>
      <c r="O213" s="1116">
        <f>$G213</f>
        <v>1095949.52</v>
      </c>
      <c r="P213" s="1117">
        <f>VLOOKUP($E213,O$442:R$453,2,FALSE)*O213*($K213)+IF($G213&lt;&gt;0,($H213/$G213)*O213,0)*(1-$K213)</f>
        <v>0</v>
      </c>
      <c r="Q213" s="1117">
        <f>VLOOKUP($E213,O$442:R$453,3,FALSE)*O213*($K213)+IF($G213&lt;&gt;0,($I213/$G213)*O213,0)*(1-$K213)</f>
        <v>0</v>
      </c>
      <c r="R213" s="1117">
        <f>VLOOKUP($E213,O$442:R$453,4,FALSE)*O213*($K213)+(O213-P213-Q213)*(1-$K213)</f>
        <v>1095949.52</v>
      </c>
      <c r="S213" s="1073"/>
      <c r="W213" s="1116">
        <f>$G213</f>
        <v>1095949.52</v>
      </c>
      <c r="X213" s="1117">
        <f>VLOOKUP($E213,W$442:Z$453,2,FALSE)*W213*($K213)+IF($G213&lt;&gt;0,($H213/$G213)*W213,0)*(1-$K213)</f>
        <v>0</v>
      </c>
      <c r="Y213" s="1117">
        <f>VLOOKUP($E213,W$442:Z$453,3,FALSE)*W213*($K213)+IF($G213&lt;&gt;0,($I213/$G213)*W213,0)*(1-$K213)</f>
        <v>0</v>
      </c>
      <c r="Z213" s="1117">
        <f>VLOOKUP($E213,W$442:Z$453,4,FALSE)*W213*($K213)+(W213-X213-Y213)*(1-$K213)</f>
        <v>1095949.52</v>
      </c>
      <c r="AA213" s="1073"/>
      <c r="AE213" s="1116">
        <f>$G213</f>
        <v>1095949.52</v>
      </c>
      <c r="AF213" s="1117">
        <f>VLOOKUP($E213,AE$442:AH$453,2,FALSE)*AE213*($K213)+IF($G213&lt;&gt;0,($H213/$G213)*AE213,0)*(1-$K213)</f>
        <v>0</v>
      </c>
      <c r="AG213" s="1117">
        <f>VLOOKUP($E213,AE$442:AH$453,3,FALSE)*AE213*($K213)+IF($G213&lt;&gt;0,($I213/$G213)*AE213,0)*(1-$K213)</f>
        <v>0</v>
      </c>
      <c r="AH213" s="1117">
        <f>VLOOKUP($E213,AE$442:AH$453,4,FALSE)*AE213*($K213)+(AE213-AF213-AG213)*(1-$K213)</f>
        <v>1095949.52</v>
      </c>
      <c r="AI213" s="1073"/>
      <c r="AM213" s="1116">
        <f>$G213</f>
        <v>1095949.52</v>
      </c>
      <c r="AN213" s="1117">
        <f>VLOOKUP($E213,AM$442:AP$453,2,FALSE)*AM213*($K213)+IF($G213&lt;&gt;0,($H213/$G213)*AM213,0)*(1-$K213)</f>
        <v>0</v>
      </c>
      <c r="AO213" s="1117">
        <f>VLOOKUP($E213,AM$442:AP$453,3,FALSE)*AM213*($K213)+IF($G213&lt;&gt;0,($I213/$G213)*AM213,0)*(1-$K213)</f>
        <v>0</v>
      </c>
      <c r="AP213" s="1117">
        <f>VLOOKUP($E213,AM$442:AP$453,4,FALSE)*AM213*($K213)+(AM213-AN213-AO213)*(1-$K213)</f>
        <v>1095949.52</v>
      </c>
      <c r="AQ213" s="1073"/>
      <c r="AU213" s="1116">
        <f>$G213</f>
        <v>1095949.52</v>
      </c>
      <c r="AV213" s="1117">
        <f>VLOOKUP($E213,AU$442:AX$453,2,FALSE)*AU213*($K213)+IF($G213&lt;&gt;0,($H213/$G213)*AU213,0)*(1-$K213)</f>
        <v>0</v>
      </c>
      <c r="AW213" s="1117">
        <f>VLOOKUP($E213,AU$442:AX$453,3,FALSE)*AU213*($K213)+IF($G213&lt;&gt;0,($I213/$G213)*AU213,0)*(1-$K213)</f>
        <v>0</v>
      </c>
      <c r="AX213" s="1117">
        <f>VLOOKUP($E213,AU$442:AX$453,4,FALSE)*AU213*($K213)+(AU213-AV213-AW213)*(1-$K213)</f>
        <v>1095949.52</v>
      </c>
      <c r="AY213" s="1073"/>
      <c r="BC213" s="1116">
        <f>$G213</f>
        <v>1095949.52</v>
      </c>
      <c r="BD213" s="1117">
        <f>VLOOKUP($E213,BC$442:BF$453,2,FALSE)*BC213*($K213)+IF($G213&lt;&gt;0,($H213/$G213)*BC213,0)*(1-$K213)</f>
        <v>0</v>
      </c>
      <c r="BE213" s="1117">
        <f>VLOOKUP($E213,BC$442:BF$453,3,FALSE)*BC213*($K213)+IF($G213&lt;&gt;0,($I213/$G213)*BC213,0)*(1-$K213)</f>
        <v>0</v>
      </c>
      <c r="BF213" s="1117">
        <f>VLOOKUP($E213,BC$442:BF$453,4,FALSE)*BC213*($K213)+(BC213-BD213-BE213)*(1-$K213)</f>
        <v>1095949.52</v>
      </c>
      <c r="BG213" s="1073"/>
      <c r="BK213" s="1116">
        <f>$G213</f>
        <v>1095949.52</v>
      </c>
      <c r="BL213" s="1117">
        <f>VLOOKUP($E213,BK$442:BN$453,2,FALSE)*BK213*($K213)+IF($G213&lt;&gt;0,($H213/$G213)*BK213,0)*(1-$K213)</f>
        <v>0</v>
      </c>
      <c r="BM213" s="1117">
        <f>VLOOKUP($E213,BK$442:BN$453,3,FALSE)*BK213*($K213)+IF($G213&lt;&gt;0,($I213/$G213)*BK213,0)*(1-$K213)</f>
        <v>0</v>
      </c>
      <c r="BN213" s="1117">
        <f>VLOOKUP($E213,BK$442:BN$453,4,FALSE)*BK213*($K213)+(BK213-BL213-BM213)*(1-$K213)</f>
        <v>1095949.52</v>
      </c>
      <c r="BO213" s="1073"/>
      <c r="BS213" s="1116">
        <f>$G213</f>
        <v>1095949.52</v>
      </c>
      <c r="BT213" s="1117">
        <f>VLOOKUP($E213,BS$442:BV$453,2,FALSE)*BS213*($K213)+IF($G213&lt;&gt;0,($H213/$G213)*BS213,0)*(1-$K213)</f>
        <v>0</v>
      </c>
      <c r="BU213" s="1117">
        <f>VLOOKUP($E213,BS$442:BV$453,3,FALSE)*BS213*($K213)+IF($G213&lt;&gt;0,($I213/$G213)*BS213,0)*(1-$K213)</f>
        <v>0</v>
      </c>
      <c r="BV213" s="1117">
        <f>VLOOKUP($E213,BS$442:BV$453,4,FALSE)*BS213*($K213)+(BS213-BT213-BU213)*(1-$K213)</f>
        <v>1095949.52</v>
      </c>
      <c r="BW213" s="1073"/>
      <c r="CA213" s="1116">
        <f>$G213</f>
        <v>1095949.52</v>
      </c>
      <c r="CB213" s="1117">
        <f>VLOOKUP($E213,CA$442:CD$453,2,FALSE)*CA213*($K213)+IF($G213&lt;&gt;0,($H213/$G213)*CA213,0)*(1-$K213)</f>
        <v>0</v>
      </c>
      <c r="CC213" s="1117">
        <f>VLOOKUP($E213,CA$442:CD$453,3,FALSE)*CA213*($K213)+IF($G213&lt;&gt;0,($I213/$G213)*CA213,0)*(1-$K213)</f>
        <v>0</v>
      </c>
      <c r="CD213" s="1117">
        <f>VLOOKUP($E213,CA$442:CD$453,4,FALSE)*CA213*($K213)+(CA213-CB213-CC213)*(1-$K213)</f>
        <v>1095949.52</v>
      </c>
      <c r="CE213" s="1073"/>
      <c r="CI213" s="1116">
        <f>$G213</f>
        <v>1095949.52</v>
      </c>
      <c r="CJ213" s="1117">
        <f>VLOOKUP($E213,CI$442:CL$453,2,FALSE)*CI213*($K213)+IF($G213&lt;&gt;0,($H213/$G213)*CI213,0)*(1-$K213)</f>
        <v>0</v>
      </c>
      <c r="CK213" s="1117">
        <f>VLOOKUP($E213,CI$442:CL$453,3,FALSE)*CI213*($K213)+IF($G213&lt;&gt;0,($I213/$G213)*CI213,0)*(1-$K213)</f>
        <v>0</v>
      </c>
      <c r="CL213" s="1117">
        <f>VLOOKUP($E213,CI$442:CL$453,4,FALSE)*CI213*($K213)+(CI213-CJ213-CK213)*(1-$K213)</f>
        <v>1095949.52</v>
      </c>
      <c r="CM213" s="1073"/>
      <c r="CQ213" s="1116">
        <f>$G213</f>
        <v>1095949.52</v>
      </c>
      <c r="CR213" s="1117">
        <f>VLOOKUP($E213,CQ$442:CT$453,2,FALSE)*CQ213*($K213)+IF($G213&lt;&gt;0,($H213/$G213)*CQ213,0)*(1-$K213)</f>
        <v>0</v>
      </c>
      <c r="CS213" s="1117">
        <f>VLOOKUP($E213,CQ$442:CT$453,3,FALSE)*CQ213*($K213)+IF($G213&lt;&gt;0,($I213/$G213)*CQ213,0)*(1-$K213)</f>
        <v>0</v>
      </c>
      <c r="CT213" s="1117">
        <f>VLOOKUP($E213,CQ$442:CT$453,4,FALSE)*CQ213*($K213)+(CQ213-CR213-CS213)*(1-$K213)</f>
        <v>1095949.52</v>
      </c>
      <c r="CU213" s="1073"/>
      <c r="CY213" s="1116">
        <f>$G213</f>
        <v>1095949.52</v>
      </c>
      <c r="CZ213" s="1117">
        <f>VLOOKUP($E213,CY$442:DB$453,2,FALSE)*CY213*($K213)+IF($G213&lt;&gt;0,($H213/$G213)*CY213,0)*(1-$K213)</f>
        <v>0</v>
      </c>
      <c r="DA213" s="1117">
        <f>VLOOKUP($E213,CY$442:DB$453,3,FALSE)*CY213*($K213)+IF($G213&lt;&gt;0,($I213/$G213)*CY213,0)*(1-$K213)</f>
        <v>0</v>
      </c>
      <c r="DB213" s="1117">
        <f>VLOOKUP($E213,CY$442:DB$453,4,FALSE)*CY213*($K213)+(CY213-CZ213-DA213)*(1-$K213)</f>
        <v>1095949.52</v>
      </c>
      <c r="DC213" s="1073"/>
      <c r="DG213" s="1116">
        <f>$G213</f>
        <v>1095949.52</v>
      </c>
      <c r="DH213" s="1117">
        <f>VLOOKUP($E213,DG$442:DJ$453,2,FALSE)*DG213*($K213)+IF($G213&lt;&gt;0,($H213/$G213)*DG213,0)*(1-$K213)</f>
        <v>0</v>
      </c>
      <c r="DI213" s="1117">
        <f>VLOOKUP($E213,DG$442:DJ$453,3,FALSE)*DG213*($K213)+IF($G213&lt;&gt;0,($I213/$G213)*DG213,0)*(1-$K213)</f>
        <v>0</v>
      </c>
      <c r="DJ213" s="1117">
        <f>VLOOKUP($E213,DG$442:DJ$453,4,FALSE)*DG213*($K213)+(DG213-DH213-DI213)*(1-$K213)</f>
        <v>1095949.52</v>
      </c>
      <c r="DK213" s="1073"/>
      <c r="DO213" s="1116">
        <f>$G213</f>
        <v>1095949.52</v>
      </c>
      <c r="DP213" s="1117">
        <f>VLOOKUP($E213,DO$442:DR$453,2,FALSE)*DO213*($K213)+IF($G213&lt;&gt;0,($H213/$G213)*DO213,0)*(1-$K213)</f>
        <v>0</v>
      </c>
      <c r="DQ213" s="1117">
        <f>VLOOKUP($E213,DO$442:DR$453,3,FALSE)*DO213*($K213)+IF($G213&lt;&gt;0,($I213/$G213)*DO213,0)*(1-$K213)</f>
        <v>0</v>
      </c>
      <c r="DR213" s="1117">
        <f>VLOOKUP($E213,DO$442:DR$453,4,FALSE)*DO213*($K213)+(DO213-DP213-DQ213)*(1-$K213)</f>
        <v>1095949.52</v>
      </c>
      <c r="DS213" s="1073"/>
      <c r="DW213" s="1116">
        <f>$G213</f>
        <v>1095949.52</v>
      </c>
      <c r="DX213" s="1117">
        <f>VLOOKUP($E213,DW$442:DZ$453,2,FALSE)*DW213*($K213)+IF($G213&lt;&gt;0,($H213/$G213)*DW213,0)*(1-$K213)</f>
        <v>0</v>
      </c>
      <c r="DY213" s="1117">
        <f>VLOOKUP($E213,DW$442:DZ$453,3,FALSE)*DW213*($K213)+IF($G213&lt;&gt;0,($I213/$G213)*DW213,0)*(1-$K213)</f>
        <v>0</v>
      </c>
      <c r="DZ213" s="1117">
        <f>VLOOKUP($E213,DW$442:DZ$453,4,FALSE)*DW213*($K213)+(DW213-DX213-DY213)*(1-$K213)</f>
        <v>1095949.52</v>
      </c>
      <c r="EA213" s="1073"/>
      <c r="EE213" s="1116">
        <f>$G213</f>
        <v>1095949.52</v>
      </c>
      <c r="EF213" s="1117">
        <f>VLOOKUP($E213,EE$442:EH$453,2,FALSE)*EE213*($K213)+IF($G213&lt;&gt;0,($H213/$G213)*EE213,0)*(1-$K213)</f>
        <v>0</v>
      </c>
      <c r="EG213" s="1117">
        <f>VLOOKUP($E213,EE$442:EH$453,3,FALSE)*EE213*($K213)+IF($G213&lt;&gt;0,($I213/$G213)*EE213,0)*(1-$K213)</f>
        <v>0</v>
      </c>
      <c r="EH213" s="1117">
        <f>VLOOKUP($E213,EE$442:EH$453,4,FALSE)*EE213*($K213)+(EE213-EF213-EG213)*(1-$K213)</f>
        <v>1095949.52</v>
      </c>
      <c r="EI213" s="1073"/>
      <c r="EM213" s="1116">
        <f>$G213</f>
        <v>1095949.52</v>
      </c>
      <c r="EN213" s="1117">
        <f>VLOOKUP($E213,EM$442:EP$453,2,FALSE)*EM213*($K213)+IF($G213&lt;&gt;0,($H213/$G213)*EM213,0)*(1-$K213)</f>
        <v>0</v>
      </c>
      <c r="EO213" s="1117">
        <f>VLOOKUP($E213,EM$442:EP$453,3,FALSE)*EM213*($K213)+IF($G213&lt;&gt;0,($I213/$G213)*EM213,0)*(1-$K213)</f>
        <v>0</v>
      </c>
      <c r="EP213" s="1117">
        <f>VLOOKUP($E213,EM$442:EP$453,4,FALSE)*EM213*($K213)+(EM213-EN213-EO213)*(1-$K213)</f>
        <v>1095949.52</v>
      </c>
      <c r="EQ213" s="1073"/>
      <c r="EU213" s="1116">
        <f>$G213</f>
        <v>1095949.52</v>
      </c>
      <c r="EV213" s="1117">
        <f>VLOOKUP($E213,EU$442:EX$453,2,FALSE)*EU213*($K213)+IF($G213&lt;&gt;0,($H213/$G213)*EU213,0)*(1-$K213)</f>
        <v>0</v>
      </c>
      <c r="EW213" s="1117">
        <f>VLOOKUP($E213,EU$442:EX$453,3,FALSE)*EU213*($K213)+IF($G213&lt;&gt;0,($I213/$G213)*EU213,0)*(1-$K213)</f>
        <v>0</v>
      </c>
      <c r="EX213" s="1117">
        <f>VLOOKUP($E213,EU$442:EX$453,4,FALSE)*EU213*($K213)+(EU213-EV213-EW213)*(1-$K213)</f>
        <v>1095949.52</v>
      </c>
      <c r="EY213" s="1073"/>
      <c r="FC213" s="1116">
        <f>$G213</f>
        <v>1095949.52</v>
      </c>
      <c r="FD213" s="1117">
        <f>VLOOKUP($E213,FC$442:FF$453,2,FALSE)*FC213*($K213)+IF($G213&lt;&gt;0,($H213/$G213)*FC213,0)*(1-$K213)</f>
        <v>0</v>
      </c>
      <c r="FE213" s="1117">
        <f>VLOOKUP($E213,FC$442:FF$453,3,FALSE)*FC213*($K213)+IF($G213&lt;&gt;0,($I213/$G213)*FC213,0)*(1-$K213)</f>
        <v>0</v>
      </c>
      <c r="FF213" s="1117">
        <f>VLOOKUP($E213,FC$442:FF$453,4,FALSE)*FC213*($K213)+(FC213-FD213-FE213)*(1-$K213)</f>
        <v>1095949.52</v>
      </c>
      <c r="FG213" s="1073"/>
      <c r="FK213" s="1116">
        <f>$G213</f>
        <v>1095949.52</v>
      </c>
      <c r="FL213" s="1117">
        <f>VLOOKUP($E213,FK$442:FN$453,2,FALSE)*FK213*($K213)+IF($G213&lt;&gt;0,($H213/$G213)*FK213,0)*(1-$K213)</f>
        <v>0</v>
      </c>
      <c r="FM213" s="1117">
        <f>VLOOKUP($E213,FK$442:FN$453,3,FALSE)*FK213*($K213)+IF($G213&lt;&gt;0,($I213/$G213)*FK213,0)*(1-$K213)</f>
        <v>0</v>
      </c>
      <c r="FN213" s="1117">
        <f>VLOOKUP($E213,FK$442:FN$453,4,FALSE)*FK213*($K213)+(FK213-FL213-FM213)*(1-$K213)</f>
        <v>1095949.52</v>
      </c>
      <c r="FO213" s="1073"/>
    </row>
    <row r="214" spans="1:171">
      <c r="A214" s="912"/>
      <c r="B214" s="913" t="s">
        <v>400</v>
      </c>
      <c r="C214" s="888" t="s">
        <v>72</v>
      </c>
      <c r="D214" s="888" t="s">
        <v>401</v>
      </c>
      <c r="E214" s="182" t="str">
        <f>'Sch 3 - Expenses'!E54</f>
        <v>DIST</v>
      </c>
      <c r="F214" s="889"/>
      <c r="G214" s="182">
        <f>'Sch 3 - Expenses'!G54</f>
        <v>43646</v>
      </c>
      <c r="H214" s="182">
        <f>'Sch 3 - Expenses'!H54</f>
        <v>0</v>
      </c>
      <c r="I214" s="182">
        <f>'Sch 3 - Expenses'!I54</f>
        <v>0</v>
      </c>
      <c r="J214" s="183">
        <f>'Sch 3 - Expenses'!J54</f>
        <v>43646</v>
      </c>
      <c r="K214" s="903">
        <f>IF($E214="DIRECT",0,1)</f>
        <v>1</v>
      </c>
      <c r="O214" s="1116">
        <f>$G214</f>
        <v>43646</v>
      </c>
      <c r="P214" s="1117">
        <f>VLOOKUP($E214,O$442:R$453,2,FALSE)*O214*($K214)+IF($G214&lt;&gt;0,($H214/$G214)*O214,0)*(1-$K214)</f>
        <v>0</v>
      </c>
      <c r="Q214" s="1117">
        <f>VLOOKUP($E214,O$442:R$453,3,FALSE)*O214*($K214)+IF($G214&lt;&gt;0,($I214/$G214)*O214,0)*(1-$K214)</f>
        <v>0</v>
      </c>
      <c r="R214" s="1117">
        <f>VLOOKUP($E214,O$442:R$453,4,FALSE)*O214*($K214)+(O214-P214-Q214)*(1-$K214)</f>
        <v>43646</v>
      </c>
      <c r="S214" s="1073"/>
      <c r="W214" s="1116">
        <f>$G214</f>
        <v>43646</v>
      </c>
      <c r="X214" s="1117">
        <f>VLOOKUP($E214,W$442:Z$453,2,FALSE)*W214*($K214)+IF($G214&lt;&gt;0,($H214/$G214)*W214,0)*(1-$K214)</f>
        <v>0</v>
      </c>
      <c r="Y214" s="1117">
        <f>VLOOKUP($E214,W$442:Z$453,3,FALSE)*W214*($K214)+IF($G214&lt;&gt;0,($I214/$G214)*W214,0)*(1-$K214)</f>
        <v>0</v>
      </c>
      <c r="Z214" s="1117">
        <f>VLOOKUP($E214,W$442:Z$453,4,FALSE)*W214*($K214)+(W214-X214-Y214)*(1-$K214)</f>
        <v>43646</v>
      </c>
      <c r="AA214" s="1073"/>
      <c r="AE214" s="1116">
        <f>$G214</f>
        <v>43646</v>
      </c>
      <c r="AF214" s="1117">
        <f>VLOOKUP($E214,AE$442:AH$453,2,FALSE)*AE214*($K214)+IF($G214&lt;&gt;0,($H214/$G214)*AE214,0)*(1-$K214)</f>
        <v>0</v>
      </c>
      <c r="AG214" s="1117">
        <f>VLOOKUP($E214,AE$442:AH$453,3,FALSE)*AE214*($K214)+IF($G214&lt;&gt;0,($I214/$G214)*AE214,0)*(1-$K214)</f>
        <v>0</v>
      </c>
      <c r="AH214" s="1117">
        <f>VLOOKUP($E214,AE$442:AH$453,4,FALSE)*AE214*($K214)+(AE214-AF214-AG214)*(1-$K214)</f>
        <v>43646</v>
      </c>
      <c r="AI214" s="1073"/>
      <c r="AM214" s="1116">
        <f>$G214</f>
        <v>43646</v>
      </c>
      <c r="AN214" s="1117">
        <f>VLOOKUP($E214,AM$442:AP$453,2,FALSE)*AM214*($K214)+IF($G214&lt;&gt;0,($H214/$G214)*AM214,0)*(1-$K214)</f>
        <v>0</v>
      </c>
      <c r="AO214" s="1117">
        <f>VLOOKUP($E214,AM$442:AP$453,3,FALSE)*AM214*($K214)+IF($G214&lt;&gt;0,($I214/$G214)*AM214,0)*(1-$K214)</f>
        <v>0</v>
      </c>
      <c r="AP214" s="1117">
        <f>VLOOKUP($E214,AM$442:AP$453,4,FALSE)*AM214*($K214)+(AM214-AN214-AO214)*(1-$K214)</f>
        <v>43646</v>
      </c>
      <c r="AQ214" s="1073"/>
      <c r="AU214" s="1116">
        <f>$G214</f>
        <v>43646</v>
      </c>
      <c r="AV214" s="1117">
        <f>VLOOKUP($E214,AU$442:AX$453,2,FALSE)*AU214*($K214)+IF($G214&lt;&gt;0,($H214/$G214)*AU214,0)*(1-$K214)</f>
        <v>0</v>
      </c>
      <c r="AW214" s="1117">
        <f>VLOOKUP($E214,AU$442:AX$453,3,FALSE)*AU214*($K214)+IF($G214&lt;&gt;0,($I214/$G214)*AU214,0)*(1-$K214)</f>
        <v>0</v>
      </c>
      <c r="AX214" s="1117">
        <f>VLOOKUP($E214,AU$442:AX$453,4,FALSE)*AU214*($K214)+(AU214-AV214-AW214)*(1-$K214)</f>
        <v>43646</v>
      </c>
      <c r="AY214" s="1073"/>
      <c r="BC214" s="1116">
        <f>$G214</f>
        <v>43646</v>
      </c>
      <c r="BD214" s="1117">
        <f>VLOOKUP($E214,BC$442:BF$453,2,FALSE)*BC214*($K214)+IF($G214&lt;&gt;0,($H214/$G214)*BC214,0)*(1-$K214)</f>
        <v>0</v>
      </c>
      <c r="BE214" s="1117">
        <f>VLOOKUP($E214,BC$442:BF$453,3,FALSE)*BC214*($K214)+IF($G214&lt;&gt;0,($I214/$G214)*BC214,0)*(1-$K214)</f>
        <v>0</v>
      </c>
      <c r="BF214" s="1117">
        <f>VLOOKUP($E214,BC$442:BF$453,4,FALSE)*BC214*($K214)+(BC214-BD214-BE214)*(1-$K214)</f>
        <v>43646</v>
      </c>
      <c r="BG214" s="1073"/>
      <c r="BK214" s="1116">
        <f>$G214</f>
        <v>43646</v>
      </c>
      <c r="BL214" s="1117">
        <f>VLOOKUP($E214,BK$442:BN$453,2,FALSE)*BK214*($K214)+IF($G214&lt;&gt;0,($H214/$G214)*BK214,0)*(1-$K214)</f>
        <v>0</v>
      </c>
      <c r="BM214" s="1117">
        <f>VLOOKUP($E214,BK$442:BN$453,3,FALSE)*BK214*($K214)+IF($G214&lt;&gt;0,($I214/$G214)*BK214,0)*(1-$K214)</f>
        <v>0</v>
      </c>
      <c r="BN214" s="1117">
        <f>VLOOKUP($E214,BK$442:BN$453,4,FALSE)*BK214*($K214)+(BK214-BL214-BM214)*(1-$K214)</f>
        <v>43646</v>
      </c>
      <c r="BO214" s="1073"/>
      <c r="BS214" s="1116">
        <f>$G214</f>
        <v>43646</v>
      </c>
      <c r="BT214" s="1117">
        <f>VLOOKUP($E214,BS$442:BV$453,2,FALSE)*BS214*($K214)+IF($G214&lt;&gt;0,($H214/$G214)*BS214,0)*(1-$K214)</f>
        <v>0</v>
      </c>
      <c r="BU214" s="1117">
        <f>VLOOKUP($E214,BS$442:BV$453,3,FALSE)*BS214*($K214)+IF($G214&lt;&gt;0,($I214/$G214)*BS214,0)*(1-$K214)</f>
        <v>0</v>
      </c>
      <c r="BV214" s="1117">
        <f>VLOOKUP($E214,BS$442:BV$453,4,FALSE)*BS214*($K214)+(BS214-BT214-BU214)*(1-$K214)</f>
        <v>43646</v>
      </c>
      <c r="BW214" s="1073"/>
      <c r="CA214" s="1116">
        <f>$G214</f>
        <v>43646</v>
      </c>
      <c r="CB214" s="1117">
        <f>VLOOKUP($E214,CA$442:CD$453,2,FALSE)*CA214*($K214)+IF($G214&lt;&gt;0,($H214/$G214)*CA214,0)*(1-$K214)</f>
        <v>0</v>
      </c>
      <c r="CC214" s="1117">
        <f>VLOOKUP($E214,CA$442:CD$453,3,FALSE)*CA214*($K214)+IF($G214&lt;&gt;0,($I214/$G214)*CA214,0)*(1-$K214)</f>
        <v>0</v>
      </c>
      <c r="CD214" s="1117">
        <f>VLOOKUP($E214,CA$442:CD$453,4,FALSE)*CA214*($K214)+(CA214-CB214-CC214)*(1-$K214)</f>
        <v>43646</v>
      </c>
      <c r="CE214" s="1073"/>
      <c r="CI214" s="1116">
        <f>$G214</f>
        <v>43646</v>
      </c>
      <c r="CJ214" s="1117">
        <f>VLOOKUP($E214,CI$442:CL$453,2,FALSE)*CI214*($K214)+IF($G214&lt;&gt;0,($H214/$G214)*CI214,0)*(1-$K214)</f>
        <v>0</v>
      </c>
      <c r="CK214" s="1117">
        <f>VLOOKUP($E214,CI$442:CL$453,3,FALSE)*CI214*($K214)+IF($G214&lt;&gt;0,($I214/$G214)*CI214,0)*(1-$K214)</f>
        <v>0</v>
      </c>
      <c r="CL214" s="1117">
        <f>VLOOKUP($E214,CI$442:CL$453,4,FALSE)*CI214*($K214)+(CI214-CJ214-CK214)*(1-$K214)</f>
        <v>43646</v>
      </c>
      <c r="CM214" s="1073"/>
      <c r="CQ214" s="1116">
        <f>$G214</f>
        <v>43646</v>
      </c>
      <c r="CR214" s="1117">
        <f>VLOOKUP($E214,CQ$442:CT$453,2,FALSE)*CQ214*($K214)+IF($G214&lt;&gt;0,($H214/$G214)*CQ214,0)*(1-$K214)</f>
        <v>0</v>
      </c>
      <c r="CS214" s="1117">
        <f>VLOOKUP($E214,CQ$442:CT$453,3,FALSE)*CQ214*($K214)+IF($G214&lt;&gt;0,($I214/$G214)*CQ214,0)*(1-$K214)</f>
        <v>0</v>
      </c>
      <c r="CT214" s="1117">
        <f>VLOOKUP($E214,CQ$442:CT$453,4,FALSE)*CQ214*($K214)+(CQ214-CR214-CS214)*(1-$K214)</f>
        <v>43646</v>
      </c>
      <c r="CU214" s="1073"/>
      <c r="CY214" s="1116">
        <f>$G214</f>
        <v>43646</v>
      </c>
      <c r="CZ214" s="1117">
        <f>VLOOKUP($E214,CY$442:DB$453,2,FALSE)*CY214*($K214)+IF($G214&lt;&gt;0,($H214/$G214)*CY214,0)*(1-$K214)</f>
        <v>0</v>
      </c>
      <c r="DA214" s="1117">
        <f>VLOOKUP($E214,CY$442:DB$453,3,FALSE)*CY214*($K214)+IF($G214&lt;&gt;0,($I214/$G214)*CY214,0)*(1-$K214)</f>
        <v>0</v>
      </c>
      <c r="DB214" s="1117">
        <f>VLOOKUP($E214,CY$442:DB$453,4,FALSE)*CY214*($K214)+(CY214-CZ214-DA214)*(1-$K214)</f>
        <v>43646</v>
      </c>
      <c r="DC214" s="1073"/>
      <c r="DG214" s="1116">
        <f>$G214</f>
        <v>43646</v>
      </c>
      <c r="DH214" s="1117">
        <f>VLOOKUP($E214,DG$442:DJ$453,2,FALSE)*DG214*($K214)+IF($G214&lt;&gt;0,($H214/$G214)*DG214,0)*(1-$K214)</f>
        <v>0</v>
      </c>
      <c r="DI214" s="1117">
        <f>VLOOKUP($E214,DG$442:DJ$453,3,FALSE)*DG214*($K214)+IF($G214&lt;&gt;0,($I214/$G214)*DG214,0)*(1-$K214)</f>
        <v>0</v>
      </c>
      <c r="DJ214" s="1117">
        <f>VLOOKUP($E214,DG$442:DJ$453,4,FALSE)*DG214*($K214)+(DG214-DH214-DI214)*(1-$K214)</f>
        <v>43646</v>
      </c>
      <c r="DK214" s="1073"/>
      <c r="DO214" s="1116">
        <f>$G214</f>
        <v>43646</v>
      </c>
      <c r="DP214" s="1117">
        <f>VLOOKUP($E214,DO$442:DR$453,2,FALSE)*DO214*($K214)+IF($G214&lt;&gt;0,($H214/$G214)*DO214,0)*(1-$K214)</f>
        <v>0</v>
      </c>
      <c r="DQ214" s="1117">
        <f>VLOOKUP($E214,DO$442:DR$453,3,FALSE)*DO214*($K214)+IF($G214&lt;&gt;0,($I214/$G214)*DO214,0)*(1-$K214)</f>
        <v>0</v>
      </c>
      <c r="DR214" s="1117">
        <f>VLOOKUP($E214,DO$442:DR$453,4,FALSE)*DO214*($K214)+(DO214-DP214-DQ214)*(1-$K214)</f>
        <v>43646</v>
      </c>
      <c r="DS214" s="1073"/>
      <c r="DW214" s="1116">
        <f>$G214</f>
        <v>43646</v>
      </c>
      <c r="DX214" s="1117">
        <f>VLOOKUP($E214,DW$442:DZ$453,2,FALSE)*DW214*($K214)+IF($G214&lt;&gt;0,($H214/$G214)*DW214,0)*(1-$K214)</f>
        <v>0</v>
      </c>
      <c r="DY214" s="1117">
        <f>VLOOKUP($E214,DW$442:DZ$453,3,FALSE)*DW214*($K214)+IF($G214&lt;&gt;0,($I214/$G214)*DW214,0)*(1-$K214)</f>
        <v>0</v>
      </c>
      <c r="DZ214" s="1117">
        <f>VLOOKUP($E214,DW$442:DZ$453,4,FALSE)*DW214*($K214)+(DW214-DX214-DY214)*(1-$K214)</f>
        <v>43646</v>
      </c>
      <c r="EA214" s="1073"/>
      <c r="EE214" s="1116">
        <f>$G214</f>
        <v>43646</v>
      </c>
      <c r="EF214" s="1117">
        <f>VLOOKUP($E214,EE$442:EH$453,2,FALSE)*EE214*($K214)+IF($G214&lt;&gt;0,($H214/$G214)*EE214,0)*(1-$K214)</f>
        <v>0</v>
      </c>
      <c r="EG214" s="1117">
        <f>VLOOKUP($E214,EE$442:EH$453,3,FALSE)*EE214*($K214)+IF($G214&lt;&gt;0,($I214/$G214)*EE214,0)*(1-$K214)</f>
        <v>0</v>
      </c>
      <c r="EH214" s="1117">
        <f>VLOOKUP($E214,EE$442:EH$453,4,FALSE)*EE214*($K214)+(EE214-EF214-EG214)*(1-$K214)</f>
        <v>43646</v>
      </c>
      <c r="EI214" s="1073"/>
      <c r="EM214" s="1116">
        <f>$G214</f>
        <v>43646</v>
      </c>
      <c r="EN214" s="1117">
        <f>VLOOKUP($E214,EM$442:EP$453,2,FALSE)*EM214*($K214)+IF($G214&lt;&gt;0,($H214/$G214)*EM214,0)*(1-$K214)</f>
        <v>0</v>
      </c>
      <c r="EO214" s="1117">
        <f>VLOOKUP($E214,EM$442:EP$453,3,FALSE)*EM214*($K214)+IF($G214&lt;&gt;0,($I214/$G214)*EM214,0)*(1-$K214)</f>
        <v>0</v>
      </c>
      <c r="EP214" s="1117">
        <f>VLOOKUP($E214,EM$442:EP$453,4,FALSE)*EM214*($K214)+(EM214-EN214-EO214)*(1-$K214)</f>
        <v>43646</v>
      </c>
      <c r="EQ214" s="1073"/>
      <c r="EU214" s="1116">
        <f>$G214</f>
        <v>43646</v>
      </c>
      <c r="EV214" s="1117">
        <f>VLOOKUP($E214,EU$442:EX$453,2,FALSE)*EU214*($K214)+IF($G214&lt;&gt;0,($H214/$G214)*EU214,0)*(1-$K214)</f>
        <v>0</v>
      </c>
      <c r="EW214" s="1117">
        <f>VLOOKUP($E214,EU$442:EX$453,3,FALSE)*EU214*($K214)+IF($G214&lt;&gt;0,($I214/$G214)*EU214,0)*(1-$K214)</f>
        <v>0</v>
      </c>
      <c r="EX214" s="1117">
        <f>VLOOKUP($E214,EU$442:EX$453,4,FALSE)*EU214*($K214)+(EU214-EV214-EW214)*(1-$K214)</f>
        <v>43646</v>
      </c>
      <c r="EY214" s="1073"/>
      <c r="FC214" s="1116">
        <f>$G214</f>
        <v>43646</v>
      </c>
      <c r="FD214" s="1117">
        <f>VLOOKUP($E214,FC$442:FF$453,2,FALSE)*FC214*($K214)+IF($G214&lt;&gt;0,($H214/$G214)*FC214,0)*(1-$K214)</f>
        <v>0</v>
      </c>
      <c r="FE214" s="1117">
        <f>VLOOKUP($E214,FC$442:FF$453,3,FALSE)*FC214*($K214)+IF($G214&lt;&gt;0,($I214/$G214)*FC214,0)*(1-$K214)</f>
        <v>0</v>
      </c>
      <c r="FF214" s="1117">
        <f>VLOOKUP($E214,FC$442:FF$453,4,FALSE)*FC214*($K214)+(FC214-FD214-FE214)*(1-$K214)</f>
        <v>43646</v>
      </c>
      <c r="FG214" s="1073"/>
      <c r="FK214" s="1116">
        <f>$G214</f>
        <v>43646</v>
      </c>
      <c r="FL214" s="1117">
        <f>VLOOKUP($E214,FK$442:FN$453,2,FALSE)*FK214*($K214)+IF($G214&lt;&gt;0,($H214/$G214)*FK214,0)*(1-$K214)</f>
        <v>0</v>
      </c>
      <c r="FM214" s="1117">
        <f>VLOOKUP($E214,FK$442:FN$453,3,FALSE)*FK214*($K214)+IF($G214&lt;&gt;0,($I214/$G214)*FK214,0)*(1-$K214)</f>
        <v>0</v>
      </c>
      <c r="FN214" s="1117">
        <f>VLOOKUP($E214,FK$442:FN$453,4,FALSE)*FK214*($K214)+(FK214-FL214-FM214)*(1-$K214)</f>
        <v>43646</v>
      </c>
      <c r="FO214" s="1073"/>
    </row>
    <row r="215" spans="1:171">
      <c r="A215" s="163" t="s">
        <v>494</v>
      </c>
      <c r="B215" s="10"/>
      <c r="C215" s="914"/>
      <c r="D215" s="915"/>
      <c r="E215" s="915"/>
      <c r="F215" s="916"/>
      <c r="G215" s="923">
        <f>SUM(G210:G214)</f>
        <v>43420871.850000001</v>
      </c>
      <c r="H215" s="923">
        <f>SUM(H210:H214)</f>
        <v>0</v>
      </c>
      <c r="I215" s="923">
        <f>SUM(I210:I214)</f>
        <v>0</v>
      </c>
      <c r="J215" s="1393">
        <f>SUM(J210:J214)</f>
        <v>43420871.850000001</v>
      </c>
      <c r="K215" s="903"/>
      <c r="O215" s="1136">
        <f>SUM(O210:O214)</f>
        <v>43420871.850000001</v>
      </c>
      <c r="P215" s="1136">
        <f>SUM(P210:P214)</f>
        <v>0</v>
      </c>
      <c r="Q215" s="1136">
        <f>SUM(Q210:Q214)</f>
        <v>0</v>
      </c>
      <c r="R215" s="1136">
        <f>SUM(R210:R214)</f>
        <v>43420871.850000001</v>
      </c>
      <c r="S215" s="1073"/>
      <c r="W215" s="1136">
        <f>SUM(W210:W214)</f>
        <v>43420871.850000001</v>
      </c>
      <c r="X215" s="1136">
        <f>SUM(X210:X214)</f>
        <v>0</v>
      </c>
      <c r="Y215" s="1136">
        <f>SUM(Y210:Y214)</f>
        <v>0</v>
      </c>
      <c r="Z215" s="1136">
        <f>SUM(Z210:Z214)</f>
        <v>43420871.850000001</v>
      </c>
      <c r="AA215" s="1073"/>
      <c r="AE215" s="1136">
        <f>SUM(AE210:AE214)</f>
        <v>43420871.850000001</v>
      </c>
      <c r="AF215" s="1136">
        <f>SUM(AF210:AF214)</f>
        <v>0</v>
      </c>
      <c r="AG215" s="1136">
        <f>SUM(AG210:AG214)</f>
        <v>0</v>
      </c>
      <c r="AH215" s="1136">
        <f>SUM(AH210:AH214)</f>
        <v>43420871.850000001</v>
      </c>
      <c r="AI215" s="1073"/>
      <c r="AM215" s="1136">
        <f>SUM(AM210:AM214)</f>
        <v>43420871.850000001</v>
      </c>
      <c r="AN215" s="1136">
        <f>SUM(AN210:AN214)</f>
        <v>0</v>
      </c>
      <c r="AO215" s="1136">
        <f>SUM(AO210:AO214)</f>
        <v>0</v>
      </c>
      <c r="AP215" s="1136">
        <f>SUM(AP210:AP214)</f>
        <v>43420871.850000001</v>
      </c>
      <c r="AQ215" s="1073"/>
      <c r="AU215" s="1136">
        <f>SUM(AU210:AU214)</f>
        <v>43420871.850000001</v>
      </c>
      <c r="AV215" s="1136">
        <f>SUM(AV210:AV214)</f>
        <v>0</v>
      </c>
      <c r="AW215" s="1136">
        <f>SUM(AW210:AW214)</f>
        <v>0</v>
      </c>
      <c r="AX215" s="1136">
        <f>SUM(AX210:AX214)</f>
        <v>43420871.850000001</v>
      </c>
      <c r="AY215" s="1073"/>
      <c r="BC215" s="1136">
        <f>SUM(BC210:BC214)</f>
        <v>43420871.850000001</v>
      </c>
      <c r="BD215" s="1136">
        <f>SUM(BD210:BD214)</f>
        <v>0</v>
      </c>
      <c r="BE215" s="1136">
        <f>SUM(BE210:BE214)</f>
        <v>0</v>
      </c>
      <c r="BF215" s="1136">
        <f>SUM(BF210:BF214)</f>
        <v>43420871.850000001</v>
      </c>
      <c r="BG215" s="1073"/>
      <c r="BK215" s="1136">
        <f>SUM(BK210:BK214)</f>
        <v>43420871.850000001</v>
      </c>
      <c r="BL215" s="1136">
        <f>SUM(BL210:BL214)</f>
        <v>0</v>
      </c>
      <c r="BM215" s="1136">
        <f>SUM(BM210:BM214)</f>
        <v>0</v>
      </c>
      <c r="BN215" s="1136">
        <f>SUM(BN210:BN214)</f>
        <v>43420871.850000001</v>
      </c>
      <c r="BO215" s="1073"/>
      <c r="BS215" s="1136">
        <f>SUM(BS210:BS214)</f>
        <v>43420871.850000001</v>
      </c>
      <c r="BT215" s="1136">
        <f>SUM(BT210:BT214)</f>
        <v>0</v>
      </c>
      <c r="BU215" s="1136">
        <f>SUM(BU210:BU214)</f>
        <v>0</v>
      </c>
      <c r="BV215" s="1136">
        <f>SUM(BV210:BV214)</f>
        <v>43420871.850000001</v>
      </c>
      <c r="BW215" s="1073"/>
      <c r="CA215" s="1136">
        <f>SUM(CA210:CA214)</f>
        <v>43420871.850000001</v>
      </c>
      <c r="CB215" s="1136">
        <f>SUM(CB210:CB214)</f>
        <v>0</v>
      </c>
      <c r="CC215" s="1136">
        <f>SUM(CC210:CC214)</f>
        <v>0</v>
      </c>
      <c r="CD215" s="1136">
        <f>SUM(CD210:CD214)</f>
        <v>43420871.850000001</v>
      </c>
      <c r="CE215" s="1073"/>
      <c r="CI215" s="1136">
        <f>SUM(CI210:CI214)</f>
        <v>43420871.850000001</v>
      </c>
      <c r="CJ215" s="1136">
        <f>SUM(CJ210:CJ214)</f>
        <v>0</v>
      </c>
      <c r="CK215" s="1136">
        <f>SUM(CK210:CK214)</f>
        <v>0</v>
      </c>
      <c r="CL215" s="1136">
        <f>SUM(CL210:CL214)</f>
        <v>43420871.850000001</v>
      </c>
      <c r="CM215" s="1073"/>
      <c r="CQ215" s="1136">
        <f>SUM(CQ210:CQ214)</f>
        <v>43420871.850000001</v>
      </c>
      <c r="CR215" s="1136">
        <f>SUM(CR210:CR214)</f>
        <v>0</v>
      </c>
      <c r="CS215" s="1136">
        <f>SUM(CS210:CS214)</f>
        <v>0</v>
      </c>
      <c r="CT215" s="1136">
        <f>SUM(CT210:CT214)</f>
        <v>43420871.850000001</v>
      </c>
      <c r="CU215" s="1073"/>
      <c r="CY215" s="1136">
        <f>SUM(CY210:CY214)</f>
        <v>43420871.850000001</v>
      </c>
      <c r="CZ215" s="1136">
        <f>SUM(CZ210:CZ214)</f>
        <v>0</v>
      </c>
      <c r="DA215" s="1136">
        <f>SUM(DA210:DA214)</f>
        <v>0</v>
      </c>
      <c r="DB215" s="1136">
        <f>SUM(DB210:DB214)</f>
        <v>43420871.850000001</v>
      </c>
      <c r="DC215" s="1073"/>
      <c r="DG215" s="1136">
        <f>SUM(DG210:DG214)</f>
        <v>43420871.850000001</v>
      </c>
      <c r="DH215" s="1136">
        <f>SUM(DH210:DH214)</f>
        <v>0</v>
      </c>
      <c r="DI215" s="1136">
        <f>SUM(DI210:DI214)</f>
        <v>0</v>
      </c>
      <c r="DJ215" s="1136">
        <f>SUM(DJ210:DJ214)</f>
        <v>43420871.850000001</v>
      </c>
      <c r="DK215" s="1073"/>
      <c r="DO215" s="1136">
        <f>SUM(DO210:DO214)</f>
        <v>43420871.850000001</v>
      </c>
      <c r="DP215" s="1136">
        <f>SUM(DP210:DP214)</f>
        <v>0</v>
      </c>
      <c r="DQ215" s="1136">
        <f>SUM(DQ210:DQ214)</f>
        <v>0</v>
      </c>
      <c r="DR215" s="1136">
        <f>SUM(DR210:DR214)</f>
        <v>43420871.850000001</v>
      </c>
      <c r="DS215" s="1073"/>
      <c r="DW215" s="1136">
        <f>SUM(DW210:DW214)</f>
        <v>43420871.850000001</v>
      </c>
      <c r="DX215" s="1136">
        <f>SUM(DX210:DX214)</f>
        <v>0</v>
      </c>
      <c r="DY215" s="1136">
        <f>SUM(DY210:DY214)</f>
        <v>0</v>
      </c>
      <c r="DZ215" s="1136">
        <f>SUM(DZ210:DZ214)</f>
        <v>43420871.850000001</v>
      </c>
      <c r="EA215" s="1073"/>
      <c r="EE215" s="1136">
        <f>SUM(EE210:EE214)</f>
        <v>43420871.850000001</v>
      </c>
      <c r="EF215" s="1136">
        <f>SUM(EF210:EF214)</f>
        <v>0</v>
      </c>
      <c r="EG215" s="1136">
        <f>SUM(EG210:EG214)</f>
        <v>0</v>
      </c>
      <c r="EH215" s="1136">
        <f>SUM(EH210:EH214)</f>
        <v>43420871.850000001</v>
      </c>
      <c r="EI215" s="1073"/>
      <c r="EM215" s="1136">
        <f>SUM(EM210:EM214)</f>
        <v>43420871.850000001</v>
      </c>
      <c r="EN215" s="1136">
        <f>SUM(EN210:EN214)</f>
        <v>0</v>
      </c>
      <c r="EO215" s="1136">
        <f>SUM(EO210:EO214)</f>
        <v>0</v>
      </c>
      <c r="EP215" s="1136">
        <f>SUM(EP210:EP214)</f>
        <v>43420871.850000001</v>
      </c>
      <c r="EQ215" s="1073"/>
      <c r="EU215" s="1136">
        <f>SUM(EU210:EU214)</f>
        <v>43420871.850000001</v>
      </c>
      <c r="EV215" s="1136">
        <f>SUM(EV210:EV214)</f>
        <v>0</v>
      </c>
      <c r="EW215" s="1136">
        <f>SUM(EW210:EW214)</f>
        <v>0</v>
      </c>
      <c r="EX215" s="1136">
        <f>SUM(EX210:EX214)</f>
        <v>43420871.850000001</v>
      </c>
      <c r="EY215" s="1073"/>
      <c r="FC215" s="1136">
        <f>SUM(FC210:FC214)</f>
        <v>43420871.850000001</v>
      </c>
      <c r="FD215" s="1136">
        <f>SUM(FD210:FD214)</f>
        <v>0</v>
      </c>
      <c r="FE215" s="1136">
        <f>SUM(FE210:FE214)</f>
        <v>0</v>
      </c>
      <c r="FF215" s="1136">
        <f>SUM(FF210:FF214)</f>
        <v>43420871.850000001</v>
      </c>
      <c r="FG215" s="1073"/>
      <c r="FK215" s="1136">
        <f>SUM(FK210:FK214)</f>
        <v>43420871.850000001</v>
      </c>
      <c r="FL215" s="1136">
        <f>SUM(FL210:FL214)</f>
        <v>0</v>
      </c>
      <c r="FM215" s="1136">
        <f>SUM(FM210:FM214)</f>
        <v>0</v>
      </c>
      <c r="FN215" s="1136">
        <f>SUM(FN210:FN214)</f>
        <v>43420871.850000001</v>
      </c>
      <c r="FO215" s="1073"/>
    </row>
    <row r="216" spans="1:171">
      <c r="A216" s="228"/>
      <c r="B216" s="10"/>
      <c r="C216" s="55"/>
      <c r="D216" s="196"/>
      <c r="E216" s="196"/>
      <c r="F216" s="196"/>
      <c r="G216" s="998"/>
      <c r="H216" s="56"/>
      <c r="I216" s="56"/>
      <c r="J216" s="999"/>
      <c r="K216" s="903"/>
      <c r="O216" s="1079"/>
      <c r="S216" s="1073"/>
      <c r="W216" s="1079"/>
      <c r="AA216" s="1073"/>
      <c r="AE216" s="1079"/>
      <c r="AI216" s="1073"/>
      <c r="AM216" s="1079"/>
      <c r="AQ216" s="1073"/>
      <c r="AU216" s="1079"/>
      <c r="AY216" s="1073"/>
      <c r="BC216" s="1079"/>
      <c r="BG216" s="1073"/>
      <c r="BK216" s="1079"/>
      <c r="BO216" s="1073"/>
      <c r="BS216" s="1079"/>
      <c r="BW216" s="1073"/>
      <c r="CA216" s="1079"/>
      <c r="CE216" s="1073"/>
      <c r="CI216" s="1079"/>
      <c r="CM216" s="1073"/>
      <c r="CQ216" s="1079"/>
      <c r="CU216" s="1073"/>
      <c r="CY216" s="1079"/>
      <c r="DC216" s="1073"/>
      <c r="DG216" s="1079"/>
      <c r="DK216" s="1073"/>
      <c r="DO216" s="1079"/>
      <c r="DS216" s="1073"/>
      <c r="DW216" s="1079"/>
      <c r="EA216" s="1073"/>
      <c r="EE216" s="1079"/>
      <c r="EI216" s="1073"/>
      <c r="EM216" s="1079"/>
      <c r="EQ216" s="1073"/>
      <c r="EU216" s="1079"/>
      <c r="EY216" s="1073"/>
      <c r="FC216" s="1079"/>
      <c r="FG216" s="1073"/>
      <c r="FK216" s="1079"/>
      <c r="FO216" s="1073"/>
    </row>
    <row r="217" spans="1:171">
      <c r="A217" s="160" t="s">
        <v>495</v>
      </c>
      <c r="B217" s="10"/>
      <c r="C217" s="55"/>
      <c r="D217" s="196"/>
      <c r="E217" s="10"/>
      <c r="F217" s="10"/>
      <c r="G217" s="989"/>
      <c r="H217" s="885"/>
      <c r="I217" s="885"/>
      <c r="J217" s="936"/>
      <c r="K217" s="903"/>
      <c r="O217" s="1079"/>
      <c r="S217" s="1073"/>
      <c r="W217" s="1079"/>
      <c r="AA217" s="1073"/>
      <c r="AE217" s="1079"/>
      <c r="AI217" s="1073"/>
      <c r="AM217" s="1079"/>
      <c r="AQ217" s="1073"/>
      <c r="AU217" s="1079"/>
      <c r="AY217" s="1073"/>
      <c r="BC217" s="1079"/>
      <c r="BG217" s="1073"/>
      <c r="BK217" s="1079"/>
      <c r="BO217" s="1073"/>
      <c r="BS217" s="1079"/>
      <c r="BW217" s="1073"/>
      <c r="CA217" s="1079"/>
      <c r="CE217" s="1073"/>
      <c r="CI217" s="1079"/>
      <c r="CM217" s="1073"/>
      <c r="CQ217" s="1079"/>
      <c r="CU217" s="1073"/>
      <c r="CY217" s="1079"/>
      <c r="DC217" s="1073"/>
      <c r="DG217" s="1079"/>
      <c r="DK217" s="1073"/>
      <c r="DO217" s="1079"/>
      <c r="DS217" s="1073"/>
      <c r="DW217" s="1079"/>
      <c r="EA217" s="1073"/>
      <c r="EE217" s="1079"/>
      <c r="EI217" s="1073"/>
      <c r="EM217" s="1079"/>
      <c r="EQ217" s="1073"/>
      <c r="EU217" s="1079"/>
      <c r="EY217" s="1073"/>
      <c r="FC217" s="1079"/>
      <c r="FG217" s="1073"/>
      <c r="FK217" s="1079"/>
      <c r="FO217" s="1073"/>
    </row>
    <row r="218" spans="1:171">
      <c r="A218" s="160"/>
      <c r="B218" s="990" t="s">
        <v>441</v>
      </c>
      <c r="C218" s="55"/>
      <c r="D218" s="196"/>
      <c r="E218" s="10"/>
      <c r="F218" s="10"/>
      <c r="G218" s="989"/>
      <c r="H218" s="885"/>
      <c r="I218" s="885"/>
      <c r="J218" s="936"/>
      <c r="K218" s="903"/>
      <c r="O218" s="1079"/>
      <c r="S218" s="1073"/>
      <c r="W218" s="1079"/>
      <c r="AA218" s="1073"/>
      <c r="AE218" s="1079"/>
      <c r="AI218" s="1073"/>
      <c r="AM218" s="1079"/>
      <c r="AQ218" s="1073"/>
      <c r="AU218" s="1079"/>
      <c r="AY218" s="1073"/>
      <c r="BC218" s="1079"/>
      <c r="BG218" s="1073"/>
      <c r="BK218" s="1079"/>
      <c r="BO218" s="1073"/>
      <c r="BS218" s="1079"/>
      <c r="BW218" s="1073"/>
      <c r="CA218" s="1079"/>
      <c r="CE218" s="1073"/>
      <c r="CI218" s="1079"/>
      <c r="CM218" s="1073"/>
      <c r="CQ218" s="1079"/>
      <c r="CU218" s="1073"/>
      <c r="CY218" s="1079"/>
      <c r="DC218" s="1073"/>
      <c r="DG218" s="1079"/>
      <c r="DK218" s="1073"/>
      <c r="DO218" s="1079"/>
      <c r="DS218" s="1073"/>
      <c r="DW218" s="1079"/>
      <c r="EA218" s="1073"/>
      <c r="EE218" s="1079"/>
      <c r="EI218" s="1073"/>
      <c r="EM218" s="1079"/>
      <c r="EQ218" s="1073"/>
      <c r="EU218" s="1079"/>
      <c r="EY218" s="1073"/>
      <c r="FC218" s="1079"/>
      <c r="FG218" s="1073"/>
      <c r="FK218" s="1079"/>
      <c r="FO218" s="1073"/>
    </row>
    <row r="219" spans="1:171">
      <c r="A219" s="912"/>
      <c r="B219" s="913" t="s">
        <v>163</v>
      </c>
      <c r="C219" s="888" t="s">
        <v>72</v>
      </c>
      <c r="D219" s="888">
        <v>920</v>
      </c>
      <c r="E219" s="182" t="str">
        <f>'Sch 3 - Expenses'!E59</f>
        <v>LABOR</v>
      </c>
      <c r="F219" s="889"/>
      <c r="G219" s="182">
        <f>'Sch 3 - Expenses'!G59</f>
        <v>32491999.100000001</v>
      </c>
      <c r="H219" s="182">
        <f>'Sch 3 - Expenses'!H59</f>
        <v>11894366.986961963</v>
      </c>
      <c r="I219" s="182">
        <f>'Sch 3 - Expenses'!I59</f>
        <v>0</v>
      </c>
      <c r="J219" s="183">
        <f>'Sch 3 - Expenses'!J59</f>
        <v>20597632.113038037</v>
      </c>
      <c r="K219" s="903">
        <f t="shared" ref="K219:K234" si="548">IF($E219="DIRECT",0,1)</f>
        <v>1</v>
      </c>
      <c r="O219" s="1116">
        <f t="shared" ref="O219:O232" si="549">$G219</f>
        <v>32491999.100000001</v>
      </c>
      <c r="P219" s="1117">
        <f t="shared" ref="P219:P234" si="550">VLOOKUP($E219,O$442:R$453,2,FALSE)*O219*($K219)+IF($G219&lt;&gt;0,($H219/$G219)*O219,0)*(1-$K219)</f>
        <v>11894366.986961963</v>
      </c>
      <c r="Q219" s="1117">
        <f t="shared" ref="Q219:Q234" si="551">VLOOKUP($E219,O$442:R$453,3,FALSE)*O219*($K219)+IF($G219&lt;&gt;0,($I219/$G219)*O219,0)*(1-$K219)</f>
        <v>2492568.0737208417</v>
      </c>
      <c r="R219" s="1117">
        <f t="shared" ref="R219:R234" si="552">VLOOKUP($E219,O$442:R$453,4,FALSE)*O219*($K219)+(O219-P219-Q219)*(1-$K219)</f>
        <v>18105064.039317198</v>
      </c>
      <c r="S219" s="1073"/>
      <c r="W219" s="1116">
        <f t="shared" ref="W219:W232" si="553">$G219</f>
        <v>32491999.100000001</v>
      </c>
      <c r="X219" s="1117">
        <f t="shared" ref="X219:X232" si="554">VLOOKUP($E219,W$442:Z$453,2,FALSE)*W219*($K219)+IF($G219&lt;&gt;0,($H219/$G219)*W219,0)*(1-$K219)</f>
        <v>11894366.986961963</v>
      </c>
      <c r="Y219" s="1117">
        <f t="shared" ref="Y219:Y232" si="555">VLOOKUP($E219,W$442:Z$453,3,FALSE)*W219*($K219)+IF($G219&lt;&gt;0,($I219/$G219)*W219,0)*(1-$K219)</f>
        <v>2492568.0737208417</v>
      </c>
      <c r="Z219" s="1117">
        <f t="shared" ref="Z219:Z232" si="556">VLOOKUP($E219,W$442:Z$453,4,FALSE)*W219*($K219)+(W219-X219-Y219)*(1-$K219)</f>
        <v>18105064.039317198</v>
      </c>
      <c r="AA219" s="1073"/>
      <c r="AE219" s="1116">
        <f t="shared" ref="AE219:AE232" si="557">$G219</f>
        <v>32491999.100000001</v>
      </c>
      <c r="AF219" s="1117">
        <f t="shared" ref="AF219:AF232" si="558">VLOOKUP($E219,AE$442:AH$453,2,FALSE)*AE219*($K219)+IF($G219&lt;&gt;0,($H219/$G219)*AE219,0)*(1-$K219)</f>
        <v>11894366.986961963</v>
      </c>
      <c r="AG219" s="1117">
        <f t="shared" ref="AG219:AG232" si="559">VLOOKUP($E219,AE$442:AH$453,3,FALSE)*AE219*($K219)+IF($G219&lt;&gt;0,($I219/$G219)*AE219,0)*(1-$K219)</f>
        <v>2492568.0737208417</v>
      </c>
      <c r="AH219" s="1117">
        <f t="shared" ref="AH219:AH232" si="560">VLOOKUP($E219,AE$442:AH$453,4,FALSE)*AE219*($K219)+(AE219-AF219-AG219)*(1-$K219)</f>
        <v>18105064.039317198</v>
      </c>
      <c r="AI219" s="1073"/>
      <c r="AM219" s="1116">
        <f t="shared" ref="AM219:AM232" si="561">$G219</f>
        <v>32491999.100000001</v>
      </c>
      <c r="AN219" s="1117">
        <f t="shared" ref="AN219:AN232" si="562">VLOOKUP($E219,AM$442:AP$453,2,FALSE)*AM219*($K219)+IF($G219&lt;&gt;0,($H219/$G219)*AM219,0)*(1-$K219)</f>
        <v>11894366.986961963</v>
      </c>
      <c r="AO219" s="1117">
        <f t="shared" ref="AO219:AO232" si="563">VLOOKUP($E219,AM$442:AP$453,3,FALSE)*AM219*($K219)+IF($G219&lt;&gt;0,($I219/$G219)*AM219,0)*(1-$K219)</f>
        <v>2492568.0737208417</v>
      </c>
      <c r="AP219" s="1117">
        <f t="shared" ref="AP219:AP232" si="564">VLOOKUP($E219,AM$442:AP$453,4,FALSE)*AM219*($K219)+(AM219-AN219-AO219)*(1-$K219)</f>
        <v>18105064.039317198</v>
      </c>
      <c r="AQ219" s="1073"/>
      <c r="AU219" s="1116">
        <f t="shared" ref="AU219:AU232" si="565">$G219</f>
        <v>32491999.100000001</v>
      </c>
      <c r="AV219" s="1117">
        <f t="shared" ref="AV219:AV232" si="566">VLOOKUP($E219,AU$442:AX$453,2,FALSE)*AU219*($K219)+IF($G219&lt;&gt;0,($H219/$G219)*AU219,0)*(1-$K219)</f>
        <v>11894366.986961963</v>
      </c>
      <c r="AW219" s="1117">
        <f t="shared" ref="AW219:AW232" si="567">VLOOKUP($E219,AU$442:AX$453,3,FALSE)*AU219*($K219)+IF($G219&lt;&gt;0,($I219/$G219)*AU219,0)*(1-$K219)</f>
        <v>2492568.0737208417</v>
      </c>
      <c r="AX219" s="1117">
        <f t="shared" ref="AX219:AX232" si="568">VLOOKUP($E219,AU$442:AX$453,4,FALSE)*AU219*($K219)+(AU219-AV219-AW219)*(1-$K219)</f>
        <v>18105064.039317198</v>
      </c>
      <c r="AY219" s="1073"/>
      <c r="BC219" s="1116">
        <f t="shared" ref="BC219:BC232" si="569">$G219</f>
        <v>32491999.100000001</v>
      </c>
      <c r="BD219" s="1117">
        <f t="shared" ref="BD219:BD232" si="570">VLOOKUP($E219,BC$442:BF$453,2,FALSE)*BC219*($K219)+IF($G219&lt;&gt;0,($H219/$G219)*BC219,0)*(1-$K219)</f>
        <v>11894366.986961963</v>
      </c>
      <c r="BE219" s="1117">
        <f t="shared" ref="BE219:BE232" si="571">VLOOKUP($E219,BC$442:BF$453,3,FALSE)*BC219*($K219)+IF($G219&lt;&gt;0,($I219/$G219)*BC219,0)*(1-$K219)</f>
        <v>2492568.0737208417</v>
      </c>
      <c r="BF219" s="1117">
        <f t="shared" ref="BF219:BF232" si="572">VLOOKUP($E219,BC$442:BF$453,4,FALSE)*BC219*($K219)+(BC219-BD219-BE219)*(1-$K219)</f>
        <v>18105064.039317198</v>
      </c>
      <c r="BG219" s="1073"/>
      <c r="BK219" s="1116">
        <f t="shared" ref="BK219:BK232" si="573">$G219</f>
        <v>32491999.100000001</v>
      </c>
      <c r="BL219" s="1117">
        <f t="shared" ref="BL219:BL232" si="574">VLOOKUP($E219,BK$442:BN$453,2,FALSE)*BK219*($K219)+IF($G219&lt;&gt;0,($H219/$G219)*BK219,0)*(1-$K219)</f>
        <v>11894366.986961963</v>
      </c>
      <c r="BM219" s="1117">
        <f t="shared" ref="BM219:BM232" si="575">VLOOKUP($E219,BK$442:BN$453,3,FALSE)*BK219*($K219)+IF($G219&lt;&gt;0,($I219/$G219)*BK219,0)*(1-$K219)</f>
        <v>2492568.0737208417</v>
      </c>
      <c r="BN219" s="1117">
        <f t="shared" ref="BN219:BN232" si="576">VLOOKUP($E219,BK$442:BN$453,4,FALSE)*BK219*($K219)+(BK219-BL219-BM219)*(1-$K219)</f>
        <v>18105064.039317198</v>
      </c>
      <c r="BO219" s="1073"/>
      <c r="BS219" s="1116">
        <f t="shared" ref="BS219:BS232" si="577">$G219</f>
        <v>32491999.100000001</v>
      </c>
      <c r="BT219" s="1117">
        <f t="shared" ref="BT219:BT232" si="578">VLOOKUP($E219,BS$442:BV$453,2,FALSE)*BS219*($K219)+IF($G219&lt;&gt;0,($H219/$G219)*BS219,0)*(1-$K219)</f>
        <v>11894366.986961963</v>
      </c>
      <c r="BU219" s="1117">
        <f t="shared" ref="BU219:BU232" si="579">VLOOKUP($E219,BS$442:BV$453,3,FALSE)*BS219*($K219)+IF($G219&lt;&gt;0,($I219/$G219)*BS219,0)*(1-$K219)</f>
        <v>2492568.0737208417</v>
      </c>
      <c r="BV219" s="1117">
        <f t="shared" ref="BV219:BV232" si="580">VLOOKUP($E219,BS$442:BV$453,4,FALSE)*BS219*($K219)+(BS219-BT219-BU219)*(1-$K219)</f>
        <v>18105064.039317198</v>
      </c>
      <c r="BW219" s="1073"/>
      <c r="CA219" s="1116">
        <f t="shared" ref="CA219:CA232" si="581">$G219</f>
        <v>32491999.100000001</v>
      </c>
      <c r="CB219" s="1117">
        <f t="shared" ref="CB219:CB232" si="582">VLOOKUP($E219,CA$442:CD$453,2,FALSE)*CA219*($K219)+IF($G219&lt;&gt;0,($H219/$G219)*CA219,0)*(1-$K219)</f>
        <v>11894366.986961963</v>
      </c>
      <c r="CC219" s="1117">
        <f t="shared" ref="CC219:CC232" si="583">VLOOKUP($E219,CA$442:CD$453,3,FALSE)*CA219*($K219)+IF($G219&lt;&gt;0,($I219/$G219)*CA219,0)*(1-$K219)</f>
        <v>2492568.0737208417</v>
      </c>
      <c r="CD219" s="1117">
        <f t="shared" ref="CD219:CD232" si="584">VLOOKUP($E219,CA$442:CD$453,4,FALSE)*CA219*($K219)+(CA219-CB219-CC219)*(1-$K219)</f>
        <v>18105064.039317198</v>
      </c>
      <c r="CE219" s="1073"/>
      <c r="CI219" s="1116">
        <f t="shared" ref="CI219:CI232" si="585">$G219</f>
        <v>32491999.100000001</v>
      </c>
      <c r="CJ219" s="1117">
        <f t="shared" ref="CJ219:CJ232" si="586">VLOOKUP($E219,CI$442:CL$453,2,FALSE)*CI219*($K219)+IF($G219&lt;&gt;0,($H219/$G219)*CI219,0)*(1-$K219)</f>
        <v>11894366.986961963</v>
      </c>
      <c r="CK219" s="1117">
        <f t="shared" ref="CK219:CK232" si="587">VLOOKUP($E219,CI$442:CL$453,3,FALSE)*CI219*($K219)+IF($G219&lt;&gt;0,($I219/$G219)*CI219,0)*(1-$K219)</f>
        <v>2492568.0737208417</v>
      </c>
      <c r="CL219" s="1117">
        <f t="shared" ref="CL219:CL232" si="588">VLOOKUP($E219,CI$442:CL$453,4,FALSE)*CI219*($K219)+(CI219-CJ219-CK219)*(1-$K219)</f>
        <v>18105064.039317198</v>
      </c>
      <c r="CM219" s="1073"/>
      <c r="CQ219" s="1116">
        <f t="shared" ref="CQ219:CQ232" si="589">$G219</f>
        <v>32491999.100000001</v>
      </c>
      <c r="CR219" s="1117">
        <f t="shared" ref="CR219:CR232" si="590">VLOOKUP($E219,CQ$442:CT$453,2,FALSE)*CQ219*($K219)+IF($G219&lt;&gt;0,($H219/$G219)*CQ219,0)*(1-$K219)</f>
        <v>11894366.986961963</v>
      </c>
      <c r="CS219" s="1117">
        <f t="shared" ref="CS219:CS232" si="591">VLOOKUP($E219,CQ$442:CT$453,3,FALSE)*CQ219*($K219)+IF($G219&lt;&gt;0,($I219/$G219)*CQ219,0)*(1-$K219)</f>
        <v>2492568.0737208417</v>
      </c>
      <c r="CT219" s="1117">
        <f t="shared" ref="CT219:CT232" si="592">VLOOKUP($E219,CQ$442:CT$453,4,FALSE)*CQ219*($K219)+(CQ219-CR219-CS219)*(1-$K219)</f>
        <v>18105064.039317198</v>
      </c>
      <c r="CU219" s="1073"/>
      <c r="CY219" s="1116">
        <f t="shared" ref="CY219:CY232" si="593">$G219</f>
        <v>32491999.100000001</v>
      </c>
      <c r="CZ219" s="1117">
        <f t="shared" ref="CZ219:CZ232" si="594">VLOOKUP($E219,CY$442:DB$453,2,FALSE)*CY219*($K219)+IF($G219&lt;&gt;0,($H219/$G219)*CY219,0)*(1-$K219)</f>
        <v>11894366.986961963</v>
      </c>
      <c r="DA219" s="1117">
        <f t="shared" ref="DA219:DA232" si="595">VLOOKUP($E219,CY$442:DB$453,3,FALSE)*CY219*($K219)+IF($G219&lt;&gt;0,($I219/$G219)*CY219,0)*(1-$K219)</f>
        <v>2492568.0737208417</v>
      </c>
      <c r="DB219" s="1117">
        <f t="shared" ref="DB219:DB232" si="596">VLOOKUP($E219,CY$442:DB$453,4,FALSE)*CY219*($K219)+(CY219-CZ219-DA219)*(1-$K219)</f>
        <v>18105064.039317198</v>
      </c>
      <c r="DC219" s="1073"/>
      <c r="DG219" s="1116">
        <f t="shared" ref="DG219:DG232" si="597">$G219</f>
        <v>32491999.100000001</v>
      </c>
      <c r="DH219" s="1117">
        <f t="shared" ref="DH219:DH232" si="598">VLOOKUP($E219,DG$442:DJ$453,2,FALSE)*DG219*($K219)+IF($G219&lt;&gt;0,($H219/$G219)*DG219,0)*(1-$K219)</f>
        <v>11894366.986961963</v>
      </c>
      <c r="DI219" s="1117">
        <f t="shared" ref="DI219:DI232" si="599">VLOOKUP($E219,DG$442:DJ$453,3,FALSE)*DG219*($K219)+IF($G219&lt;&gt;0,($I219/$G219)*DG219,0)*(1-$K219)</f>
        <v>2492568.0737208417</v>
      </c>
      <c r="DJ219" s="1117">
        <f t="shared" ref="DJ219:DJ232" si="600">VLOOKUP($E219,DG$442:DJ$453,4,FALSE)*DG219*($K219)+(DG219-DH219-DI219)*(1-$K219)</f>
        <v>18105064.039317198</v>
      </c>
      <c r="DK219" s="1073"/>
      <c r="DO219" s="1116">
        <f t="shared" ref="DO219:DO232" si="601">$G219</f>
        <v>32491999.100000001</v>
      </c>
      <c r="DP219" s="1117">
        <f t="shared" ref="DP219:DP232" si="602">VLOOKUP($E219,DO$442:DR$453,2,FALSE)*DO219*($K219)+IF($G219&lt;&gt;0,($H219/$G219)*DO219,0)*(1-$K219)</f>
        <v>11894366.986961963</v>
      </c>
      <c r="DQ219" s="1117">
        <f t="shared" ref="DQ219:DQ232" si="603">VLOOKUP($E219,DO$442:DR$453,3,FALSE)*DO219*($K219)+IF($G219&lt;&gt;0,($I219/$G219)*DO219,0)*(1-$K219)</f>
        <v>2492568.0737208417</v>
      </c>
      <c r="DR219" s="1117">
        <f t="shared" ref="DR219:DR232" si="604">VLOOKUP($E219,DO$442:DR$453,4,FALSE)*DO219*($K219)+(DO219-DP219-DQ219)*(1-$K219)</f>
        <v>18105064.039317198</v>
      </c>
      <c r="DS219" s="1073"/>
      <c r="DW219" s="1116">
        <f t="shared" ref="DW219:DW232" si="605">$G219</f>
        <v>32491999.100000001</v>
      </c>
      <c r="DX219" s="1117">
        <f t="shared" ref="DX219:DX232" si="606">VLOOKUP($E219,DW$442:DZ$453,2,FALSE)*DW219*($K219)+IF($G219&lt;&gt;0,($H219/$G219)*DW219,0)*(1-$K219)</f>
        <v>11894366.986961963</v>
      </c>
      <c r="DY219" s="1117">
        <f t="shared" ref="DY219:DY232" si="607">VLOOKUP($E219,DW$442:DZ$453,3,FALSE)*DW219*($K219)+IF($G219&lt;&gt;0,($I219/$G219)*DW219,0)*(1-$K219)</f>
        <v>2492568.0737208417</v>
      </c>
      <c r="DZ219" s="1117">
        <f t="shared" ref="DZ219:DZ232" si="608">VLOOKUP($E219,DW$442:DZ$453,4,FALSE)*DW219*($K219)+(DW219-DX219-DY219)*(1-$K219)</f>
        <v>18105064.039317198</v>
      </c>
      <c r="EA219" s="1073"/>
      <c r="EE219" s="1116">
        <f t="shared" ref="EE219:EE232" si="609">$G219</f>
        <v>32491999.100000001</v>
      </c>
      <c r="EF219" s="1117">
        <f t="shared" ref="EF219:EF232" si="610">VLOOKUP($E219,EE$442:EH$453,2,FALSE)*EE219*($K219)+IF($G219&lt;&gt;0,($H219/$G219)*EE219,0)*(1-$K219)</f>
        <v>11894366.986961963</v>
      </c>
      <c r="EG219" s="1117">
        <f t="shared" ref="EG219:EG232" si="611">VLOOKUP($E219,EE$442:EH$453,3,FALSE)*EE219*($K219)+IF($G219&lt;&gt;0,($I219/$G219)*EE219,0)*(1-$K219)</f>
        <v>2492568.0737208417</v>
      </c>
      <c r="EH219" s="1117">
        <f t="shared" ref="EH219:EH232" si="612">VLOOKUP($E219,EE$442:EH$453,4,FALSE)*EE219*($K219)+(EE219-EF219-EG219)*(1-$K219)</f>
        <v>18105064.039317198</v>
      </c>
      <c r="EI219" s="1073"/>
      <c r="EM219" s="1116">
        <f t="shared" ref="EM219:EM232" si="613">$G219</f>
        <v>32491999.100000001</v>
      </c>
      <c r="EN219" s="1117">
        <f t="shared" ref="EN219:EN232" si="614">VLOOKUP($E219,EM$442:EP$453,2,FALSE)*EM219*($K219)+IF($G219&lt;&gt;0,($H219/$G219)*EM219,0)*(1-$K219)</f>
        <v>11894366.986961963</v>
      </c>
      <c r="EO219" s="1117">
        <f t="shared" ref="EO219:EO232" si="615">VLOOKUP($E219,EM$442:EP$453,3,FALSE)*EM219*($K219)+IF($G219&lt;&gt;0,($I219/$G219)*EM219,0)*(1-$K219)</f>
        <v>2492568.0737208417</v>
      </c>
      <c r="EP219" s="1117">
        <f t="shared" ref="EP219:EP232" si="616">VLOOKUP($E219,EM$442:EP$453,4,FALSE)*EM219*($K219)+(EM219-EN219-EO219)*(1-$K219)</f>
        <v>18105064.039317198</v>
      </c>
      <c r="EQ219" s="1073"/>
      <c r="EU219" s="1116">
        <f t="shared" ref="EU219:EU232" si="617">$G219</f>
        <v>32491999.100000001</v>
      </c>
      <c r="EV219" s="1117">
        <f t="shared" ref="EV219:EV232" si="618">VLOOKUP($E219,EU$442:EX$453,2,FALSE)*EU219*($K219)+IF($G219&lt;&gt;0,($H219/$G219)*EU219,0)*(1-$K219)</f>
        <v>11894366.986961963</v>
      </c>
      <c r="EW219" s="1117">
        <f t="shared" ref="EW219:EW232" si="619">VLOOKUP($E219,EU$442:EX$453,3,FALSE)*EU219*($K219)+IF($G219&lt;&gt;0,($I219/$G219)*EU219,0)*(1-$K219)</f>
        <v>2492568.0737208417</v>
      </c>
      <c r="EX219" s="1117">
        <f t="shared" ref="EX219:EX232" si="620">VLOOKUP($E219,EU$442:EX$453,4,FALSE)*EU219*($K219)+(EU219-EV219-EW219)*(1-$K219)</f>
        <v>18105064.039317198</v>
      </c>
      <c r="EY219" s="1073"/>
      <c r="FC219" s="1116">
        <f t="shared" ref="FC219:FC232" si="621">$G219</f>
        <v>32491999.100000001</v>
      </c>
      <c r="FD219" s="1117">
        <f t="shared" ref="FD219:FD232" si="622">VLOOKUP($E219,FC$442:FF$453,2,FALSE)*FC219*($K219)+IF($G219&lt;&gt;0,($H219/$G219)*FC219,0)*(1-$K219)</f>
        <v>11894366.986961963</v>
      </c>
      <c r="FE219" s="1117">
        <f t="shared" ref="FE219:FE232" si="623">VLOOKUP($E219,FC$442:FF$453,3,FALSE)*FC219*($K219)+IF($G219&lt;&gt;0,($I219/$G219)*FC219,0)*(1-$K219)</f>
        <v>2492568.0737208417</v>
      </c>
      <c r="FF219" s="1117">
        <f t="shared" ref="FF219:FF232" si="624">VLOOKUP($E219,FC$442:FF$453,4,FALSE)*FC219*($K219)+(FC219-FD219-FE219)*(1-$K219)</f>
        <v>18105064.039317198</v>
      </c>
      <c r="FG219" s="1073"/>
      <c r="FK219" s="1116">
        <f t="shared" ref="FK219:FK232" si="625">$G219</f>
        <v>32491999.100000001</v>
      </c>
      <c r="FL219" s="1117">
        <f t="shared" ref="FL219:FL232" si="626">VLOOKUP($E219,FK$442:FN$453,2,FALSE)*FK219*($K219)+IF($G219&lt;&gt;0,($H219/$G219)*FK219,0)*(1-$K219)</f>
        <v>11894366.986961963</v>
      </c>
      <c r="FM219" s="1117">
        <f t="shared" ref="FM219:FM232" si="627">VLOOKUP($E219,FK$442:FN$453,3,FALSE)*FK219*($K219)+IF($G219&lt;&gt;0,($I219/$G219)*FK219,0)*(1-$K219)</f>
        <v>2492568.0737208417</v>
      </c>
      <c r="FN219" s="1117">
        <f t="shared" ref="FN219:FN232" si="628">VLOOKUP($E219,FK$442:FN$453,4,FALSE)*FK219*($K219)+(FK219-FL219-FM219)*(1-$K219)</f>
        <v>18105064.039317198</v>
      </c>
      <c r="FO219" s="1073"/>
    </row>
    <row r="220" spans="1:171">
      <c r="A220" s="912"/>
      <c r="B220" s="913" t="s">
        <v>164</v>
      </c>
      <c r="C220" s="888" t="s">
        <v>72</v>
      </c>
      <c r="D220" s="888">
        <v>921</v>
      </c>
      <c r="E220" s="182" t="str">
        <f>'Sch 3 - Expenses'!E60</f>
        <v>LABOR</v>
      </c>
      <c r="F220" s="889"/>
      <c r="G220" s="182">
        <f>'Sch 3 - Expenses'!G60</f>
        <v>3924957.88</v>
      </c>
      <c r="H220" s="182">
        <f>'Sch 3 - Expenses'!H60</f>
        <v>1436811.8529551544</v>
      </c>
      <c r="I220" s="182">
        <f>'Sch 3 - Expenses'!I60</f>
        <v>0</v>
      </c>
      <c r="J220" s="183">
        <f>'Sch 3 - Expenses'!J60</f>
        <v>2488146.0270448453</v>
      </c>
      <c r="K220" s="903">
        <f t="shared" si="548"/>
        <v>1</v>
      </c>
      <c r="O220" s="1116">
        <f t="shared" si="549"/>
        <v>3924957.88</v>
      </c>
      <c r="P220" s="1117">
        <f t="shared" si="550"/>
        <v>1436811.8529551544</v>
      </c>
      <c r="Q220" s="1117">
        <f t="shared" si="551"/>
        <v>301096.42291560437</v>
      </c>
      <c r="R220" s="1117">
        <f t="shared" si="552"/>
        <v>2187049.6041292408</v>
      </c>
      <c r="S220" s="1073"/>
      <c r="W220" s="1116">
        <f t="shared" si="553"/>
        <v>3924957.88</v>
      </c>
      <c r="X220" s="1117">
        <f t="shared" si="554"/>
        <v>1436811.8529551544</v>
      </c>
      <c r="Y220" s="1117">
        <f t="shared" si="555"/>
        <v>301096.42291560437</v>
      </c>
      <c r="Z220" s="1117">
        <f t="shared" si="556"/>
        <v>2187049.6041292408</v>
      </c>
      <c r="AA220" s="1073"/>
      <c r="AE220" s="1116">
        <f t="shared" si="557"/>
        <v>3924957.88</v>
      </c>
      <c r="AF220" s="1117">
        <f t="shared" si="558"/>
        <v>1436811.8529551544</v>
      </c>
      <c r="AG220" s="1117">
        <f t="shared" si="559"/>
        <v>301096.42291560437</v>
      </c>
      <c r="AH220" s="1117">
        <f t="shared" si="560"/>
        <v>2187049.6041292408</v>
      </c>
      <c r="AI220" s="1073"/>
      <c r="AM220" s="1116">
        <f t="shared" si="561"/>
        <v>3924957.88</v>
      </c>
      <c r="AN220" s="1117">
        <f t="shared" si="562"/>
        <v>1436811.8529551544</v>
      </c>
      <c r="AO220" s="1117">
        <f t="shared" si="563"/>
        <v>301096.42291560437</v>
      </c>
      <c r="AP220" s="1117">
        <f t="shared" si="564"/>
        <v>2187049.6041292408</v>
      </c>
      <c r="AQ220" s="1073"/>
      <c r="AU220" s="1116">
        <f t="shared" si="565"/>
        <v>3924957.88</v>
      </c>
      <c r="AV220" s="1117">
        <f t="shared" si="566"/>
        <v>1436811.8529551544</v>
      </c>
      <c r="AW220" s="1117">
        <f t="shared" si="567"/>
        <v>301096.42291560437</v>
      </c>
      <c r="AX220" s="1117">
        <f t="shared" si="568"/>
        <v>2187049.6041292408</v>
      </c>
      <c r="AY220" s="1073"/>
      <c r="BC220" s="1116">
        <f t="shared" si="569"/>
        <v>3924957.88</v>
      </c>
      <c r="BD220" s="1117">
        <f t="shared" si="570"/>
        <v>1436811.8529551544</v>
      </c>
      <c r="BE220" s="1117">
        <f t="shared" si="571"/>
        <v>301096.42291560437</v>
      </c>
      <c r="BF220" s="1117">
        <f t="shared" si="572"/>
        <v>2187049.6041292408</v>
      </c>
      <c r="BG220" s="1073"/>
      <c r="BK220" s="1116">
        <f t="shared" si="573"/>
        <v>3924957.88</v>
      </c>
      <c r="BL220" s="1117">
        <f t="shared" si="574"/>
        <v>1436811.8529551544</v>
      </c>
      <c r="BM220" s="1117">
        <f t="shared" si="575"/>
        <v>301096.42291560437</v>
      </c>
      <c r="BN220" s="1117">
        <f t="shared" si="576"/>
        <v>2187049.6041292408</v>
      </c>
      <c r="BO220" s="1073"/>
      <c r="BS220" s="1116">
        <f t="shared" si="577"/>
        <v>3924957.88</v>
      </c>
      <c r="BT220" s="1117">
        <f t="shared" si="578"/>
        <v>1436811.8529551544</v>
      </c>
      <c r="BU220" s="1117">
        <f t="shared" si="579"/>
        <v>301096.42291560437</v>
      </c>
      <c r="BV220" s="1117">
        <f t="shared" si="580"/>
        <v>2187049.6041292408</v>
      </c>
      <c r="BW220" s="1073"/>
      <c r="CA220" s="1116">
        <f t="shared" si="581"/>
        <v>3924957.88</v>
      </c>
      <c r="CB220" s="1117">
        <f t="shared" si="582"/>
        <v>1436811.8529551544</v>
      </c>
      <c r="CC220" s="1117">
        <f t="shared" si="583"/>
        <v>301096.42291560437</v>
      </c>
      <c r="CD220" s="1117">
        <f t="shared" si="584"/>
        <v>2187049.6041292408</v>
      </c>
      <c r="CE220" s="1073"/>
      <c r="CI220" s="1116">
        <f t="shared" si="585"/>
        <v>3924957.88</v>
      </c>
      <c r="CJ220" s="1117">
        <f t="shared" si="586"/>
        <v>1436811.8529551544</v>
      </c>
      <c r="CK220" s="1117">
        <f t="shared" si="587"/>
        <v>301096.42291560437</v>
      </c>
      <c r="CL220" s="1117">
        <f t="shared" si="588"/>
        <v>2187049.6041292408</v>
      </c>
      <c r="CM220" s="1073"/>
      <c r="CQ220" s="1116">
        <f t="shared" si="589"/>
        <v>3924957.88</v>
      </c>
      <c r="CR220" s="1117">
        <f t="shared" si="590"/>
        <v>1436811.8529551544</v>
      </c>
      <c r="CS220" s="1117">
        <f t="shared" si="591"/>
        <v>301096.42291560437</v>
      </c>
      <c r="CT220" s="1117">
        <f t="shared" si="592"/>
        <v>2187049.6041292408</v>
      </c>
      <c r="CU220" s="1073"/>
      <c r="CY220" s="1116">
        <f t="shared" si="593"/>
        <v>3924957.88</v>
      </c>
      <c r="CZ220" s="1117">
        <f t="shared" si="594"/>
        <v>1436811.8529551544</v>
      </c>
      <c r="DA220" s="1117">
        <f t="shared" si="595"/>
        <v>301096.42291560437</v>
      </c>
      <c r="DB220" s="1117">
        <f t="shared" si="596"/>
        <v>2187049.6041292408</v>
      </c>
      <c r="DC220" s="1073"/>
      <c r="DG220" s="1116">
        <f t="shared" si="597"/>
        <v>3924957.88</v>
      </c>
      <c r="DH220" s="1117">
        <f t="shared" si="598"/>
        <v>1436811.8529551544</v>
      </c>
      <c r="DI220" s="1117">
        <f t="shared" si="599"/>
        <v>301096.42291560437</v>
      </c>
      <c r="DJ220" s="1117">
        <f t="shared" si="600"/>
        <v>2187049.6041292408</v>
      </c>
      <c r="DK220" s="1073"/>
      <c r="DO220" s="1116">
        <f t="shared" si="601"/>
        <v>3924957.88</v>
      </c>
      <c r="DP220" s="1117">
        <f t="shared" si="602"/>
        <v>1436811.8529551544</v>
      </c>
      <c r="DQ220" s="1117">
        <f t="shared" si="603"/>
        <v>301096.42291560437</v>
      </c>
      <c r="DR220" s="1117">
        <f t="shared" si="604"/>
        <v>2187049.6041292408</v>
      </c>
      <c r="DS220" s="1073"/>
      <c r="DW220" s="1116">
        <f t="shared" si="605"/>
        <v>3924957.88</v>
      </c>
      <c r="DX220" s="1117">
        <f t="shared" si="606"/>
        <v>1436811.8529551544</v>
      </c>
      <c r="DY220" s="1117">
        <f t="shared" si="607"/>
        <v>301096.42291560437</v>
      </c>
      <c r="DZ220" s="1117">
        <f t="shared" si="608"/>
        <v>2187049.6041292408</v>
      </c>
      <c r="EA220" s="1073"/>
      <c r="EE220" s="1116">
        <f t="shared" si="609"/>
        <v>3924957.88</v>
      </c>
      <c r="EF220" s="1117">
        <f t="shared" si="610"/>
        <v>1436811.8529551544</v>
      </c>
      <c r="EG220" s="1117">
        <f t="shared" si="611"/>
        <v>301096.42291560437</v>
      </c>
      <c r="EH220" s="1117">
        <f t="shared" si="612"/>
        <v>2187049.6041292408</v>
      </c>
      <c r="EI220" s="1073"/>
      <c r="EM220" s="1116">
        <f t="shared" si="613"/>
        <v>3924957.88</v>
      </c>
      <c r="EN220" s="1117">
        <f t="shared" si="614"/>
        <v>1436811.8529551544</v>
      </c>
      <c r="EO220" s="1117">
        <f t="shared" si="615"/>
        <v>301096.42291560437</v>
      </c>
      <c r="EP220" s="1117">
        <f t="shared" si="616"/>
        <v>2187049.6041292408</v>
      </c>
      <c r="EQ220" s="1073"/>
      <c r="EU220" s="1116">
        <f t="shared" si="617"/>
        <v>3924957.88</v>
      </c>
      <c r="EV220" s="1117">
        <f t="shared" si="618"/>
        <v>1436811.8529551544</v>
      </c>
      <c r="EW220" s="1117">
        <f t="shared" si="619"/>
        <v>301096.42291560437</v>
      </c>
      <c r="EX220" s="1117">
        <f t="shared" si="620"/>
        <v>2187049.6041292408</v>
      </c>
      <c r="EY220" s="1073"/>
      <c r="FC220" s="1116">
        <f t="shared" si="621"/>
        <v>3924957.88</v>
      </c>
      <c r="FD220" s="1117">
        <f t="shared" si="622"/>
        <v>1436811.8529551544</v>
      </c>
      <c r="FE220" s="1117">
        <f t="shared" si="623"/>
        <v>301096.42291560437</v>
      </c>
      <c r="FF220" s="1117">
        <f t="shared" si="624"/>
        <v>2187049.6041292408</v>
      </c>
      <c r="FG220" s="1073"/>
      <c r="FK220" s="1116">
        <f t="shared" si="625"/>
        <v>3924957.88</v>
      </c>
      <c r="FL220" s="1117">
        <f t="shared" si="626"/>
        <v>1436811.8529551544</v>
      </c>
      <c r="FM220" s="1117">
        <f t="shared" si="627"/>
        <v>301096.42291560437</v>
      </c>
      <c r="FN220" s="1117">
        <f t="shared" si="628"/>
        <v>2187049.6041292408</v>
      </c>
      <c r="FO220" s="1073"/>
    </row>
    <row r="221" spans="1:171">
      <c r="A221" s="912"/>
      <c r="B221" s="913" t="s">
        <v>165</v>
      </c>
      <c r="C221" s="888" t="s">
        <v>72</v>
      </c>
      <c r="D221" s="888">
        <v>922</v>
      </c>
      <c r="E221" s="182" t="str">
        <f>'Sch 3 - Expenses'!E61</f>
        <v>LABOR</v>
      </c>
      <c r="F221" s="889"/>
      <c r="G221" s="182">
        <f>'Sch 3 - Expenses'!G61</f>
        <v>114021.94</v>
      </c>
      <c r="H221" s="182">
        <f>'Sch 3 - Expenses'!H61</f>
        <v>41740.084836003756</v>
      </c>
      <c r="I221" s="182">
        <f>'Sch 3 - Expenses'!I61</f>
        <v>0</v>
      </c>
      <c r="J221" s="183">
        <f>'Sch 3 - Expenses'!J61</f>
        <v>72281.855163996253</v>
      </c>
      <c r="K221" s="903">
        <f t="shared" si="548"/>
        <v>1</v>
      </c>
      <c r="O221" s="1116">
        <f t="shared" si="549"/>
        <v>114021.94</v>
      </c>
      <c r="P221" s="1117">
        <f t="shared" si="550"/>
        <v>41740.084836003756</v>
      </c>
      <c r="Q221" s="1117">
        <f t="shared" si="551"/>
        <v>8746.9978831715944</v>
      </c>
      <c r="R221" s="1117">
        <f t="shared" si="552"/>
        <v>63534.857280824654</v>
      </c>
      <c r="S221" s="1073"/>
      <c r="W221" s="1116">
        <f t="shared" si="553"/>
        <v>114021.94</v>
      </c>
      <c r="X221" s="1117">
        <f t="shared" si="554"/>
        <v>41740.084836003756</v>
      </c>
      <c r="Y221" s="1117">
        <f t="shared" si="555"/>
        <v>8746.9978831715944</v>
      </c>
      <c r="Z221" s="1117">
        <f t="shared" si="556"/>
        <v>63534.857280824654</v>
      </c>
      <c r="AA221" s="1073"/>
      <c r="AE221" s="1116">
        <f t="shared" si="557"/>
        <v>114021.94</v>
      </c>
      <c r="AF221" s="1117">
        <f t="shared" si="558"/>
        <v>41740.084836003756</v>
      </c>
      <c r="AG221" s="1117">
        <f t="shared" si="559"/>
        <v>8746.9978831715944</v>
      </c>
      <c r="AH221" s="1117">
        <f t="shared" si="560"/>
        <v>63534.857280824654</v>
      </c>
      <c r="AI221" s="1073"/>
      <c r="AM221" s="1116">
        <f t="shared" si="561"/>
        <v>114021.94</v>
      </c>
      <c r="AN221" s="1117">
        <f t="shared" si="562"/>
        <v>41740.084836003756</v>
      </c>
      <c r="AO221" s="1117">
        <f t="shared" si="563"/>
        <v>8746.9978831715944</v>
      </c>
      <c r="AP221" s="1117">
        <f t="shared" si="564"/>
        <v>63534.857280824654</v>
      </c>
      <c r="AQ221" s="1073"/>
      <c r="AU221" s="1116">
        <f t="shared" si="565"/>
        <v>114021.94</v>
      </c>
      <c r="AV221" s="1117">
        <f t="shared" si="566"/>
        <v>41740.084836003756</v>
      </c>
      <c r="AW221" s="1117">
        <f t="shared" si="567"/>
        <v>8746.9978831715944</v>
      </c>
      <c r="AX221" s="1117">
        <f t="shared" si="568"/>
        <v>63534.857280824654</v>
      </c>
      <c r="AY221" s="1073"/>
      <c r="BC221" s="1116">
        <f t="shared" si="569"/>
        <v>114021.94</v>
      </c>
      <c r="BD221" s="1117">
        <f t="shared" si="570"/>
        <v>41740.084836003756</v>
      </c>
      <c r="BE221" s="1117">
        <f t="shared" si="571"/>
        <v>8746.9978831715944</v>
      </c>
      <c r="BF221" s="1117">
        <f t="shared" si="572"/>
        <v>63534.857280824654</v>
      </c>
      <c r="BG221" s="1073"/>
      <c r="BK221" s="1116">
        <f t="shared" si="573"/>
        <v>114021.94</v>
      </c>
      <c r="BL221" s="1117">
        <f t="shared" si="574"/>
        <v>41740.084836003756</v>
      </c>
      <c r="BM221" s="1117">
        <f t="shared" si="575"/>
        <v>8746.9978831715944</v>
      </c>
      <c r="BN221" s="1117">
        <f t="shared" si="576"/>
        <v>63534.857280824654</v>
      </c>
      <c r="BO221" s="1073"/>
      <c r="BS221" s="1116">
        <f t="shared" si="577"/>
        <v>114021.94</v>
      </c>
      <c r="BT221" s="1117">
        <f t="shared" si="578"/>
        <v>41740.084836003756</v>
      </c>
      <c r="BU221" s="1117">
        <f t="shared" si="579"/>
        <v>8746.9978831715944</v>
      </c>
      <c r="BV221" s="1117">
        <f t="shared" si="580"/>
        <v>63534.857280824654</v>
      </c>
      <c r="BW221" s="1073"/>
      <c r="CA221" s="1116">
        <f t="shared" si="581"/>
        <v>114021.94</v>
      </c>
      <c r="CB221" s="1117">
        <f t="shared" si="582"/>
        <v>41740.084836003756</v>
      </c>
      <c r="CC221" s="1117">
        <f t="shared" si="583"/>
        <v>8746.9978831715944</v>
      </c>
      <c r="CD221" s="1117">
        <f t="shared" si="584"/>
        <v>63534.857280824654</v>
      </c>
      <c r="CE221" s="1073"/>
      <c r="CI221" s="1116">
        <f t="shared" si="585"/>
        <v>114021.94</v>
      </c>
      <c r="CJ221" s="1117">
        <f t="shared" si="586"/>
        <v>41740.084836003756</v>
      </c>
      <c r="CK221" s="1117">
        <f t="shared" si="587"/>
        <v>8746.9978831715944</v>
      </c>
      <c r="CL221" s="1117">
        <f t="shared" si="588"/>
        <v>63534.857280824654</v>
      </c>
      <c r="CM221" s="1073"/>
      <c r="CQ221" s="1116">
        <f t="shared" si="589"/>
        <v>114021.94</v>
      </c>
      <c r="CR221" s="1117">
        <f t="shared" si="590"/>
        <v>41740.084836003756</v>
      </c>
      <c r="CS221" s="1117">
        <f t="shared" si="591"/>
        <v>8746.9978831715944</v>
      </c>
      <c r="CT221" s="1117">
        <f t="shared" si="592"/>
        <v>63534.857280824654</v>
      </c>
      <c r="CU221" s="1073"/>
      <c r="CY221" s="1116">
        <f t="shared" si="593"/>
        <v>114021.94</v>
      </c>
      <c r="CZ221" s="1117">
        <f t="shared" si="594"/>
        <v>41740.084836003756</v>
      </c>
      <c r="DA221" s="1117">
        <f t="shared" si="595"/>
        <v>8746.9978831715944</v>
      </c>
      <c r="DB221" s="1117">
        <f t="shared" si="596"/>
        <v>63534.857280824654</v>
      </c>
      <c r="DC221" s="1073"/>
      <c r="DG221" s="1116">
        <f t="shared" si="597"/>
        <v>114021.94</v>
      </c>
      <c r="DH221" s="1117">
        <f t="shared" si="598"/>
        <v>41740.084836003756</v>
      </c>
      <c r="DI221" s="1117">
        <f t="shared" si="599"/>
        <v>8746.9978831715944</v>
      </c>
      <c r="DJ221" s="1117">
        <f t="shared" si="600"/>
        <v>63534.857280824654</v>
      </c>
      <c r="DK221" s="1073"/>
      <c r="DO221" s="1116">
        <f t="shared" si="601"/>
        <v>114021.94</v>
      </c>
      <c r="DP221" s="1117">
        <f t="shared" si="602"/>
        <v>41740.084836003756</v>
      </c>
      <c r="DQ221" s="1117">
        <f t="shared" si="603"/>
        <v>8746.9978831715944</v>
      </c>
      <c r="DR221" s="1117">
        <f t="shared" si="604"/>
        <v>63534.857280824654</v>
      </c>
      <c r="DS221" s="1073"/>
      <c r="DW221" s="1116">
        <f t="shared" si="605"/>
        <v>114021.94</v>
      </c>
      <c r="DX221" s="1117">
        <f t="shared" si="606"/>
        <v>41740.084836003756</v>
      </c>
      <c r="DY221" s="1117">
        <f t="shared" si="607"/>
        <v>8746.9978831715944</v>
      </c>
      <c r="DZ221" s="1117">
        <f t="shared" si="608"/>
        <v>63534.857280824654</v>
      </c>
      <c r="EA221" s="1073"/>
      <c r="EE221" s="1116">
        <f t="shared" si="609"/>
        <v>114021.94</v>
      </c>
      <c r="EF221" s="1117">
        <f t="shared" si="610"/>
        <v>41740.084836003756</v>
      </c>
      <c r="EG221" s="1117">
        <f t="shared" si="611"/>
        <v>8746.9978831715944</v>
      </c>
      <c r="EH221" s="1117">
        <f t="shared" si="612"/>
        <v>63534.857280824654</v>
      </c>
      <c r="EI221" s="1073"/>
      <c r="EM221" s="1116">
        <f t="shared" si="613"/>
        <v>114021.94</v>
      </c>
      <c r="EN221" s="1117">
        <f t="shared" si="614"/>
        <v>41740.084836003756</v>
      </c>
      <c r="EO221" s="1117">
        <f t="shared" si="615"/>
        <v>8746.9978831715944</v>
      </c>
      <c r="EP221" s="1117">
        <f t="shared" si="616"/>
        <v>63534.857280824654</v>
      </c>
      <c r="EQ221" s="1073"/>
      <c r="EU221" s="1116">
        <f t="shared" si="617"/>
        <v>114021.94</v>
      </c>
      <c r="EV221" s="1117">
        <f t="shared" si="618"/>
        <v>41740.084836003756</v>
      </c>
      <c r="EW221" s="1117">
        <f t="shared" si="619"/>
        <v>8746.9978831715944</v>
      </c>
      <c r="EX221" s="1117">
        <f t="shared" si="620"/>
        <v>63534.857280824654</v>
      </c>
      <c r="EY221" s="1073"/>
      <c r="FC221" s="1116">
        <f t="shared" si="621"/>
        <v>114021.94</v>
      </c>
      <c r="FD221" s="1117">
        <f t="shared" si="622"/>
        <v>41740.084836003756</v>
      </c>
      <c r="FE221" s="1117">
        <f t="shared" si="623"/>
        <v>8746.9978831715944</v>
      </c>
      <c r="FF221" s="1117">
        <f t="shared" si="624"/>
        <v>63534.857280824654</v>
      </c>
      <c r="FG221" s="1073"/>
      <c r="FK221" s="1116">
        <f t="shared" si="625"/>
        <v>114021.94</v>
      </c>
      <c r="FL221" s="1117">
        <f t="shared" si="626"/>
        <v>41740.084836003756</v>
      </c>
      <c r="FM221" s="1117">
        <f t="shared" si="627"/>
        <v>8746.9978831715944</v>
      </c>
      <c r="FN221" s="1117">
        <f t="shared" si="628"/>
        <v>63534.857280824654</v>
      </c>
      <c r="FO221" s="1073"/>
    </row>
    <row r="222" spans="1:171">
      <c r="A222" s="912"/>
      <c r="B222" s="913" t="s">
        <v>166</v>
      </c>
      <c r="C222" s="888" t="s">
        <v>72</v>
      </c>
      <c r="D222" s="888">
        <v>923</v>
      </c>
      <c r="E222" s="182" t="str">
        <f>'Sch 3 - Expenses'!E62</f>
        <v>LABOR</v>
      </c>
      <c r="F222" s="889"/>
      <c r="G222" s="182">
        <f>'Sch 3 - Expenses'!G62</f>
        <v>14933868.609999999</v>
      </c>
      <c r="H222" s="182">
        <f>'Sch 3 - Expenses'!H62</f>
        <v>5466850.8772183098</v>
      </c>
      <c r="I222" s="182">
        <f>'Sch 3 - Expenses'!I62</f>
        <v>0</v>
      </c>
      <c r="J222" s="183">
        <f>'Sch 3 - Expenses'!J62</f>
        <v>9467017.7327816896</v>
      </c>
      <c r="K222" s="903">
        <f t="shared" si="548"/>
        <v>1</v>
      </c>
      <c r="O222" s="1116">
        <f t="shared" si="549"/>
        <v>14933868.609999999</v>
      </c>
      <c r="P222" s="1117">
        <f t="shared" si="550"/>
        <v>5466850.8772183098</v>
      </c>
      <c r="Q222" s="1117">
        <f t="shared" si="551"/>
        <v>1145626.1586080075</v>
      </c>
      <c r="R222" s="1117">
        <f t="shared" si="552"/>
        <v>8321391.5741736824</v>
      </c>
      <c r="S222" s="1073"/>
      <c r="W222" s="1116">
        <f t="shared" si="553"/>
        <v>14933868.609999999</v>
      </c>
      <c r="X222" s="1117">
        <f t="shared" si="554"/>
        <v>5466850.8772183098</v>
      </c>
      <c r="Y222" s="1117">
        <f t="shared" si="555"/>
        <v>1145626.1586080075</v>
      </c>
      <c r="Z222" s="1117">
        <f t="shared" si="556"/>
        <v>8321391.5741736824</v>
      </c>
      <c r="AA222" s="1073"/>
      <c r="AE222" s="1116">
        <f t="shared" si="557"/>
        <v>14933868.609999999</v>
      </c>
      <c r="AF222" s="1117">
        <f t="shared" si="558"/>
        <v>5466850.8772183098</v>
      </c>
      <c r="AG222" s="1117">
        <f t="shared" si="559"/>
        <v>1145626.1586080075</v>
      </c>
      <c r="AH222" s="1117">
        <f t="shared" si="560"/>
        <v>8321391.5741736824</v>
      </c>
      <c r="AI222" s="1073"/>
      <c r="AM222" s="1116">
        <f t="shared" si="561"/>
        <v>14933868.609999999</v>
      </c>
      <c r="AN222" s="1117">
        <f t="shared" si="562"/>
        <v>5466850.8772183098</v>
      </c>
      <c r="AO222" s="1117">
        <f t="shared" si="563"/>
        <v>1145626.1586080075</v>
      </c>
      <c r="AP222" s="1117">
        <f t="shared" si="564"/>
        <v>8321391.5741736824</v>
      </c>
      <c r="AQ222" s="1073"/>
      <c r="AU222" s="1116">
        <f t="shared" si="565"/>
        <v>14933868.609999999</v>
      </c>
      <c r="AV222" s="1117">
        <f t="shared" si="566"/>
        <v>5466850.8772183098</v>
      </c>
      <c r="AW222" s="1117">
        <f t="shared" si="567"/>
        <v>1145626.1586080075</v>
      </c>
      <c r="AX222" s="1117">
        <f t="shared" si="568"/>
        <v>8321391.5741736824</v>
      </c>
      <c r="AY222" s="1073"/>
      <c r="BC222" s="1116">
        <f t="shared" si="569"/>
        <v>14933868.609999999</v>
      </c>
      <c r="BD222" s="1117">
        <f t="shared" si="570"/>
        <v>5466850.8772183098</v>
      </c>
      <c r="BE222" s="1117">
        <f t="shared" si="571"/>
        <v>1145626.1586080075</v>
      </c>
      <c r="BF222" s="1117">
        <f t="shared" si="572"/>
        <v>8321391.5741736824</v>
      </c>
      <c r="BG222" s="1073"/>
      <c r="BK222" s="1116">
        <f t="shared" si="573"/>
        <v>14933868.609999999</v>
      </c>
      <c r="BL222" s="1117">
        <f t="shared" si="574"/>
        <v>5466850.8772183098</v>
      </c>
      <c r="BM222" s="1117">
        <f t="shared" si="575"/>
        <v>1145626.1586080075</v>
      </c>
      <c r="BN222" s="1117">
        <f t="shared" si="576"/>
        <v>8321391.5741736824</v>
      </c>
      <c r="BO222" s="1073"/>
      <c r="BS222" s="1116">
        <f t="shared" si="577"/>
        <v>14933868.609999999</v>
      </c>
      <c r="BT222" s="1117">
        <f t="shared" si="578"/>
        <v>5466850.8772183098</v>
      </c>
      <c r="BU222" s="1117">
        <f t="shared" si="579"/>
        <v>1145626.1586080075</v>
      </c>
      <c r="BV222" s="1117">
        <f t="shared" si="580"/>
        <v>8321391.5741736824</v>
      </c>
      <c r="BW222" s="1073"/>
      <c r="CA222" s="1116">
        <f t="shared" si="581"/>
        <v>14933868.609999999</v>
      </c>
      <c r="CB222" s="1117">
        <f t="shared" si="582"/>
        <v>5466850.8772183098</v>
      </c>
      <c r="CC222" s="1117">
        <f t="shared" si="583"/>
        <v>1145626.1586080075</v>
      </c>
      <c r="CD222" s="1117">
        <f t="shared" si="584"/>
        <v>8321391.5741736824</v>
      </c>
      <c r="CE222" s="1073"/>
      <c r="CI222" s="1116">
        <f t="shared" si="585"/>
        <v>14933868.609999999</v>
      </c>
      <c r="CJ222" s="1117">
        <f t="shared" si="586"/>
        <v>5466850.8772183098</v>
      </c>
      <c r="CK222" s="1117">
        <f t="shared" si="587"/>
        <v>1145626.1586080075</v>
      </c>
      <c r="CL222" s="1117">
        <f t="shared" si="588"/>
        <v>8321391.5741736824</v>
      </c>
      <c r="CM222" s="1073"/>
      <c r="CQ222" s="1116">
        <f t="shared" si="589"/>
        <v>14933868.609999999</v>
      </c>
      <c r="CR222" s="1117">
        <f t="shared" si="590"/>
        <v>5466850.8772183098</v>
      </c>
      <c r="CS222" s="1117">
        <f t="shared" si="591"/>
        <v>1145626.1586080075</v>
      </c>
      <c r="CT222" s="1117">
        <f t="shared" si="592"/>
        <v>8321391.5741736824</v>
      </c>
      <c r="CU222" s="1073"/>
      <c r="CY222" s="1116">
        <f t="shared" si="593"/>
        <v>14933868.609999999</v>
      </c>
      <c r="CZ222" s="1117">
        <f t="shared" si="594"/>
        <v>5466850.8772183098</v>
      </c>
      <c r="DA222" s="1117">
        <f t="shared" si="595"/>
        <v>1145626.1586080075</v>
      </c>
      <c r="DB222" s="1117">
        <f t="shared" si="596"/>
        <v>8321391.5741736824</v>
      </c>
      <c r="DC222" s="1073"/>
      <c r="DG222" s="1116">
        <f t="shared" si="597"/>
        <v>14933868.609999999</v>
      </c>
      <c r="DH222" s="1117">
        <f t="shared" si="598"/>
        <v>5466850.8772183098</v>
      </c>
      <c r="DI222" s="1117">
        <f t="shared" si="599"/>
        <v>1145626.1586080075</v>
      </c>
      <c r="DJ222" s="1117">
        <f t="shared" si="600"/>
        <v>8321391.5741736824</v>
      </c>
      <c r="DK222" s="1073"/>
      <c r="DO222" s="1116">
        <f t="shared" si="601"/>
        <v>14933868.609999999</v>
      </c>
      <c r="DP222" s="1117">
        <f t="shared" si="602"/>
        <v>5466850.8772183098</v>
      </c>
      <c r="DQ222" s="1117">
        <f t="shared" si="603"/>
        <v>1145626.1586080075</v>
      </c>
      <c r="DR222" s="1117">
        <f t="shared" si="604"/>
        <v>8321391.5741736824</v>
      </c>
      <c r="DS222" s="1073"/>
      <c r="DW222" s="1116">
        <f t="shared" si="605"/>
        <v>14933868.609999999</v>
      </c>
      <c r="DX222" s="1117">
        <f t="shared" si="606"/>
        <v>5466850.8772183098</v>
      </c>
      <c r="DY222" s="1117">
        <f t="shared" si="607"/>
        <v>1145626.1586080075</v>
      </c>
      <c r="DZ222" s="1117">
        <f t="shared" si="608"/>
        <v>8321391.5741736824</v>
      </c>
      <c r="EA222" s="1073"/>
      <c r="EE222" s="1116">
        <f t="shared" si="609"/>
        <v>14933868.609999999</v>
      </c>
      <c r="EF222" s="1117">
        <f t="shared" si="610"/>
        <v>5466850.8772183098</v>
      </c>
      <c r="EG222" s="1117">
        <f t="shared" si="611"/>
        <v>1145626.1586080075</v>
      </c>
      <c r="EH222" s="1117">
        <f t="shared" si="612"/>
        <v>8321391.5741736824</v>
      </c>
      <c r="EI222" s="1073"/>
      <c r="EM222" s="1116">
        <f t="shared" si="613"/>
        <v>14933868.609999999</v>
      </c>
      <c r="EN222" s="1117">
        <f t="shared" si="614"/>
        <v>5466850.8772183098</v>
      </c>
      <c r="EO222" s="1117">
        <f t="shared" si="615"/>
        <v>1145626.1586080075</v>
      </c>
      <c r="EP222" s="1117">
        <f t="shared" si="616"/>
        <v>8321391.5741736824</v>
      </c>
      <c r="EQ222" s="1073"/>
      <c r="EU222" s="1116">
        <f t="shared" si="617"/>
        <v>14933868.609999999</v>
      </c>
      <c r="EV222" s="1117">
        <f t="shared" si="618"/>
        <v>5466850.8772183098</v>
      </c>
      <c r="EW222" s="1117">
        <f t="shared" si="619"/>
        <v>1145626.1586080075</v>
      </c>
      <c r="EX222" s="1117">
        <f t="shared" si="620"/>
        <v>8321391.5741736824</v>
      </c>
      <c r="EY222" s="1073"/>
      <c r="FC222" s="1116">
        <f t="shared" si="621"/>
        <v>14933868.609999999</v>
      </c>
      <c r="FD222" s="1117">
        <f t="shared" si="622"/>
        <v>5466850.8772183098</v>
      </c>
      <c r="FE222" s="1117">
        <f t="shared" si="623"/>
        <v>1145626.1586080075</v>
      </c>
      <c r="FF222" s="1117">
        <f t="shared" si="624"/>
        <v>8321391.5741736824</v>
      </c>
      <c r="FG222" s="1073"/>
      <c r="FK222" s="1116">
        <f t="shared" si="625"/>
        <v>14933868.609999999</v>
      </c>
      <c r="FL222" s="1117">
        <f t="shared" si="626"/>
        <v>5466850.8772183098</v>
      </c>
      <c r="FM222" s="1117">
        <f t="shared" si="627"/>
        <v>1145626.1586080075</v>
      </c>
      <c r="FN222" s="1117">
        <f t="shared" si="628"/>
        <v>8321391.5741736824</v>
      </c>
      <c r="FO222" s="1073"/>
    </row>
    <row r="223" spans="1:171">
      <c r="A223" s="1392">
        <v>94000</v>
      </c>
      <c r="B223" s="913" t="s">
        <v>167</v>
      </c>
      <c r="C223" s="888" t="s">
        <v>72</v>
      </c>
      <c r="D223" s="888">
        <v>924</v>
      </c>
      <c r="E223" s="182" t="str">
        <f>'Sch 3 - Expenses'!E63</f>
        <v>PTDG</v>
      </c>
      <c r="F223" s="889"/>
      <c r="G223" s="182">
        <f>'Sch 3 - Expenses'!G63</f>
        <v>2806700.76</v>
      </c>
      <c r="H223" s="182">
        <f>'Sch 3 - Expenses'!H63</f>
        <v>893155.9014630107</v>
      </c>
      <c r="I223" s="182">
        <f>'Sch 3 - Expenses'!I63</f>
        <v>0</v>
      </c>
      <c r="J223" s="183">
        <f>'Sch 3 - Expenses'!J63</f>
        <v>1913544.8582485989</v>
      </c>
      <c r="K223" s="903">
        <f t="shared" si="548"/>
        <v>1</v>
      </c>
      <c r="N223" s="1129">
        <f>VLOOKUP($A223,'New Resources - Individual'!$A$4:$Y$133,N$2,FALSE)*N$1</f>
        <v>0</v>
      </c>
      <c r="O223" s="1116">
        <f>$G223+N223</f>
        <v>2806700.76</v>
      </c>
      <c r="P223" s="1117">
        <f t="shared" si="550"/>
        <v>893155.9014630107</v>
      </c>
      <c r="Q223" s="1117">
        <f t="shared" si="551"/>
        <v>577279.95080004726</v>
      </c>
      <c r="R223" s="1117">
        <f t="shared" si="552"/>
        <v>1336264.9077369422</v>
      </c>
      <c r="S223" s="1073"/>
      <c r="V223" s="1129">
        <f>VLOOKUP($A223,'New Resources - Individual'!$A$4:$Y$133,V$2,FALSE)*V$1</f>
        <v>0</v>
      </c>
      <c r="W223" s="1116">
        <f>$G223+V223</f>
        <v>2806700.76</v>
      </c>
      <c r="X223" s="1117">
        <f t="shared" si="554"/>
        <v>893155.9014630107</v>
      </c>
      <c r="Y223" s="1117">
        <f t="shared" si="555"/>
        <v>577279.95080004726</v>
      </c>
      <c r="Z223" s="1117">
        <f t="shared" si="556"/>
        <v>1336264.9077369422</v>
      </c>
      <c r="AA223" s="1073"/>
      <c r="AD223" s="1129">
        <f>VLOOKUP($A223,'New Resources - Individual'!$A$4:$Y$133,AD$2,FALSE)*AD$1</f>
        <v>0</v>
      </c>
      <c r="AE223" s="1116">
        <f>$G223+AD223</f>
        <v>2806700.76</v>
      </c>
      <c r="AF223" s="1117">
        <f t="shared" si="558"/>
        <v>893155.9014630107</v>
      </c>
      <c r="AG223" s="1117">
        <f t="shared" si="559"/>
        <v>577279.95080004726</v>
      </c>
      <c r="AH223" s="1117">
        <f t="shared" si="560"/>
        <v>1336264.9077369422</v>
      </c>
      <c r="AI223" s="1073"/>
      <c r="AL223" s="1129">
        <f>VLOOKUP($A223,'New Resources - Individual'!$A$4:$Y$133,AL$2,FALSE)*AL$1</f>
        <v>0</v>
      </c>
      <c r="AM223" s="1116">
        <f>$G223+AL223</f>
        <v>2806700.76</v>
      </c>
      <c r="AN223" s="1117">
        <f t="shared" si="562"/>
        <v>893155.9014630107</v>
      </c>
      <c r="AO223" s="1117">
        <f t="shared" si="563"/>
        <v>577279.95080004726</v>
      </c>
      <c r="AP223" s="1117">
        <f t="shared" si="564"/>
        <v>1336264.9077369422</v>
      </c>
      <c r="AQ223" s="1073"/>
      <c r="AT223" s="1129">
        <f>VLOOKUP($A223,'New Resources - Individual'!$A$4:$Y$133,AT$2,FALSE)*AT$1</f>
        <v>0</v>
      </c>
      <c r="AU223" s="1116">
        <f>$G223+AT223</f>
        <v>2806700.76</v>
      </c>
      <c r="AV223" s="1117">
        <f t="shared" si="566"/>
        <v>893155.9014630107</v>
      </c>
      <c r="AW223" s="1117">
        <f t="shared" si="567"/>
        <v>577279.95080004726</v>
      </c>
      <c r="AX223" s="1117">
        <f t="shared" si="568"/>
        <v>1336264.9077369422</v>
      </c>
      <c r="AY223" s="1073"/>
      <c r="BB223" s="1129">
        <f>VLOOKUP($A223,'New Resources - Individual'!$A$4:$Y$133,BB$2,FALSE)*BB$1</f>
        <v>0</v>
      </c>
      <c r="BC223" s="1116">
        <f>$G223+BB223</f>
        <v>2806700.76</v>
      </c>
      <c r="BD223" s="1117">
        <f t="shared" si="570"/>
        <v>893155.9014630107</v>
      </c>
      <c r="BE223" s="1117">
        <f t="shared" si="571"/>
        <v>577279.95080004726</v>
      </c>
      <c r="BF223" s="1117">
        <f t="shared" si="572"/>
        <v>1336264.9077369422</v>
      </c>
      <c r="BG223" s="1073"/>
      <c r="BJ223" s="1129">
        <f>VLOOKUP($A223,'New Resources - Individual'!$A$4:$Y$133,BJ$2,FALSE)*BJ$1</f>
        <v>0</v>
      </c>
      <c r="BK223" s="1116">
        <f>$G223+BJ223</f>
        <v>2806700.76</v>
      </c>
      <c r="BL223" s="1117">
        <f t="shared" si="574"/>
        <v>893155.9014630107</v>
      </c>
      <c r="BM223" s="1117">
        <f t="shared" si="575"/>
        <v>577279.95080004726</v>
      </c>
      <c r="BN223" s="1117">
        <f t="shared" si="576"/>
        <v>1336264.9077369422</v>
      </c>
      <c r="BO223" s="1073"/>
      <c r="BR223" s="1129">
        <f>VLOOKUP($A223,'New Resources - Individual'!$A$4:$Y$133,BR$2,FALSE)*BR$1</f>
        <v>0</v>
      </c>
      <c r="BS223" s="1116">
        <f>$G223+BR223</f>
        <v>2806700.76</v>
      </c>
      <c r="BT223" s="1117">
        <f t="shared" si="578"/>
        <v>893155.9014630107</v>
      </c>
      <c r="BU223" s="1117">
        <f t="shared" si="579"/>
        <v>577279.95080004726</v>
      </c>
      <c r="BV223" s="1117">
        <f t="shared" si="580"/>
        <v>1336264.9077369422</v>
      </c>
      <c r="BW223" s="1073"/>
      <c r="BZ223" s="1129">
        <f>VLOOKUP($A223,'New Resources - Individual'!$A$4:$Y$133,BZ$2,FALSE)*BZ$1</f>
        <v>0</v>
      </c>
      <c r="CA223" s="1116">
        <f>$G223+BZ223</f>
        <v>2806700.76</v>
      </c>
      <c r="CB223" s="1117">
        <f t="shared" si="582"/>
        <v>893155.9014630107</v>
      </c>
      <c r="CC223" s="1117">
        <f t="shared" si="583"/>
        <v>577279.95080004726</v>
      </c>
      <c r="CD223" s="1117">
        <f t="shared" si="584"/>
        <v>1336264.9077369422</v>
      </c>
      <c r="CE223" s="1073"/>
      <c r="CH223" s="1129">
        <f>VLOOKUP($A223,'New Resources - Individual'!$A$4:$Y$133,CH$2,FALSE)*CH$1</f>
        <v>0</v>
      </c>
      <c r="CI223" s="1116">
        <f>$G223+CH223</f>
        <v>2806700.76</v>
      </c>
      <c r="CJ223" s="1117">
        <f t="shared" si="586"/>
        <v>893155.9014630107</v>
      </c>
      <c r="CK223" s="1117">
        <f t="shared" si="587"/>
        <v>577279.95080004726</v>
      </c>
      <c r="CL223" s="1117">
        <f t="shared" si="588"/>
        <v>1336264.9077369422</v>
      </c>
      <c r="CM223" s="1073"/>
      <c r="CP223" s="1129">
        <f>VLOOKUP($A223,'New Resources - Individual'!$A$4:$Y$133,CP$2,FALSE)*CP$1</f>
        <v>0</v>
      </c>
      <c r="CQ223" s="1116">
        <f>$G223+CP223</f>
        <v>2806700.76</v>
      </c>
      <c r="CR223" s="1117">
        <f t="shared" si="590"/>
        <v>893155.9014630107</v>
      </c>
      <c r="CS223" s="1117">
        <f t="shared" si="591"/>
        <v>577279.95080004726</v>
      </c>
      <c r="CT223" s="1117">
        <f t="shared" si="592"/>
        <v>1336264.9077369422</v>
      </c>
      <c r="CU223" s="1073"/>
      <c r="CX223" s="1129">
        <f>VLOOKUP($A223,'New Resources - Individual'!$A$4:$Y$133,CX$2,FALSE)*CX$1</f>
        <v>0</v>
      </c>
      <c r="CY223" s="1116">
        <f>$G223+CX223</f>
        <v>2806700.76</v>
      </c>
      <c r="CZ223" s="1117">
        <f t="shared" si="594"/>
        <v>893155.9014630107</v>
      </c>
      <c r="DA223" s="1117">
        <f t="shared" si="595"/>
        <v>577279.95080004726</v>
      </c>
      <c r="DB223" s="1117">
        <f t="shared" si="596"/>
        <v>1336264.9077369422</v>
      </c>
      <c r="DC223" s="1073"/>
      <c r="DF223" s="1129">
        <f>VLOOKUP($A223,'New Resources - Individual'!$A$4:$Y$133,DF$2,FALSE)*DF$1</f>
        <v>0</v>
      </c>
      <c r="DG223" s="1116">
        <f>$G223+DF223</f>
        <v>2806700.76</v>
      </c>
      <c r="DH223" s="1117">
        <f t="shared" si="598"/>
        <v>893155.9014630107</v>
      </c>
      <c r="DI223" s="1117">
        <f t="shared" si="599"/>
        <v>577279.95080004726</v>
      </c>
      <c r="DJ223" s="1117">
        <f t="shared" si="600"/>
        <v>1336264.9077369422</v>
      </c>
      <c r="DK223" s="1073"/>
      <c r="DN223" s="1129">
        <f>VLOOKUP($A223,'New Resources - Individual'!$A$4:$Y$133,DN$2,FALSE)*DN$1</f>
        <v>0</v>
      </c>
      <c r="DO223" s="1116">
        <f>$G223+DN223</f>
        <v>2806700.76</v>
      </c>
      <c r="DP223" s="1117">
        <f t="shared" si="602"/>
        <v>893155.9014630107</v>
      </c>
      <c r="DQ223" s="1117">
        <f t="shared" si="603"/>
        <v>577279.95080004726</v>
      </c>
      <c r="DR223" s="1117">
        <f t="shared" si="604"/>
        <v>1336264.9077369422</v>
      </c>
      <c r="DS223" s="1073"/>
      <c r="DV223" s="1129">
        <f>VLOOKUP($A223,'New Resources - Individual'!$A$4:$Y$133,DV$2,FALSE)*DV$1</f>
        <v>0</v>
      </c>
      <c r="DW223" s="1116">
        <f>$G223+DV223</f>
        <v>2806700.76</v>
      </c>
      <c r="DX223" s="1117">
        <f t="shared" si="606"/>
        <v>893155.9014630107</v>
      </c>
      <c r="DY223" s="1117">
        <f t="shared" si="607"/>
        <v>577279.95080004726</v>
      </c>
      <c r="DZ223" s="1117">
        <f t="shared" si="608"/>
        <v>1336264.9077369422</v>
      </c>
      <c r="EA223" s="1073"/>
      <c r="ED223" s="1129">
        <f>VLOOKUP($A223,'New Resources - Individual'!$A$4:$Y$133,ED$2,FALSE)*ED$1</f>
        <v>0</v>
      </c>
      <c r="EE223" s="1116">
        <f>$G223+ED223</f>
        <v>2806700.76</v>
      </c>
      <c r="EF223" s="1117">
        <f t="shared" si="610"/>
        <v>893155.9014630107</v>
      </c>
      <c r="EG223" s="1117">
        <f t="shared" si="611"/>
        <v>577279.95080004726</v>
      </c>
      <c r="EH223" s="1117">
        <f t="shared" si="612"/>
        <v>1336264.9077369422</v>
      </c>
      <c r="EI223" s="1073"/>
      <c r="EL223" s="1129">
        <f>VLOOKUP($A223,'New Resources - Individual'!$A$4:$Y$133,EL$2,FALSE)*EL$1</f>
        <v>0</v>
      </c>
      <c r="EM223" s="1116">
        <f>$G223+EL223</f>
        <v>2806700.76</v>
      </c>
      <c r="EN223" s="1117">
        <f t="shared" si="614"/>
        <v>893155.9014630107</v>
      </c>
      <c r="EO223" s="1117">
        <f t="shared" si="615"/>
        <v>577279.95080004726</v>
      </c>
      <c r="EP223" s="1117">
        <f t="shared" si="616"/>
        <v>1336264.9077369422</v>
      </c>
      <c r="EQ223" s="1073"/>
      <c r="ET223" s="1129">
        <f>VLOOKUP($A223,'New Resources - Individual'!$A$4:$Y$133,ET$2,FALSE)*ET$1</f>
        <v>0</v>
      </c>
      <c r="EU223" s="1116">
        <f>$G223+ET223</f>
        <v>2806700.76</v>
      </c>
      <c r="EV223" s="1117">
        <f t="shared" si="618"/>
        <v>893155.9014630107</v>
      </c>
      <c r="EW223" s="1117">
        <f t="shared" si="619"/>
        <v>577279.95080004726</v>
      </c>
      <c r="EX223" s="1117">
        <f t="shared" si="620"/>
        <v>1336264.9077369422</v>
      </c>
      <c r="EY223" s="1073"/>
      <c r="FB223" s="1129">
        <f>VLOOKUP($A223,'New Resources - Individual'!$A$4:$Y$133,FB$2,FALSE)*FB$1</f>
        <v>0</v>
      </c>
      <c r="FC223" s="1116">
        <f>$G223+FB223</f>
        <v>2806700.76</v>
      </c>
      <c r="FD223" s="1117">
        <f t="shared" si="622"/>
        <v>893155.9014630107</v>
      </c>
      <c r="FE223" s="1117">
        <f t="shared" si="623"/>
        <v>577279.95080004726</v>
      </c>
      <c r="FF223" s="1117">
        <f t="shared" si="624"/>
        <v>1336264.9077369422</v>
      </c>
      <c r="FG223" s="1073"/>
      <c r="FJ223" s="1129">
        <f>VLOOKUP($A223,'New Resources - Individual'!$A$4:$Y$133,FJ$2,FALSE)*FJ$1</f>
        <v>0</v>
      </c>
      <c r="FK223" s="1116">
        <f>$G223+FJ223</f>
        <v>2806700.76</v>
      </c>
      <c r="FL223" s="1117">
        <f t="shared" si="626"/>
        <v>893155.9014630107</v>
      </c>
      <c r="FM223" s="1117">
        <f t="shared" si="627"/>
        <v>577279.95080004726</v>
      </c>
      <c r="FN223" s="1117">
        <f t="shared" si="628"/>
        <v>1336264.9077369422</v>
      </c>
      <c r="FO223" s="1073"/>
    </row>
    <row r="224" spans="1:171">
      <c r="A224" s="912"/>
      <c r="B224" s="913" t="s">
        <v>469</v>
      </c>
      <c r="C224" s="888" t="s">
        <v>72</v>
      </c>
      <c r="D224" s="888">
        <v>925</v>
      </c>
      <c r="E224" s="182" t="str">
        <f>'Sch 3 - Expenses'!E64</f>
        <v>labor</v>
      </c>
      <c r="F224" s="889"/>
      <c r="G224" s="182">
        <f>'Sch 3 - Expenses'!G64</f>
        <v>10784298.52</v>
      </c>
      <c r="H224" s="182">
        <f>'Sch 3 - Expenses'!H64</f>
        <v>3947815.0882329289</v>
      </c>
      <c r="I224" s="182">
        <f>'Sch 3 - Expenses'!I64</f>
        <v>0</v>
      </c>
      <c r="J224" s="183">
        <f>'Sch 3 - Expenses'!J64</f>
        <v>6836483.4317670707</v>
      </c>
      <c r="K224" s="903">
        <f t="shared" si="548"/>
        <v>1</v>
      </c>
      <c r="O224" s="1116">
        <f t="shared" si="549"/>
        <v>10784298.52</v>
      </c>
      <c r="P224" s="1117">
        <f t="shared" si="550"/>
        <v>3947815.0882329289</v>
      </c>
      <c r="Q224" s="1117">
        <f t="shared" si="551"/>
        <v>827298.99461393617</v>
      </c>
      <c r="R224" s="1117">
        <f t="shared" si="552"/>
        <v>6009184.4371531345</v>
      </c>
      <c r="S224" s="1073"/>
      <c r="W224" s="1116">
        <f t="shared" si="553"/>
        <v>10784298.52</v>
      </c>
      <c r="X224" s="1117">
        <f t="shared" si="554"/>
        <v>3947815.0882329289</v>
      </c>
      <c r="Y224" s="1117">
        <f t="shared" si="555"/>
        <v>827298.99461393617</v>
      </c>
      <c r="Z224" s="1117">
        <f t="shared" si="556"/>
        <v>6009184.4371531345</v>
      </c>
      <c r="AA224" s="1073"/>
      <c r="AE224" s="1116">
        <f t="shared" si="557"/>
        <v>10784298.52</v>
      </c>
      <c r="AF224" s="1117">
        <f t="shared" si="558"/>
        <v>3947815.0882329289</v>
      </c>
      <c r="AG224" s="1117">
        <f t="shared" si="559"/>
        <v>827298.99461393617</v>
      </c>
      <c r="AH224" s="1117">
        <f t="shared" si="560"/>
        <v>6009184.4371531345</v>
      </c>
      <c r="AI224" s="1073"/>
      <c r="AM224" s="1116">
        <f t="shared" si="561"/>
        <v>10784298.52</v>
      </c>
      <c r="AN224" s="1117">
        <f t="shared" si="562"/>
        <v>3947815.0882329289</v>
      </c>
      <c r="AO224" s="1117">
        <f t="shared" si="563"/>
        <v>827298.99461393617</v>
      </c>
      <c r="AP224" s="1117">
        <f t="shared" si="564"/>
        <v>6009184.4371531345</v>
      </c>
      <c r="AQ224" s="1073"/>
      <c r="AU224" s="1116">
        <f t="shared" si="565"/>
        <v>10784298.52</v>
      </c>
      <c r="AV224" s="1117">
        <f t="shared" si="566"/>
        <v>3947815.0882329289</v>
      </c>
      <c r="AW224" s="1117">
        <f t="shared" si="567"/>
        <v>827298.99461393617</v>
      </c>
      <c r="AX224" s="1117">
        <f t="shared" si="568"/>
        <v>6009184.4371531345</v>
      </c>
      <c r="AY224" s="1073"/>
      <c r="BC224" s="1116">
        <f t="shared" si="569"/>
        <v>10784298.52</v>
      </c>
      <c r="BD224" s="1117">
        <f t="shared" si="570"/>
        <v>3947815.0882329289</v>
      </c>
      <c r="BE224" s="1117">
        <f t="shared" si="571"/>
        <v>827298.99461393617</v>
      </c>
      <c r="BF224" s="1117">
        <f t="shared" si="572"/>
        <v>6009184.4371531345</v>
      </c>
      <c r="BG224" s="1073"/>
      <c r="BK224" s="1116">
        <f t="shared" si="573"/>
        <v>10784298.52</v>
      </c>
      <c r="BL224" s="1117">
        <f t="shared" si="574"/>
        <v>3947815.0882329289</v>
      </c>
      <c r="BM224" s="1117">
        <f t="shared" si="575"/>
        <v>827298.99461393617</v>
      </c>
      <c r="BN224" s="1117">
        <f t="shared" si="576"/>
        <v>6009184.4371531345</v>
      </c>
      <c r="BO224" s="1073"/>
      <c r="BS224" s="1116">
        <f t="shared" si="577"/>
        <v>10784298.52</v>
      </c>
      <c r="BT224" s="1117">
        <f t="shared" si="578"/>
        <v>3947815.0882329289</v>
      </c>
      <c r="BU224" s="1117">
        <f t="shared" si="579"/>
        <v>827298.99461393617</v>
      </c>
      <c r="BV224" s="1117">
        <f t="shared" si="580"/>
        <v>6009184.4371531345</v>
      </c>
      <c r="BW224" s="1073"/>
      <c r="CA224" s="1116">
        <f t="shared" si="581"/>
        <v>10784298.52</v>
      </c>
      <c r="CB224" s="1117">
        <f t="shared" si="582"/>
        <v>3947815.0882329289</v>
      </c>
      <c r="CC224" s="1117">
        <f t="shared" si="583"/>
        <v>827298.99461393617</v>
      </c>
      <c r="CD224" s="1117">
        <f t="shared" si="584"/>
        <v>6009184.4371531345</v>
      </c>
      <c r="CE224" s="1073"/>
      <c r="CI224" s="1116">
        <f t="shared" si="585"/>
        <v>10784298.52</v>
      </c>
      <c r="CJ224" s="1117">
        <f t="shared" si="586"/>
        <v>3947815.0882329289</v>
      </c>
      <c r="CK224" s="1117">
        <f t="shared" si="587"/>
        <v>827298.99461393617</v>
      </c>
      <c r="CL224" s="1117">
        <f t="shared" si="588"/>
        <v>6009184.4371531345</v>
      </c>
      <c r="CM224" s="1073"/>
      <c r="CQ224" s="1116">
        <f t="shared" si="589"/>
        <v>10784298.52</v>
      </c>
      <c r="CR224" s="1117">
        <f t="shared" si="590"/>
        <v>3947815.0882329289</v>
      </c>
      <c r="CS224" s="1117">
        <f t="shared" si="591"/>
        <v>827298.99461393617</v>
      </c>
      <c r="CT224" s="1117">
        <f t="shared" si="592"/>
        <v>6009184.4371531345</v>
      </c>
      <c r="CU224" s="1073"/>
      <c r="CY224" s="1116">
        <f t="shared" si="593"/>
        <v>10784298.52</v>
      </c>
      <c r="CZ224" s="1117">
        <f t="shared" si="594"/>
        <v>3947815.0882329289</v>
      </c>
      <c r="DA224" s="1117">
        <f t="shared" si="595"/>
        <v>827298.99461393617</v>
      </c>
      <c r="DB224" s="1117">
        <f t="shared" si="596"/>
        <v>6009184.4371531345</v>
      </c>
      <c r="DC224" s="1073"/>
      <c r="DG224" s="1116">
        <f t="shared" si="597"/>
        <v>10784298.52</v>
      </c>
      <c r="DH224" s="1117">
        <f t="shared" si="598"/>
        <v>3947815.0882329289</v>
      </c>
      <c r="DI224" s="1117">
        <f t="shared" si="599"/>
        <v>827298.99461393617</v>
      </c>
      <c r="DJ224" s="1117">
        <f t="shared" si="600"/>
        <v>6009184.4371531345</v>
      </c>
      <c r="DK224" s="1073"/>
      <c r="DO224" s="1116">
        <f t="shared" si="601"/>
        <v>10784298.52</v>
      </c>
      <c r="DP224" s="1117">
        <f t="shared" si="602"/>
        <v>3947815.0882329289</v>
      </c>
      <c r="DQ224" s="1117">
        <f t="shared" si="603"/>
        <v>827298.99461393617</v>
      </c>
      <c r="DR224" s="1117">
        <f t="shared" si="604"/>
        <v>6009184.4371531345</v>
      </c>
      <c r="DS224" s="1073"/>
      <c r="DW224" s="1116">
        <f t="shared" si="605"/>
        <v>10784298.52</v>
      </c>
      <c r="DX224" s="1117">
        <f t="shared" si="606"/>
        <v>3947815.0882329289</v>
      </c>
      <c r="DY224" s="1117">
        <f t="shared" si="607"/>
        <v>827298.99461393617</v>
      </c>
      <c r="DZ224" s="1117">
        <f t="shared" si="608"/>
        <v>6009184.4371531345</v>
      </c>
      <c r="EA224" s="1073"/>
      <c r="EE224" s="1116">
        <f t="shared" si="609"/>
        <v>10784298.52</v>
      </c>
      <c r="EF224" s="1117">
        <f t="shared" si="610"/>
        <v>3947815.0882329289</v>
      </c>
      <c r="EG224" s="1117">
        <f t="shared" si="611"/>
        <v>827298.99461393617</v>
      </c>
      <c r="EH224" s="1117">
        <f t="shared" si="612"/>
        <v>6009184.4371531345</v>
      </c>
      <c r="EI224" s="1073"/>
      <c r="EM224" s="1116">
        <f t="shared" si="613"/>
        <v>10784298.52</v>
      </c>
      <c r="EN224" s="1117">
        <f t="shared" si="614"/>
        <v>3947815.0882329289</v>
      </c>
      <c r="EO224" s="1117">
        <f t="shared" si="615"/>
        <v>827298.99461393617</v>
      </c>
      <c r="EP224" s="1117">
        <f t="shared" si="616"/>
        <v>6009184.4371531345</v>
      </c>
      <c r="EQ224" s="1073"/>
      <c r="EU224" s="1116">
        <f t="shared" si="617"/>
        <v>10784298.52</v>
      </c>
      <c r="EV224" s="1117">
        <f t="shared" si="618"/>
        <v>3947815.0882329289</v>
      </c>
      <c r="EW224" s="1117">
        <f t="shared" si="619"/>
        <v>827298.99461393617</v>
      </c>
      <c r="EX224" s="1117">
        <f t="shared" si="620"/>
        <v>6009184.4371531345</v>
      </c>
      <c r="EY224" s="1073"/>
      <c r="FC224" s="1116">
        <f t="shared" si="621"/>
        <v>10784298.52</v>
      </c>
      <c r="FD224" s="1117">
        <f t="shared" si="622"/>
        <v>3947815.0882329289</v>
      </c>
      <c r="FE224" s="1117">
        <f t="shared" si="623"/>
        <v>827298.99461393617</v>
      </c>
      <c r="FF224" s="1117">
        <f t="shared" si="624"/>
        <v>6009184.4371531345</v>
      </c>
      <c r="FG224" s="1073"/>
      <c r="FK224" s="1116">
        <f t="shared" si="625"/>
        <v>10784298.52</v>
      </c>
      <c r="FL224" s="1117">
        <f t="shared" si="626"/>
        <v>3947815.0882329289</v>
      </c>
      <c r="FM224" s="1117">
        <f t="shared" si="627"/>
        <v>827298.99461393617</v>
      </c>
      <c r="FN224" s="1117">
        <f t="shared" si="628"/>
        <v>6009184.4371531345</v>
      </c>
      <c r="FO224" s="1073"/>
    </row>
    <row r="225" spans="1:171">
      <c r="A225" s="912"/>
      <c r="B225" s="913" t="s">
        <v>470</v>
      </c>
      <c r="C225" s="888" t="s">
        <v>72</v>
      </c>
      <c r="D225" s="888">
        <v>926</v>
      </c>
      <c r="E225" s="182" t="str">
        <f>'Sch 3 - Expenses'!E65</f>
        <v>LABOR</v>
      </c>
      <c r="F225" s="889"/>
      <c r="G225" s="182">
        <f>'Sch 3 - Expenses'!G65</f>
        <v>28096653.760000002</v>
      </c>
      <c r="H225" s="182">
        <f>'Sch 3 - Expenses'!H65</f>
        <v>10285360.094296098</v>
      </c>
      <c r="I225" s="182">
        <f>'Sch 3 - Expenses'!I65</f>
        <v>0</v>
      </c>
      <c r="J225" s="183">
        <f>'Sch 3 - Expenses'!J65</f>
        <v>17811293.665703904</v>
      </c>
      <c r="K225" s="903">
        <f t="shared" si="548"/>
        <v>1</v>
      </c>
      <c r="O225" s="1116">
        <f t="shared" si="549"/>
        <v>28096653.760000002</v>
      </c>
      <c r="P225" s="1117">
        <f t="shared" si="550"/>
        <v>10285360.094296098</v>
      </c>
      <c r="Q225" s="1117">
        <f t="shared" si="551"/>
        <v>2155386.6822729488</v>
      </c>
      <c r="R225" s="1117">
        <f t="shared" si="552"/>
        <v>15655906.983430956</v>
      </c>
      <c r="S225" s="1073"/>
      <c r="W225" s="1116">
        <f t="shared" si="553"/>
        <v>28096653.760000002</v>
      </c>
      <c r="X225" s="1117">
        <f t="shared" si="554"/>
        <v>10285360.094296098</v>
      </c>
      <c r="Y225" s="1117">
        <f t="shared" si="555"/>
        <v>2155386.6822729488</v>
      </c>
      <c r="Z225" s="1117">
        <f t="shared" si="556"/>
        <v>15655906.983430956</v>
      </c>
      <c r="AA225" s="1073"/>
      <c r="AE225" s="1116">
        <f t="shared" si="557"/>
        <v>28096653.760000002</v>
      </c>
      <c r="AF225" s="1117">
        <f t="shared" si="558"/>
        <v>10285360.094296098</v>
      </c>
      <c r="AG225" s="1117">
        <f t="shared" si="559"/>
        <v>2155386.6822729488</v>
      </c>
      <c r="AH225" s="1117">
        <f t="shared" si="560"/>
        <v>15655906.983430956</v>
      </c>
      <c r="AI225" s="1073"/>
      <c r="AM225" s="1116">
        <f t="shared" si="561"/>
        <v>28096653.760000002</v>
      </c>
      <c r="AN225" s="1117">
        <f t="shared" si="562"/>
        <v>10285360.094296098</v>
      </c>
      <c r="AO225" s="1117">
        <f t="shared" si="563"/>
        <v>2155386.6822729488</v>
      </c>
      <c r="AP225" s="1117">
        <f t="shared" si="564"/>
        <v>15655906.983430956</v>
      </c>
      <c r="AQ225" s="1073"/>
      <c r="AU225" s="1116">
        <f t="shared" si="565"/>
        <v>28096653.760000002</v>
      </c>
      <c r="AV225" s="1117">
        <f t="shared" si="566"/>
        <v>10285360.094296098</v>
      </c>
      <c r="AW225" s="1117">
        <f t="shared" si="567"/>
        <v>2155386.6822729488</v>
      </c>
      <c r="AX225" s="1117">
        <f t="shared" si="568"/>
        <v>15655906.983430956</v>
      </c>
      <c r="AY225" s="1073"/>
      <c r="BC225" s="1116">
        <f t="shared" si="569"/>
        <v>28096653.760000002</v>
      </c>
      <c r="BD225" s="1117">
        <f t="shared" si="570"/>
        <v>10285360.094296098</v>
      </c>
      <c r="BE225" s="1117">
        <f t="shared" si="571"/>
        <v>2155386.6822729488</v>
      </c>
      <c r="BF225" s="1117">
        <f t="shared" si="572"/>
        <v>15655906.983430956</v>
      </c>
      <c r="BG225" s="1073"/>
      <c r="BK225" s="1116">
        <f t="shared" si="573"/>
        <v>28096653.760000002</v>
      </c>
      <c r="BL225" s="1117">
        <f t="shared" si="574"/>
        <v>10285360.094296098</v>
      </c>
      <c r="BM225" s="1117">
        <f t="shared" si="575"/>
        <v>2155386.6822729488</v>
      </c>
      <c r="BN225" s="1117">
        <f t="shared" si="576"/>
        <v>15655906.983430956</v>
      </c>
      <c r="BO225" s="1073"/>
      <c r="BS225" s="1116">
        <f t="shared" si="577"/>
        <v>28096653.760000002</v>
      </c>
      <c r="BT225" s="1117">
        <f t="shared" si="578"/>
        <v>10285360.094296098</v>
      </c>
      <c r="BU225" s="1117">
        <f t="shared" si="579"/>
        <v>2155386.6822729488</v>
      </c>
      <c r="BV225" s="1117">
        <f t="shared" si="580"/>
        <v>15655906.983430956</v>
      </c>
      <c r="BW225" s="1073"/>
      <c r="CA225" s="1116">
        <f t="shared" si="581"/>
        <v>28096653.760000002</v>
      </c>
      <c r="CB225" s="1117">
        <f t="shared" si="582"/>
        <v>10285360.094296098</v>
      </c>
      <c r="CC225" s="1117">
        <f t="shared" si="583"/>
        <v>2155386.6822729488</v>
      </c>
      <c r="CD225" s="1117">
        <f t="shared" si="584"/>
        <v>15655906.983430956</v>
      </c>
      <c r="CE225" s="1073"/>
      <c r="CI225" s="1116">
        <f t="shared" si="585"/>
        <v>28096653.760000002</v>
      </c>
      <c r="CJ225" s="1117">
        <f t="shared" si="586"/>
        <v>10285360.094296098</v>
      </c>
      <c r="CK225" s="1117">
        <f t="shared" si="587"/>
        <v>2155386.6822729488</v>
      </c>
      <c r="CL225" s="1117">
        <f t="shared" si="588"/>
        <v>15655906.983430956</v>
      </c>
      <c r="CM225" s="1073"/>
      <c r="CQ225" s="1116">
        <f t="shared" si="589"/>
        <v>28096653.760000002</v>
      </c>
      <c r="CR225" s="1117">
        <f t="shared" si="590"/>
        <v>10285360.094296098</v>
      </c>
      <c r="CS225" s="1117">
        <f t="shared" si="591"/>
        <v>2155386.6822729488</v>
      </c>
      <c r="CT225" s="1117">
        <f t="shared" si="592"/>
        <v>15655906.983430956</v>
      </c>
      <c r="CU225" s="1073"/>
      <c r="CY225" s="1116">
        <f t="shared" si="593"/>
        <v>28096653.760000002</v>
      </c>
      <c r="CZ225" s="1117">
        <f t="shared" si="594"/>
        <v>10285360.094296098</v>
      </c>
      <c r="DA225" s="1117">
        <f t="shared" si="595"/>
        <v>2155386.6822729488</v>
      </c>
      <c r="DB225" s="1117">
        <f t="shared" si="596"/>
        <v>15655906.983430956</v>
      </c>
      <c r="DC225" s="1073"/>
      <c r="DG225" s="1116">
        <f t="shared" si="597"/>
        <v>28096653.760000002</v>
      </c>
      <c r="DH225" s="1117">
        <f t="shared" si="598"/>
        <v>10285360.094296098</v>
      </c>
      <c r="DI225" s="1117">
        <f t="shared" si="599"/>
        <v>2155386.6822729488</v>
      </c>
      <c r="DJ225" s="1117">
        <f t="shared" si="600"/>
        <v>15655906.983430956</v>
      </c>
      <c r="DK225" s="1073"/>
      <c r="DO225" s="1116">
        <f t="shared" si="601"/>
        <v>28096653.760000002</v>
      </c>
      <c r="DP225" s="1117">
        <f t="shared" si="602"/>
        <v>10285360.094296098</v>
      </c>
      <c r="DQ225" s="1117">
        <f t="shared" si="603"/>
        <v>2155386.6822729488</v>
      </c>
      <c r="DR225" s="1117">
        <f t="shared" si="604"/>
        <v>15655906.983430956</v>
      </c>
      <c r="DS225" s="1073"/>
      <c r="DW225" s="1116">
        <f t="shared" si="605"/>
        <v>28096653.760000002</v>
      </c>
      <c r="DX225" s="1117">
        <f t="shared" si="606"/>
        <v>10285360.094296098</v>
      </c>
      <c r="DY225" s="1117">
        <f t="shared" si="607"/>
        <v>2155386.6822729488</v>
      </c>
      <c r="DZ225" s="1117">
        <f t="shared" si="608"/>
        <v>15655906.983430956</v>
      </c>
      <c r="EA225" s="1073"/>
      <c r="EE225" s="1116">
        <f t="shared" si="609"/>
        <v>28096653.760000002</v>
      </c>
      <c r="EF225" s="1117">
        <f t="shared" si="610"/>
        <v>10285360.094296098</v>
      </c>
      <c r="EG225" s="1117">
        <f t="shared" si="611"/>
        <v>2155386.6822729488</v>
      </c>
      <c r="EH225" s="1117">
        <f t="shared" si="612"/>
        <v>15655906.983430956</v>
      </c>
      <c r="EI225" s="1073"/>
      <c r="EM225" s="1116">
        <f t="shared" si="613"/>
        <v>28096653.760000002</v>
      </c>
      <c r="EN225" s="1117">
        <f t="shared" si="614"/>
        <v>10285360.094296098</v>
      </c>
      <c r="EO225" s="1117">
        <f t="shared" si="615"/>
        <v>2155386.6822729488</v>
      </c>
      <c r="EP225" s="1117">
        <f t="shared" si="616"/>
        <v>15655906.983430956</v>
      </c>
      <c r="EQ225" s="1073"/>
      <c r="EU225" s="1116">
        <f t="shared" si="617"/>
        <v>28096653.760000002</v>
      </c>
      <c r="EV225" s="1117">
        <f t="shared" si="618"/>
        <v>10285360.094296098</v>
      </c>
      <c r="EW225" s="1117">
        <f t="shared" si="619"/>
        <v>2155386.6822729488</v>
      </c>
      <c r="EX225" s="1117">
        <f t="shared" si="620"/>
        <v>15655906.983430956</v>
      </c>
      <c r="EY225" s="1073"/>
      <c r="FC225" s="1116">
        <f t="shared" si="621"/>
        <v>28096653.760000002</v>
      </c>
      <c r="FD225" s="1117">
        <f t="shared" si="622"/>
        <v>10285360.094296098</v>
      </c>
      <c r="FE225" s="1117">
        <f t="shared" si="623"/>
        <v>2155386.6822729488</v>
      </c>
      <c r="FF225" s="1117">
        <f t="shared" si="624"/>
        <v>15655906.983430956</v>
      </c>
      <c r="FG225" s="1073"/>
      <c r="FK225" s="1116">
        <f t="shared" si="625"/>
        <v>28096653.760000002</v>
      </c>
      <c r="FL225" s="1117">
        <f t="shared" si="626"/>
        <v>10285360.094296098</v>
      </c>
      <c r="FM225" s="1117">
        <f t="shared" si="627"/>
        <v>2155386.6822729488</v>
      </c>
      <c r="FN225" s="1117">
        <f t="shared" si="628"/>
        <v>15655906.983430956</v>
      </c>
      <c r="FO225" s="1073"/>
    </row>
    <row r="226" spans="1:171">
      <c r="A226" s="912"/>
      <c r="B226" s="913" t="s">
        <v>471</v>
      </c>
      <c r="C226" s="888" t="s">
        <v>72</v>
      </c>
      <c r="D226" s="888">
        <v>927</v>
      </c>
      <c r="E226" s="182" t="str">
        <f>'Sch 3 - Expenses'!E66</f>
        <v>DIST</v>
      </c>
      <c r="F226" s="889"/>
      <c r="G226" s="182">
        <f>'Sch 3 - Expenses'!G66</f>
        <v>1200</v>
      </c>
      <c r="H226" s="182">
        <f>'Sch 3 - Expenses'!H66</f>
        <v>0</v>
      </c>
      <c r="I226" s="182">
        <f>'Sch 3 - Expenses'!I66</f>
        <v>0</v>
      </c>
      <c r="J226" s="183">
        <f>'Sch 3 - Expenses'!J66</f>
        <v>1200</v>
      </c>
      <c r="K226" s="903">
        <f t="shared" si="548"/>
        <v>1</v>
      </c>
      <c r="O226" s="1116">
        <f t="shared" si="549"/>
        <v>1200</v>
      </c>
      <c r="P226" s="1117">
        <f t="shared" si="550"/>
        <v>0</v>
      </c>
      <c r="Q226" s="1117">
        <f t="shared" si="551"/>
        <v>0</v>
      </c>
      <c r="R226" s="1117">
        <f t="shared" si="552"/>
        <v>1200</v>
      </c>
      <c r="S226" s="1073"/>
      <c r="W226" s="1116">
        <f t="shared" si="553"/>
        <v>1200</v>
      </c>
      <c r="X226" s="1117">
        <f t="shared" si="554"/>
        <v>0</v>
      </c>
      <c r="Y226" s="1117">
        <f t="shared" si="555"/>
        <v>0</v>
      </c>
      <c r="Z226" s="1117">
        <f t="shared" si="556"/>
        <v>1200</v>
      </c>
      <c r="AA226" s="1073"/>
      <c r="AE226" s="1116">
        <f t="shared" si="557"/>
        <v>1200</v>
      </c>
      <c r="AF226" s="1117">
        <f t="shared" si="558"/>
        <v>0</v>
      </c>
      <c r="AG226" s="1117">
        <f t="shared" si="559"/>
        <v>0</v>
      </c>
      <c r="AH226" s="1117">
        <f t="shared" si="560"/>
        <v>1200</v>
      </c>
      <c r="AI226" s="1073"/>
      <c r="AM226" s="1116">
        <f t="shared" si="561"/>
        <v>1200</v>
      </c>
      <c r="AN226" s="1117">
        <f t="shared" si="562"/>
        <v>0</v>
      </c>
      <c r="AO226" s="1117">
        <f t="shared" si="563"/>
        <v>0</v>
      </c>
      <c r="AP226" s="1117">
        <f t="shared" si="564"/>
        <v>1200</v>
      </c>
      <c r="AQ226" s="1073"/>
      <c r="AU226" s="1116">
        <f t="shared" si="565"/>
        <v>1200</v>
      </c>
      <c r="AV226" s="1117">
        <f t="shared" si="566"/>
        <v>0</v>
      </c>
      <c r="AW226" s="1117">
        <f t="shared" si="567"/>
        <v>0</v>
      </c>
      <c r="AX226" s="1117">
        <f t="shared" si="568"/>
        <v>1200</v>
      </c>
      <c r="AY226" s="1073"/>
      <c r="BC226" s="1116">
        <f t="shared" si="569"/>
        <v>1200</v>
      </c>
      <c r="BD226" s="1117">
        <f t="shared" si="570"/>
        <v>0</v>
      </c>
      <c r="BE226" s="1117">
        <f t="shared" si="571"/>
        <v>0</v>
      </c>
      <c r="BF226" s="1117">
        <f t="shared" si="572"/>
        <v>1200</v>
      </c>
      <c r="BG226" s="1073"/>
      <c r="BK226" s="1116">
        <f t="shared" si="573"/>
        <v>1200</v>
      </c>
      <c r="BL226" s="1117">
        <f t="shared" si="574"/>
        <v>0</v>
      </c>
      <c r="BM226" s="1117">
        <f t="shared" si="575"/>
        <v>0</v>
      </c>
      <c r="BN226" s="1117">
        <f t="shared" si="576"/>
        <v>1200</v>
      </c>
      <c r="BO226" s="1073"/>
      <c r="BS226" s="1116">
        <f t="shared" si="577"/>
        <v>1200</v>
      </c>
      <c r="BT226" s="1117">
        <f t="shared" si="578"/>
        <v>0</v>
      </c>
      <c r="BU226" s="1117">
        <f t="shared" si="579"/>
        <v>0</v>
      </c>
      <c r="BV226" s="1117">
        <f t="shared" si="580"/>
        <v>1200</v>
      </c>
      <c r="BW226" s="1073"/>
      <c r="CA226" s="1116">
        <f t="shared" si="581"/>
        <v>1200</v>
      </c>
      <c r="CB226" s="1117">
        <f t="shared" si="582"/>
        <v>0</v>
      </c>
      <c r="CC226" s="1117">
        <f t="shared" si="583"/>
        <v>0</v>
      </c>
      <c r="CD226" s="1117">
        <f t="shared" si="584"/>
        <v>1200</v>
      </c>
      <c r="CE226" s="1073"/>
      <c r="CI226" s="1116">
        <f t="shared" si="585"/>
        <v>1200</v>
      </c>
      <c r="CJ226" s="1117">
        <f t="shared" si="586"/>
        <v>0</v>
      </c>
      <c r="CK226" s="1117">
        <f t="shared" si="587"/>
        <v>0</v>
      </c>
      <c r="CL226" s="1117">
        <f t="shared" si="588"/>
        <v>1200</v>
      </c>
      <c r="CM226" s="1073"/>
      <c r="CQ226" s="1116">
        <f t="shared" si="589"/>
        <v>1200</v>
      </c>
      <c r="CR226" s="1117">
        <f t="shared" si="590"/>
        <v>0</v>
      </c>
      <c r="CS226" s="1117">
        <f t="shared" si="591"/>
        <v>0</v>
      </c>
      <c r="CT226" s="1117">
        <f t="shared" si="592"/>
        <v>1200</v>
      </c>
      <c r="CU226" s="1073"/>
      <c r="CY226" s="1116">
        <f t="shared" si="593"/>
        <v>1200</v>
      </c>
      <c r="CZ226" s="1117">
        <f t="shared" si="594"/>
        <v>0</v>
      </c>
      <c r="DA226" s="1117">
        <f t="shared" si="595"/>
        <v>0</v>
      </c>
      <c r="DB226" s="1117">
        <f t="shared" si="596"/>
        <v>1200</v>
      </c>
      <c r="DC226" s="1073"/>
      <c r="DG226" s="1116">
        <f t="shared" si="597"/>
        <v>1200</v>
      </c>
      <c r="DH226" s="1117">
        <f t="shared" si="598"/>
        <v>0</v>
      </c>
      <c r="DI226" s="1117">
        <f t="shared" si="599"/>
        <v>0</v>
      </c>
      <c r="DJ226" s="1117">
        <f t="shared" si="600"/>
        <v>1200</v>
      </c>
      <c r="DK226" s="1073"/>
      <c r="DO226" s="1116">
        <f t="shared" si="601"/>
        <v>1200</v>
      </c>
      <c r="DP226" s="1117">
        <f t="shared" si="602"/>
        <v>0</v>
      </c>
      <c r="DQ226" s="1117">
        <f t="shared" si="603"/>
        <v>0</v>
      </c>
      <c r="DR226" s="1117">
        <f t="shared" si="604"/>
        <v>1200</v>
      </c>
      <c r="DS226" s="1073"/>
      <c r="DW226" s="1116">
        <f t="shared" si="605"/>
        <v>1200</v>
      </c>
      <c r="DX226" s="1117">
        <f t="shared" si="606"/>
        <v>0</v>
      </c>
      <c r="DY226" s="1117">
        <f t="shared" si="607"/>
        <v>0</v>
      </c>
      <c r="DZ226" s="1117">
        <f t="shared" si="608"/>
        <v>1200</v>
      </c>
      <c r="EA226" s="1073"/>
      <c r="EE226" s="1116">
        <f t="shared" si="609"/>
        <v>1200</v>
      </c>
      <c r="EF226" s="1117">
        <f t="shared" si="610"/>
        <v>0</v>
      </c>
      <c r="EG226" s="1117">
        <f t="shared" si="611"/>
        <v>0</v>
      </c>
      <c r="EH226" s="1117">
        <f t="shared" si="612"/>
        <v>1200</v>
      </c>
      <c r="EI226" s="1073"/>
      <c r="EM226" s="1116">
        <f t="shared" si="613"/>
        <v>1200</v>
      </c>
      <c r="EN226" s="1117">
        <f t="shared" si="614"/>
        <v>0</v>
      </c>
      <c r="EO226" s="1117">
        <f t="shared" si="615"/>
        <v>0</v>
      </c>
      <c r="EP226" s="1117">
        <f t="shared" si="616"/>
        <v>1200</v>
      </c>
      <c r="EQ226" s="1073"/>
      <c r="EU226" s="1116">
        <f t="shared" si="617"/>
        <v>1200</v>
      </c>
      <c r="EV226" s="1117">
        <f t="shared" si="618"/>
        <v>0</v>
      </c>
      <c r="EW226" s="1117">
        <f t="shared" si="619"/>
        <v>0</v>
      </c>
      <c r="EX226" s="1117">
        <f t="shared" si="620"/>
        <v>1200</v>
      </c>
      <c r="EY226" s="1073"/>
      <c r="FC226" s="1116">
        <f t="shared" si="621"/>
        <v>1200</v>
      </c>
      <c r="FD226" s="1117">
        <f t="shared" si="622"/>
        <v>0</v>
      </c>
      <c r="FE226" s="1117">
        <f t="shared" si="623"/>
        <v>0</v>
      </c>
      <c r="FF226" s="1117">
        <f t="shared" si="624"/>
        <v>1200</v>
      </c>
      <c r="FG226" s="1073"/>
      <c r="FK226" s="1116">
        <f t="shared" si="625"/>
        <v>1200</v>
      </c>
      <c r="FL226" s="1117">
        <f t="shared" si="626"/>
        <v>0</v>
      </c>
      <c r="FM226" s="1117">
        <f t="shared" si="627"/>
        <v>0</v>
      </c>
      <c r="FN226" s="1117">
        <f t="shared" si="628"/>
        <v>1200</v>
      </c>
      <c r="FO226" s="1073"/>
    </row>
    <row r="227" spans="1:171">
      <c r="A227" s="912"/>
      <c r="B227" s="913" t="s">
        <v>473</v>
      </c>
      <c r="C227" s="888" t="s">
        <v>72</v>
      </c>
      <c r="D227" s="888">
        <v>928</v>
      </c>
      <c r="E227" s="182" t="str">
        <f>'Sch 3 - Expenses'!E67</f>
        <v>DIST</v>
      </c>
      <c r="F227" s="889"/>
      <c r="G227" s="182">
        <f>'Sch 3 - Expenses'!G67</f>
        <v>8387545.0899999999</v>
      </c>
      <c r="H227" s="182">
        <f>'Sch 3 - Expenses'!H67</f>
        <v>0</v>
      </c>
      <c r="I227" s="182">
        <f>'Sch 3 - Expenses'!I67</f>
        <v>0</v>
      </c>
      <c r="J227" s="183">
        <f>'Sch 3 - Expenses'!J67</f>
        <v>8387545.0899999999</v>
      </c>
      <c r="K227" s="903">
        <f t="shared" si="548"/>
        <v>1</v>
      </c>
      <c r="O227" s="1116">
        <f t="shared" si="549"/>
        <v>8387545.0899999999</v>
      </c>
      <c r="P227" s="1117">
        <f t="shared" si="550"/>
        <v>0</v>
      </c>
      <c r="Q227" s="1117">
        <f t="shared" si="551"/>
        <v>0</v>
      </c>
      <c r="R227" s="1117">
        <f t="shared" si="552"/>
        <v>8387545.0899999999</v>
      </c>
      <c r="S227" s="1073"/>
      <c r="W227" s="1116">
        <f t="shared" si="553"/>
        <v>8387545.0899999999</v>
      </c>
      <c r="X227" s="1117">
        <f t="shared" si="554"/>
        <v>0</v>
      </c>
      <c r="Y227" s="1117">
        <f t="shared" si="555"/>
        <v>0</v>
      </c>
      <c r="Z227" s="1117">
        <f t="shared" si="556"/>
        <v>8387545.0899999999</v>
      </c>
      <c r="AA227" s="1073"/>
      <c r="AE227" s="1116">
        <f t="shared" si="557"/>
        <v>8387545.0899999999</v>
      </c>
      <c r="AF227" s="1117">
        <f t="shared" si="558"/>
        <v>0</v>
      </c>
      <c r="AG227" s="1117">
        <f t="shared" si="559"/>
        <v>0</v>
      </c>
      <c r="AH227" s="1117">
        <f t="shared" si="560"/>
        <v>8387545.0899999999</v>
      </c>
      <c r="AI227" s="1073"/>
      <c r="AM227" s="1116">
        <f t="shared" si="561"/>
        <v>8387545.0899999999</v>
      </c>
      <c r="AN227" s="1117">
        <f t="shared" si="562"/>
        <v>0</v>
      </c>
      <c r="AO227" s="1117">
        <f t="shared" si="563"/>
        <v>0</v>
      </c>
      <c r="AP227" s="1117">
        <f t="shared" si="564"/>
        <v>8387545.0899999999</v>
      </c>
      <c r="AQ227" s="1073"/>
      <c r="AU227" s="1116">
        <f t="shared" si="565"/>
        <v>8387545.0899999999</v>
      </c>
      <c r="AV227" s="1117">
        <f t="shared" si="566"/>
        <v>0</v>
      </c>
      <c r="AW227" s="1117">
        <f t="shared" si="567"/>
        <v>0</v>
      </c>
      <c r="AX227" s="1117">
        <f t="shared" si="568"/>
        <v>8387545.0899999999</v>
      </c>
      <c r="AY227" s="1073"/>
      <c r="BC227" s="1116">
        <f t="shared" si="569"/>
        <v>8387545.0899999999</v>
      </c>
      <c r="BD227" s="1117">
        <f t="shared" si="570"/>
        <v>0</v>
      </c>
      <c r="BE227" s="1117">
        <f t="shared" si="571"/>
        <v>0</v>
      </c>
      <c r="BF227" s="1117">
        <f t="shared" si="572"/>
        <v>8387545.0899999999</v>
      </c>
      <c r="BG227" s="1073"/>
      <c r="BK227" s="1116">
        <f t="shared" si="573"/>
        <v>8387545.0899999999</v>
      </c>
      <c r="BL227" s="1117">
        <f t="shared" si="574"/>
        <v>0</v>
      </c>
      <c r="BM227" s="1117">
        <f t="shared" si="575"/>
        <v>0</v>
      </c>
      <c r="BN227" s="1117">
        <f t="shared" si="576"/>
        <v>8387545.0899999999</v>
      </c>
      <c r="BO227" s="1073"/>
      <c r="BS227" s="1116">
        <f t="shared" si="577"/>
        <v>8387545.0899999999</v>
      </c>
      <c r="BT227" s="1117">
        <f t="shared" si="578"/>
        <v>0</v>
      </c>
      <c r="BU227" s="1117">
        <f t="shared" si="579"/>
        <v>0</v>
      </c>
      <c r="BV227" s="1117">
        <f t="shared" si="580"/>
        <v>8387545.0899999999</v>
      </c>
      <c r="BW227" s="1073"/>
      <c r="CA227" s="1116">
        <f t="shared" si="581"/>
        <v>8387545.0899999999</v>
      </c>
      <c r="CB227" s="1117">
        <f t="shared" si="582"/>
        <v>0</v>
      </c>
      <c r="CC227" s="1117">
        <f t="shared" si="583"/>
        <v>0</v>
      </c>
      <c r="CD227" s="1117">
        <f t="shared" si="584"/>
        <v>8387545.0899999999</v>
      </c>
      <c r="CE227" s="1073"/>
      <c r="CI227" s="1116">
        <f t="shared" si="585"/>
        <v>8387545.0899999999</v>
      </c>
      <c r="CJ227" s="1117">
        <f t="shared" si="586"/>
        <v>0</v>
      </c>
      <c r="CK227" s="1117">
        <f t="shared" si="587"/>
        <v>0</v>
      </c>
      <c r="CL227" s="1117">
        <f t="shared" si="588"/>
        <v>8387545.0899999999</v>
      </c>
      <c r="CM227" s="1073"/>
      <c r="CQ227" s="1116">
        <f t="shared" si="589"/>
        <v>8387545.0899999999</v>
      </c>
      <c r="CR227" s="1117">
        <f t="shared" si="590"/>
        <v>0</v>
      </c>
      <c r="CS227" s="1117">
        <f t="shared" si="591"/>
        <v>0</v>
      </c>
      <c r="CT227" s="1117">
        <f t="shared" si="592"/>
        <v>8387545.0899999999</v>
      </c>
      <c r="CU227" s="1073"/>
      <c r="CY227" s="1116">
        <f t="shared" si="593"/>
        <v>8387545.0899999999</v>
      </c>
      <c r="CZ227" s="1117">
        <f t="shared" si="594"/>
        <v>0</v>
      </c>
      <c r="DA227" s="1117">
        <f t="shared" si="595"/>
        <v>0</v>
      </c>
      <c r="DB227" s="1117">
        <f t="shared" si="596"/>
        <v>8387545.0899999999</v>
      </c>
      <c r="DC227" s="1073"/>
      <c r="DG227" s="1116">
        <f t="shared" si="597"/>
        <v>8387545.0899999999</v>
      </c>
      <c r="DH227" s="1117">
        <f t="shared" si="598"/>
        <v>0</v>
      </c>
      <c r="DI227" s="1117">
        <f t="shared" si="599"/>
        <v>0</v>
      </c>
      <c r="DJ227" s="1117">
        <f t="shared" si="600"/>
        <v>8387545.0899999999</v>
      </c>
      <c r="DK227" s="1073"/>
      <c r="DO227" s="1116">
        <f t="shared" si="601"/>
        <v>8387545.0899999999</v>
      </c>
      <c r="DP227" s="1117">
        <f t="shared" si="602"/>
        <v>0</v>
      </c>
      <c r="DQ227" s="1117">
        <f t="shared" si="603"/>
        <v>0</v>
      </c>
      <c r="DR227" s="1117">
        <f t="shared" si="604"/>
        <v>8387545.0899999999</v>
      </c>
      <c r="DS227" s="1073"/>
      <c r="DW227" s="1116">
        <f t="shared" si="605"/>
        <v>8387545.0899999999</v>
      </c>
      <c r="DX227" s="1117">
        <f t="shared" si="606"/>
        <v>0</v>
      </c>
      <c r="DY227" s="1117">
        <f t="shared" si="607"/>
        <v>0</v>
      </c>
      <c r="DZ227" s="1117">
        <f t="shared" si="608"/>
        <v>8387545.0899999999</v>
      </c>
      <c r="EA227" s="1073"/>
      <c r="EE227" s="1116">
        <f t="shared" si="609"/>
        <v>8387545.0899999999</v>
      </c>
      <c r="EF227" s="1117">
        <f t="shared" si="610"/>
        <v>0</v>
      </c>
      <c r="EG227" s="1117">
        <f t="shared" si="611"/>
        <v>0</v>
      </c>
      <c r="EH227" s="1117">
        <f t="shared" si="612"/>
        <v>8387545.0899999999</v>
      </c>
      <c r="EI227" s="1073"/>
      <c r="EM227" s="1116">
        <f t="shared" si="613"/>
        <v>8387545.0899999999</v>
      </c>
      <c r="EN227" s="1117">
        <f t="shared" si="614"/>
        <v>0</v>
      </c>
      <c r="EO227" s="1117">
        <f t="shared" si="615"/>
        <v>0</v>
      </c>
      <c r="EP227" s="1117">
        <f t="shared" si="616"/>
        <v>8387545.0899999999</v>
      </c>
      <c r="EQ227" s="1073"/>
      <c r="EU227" s="1116">
        <f t="shared" si="617"/>
        <v>8387545.0899999999</v>
      </c>
      <c r="EV227" s="1117">
        <f t="shared" si="618"/>
        <v>0</v>
      </c>
      <c r="EW227" s="1117">
        <f t="shared" si="619"/>
        <v>0</v>
      </c>
      <c r="EX227" s="1117">
        <f t="shared" si="620"/>
        <v>8387545.0899999999</v>
      </c>
      <c r="EY227" s="1073"/>
      <c r="FC227" s="1116">
        <f t="shared" si="621"/>
        <v>8387545.0899999999</v>
      </c>
      <c r="FD227" s="1117">
        <f t="shared" si="622"/>
        <v>0</v>
      </c>
      <c r="FE227" s="1117">
        <f t="shared" si="623"/>
        <v>0</v>
      </c>
      <c r="FF227" s="1117">
        <f t="shared" si="624"/>
        <v>8387545.0899999999</v>
      </c>
      <c r="FG227" s="1073"/>
      <c r="FK227" s="1116">
        <f t="shared" si="625"/>
        <v>8387545.0899999999</v>
      </c>
      <c r="FL227" s="1117">
        <f t="shared" si="626"/>
        <v>0</v>
      </c>
      <c r="FM227" s="1117">
        <f t="shared" si="627"/>
        <v>0</v>
      </c>
      <c r="FN227" s="1117">
        <f t="shared" si="628"/>
        <v>8387545.0899999999</v>
      </c>
      <c r="FO227" s="1073"/>
    </row>
    <row r="228" spans="1:171">
      <c r="A228" s="912"/>
      <c r="B228" s="913" t="s">
        <v>168</v>
      </c>
      <c r="C228" s="888" t="s">
        <v>72</v>
      </c>
      <c r="D228" s="888">
        <v>929</v>
      </c>
      <c r="E228" s="182" t="str">
        <f>'Sch 3 - Expenses'!E68</f>
        <v>PTDG</v>
      </c>
      <c r="F228" s="889"/>
      <c r="G228" s="182">
        <f>'Sch 3 - Expenses'!G68</f>
        <v>0</v>
      </c>
      <c r="H228" s="182">
        <f>'Sch 3 - Expenses'!H68</f>
        <v>0</v>
      </c>
      <c r="I228" s="182">
        <f>'Sch 3 - Expenses'!I68</f>
        <v>0</v>
      </c>
      <c r="J228" s="183">
        <f>'Sch 3 - Expenses'!J68</f>
        <v>0</v>
      </c>
      <c r="K228" s="903">
        <f t="shared" si="548"/>
        <v>1</v>
      </c>
      <c r="O228" s="1116">
        <f t="shared" si="549"/>
        <v>0</v>
      </c>
      <c r="P228" s="1117">
        <f t="shared" si="550"/>
        <v>0</v>
      </c>
      <c r="Q228" s="1117">
        <f t="shared" si="551"/>
        <v>0</v>
      </c>
      <c r="R228" s="1117">
        <f t="shared" si="552"/>
        <v>0</v>
      </c>
      <c r="S228" s="1073"/>
      <c r="W228" s="1116">
        <f t="shared" si="553"/>
        <v>0</v>
      </c>
      <c r="X228" s="1117">
        <f t="shared" si="554"/>
        <v>0</v>
      </c>
      <c r="Y228" s="1117">
        <f t="shared" si="555"/>
        <v>0</v>
      </c>
      <c r="Z228" s="1117">
        <f t="shared" si="556"/>
        <v>0</v>
      </c>
      <c r="AA228" s="1073"/>
      <c r="AE228" s="1116">
        <f t="shared" si="557"/>
        <v>0</v>
      </c>
      <c r="AF228" s="1117">
        <f t="shared" si="558"/>
        <v>0</v>
      </c>
      <c r="AG228" s="1117">
        <f t="shared" si="559"/>
        <v>0</v>
      </c>
      <c r="AH228" s="1117">
        <f t="shared" si="560"/>
        <v>0</v>
      </c>
      <c r="AI228" s="1073"/>
      <c r="AM228" s="1116">
        <f t="shared" si="561"/>
        <v>0</v>
      </c>
      <c r="AN228" s="1117">
        <f t="shared" si="562"/>
        <v>0</v>
      </c>
      <c r="AO228" s="1117">
        <f t="shared" si="563"/>
        <v>0</v>
      </c>
      <c r="AP228" s="1117">
        <f t="shared" si="564"/>
        <v>0</v>
      </c>
      <c r="AQ228" s="1073"/>
      <c r="AU228" s="1116">
        <f t="shared" si="565"/>
        <v>0</v>
      </c>
      <c r="AV228" s="1117">
        <f t="shared" si="566"/>
        <v>0</v>
      </c>
      <c r="AW228" s="1117">
        <f t="shared" si="567"/>
        <v>0</v>
      </c>
      <c r="AX228" s="1117">
        <f t="shared" si="568"/>
        <v>0</v>
      </c>
      <c r="AY228" s="1073"/>
      <c r="BC228" s="1116">
        <f t="shared" si="569"/>
        <v>0</v>
      </c>
      <c r="BD228" s="1117">
        <f t="shared" si="570"/>
        <v>0</v>
      </c>
      <c r="BE228" s="1117">
        <f t="shared" si="571"/>
        <v>0</v>
      </c>
      <c r="BF228" s="1117">
        <f t="shared" si="572"/>
        <v>0</v>
      </c>
      <c r="BG228" s="1073"/>
      <c r="BK228" s="1116">
        <f t="shared" si="573"/>
        <v>0</v>
      </c>
      <c r="BL228" s="1117">
        <f t="shared" si="574"/>
        <v>0</v>
      </c>
      <c r="BM228" s="1117">
        <f t="shared" si="575"/>
        <v>0</v>
      </c>
      <c r="BN228" s="1117">
        <f t="shared" si="576"/>
        <v>0</v>
      </c>
      <c r="BO228" s="1073"/>
      <c r="BS228" s="1116">
        <f t="shared" si="577"/>
        <v>0</v>
      </c>
      <c r="BT228" s="1117">
        <f t="shared" si="578"/>
        <v>0</v>
      </c>
      <c r="BU228" s="1117">
        <f t="shared" si="579"/>
        <v>0</v>
      </c>
      <c r="BV228" s="1117">
        <f t="shared" si="580"/>
        <v>0</v>
      </c>
      <c r="BW228" s="1073"/>
      <c r="CA228" s="1116">
        <f t="shared" si="581"/>
        <v>0</v>
      </c>
      <c r="CB228" s="1117">
        <f t="shared" si="582"/>
        <v>0</v>
      </c>
      <c r="CC228" s="1117">
        <f t="shared" si="583"/>
        <v>0</v>
      </c>
      <c r="CD228" s="1117">
        <f t="shared" si="584"/>
        <v>0</v>
      </c>
      <c r="CE228" s="1073"/>
      <c r="CI228" s="1116">
        <f t="shared" si="585"/>
        <v>0</v>
      </c>
      <c r="CJ228" s="1117">
        <f t="shared" si="586"/>
        <v>0</v>
      </c>
      <c r="CK228" s="1117">
        <f t="shared" si="587"/>
        <v>0</v>
      </c>
      <c r="CL228" s="1117">
        <f t="shared" si="588"/>
        <v>0</v>
      </c>
      <c r="CM228" s="1073"/>
      <c r="CQ228" s="1116">
        <f t="shared" si="589"/>
        <v>0</v>
      </c>
      <c r="CR228" s="1117">
        <f t="shared" si="590"/>
        <v>0</v>
      </c>
      <c r="CS228" s="1117">
        <f t="shared" si="591"/>
        <v>0</v>
      </c>
      <c r="CT228" s="1117">
        <f t="shared" si="592"/>
        <v>0</v>
      </c>
      <c r="CU228" s="1073"/>
      <c r="CY228" s="1116">
        <f t="shared" si="593"/>
        <v>0</v>
      </c>
      <c r="CZ228" s="1117">
        <f t="shared" si="594"/>
        <v>0</v>
      </c>
      <c r="DA228" s="1117">
        <f t="shared" si="595"/>
        <v>0</v>
      </c>
      <c r="DB228" s="1117">
        <f t="shared" si="596"/>
        <v>0</v>
      </c>
      <c r="DC228" s="1073"/>
      <c r="DG228" s="1116">
        <f t="shared" si="597"/>
        <v>0</v>
      </c>
      <c r="DH228" s="1117">
        <f t="shared" si="598"/>
        <v>0</v>
      </c>
      <c r="DI228" s="1117">
        <f t="shared" si="599"/>
        <v>0</v>
      </c>
      <c r="DJ228" s="1117">
        <f t="shared" si="600"/>
        <v>0</v>
      </c>
      <c r="DK228" s="1073"/>
      <c r="DO228" s="1116">
        <f t="shared" si="601"/>
        <v>0</v>
      </c>
      <c r="DP228" s="1117">
        <f t="shared" si="602"/>
        <v>0</v>
      </c>
      <c r="DQ228" s="1117">
        <f t="shared" si="603"/>
        <v>0</v>
      </c>
      <c r="DR228" s="1117">
        <f t="shared" si="604"/>
        <v>0</v>
      </c>
      <c r="DS228" s="1073"/>
      <c r="DW228" s="1116">
        <f t="shared" si="605"/>
        <v>0</v>
      </c>
      <c r="DX228" s="1117">
        <f t="shared" si="606"/>
        <v>0</v>
      </c>
      <c r="DY228" s="1117">
        <f t="shared" si="607"/>
        <v>0</v>
      </c>
      <c r="DZ228" s="1117">
        <f t="shared" si="608"/>
        <v>0</v>
      </c>
      <c r="EA228" s="1073"/>
      <c r="EE228" s="1116">
        <f t="shared" si="609"/>
        <v>0</v>
      </c>
      <c r="EF228" s="1117">
        <f t="shared" si="610"/>
        <v>0</v>
      </c>
      <c r="EG228" s="1117">
        <f t="shared" si="611"/>
        <v>0</v>
      </c>
      <c r="EH228" s="1117">
        <f t="shared" si="612"/>
        <v>0</v>
      </c>
      <c r="EI228" s="1073"/>
      <c r="EM228" s="1116">
        <f t="shared" si="613"/>
        <v>0</v>
      </c>
      <c r="EN228" s="1117">
        <f t="shared" si="614"/>
        <v>0</v>
      </c>
      <c r="EO228" s="1117">
        <f t="shared" si="615"/>
        <v>0</v>
      </c>
      <c r="EP228" s="1117">
        <f t="shared" si="616"/>
        <v>0</v>
      </c>
      <c r="EQ228" s="1073"/>
      <c r="EU228" s="1116">
        <f t="shared" si="617"/>
        <v>0</v>
      </c>
      <c r="EV228" s="1117">
        <f t="shared" si="618"/>
        <v>0</v>
      </c>
      <c r="EW228" s="1117">
        <f t="shared" si="619"/>
        <v>0</v>
      </c>
      <c r="EX228" s="1117">
        <f t="shared" si="620"/>
        <v>0</v>
      </c>
      <c r="EY228" s="1073"/>
      <c r="FC228" s="1116">
        <f t="shared" si="621"/>
        <v>0</v>
      </c>
      <c r="FD228" s="1117">
        <f t="shared" si="622"/>
        <v>0</v>
      </c>
      <c r="FE228" s="1117">
        <f t="shared" si="623"/>
        <v>0</v>
      </c>
      <c r="FF228" s="1117">
        <f t="shared" si="624"/>
        <v>0</v>
      </c>
      <c r="FG228" s="1073"/>
      <c r="FK228" s="1116">
        <f t="shared" si="625"/>
        <v>0</v>
      </c>
      <c r="FL228" s="1117">
        <f t="shared" si="626"/>
        <v>0</v>
      </c>
      <c r="FM228" s="1117">
        <f t="shared" si="627"/>
        <v>0</v>
      </c>
      <c r="FN228" s="1117">
        <f t="shared" si="628"/>
        <v>0</v>
      </c>
      <c r="FO228" s="1073"/>
    </row>
    <row r="229" spans="1:171">
      <c r="A229" s="912"/>
      <c r="B229" s="913" t="s">
        <v>169</v>
      </c>
      <c r="C229" s="888" t="s">
        <v>72</v>
      </c>
      <c r="D229" s="888">
        <v>930.1</v>
      </c>
      <c r="E229" s="182" t="str">
        <f>'Sch 3 - Expenses'!E69</f>
        <v>DIST</v>
      </c>
      <c r="F229" s="889"/>
      <c r="G229" s="182">
        <f>'Sch 3 - Expenses'!G69</f>
        <v>0</v>
      </c>
      <c r="H229" s="182">
        <f>'Sch 3 - Expenses'!H69</f>
        <v>0</v>
      </c>
      <c r="I229" s="182">
        <f>'Sch 3 - Expenses'!I69</f>
        <v>0</v>
      </c>
      <c r="J229" s="183">
        <f>'Sch 3 - Expenses'!J69</f>
        <v>0</v>
      </c>
      <c r="K229" s="903">
        <f t="shared" si="548"/>
        <v>1</v>
      </c>
      <c r="O229" s="1116">
        <f t="shared" si="549"/>
        <v>0</v>
      </c>
      <c r="P229" s="1117">
        <f t="shared" si="550"/>
        <v>0</v>
      </c>
      <c r="Q229" s="1117">
        <f t="shared" si="551"/>
        <v>0</v>
      </c>
      <c r="R229" s="1117">
        <f t="shared" si="552"/>
        <v>0</v>
      </c>
      <c r="S229" s="1073"/>
      <c r="W229" s="1116">
        <f t="shared" si="553"/>
        <v>0</v>
      </c>
      <c r="X229" s="1117">
        <f t="shared" si="554"/>
        <v>0</v>
      </c>
      <c r="Y229" s="1117">
        <f t="shared" si="555"/>
        <v>0</v>
      </c>
      <c r="Z229" s="1117">
        <f t="shared" si="556"/>
        <v>0</v>
      </c>
      <c r="AA229" s="1073"/>
      <c r="AE229" s="1116">
        <f t="shared" si="557"/>
        <v>0</v>
      </c>
      <c r="AF229" s="1117">
        <f t="shared" si="558"/>
        <v>0</v>
      </c>
      <c r="AG229" s="1117">
        <f t="shared" si="559"/>
        <v>0</v>
      </c>
      <c r="AH229" s="1117">
        <f t="shared" si="560"/>
        <v>0</v>
      </c>
      <c r="AI229" s="1073"/>
      <c r="AM229" s="1116">
        <f t="shared" si="561"/>
        <v>0</v>
      </c>
      <c r="AN229" s="1117">
        <f t="shared" si="562"/>
        <v>0</v>
      </c>
      <c r="AO229" s="1117">
        <f t="shared" si="563"/>
        <v>0</v>
      </c>
      <c r="AP229" s="1117">
        <f t="shared" si="564"/>
        <v>0</v>
      </c>
      <c r="AQ229" s="1073"/>
      <c r="AU229" s="1116">
        <f t="shared" si="565"/>
        <v>0</v>
      </c>
      <c r="AV229" s="1117">
        <f t="shared" si="566"/>
        <v>0</v>
      </c>
      <c r="AW229" s="1117">
        <f t="shared" si="567"/>
        <v>0</v>
      </c>
      <c r="AX229" s="1117">
        <f t="shared" si="568"/>
        <v>0</v>
      </c>
      <c r="AY229" s="1073"/>
      <c r="BC229" s="1116">
        <f t="shared" si="569"/>
        <v>0</v>
      </c>
      <c r="BD229" s="1117">
        <f t="shared" si="570"/>
        <v>0</v>
      </c>
      <c r="BE229" s="1117">
        <f t="shared" si="571"/>
        <v>0</v>
      </c>
      <c r="BF229" s="1117">
        <f t="shared" si="572"/>
        <v>0</v>
      </c>
      <c r="BG229" s="1073"/>
      <c r="BK229" s="1116">
        <f t="shared" si="573"/>
        <v>0</v>
      </c>
      <c r="BL229" s="1117">
        <f t="shared" si="574"/>
        <v>0</v>
      </c>
      <c r="BM229" s="1117">
        <f t="shared" si="575"/>
        <v>0</v>
      </c>
      <c r="BN229" s="1117">
        <f t="shared" si="576"/>
        <v>0</v>
      </c>
      <c r="BO229" s="1073"/>
      <c r="BS229" s="1116">
        <f t="shared" si="577"/>
        <v>0</v>
      </c>
      <c r="BT229" s="1117">
        <f t="shared" si="578"/>
        <v>0</v>
      </c>
      <c r="BU229" s="1117">
        <f t="shared" si="579"/>
        <v>0</v>
      </c>
      <c r="BV229" s="1117">
        <f t="shared" si="580"/>
        <v>0</v>
      </c>
      <c r="BW229" s="1073"/>
      <c r="CA229" s="1116">
        <f t="shared" si="581"/>
        <v>0</v>
      </c>
      <c r="CB229" s="1117">
        <f t="shared" si="582"/>
        <v>0</v>
      </c>
      <c r="CC229" s="1117">
        <f t="shared" si="583"/>
        <v>0</v>
      </c>
      <c r="CD229" s="1117">
        <f t="shared" si="584"/>
        <v>0</v>
      </c>
      <c r="CE229" s="1073"/>
      <c r="CI229" s="1116">
        <f t="shared" si="585"/>
        <v>0</v>
      </c>
      <c r="CJ229" s="1117">
        <f t="shared" si="586"/>
        <v>0</v>
      </c>
      <c r="CK229" s="1117">
        <f t="shared" si="587"/>
        <v>0</v>
      </c>
      <c r="CL229" s="1117">
        <f t="shared" si="588"/>
        <v>0</v>
      </c>
      <c r="CM229" s="1073"/>
      <c r="CQ229" s="1116">
        <f t="shared" si="589"/>
        <v>0</v>
      </c>
      <c r="CR229" s="1117">
        <f t="shared" si="590"/>
        <v>0</v>
      </c>
      <c r="CS229" s="1117">
        <f t="shared" si="591"/>
        <v>0</v>
      </c>
      <c r="CT229" s="1117">
        <f t="shared" si="592"/>
        <v>0</v>
      </c>
      <c r="CU229" s="1073"/>
      <c r="CY229" s="1116">
        <f t="shared" si="593"/>
        <v>0</v>
      </c>
      <c r="CZ229" s="1117">
        <f t="shared" si="594"/>
        <v>0</v>
      </c>
      <c r="DA229" s="1117">
        <f t="shared" si="595"/>
        <v>0</v>
      </c>
      <c r="DB229" s="1117">
        <f t="shared" si="596"/>
        <v>0</v>
      </c>
      <c r="DC229" s="1073"/>
      <c r="DG229" s="1116">
        <f t="shared" si="597"/>
        <v>0</v>
      </c>
      <c r="DH229" s="1117">
        <f t="shared" si="598"/>
        <v>0</v>
      </c>
      <c r="DI229" s="1117">
        <f t="shared" si="599"/>
        <v>0</v>
      </c>
      <c r="DJ229" s="1117">
        <f t="shared" si="600"/>
        <v>0</v>
      </c>
      <c r="DK229" s="1073"/>
      <c r="DO229" s="1116">
        <f t="shared" si="601"/>
        <v>0</v>
      </c>
      <c r="DP229" s="1117">
        <f t="shared" si="602"/>
        <v>0</v>
      </c>
      <c r="DQ229" s="1117">
        <f t="shared" si="603"/>
        <v>0</v>
      </c>
      <c r="DR229" s="1117">
        <f t="shared" si="604"/>
        <v>0</v>
      </c>
      <c r="DS229" s="1073"/>
      <c r="DW229" s="1116">
        <f t="shared" si="605"/>
        <v>0</v>
      </c>
      <c r="DX229" s="1117">
        <f t="shared" si="606"/>
        <v>0</v>
      </c>
      <c r="DY229" s="1117">
        <f t="shared" si="607"/>
        <v>0</v>
      </c>
      <c r="DZ229" s="1117">
        <f t="shared" si="608"/>
        <v>0</v>
      </c>
      <c r="EA229" s="1073"/>
      <c r="EE229" s="1116">
        <f t="shared" si="609"/>
        <v>0</v>
      </c>
      <c r="EF229" s="1117">
        <f t="shared" si="610"/>
        <v>0</v>
      </c>
      <c r="EG229" s="1117">
        <f t="shared" si="611"/>
        <v>0</v>
      </c>
      <c r="EH229" s="1117">
        <f t="shared" si="612"/>
        <v>0</v>
      </c>
      <c r="EI229" s="1073"/>
      <c r="EM229" s="1116">
        <f t="shared" si="613"/>
        <v>0</v>
      </c>
      <c r="EN229" s="1117">
        <f t="shared" si="614"/>
        <v>0</v>
      </c>
      <c r="EO229" s="1117">
        <f t="shared" si="615"/>
        <v>0</v>
      </c>
      <c r="EP229" s="1117">
        <f t="shared" si="616"/>
        <v>0</v>
      </c>
      <c r="EQ229" s="1073"/>
      <c r="EU229" s="1116">
        <f t="shared" si="617"/>
        <v>0</v>
      </c>
      <c r="EV229" s="1117">
        <f t="shared" si="618"/>
        <v>0</v>
      </c>
      <c r="EW229" s="1117">
        <f t="shared" si="619"/>
        <v>0</v>
      </c>
      <c r="EX229" s="1117">
        <f t="shared" si="620"/>
        <v>0</v>
      </c>
      <c r="EY229" s="1073"/>
      <c r="FC229" s="1116">
        <f t="shared" si="621"/>
        <v>0</v>
      </c>
      <c r="FD229" s="1117">
        <f t="shared" si="622"/>
        <v>0</v>
      </c>
      <c r="FE229" s="1117">
        <f t="shared" si="623"/>
        <v>0</v>
      </c>
      <c r="FF229" s="1117">
        <f t="shared" si="624"/>
        <v>0</v>
      </c>
      <c r="FG229" s="1073"/>
      <c r="FK229" s="1116">
        <f t="shared" si="625"/>
        <v>0</v>
      </c>
      <c r="FL229" s="1117">
        <f t="shared" si="626"/>
        <v>0</v>
      </c>
      <c r="FM229" s="1117">
        <f t="shared" si="627"/>
        <v>0</v>
      </c>
      <c r="FN229" s="1117">
        <f t="shared" si="628"/>
        <v>0</v>
      </c>
      <c r="FO229" s="1073"/>
    </row>
    <row r="230" spans="1:171">
      <c r="A230" s="912"/>
      <c r="B230" s="913" t="s">
        <v>472</v>
      </c>
      <c r="C230" s="888" t="s">
        <v>72</v>
      </c>
      <c r="D230" s="888">
        <v>930.2</v>
      </c>
      <c r="E230" s="182" t="str">
        <f>'Sch 3 - Expenses'!E70</f>
        <v>DIST</v>
      </c>
      <c r="F230" s="889"/>
      <c r="G230" s="182">
        <f>'Sch 3 - Expenses'!G70</f>
        <v>5644866</v>
      </c>
      <c r="H230" s="182">
        <f>'Sch 3 - Expenses'!H70</f>
        <v>0</v>
      </c>
      <c r="I230" s="182">
        <f>'Sch 3 - Expenses'!I70</f>
        <v>0</v>
      </c>
      <c r="J230" s="183">
        <f>'Sch 3 - Expenses'!J70</f>
        <v>5644866</v>
      </c>
      <c r="K230" s="903">
        <f t="shared" si="548"/>
        <v>1</v>
      </c>
      <c r="O230" s="1116">
        <f t="shared" si="549"/>
        <v>5644866</v>
      </c>
      <c r="P230" s="1117">
        <f t="shared" si="550"/>
        <v>0</v>
      </c>
      <c r="Q230" s="1117">
        <f t="shared" si="551"/>
        <v>0</v>
      </c>
      <c r="R230" s="1117">
        <f t="shared" si="552"/>
        <v>5644866</v>
      </c>
      <c r="S230" s="1073"/>
      <c r="W230" s="1116">
        <f t="shared" si="553"/>
        <v>5644866</v>
      </c>
      <c r="X230" s="1117">
        <f t="shared" si="554"/>
        <v>0</v>
      </c>
      <c r="Y230" s="1117">
        <f t="shared" si="555"/>
        <v>0</v>
      </c>
      <c r="Z230" s="1117">
        <f t="shared" si="556"/>
        <v>5644866</v>
      </c>
      <c r="AA230" s="1073"/>
      <c r="AE230" s="1116">
        <f t="shared" si="557"/>
        <v>5644866</v>
      </c>
      <c r="AF230" s="1117">
        <f t="shared" si="558"/>
        <v>0</v>
      </c>
      <c r="AG230" s="1117">
        <f t="shared" si="559"/>
        <v>0</v>
      </c>
      <c r="AH230" s="1117">
        <f t="shared" si="560"/>
        <v>5644866</v>
      </c>
      <c r="AI230" s="1073"/>
      <c r="AM230" s="1116">
        <f t="shared" si="561"/>
        <v>5644866</v>
      </c>
      <c r="AN230" s="1117">
        <f t="shared" si="562"/>
        <v>0</v>
      </c>
      <c r="AO230" s="1117">
        <f t="shared" si="563"/>
        <v>0</v>
      </c>
      <c r="AP230" s="1117">
        <f t="shared" si="564"/>
        <v>5644866</v>
      </c>
      <c r="AQ230" s="1073"/>
      <c r="AU230" s="1116">
        <f t="shared" si="565"/>
        <v>5644866</v>
      </c>
      <c r="AV230" s="1117">
        <f t="shared" si="566"/>
        <v>0</v>
      </c>
      <c r="AW230" s="1117">
        <f t="shared" si="567"/>
        <v>0</v>
      </c>
      <c r="AX230" s="1117">
        <f t="shared" si="568"/>
        <v>5644866</v>
      </c>
      <c r="AY230" s="1073"/>
      <c r="BC230" s="1116">
        <f t="shared" si="569"/>
        <v>5644866</v>
      </c>
      <c r="BD230" s="1117">
        <f t="shared" si="570"/>
        <v>0</v>
      </c>
      <c r="BE230" s="1117">
        <f t="shared" si="571"/>
        <v>0</v>
      </c>
      <c r="BF230" s="1117">
        <f t="shared" si="572"/>
        <v>5644866</v>
      </c>
      <c r="BG230" s="1073"/>
      <c r="BK230" s="1116">
        <f t="shared" si="573"/>
        <v>5644866</v>
      </c>
      <c r="BL230" s="1117">
        <f t="shared" si="574"/>
        <v>0</v>
      </c>
      <c r="BM230" s="1117">
        <f t="shared" si="575"/>
        <v>0</v>
      </c>
      <c r="BN230" s="1117">
        <f t="shared" si="576"/>
        <v>5644866</v>
      </c>
      <c r="BO230" s="1073"/>
      <c r="BS230" s="1116">
        <f t="shared" si="577"/>
        <v>5644866</v>
      </c>
      <c r="BT230" s="1117">
        <f t="shared" si="578"/>
        <v>0</v>
      </c>
      <c r="BU230" s="1117">
        <f t="shared" si="579"/>
        <v>0</v>
      </c>
      <c r="BV230" s="1117">
        <f t="shared" si="580"/>
        <v>5644866</v>
      </c>
      <c r="BW230" s="1073"/>
      <c r="CA230" s="1116">
        <f t="shared" si="581"/>
        <v>5644866</v>
      </c>
      <c r="CB230" s="1117">
        <f t="shared" si="582"/>
        <v>0</v>
      </c>
      <c r="CC230" s="1117">
        <f t="shared" si="583"/>
        <v>0</v>
      </c>
      <c r="CD230" s="1117">
        <f t="shared" si="584"/>
        <v>5644866</v>
      </c>
      <c r="CE230" s="1073"/>
      <c r="CI230" s="1116">
        <f t="shared" si="585"/>
        <v>5644866</v>
      </c>
      <c r="CJ230" s="1117">
        <f t="shared" si="586"/>
        <v>0</v>
      </c>
      <c r="CK230" s="1117">
        <f t="shared" si="587"/>
        <v>0</v>
      </c>
      <c r="CL230" s="1117">
        <f t="shared" si="588"/>
        <v>5644866</v>
      </c>
      <c r="CM230" s="1073"/>
      <c r="CQ230" s="1116">
        <f t="shared" si="589"/>
        <v>5644866</v>
      </c>
      <c r="CR230" s="1117">
        <f t="shared" si="590"/>
        <v>0</v>
      </c>
      <c r="CS230" s="1117">
        <f t="shared" si="591"/>
        <v>0</v>
      </c>
      <c r="CT230" s="1117">
        <f t="shared" si="592"/>
        <v>5644866</v>
      </c>
      <c r="CU230" s="1073"/>
      <c r="CY230" s="1116">
        <f t="shared" si="593"/>
        <v>5644866</v>
      </c>
      <c r="CZ230" s="1117">
        <f t="shared" si="594"/>
        <v>0</v>
      </c>
      <c r="DA230" s="1117">
        <f t="shared" si="595"/>
        <v>0</v>
      </c>
      <c r="DB230" s="1117">
        <f t="shared" si="596"/>
        <v>5644866</v>
      </c>
      <c r="DC230" s="1073"/>
      <c r="DG230" s="1116">
        <f t="shared" si="597"/>
        <v>5644866</v>
      </c>
      <c r="DH230" s="1117">
        <f t="shared" si="598"/>
        <v>0</v>
      </c>
      <c r="DI230" s="1117">
        <f t="shared" si="599"/>
        <v>0</v>
      </c>
      <c r="DJ230" s="1117">
        <f t="shared" si="600"/>
        <v>5644866</v>
      </c>
      <c r="DK230" s="1073"/>
      <c r="DO230" s="1116">
        <f t="shared" si="601"/>
        <v>5644866</v>
      </c>
      <c r="DP230" s="1117">
        <f t="shared" si="602"/>
        <v>0</v>
      </c>
      <c r="DQ230" s="1117">
        <f t="shared" si="603"/>
        <v>0</v>
      </c>
      <c r="DR230" s="1117">
        <f t="shared" si="604"/>
        <v>5644866</v>
      </c>
      <c r="DS230" s="1073"/>
      <c r="DW230" s="1116">
        <f t="shared" si="605"/>
        <v>5644866</v>
      </c>
      <c r="DX230" s="1117">
        <f t="shared" si="606"/>
        <v>0</v>
      </c>
      <c r="DY230" s="1117">
        <f t="shared" si="607"/>
        <v>0</v>
      </c>
      <c r="DZ230" s="1117">
        <f t="shared" si="608"/>
        <v>5644866</v>
      </c>
      <c r="EA230" s="1073"/>
      <c r="EE230" s="1116">
        <f t="shared" si="609"/>
        <v>5644866</v>
      </c>
      <c r="EF230" s="1117">
        <f t="shared" si="610"/>
        <v>0</v>
      </c>
      <c r="EG230" s="1117">
        <f t="shared" si="611"/>
        <v>0</v>
      </c>
      <c r="EH230" s="1117">
        <f t="shared" si="612"/>
        <v>5644866</v>
      </c>
      <c r="EI230" s="1073"/>
      <c r="EM230" s="1116">
        <f t="shared" si="613"/>
        <v>5644866</v>
      </c>
      <c r="EN230" s="1117">
        <f t="shared" si="614"/>
        <v>0</v>
      </c>
      <c r="EO230" s="1117">
        <f t="shared" si="615"/>
        <v>0</v>
      </c>
      <c r="EP230" s="1117">
        <f t="shared" si="616"/>
        <v>5644866</v>
      </c>
      <c r="EQ230" s="1073"/>
      <c r="EU230" s="1116">
        <f t="shared" si="617"/>
        <v>5644866</v>
      </c>
      <c r="EV230" s="1117">
        <f t="shared" si="618"/>
        <v>0</v>
      </c>
      <c r="EW230" s="1117">
        <f t="shared" si="619"/>
        <v>0</v>
      </c>
      <c r="EX230" s="1117">
        <f t="shared" si="620"/>
        <v>5644866</v>
      </c>
      <c r="EY230" s="1073"/>
      <c r="FC230" s="1116">
        <f t="shared" si="621"/>
        <v>5644866</v>
      </c>
      <c r="FD230" s="1117">
        <f t="shared" si="622"/>
        <v>0</v>
      </c>
      <c r="FE230" s="1117">
        <f t="shared" si="623"/>
        <v>0</v>
      </c>
      <c r="FF230" s="1117">
        <f t="shared" si="624"/>
        <v>5644866</v>
      </c>
      <c r="FG230" s="1073"/>
      <c r="FK230" s="1116">
        <f t="shared" si="625"/>
        <v>5644866</v>
      </c>
      <c r="FL230" s="1117">
        <f t="shared" si="626"/>
        <v>0</v>
      </c>
      <c r="FM230" s="1117">
        <f t="shared" si="627"/>
        <v>0</v>
      </c>
      <c r="FN230" s="1117">
        <f t="shared" si="628"/>
        <v>5644866</v>
      </c>
      <c r="FO230" s="1073"/>
    </row>
    <row r="231" spans="1:171">
      <c r="A231" s="912"/>
      <c r="B231" s="913" t="s">
        <v>496</v>
      </c>
      <c r="C231" s="888" t="s">
        <v>72</v>
      </c>
      <c r="D231" s="888">
        <v>931</v>
      </c>
      <c r="E231" s="182" t="str">
        <f>'Sch 3 - Expenses'!E71</f>
        <v>DIST</v>
      </c>
      <c r="F231" s="889"/>
      <c r="G231" s="182">
        <f>'Sch 3 - Expenses'!G71</f>
        <v>938930</v>
      </c>
      <c r="H231" s="182">
        <f>'Sch 3 - Expenses'!H71</f>
        <v>0</v>
      </c>
      <c r="I231" s="182">
        <f>'Sch 3 - Expenses'!I71</f>
        <v>0</v>
      </c>
      <c r="J231" s="183">
        <f>'Sch 3 - Expenses'!J71</f>
        <v>938930</v>
      </c>
      <c r="K231" s="903">
        <f t="shared" si="548"/>
        <v>1</v>
      </c>
      <c r="O231" s="1116">
        <f t="shared" si="549"/>
        <v>938930</v>
      </c>
      <c r="P231" s="1117">
        <f t="shared" si="550"/>
        <v>0</v>
      </c>
      <c r="Q231" s="1117">
        <f t="shared" si="551"/>
        <v>0</v>
      </c>
      <c r="R231" s="1117">
        <f t="shared" si="552"/>
        <v>938930</v>
      </c>
      <c r="S231" s="1073"/>
      <c r="W231" s="1116">
        <f t="shared" si="553"/>
        <v>938930</v>
      </c>
      <c r="X231" s="1117">
        <f t="shared" si="554"/>
        <v>0</v>
      </c>
      <c r="Y231" s="1117">
        <f t="shared" si="555"/>
        <v>0</v>
      </c>
      <c r="Z231" s="1117">
        <f t="shared" si="556"/>
        <v>938930</v>
      </c>
      <c r="AA231" s="1073"/>
      <c r="AE231" s="1116">
        <f t="shared" si="557"/>
        <v>938930</v>
      </c>
      <c r="AF231" s="1117">
        <f t="shared" si="558"/>
        <v>0</v>
      </c>
      <c r="AG231" s="1117">
        <f t="shared" si="559"/>
        <v>0</v>
      </c>
      <c r="AH231" s="1117">
        <f t="shared" si="560"/>
        <v>938930</v>
      </c>
      <c r="AI231" s="1073"/>
      <c r="AM231" s="1116">
        <f t="shared" si="561"/>
        <v>938930</v>
      </c>
      <c r="AN231" s="1117">
        <f t="shared" si="562"/>
        <v>0</v>
      </c>
      <c r="AO231" s="1117">
        <f t="shared" si="563"/>
        <v>0</v>
      </c>
      <c r="AP231" s="1117">
        <f t="shared" si="564"/>
        <v>938930</v>
      </c>
      <c r="AQ231" s="1073"/>
      <c r="AU231" s="1116">
        <f t="shared" si="565"/>
        <v>938930</v>
      </c>
      <c r="AV231" s="1117">
        <f t="shared" si="566"/>
        <v>0</v>
      </c>
      <c r="AW231" s="1117">
        <f t="shared" si="567"/>
        <v>0</v>
      </c>
      <c r="AX231" s="1117">
        <f t="shared" si="568"/>
        <v>938930</v>
      </c>
      <c r="AY231" s="1073"/>
      <c r="BC231" s="1116">
        <f t="shared" si="569"/>
        <v>938930</v>
      </c>
      <c r="BD231" s="1117">
        <f t="shared" si="570"/>
        <v>0</v>
      </c>
      <c r="BE231" s="1117">
        <f t="shared" si="571"/>
        <v>0</v>
      </c>
      <c r="BF231" s="1117">
        <f t="shared" si="572"/>
        <v>938930</v>
      </c>
      <c r="BG231" s="1073"/>
      <c r="BK231" s="1116">
        <f t="shared" si="573"/>
        <v>938930</v>
      </c>
      <c r="BL231" s="1117">
        <f t="shared" si="574"/>
        <v>0</v>
      </c>
      <c r="BM231" s="1117">
        <f t="shared" si="575"/>
        <v>0</v>
      </c>
      <c r="BN231" s="1117">
        <f t="shared" si="576"/>
        <v>938930</v>
      </c>
      <c r="BO231" s="1073"/>
      <c r="BS231" s="1116">
        <f t="shared" si="577"/>
        <v>938930</v>
      </c>
      <c r="BT231" s="1117">
        <f t="shared" si="578"/>
        <v>0</v>
      </c>
      <c r="BU231" s="1117">
        <f t="shared" si="579"/>
        <v>0</v>
      </c>
      <c r="BV231" s="1117">
        <f t="shared" si="580"/>
        <v>938930</v>
      </c>
      <c r="BW231" s="1073"/>
      <c r="CA231" s="1116">
        <f t="shared" si="581"/>
        <v>938930</v>
      </c>
      <c r="CB231" s="1117">
        <f t="shared" si="582"/>
        <v>0</v>
      </c>
      <c r="CC231" s="1117">
        <f t="shared" si="583"/>
        <v>0</v>
      </c>
      <c r="CD231" s="1117">
        <f t="shared" si="584"/>
        <v>938930</v>
      </c>
      <c r="CE231" s="1073"/>
      <c r="CI231" s="1116">
        <f t="shared" si="585"/>
        <v>938930</v>
      </c>
      <c r="CJ231" s="1117">
        <f t="shared" si="586"/>
        <v>0</v>
      </c>
      <c r="CK231" s="1117">
        <f t="shared" si="587"/>
        <v>0</v>
      </c>
      <c r="CL231" s="1117">
        <f t="shared" si="588"/>
        <v>938930</v>
      </c>
      <c r="CM231" s="1073"/>
      <c r="CQ231" s="1116">
        <f t="shared" si="589"/>
        <v>938930</v>
      </c>
      <c r="CR231" s="1117">
        <f t="shared" si="590"/>
        <v>0</v>
      </c>
      <c r="CS231" s="1117">
        <f t="shared" si="591"/>
        <v>0</v>
      </c>
      <c r="CT231" s="1117">
        <f t="shared" si="592"/>
        <v>938930</v>
      </c>
      <c r="CU231" s="1073"/>
      <c r="CY231" s="1116">
        <f t="shared" si="593"/>
        <v>938930</v>
      </c>
      <c r="CZ231" s="1117">
        <f t="shared" si="594"/>
        <v>0</v>
      </c>
      <c r="DA231" s="1117">
        <f t="shared" si="595"/>
        <v>0</v>
      </c>
      <c r="DB231" s="1117">
        <f t="shared" si="596"/>
        <v>938930</v>
      </c>
      <c r="DC231" s="1073"/>
      <c r="DG231" s="1116">
        <f t="shared" si="597"/>
        <v>938930</v>
      </c>
      <c r="DH231" s="1117">
        <f t="shared" si="598"/>
        <v>0</v>
      </c>
      <c r="DI231" s="1117">
        <f t="shared" si="599"/>
        <v>0</v>
      </c>
      <c r="DJ231" s="1117">
        <f t="shared" si="600"/>
        <v>938930</v>
      </c>
      <c r="DK231" s="1073"/>
      <c r="DO231" s="1116">
        <f t="shared" si="601"/>
        <v>938930</v>
      </c>
      <c r="DP231" s="1117">
        <f t="shared" si="602"/>
        <v>0</v>
      </c>
      <c r="DQ231" s="1117">
        <f t="shared" si="603"/>
        <v>0</v>
      </c>
      <c r="DR231" s="1117">
        <f t="shared" si="604"/>
        <v>938930</v>
      </c>
      <c r="DS231" s="1073"/>
      <c r="DW231" s="1116">
        <f t="shared" si="605"/>
        <v>938930</v>
      </c>
      <c r="DX231" s="1117">
        <f t="shared" si="606"/>
        <v>0</v>
      </c>
      <c r="DY231" s="1117">
        <f t="shared" si="607"/>
        <v>0</v>
      </c>
      <c r="DZ231" s="1117">
        <f t="shared" si="608"/>
        <v>938930</v>
      </c>
      <c r="EA231" s="1073"/>
      <c r="EE231" s="1116">
        <f t="shared" si="609"/>
        <v>938930</v>
      </c>
      <c r="EF231" s="1117">
        <f t="shared" si="610"/>
        <v>0</v>
      </c>
      <c r="EG231" s="1117">
        <f t="shared" si="611"/>
        <v>0</v>
      </c>
      <c r="EH231" s="1117">
        <f t="shared" si="612"/>
        <v>938930</v>
      </c>
      <c r="EI231" s="1073"/>
      <c r="EM231" s="1116">
        <f t="shared" si="613"/>
        <v>938930</v>
      </c>
      <c r="EN231" s="1117">
        <f t="shared" si="614"/>
        <v>0</v>
      </c>
      <c r="EO231" s="1117">
        <f t="shared" si="615"/>
        <v>0</v>
      </c>
      <c r="EP231" s="1117">
        <f t="shared" si="616"/>
        <v>938930</v>
      </c>
      <c r="EQ231" s="1073"/>
      <c r="EU231" s="1116">
        <f t="shared" si="617"/>
        <v>938930</v>
      </c>
      <c r="EV231" s="1117">
        <f t="shared" si="618"/>
        <v>0</v>
      </c>
      <c r="EW231" s="1117">
        <f t="shared" si="619"/>
        <v>0</v>
      </c>
      <c r="EX231" s="1117">
        <f t="shared" si="620"/>
        <v>938930</v>
      </c>
      <c r="EY231" s="1073"/>
      <c r="FC231" s="1116">
        <f t="shared" si="621"/>
        <v>938930</v>
      </c>
      <c r="FD231" s="1117">
        <f t="shared" si="622"/>
        <v>0</v>
      </c>
      <c r="FE231" s="1117">
        <f t="shared" si="623"/>
        <v>0</v>
      </c>
      <c r="FF231" s="1117">
        <f t="shared" si="624"/>
        <v>938930</v>
      </c>
      <c r="FG231" s="1073"/>
      <c r="FK231" s="1116">
        <f t="shared" si="625"/>
        <v>938930</v>
      </c>
      <c r="FL231" s="1117">
        <f t="shared" si="626"/>
        <v>0</v>
      </c>
      <c r="FM231" s="1117">
        <f t="shared" si="627"/>
        <v>0</v>
      </c>
      <c r="FN231" s="1117">
        <f t="shared" si="628"/>
        <v>938930</v>
      </c>
      <c r="FO231" s="1073"/>
    </row>
    <row r="232" spans="1:171">
      <c r="A232" s="912"/>
      <c r="B232" s="913" t="s">
        <v>269</v>
      </c>
      <c r="C232" s="888" t="s">
        <v>268</v>
      </c>
      <c r="D232" s="888">
        <v>933</v>
      </c>
      <c r="E232" s="182" t="str">
        <f>'Sch 3 - Expenses'!E72</f>
        <v>DIST</v>
      </c>
      <c r="F232" s="889"/>
      <c r="G232" s="182">
        <f>'Sch 3 - Expenses'!G72</f>
        <v>0</v>
      </c>
      <c r="H232" s="182">
        <f>'Sch 3 - Expenses'!H72</f>
        <v>0</v>
      </c>
      <c r="I232" s="182">
        <f>'Sch 3 - Expenses'!I72</f>
        <v>0</v>
      </c>
      <c r="J232" s="183">
        <f>'Sch 3 - Expenses'!J72</f>
        <v>0</v>
      </c>
      <c r="K232" s="903">
        <f t="shared" si="548"/>
        <v>1</v>
      </c>
      <c r="O232" s="1116">
        <f t="shared" si="549"/>
        <v>0</v>
      </c>
      <c r="P232" s="1117">
        <f t="shared" si="550"/>
        <v>0</v>
      </c>
      <c r="Q232" s="1117">
        <f t="shared" si="551"/>
        <v>0</v>
      </c>
      <c r="R232" s="1117">
        <f t="shared" si="552"/>
        <v>0</v>
      </c>
      <c r="S232" s="1073"/>
      <c r="W232" s="1116">
        <f t="shared" si="553"/>
        <v>0</v>
      </c>
      <c r="X232" s="1117">
        <f t="shared" si="554"/>
        <v>0</v>
      </c>
      <c r="Y232" s="1117">
        <f t="shared" si="555"/>
        <v>0</v>
      </c>
      <c r="Z232" s="1117">
        <f t="shared" si="556"/>
        <v>0</v>
      </c>
      <c r="AA232" s="1073"/>
      <c r="AE232" s="1116">
        <f t="shared" si="557"/>
        <v>0</v>
      </c>
      <c r="AF232" s="1117">
        <f t="shared" si="558"/>
        <v>0</v>
      </c>
      <c r="AG232" s="1117">
        <f t="shared" si="559"/>
        <v>0</v>
      </c>
      <c r="AH232" s="1117">
        <f t="shared" si="560"/>
        <v>0</v>
      </c>
      <c r="AI232" s="1073"/>
      <c r="AM232" s="1116">
        <f t="shared" si="561"/>
        <v>0</v>
      </c>
      <c r="AN232" s="1117">
        <f t="shared" si="562"/>
        <v>0</v>
      </c>
      <c r="AO232" s="1117">
        <f t="shared" si="563"/>
        <v>0</v>
      </c>
      <c r="AP232" s="1117">
        <f t="shared" si="564"/>
        <v>0</v>
      </c>
      <c r="AQ232" s="1073"/>
      <c r="AU232" s="1116">
        <f t="shared" si="565"/>
        <v>0</v>
      </c>
      <c r="AV232" s="1117">
        <f t="shared" si="566"/>
        <v>0</v>
      </c>
      <c r="AW232" s="1117">
        <f t="shared" si="567"/>
        <v>0</v>
      </c>
      <c r="AX232" s="1117">
        <f t="shared" si="568"/>
        <v>0</v>
      </c>
      <c r="AY232" s="1073"/>
      <c r="BC232" s="1116">
        <f t="shared" si="569"/>
        <v>0</v>
      </c>
      <c r="BD232" s="1117">
        <f t="shared" si="570"/>
        <v>0</v>
      </c>
      <c r="BE232" s="1117">
        <f t="shared" si="571"/>
        <v>0</v>
      </c>
      <c r="BF232" s="1117">
        <f t="shared" si="572"/>
        <v>0</v>
      </c>
      <c r="BG232" s="1073"/>
      <c r="BK232" s="1116">
        <f t="shared" si="573"/>
        <v>0</v>
      </c>
      <c r="BL232" s="1117">
        <f t="shared" si="574"/>
        <v>0</v>
      </c>
      <c r="BM232" s="1117">
        <f t="shared" si="575"/>
        <v>0</v>
      </c>
      <c r="BN232" s="1117">
        <f t="shared" si="576"/>
        <v>0</v>
      </c>
      <c r="BO232" s="1073"/>
      <c r="BS232" s="1116">
        <f t="shared" si="577"/>
        <v>0</v>
      </c>
      <c r="BT232" s="1117">
        <f t="shared" si="578"/>
        <v>0</v>
      </c>
      <c r="BU232" s="1117">
        <f t="shared" si="579"/>
        <v>0</v>
      </c>
      <c r="BV232" s="1117">
        <f t="shared" si="580"/>
        <v>0</v>
      </c>
      <c r="BW232" s="1073"/>
      <c r="CA232" s="1116">
        <f t="shared" si="581"/>
        <v>0</v>
      </c>
      <c r="CB232" s="1117">
        <f t="shared" si="582"/>
        <v>0</v>
      </c>
      <c r="CC232" s="1117">
        <f t="shared" si="583"/>
        <v>0</v>
      </c>
      <c r="CD232" s="1117">
        <f t="shared" si="584"/>
        <v>0</v>
      </c>
      <c r="CE232" s="1073"/>
      <c r="CI232" s="1116">
        <f t="shared" si="585"/>
        <v>0</v>
      </c>
      <c r="CJ232" s="1117">
        <f t="shared" si="586"/>
        <v>0</v>
      </c>
      <c r="CK232" s="1117">
        <f t="shared" si="587"/>
        <v>0</v>
      </c>
      <c r="CL232" s="1117">
        <f t="shared" si="588"/>
        <v>0</v>
      </c>
      <c r="CM232" s="1073"/>
      <c r="CQ232" s="1116">
        <f t="shared" si="589"/>
        <v>0</v>
      </c>
      <c r="CR232" s="1117">
        <f t="shared" si="590"/>
        <v>0</v>
      </c>
      <c r="CS232" s="1117">
        <f t="shared" si="591"/>
        <v>0</v>
      </c>
      <c r="CT232" s="1117">
        <f t="shared" si="592"/>
        <v>0</v>
      </c>
      <c r="CU232" s="1073"/>
      <c r="CY232" s="1116">
        <f t="shared" si="593"/>
        <v>0</v>
      </c>
      <c r="CZ232" s="1117">
        <f t="shared" si="594"/>
        <v>0</v>
      </c>
      <c r="DA232" s="1117">
        <f t="shared" si="595"/>
        <v>0</v>
      </c>
      <c r="DB232" s="1117">
        <f t="shared" si="596"/>
        <v>0</v>
      </c>
      <c r="DC232" s="1073"/>
      <c r="DG232" s="1116">
        <f t="shared" si="597"/>
        <v>0</v>
      </c>
      <c r="DH232" s="1117">
        <f t="shared" si="598"/>
        <v>0</v>
      </c>
      <c r="DI232" s="1117">
        <f t="shared" si="599"/>
        <v>0</v>
      </c>
      <c r="DJ232" s="1117">
        <f t="shared" si="600"/>
        <v>0</v>
      </c>
      <c r="DK232" s="1073"/>
      <c r="DO232" s="1116">
        <f t="shared" si="601"/>
        <v>0</v>
      </c>
      <c r="DP232" s="1117">
        <f t="shared" si="602"/>
        <v>0</v>
      </c>
      <c r="DQ232" s="1117">
        <f t="shared" si="603"/>
        <v>0</v>
      </c>
      <c r="DR232" s="1117">
        <f t="shared" si="604"/>
        <v>0</v>
      </c>
      <c r="DS232" s="1073"/>
      <c r="DW232" s="1116">
        <f t="shared" si="605"/>
        <v>0</v>
      </c>
      <c r="DX232" s="1117">
        <f t="shared" si="606"/>
        <v>0</v>
      </c>
      <c r="DY232" s="1117">
        <f t="shared" si="607"/>
        <v>0</v>
      </c>
      <c r="DZ232" s="1117">
        <f t="shared" si="608"/>
        <v>0</v>
      </c>
      <c r="EA232" s="1073"/>
      <c r="EE232" s="1116">
        <f t="shared" si="609"/>
        <v>0</v>
      </c>
      <c r="EF232" s="1117">
        <f t="shared" si="610"/>
        <v>0</v>
      </c>
      <c r="EG232" s="1117">
        <f t="shared" si="611"/>
        <v>0</v>
      </c>
      <c r="EH232" s="1117">
        <f t="shared" si="612"/>
        <v>0</v>
      </c>
      <c r="EI232" s="1073"/>
      <c r="EM232" s="1116">
        <f t="shared" si="613"/>
        <v>0</v>
      </c>
      <c r="EN232" s="1117">
        <f t="shared" si="614"/>
        <v>0</v>
      </c>
      <c r="EO232" s="1117">
        <f t="shared" si="615"/>
        <v>0</v>
      </c>
      <c r="EP232" s="1117">
        <f t="shared" si="616"/>
        <v>0</v>
      </c>
      <c r="EQ232" s="1073"/>
      <c r="EU232" s="1116">
        <f t="shared" si="617"/>
        <v>0</v>
      </c>
      <c r="EV232" s="1117">
        <f t="shared" si="618"/>
        <v>0</v>
      </c>
      <c r="EW232" s="1117">
        <f t="shared" si="619"/>
        <v>0</v>
      </c>
      <c r="EX232" s="1117">
        <f t="shared" si="620"/>
        <v>0</v>
      </c>
      <c r="EY232" s="1073"/>
      <c r="FC232" s="1116">
        <f t="shared" si="621"/>
        <v>0</v>
      </c>
      <c r="FD232" s="1117">
        <f t="shared" si="622"/>
        <v>0</v>
      </c>
      <c r="FE232" s="1117">
        <f t="shared" si="623"/>
        <v>0</v>
      </c>
      <c r="FF232" s="1117">
        <f t="shared" si="624"/>
        <v>0</v>
      </c>
      <c r="FG232" s="1073"/>
      <c r="FK232" s="1116">
        <f t="shared" si="625"/>
        <v>0</v>
      </c>
      <c r="FL232" s="1117">
        <f t="shared" si="626"/>
        <v>0</v>
      </c>
      <c r="FM232" s="1117">
        <f t="shared" si="627"/>
        <v>0</v>
      </c>
      <c r="FN232" s="1117">
        <f t="shared" si="628"/>
        <v>0</v>
      </c>
      <c r="FO232" s="1073"/>
    </row>
    <row r="233" spans="1:171">
      <c r="A233" s="912"/>
      <c r="B233" s="990" t="s">
        <v>442</v>
      </c>
      <c r="C233" s="55"/>
      <c r="D233" s="196"/>
      <c r="E233" s="196"/>
      <c r="F233" s="196"/>
      <c r="G233" s="68"/>
      <c r="H233" s="68"/>
      <c r="I233" s="68"/>
      <c r="J233" s="991"/>
      <c r="K233" s="903"/>
      <c r="O233" s="1116"/>
      <c r="S233" s="1073"/>
      <c r="W233" s="1116"/>
      <c r="AA233" s="1073"/>
      <c r="AE233" s="1116"/>
      <c r="AI233" s="1073"/>
      <c r="AM233" s="1116"/>
      <c r="AQ233" s="1073"/>
      <c r="AU233" s="1116"/>
      <c r="AY233" s="1073"/>
      <c r="BC233" s="1116"/>
      <c r="BG233" s="1073"/>
      <c r="BK233" s="1116"/>
      <c r="BO233" s="1073"/>
      <c r="BS233" s="1116"/>
      <c r="BW233" s="1073"/>
      <c r="CA233" s="1116"/>
      <c r="CE233" s="1073"/>
      <c r="CI233" s="1116"/>
      <c r="CM233" s="1073"/>
      <c r="CQ233" s="1116"/>
      <c r="CU233" s="1073"/>
      <c r="CY233" s="1116"/>
      <c r="DC233" s="1073"/>
      <c r="DG233" s="1116"/>
      <c r="DK233" s="1073"/>
      <c r="DO233" s="1116"/>
      <c r="DS233" s="1073"/>
      <c r="DW233" s="1116"/>
      <c r="EA233" s="1073"/>
      <c r="EE233" s="1116"/>
      <c r="EI233" s="1073"/>
      <c r="EM233" s="1116"/>
      <c r="EQ233" s="1073"/>
      <c r="EU233" s="1116"/>
      <c r="EY233" s="1073"/>
      <c r="FC233" s="1116"/>
      <c r="FG233" s="1073"/>
      <c r="FK233" s="1116"/>
      <c r="FO233" s="1073"/>
    </row>
    <row r="234" spans="1:171">
      <c r="A234" s="912"/>
      <c r="B234" s="913" t="s">
        <v>94</v>
      </c>
      <c r="C234" s="888" t="s">
        <v>72</v>
      </c>
      <c r="D234" s="888">
        <v>935</v>
      </c>
      <c r="E234" s="182" t="str">
        <f>'Sch 3 - Expenses'!E74</f>
        <v>GPM</v>
      </c>
      <c r="F234" s="889"/>
      <c r="G234" s="182">
        <f>'Sch 3 - Expenses'!G74</f>
        <v>14630422</v>
      </c>
      <c r="H234" s="182">
        <f>'Sch 3 - Expenses'!H74</f>
        <v>4690577.0284544546</v>
      </c>
      <c r="I234" s="182">
        <f>'Sch 3 - Expenses'!I74</f>
        <v>0</v>
      </c>
      <c r="J234" s="183">
        <f>'Sch 3 - Expenses'!J74</f>
        <v>9939844.9715455435</v>
      </c>
      <c r="K234" s="903">
        <f t="shared" si="548"/>
        <v>1</v>
      </c>
      <c r="O234" s="1116">
        <f>$G234</f>
        <v>14630422</v>
      </c>
      <c r="P234" s="1117">
        <f t="shared" si="550"/>
        <v>4690577.0284544546</v>
      </c>
      <c r="Q234" s="1117">
        <f t="shared" si="551"/>
        <v>2933614.5121187121</v>
      </c>
      <c r="R234" s="1117">
        <f t="shared" si="552"/>
        <v>7006230.4594268333</v>
      </c>
      <c r="S234" s="1073"/>
      <c r="W234" s="1116">
        <f>$G234</f>
        <v>14630422</v>
      </c>
      <c r="X234" s="1117">
        <f>VLOOKUP($E234,W$442:Z$453,2,FALSE)*W234*($K234)+IF($G234&lt;&gt;0,($H234/$G234)*W234,0)*(1-$K234)</f>
        <v>4690577.0284544546</v>
      </c>
      <c r="Y234" s="1117">
        <f>VLOOKUP($E234,W$442:Z$453,3,FALSE)*W234*($K234)+IF($G234&lt;&gt;0,($I234/$G234)*W234,0)*(1-$K234)</f>
        <v>2933614.5121187121</v>
      </c>
      <c r="Z234" s="1117">
        <f>VLOOKUP($E234,W$442:Z$453,4,FALSE)*W234*($K234)+(W234-X234-Y234)*(1-$K234)</f>
        <v>7006230.4594268333</v>
      </c>
      <c r="AA234" s="1073"/>
      <c r="AE234" s="1116">
        <f>$G234</f>
        <v>14630422</v>
      </c>
      <c r="AF234" s="1117">
        <f>VLOOKUP($E234,AE$442:AH$453,2,FALSE)*AE234*($K234)+IF($G234&lt;&gt;0,($H234/$G234)*AE234,0)*(1-$K234)</f>
        <v>4690577.0284544546</v>
      </c>
      <c r="AG234" s="1117">
        <f>VLOOKUP($E234,AE$442:AH$453,3,FALSE)*AE234*($K234)+IF($G234&lt;&gt;0,($I234/$G234)*AE234,0)*(1-$K234)</f>
        <v>2933614.5121187121</v>
      </c>
      <c r="AH234" s="1117">
        <f>VLOOKUP($E234,AE$442:AH$453,4,FALSE)*AE234*($K234)+(AE234-AF234-AG234)*(1-$K234)</f>
        <v>7006230.4594268333</v>
      </c>
      <c r="AI234" s="1073"/>
      <c r="AM234" s="1116">
        <f>$G234</f>
        <v>14630422</v>
      </c>
      <c r="AN234" s="1117">
        <f>VLOOKUP($E234,AM$442:AP$453,2,FALSE)*AM234*($K234)+IF($G234&lt;&gt;0,($H234/$G234)*AM234,0)*(1-$K234)</f>
        <v>4690577.0284544546</v>
      </c>
      <c r="AO234" s="1117">
        <f>VLOOKUP($E234,AM$442:AP$453,3,FALSE)*AM234*($K234)+IF($G234&lt;&gt;0,($I234/$G234)*AM234,0)*(1-$K234)</f>
        <v>2933614.5121187121</v>
      </c>
      <c r="AP234" s="1117">
        <f>VLOOKUP($E234,AM$442:AP$453,4,FALSE)*AM234*($K234)+(AM234-AN234-AO234)*(1-$K234)</f>
        <v>7006230.4594268333</v>
      </c>
      <c r="AQ234" s="1073"/>
      <c r="AU234" s="1116">
        <f>$G234</f>
        <v>14630422</v>
      </c>
      <c r="AV234" s="1117">
        <f>VLOOKUP($E234,AU$442:AX$453,2,FALSE)*AU234*($K234)+IF($G234&lt;&gt;0,($H234/$G234)*AU234,0)*(1-$K234)</f>
        <v>4690577.0284544546</v>
      </c>
      <c r="AW234" s="1117">
        <f>VLOOKUP($E234,AU$442:AX$453,3,FALSE)*AU234*($K234)+IF($G234&lt;&gt;0,($I234/$G234)*AU234,0)*(1-$K234)</f>
        <v>2933614.5121187121</v>
      </c>
      <c r="AX234" s="1117">
        <f>VLOOKUP($E234,AU$442:AX$453,4,FALSE)*AU234*($K234)+(AU234-AV234-AW234)*(1-$K234)</f>
        <v>7006230.4594268333</v>
      </c>
      <c r="AY234" s="1073"/>
      <c r="BC234" s="1116">
        <f>$G234</f>
        <v>14630422</v>
      </c>
      <c r="BD234" s="1117">
        <f>VLOOKUP($E234,BC$442:BF$453,2,FALSE)*BC234*($K234)+IF($G234&lt;&gt;0,($H234/$G234)*BC234,0)*(1-$K234)</f>
        <v>4690577.0284544546</v>
      </c>
      <c r="BE234" s="1117">
        <f>VLOOKUP($E234,BC$442:BF$453,3,FALSE)*BC234*($K234)+IF($G234&lt;&gt;0,($I234/$G234)*BC234,0)*(1-$K234)</f>
        <v>2933614.5121187121</v>
      </c>
      <c r="BF234" s="1117">
        <f>VLOOKUP($E234,BC$442:BF$453,4,FALSE)*BC234*($K234)+(BC234-BD234-BE234)*(1-$K234)</f>
        <v>7006230.4594268333</v>
      </c>
      <c r="BG234" s="1073"/>
      <c r="BK234" s="1116">
        <f>$G234</f>
        <v>14630422</v>
      </c>
      <c r="BL234" s="1117">
        <f>VLOOKUP($E234,BK$442:BN$453,2,FALSE)*BK234*($K234)+IF($G234&lt;&gt;0,($H234/$G234)*BK234,0)*(1-$K234)</f>
        <v>4690577.0284544546</v>
      </c>
      <c r="BM234" s="1117">
        <f>VLOOKUP($E234,BK$442:BN$453,3,FALSE)*BK234*($K234)+IF($G234&lt;&gt;0,($I234/$G234)*BK234,0)*(1-$K234)</f>
        <v>2933614.5121187121</v>
      </c>
      <c r="BN234" s="1117">
        <f>VLOOKUP($E234,BK$442:BN$453,4,FALSE)*BK234*($K234)+(BK234-BL234-BM234)*(1-$K234)</f>
        <v>7006230.4594268333</v>
      </c>
      <c r="BO234" s="1073"/>
      <c r="BS234" s="1116">
        <f>$G234</f>
        <v>14630422</v>
      </c>
      <c r="BT234" s="1117">
        <f>VLOOKUP($E234,BS$442:BV$453,2,FALSE)*BS234*($K234)+IF($G234&lt;&gt;0,($H234/$G234)*BS234,0)*(1-$K234)</f>
        <v>4690577.0284544546</v>
      </c>
      <c r="BU234" s="1117">
        <f>VLOOKUP($E234,BS$442:BV$453,3,FALSE)*BS234*($K234)+IF($G234&lt;&gt;0,($I234/$G234)*BS234,0)*(1-$K234)</f>
        <v>2933614.5121187121</v>
      </c>
      <c r="BV234" s="1117">
        <f>VLOOKUP($E234,BS$442:BV$453,4,FALSE)*BS234*($K234)+(BS234-BT234-BU234)*(1-$K234)</f>
        <v>7006230.4594268333</v>
      </c>
      <c r="BW234" s="1073"/>
      <c r="CA234" s="1116">
        <f>$G234</f>
        <v>14630422</v>
      </c>
      <c r="CB234" s="1117">
        <f>VLOOKUP($E234,CA$442:CD$453,2,FALSE)*CA234*($K234)+IF($G234&lt;&gt;0,($H234/$G234)*CA234,0)*(1-$K234)</f>
        <v>4690577.0284544546</v>
      </c>
      <c r="CC234" s="1117">
        <f>VLOOKUP($E234,CA$442:CD$453,3,FALSE)*CA234*($K234)+IF($G234&lt;&gt;0,($I234/$G234)*CA234,0)*(1-$K234)</f>
        <v>2933614.5121187121</v>
      </c>
      <c r="CD234" s="1117">
        <f>VLOOKUP($E234,CA$442:CD$453,4,FALSE)*CA234*($K234)+(CA234-CB234-CC234)*(1-$K234)</f>
        <v>7006230.4594268333</v>
      </c>
      <c r="CE234" s="1073"/>
      <c r="CI234" s="1116">
        <f>$G234</f>
        <v>14630422</v>
      </c>
      <c r="CJ234" s="1117">
        <f>VLOOKUP($E234,CI$442:CL$453,2,FALSE)*CI234*($K234)+IF($G234&lt;&gt;0,($H234/$G234)*CI234,0)*(1-$K234)</f>
        <v>4690577.0284544546</v>
      </c>
      <c r="CK234" s="1117">
        <f>VLOOKUP($E234,CI$442:CL$453,3,FALSE)*CI234*($K234)+IF($G234&lt;&gt;0,($I234/$G234)*CI234,0)*(1-$K234)</f>
        <v>2933614.5121187121</v>
      </c>
      <c r="CL234" s="1117">
        <f>VLOOKUP($E234,CI$442:CL$453,4,FALSE)*CI234*($K234)+(CI234-CJ234-CK234)*(1-$K234)</f>
        <v>7006230.4594268333</v>
      </c>
      <c r="CM234" s="1073"/>
      <c r="CQ234" s="1116">
        <f>$G234</f>
        <v>14630422</v>
      </c>
      <c r="CR234" s="1117">
        <f>VLOOKUP($E234,CQ$442:CT$453,2,FALSE)*CQ234*($K234)+IF($G234&lt;&gt;0,($H234/$G234)*CQ234,0)*(1-$K234)</f>
        <v>4690577.0284544546</v>
      </c>
      <c r="CS234" s="1117">
        <f>VLOOKUP($E234,CQ$442:CT$453,3,FALSE)*CQ234*($K234)+IF($G234&lt;&gt;0,($I234/$G234)*CQ234,0)*(1-$K234)</f>
        <v>2933614.5121187121</v>
      </c>
      <c r="CT234" s="1117">
        <f>VLOOKUP($E234,CQ$442:CT$453,4,FALSE)*CQ234*($K234)+(CQ234-CR234-CS234)*(1-$K234)</f>
        <v>7006230.4594268333</v>
      </c>
      <c r="CU234" s="1073"/>
      <c r="CY234" s="1116">
        <f>$G234</f>
        <v>14630422</v>
      </c>
      <c r="CZ234" s="1117">
        <f>VLOOKUP($E234,CY$442:DB$453,2,FALSE)*CY234*($K234)+IF($G234&lt;&gt;0,($H234/$G234)*CY234,0)*(1-$K234)</f>
        <v>4690577.0284544546</v>
      </c>
      <c r="DA234" s="1117">
        <f>VLOOKUP($E234,CY$442:DB$453,3,FALSE)*CY234*($K234)+IF($G234&lt;&gt;0,($I234/$G234)*CY234,0)*(1-$K234)</f>
        <v>2933614.5121187121</v>
      </c>
      <c r="DB234" s="1117">
        <f>VLOOKUP($E234,CY$442:DB$453,4,FALSE)*CY234*($K234)+(CY234-CZ234-DA234)*(1-$K234)</f>
        <v>7006230.4594268333</v>
      </c>
      <c r="DC234" s="1073"/>
      <c r="DG234" s="1116">
        <f>$G234</f>
        <v>14630422</v>
      </c>
      <c r="DH234" s="1117">
        <f>VLOOKUP($E234,DG$442:DJ$453,2,FALSE)*DG234*($K234)+IF($G234&lt;&gt;0,($H234/$G234)*DG234,0)*(1-$K234)</f>
        <v>4690577.0284544546</v>
      </c>
      <c r="DI234" s="1117">
        <f>VLOOKUP($E234,DG$442:DJ$453,3,FALSE)*DG234*($K234)+IF($G234&lt;&gt;0,($I234/$G234)*DG234,0)*(1-$K234)</f>
        <v>2933614.5121187121</v>
      </c>
      <c r="DJ234" s="1117">
        <f>VLOOKUP($E234,DG$442:DJ$453,4,FALSE)*DG234*($K234)+(DG234-DH234-DI234)*(1-$K234)</f>
        <v>7006230.4594268333</v>
      </c>
      <c r="DK234" s="1073"/>
      <c r="DO234" s="1116">
        <f>$G234</f>
        <v>14630422</v>
      </c>
      <c r="DP234" s="1117">
        <f>VLOOKUP($E234,DO$442:DR$453,2,FALSE)*DO234*($K234)+IF($G234&lt;&gt;0,($H234/$G234)*DO234,0)*(1-$K234)</f>
        <v>4690577.0284544546</v>
      </c>
      <c r="DQ234" s="1117">
        <f>VLOOKUP($E234,DO$442:DR$453,3,FALSE)*DO234*($K234)+IF($G234&lt;&gt;0,($I234/$G234)*DO234,0)*(1-$K234)</f>
        <v>2933614.5121187121</v>
      </c>
      <c r="DR234" s="1117">
        <f>VLOOKUP($E234,DO$442:DR$453,4,FALSE)*DO234*($K234)+(DO234-DP234-DQ234)*(1-$K234)</f>
        <v>7006230.4594268333</v>
      </c>
      <c r="DS234" s="1073"/>
      <c r="DW234" s="1116">
        <f>$G234</f>
        <v>14630422</v>
      </c>
      <c r="DX234" s="1117">
        <f>VLOOKUP($E234,DW$442:DZ$453,2,FALSE)*DW234*($K234)+IF($G234&lt;&gt;0,($H234/$G234)*DW234,0)*(1-$K234)</f>
        <v>4690577.0284544546</v>
      </c>
      <c r="DY234" s="1117">
        <f>VLOOKUP($E234,DW$442:DZ$453,3,FALSE)*DW234*($K234)+IF($G234&lt;&gt;0,($I234/$G234)*DW234,0)*(1-$K234)</f>
        <v>2933614.5121187121</v>
      </c>
      <c r="DZ234" s="1117">
        <f>VLOOKUP($E234,DW$442:DZ$453,4,FALSE)*DW234*($K234)+(DW234-DX234-DY234)*(1-$K234)</f>
        <v>7006230.4594268333</v>
      </c>
      <c r="EA234" s="1073"/>
      <c r="EE234" s="1116">
        <f>$G234</f>
        <v>14630422</v>
      </c>
      <c r="EF234" s="1117">
        <f>VLOOKUP($E234,EE$442:EH$453,2,FALSE)*EE234*($K234)+IF($G234&lt;&gt;0,($H234/$G234)*EE234,0)*(1-$K234)</f>
        <v>4690577.0284544546</v>
      </c>
      <c r="EG234" s="1117">
        <f>VLOOKUP($E234,EE$442:EH$453,3,FALSE)*EE234*($K234)+IF($G234&lt;&gt;0,($I234/$G234)*EE234,0)*(1-$K234)</f>
        <v>2933614.5121187121</v>
      </c>
      <c r="EH234" s="1117">
        <f>VLOOKUP($E234,EE$442:EH$453,4,FALSE)*EE234*($K234)+(EE234-EF234-EG234)*(1-$K234)</f>
        <v>7006230.4594268333</v>
      </c>
      <c r="EI234" s="1073"/>
      <c r="EM234" s="1116">
        <f>$G234</f>
        <v>14630422</v>
      </c>
      <c r="EN234" s="1117">
        <f>VLOOKUP($E234,EM$442:EP$453,2,FALSE)*EM234*($K234)+IF($G234&lt;&gt;0,($H234/$G234)*EM234,0)*(1-$K234)</f>
        <v>4690577.0284544546</v>
      </c>
      <c r="EO234" s="1117">
        <f>VLOOKUP($E234,EM$442:EP$453,3,FALSE)*EM234*($K234)+IF($G234&lt;&gt;0,($I234/$G234)*EM234,0)*(1-$K234)</f>
        <v>2933614.5121187121</v>
      </c>
      <c r="EP234" s="1117">
        <f>VLOOKUP($E234,EM$442:EP$453,4,FALSE)*EM234*($K234)+(EM234-EN234-EO234)*(1-$K234)</f>
        <v>7006230.4594268333</v>
      </c>
      <c r="EQ234" s="1073"/>
      <c r="EU234" s="1116">
        <f>$G234</f>
        <v>14630422</v>
      </c>
      <c r="EV234" s="1117">
        <f>VLOOKUP($E234,EU$442:EX$453,2,FALSE)*EU234*($K234)+IF($G234&lt;&gt;0,($H234/$G234)*EU234,0)*(1-$K234)</f>
        <v>4690577.0284544546</v>
      </c>
      <c r="EW234" s="1117">
        <f>VLOOKUP($E234,EU$442:EX$453,3,FALSE)*EU234*($K234)+IF($G234&lt;&gt;0,($I234/$G234)*EU234,0)*(1-$K234)</f>
        <v>2933614.5121187121</v>
      </c>
      <c r="EX234" s="1117">
        <f>VLOOKUP($E234,EU$442:EX$453,4,FALSE)*EU234*($K234)+(EU234-EV234-EW234)*(1-$K234)</f>
        <v>7006230.4594268333</v>
      </c>
      <c r="EY234" s="1073"/>
      <c r="FC234" s="1116">
        <f>$G234</f>
        <v>14630422</v>
      </c>
      <c r="FD234" s="1117">
        <f>VLOOKUP($E234,FC$442:FF$453,2,FALSE)*FC234*($K234)+IF($G234&lt;&gt;0,($H234/$G234)*FC234,0)*(1-$K234)</f>
        <v>4690577.0284544546</v>
      </c>
      <c r="FE234" s="1117">
        <f>VLOOKUP($E234,FC$442:FF$453,3,FALSE)*FC234*($K234)+IF($G234&lt;&gt;0,($I234/$G234)*FC234,0)*(1-$K234)</f>
        <v>2933614.5121187121</v>
      </c>
      <c r="FF234" s="1117">
        <f>VLOOKUP($E234,FC$442:FF$453,4,FALSE)*FC234*($K234)+(FC234-FD234-FE234)*(1-$K234)</f>
        <v>7006230.4594268333</v>
      </c>
      <c r="FG234" s="1073"/>
      <c r="FK234" s="1116">
        <f>$G234</f>
        <v>14630422</v>
      </c>
      <c r="FL234" s="1117">
        <f>VLOOKUP($E234,FK$442:FN$453,2,FALSE)*FK234*($K234)+IF($G234&lt;&gt;0,($H234/$G234)*FK234,0)*(1-$K234)</f>
        <v>4690577.0284544546</v>
      </c>
      <c r="FM234" s="1117">
        <f>VLOOKUP($E234,FK$442:FN$453,3,FALSE)*FK234*($K234)+IF($G234&lt;&gt;0,($I234/$G234)*FK234,0)*(1-$K234)</f>
        <v>2933614.5121187121</v>
      </c>
      <c r="FN234" s="1117">
        <f>VLOOKUP($E234,FK$442:FN$453,4,FALSE)*FK234*($K234)+(FK234-FL234-FM234)*(1-$K234)</f>
        <v>7006230.4594268333</v>
      </c>
      <c r="FO234" s="1073"/>
    </row>
    <row r="235" spans="1:171">
      <c r="A235" s="163" t="s">
        <v>497</v>
      </c>
      <c r="B235" s="10"/>
      <c r="C235" s="914"/>
      <c r="D235" s="915"/>
      <c r="E235" s="915"/>
      <c r="F235" s="916"/>
      <c r="G235" s="923">
        <f>SUM(G219:G220,G222:G227,G229:G232,G234)-G221-G228</f>
        <v>122527419.78000002</v>
      </c>
      <c r="H235" s="923">
        <f>SUM(H219:H220,H222:H227,H229:H232,H234)-H221-H228</f>
        <v>38573197.74474591</v>
      </c>
      <c r="I235" s="923">
        <f>SUM(I219:I220,I222:I227,I229:I232,I234)-I221-I228</f>
        <v>0</v>
      </c>
      <c r="J235" s="1393">
        <f>SUM(J219:J220,J222:J227,J229:J232,J234)-J221-J228</f>
        <v>83954222.034965694</v>
      </c>
      <c r="K235" s="903"/>
      <c r="O235" s="1136">
        <f>SUM(O219:O220,O222:O227,O229:O232,O234)-O221-O228</f>
        <v>122527419.78000002</v>
      </c>
      <c r="P235" s="1136">
        <f>SUM(P219:P220,P222:P227,P229:P232,P234)-P221-P228</f>
        <v>38573197.74474591</v>
      </c>
      <c r="Q235" s="1136">
        <f>SUM(Q219:Q220,Q222:Q227,Q229:Q232,Q234)-Q221-Q228</f>
        <v>10424123.797166927</v>
      </c>
      <c r="R235" s="1136">
        <f>SUM(R219:R220,R222:R227,R229:R232,R234)-R221-R228</f>
        <v>73530098.238087162</v>
      </c>
      <c r="S235" s="1073"/>
      <c r="W235" s="1136">
        <f>SUM(W219:W220,W222:W227,W229:W232,W234)-W221-W228</f>
        <v>122527419.78000002</v>
      </c>
      <c r="X235" s="1136">
        <f>SUM(X219:X220,X222:X227,X229:X232,X234)-X221-X228</f>
        <v>38573197.74474591</v>
      </c>
      <c r="Y235" s="1136">
        <f>SUM(Y219:Y220,Y222:Y227,Y229:Y232,Y234)-Y221-Y228</f>
        <v>10424123.797166927</v>
      </c>
      <c r="Z235" s="1136">
        <f>SUM(Z219:Z220,Z222:Z227,Z229:Z232,Z234)-Z221-Z228</f>
        <v>73530098.238087162</v>
      </c>
      <c r="AA235" s="1073"/>
      <c r="AE235" s="1136">
        <f>SUM(AE219:AE220,AE222:AE227,AE229:AE232,AE234)-AE221-AE228</f>
        <v>122527419.78000002</v>
      </c>
      <c r="AF235" s="1136">
        <f>SUM(AF219:AF220,AF222:AF227,AF229:AF232,AF234)-AF221-AF228</f>
        <v>38573197.74474591</v>
      </c>
      <c r="AG235" s="1136">
        <f>SUM(AG219:AG220,AG222:AG227,AG229:AG232,AG234)-AG221-AG228</f>
        <v>10424123.797166927</v>
      </c>
      <c r="AH235" s="1136">
        <f>SUM(AH219:AH220,AH222:AH227,AH229:AH232,AH234)-AH221-AH228</f>
        <v>73530098.238087162</v>
      </c>
      <c r="AI235" s="1073"/>
      <c r="AM235" s="1136">
        <f>SUM(AM219:AM220,AM222:AM227,AM229:AM232,AM234)-AM221-AM228</f>
        <v>122527419.78000002</v>
      </c>
      <c r="AN235" s="1136">
        <f>SUM(AN219:AN220,AN222:AN227,AN229:AN232,AN234)-AN221-AN228</f>
        <v>38573197.74474591</v>
      </c>
      <c r="AO235" s="1136">
        <f>SUM(AO219:AO220,AO222:AO227,AO229:AO232,AO234)-AO221-AO228</f>
        <v>10424123.797166927</v>
      </c>
      <c r="AP235" s="1136">
        <f>SUM(AP219:AP220,AP222:AP227,AP229:AP232,AP234)-AP221-AP228</f>
        <v>73530098.238087162</v>
      </c>
      <c r="AQ235" s="1073"/>
      <c r="AU235" s="1136">
        <f>SUM(AU219:AU220,AU222:AU227,AU229:AU232,AU234)-AU221-AU228</f>
        <v>122527419.78000002</v>
      </c>
      <c r="AV235" s="1136">
        <f>SUM(AV219:AV220,AV222:AV227,AV229:AV232,AV234)-AV221-AV228</f>
        <v>38573197.74474591</v>
      </c>
      <c r="AW235" s="1136">
        <f>SUM(AW219:AW220,AW222:AW227,AW229:AW232,AW234)-AW221-AW228</f>
        <v>10424123.797166927</v>
      </c>
      <c r="AX235" s="1136">
        <f>SUM(AX219:AX220,AX222:AX227,AX229:AX232,AX234)-AX221-AX228</f>
        <v>73530098.238087162</v>
      </c>
      <c r="AY235" s="1073"/>
      <c r="BC235" s="1136">
        <f>SUM(BC219:BC220,BC222:BC227,BC229:BC232,BC234)-BC221-BC228</f>
        <v>122527419.78000002</v>
      </c>
      <c r="BD235" s="1136">
        <f>SUM(BD219:BD220,BD222:BD227,BD229:BD232,BD234)-BD221-BD228</f>
        <v>38573197.74474591</v>
      </c>
      <c r="BE235" s="1136">
        <f>SUM(BE219:BE220,BE222:BE227,BE229:BE232,BE234)-BE221-BE228</f>
        <v>10424123.797166927</v>
      </c>
      <c r="BF235" s="1136">
        <f>SUM(BF219:BF220,BF222:BF227,BF229:BF232,BF234)-BF221-BF228</f>
        <v>73530098.238087162</v>
      </c>
      <c r="BG235" s="1073"/>
      <c r="BK235" s="1136">
        <f>SUM(BK219:BK220,BK222:BK227,BK229:BK232,BK234)-BK221-BK228</f>
        <v>122527419.78000002</v>
      </c>
      <c r="BL235" s="1136">
        <f>SUM(BL219:BL220,BL222:BL227,BL229:BL232,BL234)-BL221-BL228</f>
        <v>38573197.74474591</v>
      </c>
      <c r="BM235" s="1136">
        <f>SUM(BM219:BM220,BM222:BM227,BM229:BM232,BM234)-BM221-BM228</f>
        <v>10424123.797166927</v>
      </c>
      <c r="BN235" s="1136">
        <f>SUM(BN219:BN220,BN222:BN227,BN229:BN232,BN234)-BN221-BN228</f>
        <v>73530098.238087162</v>
      </c>
      <c r="BO235" s="1073"/>
      <c r="BS235" s="1136">
        <f>SUM(BS219:BS220,BS222:BS227,BS229:BS232,BS234)-BS221-BS228</f>
        <v>122527419.78000002</v>
      </c>
      <c r="BT235" s="1136">
        <f>SUM(BT219:BT220,BT222:BT227,BT229:BT232,BT234)-BT221-BT228</f>
        <v>38573197.74474591</v>
      </c>
      <c r="BU235" s="1136">
        <f>SUM(BU219:BU220,BU222:BU227,BU229:BU232,BU234)-BU221-BU228</f>
        <v>10424123.797166927</v>
      </c>
      <c r="BV235" s="1136">
        <f>SUM(BV219:BV220,BV222:BV227,BV229:BV232,BV234)-BV221-BV228</f>
        <v>73530098.238087162</v>
      </c>
      <c r="BW235" s="1073"/>
      <c r="CA235" s="1136">
        <f>SUM(CA219:CA220,CA222:CA227,CA229:CA232,CA234)-CA221-CA228</f>
        <v>122527419.78000002</v>
      </c>
      <c r="CB235" s="1136">
        <f>SUM(CB219:CB220,CB222:CB227,CB229:CB232,CB234)-CB221-CB228</f>
        <v>38573197.74474591</v>
      </c>
      <c r="CC235" s="1136">
        <f>SUM(CC219:CC220,CC222:CC227,CC229:CC232,CC234)-CC221-CC228</f>
        <v>10424123.797166927</v>
      </c>
      <c r="CD235" s="1136">
        <f>SUM(CD219:CD220,CD222:CD227,CD229:CD232,CD234)-CD221-CD228</f>
        <v>73530098.238087162</v>
      </c>
      <c r="CE235" s="1073"/>
      <c r="CI235" s="1136">
        <f>SUM(CI219:CI220,CI222:CI227,CI229:CI232,CI234)-CI221-CI228</f>
        <v>122527419.78000002</v>
      </c>
      <c r="CJ235" s="1136">
        <f>SUM(CJ219:CJ220,CJ222:CJ227,CJ229:CJ232,CJ234)-CJ221-CJ228</f>
        <v>38573197.74474591</v>
      </c>
      <c r="CK235" s="1136">
        <f>SUM(CK219:CK220,CK222:CK227,CK229:CK232,CK234)-CK221-CK228</f>
        <v>10424123.797166927</v>
      </c>
      <c r="CL235" s="1136">
        <f>SUM(CL219:CL220,CL222:CL227,CL229:CL232,CL234)-CL221-CL228</f>
        <v>73530098.238087162</v>
      </c>
      <c r="CM235" s="1073"/>
      <c r="CQ235" s="1136">
        <f>SUM(CQ219:CQ220,CQ222:CQ227,CQ229:CQ232,CQ234)-CQ221-CQ228</f>
        <v>122527419.78000002</v>
      </c>
      <c r="CR235" s="1136">
        <f>SUM(CR219:CR220,CR222:CR227,CR229:CR232,CR234)-CR221-CR228</f>
        <v>38573197.74474591</v>
      </c>
      <c r="CS235" s="1136">
        <f>SUM(CS219:CS220,CS222:CS227,CS229:CS232,CS234)-CS221-CS228</f>
        <v>10424123.797166927</v>
      </c>
      <c r="CT235" s="1136">
        <f>SUM(CT219:CT220,CT222:CT227,CT229:CT232,CT234)-CT221-CT228</f>
        <v>73530098.238087162</v>
      </c>
      <c r="CU235" s="1073"/>
      <c r="CY235" s="1136">
        <f>SUM(CY219:CY220,CY222:CY227,CY229:CY232,CY234)-CY221-CY228</f>
        <v>122527419.78000002</v>
      </c>
      <c r="CZ235" s="1136">
        <f>SUM(CZ219:CZ220,CZ222:CZ227,CZ229:CZ232,CZ234)-CZ221-CZ228</f>
        <v>38573197.74474591</v>
      </c>
      <c r="DA235" s="1136">
        <f>SUM(DA219:DA220,DA222:DA227,DA229:DA232,DA234)-DA221-DA228</f>
        <v>10424123.797166927</v>
      </c>
      <c r="DB235" s="1136">
        <f>SUM(DB219:DB220,DB222:DB227,DB229:DB232,DB234)-DB221-DB228</f>
        <v>73530098.238087162</v>
      </c>
      <c r="DC235" s="1073"/>
      <c r="DG235" s="1136">
        <f>SUM(DG219:DG220,DG222:DG227,DG229:DG232,DG234)-DG221-DG228</f>
        <v>122527419.78000002</v>
      </c>
      <c r="DH235" s="1136">
        <f>SUM(DH219:DH220,DH222:DH227,DH229:DH232,DH234)-DH221-DH228</f>
        <v>38573197.74474591</v>
      </c>
      <c r="DI235" s="1136">
        <f>SUM(DI219:DI220,DI222:DI227,DI229:DI232,DI234)-DI221-DI228</f>
        <v>10424123.797166927</v>
      </c>
      <c r="DJ235" s="1136">
        <f>SUM(DJ219:DJ220,DJ222:DJ227,DJ229:DJ232,DJ234)-DJ221-DJ228</f>
        <v>73530098.238087162</v>
      </c>
      <c r="DK235" s="1073"/>
      <c r="DO235" s="1136">
        <f>SUM(DO219:DO220,DO222:DO227,DO229:DO232,DO234)-DO221-DO228</f>
        <v>122527419.78000002</v>
      </c>
      <c r="DP235" s="1136">
        <f>SUM(DP219:DP220,DP222:DP227,DP229:DP232,DP234)-DP221-DP228</f>
        <v>38573197.74474591</v>
      </c>
      <c r="DQ235" s="1136">
        <f>SUM(DQ219:DQ220,DQ222:DQ227,DQ229:DQ232,DQ234)-DQ221-DQ228</f>
        <v>10424123.797166927</v>
      </c>
      <c r="DR235" s="1136">
        <f>SUM(DR219:DR220,DR222:DR227,DR229:DR232,DR234)-DR221-DR228</f>
        <v>73530098.238087162</v>
      </c>
      <c r="DS235" s="1073"/>
      <c r="DW235" s="1136">
        <f>SUM(DW219:DW220,DW222:DW227,DW229:DW232,DW234)-DW221-DW228</f>
        <v>122527419.78000002</v>
      </c>
      <c r="DX235" s="1136">
        <f>SUM(DX219:DX220,DX222:DX227,DX229:DX232,DX234)-DX221-DX228</f>
        <v>38573197.74474591</v>
      </c>
      <c r="DY235" s="1136">
        <f>SUM(DY219:DY220,DY222:DY227,DY229:DY232,DY234)-DY221-DY228</f>
        <v>10424123.797166927</v>
      </c>
      <c r="DZ235" s="1136">
        <f>SUM(DZ219:DZ220,DZ222:DZ227,DZ229:DZ232,DZ234)-DZ221-DZ228</f>
        <v>73530098.238087162</v>
      </c>
      <c r="EA235" s="1073"/>
      <c r="EE235" s="1136">
        <f>SUM(EE219:EE220,EE222:EE227,EE229:EE232,EE234)-EE221-EE228</f>
        <v>122527419.78000002</v>
      </c>
      <c r="EF235" s="1136">
        <f>SUM(EF219:EF220,EF222:EF227,EF229:EF232,EF234)-EF221-EF228</f>
        <v>38573197.74474591</v>
      </c>
      <c r="EG235" s="1136">
        <f>SUM(EG219:EG220,EG222:EG227,EG229:EG232,EG234)-EG221-EG228</f>
        <v>10424123.797166927</v>
      </c>
      <c r="EH235" s="1136">
        <f>SUM(EH219:EH220,EH222:EH227,EH229:EH232,EH234)-EH221-EH228</f>
        <v>73530098.238087162</v>
      </c>
      <c r="EI235" s="1073"/>
      <c r="EM235" s="1136">
        <f>SUM(EM219:EM220,EM222:EM227,EM229:EM232,EM234)-EM221-EM228</f>
        <v>122527419.78000002</v>
      </c>
      <c r="EN235" s="1136">
        <f>SUM(EN219:EN220,EN222:EN227,EN229:EN232,EN234)-EN221-EN228</f>
        <v>38573197.74474591</v>
      </c>
      <c r="EO235" s="1136">
        <f>SUM(EO219:EO220,EO222:EO227,EO229:EO232,EO234)-EO221-EO228</f>
        <v>10424123.797166927</v>
      </c>
      <c r="EP235" s="1136">
        <f>SUM(EP219:EP220,EP222:EP227,EP229:EP232,EP234)-EP221-EP228</f>
        <v>73530098.238087162</v>
      </c>
      <c r="EQ235" s="1073"/>
      <c r="EU235" s="1136">
        <f>SUM(EU219:EU220,EU222:EU227,EU229:EU232,EU234)-EU221-EU228</f>
        <v>122527419.78000002</v>
      </c>
      <c r="EV235" s="1136">
        <f>SUM(EV219:EV220,EV222:EV227,EV229:EV232,EV234)-EV221-EV228</f>
        <v>38573197.74474591</v>
      </c>
      <c r="EW235" s="1136">
        <f>SUM(EW219:EW220,EW222:EW227,EW229:EW232,EW234)-EW221-EW228</f>
        <v>10424123.797166927</v>
      </c>
      <c r="EX235" s="1136">
        <f>SUM(EX219:EX220,EX222:EX227,EX229:EX232,EX234)-EX221-EX228</f>
        <v>73530098.238087162</v>
      </c>
      <c r="EY235" s="1073"/>
      <c r="FC235" s="1136">
        <f>SUM(FC219:FC220,FC222:FC227,FC229:FC232,FC234)-FC221-FC228</f>
        <v>122527419.78000002</v>
      </c>
      <c r="FD235" s="1136">
        <f>SUM(FD219:FD220,FD222:FD227,FD229:FD232,FD234)-FD221-FD228</f>
        <v>38573197.74474591</v>
      </c>
      <c r="FE235" s="1136">
        <f>SUM(FE219:FE220,FE222:FE227,FE229:FE232,FE234)-FE221-FE228</f>
        <v>10424123.797166927</v>
      </c>
      <c r="FF235" s="1136">
        <f>SUM(FF219:FF220,FF222:FF227,FF229:FF232,FF234)-FF221-FF228</f>
        <v>73530098.238087162</v>
      </c>
      <c r="FG235" s="1073"/>
      <c r="FK235" s="1136">
        <f>SUM(FK219:FK220,FK222:FK227,FK229:FK232,FK234)-FK221-FK228</f>
        <v>122527419.78000002</v>
      </c>
      <c r="FL235" s="1136">
        <f>SUM(FL219:FL220,FL222:FL227,FL229:FL232,FL234)-FL221-FL228</f>
        <v>38573197.74474591</v>
      </c>
      <c r="FM235" s="1136">
        <f>SUM(FM219:FM220,FM222:FM227,FM229:FM232,FM234)-FM221-FM228</f>
        <v>10424123.797166927</v>
      </c>
      <c r="FN235" s="1136">
        <f>SUM(FN219:FN220,FN222:FN227,FN229:FN232,FN234)-FN221-FN228</f>
        <v>73530098.238087162</v>
      </c>
      <c r="FO235" s="1073"/>
    </row>
    <row r="236" spans="1:171" ht="16.5" thickBot="1">
      <c r="A236" s="191"/>
      <c r="B236" s="995"/>
      <c r="C236" s="932"/>
      <c r="D236" s="1000"/>
      <c r="E236" s="1000"/>
      <c r="F236" s="1000"/>
      <c r="G236" s="1001"/>
      <c r="H236" s="1002"/>
      <c r="I236" s="1002"/>
      <c r="J236" s="935"/>
      <c r="K236" s="903"/>
      <c r="O236" s="1079"/>
      <c r="S236" s="1073"/>
      <c r="W236" s="1079"/>
      <c r="AA236" s="1073"/>
      <c r="AE236" s="1079"/>
      <c r="AI236" s="1073"/>
      <c r="AM236" s="1079"/>
      <c r="AQ236" s="1073"/>
      <c r="AU236" s="1079"/>
      <c r="AY236" s="1073"/>
      <c r="BC236" s="1079"/>
      <c r="BG236" s="1073"/>
      <c r="BK236" s="1079"/>
      <c r="BO236" s="1073"/>
      <c r="BS236" s="1079"/>
      <c r="BW236" s="1073"/>
      <c r="CA236" s="1079"/>
      <c r="CE236" s="1073"/>
      <c r="CI236" s="1079"/>
      <c r="CM236" s="1073"/>
      <c r="CQ236" s="1079"/>
      <c r="CU236" s="1073"/>
      <c r="CY236" s="1079"/>
      <c r="DC236" s="1073"/>
      <c r="DG236" s="1079"/>
      <c r="DK236" s="1073"/>
      <c r="DO236" s="1079"/>
      <c r="DS236" s="1073"/>
      <c r="DW236" s="1079"/>
      <c r="EA236" s="1073"/>
      <c r="EE236" s="1079"/>
      <c r="EI236" s="1073"/>
      <c r="EM236" s="1079"/>
      <c r="EQ236" s="1073"/>
      <c r="EU236" s="1079"/>
      <c r="EY236" s="1073"/>
      <c r="FC236" s="1079"/>
      <c r="FG236" s="1073"/>
      <c r="FK236" s="1079"/>
      <c r="FO236" s="1073"/>
    </row>
    <row r="237" spans="1:171" ht="16.5" thickTop="1">
      <c r="A237" s="163" t="s">
        <v>498</v>
      </c>
      <c r="B237" s="10"/>
      <c r="C237" s="914"/>
      <c r="D237" s="915"/>
      <c r="E237" s="915"/>
      <c r="F237" s="916"/>
      <c r="G237" s="923">
        <f>G196+G202+G207+G215+G235</f>
        <v>741262086.83000004</v>
      </c>
      <c r="H237" s="923">
        <f>H196+H202+H207+H215+H235</f>
        <v>543260025.74474597</v>
      </c>
      <c r="I237" s="923">
        <f>I196+I202+I207+I215+I235</f>
        <v>0</v>
      </c>
      <c r="J237" s="1393">
        <f>J196+J202+J207+J215+J235</f>
        <v>198002061.08496571</v>
      </c>
      <c r="K237" s="903"/>
      <c r="O237" s="1135">
        <f>O196+O202+O207+O215+O235</f>
        <v>741262086.83000004</v>
      </c>
      <c r="P237" s="1135">
        <f>P196+P202+P207+P215+P235</f>
        <v>543260025.74474597</v>
      </c>
      <c r="Q237" s="1135">
        <f>Q196+Q202+Q207+Q215+Q235</f>
        <v>25026305.797166929</v>
      </c>
      <c r="R237" s="1135">
        <f>R196+R202+R207+R215+R235</f>
        <v>172975755.28808719</v>
      </c>
      <c r="S237" s="1073"/>
      <c r="W237" s="1135">
        <f>W196+W202+W207+W215+W235</f>
        <v>741262086.83000004</v>
      </c>
      <c r="X237" s="1135">
        <f>X196+X202+X207+X215+X235</f>
        <v>543260025.74474597</v>
      </c>
      <c r="Y237" s="1135">
        <f>Y196+Y202+Y207+Y215+Y235</f>
        <v>25026305.797166929</v>
      </c>
      <c r="Z237" s="1135">
        <f>Z196+Z202+Z207+Z215+Z235</f>
        <v>172975755.28808719</v>
      </c>
      <c r="AA237" s="1073"/>
      <c r="AE237" s="1135">
        <f>AE196+AE202+AE207+AE215+AE235</f>
        <v>741262086.83000004</v>
      </c>
      <c r="AF237" s="1135">
        <f>AF196+AF202+AF207+AF215+AF235</f>
        <v>543260025.74474597</v>
      </c>
      <c r="AG237" s="1135">
        <f>AG196+AG202+AG207+AG215+AG235</f>
        <v>25026305.797166929</v>
      </c>
      <c r="AH237" s="1135">
        <f>AH196+AH202+AH207+AH215+AH235</f>
        <v>172975755.28808719</v>
      </c>
      <c r="AI237" s="1073"/>
      <c r="AM237" s="1135">
        <f>AM196+AM202+AM207+AM215+AM235</f>
        <v>741262086.83000004</v>
      </c>
      <c r="AN237" s="1135">
        <f>AN196+AN202+AN207+AN215+AN235</f>
        <v>543260025.74474597</v>
      </c>
      <c r="AO237" s="1135">
        <f>AO196+AO202+AO207+AO215+AO235</f>
        <v>25026305.797166929</v>
      </c>
      <c r="AP237" s="1135">
        <f>AP196+AP202+AP207+AP215+AP235</f>
        <v>172975755.28808719</v>
      </c>
      <c r="AQ237" s="1073"/>
      <c r="AU237" s="1135">
        <f>AU196+AU202+AU207+AU215+AU235</f>
        <v>741262086.83000004</v>
      </c>
      <c r="AV237" s="1135">
        <f>AV196+AV202+AV207+AV215+AV235</f>
        <v>543260025.74474597</v>
      </c>
      <c r="AW237" s="1135">
        <f>AW196+AW202+AW207+AW215+AW235</f>
        <v>25026305.797166929</v>
      </c>
      <c r="AX237" s="1135">
        <f>AX196+AX202+AX207+AX215+AX235</f>
        <v>172975755.28808719</v>
      </c>
      <c r="AY237" s="1073"/>
      <c r="BC237" s="1135">
        <f>BC196+BC202+BC207+BC215+BC235</f>
        <v>741262086.83000004</v>
      </c>
      <c r="BD237" s="1135">
        <f>BD196+BD202+BD207+BD215+BD235</f>
        <v>543260025.74474597</v>
      </c>
      <c r="BE237" s="1135">
        <f>BE196+BE202+BE207+BE215+BE235</f>
        <v>25026305.797166929</v>
      </c>
      <c r="BF237" s="1135">
        <f>BF196+BF202+BF207+BF215+BF235</f>
        <v>172975755.28808719</v>
      </c>
      <c r="BG237" s="1073"/>
      <c r="BK237" s="1135">
        <f>BK196+BK202+BK207+BK215+BK235</f>
        <v>741262086.83000004</v>
      </c>
      <c r="BL237" s="1135">
        <f>BL196+BL202+BL207+BL215+BL235</f>
        <v>543260025.74474597</v>
      </c>
      <c r="BM237" s="1135">
        <f>BM196+BM202+BM207+BM215+BM235</f>
        <v>25026305.797166929</v>
      </c>
      <c r="BN237" s="1135">
        <f>BN196+BN202+BN207+BN215+BN235</f>
        <v>172975755.28808719</v>
      </c>
      <c r="BO237" s="1073"/>
      <c r="BS237" s="1135">
        <f>BS196+BS202+BS207+BS215+BS235</f>
        <v>741262086.83000004</v>
      </c>
      <c r="BT237" s="1135">
        <f>BT196+BT202+BT207+BT215+BT235</f>
        <v>543260025.74474597</v>
      </c>
      <c r="BU237" s="1135">
        <f>BU196+BU202+BU207+BU215+BU235</f>
        <v>25026305.797166929</v>
      </c>
      <c r="BV237" s="1135">
        <f>BV196+BV202+BV207+BV215+BV235</f>
        <v>172975755.28808719</v>
      </c>
      <c r="BW237" s="1073"/>
      <c r="CA237" s="1135">
        <f>CA196+CA202+CA207+CA215+CA235</f>
        <v>741262086.83000004</v>
      </c>
      <c r="CB237" s="1135">
        <f>CB196+CB202+CB207+CB215+CB235</f>
        <v>543260025.74474597</v>
      </c>
      <c r="CC237" s="1135">
        <f>CC196+CC202+CC207+CC215+CC235</f>
        <v>25026305.797166929</v>
      </c>
      <c r="CD237" s="1135">
        <f>CD196+CD202+CD207+CD215+CD235</f>
        <v>172975755.28808719</v>
      </c>
      <c r="CE237" s="1073"/>
      <c r="CI237" s="1135">
        <f>CI196+CI202+CI207+CI215+CI235</f>
        <v>741262086.83000004</v>
      </c>
      <c r="CJ237" s="1135">
        <f>CJ196+CJ202+CJ207+CJ215+CJ235</f>
        <v>543260025.74474597</v>
      </c>
      <c r="CK237" s="1135">
        <f>CK196+CK202+CK207+CK215+CK235</f>
        <v>25026305.797166929</v>
      </c>
      <c r="CL237" s="1135">
        <f>CL196+CL202+CL207+CL215+CL235</f>
        <v>172975755.28808719</v>
      </c>
      <c r="CM237" s="1073"/>
      <c r="CQ237" s="1135">
        <f>CQ196+CQ202+CQ207+CQ215+CQ235</f>
        <v>741262086.83000004</v>
      </c>
      <c r="CR237" s="1135">
        <f>CR196+CR202+CR207+CR215+CR235</f>
        <v>543260025.74474597</v>
      </c>
      <c r="CS237" s="1135">
        <f>CS196+CS202+CS207+CS215+CS235</f>
        <v>25026305.797166929</v>
      </c>
      <c r="CT237" s="1135">
        <f>CT196+CT202+CT207+CT215+CT235</f>
        <v>172975755.28808719</v>
      </c>
      <c r="CU237" s="1073"/>
      <c r="CY237" s="1135">
        <f>CY196+CY202+CY207+CY215+CY235</f>
        <v>741262086.83000004</v>
      </c>
      <c r="CZ237" s="1135">
        <f>CZ196+CZ202+CZ207+CZ215+CZ235</f>
        <v>543260025.74474597</v>
      </c>
      <c r="DA237" s="1135">
        <f>DA196+DA202+DA207+DA215+DA235</f>
        <v>25026305.797166929</v>
      </c>
      <c r="DB237" s="1135">
        <f>DB196+DB202+DB207+DB215+DB235</f>
        <v>172975755.28808719</v>
      </c>
      <c r="DC237" s="1073"/>
      <c r="DG237" s="1135">
        <f>DG196+DG202+DG207+DG215+DG235</f>
        <v>741262086.83000004</v>
      </c>
      <c r="DH237" s="1135">
        <f>DH196+DH202+DH207+DH215+DH235</f>
        <v>543260025.74474597</v>
      </c>
      <c r="DI237" s="1135">
        <f>DI196+DI202+DI207+DI215+DI235</f>
        <v>25026305.797166929</v>
      </c>
      <c r="DJ237" s="1135">
        <f>DJ196+DJ202+DJ207+DJ215+DJ235</f>
        <v>172975755.28808719</v>
      </c>
      <c r="DK237" s="1073"/>
      <c r="DO237" s="1135">
        <f>DO196+DO202+DO207+DO215+DO235</f>
        <v>741262086.83000004</v>
      </c>
      <c r="DP237" s="1135">
        <f>DP196+DP202+DP207+DP215+DP235</f>
        <v>543260025.74474597</v>
      </c>
      <c r="DQ237" s="1135">
        <f>DQ196+DQ202+DQ207+DQ215+DQ235</f>
        <v>25026305.797166929</v>
      </c>
      <c r="DR237" s="1135">
        <f>DR196+DR202+DR207+DR215+DR235</f>
        <v>172975755.28808719</v>
      </c>
      <c r="DS237" s="1073"/>
      <c r="DW237" s="1135">
        <f>DW196+DW202+DW207+DW215+DW235</f>
        <v>741262086.83000004</v>
      </c>
      <c r="DX237" s="1135">
        <f>DX196+DX202+DX207+DX215+DX235</f>
        <v>543260025.74474597</v>
      </c>
      <c r="DY237" s="1135">
        <f>DY196+DY202+DY207+DY215+DY235</f>
        <v>25026305.797166929</v>
      </c>
      <c r="DZ237" s="1135">
        <f>DZ196+DZ202+DZ207+DZ215+DZ235</f>
        <v>172975755.28808719</v>
      </c>
      <c r="EA237" s="1073"/>
      <c r="EE237" s="1135">
        <f>EE196+EE202+EE207+EE215+EE235</f>
        <v>741262086.83000004</v>
      </c>
      <c r="EF237" s="1135">
        <f>EF196+EF202+EF207+EF215+EF235</f>
        <v>543260025.74474597</v>
      </c>
      <c r="EG237" s="1135">
        <f>EG196+EG202+EG207+EG215+EG235</f>
        <v>25026305.797166929</v>
      </c>
      <c r="EH237" s="1135">
        <f>EH196+EH202+EH207+EH215+EH235</f>
        <v>172975755.28808719</v>
      </c>
      <c r="EI237" s="1073"/>
      <c r="EM237" s="1135">
        <f>EM196+EM202+EM207+EM215+EM235</f>
        <v>741262086.83000004</v>
      </c>
      <c r="EN237" s="1135">
        <f>EN196+EN202+EN207+EN215+EN235</f>
        <v>543260025.74474597</v>
      </c>
      <c r="EO237" s="1135">
        <f>EO196+EO202+EO207+EO215+EO235</f>
        <v>25026305.797166929</v>
      </c>
      <c r="EP237" s="1135">
        <f>EP196+EP202+EP207+EP215+EP235</f>
        <v>172975755.28808719</v>
      </c>
      <c r="EQ237" s="1073"/>
      <c r="EU237" s="1135">
        <f>EU196+EU202+EU207+EU215+EU235</f>
        <v>741262086.83000004</v>
      </c>
      <c r="EV237" s="1135">
        <f>EV196+EV202+EV207+EV215+EV235</f>
        <v>543260025.74474597</v>
      </c>
      <c r="EW237" s="1135">
        <f>EW196+EW202+EW207+EW215+EW235</f>
        <v>25026305.797166929</v>
      </c>
      <c r="EX237" s="1135">
        <f>EX196+EX202+EX207+EX215+EX235</f>
        <v>172975755.28808719</v>
      </c>
      <c r="EY237" s="1073"/>
      <c r="FC237" s="1135">
        <f>FC196+FC202+FC207+FC215+FC235</f>
        <v>741262086.83000004</v>
      </c>
      <c r="FD237" s="1135">
        <f>FD196+FD202+FD207+FD215+FD235</f>
        <v>543260025.74474597</v>
      </c>
      <c r="FE237" s="1135">
        <f>FE196+FE202+FE207+FE215+FE235</f>
        <v>25026305.797166929</v>
      </c>
      <c r="FF237" s="1135">
        <f>FF196+FF202+FF207+FF215+FF235</f>
        <v>172975755.28808719</v>
      </c>
      <c r="FG237" s="1073"/>
      <c r="FK237" s="1135">
        <f>FK196+FK202+FK207+FK215+FK235</f>
        <v>741262086.83000004</v>
      </c>
      <c r="FL237" s="1135">
        <f>FL196+FL202+FL207+FL215+FL235</f>
        <v>543260025.74474597</v>
      </c>
      <c r="FM237" s="1135">
        <f>FM196+FM202+FM207+FM215+FM235</f>
        <v>25026305.797166929</v>
      </c>
      <c r="FN237" s="1135">
        <f>FN196+FN202+FN207+FN215+FN235</f>
        <v>172975755.28808719</v>
      </c>
      <c r="FO237" s="1073"/>
    </row>
    <row r="238" spans="1:171">
      <c r="A238" s="167" t="s">
        <v>433</v>
      </c>
      <c r="B238" s="1003"/>
      <c r="C238" s="85"/>
      <c r="D238" s="913"/>
      <c r="E238" s="913"/>
      <c r="F238" s="913"/>
      <c r="G238" s="998"/>
      <c r="H238" s="1004"/>
      <c r="I238" s="1004"/>
      <c r="J238" s="1005"/>
      <c r="K238" s="903"/>
      <c r="S238" s="1073"/>
      <c r="AA238" s="1073"/>
      <c r="AI238" s="1073"/>
      <c r="AQ238" s="1073"/>
      <c r="AY238" s="1073"/>
      <c r="BG238" s="1073"/>
      <c r="BO238" s="1073"/>
      <c r="BW238" s="1073"/>
      <c r="CE238" s="1073"/>
      <c r="CM238" s="1073"/>
      <c r="CU238" s="1073"/>
      <c r="DC238" s="1073"/>
      <c r="DK238" s="1073"/>
      <c r="DS238" s="1073"/>
      <c r="EA238" s="1073"/>
      <c r="EI238" s="1073"/>
      <c r="EQ238" s="1073"/>
      <c r="EY238" s="1073"/>
      <c r="FG238" s="1073"/>
      <c r="FO238" s="1073"/>
    </row>
    <row r="239" spans="1:171">
      <c r="A239" s="951"/>
      <c r="B239" s="947"/>
      <c r="C239" s="1006"/>
      <c r="D239" s="1007"/>
      <c r="E239" s="1006"/>
      <c r="F239" s="1006"/>
      <c r="G239" s="1008"/>
      <c r="H239" s="1009"/>
      <c r="I239" s="1009"/>
      <c r="J239" s="1010"/>
      <c r="K239" s="903"/>
      <c r="S239" s="1073"/>
      <c r="AA239" s="1073"/>
      <c r="AI239" s="1073"/>
      <c r="AQ239" s="1073"/>
      <c r="AY239" s="1073"/>
      <c r="BG239" s="1073"/>
      <c r="BO239" s="1073"/>
      <c r="BW239" s="1073"/>
      <c r="CE239" s="1073"/>
      <c r="CM239" s="1073"/>
      <c r="CU239" s="1073"/>
      <c r="DC239" s="1073"/>
      <c r="DK239" s="1073"/>
      <c r="DS239" s="1073"/>
      <c r="EA239" s="1073"/>
      <c r="EI239" s="1073"/>
      <c r="EQ239" s="1073"/>
      <c r="EY239" s="1073"/>
      <c r="FG239" s="1073"/>
      <c r="FO239" s="1073"/>
    </row>
    <row r="240" spans="1:171">
      <c r="A240" s="160" t="s">
        <v>40</v>
      </c>
      <c r="B240" s="1011"/>
      <c r="C240" s="1012"/>
      <c r="D240" s="1012"/>
      <c r="E240" s="1012"/>
      <c r="F240" s="10"/>
      <c r="G240" s="1013"/>
      <c r="H240" s="989"/>
      <c r="I240" s="989"/>
      <c r="J240" s="1014"/>
      <c r="K240" s="903"/>
      <c r="S240" s="1073"/>
      <c r="AA240" s="1073"/>
      <c r="AI240" s="1073"/>
      <c r="AQ240" s="1073"/>
      <c r="AY240" s="1073"/>
      <c r="BG240" s="1073"/>
      <c r="BO240" s="1073"/>
      <c r="BW240" s="1073"/>
      <c r="CE240" s="1073"/>
      <c r="CM240" s="1073"/>
      <c r="CU240" s="1073"/>
      <c r="DC240" s="1073"/>
      <c r="DK240" s="1073"/>
      <c r="DS240" s="1073"/>
      <c r="EA240" s="1073"/>
      <c r="EI240" s="1073"/>
      <c r="EQ240" s="1073"/>
      <c r="EY240" s="1073"/>
      <c r="FG240" s="1073"/>
      <c r="FO240" s="1073"/>
    </row>
    <row r="241" spans="1:171">
      <c r="A241" s="944"/>
      <c r="B241" s="913" t="s">
        <v>373</v>
      </c>
      <c r="C241" s="888">
        <v>336</v>
      </c>
      <c r="D241" s="888">
        <v>403</v>
      </c>
      <c r="E241" s="182" t="str">
        <f>'Sch 3 - Expenses'!E81</f>
        <v>DIST</v>
      </c>
      <c r="F241" s="889"/>
      <c r="G241" s="182">
        <f>'Sch 3 - Expenses'!G81</f>
        <v>0</v>
      </c>
      <c r="H241" s="182">
        <f>'Sch 3 - Expenses'!H81</f>
        <v>0</v>
      </c>
      <c r="I241" s="182">
        <f>'Sch 3 - Expenses'!I81</f>
        <v>0</v>
      </c>
      <c r="J241" s="183">
        <f>'Sch 3 - Expenses'!J81</f>
        <v>0</v>
      </c>
      <c r="K241" s="903">
        <f t="shared" ref="K241:K256" si="629">IF($E241="DIRECT",0,1)</f>
        <v>1</v>
      </c>
      <c r="O241" s="1116">
        <f>$G241</f>
        <v>0</v>
      </c>
      <c r="P241" s="1117">
        <f t="shared" ref="P241:P256" si="630">VLOOKUP($E241,O$442:R$453,2,FALSE)*O241*($K241)+IF($G241&lt;&gt;0,($H241/$G241)*O241,0)*(1-$K241)</f>
        <v>0</v>
      </c>
      <c r="Q241" s="1117">
        <f t="shared" ref="Q241:Q256" si="631">VLOOKUP($E241,O$442:R$453,3,FALSE)*O241*($K241)+IF($G241&lt;&gt;0,($I241/$G241)*O241,0)*(1-$K241)</f>
        <v>0</v>
      </c>
      <c r="R241" s="1117">
        <f t="shared" ref="R241:R256" si="632">VLOOKUP($E241,O$442:R$453,4,FALSE)*O241*($K241)+(O241-P241-Q241)*(1-$K241)</f>
        <v>0</v>
      </c>
      <c r="S241" s="1073"/>
      <c r="W241" s="1116">
        <f>$G241</f>
        <v>0</v>
      </c>
      <c r="X241" s="1117">
        <f t="shared" ref="X241:X256" si="633">VLOOKUP($E241,W$442:Z$453,2,FALSE)*W241*($K241)+IF($G241&lt;&gt;0,($H241/$G241)*W241,0)*(1-$K241)</f>
        <v>0</v>
      </c>
      <c r="Y241" s="1117">
        <f t="shared" ref="Y241:Y256" si="634">VLOOKUP($E241,W$442:Z$453,3,FALSE)*W241*($K241)+IF($G241&lt;&gt;0,($I241/$G241)*W241,0)*(1-$K241)</f>
        <v>0</v>
      </c>
      <c r="Z241" s="1117">
        <f t="shared" ref="Z241:Z256" si="635">VLOOKUP($E241,W$442:Z$453,4,FALSE)*W241*($K241)+(W241-X241-Y241)*(1-$K241)</f>
        <v>0</v>
      </c>
      <c r="AA241" s="1073"/>
      <c r="AE241" s="1116">
        <f>$G241</f>
        <v>0</v>
      </c>
      <c r="AF241" s="1117">
        <f t="shared" ref="AF241:AF256" si="636">VLOOKUP($E241,AE$442:AH$453,2,FALSE)*AE241*($K241)+IF($G241&lt;&gt;0,($H241/$G241)*AE241,0)*(1-$K241)</f>
        <v>0</v>
      </c>
      <c r="AG241" s="1117">
        <f t="shared" ref="AG241:AG256" si="637">VLOOKUP($E241,AE$442:AH$453,3,FALSE)*AE241*($K241)+IF($G241&lt;&gt;0,($I241/$G241)*AE241,0)*(1-$K241)</f>
        <v>0</v>
      </c>
      <c r="AH241" s="1117">
        <f t="shared" ref="AH241:AH256" si="638">VLOOKUP($E241,AE$442:AH$453,4,FALSE)*AE241*($K241)+(AE241-AF241-AG241)*(1-$K241)</f>
        <v>0</v>
      </c>
      <c r="AI241" s="1073"/>
      <c r="AM241" s="1116">
        <f>$G241</f>
        <v>0</v>
      </c>
      <c r="AN241" s="1117">
        <f t="shared" ref="AN241:AN256" si="639">VLOOKUP($E241,AM$442:AP$453,2,FALSE)*AM241*($K241)+IF($G241&lt;&gt;0,($H241/$G241)*AM241,0)*(1-$K241)</f>
        <v>0</v>
      </c>
      <c r="AO241" s="1117">
        <f t="shared" ref="AO241:AO256" si="640">VLOOKUP($E241,AM$442:AP$453,3,FALSE)*AM241*($K241)+IF($G241&lt;&gt;0,($I241/$G241)*AM241,0)*(1-$K241)</f>
        <v>0</v>
      </c>
      <c r="AP241" s="1117">
        <f t="shared" ref="AP241:AP256" si="641">VLOOKUP($E241,AM$442:AP$453,4,FALSE)*AM241*($K241)+(AM241-AN241-AO241)*(1-$K241)</f>
        <v>0</v>
      </c>
      <c r="AQ241" s="1073"/>
      <c r="AU241" s="1116">
        <f>$G241</f>
        <v>0</v>
      </c>
      <c r="AV241" s="1117">
        <f t="shared" ref="AV241:AV256" si="642">VLOOKUP($E241,AU$442:AX$453,2,FALSE)*AU241*($K241)+IF($G241&lt;&gt;0,($H241/$G241)*AU241,0)*(1-$K241)</f>
        <v>0</v>
      </c>
      <c r="AW241" s="1117">
        <f t="shared" ref="AW241:AW256" si="643">VLOOKUP($E241,AU$442:AX$453,3,FALSE)*AU241*($K241)+IF($G241&lt;&gt;0,($I241/$G241)*AU241,0)*(1-$K241)</f>
        <v>0</v>
      </c>
      <c r="AX241" s="1117">
        <f t="shared" ref="AX241:AX256" si="644">VLOOKUP($E241,AU$442:AX$453,4,FALSE)*AU241*($K241)+(AU241-AV241-AW241)*(1-$K241)</f>
        <v>0</v>
      </c>
      <c r="AY241" s="1073"/>
      <c r="BC241" s="1116">
        <f>$G241</f>
        <v>0</v>
      </c>
      <c r="BD241" s="1117">
        <f t="shared" ref="BD241:BD256" si="645">VLOOKUP($E241,BC$442:BF$453,2,FALSE)*BC241*($K241)+IF($G241&lt;&gt;0,($H241/$G241)*BC241,0)*(1-$K241)</f>
        <v>0</v>
      </c>
      <c r="BE241" s="1117">
        <f t="shared" ref="BE241:BE256" si="646">VLOOKUP($E241,BC$442:BF$453,3,FALSE)*BC241*($K241)+IF($G241&lt;&gt;0,($I241/$G241)*BC241,0)*(1-$K241)</f>
        <v>0</v>
      </c>
      <c r="BF241" s="1117">
        <f t="shared" ref="BF241:BF256" si="647">VLOOKUP($E241,BC$442:BF$453,4,FALSE)*BC241*($K241)+(BC241-BD241-BE241)*(1-$K241)</f>
        <v>0</v>
      </c>
      <c r="BG241" s="1073"/>
      <c r="BK241" s="1116">
        <f>$G241</f>
        <v>0</v>
      </c>
      <c r="BL241" s="1117">
        <f t="shared" ref="BL241:BL256" si="648">VLOOKUP($E241,BK$442:BN$453,2,FALSE)*BK241*($K241)+IF($G241&lt;&gt;0,($H241/$G241)*BK241,0)*(1-$K241)</f>
        <v>0</v>
      </c>
      <c r="BM241" s="1117">
        <f t="shared" ref="BM241:BM256" si="649">VLOOKUP($E241,BK$442:BN$453,3,FALSE)*BK241*($K241)+IF($G241&lt;&gt;0,($I241/$G241)*BK241,0)*(1-$K241)</f>
        <v>0</v>
      </c>
      <c r="BN241" s="1117">
        <f t="shared" ref="BN241:BN256" si="650">VLOOKUP($E241,BK$442:BN$453,4,FALSE)*BK241*($K241)+(BK241-BL241-BM241)*(1-$K241)</f>
        <v>0</v>
      </c>
      <c r="BO241" s="1073"/>
      <c r="BS241" s="1116">
        <f>$G241</f>
        <v>0</v>
      </c>
      <c r="BT241" s="1117">
        <f t="shared" ref="BT241:BT256" si="651">VLOOKUP($E241,BS$442:BV$453,2,FALSE)*BS241*($K241)+IF($G241&lt;&gt;0,($H241/$G241)*BS241,0)*(1-$K241)</f>
        <v>0</v>
      </c>
      <c r="BU241" s="1117">
        <f t="shared" ref="BU241:BU256" si="652">VLOOKUP($E241,BS$442:BV$453,3,FALSE)*BS241*($K241)+IF($G241&lt;&gt;0,($I241/$G241)*BS241,0)*(1-$K241)</f>
        <v>0</v>
      </c>
      <c r="BV241" s="1117">
        <f t="shared" ref="BV241:BV256" si="653">VLOOKUP($E241,BS$442:BV$453,4,FALSE)*BS241*($K241)+(BS241-BT241-BU241)*(1-$K241)</f>
        <v>0</v>
      </c>
      <c r="BW241" s="1073"/>
      <c r="CA241" s="1116">
        <f>$G241</f>
        <v>0</v>
      </c>
      <c r="CB241" s="1117">
        <f t="shared" ref="CB241:CB256" si="654">VLOOKUP($E241,CA$442:CD$453,2,FALSE)*CA241*($K241)+IF($G241&lt;&gt;0,($H241/$G241)*CA241,0)*(1-$K241)</f>
        <v>0</v>
      </c>
      <c r="CC241" s="1117">
        <f t="shared" ref="CC241:CC256" si="655">VLOOKUP($E241,CA$442:CD$453,3,FALSE)*CA241*($K241)+IF($G241&lt;&gt;0,($I241/$G241)*CA241,0)*(1-$K241)</f>
        <v>0</v>
      </c>
      <c r="CD241" s="1117">
        <f t="shared" ref="CD241:CD256" si="656">VLOOKUP($E241,CA$442:CD$453,4,FALSE)*CA241*($K241)+(CA241-CB241-CC241)*(1-$K241)</f>
        <v>0</v>
      </c>
      <c r="CE241" s="1073"/>
      <c r="CI241" s="1116">
        <f>$G241</f>
        <v>0</v>
      </c>
      <c r="CJ241" s="1117">
        <f t="shared" ref="CJ241:CJ256" si="657">VLOOKUP($E241,CI$442:CL$453,2,FALSE)*CI241*($K241)+IF($G241&lt;&gt;0,($H241/$G241)*CI241,0)*(1-$K241)</f>
        <v>0</v>
      </c>
      <c r="CK241" s="1117">
        <f t="shared" ref="CK241:CK256" si="658">VLOOKUP($E241,CI$442:CL$453,3,FALSE)*CI241*($K241)+IF($G241&lt;&gt;0,($I241/$G241)*CI241,0)*(1-$K241)</f>
        <v>0</v>
      </c>
      <c r="CL241" s="1117">
        <f t="shared" ref="CL241:CL256" si="659">VLOOKUP($E241,CI$442:CL$453,4,FALSE)*CI241*($K241)+(CI241-CJ241-CK241)*(1-$K241)</f>
        <v>0</v>
      </c>
      <c r="CM241" s="1073"/>
      <c r="CQ241" s="1116">
        <f>$G241</f>
        <v>0</v>
      </c>
      <c r="CR241" s="1117">
        <f t="shared" ref="CR241:CR256" si="660">VLOOKUP($E241,CQ$442:CT$453,2,FALSE)*CQ241*($K241)+IF($G241&lt;&gt;0,($H241/$G241)*CQ241,0)*(1-$K241)</f>
        <v>0</v>
      </c>
      <c r="CS241" s="1117">
        <f t="shared" ref="CS241:CS256" si="661">VLOOKUP($E241,CQ$442:CT$453,3,FALSE)*CQ241*($K241)+IF($G241&lt;&gt;0,($I241/$G241)*CQ241,0)*(1-$K241)</f>
        <v>0</v>
      </c>
      <c r="CT241" s="1117">
        <f t="shared" ref="CT241:CT256" si="662">VLOOKUP($E241,CQ$442:CT$453,4,FALSE)*CQ241*($K241)+(CQ241-CR241-CS241)*(1-$K241)</f>
        <v>0</v>
      </c>
      <c r="CU241" s="1073"/>
      <c r="CY241" s="1116">
        <f>$G241</f>
        <v>0</v>
      </c>
      <c r="CZ241" s="1117">
        <f t="shared" ref="CZ241:CZ256" si="663">VLOOKUP($E241,CY$442:DB$453,2,FALSE)*CY241*($K241)+IF($G241&lt;&gt;0,($H241/$G241)*CY241,0)*(1-$K241)</f>
        <v>0</v>
      </c>
      <c r="DA241" s="1117">
        <f t="shared" ref="DA241:DA256" si="664">VLOOKUP($E241,CY$442:DB$453,3,FALSE)*CY241*($K241)+IF($G241&lt;&gt;0,($I241/$G241)*CY241,0)*(1-$K241)</f>
        <v>0</v>
      </c>
      <c r="DB241" s="1117">
        <f t="shared" ref="DB241:DB256" si="665">VLOOKUP($E241,CY$442:DB$453,4,FALSE)*CY241*($K241)+(CY241-CZ241-DA241)*(1-$K241)</f>
        <v>0</v>
      </c>
      <c r="DC241" s="1073"/>
      <c r="DG241" s="1116">
        <f>$G241</f>
        <v>0</v>
      </c>
      <c r="DH241" s="1117">
        <f t="shared" ref="DH241:DH256" si="666">VLOOKUP($E241,DG$442:DJ$453,2,FALSE)*DG241*($K241)+IF($G241&lt;&gt;0,($H241/$G241)*DG241,0)*(1-$K241)</f>
        <v>0</v>
      </c>
      <c r="DI241" s="1117">
        <f t="shared" ref="DI241:DI256" si="667">VLOOKUP($E241,DG$442:DJ$453,3,FALSE)*DG241*($K241)+IF($G241&lt;&gt;0,($I241/$G241)*DG241,0)*(1-$K241)</f>
        <v>0</v>
      </c>
      <c r="DJ241" s="1117">
        <f t="shared" ref="DJ241:DJ256" si="668">VLOOKUP($E241,DG$442:DJ$453,4,FALSE)*DG241*($K241)+(DG241-DH241-DI241)*(1-$K241)</f>
        <v>0</v>
      </c>
      <c r="DK241" s="1073"/>
      <c r="DO241" s="1116">
        <f>$G241</f>
        <v>0</v>
      </c>
      <c r="DP241" s="1117">
        <f t="shared" ref="DP241:DP256" si="669">VLOOKUP($E241,DO$442:DR$453,2,FALSE)*DO241*($K241)+IF($G241&lt;&gt;0,($H241/$G241)*DO241,0)*(1-$K241)</f>
        <v>0</v>
      </c>
      <c r="DQ241" s="1117">
        <f t="shared" ref="DQ241:DQ256" si="670">VLOOKUP($E241,DO$442:DR$453,3,FALSE)*DO241*($K241)+IF($G241&lt;&gt;0,($I241/$G241)*DO241,0)*(1-$K241)</f>
        <v>0</v>
      </c>
      <c r="DR241" s="1117">
        <f t="shared" ref="DR241:DR256" si="671">VLOOKUP($E241,DO$442:DR$453,4,FALSE)*DO241*($K241)+(DO241-DP241-DQ241)*(1-$K241)</f>
        <v>0</v>
      </c>
      <c r="DS241" s="1073"/>
      <c r="DW241" s="1116">
        <f>$G241</f>
        <v>0</v>
      </c>
      <c r="DX241" s="1117">
        <f t="shared" ref="DX241:DX256" si="672">VLOOKUP($E241,DW$442:DZ$453,2,FALSE)*DW241*($K241)+IF($G241&lt;&gt;0,($H241/$G241)*DW241,0)*(1-$K241)</f>
        <v>0</v>
      </c>
      <c r="DY241" s="1117">
        <f t="shared" ref="DY241:DY256" si="673">VLOOKUP($E241,DW$442:DZ$453,3,FALSE)*DW241*($K241)+IF($G241&lt;&gt;0,($I241/$G241)*DW241,0)*(1-$K241)</f>
        <v>0</v>
      </c>
      <c r="DZ241" s="1117">
        <f t="shared" ref="DZ241:DZ256" si="674">VLOOKUP($E241,DW$442:DZ$453,4,FALSE)*DW241*($K241)+(DW241-DX241-DY241)*(1-$K241)</f>
        <v>0</v>
      </c>
      <c r="EA241" s="1073"/>
      <c r="EE241" s="1116">
        <f>$G241</f>
        <v>0</v>
      </c>
      <c r="EF241" s="1117">
        <f t="shared" ref="EF241:EF256" si="675">VLOOKUP($E241,EE$442:EH$453,2,FALSE)*EE241*($K241)+IF($G241&lt;&gt;0,($H241/$G241)*EE241,0)*(1-$K241)</f>
        <v>0</v>
      </c>
      <c r="EG241" s="1117">
        <f t="shared" ref="EG241:EG256" si="676">VLOOKUP($E241,EE$442:EH$453,3,FALSE)*EE241*($K241)+IF($G241&lt;&gt;0,($I241/$G241)*EE241,0)*(1-$K241)</f>
        <v>0</v>
      </c>
      <c r="EH241" s="1117">
        <f t="shared" ref="EH241:EH256" si="677">VLOOKUP($E241,EE$442:EH$453,4,FALSE)*EE241*($K241)+(EE241-EF241-EG241)*(1-$K241)</f>
        <v>0</v>
      </c>
      <c r="EI241" s="1073"/>
      <c r="EM241" s="1116">
        <f>$G241</f>
        <v>0</v>
      </c>
      <c r="EN241" s="1117">
        <f t="shared" ref="EN241:EN256" si="678">VLOOKUP($E241,EM$442:EP$453,2,FALSE)*EM241*($K241)+IF($G241&lt;&gt;0,($H241/$G241)*EM241,0)*(1-$K241)</f>
        <v>0</v>
      </c>
      <c r="EO241" s="1117">
        <f t="shared" ref="EO241:EO256" si="679">VLOOKUP($E241,EM$442:EP$453,3,FALSE)*EM241*($K241)+IF($G241&lt;&gt;0,($I241/$G241)*EM241,0)*(1-$K241)</f>
        <v>0</v>
      </c>
      <c r="EP241" s="1117">
        <f t="shared" ref="EP241:EP256" si="680">VLOOKUP($E241,EM$442:EP$453,4,FALSE)*EM241*($K241)+(EM241-EN241-EO241)*(1-$K241)</f>
        <v>0</v>
      </c>
      <c r="EQ241" s="1073"/>
      <c r="EU241" s="1116">
        <f>$G241</f>
        <v>0</v>
      </c>
      <c r="EV241" s="1117">
        <f t="shared" ref="EV241:EV256" si="681">VLOOKUP($E241,EU$442:EX$453,2,FALSE)*EU241*($K241)+IF($G241&lt;&gt;0,($H241/$G241)*EU241,0)*(1-$K241)</f>
        <v>0</v>
      </c>
      <c r="EW241" s="1117">
        <f t="shared" ref="EW241:EW256" si="682">VLOOKUP($E241,EU$442:EX$453,3,FALSE)*EU241*($K241)+IF($G241&lt;&gt;0,($I241/$G241)*EU241,0)*(1-$K241)</f>
        <v>0</v>
      </c>
      <c r="EX241" s="1117">
        <f t="shared" ref="EX241:EX256" si="683">VLOOKUP($E241,EU$442:EX$453,4,FALSE)*EU241*($K241)+(EU241-EV241-EW241)*(1-$K241)</f>
        <v>0</v>
      </c>
      <c r="EY241" s="1073"/>
      <c r="FC241" s="1116">
        <f>$G241</f>
        <v>0</v>
      </c>
      <c r="FD241" s="1117">
        <f t="shared" ref="FD241:FD256" si="684">VLOOKUP($E241,FC$442:FF$453,2,FALSE)*FC241*($K241)+IF($G241&lt;&gt;0,($H241/$G241)*FC241,0)*(1-$K241)</f>
        <v>0</v>
      </c>
      <c r="FE241" s="1117">
        <f t="shared" ref="FE241:FE256" si="685">VLOOKUP($E241,FC$442:FF$453,3,FALSE)*FC241*($K241)+IF($G241&lt;&gt;0,($I241/$G241)*FC241,0)*(1-$K241)</f>
        <v>0</v>
      </c>
      <c r="FF241" s="1117">
        <f t="shared" ref="FF241:FF256" si="686">VLOOKUP($E241,FC$442:FF$453,4,FALSE)*FC241*($K241)+(FC241-FD241-FE241)*(1-$K241)</f>
        <v>0</v>
      </c>
      <c r="FG241" s="1073"/>
      <c r="FK241" s="1116">
        <f>$G241</f>
        <v>0</v>
      </c>
      <c r="FL241" s="1117">
        <f t="shared" ref="FL241:FL256" si="687">VLOOKUP($E241,FK$442:FN$453,2,FALSE)*FK241*($K241)+IF($G241&lt;&gt;0,($H241/$G241)*FK241,0)*(1-$K241)</f>
        <v>0</v>
      </c>
      <c r="FM241" s="1117">
        <f t="shared" ref="FM241:FM256" si="688">VLOOKUP($E241,FK$442:FN$453,3,FALSE)*FK241*($K241)+IF($G241&lt;&gt;0,($I241/$G241)*FK241,0)*(1-$K241)</f>
        <v>0</v>
      </c>
      <c r="FN241" s="1117">
        <f t="shared" ref="FN241:FN256" si="689">VLOOKUP($E241,FK$442:FN$453,4,FALSE)*FK241*($K241)+(FK241-FL241-FM241)*(1-$K241)</f>
        <v>0</v>
      </c>
      <c r="FO241" s="1073"/>
    </row>
    <row r="242" spans="1:171">
      <c r="A242" s="944"/>
      <c r="B242" s="913" t="s">
        <v>374</v>
      </c>
      <c r="C242" s="888">
        <v>336</v>
      </c>
      <c r="D242" s="888">
        <v>403</v>
      </c>
      <c r="E242" s="182" t="str">
        <f>'Sch 3 - Expenses'!E82</f>
        <v>DIRECT</v>
      </c>
      <c r="F242" s="889"/>
      <c r="G242" s="182">
        <f>'Sch 3 - Expenses'!G82</f>
        <v>2226233</v>
      </c>
      <c r="H242" s="182">
        <f>'Sch 3 - Expenses'!H82</f>
        <v>2010137.6126880527</v>
      </c>
      <c r="I242" s="182">
        <f>'Sch 3 - Expenses'!I82</f>
        <v>0</v>
      </c>
      <c r="J242" s="183">
        <f>'Sch 3 - Expenses'!J82</f>
        <v>216095.50131194707</v>
      </c>
      <c r="K242" s="903">
        <f t="shared" si="629"/>
        <v>0</v>
      </c>
      <c r="O242" s="1116">
        <f>$G242</f>
        <v>2226233</v>
      </c>
      <c r="P242" s="1117">
        <f t="shared" si="630"/>
        <v>2010137.6126880527</v>
      </c>
      <c r="Q242" s="1117">
        <f t="shared" si="631"/>
        <v>0</v>
      </c>
      <c r="R242" s="1117">
        <f t="shared" si="632"/>
        <v>216095.3873119473</v>
      </c>
      <c r="S242" s="1073"/>
      <c r="W242" s="1116">
        <f>$G242</f>
        <v>2226233</v>
      </c>
      <c r="X242" s="1117">
        <f t="shared" si="633"/>
        <v>2010137.6126880527</v>
      </c>
      <c r="Y242" s="1117">
        <f t="shared" si="634"/>
        <v>0</v>
      </c>
      <c r="Z242" s="1117">
        <f t="shared" si="635"/>
        <v>216095.3873119473</v>
      </c>
      <c r="AA242" s="1073"/>
      <c r="AE242" s="1116">
        <f>$G242</f>
        <v>2226233</v>
      </c>
      <c r="AF242" s="1117">
        <f t="shared" si="636"/>
        <v>2010137.6126880527</v>
      </c>
      <c r="AG242" s="1117">
        <f t="shared" si="637"/>
        <v>0</v>
      </c>
      <c r="AH242" s="1117">
        <f t="shared" si="638"/>
        <v>216095.3873119473</v>
      </c>
      <c r="AI242" s="1073"/>
      <c r="AM242" s="1116">
        <f>$G242</f>
        <v>2226233</v>
      </c>
      <c r="AN242" s="1117">
        <f t="shared" si="639"/>
        <v>2010137.6126880527</v>
      </c>
      <c r="AO242" s="1117">
        <f t="shared" si="640"/>
        <v>0</v>
      </c>
      <c r="AP242" s="1117">
        <f t="shared" si="641"/>
        <v>216095.3873119473</v>
      </c>
      <c r="AQ242" s="1073"/>
      <c r="AU242" s="1116">
        <f>$G242</f>
        <v>2226233</v>
      </c>
      <c r="AV242" s="1117">
        <f t="shared" si="642"/>
        <v>2010137.6126880527</v>
      </c>
      <c r="AW242" s="1117">
        <f t="shared" si="643"/>
        <v>0</v>
      </c>
      <c r="AX242" s="1117">
        <f t="shared" si="644"/>
        <v>216095.3873119473</v>
      </c>
      <c r="AY242" s="1073"/>
      <c r="BC242" s="1116">
        <f>$G242</f>
        <v>2226233</v>
      </c>
      <c r="BD242" s="1117">
        <f t="shared" si="645"/>
        <v>2010137.6126880527</v>
      </c>
      <c r="BE242" s="1117">
        <f t="shared" si="646"/>
        <v>0</v>
      </c>
      <c r="BF242" s="1117">
        <f t="shared" si="647"/>
        <v>216095.3873119473</v>
      </c>
      <c r="BG242" s="1073"/>
      <c r="BK242" s="1116">
        <f>$G242</f>
        <v>2226233</v>
      </c>
      <c r="BL242" s="1117">
        <f t="shared" si="648"/>
        <v>2010137.6126880527</v>
      </c>
      <c r="BM242" s="1117">
        <f t="shared" si="649"/>
        <v>0</v>
      </c>
      <c r="BN242" s="1117">
        <f t="shared" si="650"/>
        <v>216095.3873119473</v>
      </c>
      <c r="BO242" s="1073"/>
      <c r="BS242" s="1116">
        <f>$G242</f>
        <v>2226233</v>
      </c>
      <c r="BT242" s="1117">
        <f t="shared" si="651"/>
        <v>2010137.6126880527</v>
      </c>
      <c r="BU242" s="1117">
        <f t="shared" si="652"/>
        <v>0</v>
      </c>
      <c r="BV242" s="1117">
        <f t="shared" si="653"/>
        <v>216095.3873119473</v>
      </c>
      <c r="BW242" s="1073"/>
      <c r="CA242" s="1116">
        <f>$G242</f>
        <v>2226233</v>
      </c>
      <c r="CB242" s="1117">
        <f t="shared" si="654"/>
        <v>2010137.6126880527</v>
      </c>
      <c r="CC242" s="1117">
        <f t="shared" si="655"/>
        <v>0</v>
      </c>
      <c r="CD242" s="1117">
        <f t="shared" si="656"/>
        <v>216095.3873119473</v>
      </c>
      <c r="CE242" s="1073"/>
      <c r="CI242" s="1116">
        <f>$G242</f>
        <v>2226233</v>
      </c>
      <c r="CJ242" s="1117">
        <f t="shared" si="657"/>
        <v>2010137.6126880527</v>
      </c>
      <c r="CK242" s="1117">
        <f t="shared" si="658"/>
        <v>0</v>
      </c>
      <c r="CL242" s="1117">
        <f t="shared" si="659"/>
        <v>216095.3873119473</v>
      </c>
      <c r="CM242" s="1073"/>
      <c r="CQ242" s="1116">
        <f>$G242</f>
        <v>2226233</v>
      </c>
      <c r="CR242" s="1117">
        <f t="shared" si="660"/>
        <v>2010137.6126880527</v>
      </c>
      <c r="CS242" s="1117">
        <f t="shared" si="661"/>
        <v>0</v>
      </c>
      <c r="CT242" s="1117">
        <f t="shared" si="662"/>
        <v>216095.3873119473</v>
      </c>
      <c r="CU242" s="1073"/>
      <c r="CY242" s="1116">
        <f>$G242</f>
        <v>2226233</v>
      </c>
      <c r="CZ242" s="1117">
        <f t="shared" si="663"/>
        <v>2010137.6126880527</v>
      </c>
      <c r="DA242" s="1117">
        <f t="shared" si="664"/>
        <v>0</v>
      </c>
      <c r="DB242" s="1117">
        <f t="shared" si="665"/>
        <v>216095.3873119473</v>
      </c>
      <c r="DC242" s="1073"/>
      <c r="DG242" s="1116">
        <f>$G242</f>
        <v>2226233</v>
      </c>
      <c r="DH242" s="1117">
        <f t="shared" si="666"/>
        <v>2010137.6126880527</v>
      </c>
      <c r="DI242" s="1117">
        <f t="shared" si="667"/>
        <v>0</v>
      </c>
      <c r="DJ242" s="1117">
        <f t="shared" si="668"/>
        <v>216095.3873119473</v>
      </c>
      <c r="DK242" s="1073"/>
      <c r="DO242" s="1116">
        <f>$G242</f>
        <v>2226233</v>
      </c>
      <c r="DP242" s="1117">
        <f t="shared" si="669"/>
        <v>2010137.6126880527</v>
      </c>
      <c r="DQ242" s="1117">
        <f t="shared" si="670"/>
        <v>0</v>
      </c>
      <c r="DR242" s="1117">
        <f t="shared" si="671"/>
        <v>216095.3873119473</v>
      </c>
      <c r="DS242" s="1073"/>
      <c r="DW242" s="1116">
        <f>$G242</f>
        <v>2226233</v>
      </c>
      <c r="DX242" s="1117">
        <f t="shared" si="672"/>
        <v>2010137.6126880527</v>
      </c>
      <c r="DY242" s="1117">
        <f t="shared" si="673"/>
        <v>0</v>
      </c>
      <c r="DZ242" s="1117">
        <f t="shared" si="674"/>
        <v>216095.3873119473</v>
      </c>
      <c r="EA242" s="1073"/>
      <c r="EE242" s="1116">
        <f>$G242</f>
        <v>2226233</v>
      </c>
      <c r="EF242" s="1117">
        <f t="shared" si="675"/>
        <v>2010137.6126880527</v>
      </c>
      <c r="EG242" s="1117">
        <f t="shared" si="676"/>
        <v>0</v>
      </c>
      <c r="EH242" s="1117">
        <f t="shared" si="677"/>
        <v>216095.3873119473</v>
      </c>
      <c r="EI242" s="1073"/>
      <c r="EM242" s="1116">
        <f>$G242</f>
        <v>2226233</v>
      </c>
      <c r="EN242" s="1117">
        <f t="shared" si="678"/>
        <v>2010137.6126880527</v>
      </c>
      <c r="EO242" s="1117">
        <f t="shared" si="679"/>
        <v>0</v>
      </c>
      <c r="EP242" s="1117">
        <f t="shared" si="680"/>
        <v>216095.3873119473</v>
      </c>
      <c r="EQ242" s="1073"/>
      <c r="EU242" s="1116">
        <f>$G242</f>
        <v>2226233</v>
      </c>
      <c r="EV242" s="1117">
        <f t="shared" si="681"/>
        <v>2010137.6126880527</v>
      </c>
      <c r="EW242" s="1117">
        <f t="shared" si="682"/>
        <v>0</v>
      </c>
      <c r="EX242" s="1117">
        <f t="shared" si="683"/>
        <v>216095.3873119473</v>
      </c>
      <c r="EY242" s="1073"/>
      <c r="FC242" s="1116">
        <f>$G242</f>
        <v>2226233</v>
      </c>
      <c r="FD242" s="1117">
        <f t="shared" si="684"/>
        <v>2010137.6126880527</v>
      </c>
      <c r="FE242" s="1117">
        <f t="shared" si="685"/>
        <v>0</v>
      </c>
      <c r="FF242" s="1117">
        <f t="shared" si="686"/>
        <v>216095.3873119473</v>
      </c>
      <c r="FG242" s="1073"/>
      <c r="FK242" s="1116">
        <f>$G242</f>
        <v>2226233</v>
      </c>
      <c r="FL242" s="1117">
        <f t="shared" si="687"/>
        <v>2010137.6126880527</v>
      </c>
      <c r="FM242" s="1117">
        <f t="shared" si="688"/>
        <v>0</v>
      </c>
      <c r="FN242" s="1117">
        <f t="shared" si="689"/>
        <v>216095.3873119473</v>
      </c>
      <c r="FO242" s="1073"/>
    </row>
    <row r="243" spans="1:171">
      <c r="A243" s="944"/>
      <c r="B243" s="913" t="s">
        <v>403</v>
      </c>
      <c r="C243" s="888">
        <v>336</v>
      </c>
      <c r="D243" s="888">
        <v>403</v>
      </c>
      <c r="E243" s="182" t="str">
        <f>'Sch 3 - Expenses'!E83</f>
        <v>DIRECT</v>
      </c>
      <c r="F243" s="889"/>
      <c r="G243" s="182">
        <f>'Sch 3 - Expenses'!G83</f>
        <v>7624356</v>
      </c>
      <c r="H243" s="182">
        <f>'Sch 3 - Expenses'!H83</f>
        <v>5568168.3742585769</v>
      </c>
      <c r="I243" s="182">
        <f>'Sch 3 - Expenses'!I83</f>
        <v>0</v>
      </c>
      <c r="J243" s="183">
        <f>'Sch 3 - Expenses'!J83</f>
        <v>2056187.510306925</v>
      </c>
      <c r="K243" s="903">
        <f t="shared" si="629"/>
        <v>0</v>
      </c>
      <c r="O243" s="1116">
        <f>$G243</f>
        <v>7624356</v>
      </c>
      <c r="P243" s="1117">
        <f t="shared" si="630"/>
        <v>5568168.3742585769</v>
      </c>
      <c r="Q243" s="1117">
        <f t="shared" si="631"/>
        <v>0</v>
      </c>
      <c r="R243" s="1117">
        <f t="shared" si="632"/>
        <v>2056187.6257414231</v>
      </c>
      <c r="S243" s="1073"/>
      <c r="W243" s="1116">
        <f>$G243</f>
        <v>7624356</v>
      </c>
      <c r="X243" s="1117">
        <f t="shared" si="633"/>
        <v>5568168.3742585769</v>
      </c>
      <c r="Y243" s="1117">
        <f t="shared" si="634"/>
        <v>0</v>
      </c>
      <c r="Z243" s="1117">
        <f t="shared" si="635"/>
        <v>2056187.6257414231</v>
      </c>
      <c r="AA243" s="1073"/>
      <c r="AE243" s="1116">
        <f>$G243</f>
        <v>7624356</v>
      </c>
      <c r="AF243" s="1117">
        <f t="shared" si="636"/>
        <v>5568168.3742585769</v>
      </c>
      <c r="AG243" s="1117">
        <f t="shared" si="637"/>
        <v>0</v>
      </c>
      <c r="AH243" s="1117">
        <f t="shared" si="638"/>
        <v>2056187.6257414231</v>
      </c>
      <c r="AI243" s="1073"/>
      <c r="AM243" s="1116">
        <f>$G243</f>
        <v>7624356</v>
      </c>
      <c r="AN243" s="1117">
        <f t="shared" si="639"/>
        <v>5568168.3742585769</v>
      </c>
      <c r="AO243" s="1117">
        <f t="shared" si="640"/>
        <v>0</v>
      </c>
      <c r="AP243" s="1117">
        <f t="shared" si="641"/>
        <v>2056187.6257414231</v>
      </c>
      <c r="AQ243" s="1073"/>
      <c r="AU243" s="1116">
        <f>$G243</f>
        <v>7624356</v>
      </c>
      <c r="AV243" s="1117">
        <f t="shared" si="642"/>
        <v>5568168.3742585769</v>
      </c>
      <c r="AW243" s="1117">
        <f t="shared" si="643"/>
        <v>0</v>
      </c>
      <c r="AX243" s="1117">
        <f t="shared" si="644"/>
        <v>2056187.6257414231</v>
      </c>
      <c r="AY243" s="1073"/>
      <c r="BC243" s="1116">
        <f>$G243</f>
        <v>7624356</v>
      </c>
      <c r="BD243" s="1117">
        <f t="shared" si="645"/>
        <v>5568168.3742585769</v>
      </c>
      <c r="BE243" s="1117">
        <f t="shared" si="646"/>
        <v>0</v>
      </c>
      <c r="BF243" s="1117">
        <f t="shared" si="647"/>
        <v>2056187.6257414231</v>
      </c>
      <c r="BG243" s="1073"/>
      <c r="BK243" s="1116">
        <f>$G243</f>
        <v>7624356</v>
      </c>
      <c r="BL243" s="1117">
        <f t="shared" si="648"/>
        <v>5568168.3742585769</v>
      </c>
      <c r="BM243" s="1117">
        <f t="shared" si="649"/>
        <v>0</v>
      </c>
      <c r="BN243" s="1117">
        <f t="shared" si="650"/>
        <v>2056187.6257414231</v>
      </c>
      <c r="BO243" s="1073"/>
      <c r="BS243" s="1116">
        <f>$G243</f>
        <v>7624356</v>
      </c>
      <c r="BT243" s="1117">
        <f t="shared" si="651"/>
        <v>5568168.3742585769</v>
      </c>
      <c r="BU243" s="1117">
        <f t="shared" si="652"/>
        <v>0</v>
      </c>
      <c r="BV243" s="1117">
        <f t="shared" si="653"/>
        <v>2056187.6257414231</v>
      </c>
      <c r="BW243" s="1073"/>
      <c r="CA243" s="1116">
        <f>$G243</f>
        <v>7624356</v>
      </c>
      <c r="CB243" s="1117">
        <f t="shared" si="654"/>
        <v>5568168.3742585769</v>
      </c>
      <c r="CC243" s="1117">
        <f t="shared" si="655"/>
        <v>0</v>
      </c>
      <c r="CD243" s="1117">
        <f t="shared" si="656"/>
        <v>2056187.6257414231</v>
      </c>
      <c r="CE243" s="1073"/>
      <c r="CI243" s="1116">
        <f>$G243</f>
        <v>7624356</v>
      </c>
      <c r="CJ243" s="1117">
        <f t="shared" si="657"/>
        <v>5568168.3742585769</v>
      </c>
      <c r="CK243" s="1117">
        <f t="shared" si="658"/>
        <v>0</v>
      </c>
      <c r="CL243" s="1117">
        <f t="shared" si="659"/>
        <v>2056187.6257414231</v>
      </c>
      <c r="CM243" s="1073"/>
      <c r="CQ243" s="1116">
        <f>$G243</f>
        <v>7624356</v>
      </c>
      <c r="CR243" s="1117">
        <f t="shared" si="660"/>
        <v>5568168.3742585769</v>
      </c>
      <c r="CS243" s="1117">
        <f t="shared" si="661"/>
        <v>0</v>
      </c>
      <c r="CT243" s="1117">
        <f t="shared" si="662"/>
        <v>2056187.6257414231</v>
      </c>
      <c r="CU243" s="1073"/>
      <c r="CY243" s="1116">
        <f>$G243</f>
        <v>7624356</v>
      </c>
      <c r="CZ243" s="1117">
        <f t="shared" si="663"/>
        <v>5568168.3742585769</v>
      </c>
      <c r="DA243" s="1117">
        <f t="shared" si="664"/>
        <v>0</v>
      </c>
      <c r="DB243" s="1117">
        <f t="shared" si="665"/>
        <v>2056187.6257414231</v>
      </c>
      <c r="DC243" s="1073"/>
      <c r="DG243" s="1116">
        <f>$G243</f>
        <v>7624356</v>
      </c>
      <c r="DH243" s="1117">
        <f t="shared" si="666"/>
        <v>5568168.3742585769</v>
      </c>
      <c r="DI243" s="1117">
        <f t="shared" si="667"/>
        <v>0</v>
      </c>
      <c r="DJ243" s="1117">
        <f t="shared" si="668"/>
        <v>2056187.6257414231</v>
      </c>
      <c r="DK243" s="1073"/>
      <c r="DO243" s="1116">
        <f>$G243</f>
        <v>7624356</v>
      </c>
      <c r="DP243" s="1117">
        <f t="shared" si="669"/>
        <v>5568168.3742585769</v>
      </c>
      <c r="DQ243" s="1117">
        <f t="shared" si="670"/>
        <v>0</v>
      </c>
      <c r="DR243" s="1117">
        <f t="shared" si="671"/>
        <v>2056187.6257414231</v>
      </c>
      <c r="DS243" s="1073"/>
      <c r="DW243" s="1116">
        <f>$G243</f>
        <v>7624356</v>
      </c>
      <c r="DX243" s="1117">
        <f t="shared" si="672"/>
        <v>5568168.3742585769</v>
      </c>
      <c r="DY243" s="1117">
        <f t="shared" si="673"/>
        <v>0</v>
      </c>
      <c r="DZ243" s="1117">
        <f t="shared" si="674"/>
        <v>2056187.6257414231</v>
      </c>
      <c r="EA243" s="1073"/>
      <c r="EE243" s="1116">
        <f>$G243</f>
        <v>7624356</v>
      </c>
      <c r="EF243" s="1117">
        <f t="shared" si="675"/>
        <v>5568168.3742585769</v>
      </c>
      <c r="EG243" s="1117">
        <f t="shared" si="676"/>
        <v>0</v>
      </c>
      <c r="EH243" s="1117">
        <f t="shared" si="677"/>
        <v>2056187.6257414231</v>
      </c>
      <c r="EI243" s="1073"/>
      <c r="EM243" s="1116">
        <f>$G243</f>
        <v>7624356</v>
      </c>
      <c r="EN243" s="1117">
        <f t="shared" si="678"/>
        <v>5568168.3742585769</v>
      </c>
      <c r="EO243" s="1117">
        <f t="shared" si="679"/>
        <v>0</v>
      </c>
      <c r="EP243" s="1117">
        <f t="shared" si="680"/>
        <v>2056187.6257414231</v>
      </c>
      <c r="EQ243" s="1073"/>
      <c r="EU243" s="1116">
        <f>$G243</f>
        <v>7624356</v>
      </c>
      <c r="EV243" s="1117">
        <f t="shared" si="681"/>
        <v>5568168.3742585769</v>
      </c>
      <c r="EW243" s="1117">
        <f t="shared" si="682"/>
        <v>0</v>
      </c>
      <c r="EX243" s="1117">
        <f t="shared" si="683"/>
        <v>2056187.6257414231</v>
      </c>
      <c r="EY243" s="1073"/>
      <c r="FC243" s="1116">
        <f>$G243</f>
        <v>7624356</v>
      </c>
      <c r="FD243" s="1117">
        <f t="shared" si="684"/>
        <v>5568168.3742585769</v>
      </c>
      <c r="FE243" s="1117">
        <f t="shared" si="685"/>
        <v>0</v>
      </c>
      <c r="FF243" s="1117">
        <f t="shared" si="686"/>
        <v>2056187.6257414231</v>
      </c>
      <c r="FG243" s="1073"/>
      <c r="FK243" s="1116">
        <f>$G243</f>
        <v>7624356</v>
      </c>
      <c r="FL243" s="1117">
        <f t="shared" si="687"/>
        <v>5568168.3742585769</v>
      </c>
      <c r="FM243" s="1117">
        <f t="shared" si="688"/>
        <v>0</v>
      </c>
      <c r="FN243" s="1117">
        <f t="shared" si="689"/>
        <v>2056187.6257414231</v>
      </c>
      <c r="FO243" s="1073"/>
    </row>
    <row r="244" spans="1:171">
      <c r="A244" s="1392">
        <v>200</v>
      </c>
      <c r="B244" s="913" t="s">
        <v>88</v>
      </c>
      <c r="C244" s="888">
        <v>336</v>
      </c>
      <c r="D244" s="888">
        <v>403</v>
      </c>
      <c r="E244" s="182" t="str">
        <f>'Sch 3 - Expenses'!E84</f>
        <v>PROD</v>
      </c>
      <c r="F244" s="889"/>
      <c r="G244" s="182">
        <f>'Sch 3 - Expenses'!G84</f>
        <v>17056563</v>
      </c>
      <c r="H244" s="182">
        <f>'Sch 3 - Expenses'!H84</f>
        <v>17056563</v>
      </c>
      <c r="I244" s="182">
        <f>'Sch 3 - Expenses'!I84</f>
        <v>0</v>
      </c>
      <c r="J244" s="183">
        <f>'Sch 3 - Expenses'!J84</f>
        <v>0</v>
      </c>
      <c r="K244" s="903">
        <f t="shared" si="629"/>
        <v>1</v>
      </c>
      <c r="N244" s="1129">
        <f>VLOOKUP($A244,'New Resources - Individual'!$A$4:$Y$133,N$2,FALSE)*N$1</f>
        <v>0</v>
      </c>
      <c r="O244" s="1116">
        <f t="shared" ref="O244:O249" si="690">$G244+N244</f>
        <v>17056563</v>
      </c>
      <c r="P244" s="1117">
        <f t="shared" si="630"/>
        <v>17056563</v>
      </c>
      <c r="Q244" s="1117">
        <f t="shared" si="631"/>
        <v>0</v>
      </c>
      <c r="R244" s="1117">
        <f t="shared" si="632"/>
        <v>0</v>
      </c>
      <c r="S244" s="1073"/>
      <c r="V244" s="1129">
        <f>VLOOKUP($A244,'New Resources - Individual'!$A$4:$Y$133,V$2,FALSE)*V$1</f>
        <v>0</v>
      </c>
      <c r="W244" s="1116">
        <f t="shared" ref="W244:W249" si="691">$G244+V244</f>
        <v>17056563</v>
      </c>
      <c r="X244" s="1117">
        <f t="shared" si="633"/>
        <v>17056563</v>
      </c>
      <c r="Y244" s="1117">
        <f t="shared" si="634"/>
        <v>0</v>
      </c>
      <c r="Z244" s="1117">
        <f t="shared" si="635"/>
        <v>0</v>
      </c>
      <c r="AA244" s="1073"/>
      <c r="AD244" s="1129">
        <f>VLOOKUP($A244,'New Resources - Individual'!$A$4:$Y$133,AD$2,FALSE)*AD$1</f>
        <v>0</v>
      </c>
      <c r="AE244" s="1116">
        <f t="shared" ref="AE244:AE249" si="692">$G244+AD244</f>
        <v>17056563</v>
      </c>
      <c r="AF244" s="1117">
        <f t="shared" si="636"/>
        <v>17056563</v>
      </c>
      <c r="AG244" s="1117">
        <f t="shared" si="637"/>
        <v>0</v>
      </c>
      <c r="AH244" s="1117">
        <f t="shared" si="638"/>
        <v>0</v>
      </c>
      <c r="AI244" s="1073"/>
      <c r="AL244" s="1129">
        <f>VLOOKUP($A244,'New Resources - Individual'!$A$4:$Y$133,AL$2,FALSE)*AL$1</f>
        <v>0</v>
      </c>
      <c r="AM244" s="1116">
        <f t="shared" ref="AM244:AM249" si="693">$G244+AL244</f>
        <v>17056563</v>
      </c>
      <c r="AN244" s="1117">
        <f t="shared" si="639"/>
        <v>17056563</v>
      </c>
      <c r="AO244" s="1117">
        <f t="shared" si="640"/>
        <v>0</v>
      </c>
      <c r="AP244" s="1117">
        <f t="shared" si="641"/>
        <v>0</v>
      </c>
      <c r="AQ244" s="1073"/>
      <c r="AT244" s="1129">
        <f>VLOOKUP($A244,'New Resources - Individual'!$A$4:$Y$133,AT$2,FALSE)*AT$1</f>
        <v>0</v>
      </c>
      <c r="AU244" s="1116">
        <f t="shared" ref="AU244:AU249" si="694">$G244+AT244</f>
        <v>17056563</v>
      </c>
      <c r="AV244" s="1117">
        <f t="shared" si="642"/>
        <v>17056563</v>
      </c>
      <c r="AW244" s="1117">
        <f t="shared" si="643"/>
        <v>0</v>
      </c>
      <c r="AX244" s="1117">
        <f t="shared" si="644"/>
        <v>0</v>
      </c>
      <c r="AY244" s="1073"/>
      <c r="BB244" s="1129">
        <f>VLOOKUP($A244,'New Resources - Individual'!$A$4:$Y$133,BB$2,FALSE)*BB$1</f>
        <v>0</v>
      </c>
      <c r="BC244" s="1116">
        <f t="shared" ref="BC244:BC249" si="695">$G244+BB244</f>
        <v>17056563</v>
      </c>
      <c r="BD244" s="1117">
        <f t="shared" si="645"/>
        <v>17056563</v>
      </c>
      <c r="BE244" s="1117">
        <f t="shared" si="646"/>
        <v>0</v>
      </c>
      <c r="BF244" s="1117">
        <f t="shared" si="647"/>
        <v>0</v>
      </c>
      <c r="BG244" s="1073"/>
      <c r="BJ244" s="1129">
        <f>VLOOKUP($A244,'New Resources - Individual'!$A$4:$Y$133,BJ$2,FALSE)*BJ$1</f>
        <v>0</v>
      </c>
      <c r="BK244" s="1116">
        <f t="shared" ref="BK244:BK249" si="696">$G244+BJ244</f>
        <v>17056563</v>
      </c>
      <c r="BL244" s="1117">
        <f t="shared" si="648"/>
        <v>17056563</v>
      </c>
      <c r="BM244" s="1117">
        <f t="shared" si="649"/>
        <v>0</v>
      </c>
      <c r="BN244" s="1117">
        <f t="shared" si="650"/>
        <v>0</v>
      </c>
      <c r="BO244" s="1073"/>
      <c r="BR244" s="1129">
        <f>VLOOKUP($A244,'New Resources - Individual'!$A$4:$Y$133,BR$2,FALSE)*BR$1</f>
        <v>0</v>
      </c>
      <c r="BS244" s="1116">
        <f t="shared" ref="BS244:BS249" si="697">$G244+BR244</f>
        <v>17056563</v>
      </c>
      <c r="BT244" s="1117">
        <f t="shared" si="651"/>
        <v>17056563</v>
      </c>
      <c r="BU244" s="1117">
        <f t="shared" si="652"/>
        <v>0</v>
      </c>
      <c r="BV244" s="1117">
        <f t="shared" si="653"/>
        <v>0</v>
      </c>
      <c r="BW244" s="1073"/>
      <c r="BZ244" s="1129">
        <f>VLOOKUP($A244,'New Resources - Individual'!$A$4:$Y$133,BZ$2,FALSE)*BZ$1</f>
        <v>0</v>
      </c>
      <c r="CA244" s="1116">
        <f t="shared" ref="CA244:CA249" si="698">$G244+BZ244</f>
        <v>17056563</v>
      </c>
      <c r="CB244" s="1117">
        <f t="shared" si="654"/>
        <v>17056563</v>
      </c>
      <c r="CC244" s="1117">
        <f t="shared" si="655"/>
        <v>0</v>
      </c>
      <c r="CD244" s="1117">
        <f t="shared" si="656"/>
        <v>0</v>
      </c>
      <c r="CE244" s="1073"/>
      <c r="CH244" s="1129">
        <f>VLOOKUP($A244,'New Resources - Individual'!$A$4:$Y$133,CH$2,FALSE)*CH$1</f>
        <v>0</v>
      </c>
      <c r="CI244" s="1116">
        <f t="shared" ref="CI244:CI249" si="699">$G244+CH244</f>
        <v>17056563</v>
      </c>
      <c r="CJ244" s="1117">
        <f t="shared" si="657"/>
        <v>17056563</v>
      </c>
      <c r="CK244" s="1117">
        <f t="shared" si="658"/>
        <v>0</v>
      </c>
      <c r="CL244" s="1117">
        <f t="shared" si="659"/>
        <v>0</v>
      </c>
      <c r="CM244" s="1073"/>
      <c r="CP244" s="1129">
        <f>VLOOKUP($A244,'New Resources - Individual'!$A$4:$Y$133,CP$2,FALSE)*CP$1</f>
        <v>0</v>
      </c>
      <c r="CQ244" s="1116">
        <f t="shared" ref="CQ244:CQ249" si="700">$G244+CP244</f>
        <v>17056563</v>
      </c>
      <c r="CR244" s="1117">
        <f t="shared" si="660"/>
        <v>17056563</v>
      </c>
      <c r="CS244" s="1117">
        <f t="shared" si="661"/>
        <v>0</v>
      </c>
      <c r="CT244" s="1117">
        <f t="shared" si="662"/>
        <v>0</v>
      </c>
      <c r="CU244" s="1073"/>
      <c r="CX244" s="1129">
        <f>VLOOKUP($A244,'New Resources - Individual'!$A$4:$Y$133,CX$2,FALSE)*CX$1</f>
        <v>0</v>
      </c>
      <c r="CY244" s="1116">
        <f t="shared" ref="CY244:CY249" si="701">$G244+CX244</f>
        <v>17056563</v>
      </c>
      <c r="CZ244" s="1117">
        <f t="shared" si="663"/>
        <v>17056563</v>
      </c>
      <c r="DA244" s="1117">
        <f t="shared" si="664"/>
        <v>0</v>
      </c>
      <c r="DB244" s="1117">
        <f t="shared" si="665"/>
        <v>0</v>
      </c>
      <c r="DC244" s="1073"/>
      <c r="DF244" s="1129">
        <f>VLOOKUP($A244,'New Resources - Individual'!$A$4:$Y$133,DF$2,FALSE)*DF$1</f>
        <v>0</v>
      </c>
      <c r="DG244" s="1116">
        <f t="shared" ref="DG244:DG249" si="702">$G244+DF244</f>
        <v>17056563</v>
      </c>
      <c r="DH244" s="1117">
        <f t="shared" si="666"/>
        <v>17056563</v>
      </c>
      <c r="DI244" s="1117">
        <f t="shared" si="667"/>
        <v>0</v>
      </c>
      <c r="DJ244" s="1117">
        <f t="shared" si="668"/>
        <v>0</v>
      </c>
      <c r="DK244" s="1073"/>
      <c r="DN244" s="1129">
        <f>VLOOKUP($A244,'New Resources - Individual'!$A$4:$Y$133,DN$2,FALSE)*DN$1</f>
        <v>0</v>
      </c>
      <c r="DO244" s="1116">
        <f t="shared" ref="DO244:DO249" si="703">$G244+DN244</f>
        <v>17056563</v>
      </c>
      <c r="DP244" s="1117">
        <f t="shared" si="669"/>
        <v>17056563</v>
      </c>
      <c r="DQ244" s="1117">
        <f t="shared" si="670"/>
        <v>0</v>
      </c>
      <c r="DR244" s="1117">
        <f t="shared" si="671"/>
        <v>0</v>
      </c>
      <c r="DS244" s="1073"/>
      <c r="DV244" s="1129">
        <f>VLOOKUP($A244,'New Resources - Individual'!$A$4:$Y$133,DV$2,FALSE)*DV$1</f>
        <v>0</v>
      </c>
      <c r="DW244" s="1116">
        <f t="shared" ref="DW244:DW249" si="704">$G244+DV244</f>
        <v>17056563</v>
      </c>
      <c r="DX244" s="1117">
        <f t="shared" si="672"/>
        <v>17056563</v>
      </c>
      <c r="DY244" s="1117">
        <f t="shared" si="673"/>
        <v>0</v>
      </c>
      <c r="DZ244" s="1117">
        <f t="shared" si="674"/>
        <v>0</v>
      </c>
      <c r="EA244" s="1073"/>
      <c r="ED244" s="1129">
        <f>VLOOKUP($A244,'New Resources - Individual'!$A$4:$Y$133,ED$2,FALSE)*ED$1</f>
        <v>0</v>
      </c>
      <c r="EE244" s="1116">
        <f t="shared" ref="EE244:EE249" si="705">$G244+ED244</f>
        <v>17056563</v>
      </c>
      <c r="EF244" s="1117">
        <f t="shared" si="675"/>
        <v>17056563</v>
      </c>
      <c r="EG244" s="1117">
        <f t="shared" si="676"/>
        <v>0</v>
      </c>
      <c r="EH244" s="1117">
        <f t="shared" si="677"/>
        <v>0</v>
      </c>
      <c r="EI244" s="1073"/>
      <c r="EL244" s="1129">
        <f>VLOOKUP($A244,'New Resources - Individual'!$A$4:$Y$133,EL$2,FALSE)*EL$1</f>
        <v>0</v>
      </c>
      <c r="EM244" s="1116">
        <f t="shared" ref="EM244:EM249" si="706">$G244+EL244</f>
        <v>17056563</v>
      </c>
      <c r="EN244" s="1117">
        <f t="shared" si="678"/>
        <v>17056563</v>
      </c>
      <c r="EO244" s="1117">
        <f t="shared" si="679"/>
        <v>0</v>
      </c>
      <c r="EP244" s="1117">
        <f t="shared" si="680"/>
        <v>0</v>
      </c>
      <c r="EQ244" s="1073"/>
      <c r="ET244" s="1129">
        <f>VLOOKUP($A244,'New Resources - Individual'!$A$4:$Y$133,ET$2,FALSE)*ET$1</f>
        <v>0</v>
      </c>
      <c r="EU244" s="1116">
        <f t="shared" ref="EU244:EU249" si="707">$G244+ET244</f>
        <v>17056563</v>
      </c>
      <c r="EV244" s="1117">
        <f t="shared" si="681"/>
        <v>17056563</v>
      </c>
      <c r="EW244" s="1117">
        <f t="shared" si="682"/>
        <v>0</v>
      </c>
      <c r="EX244" s="1117">
        <f t="shared" si="683"/>
        <v>0</v>
      </c>
      <c r="EY244" s="1073"/>
      <c r="FB244" s="1129">
        <f>VLOOKUP($A244,'New Resources - Individual'!$A$4:$Y$133,FB$2,FALSE)*FB$1</f>
        <v>0</v>
      </c>
      <c r="FC244" s="1116">
        <f t="shared" ref="FC244:FC249" si="708">$G244+FB244</f>
        <v>17056563</v>
      </c>
      <c r="FD244" s="1117">
        <f t="shared" si="684"/>
        <v>17056563</v>
      </c>
      <c r="FE244" s="1117">
        <f t="shared" si="685"/>
        <v>0</v>
      </c>
      <c r="FF244" s="1117">
        <f t="shared" si="686"/>
        <v>0</v>
      </c>
      <c r="FG244" s="1073"/>
      <c r="FJ244" s="1129">
        <f>VLOOKUP($A244,'New Resources - Individual'!$A$4:$Y$133,FJ$2,FALSE)*FJ$1</f>
        <v>0</v>
      </c>
      <c r="FK244" s="1116">
        <f t="shared" ref="FK244:FK249" si="709">$G244+FJ244</f>
        <v>17056563</v>
      </c>
      <c r="FL244" s="1117">
        <f t="shared" si="687"/>
        <v>17056563</v>
      </c>
      <c r="FM244" s="1117">
        <f t="shared" si="688"/>
        <v>0</v>
      </c>
      <c r="FN244" s="1117">
        <f t="shared" si="689"/>
        <v>0</v>
      </c>
      <c r="FO244" s="1073"/>
    </row>
    <row r="245" spans="1:171">
      <c r="A245" s="1392">
        <v>330</v>
      </c>
      <c r="B245" s="913" t="s">
        <v>89</v>
      </c>
      <c r="C245" s="888">
        <v>336</v>
      </c>
      <c r="D245" s="888">
        <v>403</v>
      </c>
      <c r="E245" s="182" t="str">
        <f>'Sch 3 - Expenses'!E85</f>
        <v>PROD</v>
      </c>
      <c r="F245" s="889"/>
      <c r="G245" s="182">
        <f>'Sch 3 - Expenses'!G85</f>
        <v>0</v>
      </c>
      <c r="H245" s="182">
        <f>'Sch 3 - Expenses'!H85</f>
        <v>0</v>
      </c>
      <c r="I245" s="182">
        <f>'Sch 3 - Expenses'!I85</f>
        <v>0</v>
      </c>
      <c r="J245" s="183">
        <f>'Sch 3 - Expenses'!J85</f>
        <v>0</v>
      </c>
      <c r="K245" s="903">
        <f t="shared" si="629"/>
        <v>1</v>
      </c>
      <c r="N245" s="1129">
        <f>VLOOKUP($A245,'New Resources - Individual'!$A$4:$Y$133,N$2,FALSE)*N$1</f>
        <v>0</v>
      </c>
      <c r="O245" s="1116">
        <f t="shared" si="690"/>
        <v>0</v>
      </c>
      <c r="P245" s="1117">
        <f t="shared" si="630"/>
        <v>0</v>
      </c>
      <c r="Q245" s="1117">
        <f t="shared" si="631"/>
        <v>0</v>
      </c>
      <c r="R245" s="1117">
        <f t="shared" si="632"/>
        <v>0</v>
      </c>
      <c r="S245" s="1073"/>
      <c r="V245" s="1129">
        <f>VLOOKUP($A245,'New Resources - Individual'!$A$4:$Y$133,V$2,FALSE)*V$1</f>
        <v>0</v>
      </c>
      <c r="W245" s="1116">
        <f t="shared" si="691"/>
        <v>0</v>
      </c>
      <c r="X245" s="1117">
        <f t="shared" si="633"/>
        <v>0</v>
      </c>
      <c r="Y245" s="1117">
        <f t="shared" si="634"/>
        <v>0</v>
      </c>
      <c r="Z245" s="1117">
        <f t="shared" si="635"/>
        <v>0</v>
      </c>
      <c r="AA245" s="1073"/>
      <c r="AD245" s="1129">
        <f>VLOOKUP($A245,'New Resources - Individual'!$A$4:$Y$133,AD$2,FALSE)*AD$1</f>
        <v>0</v>
      </c>
      <c r="AE245" s="1116">
        <f t="shared" si="692"/>
        <v>0</v>
      </c>
      <c r="AF245" s="1117">
        <f t="shared" si="636"/>
        <v>0</v>
      </c>
      <c r="AG245" s="1117">
        <f t="shared" si="637"/>
        <v>0</v>
      </c>
      <c r="AH245" s="1117">
        <f t="shared" si="638"/>
        <v>0</v>
      </c>
      <c r="AI245" s="1073"/>
      <c r="AL245" s="1129">
        <f>VLOOKUP($A245,'New Resources - Individual'!$A$4:$Y$133,AL$2,FALSE)*AL$1</f>
        <v>0</v>
      </c>
      <c r="AM245" s="1116">
        <f t="shared" si="693"/>
        <v>0</v>
      </c>
      <c r="AN245" s="1117">
        <f t="shared" si="639"/>
        <v>0</v>
      </c>
      <c r="AO245" s="1117">
        <f t="shared" si="640"/>
        <v>0</v>
      </c>
      <c r="AP245" s="1117">
        <f t="shared" si="641"/>
        <v>0</v>
      </c>
      <c r="AQ245" s="1073"/>
      <c r="AT245" s="1129">
        <f>VLOOKUP($A245,'New Resources - Individual'!$A$4:$Y$133,AT$2,FALSE)*AT$1</f>
        <v>0</v>
      </c>
      <c r="AU245" s="1116">
        <f t="shared" si="694"/>
        <v>0</v>
      </c>
      <c r="AV245" s="1117">
        <f t="shared" si="642"/>
        <v>0</v>
      </c>
      <c r="AW245" s="1117">
        <f t="shared" si="643"/>
        <v>0</v>
      </c>
      <c r="AX245" s="1117">
        <f t="shared" si="644"/>
        <v>0</v>
      </c>
      <c r="AY245" s="1073"/>
      <c r="BB245" s="1129">
        <f>VLOOKUP($A245,'New Resources - Individual'!$A$4:$Y$133,BB$2,FALSE)*BB$1</f>
        <v>0</v>
      </c>
      <c r="BC245" s="1116">
        <f t="shared" si="695"/>
        <v>0</v>
      </c>
      <c r="BD245" s="1117">
        <f t="shared" si="645"/>
        <v>0</v>
      </c>
      <c r="BE245" s="1117">
        <f t="shared" si="646"/>
        <v>0</v>
      </c>
      <c r="BF245" s="1117">
        <f t="shared" si="647"/>
        <v>0</v>
      </c>
      <c r="BG245" s="1073"/>
      <c r="BJ245" s="1129">
        <f>VLOOKUP($A245,'New Resources - Individual'!$A$4:$Y$133,BJ$2,FALSE)*BJ$1</f>
        <v>0</v>
      </c>
      <c r="BK245" s="1116">
        <f t="shared" si="696"/>
        <v>0</v>
      </c>
      <c r="BL245" s="1117">
        <f t="shared" si="648"/>
        <v>0</v>
      </c>
      <c r="BM245" s="1117">
        <f t="shared" si="649"/>
        <v>0</v>
      </c>
      <c r="BN245" s="1117">
        <f t="shared" si="650"/>
        <v>0</v>
      </c>
      <c r="BO245" s="1073"/>
      <c r="BR245" s="1129">
        <f>VLOOKUP($A245,'New Resources - Individual'!$A$4:$Y$133,BR$2,FALSE)*BR$1</f>
        <v>0</v>
      </c>
      <c r="BS245" s="1116">
        <f t="shared" si="697"/>
        <v>0</v>
      </c>
      <c r="BT245" s="1117">
        <f t="shared" si="651"/>
        <v>0</v>
      </c>
      <c r="BU245" s="1117">
        <f t="shared" si="652"/>
        <v>0</v>
      </c>
      <c r="BV245" s="1117">
        <f t="shared" si="653"/>
        <v>0</v>
      </c>
      <c r="BW245" s="1073"/>
      <c r="BZ245" s="1129">
        <f>VLOOKUP($A245,'New Resources - Individual'!$A$4:$Y$133,BZ$2,FALSE)*BZ$1</f>
        <v>0</v>
      </c>
      <c r="CA245" s="1116">
        <f t="shared" si="698"/>
        <v>0</v>
      </c>
      <c r="CB245" s="1117">
        <f t="shared" si="654"/>
        <v>0</v>
      </c>
      <c r="CC245" s="1117">
        <f t="shared" si="655"/>
        <v>0</v>
      </c>
      <c r="CD245" s="1117">
        <f t="shared" si="656"/>
        <v>0</v>
      </c>
      <c r="CE245" s="1073"/>
      <c r="CH245" s="1129">
        <f>VLOOKUP($A245,'New Resources - Individual'!$A$4:$Y$133,CH$2,FALSE)*CH$1</f>
        <v>0</v>
      </c>
      <c r="CI245" s="1116">
        <f t="shared" si="699"/>
        <v>0</v>
      </c>
      <c r="CJ245" s="1117">
        <f t="shared" si="657"/>
        <v>0</v>
      </c>
      <c r="CK245" s="1117">
        <f t="shared" si="658"/>
        <v>0</v>
      </c>
      <c r="CL245" s="1117">
        <f t="shared" si="659"/>
        <v>0</v>
      </c>
      <c r="CM245" s="1073"/>
      <c r="CP245" s="1129">
        <f>VLOOKUP($A245,'New Resources - Individual'!$A$4:$Y$133,CP$2,FALSE)*CP$1</f>
        <v>0</v>
      </c>
      <c r="CQ245" s="1116">
        <f t="shared" si="700"/>
        <v>0</v>
      </c>
      <c r="CR245" s="1117">
        <f t="shared" si="660"/>
        <v>0</v>
      </c>
      <c r="CS245" s="1117">
        <f t="shared" si="661"/>
        <v>0</v>
      </c>
      <c r="CT245" s="1117">
        <f t="shared" si="662"/>
        <v>0</v>
      </c>
      <c r="CU245" s="1073"/>
      <c r="CX245" s="1129">
        <f>VLOOKUP($A245,'New Resources - Individual'!$A$4:$Y$133,CX$2,FALSE)*CX$1</f>
        <v>0</v>
      </c>
      <c r="CY245" s="1116">
        <f t="shared" si="701"/>
        <v>0</v>
      </c>
      <c r="CZ245" s="1117">
        <f t="shared" si="663"/>
        <v>0</v>
      </c>
      <c r="DA245" s="1117">
        <f t="shared" si="664"/>
        <v>0</v>
      </c>
      <c r="DB245" s="1117">
        <f t="shared" si="665"/>
        <v>0</v>
      </c>
      <c r="DC245" s="1073"/>
      <c r="DF245" s="1129">
        <f>VLOOKUP($A245,'New Resources - Individual'!$A$4:$Y$133,DF$2,FALSE)*DF$1</f>
        <v>0</v>
      </c>
      <c r="DG245" s="1116">
        <f t="shared" si="702"/>
        <v>0</v>
      </c>
      <c r="DH245" s="1117">
        <f t="shared" si="666"/>
        <v>0</v>
      </c>
      <c r="DI245" s="1117">
        <f t="shared" si="667"/>
        <v>0</v>
      </c>
      <c r="DJ245" s="1117">
        <f t="shared" si="668"/>
        <v>0</v>
      </c>
      <c r="DK245" s="1073"/>
      <c r="DN245" s="1129">
        <f>VLOOKUP($A245,'New Resources - Individual'!$A$4:$Y$133,DN$2,FALSE)*DN$1</f>
        <v>0</v>
      </c>
      <c r="DO245" s="1116">
        <f t="shared" si="703"/>
        <v>0</v>
      </c>
      <c r="DP245" s="1117">
        <f t="shared" si="669"/>
        <v>0</v>
      </c>
      <c r="DQ245" s="1117">
        <f t="shared" si="670"/>
        <v>0</v>
      </c>
      <c r="DR245" s="1117">
        <f t="shared" si="671"/>
        <v>0</v>
      </c>
      <c r="DS245" s="1073"/>
      <c r="DV245" s="1129">
        <f>VLOOKUP($A245,'New Resources - Individual'!$A$4:$Y$133,DV$2,FALSE)*DV$1</f>
        <v>0</v>
      </c>
      <c r="DW245" s="1116">
        <f t="shared" si="704"/>
        <v>0</v>
      </c>
      <c r="DX245" s="1117">
        <f t="shared" si="672"/>
        <v>0</v>
      </c>
      <c r="DY245" s="1117">
        <f t="shared" si="673"/>
        <v>0</v>
      </c>
      <c r="DZ245" s="1117">
        <f t="shared" si="674"/>
        <v>0</v>
      </c>
      <c r="EA245" s="1073"/>
      <c r="ED245" s="1129">
        <f>VLOOKUP($A245,'New Resources - Individual'!$A$4:$Y$133,ED$2,FALSE)*ED$1</f>
        <v>0</v>
      </c>
      <c r="EE245" s="1116">
        <f t="shared" si="705"/>
        <v>0</v>
      </c>
      <c r="EF245" s="1117">
        <f t="shared" si="675"/>
        <v>0</v>
      </c>
      <c r="EG245" s="1117">
        <f t="shared" si="676"/>
        <v>0</v>
      </c>
      <c r="EH245" s="1117">
        <f t="shared" si="677"/>
        <v>0</v>
      </c>
      <c r="EI245" s="1073"/>
      <c r="EL245" s="1129">
        <f>VLOOKUP($A245,'New Resources - Individual'!$A$4:$Y$133,EL$2,FALSE)*EL$1</f>
        <v>0</v>
      </c>
      <c r="EM245" s="1116">
        <f t="shared" si="706"/>
        <v>0</v>
      </c>
      <c r="EN245" s="1117">
        <f t="shared" si="678"/>
        <v>0</v>
      </c>
      <c r="EO245" s="1117">
        <f t="shared" si="679"/>
        <v>0</v>
      </c>
      <c r="EP245" s="1117">
        <f t="shared" si="680"/>
        <v>0</v>
      </c>
      <c r="EQ245" s="1073"/>
      <c r="ET245" s="1129">
        <f>VLOOKUP($A245,'New Resources - Individual'!$A$4:$Y$133,ET$2,FALSE)*ET$1</f>
        <v>0</v>
      </c>
      <c r="EU245" s="1116">
        <f t="shared" si="707"/>
        <v>0</v>
      </c>
      <c r="EV245" s="1117">
        <f t="shared" si="681"/>
        <v>0</v>
      </c>
      <c r="EW245" s="1117">
        <f t="shared" si="682"/>
        <v>0</v>
      </c>
      <c r="EX245" s="1117">
        <f t="shared" si="683"/>
        <v>0</v>
      </c>
      <c r="EY245" s="1073"/>
      <c r="FB245" s="1129">
        <f>VLOOKUP($A245,'New Resources - Individual'!$A$4:$Y$133,FB$2,FALSE)*FB$1</f>
        <v>0</v>
      </c>
      <c r="FC245" s="1116">
        <f t="shared" si="708"/>
        <v>0</v>
      </c>
      <c r="FD245" s="1117">
        <f t="shared" si="684"/>
        <v>0</v>
      </c>
      <c r="FE245" s="1117">
        <f t="shared" si="685"/>
        <v>0</v>
      </c>
      <c r="FF245" s="1117">
        <f t="shared" si="686"/>
        <v>0</v>
      </c>
      <c r="FG245" s="1073"/>
      <c r="FJ245" s="1129">
        <f>VLOOKUP($A245,'New Resources - Individual'!$A$4:$Y$133,FJ$2,FALSE)*FJ$1</f>
        <v>0</v>
      </c>
      <c r="FK245" s="1116">
        <f t="shared" si="709"/>
        <v>0</v>
      </c>
      <c r="FL245" s="1117">
        <f t="shared" si="687"/>
        <v>0</v>
      </c>
      <c r="FM245" s="1117">
        <f t="shared" si="688"/>
        <v>0</v>
      </c>
      <c r="FN245" s="1117">
        <f t="shared" si="689"/>
        <v>0</v>
      </c>
      <c r="FO245" s="1073"/>
    </row>
    <row r="246" spans="1:171">
      <c r="A246" s="1392">
        <v>450</v>
      </c>
      <c r="B246" s="913" t="s">
        <v>434</v>
      </c>
      <c r="C246" s="888">
        <v>336</v>
      </c>
      <c r="D246" s="888">
        <v>403</v>
      </c>
      <c r="E246" s="182" t="str">
        <f>'Sch 3 - Expenses'!E86</f>
        <v>PROD</v>
      </c>
      <c r="F246" s="889"/>
      <c r="G246" s="182">
        <f>'Sch 3 - Expenses'!G86</f>
        <v>16632247</v>
      </c>
      <c r="H246" s="182">
        <f>'Sch 3 - Expenses'!H86</f>
        <v>16632247</v>
      </c>
      <c r="I246" s="182">
        <f>'Sch 3 - Expenses'!I86</f>
        <v>0</v>
      </c>
      <c r="J246" s="183">
        <f>'Sch 3 - Expenses'!J86</f>
        <v>0</v>
      </c>
      <c r="K246" s="903">
        <f t="shared" si="629"/>
        <v>1</v>
      </c>
      <c r="N246" s="1129">
        <f>VLOOKUP($A246,'New Resources - Individual'!$A$4:$Y$133,N$2,FALSE)*N$1</f>
        <v>0</v>
      </c>
      <c r="O246" s="1116">
        <f t="shared" si="690"/>
        <v>16632247</v>
      </c>
      <c r="P246" s="1117">
        <f t="shared" si="630"/>
        <v>16632247</v>
      </c>
      <c r="Q246" s="1117">
        <f t="shared" si="631"/>
        <v>0</v>
      </c>
      <c r="R246" s="1117">
        <f t="shared" si="632"/>
        <v>0</v>
      </c>
      <c r="S246" s="1073"/>
      <c r="V246" s="1129">
        <f>VLOOKUP($A246,'New Resources - Individual'!$A$4:$Y$133,V$2,FALSE)*V$1</f>
        <v>0</v>
      </c>
      <c r="W246" s="1116">
        <f t="shared" si="691"/>
        <v>16632247</v>
      </c>
      <c r="X246" s="1117">
        <f t="shared" si="633"/>
        <v>16632247</v>
      </c>
      <c r="Y246" s="1117">
        <f t="shared" si="634"/>
        <v>0</v>
      </c>
      <c r="Z246" s="1117">
        <f t="shared" si="635"/>
        <v>0</v>
      </c>
      <c r="AA246" s="1073"/>
      <c r="AD246" s="1129">
        <f>VLOOKUP($A246,'New Resources - Individual'!$A$4:$Y$133,AD$2,FALSE)*AD$1</f>
        <v>0</v>
      </c>
      <c r="AE246" s="1116">
        <f t="shared" si="692"/>
        <v>16632247</v>
      </c>
      <c r="AF246" s="1117">
        <f t="shared" si="636"/>
        <v>16632247</v>
      </c>
      <c r="AG246" s="1117">
        <f t="shared" si="637"/>
        <v>0</v>
      </c>
      <c r="AH246" s="1117">
        <f t="shared" si="638"/>
        <v>0</v>
      </c>
      <c r="AI246" s="1073"/>
      <c r="AL246" s="1129">
        <f>VLOOKUP($A246,'New Resources - Individual'!$A$4:$Y$133,AL$2,FALSE)*AL$1</f>
        <v>0</v>
      </c>
      <c r="AM246" s="1116">
        <f t="shared" si="693"/>
        <v>16632247</v>
      </c>
      <c r="AN246" s="1117">
        <f t="shared" si="639"/>
        <v>16632247</v>
      </c>
      <c r="AO246" s="1117">
        <f t="shared" si="640"/>
        <v>0</v>
      </c>
      <c r="AP246" s="1117">
        <f t="shared" si="641"/>
        <v>0</v>
      </c>
      <c r="AQ246" s="1073"/>
      <c r="AT246" s="1129">
        <f>VLOOKUP($A246,'New Resources - Individual'!$A$4:$Y$133,AT$2,FALSE)*AT$1</f>
        <v>0</v>
      </c>
      <c r="AU246" s="1116">
        <f t="shared" si="694"/>
        <v>16632247</v>
      </c>
      <c r="AV246" s="1117">
        <f t="shared" si="642"/>
        <v>16632247</v>
      </c>
      <c r="AW246" s="1117">
        <f t="shared" si="643"/>
        <v>0</v>
      </c>
      <c r="AX246" s="1117">
        <f t="shared" si="644"/>
        <v>0</v>
      </c>
      <c r="AY246" s="1073"/>
      <c r="BB246" s="1129">
        <f>VLOOKUP($A246,'New Resources - Individual'!$A$4:$Y$133,BB$2,FALSE)*BB$1</f>
        <v>0</v>
      </c>
      <c r="BC246" s="1116">
        <f t="shared" si="695"/>
        <v>16632247</v>
      </c>
      <c r="BD246" s="1117">
        <f t="shared" si="645"/>
        <v>16632247</v>
      </c>
      <c r="BE246" s="1117">
        <f t="shared" si="646"/>
        <v>0</v>
      </c>
      <c r="BF246" s="1117">
        <f t="shared" si="647"/>
        <v>0</v>
      </c>
      <c r="BG246" s="1073"/>
      <c r="BJ246" s="1129">
        <f>VLOOKUP($A246,'New Resources - Individual'!$A$4:$Y$133,BJ$2,FALSE)*BJ$1</f>
        <v>0</v>
      </c>
      <c r="BK246" s="1116">
        <f t="shared" si="696"/>
        <v>16632247</v>
      </c>
      <c r="BL246" s="1117">
        <f t="shared" si="648"/>
        <v>16632247</v>
      </c>
      <c r="BM246" s="1117">
        <f t="shared" si="649"/>
        <v>0</v>
      </c>
      <c r="BN246" s="1117">
        <f t="shared" si="650"/>
        <v>0</v>
      </c>
      <c r="BO246" s="1073"/>
      <c r="BR246" s="1129">
        <f>VLOOKUP($A246,'New Resources - Individual'!$A$4:$Y$133,BR$2,FALSE)*BR$1</f>
        <v>0</v>
      </c>
      <c r="BS246" s="1116">
        <f t="shared" si="697"/>
        <v>16632247</v>
      </c>
      <c r="BT246" s="1117">
        <f t="shared" si="651"/>
        <v>16632247</v>
      </c>
      <c r="BU246" s="1117">
        <f t="shared" si="652"/>
        <v>0</v>
      </c>
      <c r="BV246" s="1117">
        <f t="shared" si="653"/>
        <v>0</v>
      </c>
      <c r="BW246" s="1073"/>
      <c r="BZ246" s="1129">
        <f>VLOOKUP($A246,'New Resources - Individual'!$A$4:$Y$133,BZ$2,FALSE)*BZ$1</f>
        <v>0</v>
      </c>
      <c r="CA246" s="1116">
        <f t="shared" si="698"/>
        <v>16632247</v>
      </c>
      <c r="CB246" s="1117">
        <f t="shared" si="654"/>
        <v>16632247</v>
      </c>
      <c r="CC246" s="1117">
        <f t="shared" si="655"/>
        <v>0</v>
      </c>
      <c r="CD246" s="1117">
        <f t="shared" si="656"/>
        <v>0</v>
      </c>
      <c r="CE246" s="1073"/>
      <c r="CH246" s="1129">
        <f>VLOOKUP($A246,'New Resources - Individual'!$A$4:$Y$133,CH$2,FALSE)*CH$1</f>
        <v>0</v>
      </c>
      <c r="CI246" s="1116">
        <f t="shared" si="699"/>
        <v>16632247</v>
      </c>
      <c r="CJ246" s="1117">
        <f t="shared" si="657"/>
        <v>16632247</v>
      </c>
      <c r="CK246" s="1117">
        <f t="shared" si="658"/>
        <v>0</v>
      </c>
      <c r="CL246" s="1117">
        <f t="shared" si="659"/>
        <v>0</v>
      </c>
      <c r="CM246" s="1073"/>
      <c r="CP246" s="1129">
        <f>VLOOKUP($A246,'New Resources - Individual'!$A$4:$Y$133,CP$2,FALSE)*CP$1</f>
        <v>0</v>
      </c>
      <c r="CQ246" s="1116">
        <f t="shared" si="700"/>
        <v>16632247</v>
      </c>
      <c r="CR246" s="1117">
        <f t="shared" si="660"/>
        <v>16632247</v>
      </c>
      <c r="CS246" s="1117">
        <f t="shared" si="661"/>
        <v>0</v>
      </c>
      <c r="CT246" s="1117">
        <f t="shared" si="662"/>
        <v>0</v>
      </c>
      <c r="CU246" s="1073"/>
      <c r="CX246" s="1129">
        <f>VLOOKUP($A246,'New Resources - Individual'!$A$4:$Y$133,CX$2,FALSE)*CX$1</f>
        <v>0</v>
      </c>
      <c r="CY246" s="1116">
        <f t="shared" si="701"/>
        <v>16632247</v>
      </c>
      <c r="CZ246" s="1117">
        <f t="shared" si="663"/>
        <v>16632247</v>
      </c>
      <c r="DA246" s="1117">
        <f t="shared" si="664"/>
        <v>0</v>
      </c>
      <c r="DB246" s="1117">
        <f t="shared" si="665"/>
        <v>0</v>
      </c>
      <c r="DC246" s="1073"/>
      <c r="DF246" s="1129">
        <f>VLOOKUP($A246,'New Resources - Individual'!$A$4:$Y$133,DF$2,FALSE)*DF$1</f>
        <v>0</v>
      </c>
      <c r="DG246" s="1116">
        <f t="shared" si="702"/>
        <v>16632247</v>
      </c>
      <c r="DH246" s="1117">
        <f t="shared" si="666"/>
        <v>16632247</v>
      </c>
      <c r="DI246" s="1117">
        <f t="shared" si="667"/>
        <v>0</v>
      </c>
      <c r="DJ246" s="1117">
        <f t="shared" si="668"/>
        <v>0</v>
      </c>
      <c r="DK246" s="1073"/>
      <c r="DN246" s="1129">
        <f>VLOOKUP($A246,'New Resources - Individual'!$A$4:$Y$133,DN$2,FALSE)*DN$1</f>
        <v>0</v>
      </c>
      <c r="DO246" s="1116">
        <f t="shared" si="703"/>
        <v>16632247</v>
      </c>
      <c r="DP246" s="1117">
        <f t="shared" si="669"/>
        <v>16632247</v>
      </c>
      <c r="DQ246" s="1117">
        <f t="shared" si="670"/>
        <v>0</v>
      </c>
      <c r="DR246" s="1117">
        <f t="shared" si="671"/>
        <v>0</v>
      </c>
      <c r="DS246" s="1073"/>
      <c r="DV246" s="1129">
        <f>VLOOKUP($A246,'New Resources - Individual'!$A$4:$Y$133,DV$2,FALSE)*DV$1</f>
        <v>0</v>
      </c>
      <c r="DW246" s="1116">
        <f t="shared" si="704"/>
        <v>16632247</v>
      </c>
      <c r="DX246" s="1117">
        <f t="shared" si="672"/>
        <v>16632247</v>
      </c>
      <c r="DY246" s="1117">
        <f t="shared" si="673"/>
        <v>0</v>
      </c>
      <c r="DZ246" s="1117">
        <f t="shared" si="674"/>
        <v>0</v>
      </c>
      <c r="EA246" s="1073"/>
      <c r="ED246" s="1129">
        <f>VLOOKUP($A246,'New Resources - Individual'!$A$4:$Y$133,ED$2,FALSE)*ED$1</f>
        <v>0</v>
      </c>
      <c r="EE246" s="1116">
        <f t="shared" si="705"/>
        <v>16632247</v>
      </c>
      <c r="EF246" s="1117">
        <f t="shared" si="675"/>
        <v>16632247</v>
      </c>
      <c r="EG246" s="1117">
        <f t="shared" si="676"/>
        <v>0</v>
      </c>
      <c r="EH246" s="1117">
        <f t="shared" si="677"/>
        <v>0</v>
      </c>
      <c r="EI246" s="1073"/>
      <c r="EL246" s="1129">
        <f>VLOOKUP($A246,'New Resources - Individual'!$A$4:$Y$133,EL$2,FALSE)*EL$1</f>
        <v>0</v>
      </c>
      <c r="EM246" s="1116">
        <f t="shared" si="706"/>
        <v>16632247</v>
      </c>
      <c r="EN246" s="1117">
        <f t="shared" si="678"/>
        <v>16632247</v>
      </c>
      <c r="EO246" s="1117">
        <f t="shared" si="679"/>
        <v>0</v>
      </c>
      <c r="EP246" s="1117">
        <f t="shared" si="680"/>
        <v>0</v>
      </c>
      <c r="EQ246" s="1073"/>
      <c r="ET246" s="1129">
        <f>VLOOKUP($A246,'New Resources - Individual'!$A$4:$Y$133,ET$2,FALSE)*ET$1</f>
        <v>0</v>
      </c>
      <c r="EU246" s="1116">
        <f t="shared" si="707"/>
        <v>16632247</v>
      </c>
      <c r="EV246" s="1117">
        <f t="shared" si="681"/>
        <v>16632247</v>
      </c>
      <c r="EW246" s="1117">
        <f t="shared" si="682"/>
        <v>0</v>
      </c>
      <c r="EX246" s="1117">
        <f t="shared" si="683"/>
        <v>0</v>
      </c>
      <c r="EY246" s="1073"/>
      <c r="FB246" s="1129">
        <f>VLOOKUP($A246,'New Resources - Individual'!$A$4:$Y$133,FB$2,FALSE)*FB$1</f>
        <v>0</v>
      </c>
      <c r="FC246" s="1116">
        <f t="shared" si="708"/>
        <v>16632247</v>
      </c>
      <c r="FD246" s="1117">
        <f t="shared" si="684"/>
        <v>16632247</v>
      </c>
      <c r="FE246" s="1117">
        <f t="shared" si="685"/>
        <v>0</v>
      </c>
      <c r="FF246" s="1117">
        <f t="shared" si="686"/>
        <v>0</v>
      </c>
      <c r="FG246" s="1073"/>
      <c r="FJ246" s="1129">
        <f>VLOOKUP($A246,'New Resources - Individual'!$A$4:$Y$133,FJ$2,FALSE)*FJ$1</f>
        <v>0</v>
      </c>
      <c r="FK246" s="1116">
        <f t="shared" si="709"/>
        <v>16632247</v>
      </c>
      <c r="FL246" s="1117">
        <f t="shared" si="687"/>
        <v>16632247</v>
      </c>
      <c r="FM246" s="1117">
        <f t="shared" si="688"/>
        <v>0</v>
      </c>
      <c r="FN246" s="1117">
        <f t="shared" si="689"/>
        <v>0</v>
      </c>
      <c r="FO246" s="1073"/>
    </row>
    <row r="247" spans="1:171">
      <c r="A247" s="1392">
        <v>460</v>
      </c>
      <c r="B247" s="913" t="s">
        <v>435</v>
      </c>
      <c r="C247" s="888">
        <v>336</v>
      </c>
      <c r="D247" s="888">
        <v>403</v>
      </c>
      <c r="E247" s="182" t="str">
        <f>'Sch 3 - Expenses'!E87</f>
        <v>PROD</v>
      </c>
      <c r="F247" s="889"/>
      <c r="G247" s="182">
        <f>'Sch 3 - Expenses'!G87</f>
        <v>0</v>
      </c>
      <c r="H247" s="182">
        <f>'Sch 3 - Expenses'!H87</f>
        <v>0</v>
      </c>
      <c r="I247" s="182">
        <f>'Sch 3 - Expenses'!I87</f>
        <v>0</v>
      </c>
      <c r="J247" s="183">
        <f>'Sch 3 - Expenses'!J87</f>
        <v>0</v>
      </c>
      <c r="K247" s="903">
        <f t="shared" si="629"/>
        <v>1</v>
      </c>
      <c r="N247" s="1129">
        <f>VLOOKUP($A247,'New Resources - Individual'!$A$4:$Y$133,N$2,FALSE)*N$1</f>
        <v>0</v>
      </c>
      <c r="O247" s="1116">
        <f t="shared" si="690"/>
        <v>0</v>
      </c>
      <c r="P247" s="1117">
        <f t="shared" si="630"/>
        <v>0</v>
      </c>
      <c r="Q247" s="1117">
        <f t="shared" si="631"/>
        <v>0</v>
      </c>
      <c r="R247" s="1117">
        <f t="shared" si="632"/>
        <v>0</v>
      </c>
      <c r="S247" s="1073"/>
      <c r="V247" s="1129">
        <f>VLOOKUP($A247,'New Resources - Individual'!$A$4:$Y$133,V$2,FALSE)*V$1</f>
        <v>0</v>
      </c>
      <c r="W247" s="1116">
        <f t="shared" si="691"/>
        <v>0</v>
      </c>
      <c r="X247" s="1117">
        <f t="shared" si="633"/>
        <v>0</v>
      </c>
      <c r="Y247" s="1117">
        <f t="shared" si="634"/>
        <v>0</v>
      </c>
      <c r="Z247" s="1117">
        <f t="shared" si="635"/>
        <v>0</v>
      </c>
      <c r="AA247" s="1073"/>
      <c r="AD247" s="1129">
        <f>VLOOKUP($A247,'New Resources - Individual'!$A$4:$Y$133,AD$2,FALSE)*AD$1</f>
        <v>0</v>
      </c>
      <c r="AE247" s="1116">
        <f t="shared" si="692"/>
        <v>0</v>
      </c>
      <c r="AF247" s="1117">
        <f t="shared" si="636"/>
        <v>0</v>
      </c>
      <c r="AG247" s="1117">
        <f t="shared" si="637"/>
        <v>0</v>
      </c>
      <c r="AH247" s="1117">
        <f t="shared" si="638"/>
        <v>0</v>
      </c>
      <c r="AI247" s="1073"/>
      <c r="AL247" s="1129">
        <f>VLOOKUP($A247,'New Resources - Individual'!$A$4:$Y$133,AL$2,FALSE)*AL$1</f>
        <v>0</v>
      </c>
      <c r="AM247" s="1116">
        <f t="shared" si="693"/>
        <v>0</v>
      </c>
      <c r="AN247" s="1117">
        <f t="shared" si="639"/>
        <v>0</v>
      </c>
      <c r="AO247" s="1117">
        <f t="shared" si="640"/>
        <v>0</v>
      </c>
      <c r="AP247" s="1117">
        <f t="shared" si="641"/>
        <v>0</v>
      </c>
      <c r="AQ247" s="1073"/>
      <c r="AT247" s="1129">
        <f>VLOOKUP($A247,'New Resources - Individual'!$A$4:$Y$133,AT$2,FALSE)*AT$1</f>
        <v>0</v>
      </c>
      <c r="AU247" s="1116">
        <f t="shared" si="694"/>
        <v>0</v>
      </c>
      <c r="AV247" s="1117">
        <f t="shared" si="642"/>
        <v>0</v>
      </c>
      <c r="AW247" s="1117">
        <f t="shared" si="643"/>
        <v>0</v>
      </c>
      <c r="AX247" s="1117">
        <f t="shared" si="644"/>
        <v>0</v>
      </c>
      <c r="AY247" s="1073"/>
      <c r="BB247" s="1129">
        <f>VLOOKUP($A247,'New Resources - Individual'!$A$4:$Y$133,BB$2,FALSE)*BB$1</f>
        <v>0</v>
      </c>
      <c r="BC247" s="1116">
        <f t="shared" si="695"/>
        <v>0</v>
      </c>
      <c r="BD247" s="1117">
        <f t="shared" si="645"/>
        <v>0</v>
      </c>
      <c r="BE247" s="1117">
        <f t="shared" si="646"/>
        <v>0</v>
      </c>
      <c r="BF247" s="1117">
        <f t="shared" si="647"/>
        <v>0</v>
      </c>
      <c r="BG247" s="1073"/>
      <c r="BJ247" s="1129">
        <f>VLOOKUP($A247,'New Resources - Individual'!$A$4:$Y$133,BJ$2,FALSE)*BJ$1</f>
        <v>0</v>
      </c>
      <c r="BK247" s="1116">
        <f t="shared" si="696"/>
        <v>0</v>
      </c>
      <c r="BL247" s="1117">
        <f t="shared" si="648"/>
        <v>0</v>
      </c>
      <c r="BM247" s="1117">
        <f t="shared" si="649"/>
        <v>0</v>
      </c>
      <c r="BN247" s="1117">
        <f t="shared" si="650"/>
        <v>0</v>
      </c>
      <c r="BO247" s="1073"/>
      <c r="BR247" s="1129">
        <f>VLOOKUP($A247,'New Resources - Individual'!$A$4:$Y$133,BR$2,FALSE)*BR$1</f>
        <v>0</v>
      </c>
      <c r="BS247" s="1116">
        <f t="shared" si="697"/>
        <v>0</v>
      </c>
      <c r="BT247" s="1117">
        <f t="shared" si="651"/>
        <v>0</v>
      </c>
      <c r="BU247" s="1117">
        <f t="shared" si="652"/>
        <v>0</v>
      </c>
      <c r="BV247" s="1117">
        <f t="shared" si="653"/>
        <v>0</v>
      </c>
      <c r="BW247" s="1073"/>
      <c r="BZ247" s="1129">
        <f>VLOOKUP($A247,'New Resources - Individual'!$A$4:$Y$133,BZ$2,FALSE)*BZ$1</f>
        <v>0</v>
      </c>
      <c r="CA247" s="1116">
        <f t="shared" si="698"/>
        <v>0</v>
      </c>
      <c r="CB247" s="1117">
        <f t="shared" si="654"/>
        <v>0</v>
      </c>
      <c r="CC247" s="1117">
        <f t="shared" si="655"/>
        <v>0</v>
      </c>
      <c r="CD247" s="1117">
        <f t="shared" si="656"/>
        <v>0</v>
      </c>
      <c r="CE247" s="1073"/>
      <c r="CH247" s="1129">
        <f>VLOOKUP($A247,'New Resources - Individual'!$A$4:$Y$133,CH$2,FALSE)*CH$1</f>
        <v>0</v>
      </c>
      <c r="CI247" s="1116">
        <f t="shared" si="699"/>
        <v>0</v>
      </c>
      <c r="CJ247" s="1117">
        <f t="shared" si="657"/>
        <v>0</v>
      </c>
      <c r="CK247" s="1117">
        <f t="shared" si="658"/>
        <v>0</v>
      </c>
      <c r="CL247" s="1117">
        <f t="shared" si="659"/>
        <v>0</v>
      </c>
      <c r="CM247" s="1073"/>
      <c r="CP247" s="1129">
        <f>VLOOKUP($A247,'New Resources - Individual'!$A$4:$Y$133,CP$2,FALSE)*CP$1</f>
        <v>0</v>
      </c>
      <c r="CQ247" s="1116">
        <f t="shared" si="700"/>
        <v>0</v>
      </c>
      <c r="CR247" s="1117">
        <f t="shared" si="660"/>
        <v>0</v>
      </c>
      <c r="CS247" s="1117">
        <f t="shared" si="661"/>
        <v>0</v>
      </c>
      <c r="CT247" s="1117">
        <f t="shared" si="662"/>
        <v>0</v>
      </c>
      <c r="CU247" s="1073"/>
      <c r="CX247" s="1129">
        <f>VLOOKUP($A247,'New Resources - Individual'!$A$4:$Y$133,CX$2,FALSE)*CX$1</f>
        <v>0</v>
      </c>
      <c r="CY247" s="1116">
        <f t="shared" si="701"/>
        <v>0</v>
      </c>
      <c r="CZ247" s="1117">
        <f t="shared" si="663"/>
        <v>0</v>
      </c>
      <c r="DA247" s="1117">
        <f t="shared" si="664"/>
        <v>0</v>
      </c>
      <c r="DB247" s="1117">
        <f t="shared" si="665"/>
        <v>0</v>
      </c>
      <c r="DC247" s="1073"/>
      <c r="DF247" s="1129">
        <f>VLOOKUP($A247,'New Resources - Individual'!$A$4:$Y$133,DF$2,FALSE)*DF$1</f>
        <v>0</v>
      </c>
      <c r="DG247" s="1116">
        <f t="shared" si="702"/>
        <v>0</v>
      </c>
      <c r="DH247" s="1117">
        <f t="shared" si="666"/>
        <v>0</v>
      </c>
      <c r="DI247" s="1117">
        <f t="shared" si="667"/>
        <v>0</v>
      </c>
      <c r="DJ247" s="1117">
        <f t="shared" si="668"/>
        <v>0</v>
      </c>
      <c r="DK247" s="1073"/>
      <c r="DN247" s="1129">
        <f>VLOOKUP($A247,'New Resources - Individual'!$A$4:$Y$133,DN$2,FALSE)*DN$1</f>
        <v>0</v>
      </c>
      <c r="DO247" s="1116">
        <f t="shared" si="703"/>
        <v>0</v>
      </c>
      <c r="DP247" s="1117">
        <f t="shared" si="669"/>
        <v>0</v>
      </c>
      <c r="DQ247" s="1117">
        <f t="shared" si="670"/>
        <v>0</v>
      </c>
      <c r="DR247" s="1117">
        <f t="shared" si="671"/>
        <v>0</v>
      </c>
      <c r="DS247" s="1073"/>
      <c r="DV247" s="1129">
        <f>VLOOKUP($A247,'New Resources - Individual'!$A$4:$Y$133,DV$2,FALSE)*DV$1</f>
        <v>0</v>
      </c>
      <c r="DW247" s="1116">
        <f t="shared" si="704"/>
        <v>0</v>
      </c>
      <c r="DX247" s="1117">
        <f t="shared" si="672"/>
        <v>0</v>
      </c>
      <c r="DY247" s="1117">
        <f t="shared" si="673"/>
        <v>0</v>
      </c>
      <c r="DZ247" s="1117">
        <f t="shared" si="674"/>
        <v>0</v>
      </c>
      <c r="EA247" s="1073"/>
      <c r="ED247" s="1129">
        <f>VLOOKUP($A247,'New Resources - Individual'!$A$4:$Y$133,ED$2,FALSE)*ED$1</f>
        <v>0</v>
      </c>
      <c r="EE247" s="1116">
        <f t="shared" si="705"/>
        <v>0</v>
      </c>
      <c r="EF247" s="1117">
        <f t="shared" si="675"/>
        <v>0</v>
      </c>
      <c r="EG247" s="1117">
        <f t="shared" si="676"/>
        <v>0</v>
      </c>
      <c r="EH247" s="1117">
        <f t="shared" si="677"/>
        <v>0</v>
      </c>
      <c r="EI247" s="1073"/>
      <c r="EL247" s="1129">
        <f>VLOOKUP($A247,'New Resources - Individual'!$A$4:$Y$133,EL$2,FALSE)*EL$1</f>
        <v>0</v>
      </c>
      <c r="EM247" s="1116">
        <f t="shared" si="706"/>
        <v>0</v>
      </c>
      <c r="EN247" s="1117">
        <f t="shared" si="678"/>
        <v>0</v>
      </c>
      <c r="EO247" s="1117">
        <f t="shared" si="679"/>
        <v>0</v>
      </c>
      <c r="EP247" s="1117">
        <f t="shared" si="680"/>
        <v>0</v>
      </c>
      <c r="EQ247" s="1073"/>
      <c r="ET247" s="1129">
        <f>VLOOKUP($A247,'New Resources - Individual'!$A$4:$Y$133,ET$2,FALSE)*ET$1</f>
        <v>0</v>
      </c>
      <c r="EU247" s="1116">
        <f t="shared" si="707"/>
        <v>0</v>
      </c>
      <c r="EV247" s="1117">
        <f t="shared" si="681"/>
        <v>0</v>
      </c>
      <c r="EW247" s="1117">
        <f t="shared" si="682"/>
        <v>0</v>
      </c>
      <c r="EX247" s="1117">
        <f t="shared" si="683"/>
        <v>0</v>
      </c>
      <c r="EY247" s="1073"/>
      <c r="FB247" s="1129">
        <f>VLOOKUP($A247,'New Resources - Individual'!$A$4:$Y$133,FB$2,FALSE)*FB$1</f>
        <v>0</v>
      </c>
      <c r="FC247" s="1116">
        <f t="shared" si="708"/>
        <v>0</v>
      </c>
      <c r="FD247" s="1117">
        <f t="shared" si="684"/>
        <v>0</v>
      </c>
      <c r="FE247" s="1117">
        <f t="shared" si="685"/>
        <v>0</v>
      </c>
      <c r="FF247" s="1117">
        <f t="shared" si="686"/>
        <v>0</v>
      </c>
      <c r="FG247" s="1073"/>
      <c r="FJ247" s="1129">
        <f>VLOOKUP($A247,'New Resources - Individual'!$A$4:$Y$133,FJ$2,FALSE)*FJ$1</f>
        <v>0</v>
      </c>
      <c r="FK247" s="1116">
        <f t="shared" si="709"/>
        <v>0</v>
      </c>
      <c r="FL247" s="1117">
        <f t="shared" si="687"/>
        <v>0</v>
      </c>
      <c r="FM247" s="1117">
        <f t="shared" si="688"/>
        <v>0</v>
      </c>
      <c r="FN247" s="1117">
        <f t="shared" si="689"/>
        <v>0</v>
      </c>
      <c r="FO247" s="1073"/>
    </row>
    <row r="248" spans="1:171">
      <c r="A248" s="1392">
        <v>600</v>
      </c>
      <c r="B248" s="913" t="s">
        <v>137</v>
      </c>
      <c r="C248" s="888">
        <v>336</v>
      </c>
      <c r="D248" s="888">
        <v>403</v>
      </c>
      <c r="E248" s="182" t="str">
        <f>'Sch 3 - Expenses'!E88</f>
        <v>PROD</v>
      </c>
      <c r="F248" s="889"/>
      <c r="G248" s="182">
        <f>'Sch 3 - Expenses'!G88</f>
        <v>11041726</v>
      </c>
      <c r="H248" s="182">
        <f>'Sch 3 - Expenses'!H88</f>
        <v>11041726</v>
      </c>
      <c r="I248" s="182">
        <f>'Sch 3 - Expenses'!I88</f>
        <v>0</v>
      </c>
      <c r="J248" s="183">
        <f>'Sch 3 - Expenses'!J88</f>
        <v>0</v>
      </c>
      <c r="K248" s="903">
        <f t="shared" si="629"/>
        <v>1</v>
      </c>
      <c r="N248" s="1129">
        <f>VLOOKUP($A248,'New Resources - Individual'!$A$4:$Y$133,N$2,FALSE)*N$1</f>
        <v>0</v>
      </c>
      <c r="O248" s="1116">
        <f t="shared" si="690"/>
        <v>11041726</v>
      </c>
      <c r="P248" s="1117">
        <f t="shared" si="630"/>
        <v>11041726</v>
      </c>
      <c r="Q248" s="1117">
        <f t="shared" si="631"/>
        <v>0</v>
      </c>
      <c r="R248" s="1117">
        <f t="shared" si="632"/>
        <v>0</v>
      </c>
      <c r="S248" s="1073"/>
      <c r="V248" s="1129">
        <f>VLOOKUP($A248,'New Resources - Individual'!$A$4:$Y$133,V$2,FALSE)*V$1</f>
        <v>0</v>
      </c>
      <c r="W248" s="1116">
        <f t="shared" si="691"/>
        <v>11041726</v>
      </c>
      <c r="X248" s="1117">
        <f t="shared" si="633"/>
        <v>11041726</v>
      </c>
      <c r="Y248" s="1117">
        <f t="shared" si="634"/>
        <v>0</v>
      </c>
      <c r="Z248" s="1117">
        <f t="shared" si="635"/>
        <v>0</v>
      </c>
      <c r="AA248" s="1073"/>
      <c r="AD248" s="1129">
        <f>VLOOKUP($A248,'New Resources - Individual'!$A$4:$Y$133,AD$2,FALSE)*AD$1</f>
        <v>0</v>
      </c>
      <c r="AE248" s="1116">
        <f t="shared" si="692"/>
        <v>11041726</v>
      </c>
      <c r="AF248" s="1117">
        <f t="shared" si="636"/>
        <v>11041726</v>
      </c>
      <c r="AG248" s="1117">
        <f t="shared" si="637"/>
        <v>0</v>
      </c>
      <c r="AH248" s="1117">
        <f t="shared" si="638"/>
        <v>0</v>
      </c>
      <c r="AI248" s="1073"/>
      <c r="AL248" s="1129">
        <f>VLOOKUP($A248,'New Resources - Individual'!$A$4:$Y$133,AL$2,FALSE)*AL$1</f>
        <v>0</v>
      </c>
      <c r="AM248" s="1116">
        <f t="shared" si="693"/>
        <v>11041726</v>
      </c>
      <c r="AN248" s="1117">
        <f t="shared" si="639"/>
        <v>11041726</v>
      </c>
      <c r="AO248" s="1117">
        <f t="shared" si="640"/>
        <v>0</v>
      </c>
      <c r="AP248" s="1117">
        <f t="shared" si="641"/>
        <v>0</v>
      </c>
      <c r="AQ248" s="1073"/>
      <c r="AT248" s="1129">
        <f>VLOOKUP($A248,'New Resources - Individual'!$A$4:$Y$133,AT$2,FALSE)*AT$1</f>
        <v>0</v>
      </c>
      <c r="AU248" s="1116">
        <f t="shared" si="694"/>
        <v>11041726</v>
      </c>
      <c r="AV248" s="1117">
        <f t="shared" si="642"/>
        <v>11041726</v>
      </c>
      <c r="AW248" s="1117">
        <f t="shared" si="643"/>
        <v>0</v>
      </c>
      <c r="AX248" s="1117">
        <f t="shared" si="644"/>
        <v>0</v>
      </c>
      <c r="AY248" s="1073"/>
      <c r="BB248" s="1129">
        <f>VLOOKUP($A248,'New Resources - Individual'!$A$4:$Y$133,BB$2,FALSE)*BB$1</f>
        <v>0</v>
      </c>
      <c r="BC248" s="1116">
        <f t="shared" si="695"/>
        <v>11041726</v>
      </c>
      <c r="BD248" s="1117">
        <f t="shared" si="645"/>
        <v>11041726</v>
      </c>
      <c r="BE248" s="1117">
        <f t="shared" si="646"/>
        <v>0</v>
      </c>
      <c r="BF248" s="1117">
        <f t="shared" si="647"/>
        <v>0</v>
      </c>
      <c r="BG248" s="1073"/>
      <c r="BJ248" s="1129">
        <f>VLOOKUP($A248,'New Resources - Individual'!$A$4:$Y$133,BJ$2,FALSE)*BJ$1</f>
        <v>0</v>
      </c>
      <c r="BK248" s="1116">
        <f t="shared" si="696"/>
        <v>11041726</v>
      </c>
      <c r="BL248" s="1117">
        <f t="shared" si="648"/>
        <v>11041726</v>
      </c>
      <c r="BM248" s="1117">
        <f t="shared" si="649"/>
        <v>0</v>
      </c>
      <c r="BN248" s="1117">
        <f t="shared" si="650"/>
        <v>0</v>
      </c>
      <c r="BO248" s="1073"/>
      <c r="BR248" s="1129">
        <f>VLOOKUP($A248,'New Resources - Individual'!$A$4:$Y$133,BR$2,FALSE)*BR$1</f>
        <v>0</v>
      </c>
      <c r="BS248" s="1116">
        <f t="shared" si="697"/>
        <v>11041726</v>
      </c>
      <c r="BT248" s="1117">
        <f t="shared" si="651"/>
        <v>11041726</v>
      </c>
      <c r="BU248" s="1117">
        <f t="shared" si="652"/>
        <v>0</v>
      </c>
      <c r="BV248" s="1117">
        <f t="shared" si="653"/>
        <v>0</v>
      </c>
      <c r="BW248" s="1073"/>
      <c r="BZ248" s="1129">
        <f>VLOOKUP($A248,'New Resources - Individual'!$A$4:$Y$133,BZ$2,FALSE)*BZ$1</f>
        <v>0</v>
      </c>
      <c r="CA248" s="1116">
        <f t="shared" si="698"/>
        <v>11041726</v>
      </c>
      <c r="CB248" s="1117">
        <f t="shared" si="654"/>
        <v>11041726</v>
      </c>
      <c r="CC248" s="1117">
        <f t="shared" si="655"/>
        <v>0</v>
      </c>
      <c r="CD248" s="1117">
        <f t="shared" si="656"/>
        <v>0</v>
      </c>
      <c r="CE248" s="1073"/>
      <c r="CH248" s="1129">
        <f>VLOOKUP($A248,'New Resources - Individual'!$A$4:$Y$133,CH$2,FALSE)*CH$1</f>
        <v>0</v>
      </c>
      <c r="CI248" s="1116">
        <f t="shared" si="699"/>
        <v>11041726</v>
      </c>
      <c r="CJ248" s="1117">
        <f t="shared" si="657"/>
        <v>11041726</v>
      </c>
      <c r="CK248" s="1117">
        <f t="shared" si="658"/>
        <v>0</v>
      </c>
      <c r="CL248" s="1117">
        <f t="shared" si="659"/>
        <v>0</v>
      </c>
      <c r="CM248" s="1073"/>
      <c r="CP248" s="1129">
        <f>VLOOKUP($A248,'New Resources - Individual'!$A$4:$Y$133,CP$2,FALSE)*CP$1</f>
        <v>0</v>
      </c>
      <c r="CQ248" s="1116">
        <f t="shared" si="700"/>
        <v>11041726</v>
      </c>
      <c r="CR248" s="1117">
        <f t="shared" si="660"/>
        <v>11041726</v>
      </c>
      <c r="CS248" s="1117">
        <f t="shared" si="661"/>
        <v>0</v>
      </c>
      <c r="CT248" s="1117">
        <f t="shared" si="662"/>
        <v>0</v>
      </c>
      <c r="CU248" s="1073"/>
      <c r="CX248" s="1129">
        <f>VLOOKUP($A248,'New Resources - Individual'!$A$4:$Y$133,CX$2,FALSE)*CX$1</f>
        <v>0</v>
      </c>
      <c r="CY248" s="1116">
        <f t="shared" si="701"/>
        <v>11041726</v>
      </c>
      <c r="CZ248" s="1117">
        <f t="shared" si="663"/>
        <v>11041726</v>
      </c>
      <c r="DA248" s="1117">
        <f t="shared" si="664"/>
        <v>0</v>
      </c>
      <c r="DB248" s="1117">
        <f t="shared" si="665"/>
        <v>0</v>
      </c>
      <c r="DC248" s="1073"/>
      <c r="DF248" s="1129">
        <f>VLOOKUP($A248,'New Resources - Individual'!$A$4:$Y$133,DF$2,FALSE)*DF$1</f>
        <v>0</v>
      </c>
      <c r="DG248" s="1116">
        <f t="shared" si="702"/>
        <v>11041726</v>
      </c>
      <c r="DH248" s="1117">
        <f t="shared" si="666"/>
        <v>11041726</v>
      </c>
      <c r="DI248" s="1117">
        <f t="shared" si="667"/>
        <v>0</v>
      </c>
      <c r="DJ248" s="1117">
        <f t="shared" si="668"/>
        <v>0</v>
      </c>
      <c r="DK248" s="1073"/>
      <c r="DN248" s="1129">
        <f>VLOOKUP($A248,'New Resources - Individual'!$A$4:$Y$133,DN$2,FALSE)*DN$1</f>
        <v>0</v>
      </c>
      <c r="DO248" s="1116">
        <f t="shared" si="703"/>
        <v>11041726</v>
      </c>
      <c r="DP248" s="1117">
        <f t="shared" si="669"/>
        <v>11041726</v>
      </c>
      <c r="DQ248" s="1117">
        <f t="shared" si="670"/>
        <v>0</v>
      </c>
      <c r="DR248" s="1117">
        <f t="shared" si="671"/>
        <v>0</v>
      </c>
      <c r="DS248" s="1073"/>
      <c r="DV248" s="1129">
        <f>VLOOKUP($A248,'New Resources - Individual'!$A$4:$Y$133,DV$2,FALSE)*DV$1</f>
        <v>0</v>
      </c>
      <c r="DW248" s="1116">
        <f t="shared" si="704"/>
        <v>11041726</v>
      </c>
      <c r="DX248" s="1117">
        <f t="shared" si="672"/>
        <v>11041726</v>
      </c>
      <c r="DY248" s="1117">
        <f t="shared" si="673"/>
        <v>0</v>
      </c>
      <c r="DZ248" s="1117">
        <f t="shared" si="674"/>
        <v>0</v>
      </c>
      <c r="EA248" s="1073"/>
      <c r="ED248" s="1129">
        <f>VLOOKUP($A248,'New Resources - Individual'!$A$4:$Y$133,ED$2,FALSE)*ED$1</f>
        <v>0</v>
      </c>
      <c r="EE248" s="1116">
        <f t="shared" si="705"/>
        <v>11041726</v>
      </c>
      <c r="EF248" s="1117">
        <f t="shared" si="675"/>
        <v>11041726</v>
      </c>
      <c r="EG248" s="1117">
        <f t="shared" si="676"/>
        <v>0</v>
      </c>
      <c r="EH248" s="1117">
        <f t="shared" si="677"/>
        <v>0</v>
      </c>
      <c r="EI248" s="1073"/>
      <c r="EL248" s="1129">
        <f>VLOOKUP($A248,'New Resources - Individual'!$A$4:$Y$133,EL$2,FALSE)*EL$1</f>
        <v>0</v>
      </c>
      <c r="EM248" s="1116">
        <f t="shared" si="706"/>
        <v>11041726</v>
      </c>
      <c r="EN248" s="1117">
        <f t="shared" si="678"/>
        <v>11041726</v>
      </c>
      <c r="EO248" s="1117">
        <f t="shared" si="679"/>
        <v>0</v>
      </c>
      <c r="EP248" s="1117">
        <f t="shared" si="680"/>
        <v>0</v>
      </c>
      <c r="EQ248" s="1073"/>
      <c r="ET248" s="1129">
        <f>VLOOKUP($A248,'New Resources - Individual'!$A$4:$Y$133,ET$2,FALSE)*ET$1</f>
        <v>0</v>
      </c>
      <c r="EU248" s="1116">
        <f t="shared" si="707"/>
        <v>11041726</v>
      </c>
      <c r="EV248" s="1117">
        <f t="shared" si="681"/>
        <v>11041726</v>
      </c>
      <c r="EW248" s="1117">
        <f t="shared" si="682"/>
        <v>0</v>
      </c>
      <c r="EX248" s="1117">
        <f t="shared" si="683"/>
        <v>0</v>
      </c>
      <c r="EY248" s="1073"/>
      <c r="FB248" s="1129">
        <f>VLOOKUP($A248,'New Resources - Individual'!$A$4:$Y$133,FB$2,FALSE)*FB$1</f>
        <v>0</v>
      </c>
      <c r="FC248" s="1116">
        <f t="shared" si="708"/>
        <v>11041726</v>
      </c>
      <c r="FD248" s="1117">
        <f t="shared" si="684"/>
        <v>11041726</v>
      </c>
      <c r="FE248" s="1117">
        <f t="shared" si="685"/>
        <v>0</v>
      </c>
      <c r="FF248" s="1117">
        <f t="shared" si="686"/>
        <v>0</v>
      </c>
      <c r="FG248" s="1073"/>
      <c r="FJ248" s="1129">
        <f>VLOOKUP($A248,'New Resources - Individual'!$A$4:$Y$133,FJ$2,FALSE)*FJ$1</f>
        <v>0</v>
      </c>
      <c r="FK248" s="1116">
        <f t="shared" si="709"/>
        <v>11041726</v>
      </c>
      <c r="FL248" s="1117">
        <f t="shared" si="687"/>
        <v>11041726</v>
      </c>
      <c r="FM248" s="1117">
        <f t="shared" si="688"/>
        <v>0</v>
      </c>
      <c r="FN248" s="1117">
        <f t="shared" si="689"/>
        <v>0</v>
      </c>
      <c r="FO248" s="1073"/>
    </row>
    <row r="249" spans="1:171">
      <c r="A249" s="1392">
        <v>910</v>
      </c>
      <c r="B249" s="913" t="s">
        <v>143</v>
      </c>
      <c r="C249" s="888">
        <v>336</v>
      </c>
      <c r="D249" s="888">
        <v>403</v>
      </c>
      <c r="E249" s="182" t="str">
        <f>'Sch 3 - Expenses'!E89</f>
        <v>TRANS</v>
      </c>
      <c r="F249" s="889"/>
      <c r="G249" s="182">
        <f>'Sch 3 - Expenses'!G89</f>
        <v>21064671</v>
      </c>
      <c r="H249" s="182">
        <f>'Sch 3 - Expenses'!H89</f>
        <v>0</v>
      </c>
      <c r="I249" s="182">
        <f>'Sch 3 - Expenses'!I89</f>
        <v>0</v>
      </c>
      <c r="J249" s="183">
        <f>'Sch 3 - Expenses'!J89</f>
        <v>21064671</v>
      </c>
      <c r="K249" s="903">
        <f t="shared" si="629"/>
        <v>1</v>
      </c>
      <c r="N249" s="1129">
        <f>VLOOKUP($A249,'New Resources - Individual'!$A$4:$Y$133,N$2,FALSE)*N$1</f>
        <v>0</v>
      </c>
      <c r="O249" s="1116">
        <f t="shared" si="690"/>
        <v>21064671</v>
      </c>
      <c r="P249" s="1117">
        <f t="shared" si="630"/>
        <v>0</v>
      </c>
      <c r="Q249" s="1117">
        <f t="shared" si="631"/>
        <v>21064671</v>
      </c>
      <c r="R249" s="1117">
        <f t="shared" si="632"/>
        <v>0</v>
      </c>
      <c r="S249" s="1073"/>
      <c r="V249" s="1129">
        <f>VLOOKUP($A249,'New Resources - Individual'!$A$4:$Y$133,V$2,FALSE)*V$1</f>
        <v>0</v>
      </c>
      <c r="W249" s="1116">
        <f t="shared" si="691"/>
        <v>21064671</v>
      </c>
      <c r="X249" s="1117">
        <f t="shared" si="633"/>
        <v>0</v>
      </c>
      <c r="Y249" s="1117">
        <f t="shared" si="634"/>
        <v>21064671</v>
      </c>
      <c r="Z249" s="1117">
        <f t="shared" si="635"/>
        <v>0</v>
      </c>
      <c r="AA249" s="1073"/>
      <c r="AD249" s="1129">
        <f>VLOOKUP($A249,'New Resources - Individual'!$A$4:$Y$133,AD$2,FALSE)*AD$1</f>
        <v>0</v>
      </c>
      <c r="AE249" s="1116">
        <f t="shared" si="692"/>
        <v>21064671</v>
      </c>
      <c r="AF249" s="1117">
        <f t="shared" si="636"/>
        <v>0</v>
      </c>
      <c r="AG249" s="1117">
        <f t="shared" si="637"/>
        <v>21064671</v>
      </c>
      <c r="AH249" s="1117">
        <f t="shared" si="638"/>
        <v>0</v>
      </c>
      <c r="AI249" s="1073"/>
      <c r="AL249" s="1129">
        <f>VLOOKUP($A249,'New Resources - Individual'!$A$4:$Y$133,AL$2,FALSE)*AL$1</f>
        <v>0</v>
      </c>
      <c r="AM249" s="1116">
        <f t="shared" si="693"/>
        <v>21064671</v>
      </c>
      <c r="AN249" s="1117">
        <f t="shared" si="639"/>
        <v>0</v>
      </c>
      <c r="AO249" s="1117">
        <f t="shared" si="640"/>
        <v>21064671</v>
      </c>
      <c r="AP249" s="1117">
        <f t="shared" si="641"/>
        <v>0</v>
      </c>
      <c r="AQ249" s="1073"/>
      <c r="AT249" s="1129">
        <f>VLOOKUP($A249,'New Resources - Individual'!$A$4:$Y$133,AT$2,FALSE)*AT$1</f>
        <v>0</v>
      </c>
      <c r="AU249" s="1116">
        <f t="shared" si="694"/>
        <v>21064671</v>
      </c>
      <c r="AV249" s="1117">
        <f t="shared" si="642"/>
        <v>0</v>
      </c>
      <c r="AW249" s="1117">
        <f t="shared" si="643"/>
        <v>21064671</v>
      </c>
      <c r="AX249" s="1117">
        <f t="shared" si="644"/>
        <v>0</v>
      </c>
      <c r="AY249" s="1073"/>
      <c r="BB249" s="1129">
        <f>VLOOKUP($A249,'New Resources - Individual'!$A$4:$Y$133,BB$2,FALSE)*BB$1</f>
        <v>0</v>
      </c>
      <c r="BC249" s="1116">
        <f t="shared" si="695"/>
        <v>21064671</v>
      </c>
      <c r="BD249" s="1117">
        <f t="shared" si="645"/>
        <v>0</v>
      </c>
      <c r="BE249" s="1117">
        <f t="shared" si="646"/>
        <v>21064671</v>
      </c>
      <c r="BF249" s="1117">
        <f t="shared" si="647"/>
        <v>0</v>
      </c>
      <c r="BG249" s="1073"/>
      <c r="BJ249" s="1129">
        <f>VLOOKUP($A249,'New Resources - Individual'!$A$4:$Y$133,BJ$2,FALSE)*BJ$1</f>
        <v>0</v>
      </c>
      <c r="BK249" s="1116">
        <f t="shared" si="696"/>
        <v>21064671</v>
      </c>
      <c r="BL249" s="1117">
        <f t="shared" si="648"/>
        <v>0</v>
      </c>
      <c r="BM249" s="1117">
        <f t="shared" si="649"/>
        <v>21064671</v>
      </c>
      <c r="BN249" s="1117">
        <f t="shared" si="650"/>
        <v>0</v>
      </c>
      <c r="BO249" s="1073"/>
      <c r="BR249" s="1129">
        <f>VLOOKUP($A249,'New Resources - Individual'!$A$4:$Y$133,BR$2,FALSE)*BR$1</f>
        <v>0</v>
      </c>
      <c r="BS249" s="1116">
        <f t="shared" si="697"/>
        <v>21064671</v>
      </c>
      <c r="BT249" s="1117">
        <f t="shared" si="651"/>
        <v>0</v>
      </c>
      <c r="BU249" s="1117">
        <f t="shared" si="652"/>
        <v>21064671</v>
      </c>
      <c r="BV249" s="1117">
        <f t="shared" si="653"/>
        <v>0</v>
      </c>
      <c r="BW249" s="1073"/>
      <c r="BZ249" s="1129">
        <f>VLOOKUP($A249,'New Resources - Individual'!$A$4:$Y$133,BZ$2,FALSE)*BZ$1</f>
        <v>0</v>
      </c>
      <c r="CA249" s="1116">
        <f t="shared" si="698"/>
        <v>21064671</v>
      </c>
      <c r="CB249" s="1117">
        <f t="shared" si="654"/>
        <v>0</v>
      </c>
      <c r="CC249" s="1117">
        <f t="shared" si="655"/>
        <v>21064671</v>
      </c>
      <c r="CD249" s="1117">
        <f t="shared" si="656"/>
        <v>0</v>
      </c>
      <c r="CE249" s="1073"/>
      <c r="CH249" s="1129">
        <f>VLOOKUP($A249,'New Resources - Individual'!$A$4:$Y$133,CH$2,FALSE)*CH$1</f>
        <v>0</v>
      </c>
      <c r="CI249" s="1116">
        <f t="shared" si="699"/>
        <v>21064671</v>
      </c>
      <c r="CJ249" s="1117">
        <f t="shared" si="657"/>
        <v>0</v>
      </c>
      <c r="CK249" s="1117">
        <f t="shared" si="658"/>
        <v>21064671</v>
      </c>
      <c r="CL249" s="1117">
        <f t="shared" si="659"/>
        <v>0</v>
      </c>
      <c r="CM249" s="1073"/>
      <c r="CP249" s="1129">
        <f>VLOOKUP($A249,'New Resources - Individual'!$A$4:$Y$133,CP$2,FALSE)*CP$1</f>
        <v>0</v>
      </c>
      <c r="CQ249" s="1116">
        <f t="shared" si="700"/>
        <v>21064671</v>
      </c>
      <c r="CR249" s="1117">
        <f t="shared" si="660"/>
        <v>0</v>
      </c>
      <c r="CS249" s="1117">
        <f t="shared" si="661"/>
        <v>21064671</v>
      </c>
      <c r="CT249" s="1117">
        <f t="shared" si="662"/>
        <v>0</v>
      </c>
      <c r="CU249" s="1073"/>
      <c r="CX249" s="1129">
        <f>VLOOKUP($A249,'New Resources - Individual'!$A$4:$Y$133,CX$2,FALSE)*CX$1</f>
        <v>0</v>
      </c>
      <c r="CY249" s="1116">
        <f t="shared" si="701"/>
        <v>21064671</v>
      </c>
      <c r="CZ249" s="1117">
        <f t="shared" si="663"/>
        <v>0</v>
      </c>
      <c r="DA249" s="1117">
        <f t="shared" si="664"/>
        <v>21064671</v>
      </c>
      <c r="DB249" s="1117">
        <f t="shared" si="665"/>
        <v>0</v>
      </c>
      <c r="DC249" s="1073"/>
      <c r="DF249" s="1129">
        <f>VLOOKUP($A249,'New Resources - Individual'!$A$4:$Y$133,DF$2,FALSE)*DF$1</f>
        <v>0</v>
      </c>
      <c r="DG249" s="1116">
        <f t="shared" si="702"/>
        <v>21064671</v>
      </c>
      <c r="DH249" s="1117">
        <f t="shared" si="666"/>
        <v>0</v>
      </c>
      <c r="DI249" s="1117">
        <f t="shared" si="667"/>
        <v>21064671</v>
      </c>
      <c r="DJ249" s="1117">
        <f t="shared" si="668"/>
        <v>0</v>
      </c>
      <c r="DK249" s="1073"/>
      <c r="DN249" s="1129">
        <f>VLOOKUP($A249,'New Resources - Individual'!$A$4:$Y$133,DN$2,FALSE)*DN$1</f>
        <v>0</v>
      </c>
      <c r="DO249" s="1116">
        <f t="shared" si="703"/>
        <v>21064671</v>
      </c>
      <c r="DP249" s="1117">
        <f t="shared" si="669"/>
        <v>0</v>
      </c>
      <c r="DQ249" s="1117">
        <f t="shared" si="670"/>
        <v>21064671</v>
      </c>
      <c r="DR249" s="1117">
        <f t="shared" si="671"/>
        <v>0</v>
      </c>
      <c r="DS249" s="1073"/>
      <c r="DV249" s="1129">
        <f>VLOOKUP($A249,'New Resources - Individual'!$A$4:$Y$133,DV$2,FALSE)*DV$1</f>
        <v>0</v>
      </c>
      <c r="DW249" s="1116">
        <f t="shared" si="704"/>
        <v>21064671</v>
      </c>
      <c r="DX249" s="1117">
        <f t="shared" si="672"/>
        <v>0</v>
      </c>
      <c r="DY249" s="1117">
        <f t="shared" si="673"/>
        <v>21064671</v>
      </c>
      <c r="DZ249" s="1117">
        <f t="shared" si="674"/>
        <v>0</v>
      </c>
      <c r="EA249" s="1073"/>
      <c r="ED249" s="1129">
        <f>VLOOKUP($A249,'New Resources - Individual'!$A$4:$Y$133,ED$2,FALSE)*ED$1</f>
        <v>0</v>
      </c>
      <c r="EE249" s="1116">
        <f t="shared" si="705"/>
        <v>21064671</v>
      </c>
      <c r="EF249" s="1117">
        <f t="shared" si="675"/>
        <v>0</v>
      </c>
      <c r="EG249" s="1117">
        <f t="shared" si="676"/>
        <v>21064671</v>
      </c>
      <c r="EH249" s="1117">
        <f t="shared" si="677"/>
        <v>0</v>
      </c>
      <c r="EI249" s="1073"/>
      <c r="EL249" s="1129">
        <f>VLOOKUP($A249,'New Resources - Individual'!$A$4:$Y$133,EL$2,FALSE)*EL$1</f>
        <v>0</v>
      </c>
      <c r="EM249" s="1116">
        <f t="shared" si="706"/>
        <v>21064671</v>
      </c>
      <c r="EN249" s="1117">
        <f t="shared" si="678"/>
        <v>0</v>
      </c>
      <c r="EO249" s="1117">
        <f t="shared" si="679"/>
        <v>21064671</v>
      </c>
      <c r="EP249" s="1117">
        <f t="shared" si="680"/>
        <v>0</v>
      </c>
      <c r="EQ249" s="1073"/>
      <c r="ET249" s="1129">
        <f>VLOOKUP($A249,'New Resources - Individual'!$A$4:$Y$133,ET$2,FALSE)*ET$1</f>
        <v>0</v>
      </c>
      <c r="EU249" s="1116">
        <f t="shared" si="707"/>
        <v>21064671</v>
      </c>
      <c r="EV249" s="1117">
        <f t="shared" si="681"/>
        <v>0</v>
      </c>
      <c r="EW249" s="1117">
        <f t="shared" si="682"/>
        <v>21064671</v>
      </c>
      <c r="EX249" s="1117">
        <f t="shared" si="683"/>
        <v>0</v>
      </c>
      <c r="EY249" s="1073"/>
      <c r="FB249" s="1129">
        <f>VLOOKUP($A249,'New Resources - Individual'!$A$4:$Y$133,FB$2,FALSE)*FB$1</f>
        <v>0</v>
      </c>
      <c r="FC249" s="1116">
        <f t="shared" si="708"/>
        <v>21064671</v>
      </c>
      <c r="FD249" s="1117">
        <f t="shared" si="684"/>
        <v>0</v>
      </c>
      <c r="FE249" s="1117">
        <f t="shared" si="685"/>
        <v>21064671</v>
      </c>
      <c r="FF249" s="1117">
        <f t="shared" si="686"/>
        <v>0</v>
      </c>
      <c r="FG249" s="1073"/>
      <c r="FJ249" s="1129">
        <f>VLOOKUP($A249,'New Resources - Individual'!$A$4:$Y$133,FJ$2,FALSE)*FJ$1</f>
        <v>0</v>
      </c>
      <c r="FK249" s="1116">
        <f t="shared" si="709"/>
        <v>21064671</v>
      </c>
      <c r="FL249" s="1117">
        <f t="shared" si="687"/>
        <v>0</v>
      </c>
      <c r="FM249" s="1117">
        <f t="shared" si="688"/>
        <v>21064671</v>
      </c>
      <c r="FN249" s="1117">
        <f t="shared" si="689"/>
        <v>0</v>
      </c>
      <c r="FO249" s="1073"/>
    </row>
    <row r="250" spans="1:171">
      <c r="A250" s="944"/>
      <c r="B250" s="913" t="s">
        <v>474</v>
      </c>
      <c r="C250" s="888">
        <v>336</v>
      </c>
      <c r="D250" s="888">
        <v>403</v>
      </c>
      <c r="E250" s="182" t="str">
        <f>'Sch 3 - Expenses'!E90</f>
        <v>DIST</v>
      </c>
      <c r="F250" s="889"/>
      <c r="G250" s="182">
        <f>'Sch 3 - Expenses'!G90</f>
        <v>60509580</v>
      </c>
      <c r="H250" s="182">
        <f>'Sch 3 - Expenses'!H90</f>
        <v>0</v>
      </c>
      <c r="I250" s="182">
        <f>'Sch 3 - Expenses'!I90</f>
        <v>0</v>
      </c>
      <c r="J250" s="183">
        <f>'Sch 3 - Expenses'!J90</f>
        <v>60509580</v>
      </c>
      <c r="K250" s="903">
        <f t="shared" si="629"/>
        <v>1</v>
      </c>
      <c r="O250" s="1116">
        <f t="shared" ref="O250:O256" si="710">$G250</f>
        <v>60509580</v>
      </c>
      <c r="P250" s="1117">
        <f t="shared" si="630"/>
        <v>0</v>
      </c>
      <c r="Q250" s="1117">
        <f t="shared" si="631"/>
        <v>0</v>
      </c>
      <c r="R250" s="1117">
        <f t="shared" si="632"/>
        <v>60509580</v>
      </c>
      <c r="S250" s="1073"/>
      <c r="W250" s="1116">
        <f t="shared" ref="W250:W256" si="711">$G250</f>
        <v>60509580</v>
      </c>
      <c r="X250" s="1117">
        <f t="shared" si="633"/>
        <v>0</v>
      </c>
      <c r="Y250" s="1117">
        <f t="shared" si="634"/>
        <v>0</v>
      </c>
      <c r="Z250" s="1117">
        <f t="shared" si="635"/>
        <v>60509580</v>
      </c>
      <c r="AA250" s="1073"/>
      <c r="AE250" s="1116">
        <f t="shared" ref="AE250:AE256" si="712">$G250</f>
        <v>60509580</v>
      </c>
      <c r="AF250" s="1117">
        <f t="shared" si="636"/>
        <v>0</v>
      </c>
      <c r="AG250" s="1117">
        <f t="shared" si="637"/>
        <v>0</v>
      </c>
      <c r="AH250" s="1117">
        <f t="shared" si="638"/>
        <v>60509580</v>
      </c>
      <c r="AI250" s="1073"/>
      <c r="AM250" s="1116">
        <f t="shared" ref="AM250:AM256" si="713">$G250</f>
        <v>60509580</v>
      </c>
      <c r="AN250" s="1117">
        <f t="shared" si="639"/>
        <v>0</v>
      </c>
      <c r="AO250" s="1117">
        <f t="shared" si="640"/>
        <v>0</v>
      </c>
      <c r="AP250" s="1117">
        <f t="shared" si="641"/>
        <v>60509580</v>
      </c>
      <c r="AQ250" s="1073"/>
      <c r="AU250" s="1116">
        <f t="shared" ref="AU250:AU256" si="714">$G250</f>
        <v>60509580</v>
      </c>
      <c r="AV250" s="1117">
        <f t="shared" si="642"/>
        <v>0</v>
      </c>
      <c r="AW250" s="1117">
        <f t="shared" si="643"/>
        <v>0</v>
      </c>
      <c r="AX250" s="1117">
        <f t="shared" si="644"/>
        <v>60509580</v>
      </c>
      <c r="AY250" s="1073"/>
      <c r="BC250" s="1116">
        <f t="shared" ref="BC250:BC256" si="715">$G250</f>
        <v>60509580</v>
      </c>
      <c r="BD250" s="1117">
        <f t="shared" si="645"/>
        <v>0</v>
      </c>
      <c r="BE250" s="1117">
        <f t="shared" si="646"/>
        <v>0</v>
      </c>
      <c r="BF250" s="1117">
        <f t="shared" si="647"/>
        <v>60509580</v>
      </c>
      <c r="BG250" s="1073"/>
      <c r="BK250" s="1116">
        <f t="shared" ref="BK250:BK256" si="716">$G250</f>
        <v>60509580</v>
      </c>
      <c r="BL250" s="1117">
        <f t="shared" si="648"/>
        <v>0</v>
      </c>
      <c r="BM250" s="1117">
        <f t="shared" si="649"/>
        <v>0</v>
      </c>
      <c r="BN250" s="1117">
        <f t="shared" si="650"/>
        <v>60509580</v>
      </c>
      <c r="BO250" s="1073"/>
      <c r="BS250" s="1116">
        <f t="shared" ref="BS250:BS256" si="717">$G250</f>
        <v>60509580</v>
      </c>
      <c r="BT250" s="1117">
        <f t="shared" si="651"/>
        <v>0</v>
      </c>
      <c r="BU250" s="1117">
        <f t="shared" si="652"/>
        <v>0</v>
      </c>
      <c r="BV250" s="1117">
        <f t="shared" si="653"/>
        <v>60509580</v>
      </c>
      <c r="BW250" s="1073"/>
      <c r="CA250" s="1116">
        <f t="shared" ref="CA250:CA256" si="718">$G250</f>
        <v>60509580</v>
      </c>
      <c r="CB250" s="1117">
        <f t="shared" si="654"/>
        <v>0</v>
      </c>
      <c r="CC250" s="1117">
        <f t="shared" si="655"/>
        <v>0</v>
      </c>
      <c r="CD250" s="1117">
        <f t="shared" si="656"/>
        <v>60509580</v>
      </c>
      <c r="CE250" s="1073"/>
      <c r="CI250" s="1116">
        <f t="shared" ref="CI250:CI256" si="719">$G250</f>
        <v>60509580</v>
      </c>
      <c r="CJ250" s="1117">
        <f t="shared" si="657"/>
        <v>0</v>
      </c>
      <c r="CK250" s="1117">
        <f t="shared" si="658"/>
        <v>0</v>
      </c>
      <c r="CL250" s="1117">
        <f t="shared" si="659"/>
        <v>60509580</v>
      </c>
      <c r="CM250" s="1073"/>
      <c r="CQ250" s="1116">
        <f t="shared" ref="CQ250:CQ256" si="720">$G250</f>
        <v>60509580</v>
      </c>
      <c r="CR250" s="1117">
        <f t="shared" si="660"/>
        <v>0</v>
      </c>
      <c r="CS250" s="1117">
        <f t="shared" si="661"/>
        <v>0</v>
      </c>
      <c r="CT250" s="1117">
        <f t="shared" si="662"/>
        <v>60509580</v>
      </c>
      <c r="CU250" s="1073"/>
      <c r="CY250" s="1116">
        <f t="shared" ref="CY250:CY256" si="721">$G250</f>
        <v>60509580</v>
      </c>
      <c r="CZ250" s="1117">
        <f t="shared" si="663"/>
        <v>0</v>
      </c>
      <c r="DA250" s="1117">
        <f t="shared" si="664"/>
        <v>0</v>
      </c>
      <c r="DB250" s="1117">
        <f t="shared" si="665"/>
        <v>60509580</v>
      </c>
      <c r="DC250" s="1073"/>
      <c r="DG250" s="1116">
        <f t="shared" ref="DG250:DG256" si="722">$G250</f>
        <v>60509580</v>
      </c>
      <c r="DH250" s="1117">
        <f t="shared" si="666"/>
        <v>0</v>
      </c>
      <c r="DI250" s="1117">
        <f t="shared" si="667"/>
        <v>0</v>
      </c>
      <c r="DJ250" s="1117">
        <f t="shared" si="668"/>
        <v>60509580</v>
      </c>
      <c r="DK250" s="1073"/>
      <c r="DO250" s="1116">
        <f t="shared" ref="DO250:DO256" si="723">$G250</f>
        <v>60509580</v>
      </c>
      <c r="DP250" s="1117">
        <f t="shared" si="669"/>
        <v>0</v>
      </c>
      <c r="DQ250" s="1117">
        <f t="shared" si="670"/>
        <v>0</v>
      </c>
      <c r="DR250" s="1117">
        <f t="shared" si="671"/>
        <v>60509580</v>
      </c>
      <c r="DS250" s="1073"/>
      <c r="DW250" s="1116">
        <f t="shared" ref="DW250:DW256" si="724">$G250</f>
        <v>60509580</v>
      </c>
      <c r="DX250" s="1117">
        <f t="shared" si="672"/>
        <v>0</v>
      </c>
      <c r="DY250" s="1117">
        <f t="shared" si="673"/>
        <v>0</v>
      </c>
      <c r="DZ250" s="1117">
        <f t="shared" si="674"/>
        <v>60509580</v>
      </c>
      <c r="EA250" s="1073"/>
      <c r="EE250" s="1116">
        <f t="shared" ref="EE250:EE256" si="725">$G250</f>
        <v>60509580</v>
      </c>
      <c r="EF250" s="1117">
        <f t="shared" si="675"/>
        <v>0</v>
      </c>
      <c r="EG250" s="1117">
        <f t="shared" si="676"/>
        <v>0</v>
      </c>
      <c r="EH250" s="1117">
        <f t="shared" si="677"/>
        <v>60509580</v>
      </c>
      <c r="EI250" s="1073"/>
      <c r="EM250" s="1116">
        <f t="shared" ref="EM250:EM256" si="726">$G250</f>
        <v>60509580</v>
      </c>
      <c r="EN250" s="1117">
        <f t="shared" si="678"/>
        <v>0</v>
      </c>
      <c r="EO250" s="1117">
        <f t="shared" si="679"/>
        <v>0</v>
      </c>
      <c r="EP250" s="1117">
        <f t="shared" si="680"/>
        <v>60509580</v>
      </c>
      <c r="EQ250" s="1073"/>
      <c r="EU250" s="1116">
        <f t="shared" ref="EU250:EU256" si="727">$G250</f>
        <v>60509580</v>
      </c>
      <c r="EV250" s="1117">
        <f t="shared" si="681"/>
        <v>0</v>
      </c>
      <c r="EW250" s="1117">
        <f t="shared" si="682"/>
        <v>0</v>
      </c>
      <c r="EX250" s="1117">
        <f t="shared" si="683"/>
        <v>60509580</v>
      </c>
      <c r="EY250" s="1073"/>
      <c r="FC250" s="1116">
        <f t="shared" ref="FC250:FC256" si="728">$G250</f>
        <v>60509580</v>
      </c>
      <c r="FD250" s="1117">
        <f t="shared" si="684"/>
        <v>0</v>
      </c>
      <c r="FE250" s="1117">
        <f t="shared" si="685"/>
        <v>0</v>
      </c>
      <c r="FF250" s="1117">
        <f t="shared" si="686"/>
        <v>60509580</v>
      </c>
      <c r="FG250" s="1073"/>
      <c r="FK250" s="1116">
        <f t="shared" ref="FK250:FK256" si="729">$G250</f>
        <v>60509580</v>
      </c>
      <c r="FL250" s="1117">
        <f t="shared" si="687"/>
        <v>0</v>
      </c>
      <c r="FM250" s="1117">
        <f t="shared" si="688"/>
        <v>0</v>
      </c>
      <c r="FN250" s="1117">
        <f t="shared" si="689"/>
        <v>60509580</v>
      </c>
      <c r="FO250" s="1073"/>
    </row>
    <row r="251" spans="1:171">
      <c r="A251" s="944"/>
      <c r="B251" s="913" t="s">
        <v>92</v>
      </c>
      <c r="C251" s="888">
        <v>336</v>
      </c>
      <c r="D251" s="888">
        <v>403</v>
      </c>
      <c r="E251" s="182" t="str">
        <f>'Sch 3 - Expenses'!E91</f>
        <v>GP</v>
      </c>
      <c r="F251" s="889"/>
      <c r="G251" s="182">
        <f>'Sch 3 - Expenses'!G91</f>
        <v>5172455</v>
      </c>
      <c r="H251" s="182">
        <f>'Sch 3 - Expenses'!H91</f>
        <v>796769.34241722547</v>
      </c>
      <c r="I251" s="182">
        <f>'Sch 3 - Expenses'!I91</f>
        <v>0</v>
      </c>
      <c r="J251" s="183">
        <f>'Sch 3 - Expenses'!J91</f>
        <v>4375685.6575827738</v>
      </c>
      <c r="K251" s="903">
        <f t="shared" si="629"/>
        <v>1</v>
      </c>
      <c r="O251" s="1116">
        <f>($G251/$G50)*O50</f>
        <v>5172455</v>
      </c>
      <c r="P251" s="1117">
        <f t="shared" si="630"/>
        <v>796769.34241722547</v>
      </c>
      <c r="Q251" s="1117">
        <f t="shared" si="631"/>
        <v>1321506.1325498871</v>
      </c>
      <c r="R251" s="1117">
        <f t="shared" si="632"/>
        <v>3054179.5250328877</v>
      </c>
      <c r="S251" s="1073"/>
      <c r="W251" s="1116">
        <f>($G251/$G50)*W50</f>
        <v>5172455</v>
      </c>
      <c r="X251" s="1117">
        <f t="shared" si="633"/>
        <v>796769.34241722547</v>
      </c>
      <c r="Y251" s="1117">
        <f t="shared" si="634"/>
        <v>1321506.1325498871</v>
      </c>
      <c r="Z251" s="1117">
        <f t="shared" si="635"/>
        <v>3054179.5250328877</v>
      </c>
      <c r="AA251" s="1073"/>
      <c r="AE251" s="1116">
        <f>($G251/$G50)*AE50</f>
        <v>5172455</v>
      </c>
      <c r="AF251" s="1117">
        <f t="shared" si="636"/>
        <v>796769.34241722547</v>
      </c>
      <c r="AG251" s="1117">
        <f t="shared" si="637"/>
        <v>1321506.1325498871</v>
      </c>
      <c r="AH251" s="1117">
        <f t="shared" si="638"/>
        <v>3054179.5250328877</v>
      </c>
      <c r="AI251" s="1073"/>
      <c r="AM251" s="1116">
        <f>($G251/$G50)*AM50</f>
        <v>5172455</v>
      </c>
      <c r="AN251" s="1117">
        <f t="shared" si="639"/>
        <v>796769.34241722547</v>
      </c>
      <c r="AO251" s="1117">
        <f t="shared" si="640"/>
        <v>1321506.1325498871</v>
      </c>
      <c r="AP251" s="1117">
        <f t="shared" si="641"/>
        <v>3054179.5250328877</v>
      </c>
      <c r="AQ251" s="1073"/>
      <c r="AU251" s="1116">
        <f>($G251/$G50)*AU50</f>
        <v>5172455</v>
      </c>
      <c r="AV251" s="1117">
        <f t="shared" si="642"/>
        <v>796769.34241722547</v>
      </c>
      <c r="AW251" s="1117">
        <f t="shared" si="643"/>
        <v>1321506.1325498871</v>
      </c>
      <c r="AX251" s="1117">
        <f t="shared" si="644"/>
        <v>3054179.5250328877</v>
      </c>
      <c r="AY251" s="1073"/>
      <c r="BC251" s="1116">
        <f>($G251/$G50)*BC50</f>
        <v>5172455</v>
      </c>
      <c r="BD251" s="1117">
        <f t="shared" si="645"/>
        <v>796769.34241722547</v>
      </c>
      <c r="BE251" s="1117">
        <f t="shared" si="646"/>
        <v>1321506.1325498871</v>
      </c>
      <c r="BF251" s="1117">
        <f t="shared" si="647"/>
        <v>3054179.5250328877</v>
      </c>
      <c r="BG251" s="1073"/>
      <c r="BK251" s="1116">
        <f>($G251/$G50)*BK50</f>
        <v>5172455</v>
      </c>
      <c r="BL251" s="1117">
        <f t="shared" si="648"/>
        <v>796769.34241722547</v>
      </c>
      <c r="BM251" s="1117">
        <f t="shared" si="649"/>
        <v>1321506.1325498871</v>
      </c>
      <c r="BN251" s="1117">
        <f t="shared" si="650"/>
        <v>3054179.5250328877</v>
      </c>
      <c r="BO251" s="1073"/>
      <c r="BS251" s="1116">
        <f>($G251/$G50)*BS50</f>
        <v>5172455</v>
      </c>
      <c r="BT251" s="1117">
        <f t="shared" si="651"/>
        <v>796769.34241722547</v>
      </c>
      <c r="BU251" s="1117">
        <f t="shared" si="652"/>
        <v>1321506.1325498871</v>
      </c>
      <c r="BV251" s="1117">
        <f t="shared" si="653"/>
        <v>3054179.5250328877</v>
      </c>
      <c r="BW251" s="1073"/>
      <c r="CA251" s="1116">
        <f>($G251/$G50)*CA50</f>
        <v>5172455</v>
      </c>
      <c r="CB251" s="1117">
        <f t="shared" si="654"/>
        <v>796769.34241722547</v>
      </c>
      <c r="CC251" s="1117">
        <f t="shared" si="655"/>
        <v>1321506.1325498871</v>
      </c>
      <c r="CD251" s="1117">
        <f t="shared" si="656"/>
        <v>3054179.5250328877</v>
      </c>
      <c r="CE251" s="1073"/>
      <c r="CI251" s="1116">
        <f>($G251/$G50)*CI50</f>
        <v>5172455</v>
      </c>
      <c r="CJ251" s="1117">
        <f t="shared" si="657"/>
        <v>796769.34241722547</v>
      </c>
      <c r="CK251" s="1117">
        <f t="shared" si="658"/>
        <v>1321506.1325498871</v>
      </c>
      <c r="CL251" s="1117">
        <f t="shared" si="659"/>
        <v>3054179.5250328877</v>
      </c>
      <c r="CM251" s="1073"/>
      <c r="CQ251" s="1116">
        <f>($G251/$G50)*CQ50</f>
        <v>5172455</v>
      </c>
      <c r="CR251" s="1117">
        <f t="shared" si="660"/>
        <v>796769.34241722547</v>
      </c>
      <c r="CS251" s="1117">
        <f t="shared" si="661"/>
        <v>1321506.1325498871</v>
      </c>
      <c r="CT251" s="1117">
        <f t="shared" si="662"/>
        <v>3054179.5250328877</v>
      </c>
      <c r="CU251" s="1073"/>
      <c r="CY251" s="1116">
        <f>($G251/$G50)*CY50</f>
        <v>5172455</v>
      </c>
      <c r="CZ251" s="1117">
        <f t="shared" si="663"/>
        <v>796769.34241722547</v>
      </c>
      <c r="DA251" s="1117">
        <f t="shared" si="664"/>
        <v>1321506.1325498871</v>
      </c>
      <c r="DB251" s="1117">
        <f t="shared" si="665"/>
        <v>3054179.5250328877</v>
      </c>
      <c r="DC251" s="1073"/>
      <c r="DG251" s="1116">
        <f>($G251/$G50)*DG50</f>
        <v>5172455</v>
      </c>
      <c r="DH251" s="1117">
        <f t="shared" si="666"/>
        <v>796769.34241722547</v>
      </c>
      <c r="DI251" s="1117">
        <f t="shared" si="667"/>
        <v>1321506.1325498871</v>
      </c>
      <c r="DJ251" s="1117">
        <f t="shared" si="668"/>
        <v>3054179.5250328877</v>
      </c>
      <c r="DK251" s="1073"/>
      <c r="DO251" s="1116">
        <f>($G251/$G50)*DO50</f>
        <v>5172455</v>
      </c>
      <c r="DP251" s="1117">
        <f t="shared" si="669"/>
        <v>796769.34241722547</v>
      </c>
      <c r="DQ251" s="1117">
        <f t="shared" si="670"/>
        <v>1321506.1325498871</v>
      </c>
      <c r="DR251" s="1117">
        <f t="shared" si="671"/>
        <v>3054179.5250328877</v>
      </c>
      <c r="DS251" s="1073"/>
      <c r="DW251" s="1116">
        <f>($G251/$G50)*DW50</f>
        <v>5172455</v>
      </c>
      <c r="DX251" s="1117">
        <f t="shared" si="672"/>
        <v>796769.34241722547</v>
      </c>
      <c r="DY251" s="1117">
        <f t="shared" si="673"/>
        <v>1321506.1325498871</v>
      </c>
      <c r="DZ251" s="1117">
        <f t="shared" si="674"/>
        <v>3054179.5250328877</v>
      </c>
      <c r="EA251" s="1073"/>
      <c r="EE251" s="1116">
        <f>($G251/$G50)*EE50</f>
        <v>5172455</v>
      </c>
      <c r="EF251" s="1117">
        <f t="shared" si="675"/>
        <v>796769.34241722547</v>
      </c>
      <c r="EG251" s="1117">
        <f t="shared" si="676"/>
        <v>1321506.1325498871</v>
      </c>
      <c r="EH251" s="1117">
        <f t="shared" si="677"/>
        <v>3054179.5250328877</v>
      </c>
      <c r="EI251" s="1073"/>
      <c r="EM251" s="1116">
        <f>($G251/$G50)*EM50</f>
        <v>5172455</v>
      </c>
      <c r="EN251" s="1117">
        <f t="shared" si="678"/>
        <v>796769.34241722547</v>
      </c>
      <c r="EO251" s="1117">
        <f t="shared" si="679"/>
        <v>1321506.1325498871</v>
      </c>
      <c r="EP251" s="1117">
        <f t="shared" si="680"/>
        <v>3054179.5250328877</v>
      </c>
      <c r="EQ251" s="1073"/>
      <c r="EU251" s="1116">
        <f>($G251/$G50)*EU50</f>
        <v>5172455</v>
      </c>
      <c r="EV251" s="1117">
        <f t="shared" si="681"/>
        <v>796769.34241722547</v>
      </c>
      <c r="EW251" s="1117">
        <f t="shared" si="682"/>
        <v>1321506.1325498871</v>
      </c>
      <c r="EX251" s="1117">
        <f t="shared" si="683"/>
        <v>3054179.5250328877</v>
      </c>
      <c r="EY251" s="1073"/>
      <c r="FC251" s="1116">
        <f>($G251/$G50)*FC50</f>
        <v>5172455</v>
      </c>
      <c r="FD251" s="1117">
        <f t="shared" si="684"/>
        <v>796769.34241722547</v>
      </c>
      <c r="FE251" s="1117">
        <f t="shared" si="685"/>
        <v>1321506.1325498871</v>
      </c>
      <c r="FF251" s="1117">
        <f t="shared" si="686"/>
        <v>3054179.5250328877</v>
      </c>
      <c r="FG251" s="1073"/>
      <c r="FK251" s="1116">
        <f>($G251/$G50)*FK50</f>
        <v>5172455</v>
      </c>
      <c r="FL251" s="1117">
        <f t="shared" si="687"/>
        <v>796769.34241722547</v>
      </c>
      <c r="FM251" s="1117">
        <f t="shared" si="688"/>
        <v>1321506.1325498871</v>
      </c>
      <c r="FN251" s="1117">
        <f t="shared" si="689"/>
        <v>3054179.5250328877</v>
      </c>
      <c r="FO251" s="1073"/>
    </row>
    <row r="252" spans="1:171">
      <c r="A252" s="944"/>
      <c r="B252" s="913" t="s">
        <v>436</v>
      </c>
      <c r="C252" s="888">
        <v>336</v>
      </c>
      <c r="D252" s="1015">
        <v>404</v>
      </c>
      <c r="E252" s="182" t="str">
        <f>'Sch 3 - Expenses'!E92</f>
        <v>DIRECT</v>
      </c>
      <c r="F252" s="889"/>
      <c r="G252" s="182">
        <f>'Sch 3 - Expenses'!G92</f>
        <v>18217879</v>
      </c>
      <c r="H252" s="182">
        <f>'Sch 3 - Expenses'!H92</f>
        <v>5101006.12</v>
      </c>
      <c r="I252" s="182">
        <f>'Sch 3 - Expenses'!I92</f>
        <v>0</v>
      </c>
      <c r="J252" s="183">
        <f>'Sch 3 - Expenses'!J92</f>
        <v>13116872.879999999</v>
      </c>
      <c r="K252" s="903">
        <f t="shared" si="629"/>
        <v>0</v>
      </c>
      <c r="O252" s="1116">
        <f t="shared" si="710"/>
        <v>18217879</v>
      </c>
      <c r="P252" s="1117">
        <f t="shared" si="630"/>
        <v>5101006.12</v>
      </c>
      <c r="Q252" s="1117">
        <f t="shared" si="631"/>
        <v>0</v>
      </c>
      <c r="R252" s="1117">
        <f t="shared" si="632"/>
        <v>13116872.879999999</v>
      </c>
      <c r="S252" s="1073"/>
      <c r="W252" s="1116">
        <f t="shared" si="711"/>
        <v>18217879</v>
      </c>
      <c r="X252" s="1117">
        <f t="shared" si="633"/>
        <v>5101006.12</v>
      </c>
      <c r="Y252" s="1117">
        <f t="shared" si="634"/>
        <v>0</v>
      </c>
      <c r="Z252" s="1117">
        <f t="shared" si="635"/>
        <v>13116872.879999999</v>
      </c>
      <c r="AA252" s="1073"/>
      <c r="AE252" s="1116">
        <f t="shared" si="712"/>
        <v>18217879</v>
      </c>
      <c r="AF252" s="1117">
        <f t="shared" si="636"/>
        <v>5101006.12</v>
      </c>
      <c r="AG252" s="1117">
        <f t="shared" si="637"/>
        <v>0</v>
      </c>
      <c r="AH252" s="1117">
        <f t="shared" si="638"/>
        <v>13116872.879999999</v>
      </c>
      <c r="AI252" s="1073"/>
      <c r="AM252" s="1116">
        <f t="shared" si="713"/>
        <v>18217879</v>
      </c>
      <c r="AN252" s="1117">
        <f t="shared" si="639"/>
        <v>5101006.12</v>
      </c>
      <c r="AO252" s="1117">
        <f t="shared" si="640"/>
        <v>0</v>
      </c>
      <c r="AP252" s="1117">
        <f t="shared" si="641"/>
        <v>13116872.879999999</v>
      </c>
      <c r="AQ252" s="1073"/>
      <c r="AU252" s="1116">
        <f t="shared" si="714"/>
        <v>18217879</v>
      </c>
      <c r="AV252" s="1117">
        <f t="shared" si="642"/>
        <v>5101006.12</v>
      </c>
      <c r="AW252" s="1117">
        <f t="shared" si="643"/>
        <v>0</v>
      </c>
      <c r="AX252" s="1117">
        <f t="shared" si="644"/>
        <v>13116872.879999999</v>
      </c>
      <c r="AY252" s="1073"/>
      <c r="BC252" s="1116">
        <f t="shared" si="715"/>
        <v>18217879</v>
      </c>
      <c r="BD252" s="1117">
        <f t="shared" si="645"/>
        <v>5101006.12</v>
      </c>
      <c r="BE252" s="1117">
        <f t="shared" si="646"/>
        <v>0</v>
      </c>
      <c r="BF252" s="1117">
        <f t="shared" si="647"/>
        <v>13116872.879999999</v>
      </c>
      <c r="BG252" s="1073"/>
      <c r="BK252" s="1116">
        <f t="shared" si="716"/>
        <v>18217879</v>
      </c>
      <c r="BL252" s="1117">
        <f t="shared" si="648"/>
        <v>5101006.12</v>
      </c>
      <c r="BM252" s="1117">
        <f t="shared" si="649"/>
        <v>0</v>
      </c>
      <c r="BN252" s="1117">
        <f t="shared" si="650"/>
        <v>13116872.879999999</v>
      </c>
      <c r="BO252" s="1073"/>
      <c r="BS252" s="1116">
        <f t="shared" si="717"/>
        <v>18217879</v>
      </c>
      <c r="BT252" s="1117">
        <f t="shared" si="651"/>
        <v>5101006.12</v>
      </c>
      <c r="BU252" s="1117">
        <f t="shared" si="652"/>
        <v>0</v>
      </c>
      <c r="BV252" s="1117">
        <f t="shared" si="653"/>
        <v>13116872.879999999</v>
      </c>
      <c r="BW252" s="1073"/>
      <c r="CA252" s="1116">
        <f t="shared" si="718"/>
        <v>18217879</v>
      </c>
      <c r="CB252" s="1117">
        <f t="shared" si="654"/>
        <v>5101006.12</v>
      </c>
      <c r="CC252" s="1117">
        <f t="shared" si="655"/>
        <v>0</v>
      </c>
      <c r="CD252" s="1117">
        <f t="shared" si="656"/>
        <v>13116872.879999999</v>
      </c>
      <c r="CE252" s="1073"/>
      <c r="CI252" s="1116">
        <f t="shared" si="719"/>
        <v>18217879</v>
      </c>
      <c r="CJ252" s="1117">
        <f t="shared" si="657"/>
        <v>5101006.12</v>
      </c>
      <c r="CK252" s="1117">
        <f t="shared" si="658"/>
        <v>0</v>
      </c>
      <c r="CL252" s="1117">
        <f t="shared" si="659"/>
        <v>13116872.879999999</v>
      </c>
      <c r="CM252" s="1073"/>
      <c r="CQ252" s="1116">
        <f t="shared" si="720"/>
        <v>18217879</v>
      </c>
      <c r="CR252" s="1117">
        <f t="shared" si="660"/>
        <v>5101006.12</v>
      </c>
      <c r="CS252" s="1117">
        <f t="shared" si="661"/>
        <v>0</v>
      </c>
      <c r="CT252" s="1117">
        <f t="shared" si="662"/>
        <v>13116872.879999999</v>
      </c>
      <c r="CU252" s="1073"/>
      <c r="CY252" s="1116">
        <f t="shared" si="721"/>
        <v>18217879</v>
      </c>
      <c r="CZ252" s="1117">
        <f t="shared" si="663"/>
        <v>5101006.12</v>
      </c>
      <c r="DA252" s="1117">
        <f t="shared" si="664"/>
        <v>0</v>
      </c>
      <c r="DB252" s="1117">
        <f t="shared" si="665"/>
        <v>13116872.879999999</v>
      </c>
      <c r="DC252" s="1073"/>
      <c r="DG252" s="1116">
        <f t="shared" si="722"/>
        <v>18217879</v>
      </c>
      <c r="DH252" s="1117">
        <f t="shared" si="666"/>
        <v>5101006.12</v>
      </c>
      <c r="DI252" s="1117">
        <f t="shared" si="667"/>
        <v>0</v>
      </c>
      <c r="DJ252" s="1117">
        <f t="shared" si="668"/>
        <v>13116872.879999999</v>
      </c>
      <c r="DK252" s="1073"/>
      <c r="DO252" s="1116">
        <f t="shared" si="723"/>
        <v>18217879</v>
      </c>
      <c r="DP252" s="1117">
        <f t="shared" si="669"/>
        <v>5101006.12</v>
      </c>
      <c r="DQ252" s="1117">
        <f t="shared" si="670"/>
        <v>0</v>
      </c>
      <c r="DR252" s="1117">
        <f t="shared" si="671"/>
        <v>13116872.879999999</v>
      </c>
      <c r="DS252" s="1073"/>
      <c r="DW252" s="1116">
        <f t="shared" si="724"/>
        <v>18217879</v>
      </c>
      <c r="DX252" s="1117">
        <f t="shared" si="672"/>
        <v>5101006.12</v>
      </c>
      <c r="DY252" s="1117">
        <f t="shared" si="673"/>
        <v>0</v>
      </c>
      <c r="DZ252" s="1117">
        <f t="shared" si="674"/>
        <v>13116872.879999999</v>
      </c>
      <c r="EA252" s="1073"/>
      <c r="EE252" s="1116">
        <f t="shared" si="725"/>
        <v>18217879</v>
      </c>
      <c r="EF252" s="1117">
        <f t="shared" si="675"/>
        <v>5101006.12</v>
      </c>
      <c r="EG252" s="1117">
        <f t="shared" si="676"/>
        <v>0</v>
      </c>
      <c r="EH252" s="1117">
        <f t="shared" si="677"/>
        <v>13116872.879999999</v>
      </c>
      <c r="EI252" s="1073"/>
      <c r="EM252" s="1116">
        <f t="shared" si="726"/>
        <v>18217879</v>
      </c>
      <c r="EN252" s="1117">
        <f t="shared" si="678"/>
        <v>5101006.12</v>
      </c>
      <c r="EO252" s="1117">
        <f t="shared" si="679"/>
        <v>0</v>
      </c>
      <c r="EP252" s="1117">
        <f t="shared" si="680"/>
        <v>13116872.879999999</v>
      </c>
      <c r="EQ252" s="1073"/>
      <c r="EU252" s="1116">
        <f t="shared" si="727"/>
        <v>18217879</v>
      </c>
      <c r="EV252" s="1117">
        <f t="shared" si="681"/>
        <v>5101006.12</v>
      </c>
      <c r="EW252" s="1117">
        <f t="shared" si="682"/>
        <v>0</v>
      </c>
      <c r="EX252" s="1117">
        <f t="shared" si="683"/>
        <v>13116872.879999999</v>
      </c>
      <c r="EY252" s="1073"/>
      <c r="FC252" s="1116">
        <f t="shared" si="728"/>
        <v>18217879</v>
      </c>
      <c r="FD252" s="1117">
        <f t="shared" si="684"/>
        <v>5101006.12</v>
      </c>
      <c r="FE252" s="1117">
        <f t="shared" si="685"/>
        <v>0</v>
      </c>
      <c r="FF252" s="1117">
        <f t="shared" si="686"/>
        <v>13116872.879999999</v>
      </c>
      <c r="FG252" s="1073"/>
      <c r="FK252" s="1116">
        <f t="shared" si="729"/>
        <v>18217879</v>
      </c>
      <c r="FL252" s="1117">
        <f t="shared" si="687"/>
        <v>5101006.12</v>
      </c>
      <c r="FM252" s="1117">
        <f t="shared" si="688"/>
        <v>0</v>
      </c>
      <c r="FN252" s="1117">
        <f t="shared" si="689"/>
        <v>13116872.879999999</v>
      </c>
      <c r="FO252" s="1073"/>
    </row>
    <row r="253" spans="1:171">
      <c r="A253" s="944"/>
      <c r="B253" s="913" t="s">
        <v>436</v>
      </c>
      <c r="C253" s="888">
        <v>336</v>
      </c>
      <c r="D253" s="1015">
        <v>404</v>
      </c>
      <c r="E253" s="182" t="str">
        <f>'Sch 3 - Expenses'!E93</f>
        <v>DIRECT</v>
      </c>
      <c r="F253" s="889"/>
      <c r="G253" s="182">
        <f>'Sch 3 - Expenses'!G93</f>
        <v>36465620</v>
      </c>
      <c r="H253" s="182">
        <f>'Sch 3 - Expenses'!H93</f>
        <v>10210373.600000001</v>
      </c>
      <c r="I253" s="182">
        <f>'Sch 3 - Expenses'!I93</f>
        <v>0</v>
      </c>
      <c r="J253" s="183">
        <f>'Sch 3 - Expenses'!J93</f>
        <v>26255246.399999999</v>
      </c>
      <c r="K253" s="903">
        <f t="shared" si="629"/>
        <v>0</v>
      </c>
      <c r="O253" s="1116">
        <f t="shared" si="710"/>
        <v>36465620</v>
      </c>
      <c r="P253" s="1117">
        <f t="shared" si="630"/>
        <v>10210373.600000001</v>
      </c>
      <c r="Q253" s="1117">
        <f t="shared" si="631"/>
        <v>0</v>
      </c>
      <c r="R253" s="1117">
        <f t="shared" si="632"/>
        <v>26255246.399999999</v>
      </c>
      <c r="S253" s="1073"/>
      <c r="W253" s="1116">
        <f t="shared" si="711"/>
        <v>36465620</v>
      </c>
      <c r="X253" s="1117">
        <f t="shared" si="633"/>
        <v>10210373.600000001</v>
      </c>
      <c r="Y253" s="1117">
        <f t="shared" si="634"/>
        <v>0</v>
      </c>
      <c r="Z253" s="1117">
        <f t="shared" si="635"/>
        <v>26255246.399999999</v>
      </c>
      <c r="AA253" s="1073"/>
      <c r="AE253" s="1116">
        <f t="shared" si="712"/>
        <v>36465620</v>
      </c>
      <c r="AF253" s="1117">
        <f t="shared" si="636"/>
        <v>10210373.600000001</v>
      </c>
      <c r="AG253" s="1117">
        <f t="shared" si="637"/>
        <v>0</v>
      </c>
      <c r="AH253" s="1117">
        <f t="shared" si="638"/>
        <v>26255246.399999999</v>
      </c>
      <c r="AI253" s="1073"/>
      <c r="AM253" s="1116">
        <f t="shared" si="713"/>
        <v>36465620</v>
      </c>
      <c r="AN253" s="1117">
        <f t="shared" si="639"/>
        <v>10210373.600000001</v>
      </c>
      <c r="AO253" s="1117">
        <f t="shared" si="640"/>
        <v>0</v>
      </c>
      <c r="AP253" s="1117">
        <f t="shared" si="641"/>
        <v>26255246.399999999</v>
      </c>
      <c r="AQ253" s="1073"/>
      <c r="AU253" s="1116">
        <f t="shared" si="714"/>
        <v>36465620</v>
      </c>
      <c r="AV253" s="1117">
        <f t="shared" si="642"/>
        <v>10210373.600000001</v>
      </c>
      <c r="AW253" s="1117">
        <f t="shared" si="643"/>
        <v>0</v>
      </c>
      <c r="AX253" s="1117">
        <f t="shared" si="644"/>
        <v>26255246.399999999</v>
      </c>
      <c r="AY253" s="1073"/>
      <c r="BC253" s="1116">
        <f t="shared" si="715"/>
        <v>36465620</v>
      </c>
      <c r="BD253" s="1117">
        <f t="shared" si="645"/>
        <v>10210373.600000001</v>
      </c>
      <c r="BE253" s="1117">
        <f t="shared" si="646"/>
        <v>0</v>
      </c>
      <c r="BF253" s="1117">
        <f t="shared" si="647"/>
        <v>26255246.399999999</v>
      </c>
      <c r="BG253" s="1073"/>
      <c r="BK253" s="1116">
        <f t="shared" si="716"/>
        <v>36465620</v>
      </c>
      <c r="BL253" s="1117">
        <f t="shared" si="648"/>
        <v>10210373.600000001</v>
      </c>
      <c r="BM253" s="1117">
        <f t="shared" si="649"/>
        <v>0</v>
      </c>
      <c r="BN253" s="1117">
        <f t="shared" si="650"/>
        <v>26255246.399999999</v>
      </c>
      <c r="BO253" s="1073"/>
      <c r="BS253" s="1116">
        <f t="shared" si="717"/>
        <v>36465620</v>
      </c>
      <c r="BT253" s="1117">
        <f t="shared" si="651"/>
        <v>10210373.600000001</v>
      </c>
      <c r="BU253" s="1117">
        <f t="shared" si="652"/>
        <v>0</v>
      </c>
      <c r="BV253" s="1117">
        <f t="shared" si="653"/>
        <v>26255246.399999999</v>
      </c>
      <c r="BW253" s="1073"/>
      <c r="CA253" s="1116">
        <f t="shared" si="718"/>
        <v>36465620</v>
      </c>
      <c r="CB253" s="1117">
        <f t="shared" si="654"/>
        <v>10210373.600000001</v>
      </c>
      <c r="CC253" s="1117">
        <f t="shared" si="655"/>
        <v>0</v>
      </c>
      <c r="CD253" s="1117">
        <f t="shared" si="656"/>
        <v>26255246.399999999</v>
      </c>
      <c r="CE253" s="1073"/>
      <c r="CI253" s="1116">
        <f t="shared" si="719"/>
        <v>36465620</v>
      </c>
      <c r="CJ253" s="1117">
        <f t="shared" si="657"/>
        <v>10210373.600000001</v>
      </c>
      <c r="CK253" s="1117">
        <f t="shared" si="658"/>
        <v>0</v>
      </c>
      <c r="CL253" s="1117">
        <f t="shared" si="659"/>
        <v>26255246.399999999</v>
      </c>
      <c r="CM253" s="1073"/>
      <c r="CQ253" s="1116">
        <f t="shared" si="720"/>
        <v>36465620</v>
      </c>
      <c r="CR253" s="1117">
        <f t="shared" si="660"/>
        <v>10210373.600000001</v>
      </c>
      <c r="CS253" s="1117">
        <f t="shared" si="661"/>
        <v>0</v>
      </c>
      <c r="CT253" s="1117">
        <f t="shared" si="662"/>
        <v>26255246.399999999</v>
      </c>
      <c r="CU253" s="1073"/>
      <c r="CY253" s="1116">
        <f t="shared" si="721"/>
        <v>36465620</v>
      </c>
      <c r="CZ253" s="1117">
        <f t="shared" si="663"/>
        <v>10210373.600000001</v>
      </c>
      <c r="DA253" s="1117">
        <f t="shared" si="664"/>
        <v>0</v>
      </c>
      <c r="DB253" s="1117">
        <f t="shared" si="665"/>
        <v>26255246.399999999</v>
      </c>
      <c r="DC253" s="1073"/>
      <c r="DG253" s="1116">
        <f t="shared" si="722"/>
        <v>36465620</v>
      </c>
      <c r="DH253" s="1117">
        <f t="shared" si="666"/>
        <v>10210373.600000001</v>
      </c>
      <c r="DI253" s="1117">
        <f t="shared" si="667"/>
        <v>0</v>
      </c>
      <c r="DJ253" s="1117">
        <f t="shared" si="668"/>
        <v>26255246.399999999</v>
      </c>
      <c r="DK253" s="1073"/>
      <c r="DO253" s="1116">
        <f t="shared" si="723"/>
        <v>36465620</v>
      </c>
      <c r="DP253" s="1117">
        <f t="shared" si="669"/>
        <v>10210373.600000001</v>
      </c>
      <c r="DQ253" s="1117">
        <f t="shared" si="670"/>
        <v>0</v>
      </c>
      <c r="DR253" s="1117">
        <f t="shared" si="671"/>
        <v>26255246.399999999</v>
      </c>
      <c r="DS253" s="1073"/>
      <c r="DW253" s="1116">
        <f t="shared" si="724"/>
        <v>36465620</v>
      </c>
      <c r="DX253" s="1117">
        <f t="shared" si="672"/>
        <v>10210373.600000001</v>
      </c>
      <c r="DY253" s="1117">
        <f t="shared" si="673"/>
        <v>0</v>
      </c>
      <c r="DZ253" s="1117">
        <f t="shared" si="674"/>
        <v>26255246.399999999</v>
      </c>
      <c r="EA253" s="1073"/>
      <c r="EE253" s="1116">
        <f t="shared" si="725"/>
        <v>36465620</v>
      </c>
      <c r="EF253" s="1117">
        <f t="shared" si="675"/>
        <v>10210373.600000001</v>
      </c>
      <c r="EG253" s="1117">
        <f t="shared" si="676"/>
        <v>0</v>
      </c>
      <c r="EH253" s="1117">
        <f t="shared" si="677"/>
        <v>26255246.399999999</v>
      </c>
      <c r="EI253" s="1073"/>
      <c r="EM253" s="1116">
        <f t="shared" si="726"/>
        <v>36465620</v>
      </c>
      <c r="EN253" s="1117">
        <f t="shared" si="678"/>
        <v>10210373.600000001</v>
      </c>
      <c r="EO253" s="1117">
        <f t="shared" si="679"/>
        <v>0</v>
      </c>
      <c r="EP253" s="1117">
        <f t="shared" si="680"/>
        <v>26255246.399999999</v>
      </c>
      <c r="EQ253" s="1073"/>
      <c r="EU253" s="1116">
        <f t="shared" si="727"/>
        <v>36465620</v>
      </c>
      <c r="EV253" s="1117">
        <f t="shared" si="681"/>
        <v>10210373.600000001</v>
      </c>
      <c r="EW253" s="1117">
        <f t="shared" si="682"/>
        <v>0</v>
      </c>
      <c r="EX253" s="1117">
        <f t="shared" si="683"/>
        <v>26255246.399999999</v>
      </c>
      <c r="EY253" s="1073"/>
      <c r="FC253" s="1116">
        <f t="shared" si="728"/>
        <v>36465620</v>
      </c>
      <c r="FD253" s="1117">
        <f t="shared" si="684"/>
        <v>10210373.600000001</v>
      </c>
      <c r="FE253" s="1117">
        <f t="shared" si="685"/>
        <v>0</v>
      </c>
      <c r="FF253" s="1117">
        <f t="shared" si="686"/>
        <v>26255246.399999999</v>
      </c>
      <c r="FG253" s="1073"/>
      <c r="FK253" s="1116">
        <f t="shared" si="729"/>
        <v>36465620</v>
      </c>
      <c r="FL253" s="1117">
        <f t="shared" si="687"/>
        <v>10210373.600000001</v>
      </c>
      <c r="FM253" s="1117">
        <f t="shared" si="688"/>
        <v>0</v>
      </c>
      <c r="FN253" s="1117">
        <f t="shared" si="689"/>
        <v>26255246.399999999</v>
      </c>
      <c r="FO253" s="1073"/>
    </row>
    <row r="254" spans="1:171">
      <c r="A254" s="944"/>
      <c r="B254" s="913" t="s">
        <v>568</v>
      </c>
      <c r="C254" s="888">
        <v>336</v>
      </c>
      <c r="D254" s="1015">
        <v>403.1</v>
      </c>
      <c r="E254" s="182" t="str">
        <f>'Sch 3 - Expenses'!E94</f>
        <v>DIRECT</v>
      </c>
      <c r="F254" s="889"/>
      <c r="G254" s="182">
        <f>'Sch 3 - Expenses'!G94</f>
        <v>0</v>
      </c>
      <c r="H254" s="182">
        <f>'Sch 3 - Expenses'!H94</f>
        <v>0</v>
      </c>
      <c r="I254" s="182">
        <f>'Sch 3 - Expenses'!I94</f>
        <v>0</v>
      </c>
      <c r="J254" s="183">
        <f>'Sch 3 - Expenses'!J94</f>
        <v>0</v>
      </c>
      <c r="K254" s="903">
        <f t="shared" si="629"/>
        <v>0</v>
      </c>
      <c r="O254" s="1116">
        <f t="shared" si="710"/>
        <v>0</v>
      </c>
      <c r="P254" s="1117">
        <f t="shared" si="630"/>
        <v>0</v>
      </c>
      <c r="Q254" s="1117">
        <f t="shared" si="631"/>
        <v>0</v>
      </c>
      <c r="R254" s="1117">
        <f t="shared" si="632"/>
        <v>0</v>
      </c>
      <c r="S254" s="1073"/>
      <c r="W254" s="1116">
        <f t="shared" si="711"/>
        <v>0</v>
      </c>
      <c r="X254" s="1117">
        <f t="shared" si="633"/>
        <v>0</v>
      </c>
      <c r="Y254" s="1117">
        <f t="shared" si="634"/>
        <v>0</v>
      </c>
      <c r="Z254" s="1117">
        <f t="shared" si="635"/>
        <v>0</v>
      </c>
      <c r="AA254" s="1073"/>
      <c r="AE254" s="1116">
        <f t="shared" si="712"/>
        <v>0</v>
      </c>
      <c r="AF254" s="1117">
        <f t="shared" si="636"/>
        <v>0</v>
      </c>
      <c r="AG254" s="1117">
        <f t="shared" si="637"/>
        <v>0</v>
      </c>
      <c r="AH254" s="1117">
        <f t="shared" si="638"/>
        <v>0</v>
      </c>
      <c r="AI254" s="1073"/>
      <c r="AM254" s="1116">
        <f t="shared" si="713"/>
        <v>0</v>
      </c>
      <c r="AN254" s="1117">
        <f t="shared" si="639"/>
        <v>0</v>
      </c>
      <c r="AO254" s="1117">
        <f t="shared" si="640"/>
        <v>0</v>
      </c>
      <c r="AP254" s="1117">
        <f t="shared" si="641"/>
        <v>0</v>
      </c>
      <c r="AQ254" s="1073"/>
      <c r="AU254" s="1116">
        <f t="shared" si="714"/>
        <v>0</v>
      </c>
      <c r="AV254" s="1117">
        <f t="shared" si="642"/>
        <v>0</v>
      </c>
      <c r="AW254" s="1117">
        <f t="shared" si="643"/>
        <v>0</v>
      </c>
      <c r="AX254" s="1117">
        <f t="shared" si="644"/>
        <v>0</v>
      </c>
      <c r="AY254" s="1073"/>
      <c r="BC254" s="1116">
        <f t="shared" si="715"/>
        <v>0</v>
      </c>
      <c r="BD254" s="1117">
        <f t="shared" si="645"/>
        <v>0</v>
      </c>
      <c r="BE254" s="1117">
        <f t="shared" si="646"/>
        <v>0</v>
      </c>
      <c r="BF254" s="1117">
        <f t="shared" si="647"/>
        <v>0</v>
      </c>
      <c r="BG254" s="1073"/>
      <c r="BK254" s="1116">
        <f t="shared" si="716"/>
        <v>0</v>
      </c>
      <c r="BL254" s="1117">
        <f t="shared" si="648"/>
        <v>0</v>
      </c>
      <c r="BM254" s="1117">
        <f t="shared" si="649"/>
        <v>0</v>
      </c>
      <c r="BN254" s="1117">
        <f t="shared" si="650"/>
        <v>0</v>
      </c>
      <c r="BO254" s="1073"/>
      <c r="BS254" s="1116">
        <f t="shared" si="717"/>
        <v>0</v>
      </c>
      <c r="BT254" s="1117">
        <f t="shared" si="651"/>
        <v>0</v>
      </c>
      <c r="BU254" s="1117">
        <f t="shared" si="652"/>
        <v>0</v>
      </c>
      <c r="BV254" s="1117">
        <f t="shared" si="653"/>
        <v>0</v>
      </c>
      <c r="BW254" s="1073"/>
      <c r="CA254" s="1116">
        <f t="shared" si="718"/>
        <v>0</v>
      </c>
      <c r="CB254" s="1117">
        <f t="shared" si="654"/>
        <v>0</v>
      </c>
      <c r="CC254" s="1117">
        <f t="shared" si="655"/>
        <v>0</v>
      </c>
      <c r="CD254" s="1117">
        <f t="shared" si="656"/>
        <v>0</v>
      </c>
      <c r="CE254" s="1073"/>
      <c r="CI254" s="1116">
        <f t="shared" si="719"/>
        <v>0</v>
      </c>
      <c r="CJ254" s="1117">
        <f t="shared" si="657"/>
        <v>0</v>
      </c>
      <c r="CK254" s="1117">
        <f t="shared" si="658"/>
        <v>0</v>
      </c>
      <c r="CL254" s="1117">
        <f t="shared" si="659"/>
        <v>0</v>
      </c>
      <c r="CM254" s="1073"/>
      <c r="CQ254" s="1116">
        <f t="shared" si="720"/>
        <v>0</v>
      </c>
      <c r="CR254" s="1117">
        <f t="shared" si="660"/>
        <v>0</v>
      </c>
      <c r="CS254" s="1117">
        <f t="shared" si="661"/>
        <v>0</v>
      </c>
      <c r="CT254" s="1117">
        <f t="shared" si="662"/>
        <v>0</v>
      </c>
      <c r="CU254" s="1073"/>
      <c r="CY254" s="1116">
        <f t="shared" si="721"/>
        <v>0</v>
      </c>
      <c r="CZ254" s="1117">
        <f t="shared" si="663"/>
        <v>0</v>
      </c>
      <c r="DA254" s="1117">
        <f t="shared" si="664"/>
        <v>0</v>
      </c>
      <c r="DB254" s="1117">
        <f t="shared" si="665"/>
        <v>0</v>
      </c>
      <c r="DC254" s="1073"/>
      <c r="DG254" s="1116">
        <f t="shared" si="722"/>
        <v>0</v>
      </c>
      <c r="DH254" s="1117">
        <f t="shared" si="666"/>
        <v>0</v>
      </c>
      <c r="DI254" s="1117">
        <f t="shared" si="667"/>
        <v>0</v>
      </c>
      <c r="DJ254" s="1117">
        <f t="shared" si="668"/>
        <v>0</v>
      </c>
      <c r="DK254" s="1073"/>
      <c r="DO254" s="1116">
        <f t="shared" si="723"/>
        <v>0</v>
      </c>
      <c r="DP254" s="1117">
        <f t="shared" si="669"/>
        <v>0</v>
      </c>
      <c r="DQ254" s="1117">
        <f t="shared" si="670"/>
        <v>0</v>
      </c>
      <c r="DR254" s="1117">
        <f t="shared" si="671"/>
        <v>0</v>
      </c>
      <c r="DS254" s="1073"/>
      <c r="DW254" s="1116">
        <f t="shared" si="724"/>
        <v>0</v>
      </c>
      <c r="DX254" s="1117">
        <f t="shared" si="672"/>
        <v>0</v>
      </c>
      <c r="DY254" s="1117">
        <f t="shared" si="673"/>
        <v>0</v>
      </c>
      <c r="DZ254" s="1117">
        <f t="shared" si="674"/>
        <v>0</v>
      </c>
      <c r="EA254" s="1073"/>
      <c r="EE254" s="1116">
        <f t="shared" si="725"/>
        <v>0</v>
      </c>
      <c r="EF254" s="1117">
        <f t="shared" si="675"/>
        <v>0</v>
      </c>
      <c r="EG254" s="1117">
        <f t="shared" si="676"/>
        <v>0</v>
      </c>
      <c r="EH254" s="1117">
        <f t="shared" si="677"/>
        <v>0</v>
      </c>
      <c r="EI254" s="1073"/>
      <c r="EM254" s="1116">
        <f t="shared" si="726"/>
        <v>0</v>
      </c>
      <c r="EN254" s="1117">
        <f t="shared" si="678"/>
        <v>0</v>
      </c>
      <c r="EO254" s="1117">
        <f t="shared" si="679"/>
        <v>0</v>
      </c>
      <c r="EP254" s="1117">
        <f t="shared" si="680"/>
        <v>0</v>
      </c>
      <c r="EQ254" s="1073"/>
      <c r="EU254" s="1116">
        <f t="shared" si="727"/>
        <v>0</v>
      </c>
      <c r="EV254" s="1117">
        <f t="shared" si="681"/>
        <v>0</v>
      </c>
      <c r="EW254" s="1117">
        <f t="shared" si="682"/>
        <v>0</v>
      </c>
      <c r="EX254" s="1117">
        <f t="shared" si="683"/>
        <v>0</v>
      </c>
      <c r="EY254" s="1073"/>
      <c r="FC254" s="1116">
        <f t="shared" si="728"/>
        <v>0</v>
      </c>
      <c r="FD254" s="1117">
        <f t="shared" si="684"/>
        <v>0</v>
      </c>
      <c r="FE254" s="1117">
        <f t="shared" si="685"/>
        <v>0</v>
      </c>
      <c r="FF254" s="1117">
        <f t="shared" si="686"/>
        <v>0</v>
      </c>
      <c r="FG254" s="1073"/>
      <c r="FK254" s="1116">
        <f t="shared" si="729"/>
        <v>0</v>
      </c>
      <c r="FL254" s="1117">
        <f t="shared" si="687"/>
        <v>0</v>
      </c>
      <c r="FM254" s="1117">
        <f t="shared" si="688"/>
        <v>0</v>
      </c>
      <c r="FN254" s="1117">
        <f t="shared" si="689"/>
        <v>0</v>
      </c>
      <c r="FO254" s="1073"/>
    </row>
    <row r="255" spans="1:171">
      <c r="A255" s="944"/>
      <c r="B255" s="913" t="s">
        <v>569</v>
      </c>
      <c r="C255" s="888">
        <v>336</v>
      </c>
      <c r="D255" s="1015">
        <v>404</v>
      </c>
      <c r="E255" s="182" t="str">
        <f>'Sch 3 - Expenses'!E95</f>
        <v>DIRECT</v>
      </c>
      <c r="F255" s="889"/>
      <c r="G255" s="182">
        <f>'Sch 3 - Expenses'!G95</f>
        <v>0</v>
      </c>
      <c r="H255" s="182">
        <f>'Sch 3 - Expenses'!H95</f>
        <v>0</v>
      </c>
      <c r="I255" s="182">
        <f>'Sch 3 - Expenses'!I95</f>
        <v>0</v>
      </c>
      <c r="J255" s="183">
        <f>'Sch 3 - Expenses'!J95</f>
        <v>0</v>
      </c>
      <c r="K255" s="903">
        <f t="shared" si="629"/>
        <v>0</v>
      </c>
      <c r="O255" s="1116">
        <f t="shared" si="710"/>
        <v>0</v>
      </c>
      <c r="P255" s="1117">
        <f t="shared" si="630"/>
        <v>0</v>
      </c>
      <c r="Q255" s="1117">
        <f t="shared" si="631"/>
        <v>0</v>
      </c>
      <c r="R255" s="1117">
        <f t="shared" si="632"/>
        <v>0</v>
      </c>
      <c r="S255" s="1073"/>
      <c r="W255" s="1116">
        <f t="shared" si="711"/>
        <v>0</v>
      </c>
      <c r="X255" s="1117">
        <f t="shared" si="633"/>
        <v>0</v>
      </c>
      <c r="Y255" s="1117">
        <f t="shared" si="634"/>
        <v>0</v>
      </c>
      <c r="Z255" s="1117">
        <f t="shared" si="635"/>
        <v>0</v>
      </c>
      <c r="AA255" s="1073"/>
      <c r="AE255" s="1116">
        <f t="shared" si="712"/>
        <v>0</v>
      </c>
      <c r="AF255" s="1117">
        <f t="shared" si="636"/>
        <v>0</v>
      </c>
      <c r="AG255" s="1117">
        <f t="shared" si="637"/>
        <v>0</v>
      </c>
      <c r="AH255" s="1117">
        <f t="shared" si="638"/>
        <v>0</v>
      </c>
      <c r="AI255" s="1073"/>
      <c r="AM255" s="1116">
        <f t="shared" si="713"/>
        <v>0</v>
      </c>
      <c r="AN255" s="1117">
        <f t="shared" si="639"/>
        <v>0</v>
      </c>
      <c r="AO255" s="1117">
        <f t="shared" si="640"/>
        <v>0</v>
      </c>
      <c r="AP255" s="1117">
        <f t="shared" si="641"/>
        <v>0</v>
      </c>
      <c r="AQ255" s="1073"/>
      <c r="AU255" s="1116">
        <f t="shared" si="714"/>
        <v>0</v>
      </c>
      <c r="AV255" s="1117">
        <f t="shared" si="642"/>
        <v>0</v>
      </c>
      <c r="AW255" s="1117">
        <f t="shared" si="643"/>
        <v>0</v>
      </c>
      <c r="AX255" s="1117">
        <f t="shared" si="644"/>
        <v>0</v>
      </c>
      <c r="AY255" s="1073"/>
      <c r="BC255" s="1116">
        <f t="shared" si="715"/>
        <v>0</v>
      </c>
      <c r="BD255" s="1117">
        <f t="shared" si="645"/>
        <v>0</v>
      </c>
      <c r="BE255" s="1117">
        <f t="shared" si="646"/>
        <v>0</v>
      </c>
      <c r="BF255" s="1117">
        <f t="shared" si="647"/>
        <v>0</v>
      </c>
      <c r="BG255" s="1073"/>
      <c r="BK255" s="1116">
        <f t="shared" si="716"/>
        <v>0</v>
      </c>
      <c r="BL255" s="1117">
        <f t="shared" si="648"/>
        <v>0</v>
      </c>
      <c r="BM255" s="1117">
        <f t="shared" si="649"/>
        <v>0</v>
      </c>
      <c r="BN255" s="1117">
        <f t="shared" si="650"/>
        <v>0</v>
      </c>
      <c r="BO255" s="1073"/>
      <c r="BS255" s="1116">
        <f t="shared" si="717"/>
        <v>0</v>
      </c>
      <c r="BT255" s="1117">
        <f t="shared" si="651"/>
        <v>0</v>
      </c>
      <c r="BU255" s="1117">
        <f t="shared" si="652"/>
        <v>0</v>
      </c>
      <c r="BV255" s="1117">
        <f t="shared" si="653"/>
        <v>0</v>
      </c>
      <c r="BW255" s="1073"/>
      <c r="CA255" s="1116">
        <f t="shared" si="718"/>
        <v>0</v>
      </c>
      <c r="CB255" s="1117">
        <f t="shared" si="654"/>
        <v>0</v>
      </c>
      <c r="CC255" s="1117">
        <f t="shared" si="655"/>
        <v>0</v>
      </c>
      <c r="CD255" s="1117">
        <f t="shared" si="656"/>
        <v>0</v>
      </c>
      <c r="CE255" s="1073"/>
      <c r="CI255" s="1116">
        <f t="shared" si="719"/>
        <v>0</v>
      </c>
      <c r="CJ255" s="1117">
        <f t="shared" si="657"/>
        <v>0</v>
      </c>
      <c r="CK255" s="1117">
        <f t="shared" si="658"/>
        <v>0</v>
      </c>
      <c r="CL255" s="1117">
        <f t="shared" si="659"/>
        <v>0</v>
      </c>
      <c r="CM255" s="1073"/>
      <c r="CQ255" s="1116">
        <f t="shared" si="720"/>
        <v>0</v>
      </c>
      <c r="CR255" s="1117">
        <f t="shared" si="660"/>
        <v>0</v>
      </c>
      <c r="CS255" s="1117">
        <f t="shared" si="661"/>
        <v>0</v>
      </c>
      <c r="CT255" s="1117">
        <f t="shared" si="662"/>
        <v>0</v>
      </c>
      <c r="CU255" s="1073"/>
      <c r="CY255" s="1116">
        <f t="shared" si="721"/>
        <v>0</v>
      </c>
      <c r="CZ255" s="1117">
        <f t="shared" si="663"/>
        <v>0</v>
      </c>
      <c r="DA255" s="1117">
        <f t="shared" si="664"/>
        <v>0</v>
      </c>
      <c r="DB255" s="1117">
        <f t="shared" si="665"/>
        <v>0</v>
      </c>
      <c r="DC255" s="1073"/>
      <c r="DG255" s="1116">
        <f t="shared" si="722"/>
        <v>0</v>
      </c>
      <c r="DH255" s="1117">
        <f t="shared" si="666"/>
        <v>0</v>
      </c>
      <c r="DI255" s="1117">
        <f t="shared" si="667"/>
        <v>0</v>
      </c>
      <c r="DJ255" s="1117">
        <f t="shared" si="668"/>
        <v>0</v>
      </c>
      <c r="DK255" s="1073"/>
      <c r="DO255" s="1116">
        <f t="shared" si="723"/>
        <v>0</v>
      </c>
      <c r="DP255" s="1117">
        <f t="shared" si="669"/>
        <v>0</v>
      </c>
      <c r="DQ255" s="1117">
        <f t="shared" si="670"/>
        <v>0</v>
      </c>
      <c r="DR255" s="1117">
        <f t="shared" si="671"/>
        <v>0</v>
      </c>
      <c r="DS255" s="1073"/>
      <c r="DW255" s="1116">
        <f t="shared" si="724"/>
        <v>0</v>
      </c>
      <c r="DX255" s="1117">
        <f t="shared" si="672"/>
        <v>0</v>
      </c>
      <c r="DY255" s="1117">
        <f t="shared" si="673"/>
        <v>0</v>
      </c>
      <c r="DZ255" s="1117">
        <f t="shared" si="674"/>
        <v>0</v>
      </c>
      <c r="EA255" s="1073"/>
      <c r="EE255" s="1116">
        <f t="shared" si="725"/>
        <v>0</v>
      </c>
      <c r="EF255" s="1117">
        <f t="shared" si="675"/>
        <v>0</v>
      </c>
      <c r="EG255" s="1117">
        <f t="shared" si="676"/>
        <v>0</v>
      </c>
      <c r="EH255" s="1117">
        <f t="shared" si="677"/>
        <v>0</v>
      </c>
      <c r="EI255" s="1073"/>
      <c r="EM255" s="1116">
        <f t="shared" si="726"/>
        <v>0</v>
      </c>
      <c r="EN255" s="1117">
        <f t="shared" si="678"/>
        <v>0</v>
      </c>
      <c r="EO255" s="1117">
        <f t="shared" si="679"/>
        <v>0</v>
      </c>
      <c r="EP255" s="1117">
        <f t="shared" si="680"/>
        <v>0</v>
      </c>
      <c r="EQ255" s="1073"/>
      <c r="EU255" s="1116">
        <f t="shared" si="727"/>
        <v>0</v>
      </c>
      <c r="EV255" s="1117">
        <f t="shared" si="681"/>
        <v>0</v>
      </c>
      <c r="EW255" s="1117">
        <f t="shared" si="682"/>
        <v>0</v>
      </c>
      <c r="EX255" s="1117">
        <f t="shared" si="683"/>
        <v>0</v>
      </c>
      <c r="EY255" s="1073"/>
      <c r="FC255" s="1116">
        <f t="shared" si="728"/>
        <v>0</v>
      </c>
      <c r="FD255" s="1117">
        <f t="shared" si="684"/>
        <v>0</v>
      </c>
      <c r="FE255" s="1117">
        <f t="shared" si="685"/>
        <v>0</v>
      </c>
      <c r="FF255" s="1117">
        <f t="shared" si="686"/>
        <v>0</v>
      </c>
      <c r="FG255" s="1073"/>
      <c r="FK255" s="1116">
        <f t="shared" si="729"/>
        <v>0</v>
      </c>
      <c r="FL255" s="1117">
        <f t="shared" si="687"/>
        <v>0</v>
      </c>
      <c r="FM255" s="1117">
        <f t="shared" si="688"/>
        <v>0</v>
      </c>
      <c r="FN255" s="1117">
        <f t="shared" si="689"/>
        <v>0</v>
      </c>
      <c r="FO255" s="1073"/>
    </row>
    <row r="256" spans="1:171">
      <c r="A256" s="944"/>
      <c r="B256" s="913" t="s">
        <v>30</v>
      </c>
      <c r="C256" s="888" t="s">
        <v>69</v>
      </c>
      <c r="D256" s="1015">
        <v>114</v>
      </c>
      <c r="E256" s="182" t="str">
        <f>'Sch 3 - Expenses'!E96</f>
        <v>DIRECT</v>
      </c>
      <c r="F256" s="889"/>
      <c r="G256" s="182">
        <f>'Sch 3 - Expenses'!G96</f>
        <v>0</v>
      </c>
      <c r="H256" s="182">
        <f>'Sch 3 - Expenses'!H96</f>
        <v>0</v>
      </c>
      <c r="I256" s="182">
        <f>'Sch 3 - Expenses'!I96</f>
        <v>0</v>
      </c>
      <c r="J256" s="183">
        <f>'Sch 3 - Expenses'!J96</f>
        <v>0</v>
      </c>
      <c r="K256" s="903">
        <f t="shared" si="629"/>
        <v>0</v>
      </c>
      <c r="O256" s="1116">
        <f t="shared" si="710"/>
        <v>0</v>
      </c>
      <c r="P256" s="1117">
        <f t="shared" si="630"/>
        <v>0</v>
      </c>
      <c r="Q256" s="1117">
        <f t="shared" si="631"/>
        <v>0</v>
      </c>
      <c r="R256" s="1117">
        <f t="shared" si="632"/>
        <v>0</v>
      </c>
      <c r="S256" s="1073"/>
      <c r="W256" s="1116">
        <f t="shared" si="711"/>
        <v>0</v>
      </c>
      <c r="X256" s="1117">
        <f t="shared" si="633"/>
        <v>0</v>
      </c>
      <c r="Y256" s="1117">
        <f t="shared" si="634"/>
        <v>0</v>
      </c>
      <c r="Z256" s="1117">
        <f t="shared" si="635"/>
        <v>0</v>
      </c>
      <c r="AA256" s="1073"/>
      <c r="AE256" s="1116">
        <f t="shared" si="712"/>
        <v>0</v>
      </c>
      <c r="AF256" s="1117">
        <f t="shared" si="636"/>
        <v>0</v>
      </c>
      <c r="AG256" s="1117">
        <f t="shared" si="637"/>
        <v>0</v>
      </c>
      <c r="AH256" s="1117">
        <f t="shared" si="638"/>
        <v>0</v>
      </c>
      <c r="AI256" s="1073"/>
      <c r="AM256" s="1116">
        <f t="shared" si="713"/>
        <v>0</v>
      </c>
      <c r="AN256" s="1117">
        <f t="shared" si="639"/>
        <v>0</v>
      </c>
      <c r="AO256" s="1117">
        <f t="shared" si="640"/>
        <v>0</v>
      </c>
      <c r="AP256" s="1117">
        <f t="shared" si="641"/>
        <v>0</v>
      </c>
      <c r="AQ256" s="1073"/>
      <c r="AU256" s="1116">
        <f t="shared" si="714"/>
        <v>0</v>
      </c>
      <c r="AV256" s="1117">
        <f t="shared" si="642"/>
        <v>0</v>
      </c>
      <c r="AW256" s="1117">
        <f t="shared" si="643"/>
        <v>0</v>
      </c>
      <c r="AX256" s="1117">
        <f t="shared" si="644"/>
        <v>0</v>
      </c>
      <c r="AY256" s="1073"/>
      <c r="BC256" s="1116">
        <f t="shared" si="715"/>
        <v>0</v>
      </c>
      <c r="BD256" s="1117">
        <f t="shared" si="645"/>
        <v>0</v>
      </c>
      <c r="BE256" s="1117">
        <f t="shared" si="646"/>
        <v>0</v>
      </c>
      <c r="BF256" s="1117">
        <f t="shared" si="647"/>
        <v>0</v>
      </c>
      <c r="BG256" s="1073"/>
      <c r="BK256" s="1116">
        <f t="shared" si="716"/>
        <v>0</v>
      </c>
      <c r="BL256" s="1117">
        <f t="shared" si="648"/>
        <v>0</v>
      </c>
      <c r="BM256" s="1117">
        <f t="shared" si="649"/>
        <v>0</v>
      </c>
      <c r="BN256" s="1117">
        <f t="shared" si="650"/>
        <v>0</v>
      </c>
      <c r="BO256" s="1073"/>
      <c r="BS256" s="1116">
        <f t="shared" si="717"/>
        <v>0</v>
      </c>
      <c r="BT256" s="1117">
        <f t="shared" si="651"/>
        <v>0</v>
      </c>
      <c r="BU256" s="1117">
        <f t="shared" si="652"/>
        <v>0</v>
      </c>
      <c r="BV256" s="1117">
        <f t="shared" si="653"/>
        <v>0</v>
      </c>
      <c r="BW256" s="1073"/>
      <c r="CA256" s="1116">
        <f t="shared" si="718"/>
        <v>0</v>
      </c>
      <c r="CB256" s="1117">
        <f t="shared" si="654"/>
        <v>0</v>
      </c>
      <c r="CC256" s="1117">
        <f t="shared" si="655"/>
        <v>0</v>
      </c>
      <c r="CD256" s="1117">
        <f t="shared" si="656"/>
        <v>0</v>
      </c>
      <c r="CE256" s="1073"/>
      <c r="CI256" s="1116">
        <f t="shared" si="719"/>
        <v>0</v>
      </c>
      <c r="CJ256" s="1117">
        <f t="shared" si="657"/>
        <v>0</v>
      </c>
      <c r="CK256" s="1117">
        <f t="shared" si="658"/>
        <v>0</v>
      </c>
      <c r="CL256" s="1117">
        <f t="shared" si="659"/>
        <v>0</v>
      </c>
      <c r="CM256" s="1073"/>
      <c r="CQ256" s="1116">
        <f t="shared" si="720"/>
        <v>0</v>
      </c>
      <c r="CR256" s="1117">
        <f t="shared" si="660"/>
        <v>0</v>
      </c>
      <c r="CS256" s="1117">
        <f t="shared" si="661"/>
        <v>0</v>
      </c>
      <c r="CT256" s="1117">
        <f t="shared" si="662"/>
        <v>0</v>
      </c>
      <c r="CU256" s="1073"/>
      <c r="CY256" s="1116">
        <f t="shared" si="721"/>
        <v>0</v>
      </c>
      <c r="CZ256" s="1117">
        <f t="shared" si="663"/>
        <v>0</v>
      </c>
      <c r="DA256" s="1117">
        <f t="shared" si="664"/>
        <v>0</v>
      </c>
      <c r="DB256" s="1117">
        <f t="shared" si="665"/>
        <v>0</v>
      </c>
      <c r="DC256" s="1073"/>
      <c r="DG256" s="1116">
        <f t="shared" si="722"/>
        <v>0</v>
      </c>
      <c r="DH256" s="1117">
        <f t="shared" si="666"/>
        <v>0</v>
      </c>
      <c r="DI256" s="1117">
        <f t="shared" si="667"/>
        <v>0</v>
      </c>
      <c r="DJ256" s="1117">
        <f t="shared" si="668"/>
        <v>0</v>
      </c>
      <c r="DK256" s="1073"/>
      <c r="DO256" s="1116">
        <f t="shared" si="723"/>
        <v>0</v>
      </c>
      <c r="DP256" s="1117">
        <f t="shared" si="669"/>
        <v>0</v>
      </c>
      <c r="DQ256" s="1117">
        <f t="shared" si="670"/>
        <v>0</v>
      </c>
      <c r="DR256" s="1117">
        <f t="shared" si="671"/>
        <v>0</v>
      </c>
      <c r="DS256" s="1073"/>
      <c r="DW256" s="1116">
        <f t="shared" si="724"/>
        <v>0</v>
      </c>
      <c r="DX256" s="1117">
        <f t="shared" si="672"/>
        <v>0</v>
      </c>
      <c r="DY256" s="1117">
        <f t="shared" si="673"/>
        <v>0</v>
      </c>
      <c r="DZ256" s="1117">
        <f t="shared" si="674"/>
        <v>0</v>
      </c>
      <c r="EA256" s="1073"/>
      <c r="EE256" s="1116">
        <f t="shared" si="725"/>
        <v>0</v>
      </c>
      <c r="EF256" s="1117">
        <f t="shared" si="675"/>
        <v>0</v>
      </c>
      <c r="EG256" s="1117">
        <f t="shared" si="676"/>
        <v>0</v>
      </c>
      <c r="EH256" s="1117">
        <f t="shared" si="677"/>
        <v>0</v>
      </c>
      <c r="EI256" s="1073"/>
      <c r="EM256" s="1116">
        <f t="shared" si="726"/>
        <v>0</v>
      </c>
      <c r="EN256" s="1117">
        <f t="shared" si="678"/>
        <v>0</v>
      </c>
      <c r="EO256" s="1117">
        <f t="shared" si="679"/>
        <v>0</v>
      </c>
      <c r="EP256" s="1117">
        <f t="shared" si="680"/>
        <v>0</v>
      </c>
      <c r="EQ256" s="1073"/>
      <c r="EU256" s="1116">
        <f t="shared" si="727"/>
        <v>0</v>
      </c>
      <c r="EV256" s="1117">
        <f t="shared" si="681"/>
        <v>0</v>
      </c>
      <c r="EW256" s="1117">
        <f t="shared" si="682"/>
        <v>0</v>
      </c>
      <c r="EX256" s="1117">
        <f t="shared" si="683"/>
        <v>0</v>
      </c>
      <c r="EY256" s="1073"/>
      <c r="FC256" s="1116">
        <f t="shared" si="728"/>
        <v>0</v>
      </c>
      <c r="FD256" s="1117">
        <f t="shared" si="684"/>
        <v>0</v>
      </c>
      <c r="FE256" s="1117">
        <f t="shared" si="685"/>
        <v>0</v>
      </c>
      <c r="FF256" s="1117">
        <f t="shared" si="686"/>
        <v>0</v>
      </c>
      <c r="FG256" s="1073"/>
      <c r="FK256" s="1116">
        <f t="shared" si="729"/>
        <v>0</v>
      </c>
      <c r="FL256" s="1117">
        <f t="shared" si="687"/>
        <v>0</v>
      </c>
      <c r="FM256" s="1117">
        <f t="shared" si="688"/>
        <v>0</v>
      </c>
      <c r="FN256" s="1117">
        <f t="shared" si="689"/>
        <v>0</v>
      </c>
      <c r="FO256" s="1073"/>
    </row>
    <row r="257" spans="1:171">
      <c r="A257" s="163" t="s">
        <v>475</v>
      </c>
      <c r="B257" s="10"/>
      <c r="C257" s="914"/>
      <c r="D257" s="915"/>
      <c r="E257" s="915"/>
      <c r="F257" s="916"/>
      <c r="G257" s="923">
        <f>SUM(G241:G256)</f>
        <v>196011330</v>
      </c>
      <c r="H257" s="923">
        <f>SUM(H241:H256)</f>
        <v>68416991.049363852</v>
      </c>
      <c r="I257" s="923">
        <f>SUM(I241:I256)</f>
        <v>0</v>
      </c>
      <c r="J257" s="1393">
        <f>SUM(J241:J256)</f>
        <v>127594338.94920164</v>
      </c>
      <c r="K257" s="903"/>
      <c r="O257" s="1135">
        <f>SUM(O241:O256)</f>
        <v>196011330</v>
      </c>
      <c r="P257" s="1135">
        <f>SUM(P241:P256)</f>
        <v>68416991.049363852</v>
      </c>
      <c r="Q257" s="1135">
        <f>SUM(Q241:Q256)</f>
        <v>22386177.132549886</v>
      </c>
      <c r="R257" s="1135">
        <f>SUM(R241:R256)</f>
        <v>105208161.81808627</v>
      </c>
      <c r="S257" s="1073"/>
      <c r="W257" s="1135">
        <f>SUM(W241:W256)</f>
        <v>196011330</v>
      </c>
      <c r="X257" s="1135">
        <f>SUM(X241:X256)</f>
        <v>68416991.049363852</v>
      </c>
      <c r="Y257" s="1135">
        <f>SUM(Y241:Y256)</f>
        <v>22386177.132549886</v>
      </c>
      <c r="Z257" s="1135">
        <f>SUM(Z241:Z256)</f>
        <v>105208161.81808627</v>
      </c>
      <c r="AA257" s="1073"/>
      <c r="AE257" s="1135">
        <f>SUM(AE241:AE256)</f>
        <v>196011330</v>
      </c>
      <c r="AF257" s="1135">
        <f>SUM(AF241:AF256)</f>
        <v>68416991.049363852</v>
      </c>
      <c r="AG257" s="1135">
        <f>SUM(AG241:AG256)</f>
        <v>22386177.132549886</v>
      </c>
      <c r="AH257" s="1135">
        <f>SUM(AH241:AH256)</f>
        <v>105208161.81808627</v>
      </c>
      <c r="AI257" s="1073"/>
      <c r="AM257" s="1135">
        <f>SUM(AM241:AM256)</f>
        <v>196011330</v>
      </c>
      <c r="AN257" s="1135">
        <f>SUM(AN241:AN256)</f>
        <v>68416991.049363852</v>
      </c>
      <c r="AO257" s="1135">
        <f>SUM(AO241:AO256)</f>
        <v>22386177.132549886</v>
      </c>
      <c r="AP257" s="1135">
        <f>SUM(AP241:AP256)</f>
        <v>105208161.81808627</v>
      </c>
      <c r="AQ257" s="1073"/>
      <c r="AU257" s="1135">
        <f>SUM(AU241:AU256)</f>
        <v>196011330</v>
      </c>
      <c r="AV257" s="1135">
        <f>SUM(AV241:AV256)</f>
        <v>68416991.049363852</v>
      </c>
      <c r="AW257" s="1135">
        <f>SUM(AW241:AW256)</f>
        <v>22386177.132549886</v>
      </c>
      <c r="AX257" s="1135">
        <f>SUM(AX241:AX256)</f>
        <v>105208161.81808627</v>
      </c>
      <c r="AY257" s="1073"/>
      <c r="BC257" s="1135">
        <f>SUM(BC241:BC256)</f>
        <v>196011330</v>
      </c>
      <c r="BD257" s="1135">
        <f>SUM(BD241:BD256)</f>
        <v>68416991.049363852</v>
      </c>
      <c r="BE257" s="1135">
        <f>SUM(BE241:BE256)</f>
        <v>22386177.132549886</v>
      </c>
      <c r="BF257" s="1135">
        <f>SUM(BF241:BF256)</f>
        <v>105208161.81808627</v>
      </c>
      <c r="BG257" s="1073"/>
      <c r="BK257" s="1135">
        <f>SUM(BK241:BK256)</f>
        <v>196011330</v>
      </c>
      <c r="BL257" s="1135">
        <f>SUM(BL241:BL256)</f>
        <v>68416991.049363852</v>
      </c>
      <c r="BM257" s="1135">
        <f>SUM(BM241:BM256)</f>
        <v>22386177.132549886</v>
      </c>
      <c r="BN257" s="1135">
        <f>SUM(BN241:BN256)</f>
        <v>105208161.81808627</v>
      </c>
      <c r="BO257" s="1073"/>
      <c r="BS257" s="1135">
        <f>SUM(BS241:BS256)</f>
        <v>196011330</v>
      </c>
      <c r="BT257" s="1135">
        <f>SUM(BT241:BT256)</f>
        <v>68416991.049363852</v>
      </c>
      <c r="BU257" s="1135">
        <f>SUM(BU241:BU256)</f>
        <v>22386177.132549886</v>
      </c>
      <c r="BV257" s="1135">
        <f>SUM(BV241:BV256)</f>
        <v>105208161.81808627</v>
      </c>
      <c r="BW257" s="1073"/>
      <c r="CA257" s="1135">
        <f>SUM(CA241:CA256)</f>
        <v>196011330</v>
      </c>
      <c r="CB257" s="1135">
        <f>SUM(CB241:CB256)</f>
        <v>68416991.049363852</v>
      </c>
      <c r="CC257" s="1135">
        <f>SUM(CC241:CC256)</f>
        <v>22386177.132549886</v>
      </c>
      <c r="CD257" s="1135">
        <f>SUM(CD241:CD256)</f>
        <v>105208161.81808627</v>
      </c>
      <c r="CE257" s="1073"/>
      <c r="CI257" s="1135">
        <f>SUM(CI241:CI256)</f>
        <v>196011330</v>
      </c>
      <c r="CJ257" s="1135">
        <f>SUM(CJ241:CJ256)</f>
        <v>68416991.049363852</v>
      </c>
      <c r="CK257" s="1135">
        <f>SUM(CK241:CK256)</f>
        <v>22386177.132549886</v>
      </c>
      <c r="CL257" s="1135">
        <f>SUM(CL241:CL256)</f>
        <v>105208161.81808627</v>
      </c>
      <c r="CM257" s="1073"/>
      <c r="CQ257" s="1135">
        <f>SUM(CQ241:CQ256)</f>
        <v>196011330</v>
      </c>
      <c r="CR257" s="1135">
        <f>SUM(CR241:CR256)</f>
        <v>68416991.049363852</v>
      </c>
      <c r="CS257" s="1135">
        <f>SUM(CS241:CS256)</f>
        <v>22386177.132549886</v>
      </c>
      <c r="CT257" s="1135">
        <f>SUM(CT241:CT256)</f>
        <v>105208161.81808627</v>
      </c>
      <c r="CU257" s="1073"/>
      <c r="CY257" s="1135">
        <f>SUM(CY241:CY256)</f>
        <v>196011330</v>
      </c>
      <c r="CZ257" s="1135">
        <f>SUM(CZ241:CZ256)</f>
        <v>68416991.049363852</v>
      </c>
      <c r="DA257" s="1135">
        <f>SUM(DA241:DA256)</f>
        <v>22386177.132549886</v>
      </c>
      <c r="DB257" s="1135">
        <f>SUM(DB241:DB256)</f>
        <v>105208161.81808627</v>
      </c>
      <c r="DC257" s="1073"/>
      <c r="DG257" s="1135">
        <f>SUM(DG241:DG256)</f>
        <v>196011330</v>
      </c>
      <c r="DH257" s="1135">
        <f>SUM(DH241:DH256)</f>
        <v>68416991.049363852</v>
      </c>
      <c r="DI257" s="1135">
        <f>SUM(DI241:DI256)</f>
        <v>22386177.132549886</v>
      </c>
      <c r="DJ257" s="1135">
        <f>SUM(DJ241:DJ256)</f>
        <v>105208161.81808627</v>
      </c>
      <c r="DK257" s="1073"/>
      <c r="DO257" s="1135">
        <f>SUM(DO241:DO256)</f>
        <v>196011330</v>
      </c>
      <c r="DP257" s="1135">
        <f>SUM(DP241:DP256)</f>
        <v>68416991.049363852</v>
      </c>
      <c r="DQ257" s="1135">
        <f>SUM(DQ241:DQ256)</f>
        <v>22386177.132549886</v>
      </c>
      <c r="DR257" s="1135">
        <f>SUM(DR241:DR256)</f>
        <v>105208161.81808627</v>
      </c>
      <c r="DS257" s="1073"/>
      <c r="DW257" s="1135">
        <f>SUM(DW241:DW256)</f>
        <v>196011330</v>
      </c>
      <c r="DX257" s="1135">
        <f>SUM(DX241:DX256)</f>
        <v>68416991.049363852</v>
      </c>
      <c r="DY257" s="1135">
        <f>SUM(DY241:DY256)</f>
        <v>22386177.132549886</v>
      </c>
      <c r="DZ257" s="1135">
        <f>SUM(DZ241:DZ256)</f>
        <v>105208161.81808627</v>
      </c>
      <c r="EA257" s="1073"/>
      <c r="EE257" s="1135">
        <f>SUM(EE241:EE256)</f>
        <v>196011330</v>
      </c>
      <c r="EF257" s="1135">
        <f>SUM(EF241:EF256)</f>
        <v>68416991.049363852</v>
      </c>
      <c r="EG257" s="1135">
        <f>SUM(EG241:EG256)</f>
        <v>22386177.132549886</v>
      </c>
      <c r="EH257" s="1135">
        <f>SUM(EH241:EH256)</f>
        <v>105208161.81808627</v>
      </c>
      <c r="EI257" s="1073"/>
      <c r="EM257" s="1135">
        <f>SUM(EM241:EM256)</f>
        <v>196011330</v>
      </c>
      <c r="EN257" s="1135">
        <f>SUM(EN241:EN256)</f>
        <v>68416991.049363852</v>
      </c>
      <c r="EO257" s="1135">
        <f>SUM(EO241:EO256)</f>
        <v>22386177.132549886</v>
      </c>
      <c r="EP257" s="1135">
        <f>SUM(EP241:EP256)</f>
        <v>105208161.81808627</v>
      </c>
      <c r="EQ257" s="1073"/>
      <c r="EU257" s="1135">
        <f>SUM(EU241:EU256)</f>
        <v>196011330</v>
      </c>
      <c r="EV257" s="1135">
        <f>SUM(EV241:EV256)</f>
        <v>68416991.049363852</v>
      </c>
      <c r="EW257" s="1135">
        <f>SUM(EW241:EW256)</f>
        <v>22386177.132549886</v>
      </c>
      <c r="EX257" s="1135">
        <f>SUM(EX241:EX256)</f>
        <v>105208161.81808627</v>
      </c>
      <c r="EY257" s="1073"/>
      <c r="FC257" s="1135">
        <f>SUM(FC241:FC256)</f>
        <v>196011330</v>
      </c>
      <c r="FD257" s="1135">
        <f>SUM(FD241:FD256)</f>
        <v>68416991.049363852</v>
      </c>
      <c r="FE257" s="1135">
        <f>SUM(FE241:FE256)</f>
        <v>22386177.132549886</v>
      </c>
      <c r="FF257" s="1135">
        <f>SUM(FF241:FF256)</f>
        <v>105208161.81808627</v>
      </c>
      <c r="FG257" s="1073"/>
      <c r="FK257" s="1135">
        <f>SUM(FK241:FK256)</f>
        <v>196011330</v>
      </c>
      <c r="FL257" s="1135">
        <f>SUM(FL241:FL256)</f>
        <v>68416991.049363852</v>
      </c>
      <c r="FM257" s="1135">
        <f>SUM(FM241:FM256)</f>
        <v>22386177.132549886</v>
      </c>
      <c r="FN257" s="1135">
        <f>SUM(FN241:FN256)</f>
        <v>105208161.81808627</v>
      </c>
      <c r="FO257" s="1073"/>
    </row>
    <row r="258" spans="1:171">
      <c r="A258" s="163"/>
      <c r="B258" s="10"/>
      <c r="C258" s="55"/>
      <c r="D258" s="196"/>
      <c r="E258" s="10"/>
      <c r="F258" s="10"/>
      <c r="G258" s="1016"/>
      <c r="H258" s="1017"/>
      <c r="I258" s="1017"/>
      <c r="J258" s="1018"/>
      <c r="K258" s="903"/>
      <c r="S258" s="1073"/>
      <c r="AA258" s="1073"/>
      <c r="AI258" s="1073"/>
      <c r="AQ258" s="1073"/>
      <c r="AY258" s="1073"/>
      <c r="BG258" s="1073"/>
      <c r="BO258" s="1073"/>
      <c r="BW258" s="1073"/>
      <c r="CE258" s="1073"/>
      <c r="CM258" s="1073"/>
      <c r="CU258" s="1073"/>
      <c r="DC258" s="1073"/>
      <c r="DK258" s="1073"/>
      <c r="DS258" s="1073"/>
      <c r="EA258" s="1073"/>
      <c r="EI258" s="1073"/>
      <c r="EQ258" s="1073"/>
      <c r="EY258" s="1073"/>
      <c r="FG258" s="1073"/>
      <c r="FO258" s="1073"/>
    </row>
    <row r="259" spans="1:171">
      <c r="A259" s="170"/>
      <c r="B259" s="79"/>
      <c r="C259" s="79"/>
      <c r="D259" s="79"/>
      <c r="E259" s="79"/>
      <c r="F259" s="79"/>
      <c r="G259" s="1011"/>
      <c r="H259" s="1"/>
      <c r="I259" s="1"/>
      <c r="J259" s="171"/>
      <c r="K259" s="903"/>
      <c r="S259" s="1073"/>
      <c r="AA259" s="1073"/>
      <c r="AI259" s="1073"/>
      <c r="AQ259" s="1073"/>
      <c r="AY259" s="1073"/>
      <c r="BG259" s="1073"/>
      <c r="BO259" s="1073"/>
      <c r="BW259" s="1073"/>
      <c r="CE259" s="1073"/>
      <c r="CM259" s="1073"/>
      <c r="CU259" s="1073"/>
      <c r="DC259" s="1073"/>
      <c r="DK259" s="1073"/>
      <c r="DS259" s="1073"/>
      <c r="EA259" s="1073"/>
      <c r="EI259" s="1073"/>
      <c r="EQ259" s="1073"/>
      <c r="EY259" s="1073"/>
      <c r="FG259" s="1073"/>
      <c r="FO259" s="1073"/>
    </row>
    <row r="260" spans="1:171">
      <c r="A260" s="163" t="s">
        <v>50</v>
      </c>
      <c r="B260" s="64"/>
      <c r="C260" s="914"/>
      <c r="D260" s="915"/>
      <c r="E260" s="915"/>
      <c r="F260" s="916"/>
      <c r="G260" s="923">
        <f>G237+G257</f>
        <v>937273416.83000004</v>
      </c>
      <c r="H260" s="923">
        <f>H237+H257</f>
        <v>611677016.79410982</v>
      </c>
      <c r="I260" s="923">
        <f>I237+I257</f>
        <v>0</v>
      </c>
      <c r="J260" s="1393">
        <f>J237+J257</f>
        <v>325596400.03416735</v>
      </c>
      <c r="K260" s="903"/>
      <c r="O260" s="1136">
        <f>O237+O257</f>
        <v>937273416.83000004</v>
      </c>
      <c r="P260" s="1136">
        <f>P237+P257</f>
        <v>611677016.79410982</v>
      </c>
      <c r="Q260" s="1136">
        <f>Q237+Q257</f>
        <v>47412482.929716811</v>
      </c>
      <c r="R260" s="1136">
        <f>R237+R257</f>
        <v>278183917.10617346</v>
      </c>
      <c r="S260" s="1073"/>
      <c r="W260" s="1136">
        <f>W237+W257</f>
        <v>937273416.83000004</v>
      </c>
      <c r="X260" s="1136">
        <f>X237+X257</f>
        <v>611677016.79410982</v>
      </c>
      <c r="Y260" s="1136">
        <f>Y237+Y257</f>
        <v>47412482.929716811</v>
      </c>
      <c r="Z260" s="1136">
        <f>Z237+Z257</f>
        <v>278183917.10617346</v>
      </c>
      <c r="AA260" s="1073"/>
      <c r="AE260" s="1136">
        <f>AE237+AE257</f>
        <v>937273416.83000004</v>
      </c>
      <c r="AF260" s="1136">
        <f>AF237+AF257</f>
        <v>611677016.79410982</v>
      </c>
      <c r="AG260" s="1136">
        <f>AG237+AG257</f>
        <v>47412482.929716811</v>
      </c>
      <c r="AH260" s="1136">
        <f>AH237+AH257</f>
        <v>278183917.10617346</v>
      </c>
      <c r="AI260" s="1073"/>
      <c r="AM260" s="1136">
        <f>AM237+AM257</f>
        <v>937273416.83000004</v>
      </c>
      <c r="AN260" s="1136">
        <f>AN237+AN257</f>
        <v>611677016.79410982</v>
      </c>
      <c r="AO260" s="1136">
        <f>AO237+AO257</f>
        <v>47412482.929716811</v>
      </c>
      <c r="AP260" s="1136">
        <f>AP237+AP257</f>
        <v>278183917.10617346</v>
      </c>
      <c r="AQ260" s="1073"/>
      <c r="AU260" s="1136">
        <f>AU237+AU257</f>
        <v>937273416.83000004</v>
      </c>
      <c r="AV260" s="1136">
        <f>AV237+AV257</f>
        <v>611677016.79410982</v>
      </c>
      <c r="AW260" s="1136">
        <f>AW237+AW257</f>
        <v>47412482.929716811</v>
      </c>
      <c r="AX260" s="1136">
        <f>AX237+AX257</f>
        <v>278183917.10617346</v>
      </c>
      <c r="AY260" s="1073"/>
      <c r="BC260" s="1136">
        <f>BC237+BC257</f>
        <v>937273416.83000004</v>
      </c>
      <c r="BD260" s="1136">
        <f>BD237+BD257</f>
        <v>611677016.79410982</v>
      </c>
      <c r="BE260" s="1136">
        <f>BE237+BE257</f>
        <v>47412482.929716811</v>
      </c>
      <c r="BF260" s="1136">
        <f>BF237+BF257</f>
        <v>278183917.10617346</v>
      </c>
      <c r="BG260" s="1073"/>
      <c r="BK260" s="1136">
        <f>BK237+BK257</f>
        <v>937273416.83000004</v>
      </c>
      <c r="BL260" s="1136">
        <f>BL237+BL257</f>
        <v>611677016.79410982</v>
      </c>
      <c r="BM260" s="1136">
        <f>BM237+BM257</f>
        <v>47412482.929716811</v>
      </c>
      <c r="BN260" s="1136">
        <f>BN237+BN257</f>
        <v>278183917.10617346</v>
      </c>
      <c r="BO260" s="1073"/>
      <c r="BS260" s="1136">
        <f>BS237+BS257</f>
        <v>937273416.83000004</v>
      </c>
      <c r="BT260" s="1136">
        <f>BT237+BT257</f>
        <v>611677016.79410982</v>
      </c>
      <c r="BU260" s="1136">
        <f>BU237+BU257</f>
        <v>47412482.929716811</v>
      </c>
      <c r="BV260" s="1136">
        <f>BV237+BV257</f>
        <v>278183917.10617346</v>
      </c>
      <c r="BW260" s="1073"/>
      <c r="CA260" s="1136">
        <f>CA237+CA257</f>
        <v>937273416.83000004</v>
      </c>
      <c r="CB260" s="1136">
        <f>CB237+CB257</f>
        <v>611677016.79410982</v>
      </c>
      <c r="CC260" s="1136">
        <f>CC237+CC257</f>
        <v>47412482.929716811</v>
      </c>
      <c r="CD260" s="1136">
        <f>CD237+CD257</f>
        <v>278183917.10617346</v>
      </c>
      <c r="CE260" s="1073"/>
      <c r="CI260" s="1136">
        <f>CI237+CI257</f>
        <v>937273416.83000004</v>
      </c>
      <c r="CJ260" s="1136">
        <f>CJ237+CJ257</f>
        <v>611677016.79410982</v>
      </c>
      <c r="CK260" s="1136">
        <f>CK237+CK257</f>
        <v>47412482.929716811</v>
      </c>
      <c r="CL260" s="1136">
        <f>CL237+CL257</f>
        <v>278183917.10617346</v>
      </c>
      <c r="CM260" s="1073"/>
      <c r="CQ260" s="1136">
        <f>CQ237+CQ257</f>
        <v>937273416.83000004</v>
      </c>
      <c r="CR260" s="1136">
        <f>CR237+CR257</f>
        <v>611677016.79410982</v>
      </c>
      <c r="CS260" s="1136">
        <f>CS237+CS257</f>
        <v>47412482.929716811</v>
      </c>
      <c r="CT260" s="1136">
        <f>CT237+CT257</f>
        <v>278183917.10617346</v>
      </c>
      <c r="CU260" s="1073"/>
      <c r="CY260" s="1136">
        <f>CY237+CY257</f>
        <v>937273416.83000004</v>
      </c>
      <c r="CZ260" s="1136">
        <f>CZ237+CZ257</f>
        <v>611677016.79410982</v>
      </c>
      <c r="DA260" s="1136">
        <f>DA237+DA257</f>
        <v>47412482.929716811</v>
      </c>
      <c r="DB260" s="1136">
        <f>DB237+DB257</f>
        <v>278183917.10617346</v>
      </c>
      <c r="DC260" s="1073"/>
      <c r="DG260" s="1136">
        <f>DG237+DG257</f>
        <v>937273416.83000004</v>
      </c>
      <c r="DH260" s="1136">
        <f>DH237+DH257</f>
        <v>611677016.79410982</v>
      </c>
      <c r="DI260" s="1136">
        <f>DI237+DI257</f>
        <v>47412482.929716811</v>
      </c>
      <c r="DJ260" s="1136">
        <f>DJ237+DJ257</f>
        <v>278183917.10617346</v>
      </c>
      <c r="DK260" s="1073"/>
      <c r="DO260" s="1136">
        <f>DO237+DO257</f>
        <v>937273416.83000004</v>
      </c>
      <c r="DP260" s="1136">
        <f>DP237+DP257</f>
        <v>611677016.79410982</v>
      </c>
      <c r="DQ260" s="1136">
        <f>DQ237+DQ257</f>
        <v>47412482.929716811</v>
      </c>
      <c r="DR260" s="1136">
        <f>DR237+DR257</f>
        <v>278183917.10617346</v>
      </c>
      <c r="DS260" s="1073"/>
      <c r="DW260" s="1136">
        <f>DW237+DW257</f>
        <v>937273416.83000004</v>
      </c>
      <c r="DX260" s="1136">
        <f>DX237+DX257</f>
        <v>611677016.79410982</v>
      </c>
      <c r="DY260" s="1136">
        <f>DY237+DY257</f>
        <v>47412482.929716811</v>
      </c>
      <c r="DZ260" s="1136">
        <f>DZ237+DZ257</f>
        <v>278183917.10617346</v>
      </c>
      <c r="EA260" s="1073"/>
      <c r="EE260" s="1136">
        <f>EE237+EE257</f>
        <v>937273416.83000004</v>
      </c>
      <c r="EF260" s="1136">
        <f>EF237+EF257</f>
        <v>611677016.79410982</v>
      </c>
      <c r="EG260" s="1136">
        <f>EG237+EG257</f>
        <v>47412482.929716811</v>
      </c>
      <c r="EH260" s="1136">
        <f>EH237+EH257</f>
        <v>278183917.10617346</v>
      </c>
      <c r="EI260" s="1073"/>
      <c r="EM260" s="1136">
        <f>EM237+EM257</f>
        <v>937273416.83000004</v>
      </c>
      <c r="EN260" s="1136">
        <f>EN237+EN257</f>
        <v>611677016.79410982</v>
      </c>
      <c r="EO260" s="1136">
        <f>EO237+EO257</f>
        <v>47412482.929716811</v>
      </c>
      <c r="EP260" s="1136">
        <f>EP237+EP257</f>
        <v>278183917.10617346</v>
      </c>
      <c r="EQ260" s="1073"/>
      <c r="EU260" s="1136">
        <f>EU237+EU257</f>
        <v>937273416.83000004</v>
      </c>
      <c r="EV260" s="1136">
        <f>EV237+EV257</f>
        <v>611677016.79410982</v>
      </c>
      <c r="EW260" s="1136">
        <f>EW237+EW257</f>
        <v>47412482.929716811</v>
      </c>
      <c r="EX260" s="1136">
        <f>EX237+EX257</f>
        <v>278183917.10617346</v>
      </c>
      <c r="EY260" s="1073"/>
      <c r="FC260" s="1136">
        <f>FC237+FC257</f>
        <v>937273416.83000004</v>
      </c>
      <c r="FD260" s="1136">
        <f>FD237+FD257</f>
        <v>611677016.79410982</v>
      </c>
      <c r="FE260" s="1136">
        <f>FE237+FE257</f>
        <v>47412482.929716811</v>
      </c>
      <c r="FF260" s="1136">
        <f>FF237+FF257</f>
        <v>278183917.10617346</v>
      </c>
      <c r="FG260" s="1073"/>
      <c r="FK260" s="1136">
        <f>FK237+FK257</f>
        <v>937273416.83000004</v>
      </c>
      <c r="FL260" s="1136">
        <f>FL237+FL257</f>
        <v>611677016.79410982</v>
      </c>
      <c r="FM260" s="1136">
        <f>FM237+FM257</f>
        <v>47412482.929716811</v>
      </c>
      <c r="FN260" s="1136">
        <f>FN237+FN257</f>
        <v>278183917.10617346</v>
      </c>
      <c r="FO260" s="1073"/>
    </row>
    <row r="261" spans="1:171" ht="16.5" thickBot="1">
      <c r="A261" s="172"/>
      <c r="B261" s="931"/>
      <c r="C261" s="932"/>
      <c r="D261" s="932"/>
      <c r="E261" s="932"/>
      <c r="F261" s="932"/>
      <c r="G261" s="1001"/>
      <c r="H261" s="1002"/>
      <c r="I261" s="1002"/>
      <c r="J261" s="935"/>
      <c r="K261" s="903"/>
      <c r="S261" s="1073"/>
      <c r="AA261" s="1073"/>
      <c r="AI261" s="1073"/>
      <c r="AQ261" s="1073"/>
      <c r="AY261" s="1073"/>
      <c r="BG261" s="1073"/>
      <c r="BO261" s="1073"/>
      <c r="BW261" s="1073"/>
      <c r="CE261" s="1073"/>
      <c r="CM261" s="1073"/>
      <c r="CU261" s="1073"/>
      <c r="DC261" s="1073"/>
      <c r="DK261" s="1073"/>
      <c r="DS261" s="1073"/>
      <c r="EA261" s="1073"/>
      <c r="EI261" s="1073"/>
      <c r="EQ261" s="1073"/>
      <c r="EY261" s="1073"/>
      <c r="FG261" s="1073"/>
      <c r="FO261" s="1073"/>
    </row>
    <row r="262" spans="1:171" ht="16.5" thickTop="1">
      <c r="A262" s="214"/>
      <c r="B262" s="1"/>
      <c r="C262" s="1"/>
      <c r="D262" s="1"/>
      <c r="E262" s="1"/>
      <c r="F262" s="1"/>
      <c r="G262" s="1011"/>
      <c r="H262" s="1011"/>
      <c r="I262" s="1011"/>
      <c r="J262" s="1396"/>
      <c r="K262" s="903"/>
      <c r="S262" s="1073"/>
      <c r="AA262" s="1073"/>
      <c r="AI262" s="1073"/>
      <c r="AQ262" s="1073"/>
      <c r="AY262" s="1073"/>
      <c r="BG262" s="1073"/>
      <c r="BO262" s="1073"/>
      <c r="BW262" s="1073"/>
      <c r="CE262" s="1073"/>
      <c r="CM262" s="1073"/>
      <c r="CU262" s="1073"/>
      <c r="DC262" s="1073"/>
      <c r="DK262" s="1073"/>
      <c r="DS262" s="1073"/>
      <c r="EA262" s="1073"/>
      <c r="EI262" s="1073"/>
      <c r="EQ262" s="1073"/>
      <c r="EY262" s="1073"/>
      <c r="FG262" s="1073"/>
      <c r="FO262" s="1073"/>
    </row>
    <row r="263" spans="1:171" ht="16.5" thickBot="1">
      <c r="A263" s="332" t="s">
        <v>148</v>
      </c>
      <c r="B263" s="1019"/>
      <c r="C263" s="1019"/>
      <c r="D263" s="1019"/>
      <c r="E263" s="147"/>
      <c r="F263" s="4"/>
      <c r="G263" s="1020"/>
      <c r="H263" s="1020"/>
      <c r="I263" s="1021"/>
      <c r="J263" s="1193"/>
      <c r="K263" s="903"/>
      <c r="S263" s="1073"/>
      <c r="AA263" s="1073"/>
      <c r="AI263" s="1073"/>
      <c r="AQ263" s="1073"/>
      <c r="AY263" s="1073"/>
      <c r="BG263" s="1073"/>
      <c r="BO263" s="1073"/>
      <c r="BW263" s="1073"/>
      <c r="CE263" s="1073"/>
      <c r="CM263" s="1073"/>
      <c r="CU263" s="1073"/>
      <c r="DC263" s="1073"/>
      <c r="DK263" s="1073"/>
      <c r="DS263" s="1073"/>
      <c r="EA263" s="1073"/>
      <c r="EI263" s="1073"/>
      <c r="EQ263" s="1073"/>
      <c r="EY263" s="1073"/>
      <c r="FG263" s="1073"/>
      <c r="FO263" s="1073"/>
    </row>
    <row r="264" spans="1:171" ht="17.25" thickTop="1" thickBot="1">
      <c r="A264" s="987"/>
      <c r="B264" s="2382" t="s">
        <v>100</v>
      </c>
      <c r="C264" s="325" t="s">
        <v>323</v>
      </c>
      <c r="D264" s="325"/>
      <c r="E264" s="2490" t="s">
        <v>354</v>
      </c>
      <c r="F264" s="2481"/>
      <c r="G264" s="2482" t="s">
        <v>104</v>
      </c>
      <c r="H264" s="2484" t="s">
        <v>105</v>
      </c>
      <c r="I264" s="2460" t="s">
        <v>106</v>
      </c>
      <c r="J264" s="326"/>
      <c r="K264" s="903"/>
      <c r="S264" s="1073"/>
      <c r="AA264" s="1073"/>
      <c r="AI264" s="1073"/>
      <c r="AQ264" s="1073"/>
      <c r="AY264" s="1073"/>
      <c r="BG264" s="1073"/>
      <c r="BO264" s="1073"/>
      <c r="BW264" s="1073"/>
      <c r="CE264" s="1073"/>
      <c r="CM264" s="1073"/>
      <c r="CU264" s="1073"/>
      <c r="DC264" s="1073"/>
      <c r="DK264" s="1073"/>
      <c r="DS264" s="1073"/>
      <c r="EA264" s="1073"/>
      <c r="EI264" s="1073"/>
      <c r="EQ264" s="1073"/>
      <c r="EY264" s="1073"/>
      <c r="FG264" s="1073"/>
      <c r="FO264" s="1073"/>
    </row>
    <row r="265" spans="1:171" ht="16.5" thickBot="1">
      <c r="A265" s="864"/>
      <c r="B265" s="2463"/>
      <c r="C265" s="322" t="s">
        <v>272</v>
      </c>
      <c r="D265" s="322" t="s">
        <v>96</v>
      </c>
      <c r="E265" s="2467"/>
      <c r="F265" s="2468"/>
      <c r="G265" s="2470"/>
      <c r="H265" s="2473"/>
      <c r="I265" s="2461"/>
      <c r="J265" s="310" t="s">
        <v>98</v>
      </c>
      <c r="K265" s="903"/>
      <c r="S265" s="1073"/>
      <c r="AA265" s="1073"/>
      <c r="AI265" s="1073"/>
      <c r="AQ265" s="1073"/>
      <c r="AY265" s="1073"/>
      <c r="BG265" s="1073"/>
      <c r="BO265" s="1073"/>
      <c r="BW265" s="1073"/>
      <c r="CE265" s="1073"/>
      <c r="CM265" s="1073"/>
      <c r="CU265" s="1073"/>
      <c r="DC265" s="1073"/>
      <c r="DK265" s="1073"/>
      <c r="DS265" s="1073"/>
      <c r="EA265" s="1073"/>
      <c r="EI265" s="1073"/>
      <c r="EQ265" s="1073"/>
      <c r="EY265" s="1073"/>
      <c r="FG265" s="1073"/>
      <c r="FO265" s="1073"/>
    </row>
    <row r="266" spans="1:171" ht="16.5" thickBot="1">
      <c r="A266" s="988"/>
      <c r="B266" s="2464"/>
      <c r="C266" s="311" t="s">
        <v>273</v>
      </c>
      <c r="D266" s="311" t="s">
        <v>252</v>
      </c>
      <c r="E266" s="311" t="s">
        <v>454</v>
      </c>
      <c r="F266" s="311" t="s">
        <v>623</v>
      </c>
      <c r="G266" s="2471"/>
      <c r="H266" s="2474"/>
      <c r="I266" s="2476"/>
      <c r="J266" s="314" t="s">
        <v>107</v>
      </c>
      <c r="K266" s="903"/>
      <c r="S266" s="1073"/>
      <c r="AA266" s="1073"/>
      <c r="AI266" s="1073"/>
      <c r="AQ266" s="1073"/>
      <c r="AY266" s="1073"/>
      <c r="BG266" s="1073"/>
      <c r="BO266" s="1073"/>
      <c r="BW266" s="1073"/>
      <c r="CE266" s="1073"/>
      <c r="CM266" s="1073"/>
      <c r="CU266" s="1073"/>
      <c r="DC266" s="1073"/>
      <c r="DK266" s="1073"/>
      <c r="DS266" s="1073"/>
      <c r="EA266" s="1073"/>
      <c r="EI266" s="1073"/>
      <c r="EQ266" s="1073"/>
      <c r="EY266" s="1073"/>
      <c r="FG266" s="1073"/>
      <c r="FO266" s="1073"/>
    </row>
    <row r="267" spans="1:171" ht="16.5" thickTop="1">
      <c r="A267" s="199" t="s">
        <v>149</v>
      </c>
      <c r="B267" s="79"/>
      <c r="C267" s="150"/>
      <c r="D267" s="195"/>
      <c r="E267" s="196"/>
      <c r="F267" s="196"/>
      <c r="G267" s="197"/>
      <c r="H267" s="198"/>
      <c r="I267" s="198"/>
      <c r="J267" s="200"/>
      <c r="K267" s="903"/>
      <c r="S267" s="1073"/>
      <c r="AA267" s="1073"/>
      <c r="AI267" s="1073"/>
      <c r="AQ267" s="1073"/>
      <c r="AY267" s="1073"/>
      <c r="BG267" s="1073"/>
      <c r="BO267" s="1073"/>
      <c r="BW267" s="1073"/>
      <c r="CE267" s="1073"/>
      <c r="CM267" s="1073"/>
      <c r="CU267" s="1073"/>
      <c r="DC267" s="1073"/>
      <c r="DK267" s="1073"/>
      <c r="DS267" s="1073"/>
      <c r="EA267" s="1073"/>
      <c r="EI267" s="1073"/>
      <c r="EQ267" s="1073"/>
      <c r="EY267" s="1073"/>
      <c r="FG267" s="1073"/>
      <c r="FO267" s="1073"/>
    </row>
    <row r="268" spans="1:171">
      <c r="A268" s="170"/>
      <c r="B268" s="63" t="s">
        <v>35</v>
      </c>
      <c r="C268" s="1022">
        <v>262</v>
      </c>
      <c r="D268" s="1023">
        <v>409.1</v>
      </c>
      <c r="E268" s="182" t="str">
        <f>'Sch 3A - Taxes'!E16</f>
        <v>DIST</v>
      </c>
      <c r="F268" s="889"/>
      <c r="G268" s="182">
        <f>'Sch 3A - Taxes'!F16</f>
        <v>-2240752</v>
      </c>
      <c r="H268" s="182">
        <f>'Sch 3A - Taxes'!G16</f>
        <v>0</v>
      </c>
      <c r="I268" s="182">
        <f>'Sch 3A - Taxes'!H16</f>
        <v>0</v>
      </c>
      <c r="J268" s="183">
        <f>'Sch 3A - Taxes'!I16</f>
        <v>-2240752</v>
      </c>
      <c r="K268" s="903">
        <f>IF($E268="DIRECT",0,1)</f>
        <v>1</v>
      </c>
      <c r="O268" s="1116">
        <f>$G268</f>
        <v>-2240752</v>
      </c>
      <c r="P268" s="1117">
        <f>VLOOKUP($E268,O$442:R$453,2,FALSE)*O268*($K268)+IF($G268&lt;&gt;0,($H268/$G268)*O268,0)*(1-$K268)</f>
        <v>0</v>
      </c>
      <c r="Q268" s="1117">
        <f>VLOOKUP($E268,O$442:R$453,3,FALSE)*O268*($K268)+IF($G268&lt;&gt;0,($I268/$G268)*O268,0)*(1-$K268)</f>
        <v>0</v>
      </c>
      <c r="R268" s="1117">
        <f>VLOOKUP($E268,O$442:R$453,4,FALSE)*O268*($K268)+(O268-P268-Q268)*(1-$K268)</f>
        <v>-2240752</v>
      </c>
      <c r="S268" s="1073"/>
      <c r="W268" s="1116">
        <f>$G268</f>
        <v>-2240752</v>
      </c>
      <c r="X268" s="1117">
        <f>VLOOKUP($E268,W$442:Z$453,2,FALSE)*W268*($K268)+IF($G268&lt;&gt;0,($H268/$G268)*W268,0)*(1-$K268)</f>
        <v>0</v>
      </c>
      <c r="Y268" s="1117">
        <f>VLOOKUP($E268,W$442:Z$453,3,FALSE)*W268*($K268)+IF($G268&lt;&gt;0,($I268/$G268)*W268,0)*(1-$K268)</f>
        <v>0</v>
      </c>
      <c r="Z268" s="1117">
        <f>VLOOKUP($E268,W$442:Z$453,4,FALSE)*W268*($K268)+(W268-X268-Y268)*(1-$K268)</f>
        <v>-2240752</v>
      </c>
      <c r="AA268" s="1073"/>
      <c r="AE268" s="1116">
        <f>$G268</f>
        <v>-2240752</v>
      </c>
      <c r="AF268" s="1117">
        <f>VLOOKUP($E268,AE$442:AH$453,2,FALSE)*AE268*($K268)+IF($G268&lt;&gt;0,($H268/$G268)*AE268,0)*(1-$K268)</f>
        <v>0</v>
      </c>
      <c r="AG268" s="1117">
        <f>VLOOKUP($E268,AE$442:AH$453,3,FALSE)*AE268*($K268)+IF($G268&lt;&gt;0,($I268/$G268)*AE268,0)*(1-$K268)</f>
        <v>0</v>
      </c>
      <c r="AH268" s="1117">
        <f>VLOOKUP($E268,AE$442:AH$453,4,FALSE)*AE268*($K268)+(AE268-AF268-AG268)*(1-$K268)</f>
        <v>-2240752</v>
      </c>
      <c r="AI268" s="1073"/>
      <c r="AM268" s="1116">
        <f>$G268</f>
        <v>-2240752</v>
      </c>
      <c r="AN268" s="1117">
        <f>VLOOKUP($E268,AM$442:AP$453,2,FALSE)*AM268*($K268)+IF($G268&lt;&gt;0,($H268/$G268)*AM268,0)*(1-$K268)</f>
        <v>0</v>
      </c>
      <c r="AO268" s="1117">
        <f>VLOOKUP($E268,AM$442:AP$453,3,FALSE)*AM268*($K268)+IF($G268&lt;&gt;0,($I268/$G268)*AM268,0)*(1-$K268)</f>
        <v>0</v>
      </c>
      <c r="AP268" s="1117">
        <f>VLOOKUP($E268,AM$442:AP$453,4,FALSE)*AM268*($K268)+(AM268-AN268-AO268)*(1-$K268)</f>
        <v>-2240752</v>
      </c>
      <c r="AQ268" s="1073"/>
      <c r="AU268" s="1116">
        <f>$G268</f>
        <v>-2240752</v>
      </c>
      <c r="AV268" s="1117">
        <f>VLOOKUP($E268,AU$442:AX$453,2,FALSE)*AU268*($K268)+IF($G268&lt;&gt;0,($H268/$G268)*AU268,0)*(1-$K268)</f>
        <v>0</v>
      </c>
      <c r="AW268" s="1117">
        <f>VLOOKUP($E268,AU$442:AX$453,3,FALSE)*AU268*($K268)+IF($G268&lt;&gt;0,($I268/$G268)*AU268,0)*(1-$K268)</f>
        <v>0</v>
      </c>
      <c r="AX268" s="1117">
        <f>VLOOKUP($E268,AU$442:AX$453,4,FALSE)*AU268*($K268)+(AU268-AV268-AW268)*(1-$K268)</f>
        <v>-2240752</v>
      </c>
      <c r="AY268" s="1073"/>
      <c r="BC268" s="1116">
        <f>$G268</f>
        <v>-2240752</v>
      </c>
      <c r="BD268" s="1117">
        <f>VLOOKUP($E268,BC$442:BF$453,2,FALSE)*BC268*($K268)+IF($G268&lt;&gt;0,($H268/$G268)*BC268,0)*(1-$K268)</f>
        <v>0</v>
      </c>
      <c r="BE268" s="1117">
        <f>VLOOKUP($E268,BC$442:BF$453,3,FALSE)*BC268*($K268)+IF($G268&lt;&gt;0,($I268/$G268)*BC268,0)*(1-$K268)</f>
        <v>0</v>
      </c>
      <c r="BF268" s="1117">
        <f>VLOOKUP($E268,BC$442:BF$453,4,FALSE)*BC268*($K268)+(BC268-BD268-BE268)*(1-$K268)</f>
        <v>-2240752</v>
      </c>
      <c r="BG268" s="1073"/>
      <c r="BK268" s="1116">
        <f>$G268</f>
        <v>-2240752</v>
      </c>
      <c r="BL268" s="1117">
        <f>VLOOKUP($E268,BK$442:BN$453,2,FALSE)*BK268*($K268)+IF($G268&lt;&gt;0,($H268/$G268)*BK268,0)*(1-$K268)</f>
        <v>0</v>
      </c>
      <c r="BM268" s="1117">
        <f>VLOOKUP($E268,BK$442:BN$453,3,FALSE)*BK268*($K268)+IF($G268&lt;&gt;0,($I268/$G268)*BK268,0)*(1-$K268)</f>
        <v>0</v>
      </c>
      <c r="BN268" s="1117">
        <f>VLOOKUP($E268,BK$442:BN$453,4,FALSE)*BK268*($K268)+(BK268-BL268-BM268)*(1-$K268)</f>
        <v>-2240752</v>
      </c>
      <c r="BO268" s="1073"/>
      <c r="BS268" s="1116">
        <f>$G268</f>
        <v>-2240752</v>
      </c>
      <c r="BT268" s="1117">
        <f>VLOOKUP($E268,BS$442:BV$453,2,FALSE)*BS268*($K268)+IF($G268&lt;&gt;0,($H268/$G268)*BS268,0)*(1-$K268)</f>
        <v>0</v>
      </c>
      <c r="BU268" s="1117">
        <f>VLOOKUP($E268,BS$442:BV$453,3,FALSE)*BS268*($K268)+IF($G268&lt;&gt;0,($I268/$G268)*BS268,0)*(1-$K268)</f>
        <v>0</v>
      </c>
      <c r="BV268" s="1117">
        <f>VLOOKUP($E268,BS$442:BV$453,4,FALSE)*BS268*($K268)+(BS268-BT268-BU268)*(1-$K268)</f>
        <v>-2240752</v>
      </c>
      <c r="BW268" s="1073"/>
      <c r="CA268" s="1116">
        <f>$G268</f>
        <v>-2240752</v>
      </c>
      <c r="CB268" s="1117">
        <f>VLOOKUP($E268,CA$442:CD$453,2,FALSE)*CA268*($K268)+IF($G268&lt;&gt;0,($H268/$G268)*CA268,0)*(1-$K268)</f>
        <v>0</v>
      </c>
      <c r="CC268" s="1117">
        <f>VLOOKUP($E268,CA$442:CD$453,3,FALSE)*CA268*($K268)+IF($G268&lt;&gt;0,($I268/$G268)*CA268,0)*(1-$K268)</f>
        <v>0</v>
      </c>
      <c r="CD268" s="1117">
        <f>VLOOKUP($E268,CA$442:CD$453,4,FALSE)*CA268*($K268)+(CA268-CB268-CC268)*(1-$K268)</f>
        <v>-2240752</v>
      </c>
      <c r="CE268" s="1073"/>
      <c r="CI268" s="1116">
        <f>$G268</f>
        <v>-2240752</v>
      </c>
      <c r="CJ268" s="1117">
        <f>VLOOKUP($E268,CI$442:CL$453,2,FALSE)*CI268*($K268)+IF($G268&lt;&gt;0,($H268/$G268)*CI268,0)*(1-$K268)</f>
        <v>0</v>
      </c>
      <c r="CK268" s="1117">
        <f>VLOOKUP($E268,CI$442:CL$453,3,FALSE)*CI268*($K268)+IF($G268&lt;&gt;0,($I268/$G268)*CI268,0)*(1-$K268)</f>
        <v>0</v>
      </c>
      <c r="CL268" s="1117">
        <f>VLOOKUP($E268,CI$442:CL$453,4,FALSE)*CI268*($K268)+(CI268-CJ268-CK268)*(1-$K268)</f>
        <v>-2240752</v>
      </c>
      <c r="CM268" s="1073"/>
      <c r="CQ268" s="1116">
        <f>$G268</f>
        <v>-2240752</v>
      </c>
      <c r="CR268" s="1117">
        <f>VLOOKUP($E268,CQ$442:CT$453,2,FALSE)*CQ268*($K268)+IF($G268&lt;&gt;0,($H268/$G268)*CQ268,0)*(1-$K268)</f>
        <v>0</v>
      </c>
      <c r="CS268" s="1117">
        <f>VLOOKUP($E268,CQ$442:CT$453,3,FALSE)*CQ268*($K268)+IF($G268&lt;&gt;0,($I268/$G268)*CQ268,0)*(1-$K268)</f>
        <v>0</v>
      </c>
      <c r="CT268" s="1117">
        <f>VLOOKUP($E268,CQ$442:CT$453,4,FALSE)*CQ268*($K268)+(CQ268-CR268-CS268)*(1-$K268)</f>
        <v>-2240752</v>
      </c>
      <c r="CU268" s="1073"/>
      <c r="CY268" s="1116">
        <f>$G268</f>
        <v>-2240752</v>
      </c>
      <c r="CZ268" s="1117">
        <f>VLOOKUP($E268,CY$442:DB$453,2,FALSE)*CY268*($K268)+IF($G268&lt;&gt;0,($H268/$G268)*CY268,0)*(1-$K268)</f>
        <v>0</v>
      </c>
      <c r="DA268" s="1117">
        <f>VLOOKUP($E268,CY$442:DB$453,3,FALSE)*CY268*($K268)+IF($G268&lt;&gt;0,($I268/$G268)*CY268,0)*(1-$K268)</f>
        <v>0</v>
      </c>
      <c r="DB268" s="1117">
        <f>VLOOKUP($E268,CY$442:DB$453,4,FALSE)*CY268*($K268)+(CY268-CZ268-DA268)*(1-$K268)</f>
        <v>-2240752</v>
      </c>
      <c r="DC268" s="1073"/>
      <c r="DG268" s="1116">
        <f>$G268</f>
        <v>-2240752</v>
      </c>
      <c r="DH268" s="1117">
        <f>VLOOKUP($E268,DG$442:DJ$453,2,FALSE)*DG268*($K268)+IF($G268&lt;&gt;0,($H268/$G268)*DG268,0)*(1-$K268)</f>
        <v>0</v>
      </c>
      <c r="DI268" s="1117">
        <f>VLOOKUP($E268,DG$442:DJ$453,3,FALSE)*DG268*($K268)+IF($G268&lt;&gt;0,($I268/$G268)*DG268,0)*(1-$K268)</f>
        <v>0</v>
      </c>
      <c r="DJ268" s="1117">
        <f>VLOOKUP($E268,DG$442:DJ$453,4,FALSE)*DG268*($K268)+(DG268-DH268-DI268)*(1-$K268)</f>
        <v>-2240752</v>
      </c>
      <c r="DK268" s="1073"/>
      <c r="DO268" s="1116">
        <f>$G268</f>
        <v>-2240752</v>
      </c>
      <c r="DP268" s="1117">
        <f>VLOOKUP($E268,DO$442:DR$453,2,FALSE)*DO268*($K268)+IF($G268&lt;&gt;0,($H268/$G268)*DO268,0)*(1-$K268)</f>
        <v>0</v>
      </c>
      <c r="DQ268" s="1117">
        <f>VLOOKUP($E268,DO$442:DR$453,3,FALSE)*DO268*($K268)+IF($G268&lt;&gt;0,($I268/$G268)*DO268,0)*(1-$K268)</f>
        <v>0</v>
      </c>
      <c r="DR268" s="1117">
        <f>VLOOKUP($E268,DO$442:DR$453,4,FALSE)*DO268*($K268)+(DO268-DP268-DQ268)*(1-$K268)</f>
        <v>-2240752</v>
      </c>
      <c r="DS268" s="1073"/>
      <c r="DW268" s="1116">
        <f>$G268</f>
        <v>-2240752</v>
      </c>
      <c r="DX268" s="1117">
        <f>VLOOKUP($E268,DW$442:DZ$453,2,FALSE)*DW268*($K268)+IF($G268&lt;&gt;0,($H268/$G268)*DW268,0)*(1-$K268)</f>
        <v>0</v>
      </c>
      <c r="DY268" s="1117">
        <f>VLOOKUP($E268,DW$442:DZ$453,3,FALSE)*DW268*($K268)+IF($G268&lt;&gt;0,($I268/$G268)*DW268,0)*(1-$K268)</f>
        <v>0</v>
      </c>
      <c r="DZ268" s="1117">
        <f>VLOOKUP($E268,DW$442:DZ$453,4,FALSE)*DW268*($K268)+(DW268-DX268-DY268)*(1-$K268)</f>
        <v>-2240752</v>
      </c>
      <c r="EA268" s="1073"/>
      <c r="EE268" s="1116">
        <f>$G268</f>
        <v>-2240752</v>
      </c>
      <c r="EF268" s="1117">
        <f>VLOOKUP($E268,EE$442:EH$453,2,FALSE)*EE268*($K268)+IF($G268&lt;&gt;0,($H268/$G268)*EE268,0)*(1-$K268)</f>
        <v>0</v>
      </c>
      <c r="EG268" s="1117">
        <f>VLOOKUP($E268,EE$442:EH$453,3,FALSE)*EE268*($K268)+IF($G268&lt;&gt;0,($I268/$G268)*EE268,0)*(1-$K268)</f>
        <v>0</v>
      </c>
      <c r="EH268" s="1117">
        <f>VLOOKUP($E268,EE$442:EH$453,4,FALSE)*EE268*($K268)+(EE268-EF268-EG268)*(1-$K268)</f>
        <v>-2240752</v>
      </c>
      <c r="EI268" s="1073"/>
      <c r="EM268" s="1116">
        <f>$G268</f>
        <v>-2240752</v>
      </c>
      <c r="EN268" s="1117">
        <f>VLOOKUP($E268,EM$442:EP$453,2,FALSE)*EM268*($K268)+IF($G268&lt;&gt;0,($H268/$G268)*EM268,0)*(1-$K268)</f>
        <v>0</v>
      </c>
      <c r="EO268" s="1117">
        <f>VLOOKUP($E268,EM$442:EP$453,3,FALSE)*EM268*($K268)+IF($G268&lt;&gt;0,($I268/$G268)*EM268,0)*(1-$K268)</f>
        <v>0</v>
      </c>
      <c r="EP268" s="1117">
        <f>VLOOKUP($E268,EM$442:EP$453,4,FALSE)*EM268*($K268)+(EM268-EN268-EO268)*(1-$K268)</f>
        <v>-2240752</v>
      </c>
      <c r="EQ268" s="1073"/>
      <c r="EU268" s="1116">
        <f>$G268</f>
        <v>-2240752</v>
      </c>
      <c r="EV268" s="1117">
        <f>VLOOKUP($E268,EU$442:EX$453,2,FALSE)*EU268*($K268)+IF($G268&lt;&gt;0,($H268/$G268)*EU268,0)*(1-$K268)</f>
        <v>0</v>
      </c>
      <c r="EW268" s="1117">
        <f>VLOOKUP($E268,EU$442:EX$453,3,FALSE)*EU268*($K268)+IF($G268&lt;&gt;0,($I268/$G268)*EU268,0)*(1-$K268)</f>
        <v>0</v>
      </c>
      <c r="EX268" s="1117">
        <f>VLOOKUP($E268,EU$442:EX$453,4,FALSE)*EU268*($K268)+(EU268-EV268-EW268)*(1-$K268)</f>
        <v>-2240752</v>
      </c>
      <c r="EY268" s="1073"/>
      <c r="FC268" s="1116">
        <f>$G268</f>
        <v>-2240752</v>
      </c>
      <c r="FD268" s="1117">
        <f>VLOOKUP($E268,FC$442:FF$453,2,FALSE)*FC268*($K268)+IF($G268&lt;&gt;0,($H268/$G268)*FC268,0)*(1-$K268)</f>
        <v>0</v>
      </c>
      <c r="FE268" s="1117">
        <f>VLOOKUP($E268,FC$442:FF$453,3,FALSE)*FC268*($K268)+IF($G268&lt;&gt;0,($I268/$G268)*FC268,0)*(1-$K268)</f>
        <v>0</v>
      </c>
      <c r="FF268" s="1117">
        <f>VLOOKUP($E268,FC$442:FF$453,4,FALSE)*FC268*($K268)+(FC268-FD268-FE268)*(1-$K268)</f>
        <v>-2240752</v>
      </c>
      <c r="FG268" s="1073"/>
      <c r="FK268" s="1116">
        <f>$G268</f>
        <v>-2240752</v>
      </c>
      <c r="FL268" s="1117">
        <f>VLOOKUP($E268,FK$442:FN$453,2,FALSE)*FK268*($K268)+IF($G268&lt;&gt;0,($H268/$G268)*FK268,0)*(1-$K268)</f>
        <v>0</v>
      </c>
      <c r="FM268" s="1117">
        <f>VLOOKUP($E268,FK$442:FN$453,3,FALSE)*FK268*($K268)+IF($G268&lt;&gt;0,($I268/$G268)*FK268,0)*(1-$K268)</f>
        <v>0</v>
      </c>
      <c r="FN268" s="1117">
        <f>VLOOKUP($E268,FK$442:FN$453,4,FALSE)*FK268*($K268)+(FK268-FL268-FM268)*(1-$K268)</f>
        <v>-2240752</v>
      </c>
      <c r="FO268" s="1073"/>
    </row>
    <row r="269" spans="1:171">
      <c r="A269" s="170"/>
      <c r="B269" s="63" t="s">
        <v>150</v>
      </c>
      <c r="C269" s="1022">
        <v>262</v>
      </c>
      <c r="D269" s="1023">
        <v>408.1</v>
      </c>
      <c r="E269" s="182" t="str">
        <f>'Sch 3A - Taxes'!E17</f>
        <v>LABOR</v>
      </c>
      <c r="F269" s="889"/>
      <c r="G269" s="182">
        <f>'Sch 3A - Taxes'!F17</f>
        <v>17254667</v>
      </c>
      <c r="H269" s="182">
        <f>'Sch 3A - Taxes'!G17</f>
        <v>6316427.0349811129</v>
      </c>
      <c r="I269" s="182">
        <f>'Sch 3A - Taxes'!H17</f>
        <v>0</v>
      </c>
      <c r="J269" s="183">
        <f>'Sch 3A - Taxes'!I17</f>
        <v>10938239.965018887</v>
      </c>
      <c r="K269" s="903">
        <f>IF($E269="DIRECT",0,1)</f>
        <v>1</v>
      </c>
      <c r="O269" s="1116">
        <f>$G269</f>
        <v>17254667</v>
      </c>
      <c r="P269" s="1117">
        <f>VLOOKUP($E269,O$442:R$453,2,FALSE)*O269*($K269)+IF($G269&lt;&gt;0,($H269/$G269)*O269,0)*(1-$K269)</f>
        <v>6316427.0349811129</v>
      </c>
      <c r="Q269" s="1117">
        <f>VLOOKUP($E269,O$442:R$453,3,FALSE)*O269*($K269)+IF($G269&lt;&gt;0,($I269/$G269)*O269,0)*(1-$K269)</f>
        <v>1323662.2331090909</v>
      </c>
      <c r="R269" s="1117">
        <f>VLOOKUP($E269,O$442:R$453,4,FALSE)*O269*($K269)+(O269-P269-Q269)*(1-$K269)</f>
        <v>9614577.7319097947</v>
      </c>
      <c r="S269" s="1073"/>
      <c r="W269" s="1116">
        <f>$G269</f>
        <v>17254667</v>
      </c>
      <c r="X269" s="1117">
        <f>VLOOKUP($E269,W$442:Z$453,2,FALSE)*W269*($K269)+IF($G269&lt;&gt;0,($H269/$G269)*W269,0)*(1-$K269)</f>
        <v>6316427.0349811129</v>
      </c>
      <c r="Y269" s="1117">
        <f>VLOOKUP($E269,W$442:Z$453,3,FALSE)*W269*($K269)+IF($G269&lt;&gt;0,($I269/$G269)*W269,0)*(1-$K269)</f>
        <v>1323662.2331090909</v>
      </c>
      <c r="Z269" s="1117">
        <f>VLOOKUP($E269,W$442:Z$453,4,FALSE)*W269*($K269)+(W269-X269-Y269)*(1-$K269)</f>
        <v>9614577.7319097947</v>
      </c>
      <c r="AA269" s="1073"/>
      <c r="AE269" s="1116">
        <f>$G269</f>
        <v>17254667</v>
      </c>
      <c r="AF269" s="1117">
        <f>VLOOKUP($E269,AE$442:AH$453,2,FALSE)*AE269*($K269)+IF($G269&lt;&gt;0,($H269/$G269)*AE269,0)*(1-$K269)</f>
        <v>6316427.0349811129</v>
      </c>
      <c r="AG269" s="1117">
        <f>VLOOKUP($E269,AE$442:AH$453,3,FALSE)*AE269*($K269)+IF($G269&lt;&gt;0,($I269/$G269)*AE269,0)*(1-$K269)</f>
        <v>1323662.2331090909</v>
      </c>
      <c r="AH269" s="1117">
        <f>VLOOKUP($E269,AE$442:AH$453,4,FALSE)*AE269*($K269)+(AE269-AF269-AG269)*(1-$K269)</f>
        <v>9614577.7319097947</v>
      </c>
      <c r="AI269" s="1073"/>
      <c r="AM269" s="1116">
        <f>$G269</f>
        <v>17254667</v>
      </c>
      <c r="AN269" s="1117">
        <f>VLOOKUP($E269,AM$442:AP$453,2,FALSE)*AM269*($K269)+IF($G269&lt;&gt;0,($H269/$G269)*AM269,0)*(1-$K269)</f>
        <v>6316427.0349811129</v>
      </c>
      <c r="AO269" s="1117">
        <f>VLOOKUP($E269,AM$442:AP$453,3,FALSE)*AM269*($K269)+IF($G269&lt;&gt;0,($I269/$G269)*AM269,0)*(1-$K269)</f>
        <v>1323662.2331090909</v>
      </c>
      <c r="AP269" s="1117">
        <f>VLOOKUP($E269,AM$442:AP$453,4,FALSE)*AM269*($K269)+(AM269-AN269-AO269)*(1-$K269)</f>
        <v>9614577.7319097947</v>
      </c>
      <c r="AQ269" s="1073"/>
      <c r="AU269" s="1116">
        <f>$G269</f>
        <v>17254667</v>
      </c>
      <c r="AV269" s="1117">
        <f>VLOOKUP($E269,AU$442:AX$453,2,FALSE)*AU269*($K269)+IF($G269&lt;&gt;0,($H269/$G269)*AU269,0)*(1-$K269)</f>
        <v>6316427.0349811129</v>
      </c>
      <c r="AW269" s="1117">
        <f>VLOOKUP($E269,AU$442:AX$453,3,FALSE)*AU269*($K269)+IF($G269&lt;&gt;0,($I269/$G269)*AU269,0)*(1-$K269)</f>
        <v>1323662.2331090909</v>
      </c>
      <c r="AX269" s="1117">
        <f>VLOOKUP($E269,AU$442:AX$453,4,FALSE)*AU269*($K269)+(AU269-AV269-AW269)*(1-$K269)</f>
        <v>9614577.7319097947</v>
      </c>
      <c r="AY269" s="1073"/>
      <c r="BC269" s="1116">
        <f>$G269</f>
        <v>17254667</v>
      </c>
      <c r="BD269" s="1117">
        <f>VLOOKUP($E269,BC$442:BF$453,2,FALSE)*BC269*($K269)+IF($G269&lt;&gt;0,($H269/$G269)*BC269,0)*(1-$K269)</f>
        <v>6316427.0349811129</v>
      </c>
      <c r="BE269" s="1117">
        <f>VLOOKUP($E269,BC$442:BF$453,3,FALSE)*BC269*($K269)+IF($G269&lt;&gt;0,($I269/$G269)*BC269,0)*(1-$K269)</f>
        <v>1323662.2331090909</v>
      </c>
      <c r="BF269" s="1117">
        <f>VLOOKUP($E269,BC$442:BF$453,4,FALSE)*BC269*($K269)+(BC269-BD269-BE269)*(1-$K269)</f>
        <v>9614577.7319097947</v>
      </c>
      <c r="BG269" s="1073"/>
      <c r="BK269" s="1116">
        <f>$G269</f>
        <v>17254667</v>
      </c>
      <c r="BL269" s="1117">
        <f>VLOOKUP($E269,BK$442:BN$453,2,FALSE)*BK269*($K269)+IF($G269&lt;&gt;0,($H269/$G269)*BK269,0)*(1-$K269)</f>
        <v>6316427.0349811129</v>
      </c>
      <c r="BM269" s="1117">
        <f>VLOOKUP($E269,BK$442:BN$453,3,FALSE)*BK269*($K269)+IF($G269&lt;&gt;0,($I269/$G269)*BK269,0)*(1-$K269)</f>
        <v>1323662.2331090909</v>
      </c>
      <c r="BN269" s="1117">
        <f>VLOOKUP($E269,BK$442:BN$453,4,FALSE)*BK269*($K269)+(BK269-BL269-BM269)*(1-$K269)</f>
        <v>9614577.7319097947</v>
      </c>
      <c r="BO269" s="1073"/>
      <c r="BS269" s="1116">
        <f>$G269</f>
        <v>17254667</v>
      </c>
      <c r="BT269" s="1117">
        <f>VLOOKUP($E269,BS$442:BV$453,2,FALSE)*BS269*($K269)+IF($G269&lt;&gt;0,($H269/$G269)*BS269,0)*(1-$K269)</f>
        <v>6316427.0349811129</v>
      </c>
      <c r="BU269" s="1117">
        <f>VLOOKUP($E269,BS$442:BV$453,3,FALSE)*BS269*($K269)+IF($G269&lt;&gt;0,($I269/$G269)*BS269,0)*(1-$K269)</f>
        <v>1323662.2331090909</v>
      </c>
      <c r="BV269" s="1117">
        <f>VLOOKUP($E269,BS$442:BV$453,4,FALSE)*BS269*($K269)+(BS269-BT269-BU269)*(1-$K269)</f>
        <v>9614577.7319097947</v>
      </c>
      <c r="BW269" s="1073"/>
      <c r="CA269" s="1116">
        <f>$G269</f>
        <v>17254667</v>
      </c>
      <c r="CB269" s="1117">
        <f>VLOOKUP($E269,CA$442:CD$453,2,FALSE)*CA269*($K269)+IF($G269&lt;&gt;0,($H269/$G269)*CA269,0)*(1-$K269)</f>
        <v>6316427.0349811129</v>
      </c>
      <c r="CC269" s="1117">
        <f>VLOOKUP($E269,CA$442:CD$453,3,FALSE)*CA269*($K269)+IF($G269&lt;&gt;0,($I269/$G269)*CA269,0)*(1-$K269)</f>
        <v>1323662.2331090909</v>
      </c>
      <c r="CD269" s="1117">
        <f>VLOOKUP($E269,CA$442:CD$453,4,FALSE)*CA269*($K269)+(CA269-CB269-CC269)*(1-$K269)</f>
        <v>9614577.7319097947</v>
      </c>
      <c r="CE269" s="1073"/>
      <c r="CI269" s="1116">
        <f>$G269</f>
        <v>17254667</v>
      </c>
      <c r="CJ269" s="1117">
        <f>VLOOKUP($E269,CI$442:CL$453,2,FALSE)*CI269*($K269)+IF($G269&lt;&gt;0,($H269/$G269)*CI269,0)*(1-$K269)</f>
        <v>6316427.0349811129</v>
      </c>
      <c r="CK269" s="1117">
        <f>VLOOKUP($E269,CI$442:CL$453,3,FALSE)*CI269*($K269)+IF($G269&lt;&gt;0,($I269/$G269)*CI269,0)*(1-$K269)</f>
        <v>1323662.2331090909</v>
      </c>
      <c r="CL269" s="1117">
        <f>VLOOKUP($E269,CI$442:CL$453,4,FALSE)*CI269*($K269)+(CI269-CJ269-CK269)*(1-$K269)</f>
        <v>9614577.7319097947</v>
      </c>
      <c r="CM269" s="1073"/>
      <c r="CQ269" s="1116">
        <f>$G269</f>
        <v>17254667</v>
      </c>
      <c r="CR269" s="1117">
        <f>VLOOKUP($E269,CQ$442:CT$453,2,FALSE)*CQ269*($K269)+IF($G269&lt;&gt;0,($H269/$G269)*CQ269,0)*(1-$K269)</f>
        <v>6316427.0349811129</v>
      </c>
      <c r="CS269" s="1117">
        <f>VLOOKUP($E269,CQ$442:CT$453,3,FALSE)*CQ269*($K269)+IF($G269&lt;&gt;0,($I269/$G269)*CQ269,0)*(1-$K269)</f>
        <v>1323662.2331090909</v>
      </c>
      <c r="CT269" s="1117">
        <f>VLOOKUP($E269,CQ$442:CT$453,4,FALSE)*CQ269*($K269)+(CQ269-CR269-CS269)*(1-$K269)</f>
        <v>9614577.7319097947</v>
      </c>
      <c r="CU269" s="1073"/>
      <c r="CY269" s="1116">
        <f>$G269</f>
        <v>17254667</v>
      </c>
      <c r="CZ269" s="1117">
        <f>VLOOKUP($E269,CY$442:DB$453,2,FALSE)*CY269*($K269)+IF($G269&lt;&gt;0,($H269/$G269)*CY269,0)*(1-$K269)</f>
        <v>6316427.0349811129</v>
      </c>
      <c r="DA269" s="1117">
        <f>VLOOKUP($E269,CY$442:DB$453,3,FALSE)*CY269*($K269)+IF($G269&lt;&gt;0,($I269/$G269)*CY269,0)*(1-$K269)</f>
        <v>1323662.2331090909</v>
      </c>
      <c r="DB269" s="1117">
        <f>VLOOKUP($E269,CY$442:DB$453,4,FALSE)*CY269*($K269)+(CY269-CZ269-DA269)*(1-$K269)</f>
        <v>9614577.7319097947</v>
      </c>
      <c r="DC269" s="1073"/>
      <c r="DG269" s="1116">
        <f>$G269</f>
        <v>17254667</v>
      </c>
      <c r="DH269" s="1117">
        <f>VLOOKUP($E269,DG$442:DJ$453,2,FALSE)*DG269*($K269)+IF($G269&lt;&gt;0,($H269/$G269)*DG269,0)*(1-$K269)</f>
        <v>6316427.0349811129</v>
      </c>
      <c r="DI269" s="1117">
        <f>VLOOKUP($E269,DG$442:DJ$453,3,FALSE)*DG269*($K269)+IF($G269&lt;&gt;0,($I269/$G269)*DG269,0)*(1-$K269)</f>
        <v>1323662.2331090909</v>
      </c>
      <c r="DJ269" s="1117">
        <f>VLOOKUP($E269,DG$442:DJ$453,4,FALSE)*DG269*($K269)+(DG269-DH269-DI269)*(1-$K269)</f>
        <v>9614577.7319097947</v>
      </c>
      <c r="DK269" s="1073"/>
      <c r="DO269" s="1116">
        <f>$G269</f>
        <v>17254667</v>
      </c>
      <c r="DP269" s="1117">
        <f>VLOOKUP($E269,DO$442:DR$453,2,FALSE)*DO269*($K269)+IF($G269&lt;&gt;0,($H269/$G269)*DO269,0)*(1-$K269)</f>
        <v>6316427.0349811129</v>
      </c>
      <c r="DQ269" s="1117">
        <f>VLOOKUP($E269,DO$442:DR$453,3,FALSE)*DO269*($K269)+IF($G269&lt;&gt;0,($I269/$G269)*DO269,0)*(1-$K269)</f>
        <v>1323662.2331090909</v>
      </c>
      <c r="DR269" s="1117">
        <f>VLOOKUP($E269,DO$442:DR$453,4,FALSE)*DO269*($K269)+(DO269-DP269-DQ269)*(1-$K269)</f>
        <v>9614577.7319097947</v>
      </c>
      <c r="DS269" s="1073"/>
      <c r="DW269" s="1116">
        <f>$G269</f>
        <v>17254667</v>
      </c>
      <c r="DX269" s="1117">
        <f>VLOOKUP($E269,DW$442:DZ$453,2,FALSE)*DW269*($K269)+IF($G269&lt;&gt;0,($H269/$G269)*DW269,0)*(1-$K269)</f>
        <v>6316427.0349811129</v>
      </c>
      <c r="DY269" s="1117">
        <f>VLOOKUP($E269,DW$442:DZ$453,3,FALSE)*DW269*($K269)+IF($G269&lt;&gt;0,($I269/$G269)*DW269,0)*(1-$K269)</f>
        <v>1323662.2331090909</v>
      </c>
      <c r="DZ269" s="1117">
        <f>VLOOKUP($E269,DW$442:DZ$453,4,FALSE)*DW269*($K269)+(DW269-DX269-DY269)*(1-$K269)</f>
        <v>9614577.7319097947</v>
      </c>
      <c r="EA269" s="1073"/>
      <c r="EE269" s="1116">
        <f>$G269</f>
        <v>17254667</v>
      </c>
      <c r="EF269" s="1117">
        <f>VLOOKUP($E269,EE$442:EH$453,2,FALSE)*EE269*($K269)+IF($G269&lt;&gt;0,($H269/$G269)*EE269,0)*(1-$K269)</f>
        <v>6316427.0349811129</v>
      </c>
      <c r="EG269" s="1117">
        <f>VLOOKUP($E269,EE$442:EH$453,3,FALSE)*EE269*($K269)+IF($G269&lt;&gt;0,($I269/$G269)*EE269,0)*(1-$K269)</f>
        <v>1323662.2331090909</v>
      </c>
      <c r="EH269" s="1117">
        <f>VLOOKUP($E269,EE$442:EH$453,4,FALSE)*EE269*($K269)+(EE269-EF269-EG269)*(1-$K269)</f>
        <v>9614577.7319097947</v>
      </c>
      <c r="EI269" s="1073"/>
      <c r="EM269" s="1116">
        <f>$G269</f>
        <v>17254667</v>
      </c>
      <c r="EN269" s="1117">
        <f>VLOOKUP($E269,EM$442:EP$453,2,FALSE)*EM269*($K269)+IF($G269&lt;&gt;0,($H269/$G269)*EM269,0)*(1-$K269)</f>
        <v>6316427.0349811129</v>
      </c>
      <c r="EO269" s="1117">
        <f>VLOOKUP($E269,EM$442:EP$453,3,FALSE)*EM269*($K269)+IF($G269&lt;&gt;0,($I269/$G269)*EM269,0)*(1-$K269)</f>
        <v>1323662.2331090909</v>
      </c>
      <c r="EP269" s="1117">
        <f>VLOOKUP($E269,EM$442:EP$453,4,FALSE)*EM269*($K269)+(EM269-EN269-EO269)*(1-$K269)</f>
        <v>9614577.7319097947</v>
      </c>
      <c r="EQ269" s="1073"/>
      <c r="EU269" s="1116">
        <f>$G269</f>
        <v>17254667</v>
      </c>
      <c r="EV269" s="1117">
        <f>VLOOKUP($E269,EU$442:EX$453,2,FALSE)*EU269*($K269)+IF($G269&lt;&gt;0,($H269/$G269)*EU269,0)*(1-$K269)</f>
        <v>6316427.0349811129</v>
      </c>
      <c r="EW269" s="1117">
        <f>VLOOKUP($E269,EU$442:EX$453,3,FALSE)*EU269*($K269)+IF($G269&lt;&gt;0,($I269/$G269)*EU269,0)*(1-$K269)</f>
        <v>1323662.2331090909</v>
      </c>
      <c r="EX269" s="1117">
        <f>VLOOKUP($E269,EU$442:EX$453,4,FALSE)*EU269*($K269)+(EU269-EV269-EW269)*(1-$K269)</f>
        <v>9614577.7319097947</v>
      </c>
      <c r="EY269" s="1073"/>
      <c r="FC269" s="1116">
        <f>$G269</f>
        <v>17254667</v>
      </c>
      <c r="FD269" s="1117">
        <f>VLOOKUP($E269,FC$442:FF$453,2,FALSE)*FC269*($K269)+IF($G269&lt;&gt;0,($H269/$G269)*FC269,0)*(1-$K269)</f>
        <v>6316427.0349811129</v>
      </c>
      <c r="FE269" s="1117">
        <f>VLOOKUP($E269,FC$442:FF$453,3,FALSE)*FC269*($K269)+IF($G269&lt;&gt;0,($I269/$G269)*FC269,0)*(1-$K269)</f>
        <v>1323662.2331090909</v>
      </c>
      <c r="FF269" s="1117">
        <f>VLOOKUP($E269,FC$442:FF$453,4,FALSE)*FC269*($K269)+(FC269-FD269-FE269)*(1-$K269)</f>
        <v>9614577.7319097947</v>
      </c>
      <c r="FG269" s="1073"/>
      <c r="FK269" s="1116">
        <f>$G269</f>
        <v>17254667</v>
      </c>
      <c r="FL269" s="1117">
        <f>VLOOKUP($E269,FK$442:FN$453,2,FALSE)*FK269*($K269)+IF($G269&lt;&gt;0,($H269/$G269)*FK269,0)*(1-$K269)</f>
        <v>6316427.0349811129</v>
      </c>
      <c r="FM269" s="1117">
        <f>VLOOKUP($E269,FK$442:FN$453,3,FALSE)*FK269*($K269)+IF($G269&lt;&gt;0,($I269/$G269)*FK269,0)*(1-$K269)</f>
        <v>1323662.2331090909</v>
      </c>
      <c r="FN269" s="1117">
        <f>VLOOKUP($E269,FK$442:FN$453,4,FALSE)*FK269*($K269)+(FK269-FL269-FM269)*(1-$K269)</f>
        <v>9614577.7319097947</v>
      </c>
      <c r="FO269" s="1073"/>
    </row>
    <row r="270" spans="1:171" ht="16.5" thickBot="1">
      <c r="A270" s="170"/>
      <c r="B270" s="63" t="s">
        <v>151</v>
      </c>
      <c r="C270" s="1022">
        <v>262</v>
      </c>
      <c r="D270" s="1023">
        <v>408.1</v>
      </c>
      <c r="E270" s="182" t="str">
        <f>'Sch 3A - Taxes'!E18</f>
        <v>DIST</v>
      </c>
      <c r="F270" s="889"/>
      <c r="G270" s="182">
        <f>'Sch 3A - Taxes'!F18</f>
        <v>0</v>
      </c>
      <c r="H270" s="182">
        <f>'Sch 3A - Taxes'!G18</f>
        <v>0</v>
      </c>
      <c r="I270" s="182">
        <f>'Sch 3A - Taxes'!H18</f>
        <v>0</v>
      </c>
      <c r="J270" s="183">
        <f>'Sch 3A - Taxes'!I18</f>
        <v>0</v>
      </c>
      <c r="K270" s="903">
        <f>IF($E270="DIRECT",0,1)</f>
        <v>1</v>
      </c>
      <c r="O270" s="1116">
        <f>$G270</f>
        <v>0</v>
      </c>
      <c r="P270" s="1117">
        <f>VLOOKUP($E270,O$442:R$453,2,FALSE)*O270*($K270)+IF($G270&lt;&gt;0,($H270/$G270)*O270,0)*(1-$K270)</f>
        <v>0</v>
      </c>
      <c r="Q270" s="1117">
        <f>VLOOKUP($E270,O$442:R$453,3,FALSE)*O270*($K270)+IF($G270&lt;&gt;0,($I270/$G270)*O270,0)*(1-$K270)</f>
        <v>0</v>
      </c>
      <c r="R270" s="1117">
        <f>VLOOKUP($E270,O$442:R$453,4,FALSE)*O270*($K270)+(O270-P270-Q270)*(1-$K270)</f>
        <v>0</v>
      </c>
      <c r="S270" s="1073"/>
      <c r="W270" s="1116">
        <f>$G270</f>
        <v>0</v>
      </c>
      <c r="X270" s="1117">
        <f>VLOOKUP($E270,W$442:Z$453,2,FALSE)*W270*($K270)+IF($G270&lt;&gt;0,($H270/$G270)*W270,0)*(1-$K270)</f>
        <v>0</v>
      </c>
      <c r="Y270" s="1117">
        <f>VLOOKUP($E270,W$442:Z$453,3,FALSE)*W270*($K270)+IF($G270&lt;&gt;0,($I270/$G270)*W270,0)*(1-$K270)</f>
        <v>0</v>
      </c>
      <c r="Z270" s="1117">
        <f>VLOOKUP($E270,W$442:Z$453,4,FALSE)*W270*($K270)+(W270-X270-Y270)*(1-$K270)</f>
        <v>0</v>
      </c>
      <c r="AA270" s="1073"/>
      <c r="AE270" s="1116">
        <f>$G270</f>
        <v>0</v>
      </c>
      <c r="AF270" s="1117">
        <f>VLOOKUP($E270,AE$442:AH$453,2,FALSE)*AE270*($K270)+IF($G270&lt;&gt;0,($H270/$G270)*AE270,0)*(1-$K270)</f>
        <v>0</v>
      </c>
      <c r="AG270" s="1117">
        <f>VLOOKUP($E270,AE$442:AH$453,3,FALSE)*AE270*($K270)+IF($G270&lt;&gt;0,($I270/$G270)*AE270,0)*(1-$K270)</f>
        <v>0</v>
      </c>
      <c r="AH270" s="1117">
        <f>VLOOKUP($E270,AE$442:AH$453,4,FALSE)*AE270*($K270)+(AE270-AF270-AG270)*(1-$K270)</f>
        <v>0</v>
      </c>
      <c r="AI270" s="1073"/>
      <c r="AM270" s="1116">
        <f>$G270</f>
        <v>0</v>
      </c>
      <c r="AN270" s="1117">
        <f>VLOOKUP($E270,AM$442:AP$453,2,FALSE)*AM270*($K270)+IF($G270&lt;&gt;0,($H270/$G270)*AM270,0)*(1-$K270)</f>
        <v>0</v>
      </c>
      <c r="AO270" s="1117">
        <f>VLOOKUP($E270,AM$442:AP$453,3,FALSE)*AM270*($K270)+IF($G270&lt;&gt;0,($I270/$G270)*AM270,0)*(1-$K270)</f>
        <v>0</v>
      </c>
      <c r="AP270" s="1117">
        <f>VLOOKUP($E270,AM$442:AP$453,4,FALSE)*AM270*($K270)+(AM270-AN270-AO270)*(1-$K270)</f>
        <v>0</v>
      </c>
      <c r="AQ270" s="1073"/>
      <c r="AU270" s="1116">
        <f>$G270</f>
        <v>0</v>
      </c>
      <c r="AV270" s="1117">
        <f>VLOOKUP($E270,AU$442:AX$453,2,FALSE)*AU270*($K270)+IF($G270&lt;&gt;0,($H270/$G270)*AU270,0)*(1-$K270)</f>
        <v>0</v>
      </c>
      <c r="AW270" s="1117">
        <f>VLOOKUP($E270,AU$442:AX$453,3,FALSE)*AU270*($K270)+IF($G270&lt;&gt;0,($I270/$G270)*AU270,0)*(1-$K270)</f>
        <v>0</v>
      </c>
      <c r="AX270" s="1117">
        <f>VLOOKUP($E270,AU$442:AX$453,4,FALSE)*AU270*($K270)+(AU270-AV270-AW270)*(1-$K270)</f>
        <v>0</v>
      </c>
      <c r="AY270" s="1073"/>
      <c r="BC270" s="1116">
        <f>$G270</f>
        <v>0</v>
      </c>
      <c r="BD270" s="1117">
        <f>VLOOKUP($E270,BC$442:BF$453,2,FALSE)*BC270*($K270)+IF($G270&lt;&gt;0,($H270/$G270)*BC270,0)*(1-$K270)</f>
        <v>0</v>
      </c>
      <c r="BE270" s="1117">
        <f>VLOOKUP($E270,BC$442:BF$453,3,FALSE)*BC270*($K270)+IF($G270&lt;&gt;0,($I270/$G270)*BC270,0)*(1-$K270)</f>
        <v>0</v>
      </c>
      <c r="BF270" s="1117">
        <f>VLOOKUP($E270,BC$442:BF$453,4,FALSE)*BC270*($K270)+(BC270-BD270-BE270)*(1-$K270)</f>
        <v>0</v>
      </c>
      <c r="BG270" s="1073"/>
      <c r="BK270" s="1116">
        <f>$G270</f>
        <v>0</v>
      </c>
      <c r="BL270" s="1117">
        <f>VLOOKUP($E270,BK$442:BN$453,2,FALSE)*BK270*($K270)+IF($G270&lt;&gt;0,($H270/$G270)*BK270,0)*(1-$K270)</f>
        <v>0</v>
      </c>
      <c r="BM270" s="1117">
        <f>VLOOKUP($E270,BK$442:BN$453,3,FALSE)*BK270*($K270)+IF($G270&lt;&gt;0,($I270/$G270)*BK270,0)*(1-$K270)</f>
        <v>0</v>
      </c>
      <c r="BN270" s="1117">
        <f>VLOOKUP($E270,BK$442:BN$453,4,FALSE)*BK270*($K270)+(BK270-BL270-BM270)*(1-$K270)</f>
        <v>0</v>
      </c>
      <c r="BO270" s="1073"/>
      <c r="BS270" s="1116">
        <f>$G270</f>
        <v>0</v>
      </c>
      <c r="BT270" s="1117">
        <f>VLOOKUP($E270,BS$442:BV$453,2,FALSE)*BS270*($K270)+IF($G270&lt;&gt;0,($H270/$G270)*BS270,0)*(1-$K270)</f>
        <v>0</v>
      </c>
      <c r="BU270" s="1117">
        <f>VLOOKUP($E270,BS$442:BV$453,3,FALSE)*BS270*($K270)+IF($G270&lt;&gt;0,($I270/$G270)*BS270,0)*(1-$K270)</f>
        <v>0</v>
      </c>
      <c r="BV270" s="1117">
        <f>VLOOKUP($E270,BS$442:BV$453,4,FALSE)*BS270*($K270)+(BS270-BT270-BU270)*(1-$K270)</f>
        <v>0</v>
      </c>
      <c r="BW270" s="1073"/>
      <c r="CA270" s="1116">
        <f>$G270</f>
        <v>0</v>
      </c>
      <c r="CB270" s="1117">
        <f>VLOOKUP($E270,CA$442:CD$453,2,FALSE)*CA270*($K270)+IF($G270&lt;&gt;0,($H270/$G270)*CA270,0)*(1-$K270)</f>
        <v>0</v>
      </c>
      <c r="CC270" s="1117">
        <f>VLOOKUP($E270,CA$442:CD$453,3,FALSE)*CA270*($K270)+IF($G270&lt;&gt;0,($I270/$G270)*CA270,0)*(1-$K270)</f>
        <v>0</v>
      </c>
      <c r="CD270" s="1117">
        <f>VLOOKUP($E270,CA$442:CD$453,4,FALSE)*CA270*($K270)+(CA270-CB270-CC270)*(1-$K270)</f>
        <v>0</v>
      </c>
      <c r="CE270" s="1073"/>
      <c r="CI270" s="1116">
        <f>$G270</f>
        <v>0</v>
      </c>
      <c r="CJ270" s="1117">
        <f>VLOOKUP($E270,CI$442:CL$453,2,FALSE)*CI270*($K270)+IF($G270&lt;&gt;0,($H270/$G270)*CI270,0)*(1-$K270)</f>
        <v>0</v>
      </c>
      <c r="CK270" s="1117">
        <f>VLOOKUP($E270,CI$442:CL$453,3,FALSE)*CI270*($K270)+IF($G270&lt;&gt;0,($I270/$G270)*CI270,0)*(1-$K270)</f>
        <v>0</v>
      </c>
      <c r="CL270" s="1117">
        <f>VLOOKUP($E270,CI$442:CL$453,4,FALSE)*CI270*($K270)+(CI270-CJ270-CK270)*(1-$K270)</f>
        <v>0</v>
      </c>
      <c r="CM270" s="1073"/>
      <c r="CQ270" s="1116">
        <f>$G270</f>
        <v>0</v>
      </c>
      <c r="CR270" s="1117">
        <f>VLOOKUP($E270,CQ$442:CT$453,2,FALSE)*CQ270*($K270)+IF($G270&lt;&gt;0,($H270/$G270)*CQ270,0)*(1-$K270)</f>
        <v>0</v>
      </c>
      <c r="CS270" s="1117">
        <f>VLOOKUP($E270,CQ$442:CT$453,3,FALSE)*CQ270*($K270)+IF($G270&lt;&gt;0,($I270/$G270)*CQ270,0)*(1-$K270)</f>
        <v>0</v>
      </c>
      <c r="CT270" s="1117">
        <f>VLOOKUP($E270,CQ$442:CT$453,4,FALSE)*CQ270*($K270)+(CQ270-CR270-CS270)*(1-$K270)</f>
        <v>0</v>
      </c>
      <c r="CU270" s="1073"/>
      <c r="CY270" s="1116">
        <f>$G270</f>
        <v>0</v>
      </c>
      <c r="CZ270" s="1117">
        <f>VLOOKUP($E270,CY$442:DB$453,2,FALSE)*CY270*($K270)+IF($G270&lt;&gt;0,($H270/$G270)*CY270,0)*(1-$K270)</f>
        <v>0</v>
      </c>
      <c r="DA270" s="1117">
        <f>VLOOKUP($E270,CY$442:DB$453,3,FALSE)*CY270*($K270)+IF($G270&lt;&gt;0,($I270/$G270)*CY270,0)*(1-$K270)</f>
        <v>0</v>
      </c>
      <c r="DB270" s="1117">
        <f>VLOOKUP($E270,CY$442:DB$453,4,FALSE)*CY270*($K270)+(CY270-CZ270-DA270)*(1-$K270)</f>
        <v>0</v>
      </c>
      <c r="DC270" s="1073"/>
      <c r="DG270" s="1116">
        <f>$G270</f>
        <v>0</v>
      </c>
      <c r="DH270" s="1117">
        <f>VLOOKUP($E270,DG$442:DJ$453,2,FALSE)*DG270*($K270)+IF($G270&lt;&gt;0,($H270/$G270)*DG270,0)*(1-$K270)</f>
        <v>0</v>
      </c>
      <c r="DI270" s="1117">
        <f>VLOOKUP($E270,DG$442:DJ$453,3,FALSE)*DG270*($K270)+IF($G270&lt;&gt;0,($I270/$G270)*DG270,0)*(1-$K270)</f>
        <v>0</v>
      </c>
      <c r="DJ270" s="1117">
        <f>VLOOKUP($E270,DG$442:DJ$453,4,FALSE)*DG270*($K270)+(DG270-DH270-DI270)*(1-$K270)</f>
        <v>0</v>
      </c>
      <c r="DK270" s="1073"/>
      <c r="DO270" s="1116">
        <f>$G270</f>
        <v>0</v>
      </c>
      <c r="DP270" s="1117">
        <f>VLOOKUP($E270,DO$442:DR$453,2,FALSE)*DO270*($K270)+IF($G270&lt;&gt;0,($H270/$G270)*DO270,0)*(1-$K270)</f>
        <v>0</v>
      </c>
      <c r="DQ270" s="1117">
        <f>VLOOKUP($E270,DO$442:DR$453,3,FALSE)*DO270*($K270)+IF($G270&lt;&gt;0,($I270/$G270)*DO270,0)*(1-$K270)</f>
        <v>0</v>
      </c>
      <c r="DR270" s="1117">
        <f>VLOOKUP($E270,DO$442:DR$453,4,FALSE)*DO270*($K270)+(DO270-DP270-DQ270)*(1-$K270)</f>
        <v>0</v>
      </c>
      <c r="DS270" s="1073"/>
      <c r="DW270" s="1116">
        <f>$G270</f>
        <v>0</v>
      </c>
      <c r="DX270" s="1117">
        <f>VLOOKUP($E270,DW$442:DZ$453,2,FALSE)*DW270*($K270)+IF($G270&lt;&gt;0,($H270/$G270)*DW270,0)*(1-$K270)</f>
        <v>0</v>
      </c>
      <c r="DY270" s="1117">
        <f>VLOOKUP($E270,DW$442:DZ$453,3,FALSE)*DW270*($K270)+IF($G270&lt;&gt;0,($I270/$G270)*DW270,0)*(1-$K270)</f>
        <v>0</v>
      </c>
      <c r="DZ270" s="1117">
        <f>VLOOKUP($E270,DW$442:DZ$453,4,FALSE)*DW270*($K270)+(DW270-DX270-DY270)*(1-$K270)</f>
        <v>0</v>
      </c>
      <c r="EA270" s="1073"/>
      <c r="EE270" s="1116">
        <f>$G270</f>
        <v>0</v>
      </c>
      <c r="EF270" s="1117">
        <f>VLOOKUP($E270,EE$442:EH$453,2,FALSE)*EE270*($K270)+IF($G270&lt;&gt;0,($H270/$G270)*EE270,0)*(1-$K270)</f>
        <v>0</v>
      </c>
      <c r="EG270" s="1117">
        <f>VLOOKUP($E270,EE$442:EH$453,3,FALSE)*EE270*($K270)+IF($G270&lt;&gt;0,($I270/$G270)*EE270,0)*(1-$K270)</f>
        <v>0</v>
      </c>
      <c r="EH270" s="1117">
        <f>VLOOKUP($E270,EE$442:EH$453,4,FALSE)*EE270*($K270)+(EE270-EF270-EG270)*(1-$K270)</f>
        <v>0</v>
      </c>
      <c r="EI270" s="1073"/>
      <c r="EM270" s="1116">
        <f>$G270</f>
        <v>0</v>
      </c>
      <c r="EN270" s="1117">
        <f>VLOOKUP($E270,EM$442:EP$453,2,FALSE)*EM270*($K270)+IF($G270&lt;&gt;0,($H270/$G270)*EM270,0)*(1-$K270)</f>
        <v>0</v>
      </c>
      <c r="EO270" s="1117">
        <f>VLOOKUP($E270,EM$442:EP$453,3,FALSE)*EM270*($K270)+IF($G270&lt;&gt;0,($I270/$G270)*EM270,0)*(1-$K270)</f>
        <v>0</v>
      </c>
      <c r="EP270" s="1117">
        <f>VLOOKUP($E270,EM$442:EP$453,4,FALSE)*EM270*($K270)+(EM270-EN270-EO270)*(1-$K270)</f>
        <v>0</v>
      </c>
      <c r="EQ270" s="1073"/>
      <c r="EU270" s="1116">
        <f>$G270</f>
        <v>0</v>
      </c>
      <c r="EV270" s="1117">
        <f>VLOOKUP($E270,EU$442:EX$453,2,FALSE)*EU270*($K270)+IF($G270&lt;&gt;0,($H270/$G270)*EU270,0)*(1-$K270)</f>
        <v>0</v>
      </c>
      <c r="EW270" s="1117">
        <f>VLOOKUP($E270,EU$442:EX$453,3,FALSE)*EU270*($K270)+IF($G270&lt;&gt;0,($I270/$G270)*EU270,0)*(1-$K270)</f>
        <v>0</v>
      </c>
      <c r="EX270" s="1117">
        <f>VLOOKUP($E270,EU$442:EX$453,4,FALSE)*EU270*($K270)+(EU270-EV270-EW270)*(1-$K270)</f>
        <v>0</v>
      </c>
      <c r="EY270" s="1073"/>
      <c r="FC270" s="1116">
        <f>$G270</f>
        <v>0</v>
      </c>
      <c r="FD270" s="1117">
        <f>VLOOKUP($E270,FC$442:FF$453,2,FALSE)*FC270*($K270)+IF($G270&lt;&gt;0,($H270/$G270)*FC270,0)*(1-$K270)</f>
        <v>0</v>
      </c>
      <c r="FE270" s="1117">
        <f>VLOOKUP($E270,FC$442:FF$453,3,FALSE)*FC270*($K270)+IF($G270&lt;&gt;0,($I270/$G270)*FC270,0)*(1-$K270)</f>
        <v>0</v>
      </c>
      <c r="FF270" s="1117">
        <f>VLOOKUP($E270,FC$442:FF$453,4,FALSE)*FC270*($K270)+(FC270-FD270-FE270)*(1-$K270)</f>
        <v>0</v>
      </c>
      <c r="FG270" s="1073"/>
      <c r="FK270" s="1116">
        <f>$G270</f>
        <v>0</v>
      </c>
      <c r="FL270" s="1117">
        <f>VLOOKUP($E270,FK$442:FN$453,2,FALSE)*FK270*($K270)+IF($G270&lt;&gt;0,($H270/$G270)*FK270,0)*(1-$K270)</f>
        <v>0</v>
      </c>
      <c r="FM270" s="1117">
        <f>VLOOKUP($E270,FK$442:FN$453,3,FALSE)*FK270*($K270)+IF($G270&lt;&gt;0,($I270/$G270)*FK270,0)*(1-$K270)</f>
        <v>0</v>
      </c>
      <c r="FN270" s="1117">
        <f>VLOOKUP($E270,FK$442:FN$453,4,FALSE)*FK270*($K270)+(FK270-FL270-FM270)*(1-$K270)</f>
        <v>0</v>
      </c>
      <c r="FO270" s="1073"/>
    </row>
    <row r="271" spans="1:171" ht="16.5" thickBot="1">
      <c r="A271" s="201" t="s">
        <v>37</v>
      </c>
      <c r="B271" s="58"/>
      <c r="C271" s="914"/>
      <c r="D271" s="915"/>
      <c r="E271" s="915"/>
      <c r="F271" s="916"/>
      <c r="G271" s="923">
        <f>SUM(G268:G270)</f>
        <v>15013915</v>
      </c>
      <c r="H271" s="923">
        <f>SUM(H268:H270)</f>
        <v>6316427.0349811129</v>
      </c>
      <c r="I271" s="923">
        <f>SUM(I268:I270)</f>
        <v>0</v>
      </c>
      <c r="J271" s="1393">
        <f>SUM(J268:J270)</f>
        <v>8697487.9650188871</v>
      </c>
      <c r="K271" s="903"/>
      <c r="O271" s="1137">
        <f>SUM(O268:O270)</f>
        <v>15013915</v>
      </c>
      <c r="P271" s="1138">
        <f>SUM(P268:P270)</f>
        <v>6316427.0349811129</v>
      </c>
      <c r="Q271" s="1138">
        <f>SUM(Q268:Q270)</f>
        <v>1323662.2331090909</v>
      </c>
      <c r="R271" s="1138">
        <f>SUM(R268:R270)</f>
        <v>7373825.7319097947</v>
      </c>
      <c r="S271" s="1073"/>
      <c r="W271" s="1137">
        <f>SUM(W268:W270)</f>
        <v>15013915</v>
      </c>
      <c r="X271" s="1138">
        <f>SUM(X268:X270)</f>
        <v>6316427.0349811129</v>
      </c>
      <c r="Y271" s="1138">
        <f>SUM(Y268:Y270)</f>
        <v>1323662.2331090909</v>
      </c>
      <c r="Z271" s="1138">
        <f>SUM(Z268:Z270)</f>
        <v>7373825.7319097947</v>
      </c>
      <c r="AA271" s="1073"/>
      <c r="AE271" s="1137">
        <f>SUM(AE268:AE270)</f>
        <v>15013915</v>
      </c>
      <c r="AF271" s="1138">
        <f>SUM(AF268:AF270)</f>
        <v>6316427.0349811129</v>
      </c>
      <c r="AG271" s="1138">
        <f>SUM(AG268:AG270)</f>
        <v>1323662.2331090909</v>
      </c>
      <c r="AH271" s="1138">
        <f>SUM(AH268:AH270)</f>
        <v>7373825.7319097947</v>
      </c>
      <c r="AI271" s="1073"/>
      <c r="AM271" s="1137">
        <f>SUM(AM268:AM270)</f>
        <v>15013915</v>
      </c>
      <c r="AN271" s="1138">
        <f>SUM(AN268:AN270)</f>
        <v>6316427.0349811129</v>
      </c>
      <c r="AO271" s="1138">
        <f>SUM(AO268:AO270)</f>
        <v>1323662.2331090909</v>
      </c>
      <c r="AP271" s="1138">
        <f>SUM(AP268:AP270)</f>
        <v>7373825.7319097947</v>
      </c>
      <c r="AQ271" s="1073"/>
      <c r="AU271" s="1137">
        <f>SUM(AU268:AU270)</f>
        <v>15013915</v>
      </c>
      <c r="AV271" s="1138">
        <f>SUM(AV268:AV270)</f>
        <v>6316427.0349811129</v>
      </c>
      <c r="AW271" s="1138">
        <f>SUM(AW268:AW270)</f>
        <v>1323662.2331090909</v>
      </c>
      <c r="AX271" s="1138">
        <f>SUM(AX268:AX270)</f>
        <v>7373825.7319097947</v>
      </c>
      <c r="AY271" s="1073"/>
      <c r="BC271" s="1137">
        <f>SUM(BC268:BC270)</f>
        <v>15013915</v>
      </c>
      <c r="BD271" s="1138">
        <f>SUM(BD268:BD270)</f>
        <v>6316427.0349811129</v>
      </c>
      <c r="BE271" s="1138">
        <f>SUM(BE268:BE270)</f>
        <v>1323662.2331090909</v>
      </c>
      <c r="BF271" s="1138">
        <f>SUM(BF268:BF270)</f>
        <v>7373825.7319097947</v>
      </c>
      <c r="BG271" s="1073"/>
      <c r="BK271" s="1137">
        <f>SUM(BK268:BK270)</f>
        <v>15013915</v>
      </c>
      <c r="BL271" s="1138">
        <f>SUM(BL268:BL270)</f>
        <v>6316427.0349811129</v>
      </c>
      <c r="BM271" s="1138">
        <f>SUM(BM268:BM270)</f>
        <v>1323662.2331090909</v>
      </c>
      <c r="BN271" s="1138">
        <f>SUM(BN268:BN270)</f>
        <v>7373825.7319097947</v>
      </c>
      <c r="BO271" s="1073"/>
      <c r="BS271" s="1137">
        <f>SUM(BS268:BS270)</f>
        <v>15013915</v>
      </c>
      <c r="BT271" s="1138">
        <f>SUM(BT268:BT270)</f>
        <v>6316427.0349811129</v>
      </c>
      <c r="BU271" s="1138">
        <f>SUM(BU268:BU270)</f>
        <v>1323662.2331090909</v>
      </c>
      <c r="BV271" s="1138">
        <f>SUM(BV268:BV270)</f>
        <v>7373825.7319097947</v>
      </c>
      <c r="BW271" s="1073"/>
      <c r="CA271" s="1137">
        <f>SUM(CA268:CA270)</f>
        <v>15013915</v>
      </c>
      <c r="CB271" s="1138">
        <f>SUM(CB268:CB270)</f>
        <v>6316427.0349811129</v>
      </c>
      <c r="CC271" s="1138">
        <f>SUM(CC268:CC270)</f>
        <v>1323662.2331090909</v>
      </c>
      <c r="CD271" s="1138">
        <f>SUM(CD268:CD270)</f>
        <v>7373825.7319097947</v>
      </c>
      <c r="CE271" s="1073"/>
      <c r="CI271" s="1137">
        <f>SUM(CI268:CI270)</f>
        <v>15013915</v>
      </c>
      <c r="CJ271" s="1138">
        <f>SUM(CJ268:CJ270)</f>
        <v>6316427.0349811129</v>
      </c>
      <c r="CK271" s="1138">
        <f>SUM(CK268:CK270)</f>
        <v>1323662.2331090909</v>
      </c>
      <c r="CL271" s="1138">
        <f>SUM(CL268:CL270)</f>
        <v>7373825.7319097947</v>
      </c>
      <c r="CM271" s="1073"/>
      <c r="CQ271" s="1137">
        <f>SUM(CQ268:CQ270)</f>
        <v>15013915</v>
      </c>
      <c r="CR271" s="1138">
        <f>SUM(CR268:CR270)</f>
        <v>6316427.0349811129</v>
      </c>
      <c r="CS271" s="1138">
        <f>SUM(CS268:CS270)</f>
        <v>1323662.2331090909</v>
      </c>
      <c r="CT271" s="1138">
        <f>SUM(CT268:CT270)</f>
        <v>7373825.7319097947</v>
      </c>
      <c r="CU271" s="1073"/>
      <c r="CY271" s="1137">
        <f>SUM(CY268:CY270)</f>
        <v>15013915</v>
      </c>
      <c r="CZ271" s="1138">
        <f>SUM(CZ268:CZ270)</f>
        <v>6316427.0349811129</v>
      </c>
      <c r="DA271" s="1138">
        <f>SUM(DA268:DA270)</f>
        <v>1323662.2331090909</v>
      </c>
      <c r="DB271" s="1138">
        <f>SUM(DB268:DB270)</f>
        <v>7373825.7319097947</v>
      </c>
      <c r="DC271" s="1073"/>
      <c r="DG271" s="1137">
        <f>SUM(DG268:DG270)</f>
        <v>15013915</v>
      </c>
      <c r="DH271" s="1138">
        <f>SUM(DH268:DH270)</f>
        <v>6316427.0349811129</v>
      </c>
      <c r="DI271" s="1138">
        <f>SUM(DI268:DI270)</f>
        <v>1323662.2331090909</v>
      </c>
      <c r="DJ271" s="1138">
        <f>SUM(DJ268:DJ270)</f>
        <v>7373825.7319097947</v>
      </c>
      <c r="DK271" s="1073"/>
      <c r="DO271" s="1137">
        <f>SUM(DO268:DO270)</f>
        <v>15013915</v>
      </c>
      <c r="DP271" s="1138">
        <f>SUM(DP268:DP270)</f>
        <v>6316427.0349811129</v>
      </c>
      <c r="DQ271" s="1138">
        <f>SUM(DQ268:DQ270)</f>
        <v>1323662.2331090909</v>
      </c>
      <c r="DR271" s="1138">
        <f>SUM(DR268:DR270)</f>
        <v>7373825.7319097947</v>
      </c>
      <c r="DS271" s="1073"/>
      <c r="DW271" s="1137">
        <f>SUM(DW268:DW270)</f>
        <v>15013915</v>
      </c>
      <c r="DX271" s="1138">
        <f>SUM(DX268:DX270)</f>
        <v>6316427.0349811129</v>
      </c>
      <c r="DY271" s="1138">
        <f>SUM(DY268:DY270)</f>
        <v>1323662.2331090909</v>
      </c>
      <c r="DZ271" s="1138">
        <f>SUM(DZ268:DZ270)</f>
        <v>7373825.7319097947</v>
      </c>
      <c r="EA271" s="1073"/>
      <c r="EE271" s="1137">
        <f>SUM(EE268:EE270)</f>
        <v>15013915</v>
      </c>
      <c r="EF271" s="1138">
        <f>SUM(EF268:EF270)</f>
        <v>6316427.0349811129</v>
      </c>
      <c r="EG271" s="1138">
        <f>SUM(EG268:EG270)</f>
        <v>1323662.2331090909</v>
      </c>
      <c r="EH271" s="1138">
        <f>SUM(EH268:EH270)</f>
        <v>7373825.7319097947</v>
      </c>
      <c r="EI271" s="1073"/>
      <c r="EM271" s="1137">
        <f>SUM(EM268:EM270)</f>
        <v>15013915</v>
      </c>
      <c r="EN271" s="1138">
        <f>SUM(EN268:EN270)</f>
        <v>6316427.0349811129</v>
      </c>
      <c r="EO271" s="1138">
        <f>SUM(EO268:EO270)</f>
        <v>1323662.2331090909</v>
      </c>
      <c r="EP271" s="1138">
        <f>SUM(EP268:EP270)</f>
        <v>7373825.7319097947</v>
      </c>
      <c r="EQ271" s="1073"/>
      <c r="EU271" s="1137">
        <f>SUM(EU268:EU270)</f>
        <v>15013915</v>
      </c>
      <c r="EV271" s="1138">
        <f>SUM(EV268:EV270)</f>
        <v>6316427.0349811129</v>
      </c>
      <c r="EW271" s="1138">
        <f>SUM(EW268:EW270)</f>
        <v>1323662.2331090909</v>
      </c>
      <c r="EX271" s="1138">
        <f>SUM(EX268:EX270)</f>
        <v>7373825.7319097947</v>
      </c>
      <c r="EY271" s="1073"/>
      <c r="FC271" s="1137">
        <f>SUM(FC268:FC270)</f>
        <v>15013915</v>
      </c>
      <c r="FD271" s="1138">
        <f>SUM(FD268:FD270)</f>
        <v>6316427.0349811129</v>
      </c>
      <c r="FE271" s="1138">
        <f>SUM(FE268:FE270)</f>
        <v>1323662.2331090909</v>
      </c>
      <c r="FF271" s="1138">
        <f>SUM(FF268:FF270)</f>
        <v>7373825.7319097947</v>
      </c>
      <c r="FG271" s="1073"/>
      <c r="FK271" s="1137">
        <f>SUM(FK268:FK270)</f>
        <v>15013915</v>
      </c>
      <c r="FL271" s="1138">
        <f>SUM(FL268:FL270)</f>
        <v>6316427.0349811129</v>
      </c>
      <c r="FM271" s="1138">
        <f>SUM(FM268:FM270)</f>
        <v>1323662.2331090909</v>
      </c>
      <c r="FN271" s="1138">
        <f>SUM(FN268:FN270)</f>
        <v>7373825.7319097947</v>
      </c>
      <c r="FO271" s="1073"/>
    </row>
    <row r="272" spans="1:171">
      <c r="A272" s="201"/>
      <c r="B272" s="58"/>
      <c r="C272" s="1024"/>
      <c r="D272" s="1025"/>
      <c r="E272" s="196"/>
      <c r="F272" s="196"/>
      <c r="G272" s="197"/>
      <c r="H272" s="197"/>
      <c r="I272" s="197"/>
      <c r="J272" s="1026"/>
      <c r="K272" s="903"/>
      <c r="S272" s="1073"/>
      <c r="AA272" s="1073"/>
      <c r="AI272" s="1073"/>
      <c r="AQ272" s="1073"/>
      <c r="AY272" s="1073"/>
      <c r="BG272" s="1073"/>
      <c r="BO272" s="1073"/>
      <c r="BW272" s="1073"/>
      <c r="CE272" s="1073"/>
      <c r="CM272" s="1073"/>
      <c r="CU272" s="1073"/>
      <c r="DC272" s="1073"/>
      <c r="DK272" s="1073"/>
      <c r="DS272" s="1073"/>
      <c r="EA272" s="1073"/>
      <c r="EI272" s="1073"/>
      <c r="EQ272" s="1073"/>
      <c r="EY272" s="1073"/>
      <c r="FG272" s="1073"/>
      <c r="FO272" s="1073"/>
    </row>
    <row r="273" spans="1:171">
      <c r="A273" s="202" t="s">
        <v>38</v>
      </c>
      <c r="B273" s="63"/>
      <c r="C273" s="150"/>
      <c r="D273" s="195"/>
      <c r="E273" s="196"/>
      <c r="F273" s="196"/>
      <c r="G273" s="197"/>
      <c r="H273" s="197"/>
      <c r="I273" s="197"/>
      <c r="J273" s="1026"/>
      <c r="K273" s="903"/>
      <c r="S273" s="1073"/>
      <c r="AA273" s="1073"/>
      <c r="AI273" s="1073"/>
      <c r="AQ273" s="1073"/>
      <c r="AY273" s="1073"/>
      <c r="BG273" s="1073"/>
      <c r="BO273" s="1073"/>
      <c r="BW273" s="1073"/>
      <c r="CE273" s="1073"/>
      <c r="CM273" s="1073"/>
      <c r="CU273" s="1073"/>
      <c r="DC273" s="1073"/>
      <c r="DK273" s="1073"/>
      <c r="DS273" s="1073"/>
      <c r="EA273" s="1073"/>
      <c r="EI273" s="1073"/>
      <c r="EQ273" s="1073"/>
      <c r="EY273" s="1073"/>
      <c r="FG273" s="1073"/>
      <c r="FO273" s="1073"/>
    </row>
    <row r="274" spans="1:171">
      <c r="A274" s="1392">
        <v>96000</v>
      </c>
      <c r="B274" s="63" t="s">
        <v>571</v>
      </c>
      <c r="C274" s="1022">
        <v>262</v>
      </c>
      <c r="D274" s="1023">
        <v>408.1</v>
      </c>
      <c r="E274" s="182" t="str">
        <f>'Sch 3A - Taxes'!E22</f>
        <v>PTDG</v>
      </c>
      <c r="F274" s="889"/>
      <c r="G274" s="182">
        <f>'Sch 3A - Taxes'!F22</f>
        <v>37863278</v>
      </c>
      <c r="H274" s="182">
        <f>'Sch 3A - Taxes'!G22</f>
        <v>12048954.657508478</v>
      </c>
      <c r="I274" s="182">
        <f>'Sch 3A - Taxes'!H22</f>
        <v>0</v>
      </c>
      <c r="J274" s="183">
        <f>'Sch 3A - Taxes'!I22</f>
        <v>25814323.338601049</v>
      </c>
      <c r="K274" s="903">
        <f t="shared" ref="K274:K280" si="730">IF($E274="DIRECT",0,1)</f>
        <v>1</v>
      </c>
      <c r="N274" s="1129">
        <f>VLOOKUP($A274,'New Resources - Individual'!$A$4:$Y$133,N$2,FALSE)*N$1</f>
        <v>0</v>
      </c>
      <c r="O274" s="1116">
        <f>$G274+N274</f>
        <v>37863278</v>
      </c>
      <c r="P274" s="1117">
        <f t="shared" ref="P274:P280" si="731">VLOOKUP($E274,O$442:R$453,2,FALSE)*O274*($K274)+IF($G274&lt;&gt;0,($H274/$G274)*O274,0)*(1-$K274)</f>
        <v>12048954.657508478</v>
      </c>
      <c r="Q274" s="1117">
        <f t="shared" ref="Q274:Q280" si="732">VLOOKUP($E274,O$442:R$453,3,FALSE)*O274*($K274)+IF($G274&lt;&gt;0,($I274/$G274)*O274,0)*(1-$K274)</f>
        <v>7787688.5104661146</v>
      </c>
      <c r="R274" s="1117">
        <f t="shared" ref="R274:R280" si="733">VLOOKUP($E274,O$442:R$453,4,FALSE)*O274*($K274)+(O274-P274-Q274)*(1-$K274)</f>
        <v>18026634.832025412</v>
      </c>
      <c r="S274" s="1073"/>
      <c r="V274" s="1129">
        <f>VLOOKUP($A274,'New Resources - Individual'!$A$4:$Y$133,V$2,FALSE)*V$1</f>
        <v>0</v>
      </c>
      <c r="W274" s="1116">
        <f>$G274+V274</f>
        <v>37863278</v>
      </c>
      <c r="X274" s="1117">
        <f t="shared" ref="X274:X280" si="734">VLOOKUP($E274,W$442:Z$453,2,FALSE)*W274*($K274)+IF($G274&lt;&gt;0,($H274/$G274)*W274,0)*(1-$K274)</f>
        <v>12048954.657508478</v>
      </c>
      <c r="Y274" s="1117">
        <f t="shared" ref="Y274:Y280" si="735">VLOOKUP($E274,W$442:Z$453,3,FALSE)*W274*($K274)+IF($G274&lt;&gt;0,($I274/$G274)*W274,0)*(1-$K274)</f>
        <v>7787688.5104661146</v>
      </c>
      <c r="Z274" s="1117">
        <f t="shared" ref="Z274:Z280" si="736">VLOOKUP($E274,W$442:Z$453,4,FALSE)*W274*($K274)+(W274-X274-Y274)*(1-$K274)</f>
        <v>18026634.832025412</v>
      </c>
      <c r="AA274" s="1073"/>
      <c r="AD274" s="1129">
        <f>VLOOKUP($A274,'New Resources - Individual'!$A$4:$Y$133,AD$2,FALSE)*AD$1</f>
        <v>0</v>
      </c>
      <c r="AE274" s="1116">
        <f>$G274+AD274</f>
        <v>37863278</v>
      </c>
      <c r="AF274" s="1117">
        <f t="shared" ref="AF274:AF280" si="737">VLOOKUP($E274,AE$442:AH$453,2,FALSE)*AE274*($K274)+IF($G274&lt;&gt;0,($H274/$G274)*AE274,0)*(1-$K274)</f>
        <v>12048954.657508478</v>
      </c>
      <c r="AG274" s="1117">
        <f t="shared" ref="AG274:AG280" si="738">VLOOKUP($E274,AE$442:AH$453,3,FALSE)*AE274*($K274)+IF($G274&lt;&gt;0,($I274/$G274)*AE274,0)*(1-$K274)</f>
        <v>7787688.5104661146</v>
      </c>
      <c r="AH274" s="1117">
        <f t="shared" ref="AH274:AH280" si="739">VLOOKUP($E274,AE$442:AH$453,4,FALSE)*AE274*($K274)+(AE274-AF274-AG274)*(1-$K274)</f>
        <v>18026634.832025412</v>
      </c>
      <c r="AI274" s="1073"/>
      <c r="AL274" s="1129">
        <f>VLOOKUP($A274,'New Resources - Individual'!$A$4:$Y$133,AL$2,FALSE)*AL$1</f>
        <v>0</v>
      </c>
      <c r="AM274" s="1116">
        <f>$G274+AL274</f>
        <v>37863278</v>
      </c>
      <c r="AN274" s="1117">
        <f t="shared" ref="AN274:AN280" si="740">VLOOKUP($E274,AM$442:AP$453,2,FALSE)*AM274*($K274)+IF($G274&lt;&gt;0,($H274/$G274)*AM274,0)*(1-$K274)</f>
        <v>12048954.657508478</v>
      </c>
      <c r="AO274" s="1117">
        <f t="shared" ref="AO274:AO280" si="741">VLOOKUP($E274,AM$442:AP$453,3,FALSE)*AM274*($K274)+IF($G274&lt;&gt;0,($I274/$G274)*AM274,0)*(1-$K274)</f>
        <v>7787688.5104661146</v>
      </c>
      <c r="AP274" s="1117">
        <f t="shared" ref="AP274:AP280" si="742">VLOOKUP($E274,AM$442:AP$453,4,FALSE)*AM274*($K274)+(AM274-AN274-AO274)*(1-$K274)</f>
        <v>18026634.832025412</v>
      </c>
      <c r="AQ274" s="1073"/>
      <c r="AT274" s="1129">
        <f>VLOOKUP($A274,'New Resources - Individual'!$A$4:$Y$133,AT$2,FALSE)*AT$1</f>
        <v>0</v>
      </c>
      <c r="AU274" s="1116">
        <f>$G274+AT274</f>
        <v>37863278</v>
      </c>
      <c r="AV274" s="1117">
        <f t="shared" ref="AV274:AV280" si="743">VLOOKUP($E274,AU$442:AX$453,2,FALSE)*AU274*($K274)+IF($G274&lt;&gt;0,($H274/$G274)*AU274,0)*(1-$K274)</f>
        <v>12048954.657508478</v>
      </c>
      <c r="AW274" s="1117">
        <f t="shared" ref="AW274:AW280" si="744">VLOOKUP($E274,AU$442:AX$453,3,FALSE)*AU274*($K274)+IF($G274&lt;&gt;0,($I274/$G274)*AU274,0)*(1-$K274)</f>
        <v>7787688.5104661146</v>
      </c>
      <c r="AX274" s="1117">
        <f t="shared" ref="AX274:AX280" si="745">VLOOKUP($E274,AU$442:AX$453,4,FALSE)*AU274*($K274)+(AU274-AV274-AW274)*(1-$K274)</f>
        <v>18026634.832025412</v>
      </c>
      <c r="AY274" s="1073"/>
      <c r="BB274" s="1129">
        <f>VLOOKUP($A274,'New Resources - Individual'!$A$4:$Y$133,BB$2,FALSE)*BB$1</f>
        <v>0</v>
      </c>
      <c r="BC274" s="1116">
        <f>$G274+BB274</f>
        <v>37863278</v>
      </c>
      <c r="BD274" s="1117">
        <f t="shared" ref="BD274:BD280" si="746">VLOOKUP($E274,BC$442:BF$453,2,FALSE)*BC274*($K274)+IF($G274&lt;&gt;0,($H274/$G274)*BC274,0)*(1-$K274)</f>
        <v>12048954.657508478</v>
      </c>
      <c r="BE274" s="1117">
        <f t="shared" ref="BE274:BE280" si="747">VLOOKUP($E274,BC$442:BF$453,3,FALSE)*BC274*($K274)+IF($G274&lt;&gt;0,($I274/$G274)*BC274,0)*(1-$K274)</f>
        <v>7787688.5104661146</v>
      </c>
      <c r="BF274" s="1117">
        <f t="shared" ref="BF274:BF280" si="748">VLOOKUP($E274,BC$442:BF$453,4,FALSE)*BC274*($K274)+(BC274-BD274-BE274)*(1-$K274)</f>
        <v>18026634.832025412</v>
      </c>
      <c r="BG274" s="1073"/>
      <c r="BJ274" s="1129">
        <f>VLOOKUP($A274,'New Resources - Individual'!$A$4:$Y$133,BJ$2,FALSE)*BJ$1</f>
        <v>0</v>
      </c>
      <c r="BK274" s="1116">
        <f>$G274+BJ274</f>
        <v>37863278</v>
      </c>
      <c r="BL274" s="1117">
        <f t="shared" ref="BL274:BL280" si="749">VLOOKUP($E274,BK$442:BN$453,2,FALSE)*BK274*($K274)+IF($G274&lt;&gt;0,($H274/$G274)*BK274,0)*(1-$K274)</f>
        <v>12048954.657508478</v>
      </c>
      <c r="BM274" s="1117">
        <f t="shared" ref="BM274:BM280" si="750">VLOOKUP($E274,BK$442:BN$453,3,FALSE)*BK274*($K274)+IF($G274&lt;&gt;0,($I274/$G274)*BK274,0)*(1-$K274)</f>
        <v>7787688.5104661146</v>
      </c>
      <c r="BN274" s="1117">
        <f t="shared" ref="BN274:BN280" si="751">VLOOKUP($E274,BK$442:BN$453,4,FALSE)*BK274*($K274)+(BK274-BL274-BM274)*(1-$K274)</f>
        <v>18026634.832025412</v>
      </c>
      <c r="BO274" s="1073"/>
      <c r="BR274" s="1129">
        <f>VLOOKUP($A274,'New Resources - Individual'!$A$4:$Y$133,BR$2,FALSE)*BR$1</f>
        <v>0</v>
      </c>
      <c r="BS274" s="1116">
        <f>$G274+BR274</f>
        <v>37863278</v>
      </c>
      <c r="BT274" s="1117">
        <f t="shared" ref="BT274:BT280" si="752">VLOOKUP($E274,BS$442:BV$453,2,FALSE)*BS274*($K274)+IF($G274&lt;&gt;0,($H274/$G274)*BS274,0)*(1-$K274)</f>
        <v>12048954.657508478</v>
      </c>
      <c r="BU274" s="1117">
        <f t="shared" ref="BU274:BU280" si="753">VLOOKUP($E274,BS$442:BV$453,3,FALSE)*BS274*($K274)+IF($G274&lt;&gt;0,($I274/$G274)*BS274,0)*(1-$K274)</f>
        <v>7787688.5104661146</v>
      </c>
      <c r="BV274" s="1117">
        <f t="shared" ref="BV274:BV280" si="754">VLOOKUP($E274,BS$442:BV$453,4,FALSE)*BS274*($K274)+(BS274-BT274-BU274)*(1-$K274)</f>
        <v>18026634.832025412</v>
      </c>
      <c r="BW274" s="1073"/>
      <c r="BZ274" s="1129">
        <f>VLOOKUP($A274,'New Resources - Individual'!$A$4:$Y$133,BZ$2,FALSE)*BZ$1</f>
        <v>0</v>
      </c>
      <c r="CA274" s="1116">
        <f>$G274+BZ274</f>
        <v>37863278</v>
      </c>
      <c r="CB274" s="1117">
        <f t="shared" ref="CB274:CB280" si="755">VLOOKUP($E274,CA$442:CD$453,2,FALSE)*CA274*($K274)+IF($G274&lt;&gt;0,($H274/$G274)*CA274,0)*(1-$K274)</f>
        <v>12048954.657508478</v>
      </c>
      <c r="CC274" s="1117">
        <f t="shared" ref="CC274:CC280" si="756">VLOOKUP($E274,CA$442:CD$453,3,FALSE)*CA274*($K274)+IF($G274&lt;&gt;0,($I274/$G274)*CA274,0)*(1-$K274)</f>
        <v>7787688.5104661146</v>
      </c>
      <c r="CD274" s="1117">
        <f t="shared" ref="CD274:CD280" si="757">VLOOKUP($E274,CA$442:CD$453,4,FALSE)*CA274*($K274)+(CA274-CB274-CC274)*(1-$K274)</f>
        <v>18026634.832025412</v>
      </c>
      <c r="CE274" s="1073"/>
      <c r="CH274" s="1129">
        <f>VLOOKUP($A274,'New Resources - Individual'!$A$4:$Y$133,CH$2,FALSE)*CH$1</f>
        <v>0</v>
      </c>
      <c r="CI274" s="1116">
        <f>$G274+CH274</f>
        <v>37863278</v>
      </c>
      <c r="CJ274" s="1117">
        <f t="shared" ref="CJ274:CJ280" si="758">VLOOKUP($E274,CI$442:CL$453,2,FALSE)*CI274*($K274)+IF($G274&lt;&gt;0,($H274/$G274)*CI274,0)*(1-$K274)</f>
        <v>12048954.657508478</v>
      </c>
      <c r="CK274" s="1117">
        <f t="shared" ref="CK274:CK280" si="759">VLOOKUP($E274,CI$442:CL$453,3,FALSE)*CI274*($K274)+IF($G274&lt;&gt;0,($I274/$G274)*CI274,0)*(1-$K274)</f>
        <v>7787688.5104661146</v>
      </c>
      <c r="CL274" s="1117">
        <f t="shared" ref="CL274:CL280" si="760">VLOOKUP($E274,CI$442:CL$453,4,FALSE)*CI274*($K274)+(CI274-CJ274-CK274)*(1-$K274)</f>
        <v>18026634.832025412</v>
      </c>
      <c r="CM274" s="1073"/>
      <c r="CP274" s="1129">
        <f>VLOOKUP($A274,'New Resources - Individual'!$A$4:$Y$133,CP$2,FALSE)*CP$1</f>
        <v>0</v>
      </c>
      <c r="CQ274" s="1116">
        <f>$G274+CP274</f>
        <v>37863278</v>
      </c>
      <c r="CR274" s="1117">
        <f t="shared" ref="CR274:CR280" si="761">VLOOKUP($E274,CQ$442:CT$453,2,FALSE)*CQ274*($K274)+IF($G274&lt;&gt;0,($H274/$G274)*CQ274,0)*(1-$K274)</f>
        <v>12048954.657508478</v>
      </c>
      <c r="CS274" s="1117">
        <f t="shared" ref="CS274:CS280" si="762">VLOOKUP($E274,CQ$442:CT$453,3,FALSE)*CQ274*($K274)+IF($G274&lt;&gt;0,($I274/$G274)*CQ274,0)*(1-$K274)</f>
        <v>7787688.5104661146</v>
      </c>
      <c r="CT274" s="1117">
        <f t="shared" ref="CT274:CT280" si="763">VLOOKUP($E274,CQ$442:CT$453,4,FALSE)*CQ274*($K274)+(CQ274-CR274-CS274)*(1-$K274)</f>
        <v>18026634.832025412</v>
      </c>
      <c r="CU274" s="1073"/>
      <c r="CX274" s="1129">
        <f>VLOOKUP($A274,'New Resources - Individual'!$A$4:$Y$133,CX$2,FALSE)*CX$1</f>
        <v>0</v>
      </c>
      <c r="CY274" s="1116">
        <f>$G274+CX274</f>
        <v>37863278</v>
      </c>
      <c r="CZ274" s="1117">
        <f t="shared" ref="CZ274:CZ280" si="764">VLOOKUP($E274,CY$442:DB$453,2,FALSE)*CY274*($K274)+IF($G274&lt;&gt;0,($H274/$G274)*CY274,0)*(1-$K274)</f>
        <v>12048954.657508478</v>
      </c>
      <c r="DA274" s="1117">
        <f t="shared" ref="DA274:DA280" si="765">VLOOKUP($E274,CY$442:DB$453,3,FALSE)*CY274*($K274)+IF($G274&lt;&gt;0,($I274/$G274)*CY274,0)*(1-$K274)</f>
        <v>7787688.5104661146</v>
      </c>
      <c r="DB274" s="1117">
        <f t="shared" ref="DB274:DB280" si="766">VLOOKUP($E274,CY$442:DB$453,4,FALSE)*CY274*($K274)+(CY274-CZ274-DA274)*(1-$K274)</f>
        <v>18026634.832025412</v>
      </c>
      <c r="DC274" s="1073"/>
      <c r="DF274" s="1129">
        <f>VLOOKUP($A274,'New Resources - Individual'!$A$4:$Y$133,DF$2,FALSE)*DF$1</f>
        <v>0</v>
      </c>
      <c r="DG274" s="1116">
        <f>$G274+DF274</f>
        <v>37863278</v>
      </c>
      <c r="DH274" s="1117">
        <f t="shared" ref="DH274:DH280" si="767">VLOOKUP($E274,DG$442:DJ$453,2,FALSE)*DG274*($K274)+IF($G274&lt;&gt;0,($H274/$G274)*DG274,0)*(1-$K274)</f>
        <v>12048954.657508478</v>
      </c>
      <c r="DI274" s="1117">
        <f t="shared" ref="DI274:DI280" si="768">VLOOKUP($E274,DG$442:DJ$453,3,FALSE)*DG274*($K274)+IF($G274&lt;&gt;0,($I274/$G274)*DG274,0)*(1-$K274)</f>
        <v>7787688.5104661146</v>
      </c>
      <c r="DJ274" s="1117">
        <f t="shared" ref="DJ274:DJ280" si="769">VLOOKUP($E274,DG$442:DJ$453,4,FALSE)*DG274*($K274)+(DG274-DH274-DI274)*(1-$K274)</f>
        <v>18026634.832025412</v>
      </c>
      <c r="DK274" s="1073"/>
      <c r="DN274" s="1129">
        <f>VLOOKUP($A274,'New Resources - Individual'!$A$4:$Y$133,DN$2,FALSE)*DN$1</f>
        <v>0</v>
      </c>
      <c r="DO274" s="1116">
        <f>$G274+DN274</f>
        <v>37863278</v>
      </c>
      <c r="DP274" s="1117">
        <f t="shared" ref="DP274:DP280" si="770">VLOOKUP($E274,DO$442:DR$453,2,FALSE)*DO274*($K274)+IF($G274&lt;&gt;0,($H274/$G274)*DO274,0)*(1-$K274)</f>
        <v>12048954.657508478</v>
      </c>
      <c r="DQ274" s="1117">
        <f t="shared" ref="DQ274:DQ280" si="771">VLOOKUP($E274,DO$442:DR$453,3,FALSE)*DO274*($K274)+IF($G274&lt;&gt;0,($I274/$G274)*DO274,0)*(1-$K274)</f>
        <v>7787688.5104661146</v>
      </c>
      <c r="DR274" s="1117">
        <f t="shared" ref="DR274:DR280" si="772">VLOOKUP($E274,DO$442:DR$453,4,FALSE)*DO274*($K274)+(DO274-DP274-DQ274)*(1-$K274)</f>
        <v>18026634.832025412</v>
      </c>
      <c r="DS274" s="1073"/>
      <c r="DV274" s="1129">
        <f>VLOOKUP($A274,'New Resources - Individual'!$A$4:$Y$133,DV$2,FALSE)*DV$1</f>
        <v>0</v>
      </c>
      <c r="DW274" s="1116">
        <f>$G274+DV274</f>
        <v>37863278</v>
      </c>
      <c r="DX274" s="1117">
        <f t="shared" ref="DX274:DX280" si="773">VLOOKUP($E274,DW$442:DZ$453,2,FALSE)*DW274*($K274)+IF($G274&lt;&gt;0,($H274/$G274)*DW274,0)*(1-$K274)</f>
        <v>12048954.657508478</v>
      </c>
      <c r="DY274" s="1117">
        <f t="shared" ref="DY274:DY280" si="774">VLOOKUP($E274,DW$442:DZ$453,3,FALSE)*DW274*($K274)+IF($G274&lt;&gt;0,($I274/$G274)*DW274,0)*(1-$K274)</f>
        <v>7787688.5104661146</v>
      </c>
      <c r="DZ274" s="1117">
        <f t="shared" ref="DZ274:DZ280" si="775">VLOOKUP($E274,DW$442:DZ$453,4,FALSE)*DW274*($K274)+(DW274-DX274-DY274)*(1-$K274)</f>
        <v>18026634.832025412</v>
      </c>
      <c r="EA274" s="1073"/>
      <c r="ED274" s="1129">
        <f>VLOOKUP($A274,'New Resources - Individual'!$A$4:$Y$133,ED$2,FALSE)*ED$1</f>
        <v>0</v>
      </c>
      <c r="EE274" s="1116">
        <f>$G274+ED274</f>
        <v>37863278</v>
      </c>
      <c r="EF274" s="1117">
        <f t="shared" ref="EF274:EF280" si="776">VLOOKUP($E274,EE$442:EH$453,2,FALSE)*EE274*($K274)+IF($G274&lt;&gt;0,($H274/$G274)*EE274,0)*(1-$K274)</f>
        <v>12048954.657508478</v>
      </c>
      <c r="EG274" s="1117">
        <f t="shared" ref="EG274:EG280" si="777">VLOOKUP($E274,EE$442:EH$453,3,FALSE)*EE274*($K274)+IF($G274&lt;&gt;0,($I274/$G274)*EE274,0)*(1-$K274)</f>
        <v>7787688.5104661146</v>
      </c>
      <c r="EH274" s="1117">
        <f t="shared" ref="EH274:EH280" si="778">VLOOKUP($E274,EE$442:EH$453,4,FALSE)*EE274*($K274)+(EE274-EF274-EG274)*(1-$K274)</f>
        <v>18026634.832025412</v>
      </c>
      <c r="EI274" s="1073"/>
      <c r="EL274" s="1129">
        <f>VLOOKUP($A274,'New Resources - Individual'!$A$4:$Y$133,EL$2,FALSE)*EL$1</f>
        <v>0</v>
      </c>
      <c r="EM274" s="1116">
        <f>$G274+EL274</f>
        <v>37863278</v>
      </c>
      <c r="EN274" s="1117">
        <f t="shared" ref="EN274:EN280" si="779">VLOOKUP($E274,EM$442:EP$453,2,FALSE)*EM274*($K274)+IF($G274&lt;&gt;0,($H274/$G274)*EM274,0)*(1-$K274)</f>
        <v>12048954.657508478</v>
      </c>
      <c r="EO274" s="1117">
        <f t="shared" ref="EO274:EO280" si="780">VLOOKUP($E274,EM$442:EP$453,3,FALSE)*EM274*($K274)+IF($G274&lt;&gt;0,($I274/$G274)*EM274,0)*(1-$K274)</f>
        <v>7787688.5104661146</v>
      </c>
      <c r="EP274" s="1117">
        <f t="shared" ref="EP274:EP280" si="781">VLOOKUP($E274,EM$442:EP$453,4,FALSE)*EM274*($K274)+(EM274-EN274-EO274)*(1-$K274)</f>
        <v>18026634.832025412</v>
      </c>
      <c r="EQ274" s="1073"/>
      <c r="ET274" s="1129">
        <f>VLOOKUP($A274,'New Resources - Individual'!$A$4:$Y$133,ET$2,FALSE)*ET$1</f>
        <v>0</v>
      </c>
      <c r="EU274" s="1116">
        <f>$G274+ET274</f>
        <v>37863278</v>
      </c>
      <c r="EV274" s="1117">
        <f t="shared" ref="EV274:EV280" si="782">VLOOKUP($E274,EU$442:EX$453,2,FALSE)*EU274*($K274)+IF($G274&lt;&gt;0,($H274/$G274)*EU274,0)*(1-$K274)</f>
        <v>12048954.657508478</v>
      </c>
      <c r="EW274" s="1117">
        <f t="shared" ref="EW274:EW280" si="783">VLOOKUP($E274,EU$442:EX$453,3,FALSE)*EU274*($K274)+IF($G274&lt;&gt;0,($I274/$G274)*EU274,0)*(1-$K274)</f>
        <v>7787688.5104661146</v>
      </c>
      <c r="EX274" s="1117">
        <f t="shared" ref="EX274:EX280" si="784">VLOOKUP($E274,EU$442:EX$453,4,FALSE)*EU274*($K274)+(EU274-EV274-EW274)*(1-$K274)</f>
        <v>18026634.832025412</v>
      </c>
      <c r="EY274" s="1073"/>
      <c r="FB274" s="1129">
        <f>VLOOKUP($A274,'New Resources - Individual'!$A$4:$Y$133,FB$2,FALSE)*FB$1</f>
        <v>0</v>
      </c>
      <c r="FC274" s="1116">
        <f>$G274+FB274</f>
        <v>37863278</v>
      </c>
      <c r="FD274" s="1117">
        <f t="shared" ref="FD274:FD280" si="785">VLOOKUP($E274,FC$442:FF$453,2,FALSE)*FC274*($K274)+IF($G274&lt;&gt;0,($H274/$G274)*FC274,0)*(1-$K274)</f>
        <v>12048954.657508478</v>
      </c>
      <c r="FE274" s="1117">
        <f t="shared" ref="FE274:FE280" si="786">VLOOKUP($E274,FC$442:FF$453,3,FALSE)*FC274*($K274)+IF($G274&lt;&gt;0,($I274/$G274)*FC274,0)*(1-$K274)</f>
        <v>7787688.5104661146</v>
      </c>
      <c r="FF274" s="1117">
        <f t="shared" ref="FF274:FF280" si="787">VLOOKUP($E274,FC$442:FF$453,4,FALSE)*FC274*($K274)+(FC274-FD274-FE274)*(1-$K274)</f>
        <v>18026634.832025412</v>
      </c>
      <c r="FG274" s="1073"/>
      <c r="FJ274" s="1129">
        <f>VLOOKUP($A274,'New Resources - Individual'!$A$4:$Y$133,FJ$2,FALSE)*FJ$1</f>
        <v>0</v>
      </c>
      <c r="FK274" s="1116">
        <f>$G274+FJ274</f>
        <v>37863278</v>
      </c>
      <c r="FL274" s="1117">
        <f t="shared" ref="FL274:FL280" si="788">VLOOKUP($E274,FK$442:FN$453,2,FALSE)*FK274*($K274)+IF($G274&lt;&gt;0,($H274/$G274)*FK274,0)*(1-$K274)</f>
        <v>12048954.657508478</v>
      </c>
      <c r="FM274" s="1117">
        <f t="shared" ref="FM274:FM280" si="789">VLOOKUP($E274,FK$442:FN$453,3,FALSE)*FK274*($K274)+IF($G274&lt;&gt;0,($I274/$G274)*FK274,0)*(1-$K274)</f>
        <v>7787688.5104661146</v>
      </c>
      <c r="FN274" s="1117">
        <f t="shared" ref="FN274:FN280" si="790">VLOOKUP($E274,FK$442:FN$453,4,FALSE)*FK274*($K274)+(FK274-FL274-FM274)*(1-$K274)</f>
        <v>18026634.832025412</v>
      </c>
      <c r="FO274" s="1073"/>
    </row>
    <row r="275" spans="1:171">
      <c r="A275" s="170"/>
      <c r="B275" s="63" t="s">
        <v>152</v>
      </c>
      <c r="C275" s="1022">
        <v>262</v>
      </c>
      <c r="D275" s="1023">
        <v>408.1</v>
      </c>
      <c r="E275" s="182" t="str">
        <f>'Sch 3A - Taxes'!E23</f>
        <v>LABOR</v>
      </c>
      <c r="F275" s="889"/>
      <c r="G275" s="182">
        <f>'Sch 3A - Taxes'!F23</f>
        <v>110882</v>
      </c>
      <c r="H275" s="182">
        <f>'Sch 3A - Taxes'!G23</f>
        <v>40590.644982761813</v>
      </c>
      <c r="I275" s="182">
        <f>'Sch 3A - Taxes'!H23</f>
        <v>0</v>
      </c>
      <c r="J275" s="183">
        <f>'Sch 3A - Taxes'!I23</f>
        <v>70291.355017238195</v>
      </c>
      <c r="K275" s="903">
        <f t="shared" si="730"/>
        <v>1</v>
      </c>
      <c r="O275" s="1116">
        <f t="shared" ref="O275:O280" si="791">$G275</f>
        <v>110882</v>
      </c>
      <c r="P275" s="1117">
        <f t="shared" si="731"/>
        <v>40590.644982761813</v>
      </c>
      <c r="Q275" s="1117">
        <f t="shared" si="732"/>
        <v>8506.1227627054304</v>
      </c>
      <c r="R275" s="1117">
        <f t="shared" si="733"/>
        <v>61785.232254532755</v>
      </c>
      <c r="S275" s="1073"/>
      <c r="W275" s="1116">
        <f t="shared" ref="W275:W280" si="792">$G275</f>
        <v>110882</v>
      </c>
      <c r="X275" s="1117">
        <f t="shared" si="734"/>
        <v>40590.644982761813</v>
      </c>
      <c r="Y275" s="1117">
        <f t="shared" si="735"/>
        <v>8506.1227627054304</v>
      </c>
      <c r="Z275" s="1117">
        <f t="shared" si="736"/>
        <v>61785.232254532755</v>
      </c>
      <c r="AA275" s="1073"/>
      <c r="AE275" s="1116">
        <f t="shared" ref="AE275:AE280" si="793">$G275</f>
        <v>110882</v>
      </c>
      <c r="AF275" s="1117">
        <f t="shared" si="737"/>
        <v>40590.644982761813</v>
      </c>
      <c r="AG275" s="1117">
        <f t="shared" si="738"/>
        <v>8506.1227627054304</v>
      </c>
      <c r="AH275" s="1117">
        <f t="shared" si="739"/>
        <v>61785.232254532755</v>
      </c>
      <c r="AI275" s="1073"/>
      <c r="AM275" s="1116">
        <f t="shared" ref="AM275:AM280" si="794">$G275</f>
        <v>110882</v>
      </c>
      <c r="AN275" s="1117">
        <f t="shared" si="740"/>
        <v>40590.644982761813</v>
      </c>
      <c r="AO275" s="1117">
        <f t="shared" si="741"/>
        <v>8506.1227627054304</v>
      </c>
      <c r="AP275" s="1117">
        <f t="shared" si="742"/>
        <v>61785.232254532755</v>
      </c>
      <c r="AQ275" s="1073"/>
      <c r="AU275" s="1116">
        <f t="shared" ref="AU275:AU280" si="795">$G275</f>
        <v>110882</v>
      </c>
      <c r="AV275" s="1117">
        <f t="shared" si="743"/>
        <v>40590.644982761813</v>
      </c>
      <c r="AW275" s="1117">
        <f t="shared" si="744"/>
        <v>8506.1227627054304</v>
      </c>
      <c r="AX275" s="1117">
        <f t="shared" si="745"/>
        <v>61785.232254532755</v>
      </c>
      <c r="AY275" s="1073"/>
      <c r="BC275" s="1116">
        <f t="shared" ref="BC275:BC280" si="796">$G275</f>
        <v>110882</v>
      </c>
      <c r="BD275" s="1117">
        <f t="shared" si="746"/>
        <v>40590.644982761813</v>
      </c>
      <c r="BE275" s="1117">
        <f t="shared" si="747"/>
        <v>8506.1227627054304</v>
      </c>
      <c r="BF275" s="1117">
        <f t="shared" si="748"/>
        <v>61785.232254532755</v>
      </c>
      <c r="BG275" s="1073"/>
      <c r="BK275" s="1116">
        <f t="shared" ref="BK275:BK280" si="797">$G275</f>
        <v>110882</v>
      </c>
      <c r="BL275" s="1117">
        <f t="shared" si="749"/>
        <v>40590.644982761813</v>
      </c>
      <c r="BM275" s="1117">
        <f t="shared" si="750"/>
        <v>8506.1227627054304</v>
      </c>
      <c r="BN275" s="1117">
        <f t="shared" si="751"/>
        <v>61785.232254532755</v>
      </c>
      <c r="BO275" s="1073"/>
      <c r="BS275" s="1116">
        <f t="shared" ref="BS275:BS280" si="798">$G275</f>
        <v>110882</v>
      </c>
      <c r="BT275" s="1117">
        <f t="shared" si="752"/>
        <v>40590.644982761813</v>
      </c>
      <c r="BU275" s="1117">
        <f t="shared" si="753"/>
        <v>8506.1227627054304</v>
      </c>
      <c r="BV275" s="1117">
        <f t="shared" si="754"/>
        <v>61785.232254532755</v>
      </c>
      <c r="BW275" s="1073"/>
      <c r="CA275" s="1116">
        <f t="shared" ref="CA275:CA280" si="799">$G275</f>
        <v>110882</v>
      </c>
      <c r="CB275" s="1117">
        <f t="shared" si="755"/>
        <v>40590.644982761813</v>
      </c>
      <c r="CC275" s="1117">
        <f t="shared" si="756"/>
        <v>8506.1227627054304</v>
      </c>
      <c r="CD275" s="1117">
        <f t="shared" si="757"/>
        <v>61785.232254532755</v>
      </c>
      <c r="CE275" s="1073"/>
      <c r="CI275" s="1116">
        <f t="shared" ref="CI275:CI280" si="800">$G275</f>
        <v>110882</v>
      </c>
      <c r="CJ275" s="1117">
        <f t="shared" si="758"/>
        <v>40590.644982761813</v>
      </c>
      <c r="CK275" s="1117">
        <f t="shared" si="759"/>
        <v>8506.1227627054304</v>
      </c>
      <c r="CL275" s="1117">
        <f t="shared" si="760"/>
        <v>61785.232254532755</v>
      </c>
      <c r="CM275" s="1073"/>
      <c r="CQ275" s="1116">
        <f t="shared" ref="CQ275:CQ280" si="801">$G275</f>
        <v>110882</v>
      </c>
      <c r="CR275" s="1117">
        <f t="shared" si="761"/>
        <v>40590.644982761813</v>
      </c>
      <c r="CS275" s="1117">
        <f t="shared" si="762"/>
        <v>8506.1227627054304</v>
      </c>
      <c r="CT275" s="1117">
        <f t="shared" si="763"/>
        <v>61785.232254532755</v>
      </c>
      <c r="CU275" s="1073"/>
      <c r="CY275" s="1116">
        <f t="shared" ref="CY275:CY280" si="802">$G275</f>
        <v>110882</v>
      </c>
      <c r="CZ275" s="1117">
        <f t="shared" si="764"/>
        <v>40590.644982761813</v>
      </c>
      <c r="DA275" s="1117">
        <f t="shared" si="765"/>
        <v>8506.1227627054304</v>
      </c>
      <c r="DB275" s="1117">
        <f t="shared" si="766"/>
        <v>61785.232254532755</v>
      </c>
      <c r="DC275" s="1073"/>
      <c r="DG275" s="1116">
        <f t="shared" ref="DG275:DG280" si="803">$G275</f>
        <v>110882</v>
      </c>
      <c r="DH275" s="1117">
        <f t="shared" si="767"/>
        <v>40590.644982761813</v>
      </c>
      <c r="DI275" s="1117">
        <f t="shared" si="768"/>
        <v>8506.1227627054304</v>
      </c>
      <c r="DJ275" s="1117">
        <f t="shared" si="769"/>
        <v>61785.232254532755</v>
      </c>
      <c r="DK275" s="1073"/>
      <c r="DO275" s="1116">
        <f t="shared" ref="DO275:DO280" si="804">$G275</f>
        <v>110882</v>
      </c>
      <c r="DP275" s="1117">
        <f t="shared" si="770"/>
        <v>40590.644982761813</v>
      </c>
      <c r="DQ275" s="1117">
        <f t="shared" si="771"/>
        <v>8506.1227627054304</v>
      </c>
      <c r="DR275" s="1117">
        <f t="shared" si="772"/>
        <v>61785.232254532755</v>
      </c>
      <c r="DS275" s="1073"/>
      <c r="DW275" s="1116">
        <f t="shared" ref="DW275:DW280" si="805">$G275</f>
        <v>110882</v>
      </c>
      <c r="DX275" s="1117">
        <f t="shared" si="773"/>
        <v>40590.644982761813</v>
      </c>
      <c r="DY275" s="1117">
        <f t="shared" si="774"/>
        <v>8506.1227627054304</v>
      </c>
      <c r="DZ275" s="1117">
        <f t="shared" si="775"/>
        <v>61785.232254532755</v>
      </c>
      <c r="EA275" s="1073"/>
      <c r="EE275" s="1116">
        <f t="shared" ref="EE275:EE280" si="806">$G275</f>
        <v>110882</v>
      </c>
      <c r="EF275" s="1117">
        <f t="shared" si="776"/>
        <v>40590.644982761813</v>
      </c>
      <c r="EG275" s="1117">
        <f t="shared" si="777"/>
        <v>8506.1227627054304</v>
      </c>
      <c r="EH275" s="1117">
        <f t="shared" si="778"/>
        <v>61785.232254532755</v>
      </c>
      <c r="EI275" s="1073"/>
      <c r="EM275" s="1116">
        <f t="shared" ref="EM275:EM280" si="807">$G275</f>
        <v>110882</v>
      </c>
      <c r="EN275" s="1117">
        <f t="shared" si="779"/>
        <v>40590.644982761813</v>
      </c>
      <c r="EO275" s="1117">
        <f t="shared" si="780"/>
        <v>8506.1227627054304</v>
      </c>
      <c r="EP275" s="1117">
        <f t="shared" si="781"/>
        <v>61785.232254532755</v>
      </c>
      <c r="EQ275" s="1073"/>
      <c r="EU275" s="1116">
        <f t="shared" ref="EU275:EU280" si="808">$G275</f>
        <v>110882</v>
      </c>
      <c r="EV275" s="1117">
        <f t="shared" si="782"/>
        <v>40590.644982761813</v>
      </c>
      <c r="EW275" s="1117">
        <f t="shared" si="783"/>
        <v>8506.1227627054304</v>
      </c>
      <c r="EX275" s="1117">
        <f t="shared" si="784"/>
        <v>61785.232254532755</v>
      </c>
      <c r="EY275" s="1073"/>
      <c r="FC275" s="1116">
        <f t="shared" ref="FC275:FC280" si="809">$G275</f>
        <v>110882</v>
      </c>
      <c r="FD275" s="1117">
        <f t="shared" si="785"/>
        <v>40590.644982761813</v>
      </c>
      <c r="FE275" s="1117">
        <f t="shared" si="786"/>
        <v>8506.1227627054304</v>
      </c>
      <c r="FF275" s="1117">
        <f t="shared" si="787"/>
        <v>61785.232254532755</v>
      </c>
      <c r="FG275" s="1073"/>
      <c r="FK275" s="1116">
        <f t="shared" ref="FK275:FK280" si="810">$G275</f>
        <v>110882</v>
      </c>
      <c r="FL275" s="1117">
        <f t="shared" si="788"/>
        <v>40590.644982761813</v>
      </c>
      <c r="FM275" s="1117">
        <f t="shared" si="789"/>
        <v>8506.1227627054304</v>
      </c>
      <c r="FN275" s="1117">
        <f t="shared" si="790"/>
        <v>61785.232254532755</v>
      </c>
      <c r="FO275" s="1073"/>
    </row>
    <row r="276" spans="1:171">
      <c r="A276" s="170"/>
      <c r="B276" s="63" t="s">
        <v>572</v>
      </c>
      <c r="C276" s="1022">
        <v>262</v>
      </c>
      <c r="D276" s="1023">
        <v>409.1</v>
      </c>
      <c r="E276" s="182" t="str">
        <f>'Sch 3A - Taxes'!E24</f>
        <v>DIST</v>
      </c>
      <c r="F276" s="889"/>
      <c r="G276" s="182">
        <f>'Sch 3A - Taxes'!F24</f>
        <v>43491448</v>
      </c>
      <c r="H276" s="182">
        <f>'Sch 3A - Taxes'!G24</f>
        <v>0</v>
      </c>
      <c r="I276" s="182">
        <f>'Sch 3A - Taxes'!H24</f>
        <v>0</v>
      </c>
      <c r="J276" s="183">
        <f>'Sch 3A - Taxes'!I24</f>
        <v>43491448</v>
      </c>
      <c r="K276" s="903">
        <f t="shared" si="730"/>
        <v>1</v>
      </c>
      <c r="O276" s="1116">
        <f t="shared" si="791"/>
        <v>43491448</v>
      </c>
      <c r="P276" s="1117">
        <f t="shared" si="731"/>
        <v>0</v>
      </c>
      <c r="Q276" s="1117">
        <f t="shared" si="732"/>
        <v>0</v>
      </c>
      <c r="R276" s="1117">
        <f t="shared" si="733"/>
        <v>43491448</v>
      </c>
      <c r="S276" s="1073"/>
      <c r="W276" s="1116">
        <f t="shared" si="792"/>
        <v>43491448</v>
      </c>
      <c r="X276" s="1117">
        <f t="shared" si="734"/>
        <v>0</v>
      </c>
      <c r="Y276" s="1117">
        <f t="shared" si="735"/>
        <v>0</v>
      </c>
      <c r="Z276" s="1117">
        <f t="shared" si="736"/>
        <v>43491448</v>
      </c>
      <c r="AA276" s="1073"/>
      <c r="AE276" s="1116">
        <f t="shared" si="793"/>
        <v>43491448</v>
      </c>
      <c r="AF276" s="1117">
        <f t="shared" si="737"/>
        <v>0</v>
      </c>
      <c r="AG276" s="1117">
        <f t="shared" si="738"/>
        <v>0</v>
      </c>
      <c r="AH276" s="1117">
        <f t="shared" si="739"/>
        <v>43491448</v>
      </c>
      <c r="AI276" s="1073"/>
      <c r="AM276" s="1116">
        <f t="shared" si="794"/>
        <v>43491448</v>
      </c>
      <c r="AN276" s="1117">
        <f t="shared" si="740"/>
        <v>0</v>
      </c>
      <c r="AO276" s="1117">
        <f t="shared" si="741"/>
        <v>0</v>
      </c>
      <c r="AP276" s="1117">
        <f t="shared" si="742"/>
        <v>43491448</v>
      </c>
      <c r="AQ276" s="1073"/>
      <c r="AU276" s="1116">
        <f t="shared" si="795"/>
        <v>43491448</v>
      </c>
      <c r="AV276" s="1117">
        <f t="shared" si="743"/>
        <v>0</v>
      </c>
      <c r="AW276" s="1117">
        <f t="shared" si="744"/>
        <v>0</v>
      </c>
      <c r="AX276" s="1117">
        <f t="shared" si="745"/>
        <v>43491448</v>
      </c>
      <c r="AY276" s="1073"/>
      <c r="BC276" s="1116">
        <f t="shared" si="796"/>
        <v>43491448</v>
      </c>
      <c r="BD276" s="1117">
        <f t="shared" si="746"/>
        <v>0</v>
      </c>
      <c r="BE276" s="1117">
        <f t="shared" si="747"/>
        <v>0</v>
      </c>
      <c r="BF276" s="1117">
        <f t="shared" si="748"/>
        <v>43491448</v>
      </c>
      <c r="BG276" s="1073"/>
      <c r="BK276" s="1116">
        <f t="shared" si="797"/>
        <v>43491448</v>
      </c>
      <c r="BL276" s="1117">
        <f t="shared" si="749"/>
        <v>0</v>
      </c>
      <c r="BM276" s="1117">
        <f t="shared" si="750"/>
        <v>0</v>
      </c>
      <c r="BN276" s="1117">
        <f t="shared" si="751"/>
        <v>43491448</v>
      </c>
      <c r="BO276" s="1073"/>
      <c r="BS276" s="1116">
        <f t="shared" si="798"/>
        <v>43491448</v>
      </c>
      <c r="BT276" s="1117">
        <f t="shared" si="752"/>
        <v>0</v>
      </c>
      <c r="BU276" s="1117">
        <f t="shared" si="753"/>
        <v>0</v>
      </c>
      <c r="BV276" s="1117">
        <f t="shared" si="754"/>
        <v>43491448</v>
      </c>
      <c r="BW276" s="1073"/>
      <c r="CA276" s="1116">
        <f t="shared" si="799"/>
        <v>43491448</v>
      </c>
      <c r="CB276" s="1117">
        <f t="shared" si="755"/>
        <v>0</v>
      </c>
      <c r="CC276" s="1117">
        <f t="shared" si="756"/>
        <v>0</v>
      </c>
      <c r="CD276" s="1117">
        <f t="shared" si="757"/>
        <v>43491448</v>
      </c>
      <c r="CE276" s="1073"/>
      <c r="CI276" s="1116">
        <f t="shared" si="800"/>
        <v>43491448</v>
      </c>
      <c r="CJ276" s="1117">
        <f t="shared" si="758"/>
        <v>0</v>
      </c>
      <c r="CK276" s="1117">
        <f t="shared" si="759"/>
        <v>0</v>
      </c>
      <c r="CL276" s="1117">
        <f t="shared" si="760"/>
        <v>43491448</v>
      </c>
      <c r="CM276" s="1073"/>
      <c r="CQ276" s="1116">
        <f t="shared" si="801"/>
        <v>43491448</v>
      </c>
      <c r="CR276" s="1117">
        <f t="shared" si="761"/>
        <v>0</v>
      </c>
      <c r="CS276" s="1117">
        <f t="shared" si="762"/>
        <v>0</v>
      </c>
      <c r="CT276" s="1117">
        <f t="shared" si="763"/>
        <v>43491448</v>
      </c>
      <c r="CU276" s="1073"/>
      <c r="CY276" s="1116">
        <f t="shared" si="802"/>
        <v>43491448</v>
      </c>
      <c r="CZ276" s="1117">
        <f t="shared" si="764"/>
        <v>0</v>
      </c>
      <c r="DA276" s="1117">
        <f t="shared" si="765"/>
        <v>0</v>
      </c>
      <c r="DB276" s="1117">
        <f t="shared" si="766"/>
        <v>43491448</v>
      </c>
      <c r="DC276" s="1073"/>
      <c r="DG276" s="1116">
        <f t="shared" si="803"/>
        <v>43491448</v>
      </c>
      <c r="DH276" s="1117">
        <f t="shared" si="767"/>
        <v>0</v>
      </c>
      <c r="DI276" s="1117">
        <f t="shared" si="768"/>
        <v>0</v>
      </c>
      <c r="DJ276" s="1117">
        <f t="shared" si="769"/>
        <v>43491448</v>
      </c>
      <c r="DK276" s="1073"/>
      <c r="DO276" s="1116">
        <f t="shared" si="804"/>
        <v>43491448</v>
      </c>
      <c r="DP276" s="1117">
        <f t="shared" si="770"/>
        <v>0</v>
      </c>
      <c r="DQ276" s="1117">
        <f t="shared" si="771"/>
        <v>0</v>
      </c>
      <c r="DR276" s="1117">
        <f t="shared" si="772"/>
        <v>43491448</v>
      </c>
      <c r="DS276" s="1073"/>
      <c r="DW276" s="1116">
        <f t="shared" si="805"/>
        <v>43491448</v>
      </c>
      <c r="DX276" s="1117">
        <f t="shared" si="773"/>
        <v>0</v>
      </c>
      <c r="DY276" s="1117">
        <f t="shared" si="774"/>
        <v>0</v>
      </c>
      <c r="DZ276" s="1117">
        <f t="shared" si="775"/>
        <v>43491448</v>
      </c>
      <c r="EA276" s="1073"/>
      <c r="EE276" s="1116">
        <f t="shared" si="806"/>
        <v>43491448</v>
      </c>
      <c r="EF276" s="1117">
        <f t="shared" si="776"/>
        <v>0</v>
      </c>
      <c r="EG276" s="1117">
        <f t="shared" si="777"/>
        <v>0</v>
      </c>
      <c r="EH276" s="1117">
        <f t="shared" si="778"/>
        <v>43491448</v>
      </c>
      <c r="EI276" s="1073"/>
      <c r="EM276" s="1116">
        <f t="shared" si="807"/>
        <v>43491448</v>
      </c>
      <c r="EN276" s="1117">
        <f t="shared" si="779"/>
        <v>0</v>
      </c>
      <c r="EO276" s="1117">
        <f t="shared" si="780"/>
        <v>0</v>
      </c>
      <c r="EP276" s="1117">
        <f t="shared" si="781"/>
        <v>43491448</v>
      </c>
      <c r="EQ276" s="1073"/>
      <c r="EU276" s="1116">
        <f t="shared" si="808"/>
        <v>43491448</v>
      </c>
      <c r="EV276" s="1117">
        <f t="shared" si="782"/>
        <v>0</v>
      </c>
      <c r="EW276" s="1117">
        <f t="shared" si="783"/>
        <v>0</v>
      </c>
      <c r="EX276" s="1117">
        <f t="shared" si="784"/>
        <v>43491448</v>
      </c>
      <c r="EY276" s="1073"/>
      <c r="FC276" s="1116">
        <f t="shared" si="809"/>
        <v>43491448</v>
      </c>
      <c r="FD276" s="1117">
        <f t="shared" si="785"/>
        <v>0</v>
      </c>
      <c r="FE276" s="1117">
        <f t="shared" si="786"/>
        <v>0</v>
      </c>
      <c r="FF276" s="1117">
        <f t="shared" si="787"/>
        <v>43491448</v>
      </c>
      <c r="FG276" s="1073"/>
      <c r="FK276" s="1116">
        <f t="shared" si="810"/>
        <v>43491448</v>
      </c>
      <c r="FL276" s="1117">
        <f t="shared" si="788"/>
        <v>0</v>
      </c>
      <c r="FM276" s="1117">
        <f t="shared" si="789"/>
        <v>0</v>
      </c>
      <c r="FN276" s="1117">
        <f t="shared" si="790"/>
        <v>43491448</v>
      </c>
      <c r="FO276" s="1073"/>
    </row>
    <row r="277" spans="1:171">
      <c r="A277" s="170"/>
      <c r="B277" s="63" t="s">
        <v>573</v>
      </c>
      <c r="C277" s="1022">
        <v>262</v>
      </c>
      <c r="D277" s="1023">
        <v>408.1</v>
      </c>
      <c r="E277" s="182" t="str">
        <f>'Sch 3A - Taxes'!E25</f>
        <v>DIST</v>
      </c>
      <c r="F277" s="889"/>
      <c r="G277" s="182">
        <f>'Sch 3A - Taxes'!F25</f>
        <v>5991378</v>
      </c>
      <c r="H277" s="182">
        <f>'Sch 3A - Taxes'!G25</f>
        <v>0</v>
      </c>
      <c r="I277" s="182">
        <f>'Sch 3A - Taxes'!H25</f>
        <v>0</v>
      </c>
      <c r="J277" s="183">
        <f>'Sch 3A - Taxes'!I25</f>
        <v>5991378</v>
      </c>
      <c r="K277" s="903">
        <f t="shared" si="730"/>
        <v>1</v>
      </c>
      <c r="O277" s="1116">
        <f t="shared" si="791"/>
        <v>5991378</v>
      </c>
      <c r="P277" s="1117">
        <f t="shared" si="731"/>
        <v>0</v>
      </c>
      <c r="Q277" s="1117">
        <f t="shared" si="732"/>
        <v>0</v>
      </c>
      <c r="R277" s="1117">
        <f t="shared" si="733"/>
        <v>5991378</v>
      </c>
      <c r="S277" s="1073"/>
      <c r="W277" s="1116">
        <f t="shared" si="792"/>
        <v>5991378</v>
      </c>
      <c r="X277" s="1117">
        <f t="shared" si="734"/>
        <v>0</v>
      </c>
      <c r="Y277" s="1117">
        <f t="shared" si="735"/>
        <v>0</v>
      </c>
      <c r="Z277" s="1117">
        <f t="shared" si="736"/>
        <v>5991378</v>
      </c>
      <c r="AA277" s="1073"/>
      <c r="AE277" s="1116">
        <f t="shared" si="793"/>
        <v>5991378</v>
      </c>
      <c r="AF277" s="1117">
        <f t="shared" si="737"/>
        <v>0</v>
      </c>
      <c r="AG277" s="1117">
        <f t="shared" si="738"/>
        <v>0</v>
      </c>
      <c r="AH277" s="1117">
        <f t="shared" si="739"/>
        <v>5991378</v>
      </c>
      <c r="AI277" s="1073"/>
      <c r="AM277" s="1116">
        <f t="shared" si="794"/>
        <v>5991378</v>
      </c>
      <c r="AN277" s="1117">
        <f t="shared" si="740"/>
        <v>0</v>
      </c>
      <c r="AO277" s="1117">
        <f t="shared" si="741"/>
        <v>0</v>
      </c>
      <c r="AP277" s="1117">
        <f t="shared" si="742"/>
        <v>5991378</v>
      </c>
      <c r="AQ277" s="1073"/>
      <c r="AU277" s="1116">
        <f t="shared" si="795"/>
        <v>5991378</v>
      </c>
      <c r="AV277" s="1117">
        <f t="shared" si="743"/>
        <v>0</v>
      </c>
      <c r="AW277" s="1117">
        <f t="shared" si="744"/>
        <v>0</v>
      </c>
      <c r="AX277" s="1117">
        <f t="shared" si="745"/>
        <v>5991378</v>
      </c>
      <c r="AY277" s="1073"/>
      <c r="BC277" s="1116">
        <f t="shared" si="796"/>
        <v>5991378</v>
      </c>
      <c r="BD277" s="1117">
        <f t="shared" si="746"/>
        <v>0</v>
      </c>
      <c r="BE277" s="1117">
        <f t="shared" si="747"/>
        <v>0</v>
      </c>
      <c r="BF277" s="1117">
        <f t="shared" si="748"/>
        <v>5991378</v>
      </c>
      <c r="BG277" s="1073"/>
      <c r="BK277" s="1116">
        <f t="shared" si="797"/>
        <v>5991378</v>
      </c>
      <c r="BL277" s="1117">
        <f t="shared" si="749"/>
        <v>0</v>
      </c>
      <c r="BM277" s="1117">
        <f t="shared" si="750"/>
        <v>0</v>
      </c>
      <c r="BN277" s="1117">
        <f t="shared" si="751"/>
        <v>5991378</v>
      </c>
      <c r="BO277" s="1073"/>
      <c r="BS277" s="1116">
        <f t="shared" si="798"/>
        <v>5991378</v>
      </c>
      <c r="BT277" s="1117">
        <f t="shared" si="752"/>
        <v>0</v>
      </c>
      <c r="BU277" s="1117">
        <f t="shared" si="753"/>
        <v>0</v>
      </c>
      <c r="BV277" s="1117">
        <f t="shared" si="754"/>
        <v>5991378</v>
      </c>
      <c r="BW277" s="1073"/>
      <c r="CA277" s="1116">
        <f t="shared" si="799"/>
        <v>5991378</v>
      </c>
      <c r="CB277" s="1117">
        <f t="shared" si="755"/>
        <v>0</v>
      </c>
      <c r="CC277" s="1117">
        <f t="shared" si="756"/>
        <v>0</v>
      </c>
      <c r="CD277" s="1117">
        <f t="shared" si="757"/>
        <v>5991378</v>
      </c>
      <c r="CE277" s="1073"/>
      <c r="CI277" s="1116">
        <f t="shared" si="800"/>
        <v>5991378</v>
      </c>
      <c r="CJ277" s="1117">
        <f t="shared" si="758"/>
        <v>0</v>
      </c>
      <c r="CK277" s="1117">
        <f t="shared" si="759"/>
        <v>0</v>
      </c>
      <c r="CL277" s="1117">
        <f t="shared" si="760"/>
        <v>5991378</v>
      </c>
      <c r="CM277" s="1073"/>
      <c r="CQ277" s="1116">
        <f t="shared" si="801"/>
        <v>5991378</v>
      </c>
      <c r="CR277" s="1117">
        <f t="shared" si="761"/>
        <v>0</v>
      </c>
      <c r="CS277" s="1117">
        <f t="shared" si="762"/>
        <v>0</v>
      </c>
      <c r="CT277" s="1117">
        <f t="shared" si="763"/>
        <v>5991378</v>
      </c>
      <c r="CU277" s="1073"/>
      <c r="CY277" s="1116">
        <f t="shared" si="802"/>
        <v>5991378</v>
      </c>
      <c r="CZ277" s="1117">
        <f t="shared" si="764"/>
        <v>0</v>
      </c>
      <c r="DA277" s="1117">
        <f t="shared" si="765"/>
        <v>0</v>
      </c>
      <c r="DB277" s="1117">
        <f t="shared" si="766"/>
        <v>5991378</v>
      </c>
      <c r="DC277" s="1073"/>
      <c r="DG277" s="1116">
        <f t="shared" si="803"/>
        <v>5991378</v>
      </c>
      <c r="DH277" s="1117">
        <f t="shared" si="767"/>
        <v>0</v>
      </c>
      <c r="DI277" s="1117">
        <f t="shared" si="768"/>
        <v>0</v>
      </c>
      <c r="DJ277" s="1117">
        <f t="shared" si="769"/>
        <v>5991378</v>
      </c>
      <c r="DK277" s="1073"/>
      <c r="DO277" s="1116">
        <f t="shared" si="804"/>
        <v>5991378</v>
      </c>
      <c r="DP277" s="1117">
        <f t="shared" si="770"/>
        <v>0</v>
      </c>
      <c r="DQ277" s="1117">
        <f t="shared" si="771"/>
        <v>0</v>
      </c>
      <c r="DR277" s="1117">
        <f t="shared" si="772"/>
        <v>5991378</v>
      </c>
      <c r="DS277" s="1073"/>
      <c r="DW277" s="1116">
        <f t="shared" si="805"/>
        <v>5991378</v>
      </c>
      <c r="DX277" s="1117">
        <f t="shared" si="773"/>
        <v>0</v>
      </c>
      <c r="DY277" s="1117">
        <f t="shared" si="774"/>
        <v>0</v>
      </c>
      <c r="DZ277" s="1117">
        <f t="shared" si="775"/>
        <v>5991378</v>
      </c>
      <c r="EA277" s="1073"/>
      <c r="EE277" s="1116">
        <f t="shared" si="806"/>
        <v>5991378</v>
      </c>
      <c r="EF277" s="1117">
        <f t="shared" si="776"/>
        <v>0</v>
      </c>
      <c r="EG277" s="1117">
        <f t="shared" si="777"/>
        <v>0</v>
      </c>
      <c r="EH277" s="1117">
        <f t="shared" si="778"/>
        <v>5991378</v>
      </c>
      <c r="EI277" s="1073"/>
      <c r="EM277" s="1116">
        <f t="shared" si="807"/>
        <v>5991378</v>
      </c>
      <c r="EN277" s="1117">
        <f t="shared" si="779"/>
        <v>0</v>
      </c>
      <c r="EO277" s="1117">
        <f t="shared" si="780"/>
        <v>0</v>
      </c>
      <c r="EP277" s="1117">
        <f t="shared" si="781"/>
        <v>5991378</v>
      </c>
      <c r="EQ277" s="1073"/>
      <c r="EU277" s="1116">
        <f t="shared" si="808"/>
        <v>5991378</v>
      </c>
      <c r="EV277" s="1117">
        <f t="shared" si="782"/>
        <v>0</v>
      </c>
      <c r="EW277" s="1117">
        <f t="shared" si="783"/>
        <v>0</v>
      </c>
      <c r="EX277" s="1117">
        <f t="shared" si="784"/>
        <v>5991378</v>
      </c>
      <c r="EY277" s="1073"/>
      <c r="FC277" s="1116">
        <f t="shared" si="809"/>
        <v>5991378</v>
      </c>
      <c r="FD277" s="1117">
        <f t="shared" si="785"/>
        <v>0</v>
      </c>
      <c r="FE277" s="1117">
        <f t="shared" si="786"/>
        <v>0</v>
      </c>
      <c r="FF277" s="1117">
        <f t="shared" si="787"/>
        <v>5991378</v>
      </c>
      <c r="FG277" s="1073"/>
      <c r="FK277" s="1116">
        <f t="shared" si="810"/>
        <v>5991378</v>
      </c>
      <c r="FL277" s="1117">
        <f t="shared" si="788"/>
        <v>0</v>
      </c>
      <c r="FM277" s="1117">
        <f t="shared" si="789"/>
        <v>0</v>
      </c>
      <c r="FN277" s="1117">
        <f t="shared" si="790"/>
        <v>5991378</v>
      </c>
      <c r="FO277" s="1073"/>
    </row>
    <row r="278" spans="1:171">
      <c r="A278" s="170"/>
      <c r="B278" s="63" t="s">
        <v>153</v>
      </c>
      <c r="C278" s="1022">
        <v>262</v>
      </c>
      <c r="D278" s="1023">
        <v>408.1</v>
      </c>
      <c r="E278" s="182" t="str">
        <f>'Sch 3A - Taxes'!E26</f>
        <v>DIST</v>
      </c>
      <c r="F278" s="889"/>
      <c r="G278" s="182">
        <f>'Sch 3A - Taxes'!F26</f>
        <v>207</v>
      </c>
      <c r="H278" s="182">
        <f>'Sch 3A - Taxes'!G26</f>
        <v>0</v>
      </c>
      <c r="I278" s="182">
        <f>'Sch 3A - Taxes'!H26</f>
        <v>0</v>
      </c>
      <c r="J278" s="183">
        <f>'Sch 3A - Taxes'!I26</f>
        <v>207</v>
      </c>
      <c r="K278" s="903">
        <f t="shared" si="730"/>
        <v>1</v>
      </c>
      <c r="O278" s="1116">
        <f t="shared" si="791"/>
        <v>207</v>
      </c>
      <c r="P278" s="1117">
        <f t="shared" si="731"/>
        <v>0</v>
      </c>
      <c r="Q278" s="1117">
        <f t="shared" si="732"/>
        <v>0</v>
      </c>
      <c r="R278" s="1117">
        <f t="shared" si="733"/>
        <v>207</v>
      </c>
      <c r="S278" s="1073"/>
      <c r="W278" s="1116">
        <f t="shared" si="792"/>
        <v>207</v>
      </c>
      <c r="X278" s="1117">
        <f t="shared" si="734"/>
        <v>0</v>
      </c>
      <c r="Y278" s="1117">
        <f t="shared" si="735"/>
        <v>0</v>
      </c>
      <c r="Z278" s="1117">
        <f t="shared" si="736"/>
        <v>207</v>
      </c>
      <c r="AA278" s="1073"/>
      <c r="AE278" s="1116">
        <f t="shared" si="793"/>
        <v>207</v>
      </c>
      <c r="AF278" s="1117">
        <f t="shared" si="737"/>
        <v>0</v>
      </c>
      <c r="AG278" s="1117">
        <f t="shared" si="738"/>
        <v>0</v>
      </c>
      <c r="AH278" s="1117">
        <f t="shared" si="739"/>
        <v>207</v>
      </c>
      <c r="AI278" s="1073"/>
      <c r="AM278" s="1116">
        <f t="shared" si="794"/>
        <v>207</v>
      </c>
      <c r="AN278" s="1117">
        <f t="shared" si="740"/>
        <v>0</v>
      </c>
      <c r="AO278" s="1117">
        <f t="shared" si="741"/>
        <v>0</v>
      </c>
      <c r="AP278" s="1117">
        <f t="shared" si="742"/>
        <v>207</v>
      </c>
      <c r="AQ278" s="1073"/>
      <c r="AU278" s="1116">
        <f t="shared" si="795"/>
        <v>207</v>
      </c>
      <c r="AV278" s="1117">
        <f t="shared" si="743"/>
        <v>0</v>
      </c>
      <c r="AW278" s="1117">
        <f t="shared" si="744"/>
        <v>0</v>
      </c>
      <c r="AX278" s="1117">
        <f t="shared" si="745"/>
        <v>207</v>
      </c>
      <c r="AY278" s="1073"/>
      <c r="BC278" s="1116">
        <f t="shared" si="796"/>
        <v>207</v>
      </c>
      <c r="BD278" s="1117">
        <f t="shared" si="746"/>
        <v>0</v>
      </c>
      <c r="BE278" s="1117">
        <f t="shared" si="747"/>
        <v>0</v>
      </c>
      <c r="BF278" s="1117">
        <f t="shared" si="748"/>
        <v>207</v>
      </c>
      <c r="BG278" s="1073"/>
      <c r="BK278" s="1116">
        <f t="shared" si="797"/>
        <v>207</v>
      </c>
      <c r="BL278" s="1117">
        <f t="shared" si="749"/>
        <v>0</v>
      </c>
      <c r="BM278" s="1117">
        <f t="shared" si="750"/>
        <v>0</v>
      </c>
      <c r="BN278" s="1117">
        <f t="shared" si="751"/>
        <v>207</v>
      </c>
      <c r="BO278" s="1073"/>
      <c r="BS278" s="1116">
        <f t="shared" si="798"/>
        <v>207</v>
      </c>
      <c r="BT278" s="1117">
        <f t="shared" si="752"/>
        <v>0</v>
      </c>
      <c r="BU278" s="1117">
        <f t="shared" si="753"/>
        <v>0</v>
      </c>
      <c r="BV278" s="1117">
        <f t="shared" si="754"/>
        <v>207</v>
      </c>
      <c r="BW278" s="1073"/>
      <c r="CA278" s="1116">
        <f t="shared" si="799"/>
        <v>207</v>
      </c>
      <c r="CB278" s="1117">
        <f t="shared" si="755"/>
        <v>0</v>
      </c>
      <c r="CC278" s="1117">
        <f t="shared" si="756"/>
        <v>0</v>
      </c>
      <c r="CD278" s="1117">
        <f t="shared" si="757"/>
        <v>207</v>
      </c>
      <c r="CE278" s="1073"/>
      <c r="CI278" s="1116">
        <f t="shared" si="800"/>
        <v>207</v>
      </c>
      <c r="CJ278" s="1117">
        <f t="shared" si="758"/>
        <v>0</v>
      </c>
      <c r="CK278" s="1117">
        <f t="shared" si="759"/>
        <v>0</v>
      </c>
      <c r="CL278" s="1117">
        <f t="shared" si="760"/>
        <v>207</v>
      </c>
      <c r="CM278" s="1073"/>
      <c r="CQ278" s="1116">
        <f t="shared" si="801"/>
        <v>207</v>
      </c>
      <c r="CR278" s="1117">
        <f t="shared" si="761"/>
        <v>0</v>
      </c>
      <c r="CS278" s="1117">
        <f t="shared" si="762"/>
        <v>0</v>
      </c>
      <c r="CT278" s="1117">
        <f t="shared" si="763"/>
        <v>207</v>
      </c>
      <c r="CU278" s="1073"/>
      <c r="CY278" s="1116">
        <f t="shared" si="802"/>
        <v>207</v>
      </c>
      <c r="CZ278" s="1117">
        <f t="shared" si="764"/>
        <v>0</v>
      </c>
      <c r="DA278" s="1117">
        <f t="shared" si="765"/>
        <v>0</v>
      </c>
      <c r="DB278" s="1117">
        <f t="shared" si="766"/>
        <v>207</v>
      </c>
      <c r="DC278" s="1073"/>
      <c r="DG278" s="1116">
        <f t="shared" si="803"/>
        <v>207</v>
      </c>
      <c r="DH278" s="1117">
        <f t="shared" si="767"/>
        <v>0</v>
      </c>
      <c r="DI278" s="1117">
        <f t="shared" si="768"/>
        <v>0</v>
      </c>
      <c r="DJ278" s="1117">
        <f t="shared" si="769"/>
        <v>207</v>
      </c>
      <c r="DK278" s="1073"/>
      <c r="DO278" s="1116">
        <f t="shared" si="804"/>
        <v>207</v>
      </c>
      <c r="DP278" s="1117">
        <f t="shared" si="770"/>
        <v>0</v>
      </c>
      <c r="DQ278" s="1117">
        <f t="shared" si="771"/>
        <v>0</v>
      </c>
      <c r="DR278" s="1117">
        <f t="shared" si="772"/>
        <v>207</v>
      </c>
      <c r="DS278" s="1073"/>
      <c r="DW278" s="1116">
        <f t="shared" si="805"/>
        <v>207</v>
      </c>
      <c r="DX278" s="1117">
        <f t="shared" si="773"/>
        <v>0</v>
      </c>
      <c r="DY278" s="1117">
        <f t="shared" si="774"/>
        <v>0</v>
      </c>
      <c r="DZ278" s="1117">
        <f t="shared" si="775"/>
        <v>207</v>
      </c>
      <c r="EA278" s="1073"/>
      <c r="EE278" s="1116">
        <f t="shared" si="806"/>
        <v>207</v>
      </c>
      <c r="EF278" s="1117">
        <f t="shared" si="776"/>
        <v>0</v>
      </c>
      <c r="EG278" s="1117">
        <f t="shared" si="777"/>
        <v>0</v>
      </c>
      <c r="EH278" s="1117">
        <f t="shared" si="778"/>
        <v>207</v>
      </c>
      <c r="EI278" s="1073"/>
      <c r="EM278" s="1116">
        <f t="shared" si="807"/>
        <v>207</v>
      </c>
      <c r="EN278" s="1117">
        <f t="shared" si="779"/>
        <v>0</v>
      </c>
      <c r="EO278" s="1117">
        <f t="shared" si="780"/>
        <v>0</v>
      </c>
      <c r="EP278" s="1117">
        <f t="shared" si="781"/>
        <v>207</v>
      </c>
      <c r="EQ278" s="1073"/>
      <c r="EU278" s="1116">
        <f t="shared" si="808"/>
        <v>207</v>
      </c>
      <c r="EV278" s="1117">
        <f t="shared" si="782"/>
        <v>0</v>
      </c>
      <c r="EW278" s="1117">
        <f t="shared" si="783"/>
        <v>0</v>
      </c>
      <c r="EX278" s="1117">
        <f t="shared" si="784"/>
        <v>207</v>
      </c>
      <c r="EY278" s="1073"/>
      <c r="FC278" s="1116">
        <f t="shared" si="809"/>
        <v>207</v>
      </c>
      <c r="FD278" s="1117">
        <f t="shared" si="785"/>
        <v>0</v>
      </c>
      <c r="FE278" s="1117">
        <f t="shared" si="786"/>
        <v>0</v>
      </c>
      <c r="FF278" s="1117">
        <f t="shared" si="787"/>
        <v>207</v>
      </c>
      <c r="FG278" s="1073"/>
      <c r="FK278" s="1116">
        <f t="shared" si="810"/>
        <v>207</v>
      </c>
      <c r="FL278" s="1117">
        <f t="shared" si="788"/>
        <v>0</v>
      </c>
      <c r="FM278" s="1117">
        <f t="shared" si="789"/>
        <v>0</v>
      </c>
      <c r="FN278" s="1117">
        <f t="shared" si="790"/>
        <v>207</v>
      </c>
      <c r="FO278" s="1073"/>
    </row>
    <row r="279" spans="1:171">
      <c r="A279" s="170"/>
      <c r="B279" s="63" t="s">
        <v>574</v>
      </c>
      <c r="C279" s="1022">
        <v>262</v>
      </c>
      <c r="D279" s="1023">
        <v>408.1</v>
      </c>
      <c r="E279" s="182" t="str">
        <f>'Sch 3A - Taxes'!E27</f>
        <v>DIST</v>
      </c>
      <c r="F279" s="889"/>
      <c r="G279" s="182">
        <f>'Sch 3A - Taxes'!F27</f>
        <v>29955625</v>
      </c>
      <c r="H279" s="182">
        <f>'Sch 3A - Taxes'!G27</f>
        <v>0</v>
      </c>
      <c r="I279" s="182">
        <f>'Sch 3A - Taxes'!H27</f>
        <v>0</v>
      </c>
      <c r="J279" s="183">
        <f>'Sch 3A - Taxes'!I27</f>
        <v>29955625</v>
      </c>
      <c r="K279" s="903">
        <f t="shared" si="730"/>
        <v>1</v>
      </c>
      <c r="O279" s="1116">
        <f t="shared" si="791"/>
        <v>29955625</v>
      </c>
      <c r="P279" s="1117">
        <f t="shared" si="731"/>
        <v>0</v>
      </c>
      <c r="Q279" s="1117">
        <f t="shared" si="732"/>
        <v>0</v>
      </c>
      <c r="R279" s="1117">
        <f t="shared" si="733"/>
        <v>29955625</v>
      </c>
      <c r="S279" s="1073"/>
      <c r="W279" s="1116">
        <f t="shared" si="792"/>
        <v>29955625</v>
      </c>
      <c r="X279" s="1117">
        <f t="shared" si="734"/>
        <v>0</v>
      </c>
      <c r="Y279" s="1117">
        <f t="shared" si="735"/>
        <v>0</v>
      </c>
      <c r="Z279" s="1117">
        <f t="shared" si="736"/>
        <v>29955625</v>
      </c>
      <c r="AA279" s="1073"/>
      <c r="AE279" s="1116">
        <f t="shared" si="793"/>
        <v>29955625</v>
      </c>
      <c r="AF279" s="1117">
        <f t="shared" si="737"/>
        <v>0</v>
      </c>
      <c r="AG279" s="1117">
        <f t="shared" si="738"/>
        <v>0</v>
      </c>
      <c r="AH279" s="1117">
        <f t="shared" si="739"/>
        <v>29955625</v>
      </c>
      <c r="AI279" s="1073"/>
      <c r="AM279" s="1116">
        <f t="shared" si="794"/>
        <v>29955625</v>
      </c>
      <c r="AN279" s="1117">
        <f t="shared" si="740"/>
        <v>0</v>
      </c>
      <c r="AO279" s="1117">
        <f t="shared" si="741"/>
        <v>0</v>
      </c>
      <c r="AP279" s="1117">
        <f t="shared" si="742"/>
        <v>29955625</v>
      </c>
      <c r="AQ279" s="1073"/>
      <c r="AU279" s="1116">
        <f t="shared" si="795"/>
        <v>29955625</v>
      </c>
      <c r="AV279" s="1117">
        <f t="shared" si="743"/>
        <v>0</v>
      </c>
      <c r="AW279" s="1117">
        <f t="shared" si="744"/>
        <v>0</v>
      </c>
      <c r="AX279" s="1117">
        <f t="shared" si="745"/>
        <v>29955625</v>
      </c>
      <c r="AY279" s="1073"/>
      <c r="BC279" s="1116">
        <f t="shared" si="796"/>
        <v>29955625</v>
      </c>
      <c r="BD279" s="1117">
        <f t="shared" si="746"/>
        <v>0</v>
      </c>
      <c r="BE279" s="1117">
        <f t="shared" si="747"/>
        <v>0</v>
      </c>
      <c r="BF279" s="1117">
        <f t="shared" si="748"/>
        <v>29955625</v>
      </c>
      <c r="BG279" s="1073"/>
      <c r="BK279" s="1116">
        <f t="shared" si="797"/>
        <v>29955625</v>
      </c>
      <c r="BL279" s="1117">
        <f t="shared" si="749"/>
        <v>0</v>
      </c>
      <c r="BM279" s="1117">
        <f t="shared" si="750"/>
        <v>0</v>
      </c>
      <c r="BN279" s="1117">
        <f t="shared" si="751"/>
        <v>29955625</v>
      </c>
      <c r="BO279" s="1073"/>
      <c r="BS279" s="1116">
        <f t="shared" si="798"/>
        <v>29955625</v>
      </c>
      <c r="BT279" s="1117">
        <f t="shared" si="752"/>
        <v>0</v>
      </c>
      <c r="BU279" s="1117">
        <f t="shared" si="753"/>
        <v>0</v>
      </c>
      <c r="BV279" s="1117">
        <f t="shared" si="754"/>
        <v>29955625</v>
      </c>
      <c r="BW279" s="1073"/>
      <c r="CA279" s="1116">
        <f t="shared" si="799"/>
        <v>29955625</v>
      </c>
      <c r="CB279" s="1117">
        <f t="shared" si="755"/>
        <v>0</v>
      </c>
      <c r="CC279" s="1117">
        <f t="shared" si="756"/>
        <v>0</v>
      </c>
      <c r="CD279" s="1117">
        <f t="shared" si="757"/>
        <v>29955625</v>
      </c>
      <c r="CE279" s="1073"/>
      <c r="CI279" s="1116">
        <f t="shared" si="800"/>
        <v>29955625</v>
      </c>
      <c r="CJ279" s="1117">
        <f t="shared" si="758"/>
        <v>0</v>
      </c>
      <c r="CK279" s="1117">
        <f t="shared" si="759"/>
        <v>0</v>
      </c>
      <c r="CL279" s="1117">
        <f t="shared" si="760"/>
        <v>29955625</v>
      </c>
      <c r="CM279" s="1073"/>
      <c r="CQ279" s="1116">
        <f t="shared" si="801"/>
        <v>29955625</v>
      </c>
      <c r="CR279" s="1117">
        <f t="shared" si="761"/>
        <v>0</v>
      </c>
      <c r="CS279" s="1117">
        <f t="shared" si="762"/>
        <v>0</v>
      </c>
      <c r="CT279" s="1117">
        <f t="shared" si="763"/>
        <v>29955625</v>
      </c>
      <c r="CU279" s="1073"/>
      <c r="CY279" s="1116">
        <f t="shared" si="802"/>
        <v>29955625</v>
      </c>
      <c r="CZ279" s="1117">
        <f t="shared" si="764"/>
        <v>0</v>
      </c>
      <c r="DA279" s="1117">
        <f t="shared" si="765"/>
        <v>0</v>
      </c>
      <c r="DB279" s="1117">
        <f t="shared" si="766"/>
        <v>29955625</v>
      </c>
      <c r="DC279" s="1073"/>
      <c r="DG279" s="1116">
        <f t="shared" si="803"/>
        <v>29955625</v>
      </c>
      <c r="DH279" s="1117">
        <f t="shared" si="767"/>
        <v>0</v>
      </c>
      <c r="DI279" s="1117">
        <f t="shared" si="768"/>
        <v>0</v>
      </c>
      <c r="DJ279" s="1117">
        <f t="shared" si="769"/>
        <v>29955625</v>
      </c>
      <c r="DK279" s="1073"/>
      <c r="DO279" s="1116">
        <f t="shared" si="804"/>
        <v>29955625</v>
      </c>
      <c r="DP279" s="1117">
        <f t="shared" si="770"/>
        <v>0</v>
      </c>
      <c r="DQ279" s="1117">
        <f t="shared" si="771"/>
        <v>0</v>
      </c>
      <c r="DR279" s="1117">
        <f t="shared" si="772"/>
        <v>29955625</v>
      </c>
      <c r="DS279" s="1073"/>
      <c r="DW279" s="1116">
        <f t="shared" si="805"/>
        <v>29955625</v>
      </c>
      <c r="DX279" s="1117">
        <f t="shared" si="773"/>
        <v>0</v>
      </c>
      <c r="DY279" s="1117">
        <f t="shared" si="774"/>
        <v>0</v>
      </c>
      <c r="DZ279" s="1117">
        <f t="shared" si="775"/>
        <v>29955625</v>
      </c>
      <c r="EA279" s="1073"/>
      <c r="EE279" s="1116">
        <f t="shared" si="806"/>
        <v>29955625</v>
      </c>
      <c r="EF279" s="1117">
        <f t="shared" si="776"/>
        <v>0</v>
      </c>
      <c r="EG279" s="1117">
        <f t="shared" si="777"/>
        <v>0</v>
      </c>
      <c r="EH279" s="1117">
        <f t="shared" si="778"/>
        <v>29955625</v>
      </c>
      <c r="EI279" s="1073"/>
      <c r="EM279" s="1116">
        <f t="shared" si="807"/>
        <v>29955625</v>
      </c>
      <c r="EN279" s="1117">
        <f t="shared" si="779"/>
        <v>0</v>
      </c>
      <c r="EO279" s="1117">
        <f t="shared" si="780"/>
        <v>0</v>
      </c>
      <c r="EP279" s="1117">
        <f t="shared" si="781"/>
        <v>29955625</v>
      </c>
      <c r="EQ279" s="1073"/>
      <c r="EU279" s="1116">
        <f t="shared" si="808"/>
        <v>29955625</v>
      </c>
      <c r="EV279" s="1117">
        <f t="shared" si="782"/>
        <v>0</v>
      </c>
      <c r="EW279" s="1117">
        <f t="shared" si="783"/>
        <v>0</v>
      </c>
      <c r="EX279" s="1117">
        <f t="shared" si="784"/>
        <v>29955625</v>
      </c>
      <c r="EY279" s="1073"/>
      <c r="FC279" s="1116">
        <f t="shared" si="809"/>
        <v>29955625</v>
      </c>
      <c r="FD279" s="1117">
        <f t="shared" si="785"/>
        <v>0</v>
      </c>
      <c r="FE279" s="1117">
        <f t="shared" si="786"/>
        <v>0</v>
      </c>
      <c r="FF279" s="1117">
        <f t="shared" si="787"/>
        <v>29955625</v>
      </c>
      <c r="FG279" s="1073"/>
      <c r="FK279" s="1116">
        <f t="shared" si="810"/>
        <v>29955625</v>
      </c>
      <c r="FL279" s="1117">
        <f t="shared" si="788"/>
        <v>0</v>
      </c>
      <c r="FM279" s="1117">
        <f t="shared" si="789"/>
        <v>0</v>
      </c>
      <c r="FN279" s="1117">
        <f t="shared" si="790"/>
        <v>29955625</v>
      </c>
      <c r="FO279" s="1073"/>
    </row>
    <row r="280" spans="1:171" ht="16.5" thickBot="1">
      <c r="A280" s="170"/>
      <c r="B280" s="63" t="s">
        <v>107</v>
      </c>
      <c r="C280" s="1022">
        <v>262</v>
      </c>
      <c r="D280" s="1023">
        <v>408.1</v>
      </c>
      <c r="E280" s="182" t="str">
        <f>'Sch 3A - Taxes'!E28</f>
        <v>DIST</v>
      </c>
      <c r="F280" s="889"/>
      <c r="G280" s="182">
        <f>'Sch 3A - Taxes'!F28</f>
        <v>3348499</v>
      </c>
      <c r="H280" s="182">
        <f>'Sch 3A - Taxes'!G28</f>
        <v>0</v>
      </c>
      <c r="I280" s="182">
        <f>'Sch 3A - Taxes'!H28</f>
        <v>0</v>
      </c>
      <c r="J280" s="183">
        <f>'Sch 3A - Taxes'!I28</f>
        <v>3348499</v>
      </c>
      <c r="K280" s="903">
        <f t="shared" si="730"/>
        <v>1</v>
      </c>
      <c r="O280" s="1116">
        <f t="shared" si="791"/>
        <v>3348499</v>
      </c>
      <c r="P280" s="1117">
        <f t="shared" si="731"/>
        <v>0</v>
      </c>
      <c r="Q280" s="1117">
        <f t="shared" si="732"/>
        <v>0</v>
      </c>
      <c r="R280" s="1117">
        <f t="shared" si="733"/>
        <v>3348499</v>
      </c>
      <c r="S280" s="1073"/>
      <c r="W280" s="1116">
        <f t="shared" si="792"/>
        <v>3348499</v>
      </c>
      <c r="X280" s="1117">
        <f t="shared" si="734"/>
        <v>0</v>
      </c>
      <c r="Y280" s="1117">
        <f t="shared" si="735"/>
        <v>0</v>
      </c>
      <c r="Z280" s="1117">
        <f t="shared" si="736"/>
        <v>3348499</v>
      </c>
      <c r="AA280" s="1073"/>
      <c r="AE280" s="1116">
        <f t="shared" si="793"/>
        <v>3348499</v>
      </c>
      <c r="AF280" s="1117">
        <f t="shared" si="737"/>
        <v>0</v>
      </c>
      <c r="AG280" s="1117">
        <f t="shared" si="738"/>
        <v>0</v>
      </c>
      <c r="AH280" s="1117">
        <f t="shared" si="739"/>
        <v>3348499</v>
      </c>
      <c r="AI280" s="1073"/>
      <c r="AM280" s="1116">
        <f t="shared" si="794"/>
        <v>3348499</v>
      </c>
      <c r="AN280" s="1117">
        <f t="shared" si="740"/>
        <v>0</v>
      </c>
      <c r="AO280" s="1117">
        <f t="shared" si="741"/>
        <v>0</v>
      </c>
      <c r="AP280" s="1117">
        <f t="shared" si="742"/>
        <v>3348499</v>
      </c>
      <c r="AQ280" s="1073"/>
      <c r="AU280" s="1116">
        <f t="shared" si="795"/>
        <v>3348499</v>
      </c>
      <c r="AV280" s="1117">
        <f t="shared" si="743"/>
        <v>0</v>
      </c>
      <c r="AW280" s="1117">
        <f t="shared" si="744"/>
        <v>0</v>
      </c>
      <c r="AX280" s="1117">
        <f t="shared" si="745"/>
        <v>3348499</v>
      </c>
      <c r="AY280" s="1073"/>
      <c r="BC280" s="1116">
        <f t="shared" si="796"/>
        <v>3348499</v>
      </c>
      <c r="BD280" s="1117">
        <f t="shared" si="746"/>
        <v>0</v>
      </c>
      <c r="BE280" s="1117">
        <f t="shared" si="747"/>
        <v>0</v>
      </c>
      <c r="BF280" s="1117">
        <f t="shared" si="748"/>
        <v>3348499</v>
      </c>
      <c r="BG280" s="1073"/>
      <c r="BK280" s="1116">
        <f t="shared" si="797"/>
        <v>3348499</v>
      </c>
      <c r="BL280" s="1117">
        <f t="shared" si="749"/>
        <v>0</v>
      </c>
      <c r="BM280" s="1117">
        <f t="shared" si="750"/>
        <v>0</v>
      </c>
      <c r="BN280" s="1117">
        <f t="shared" si="751"/>
        <v>3348499</v>
      </c>
      <c r="BO280" s="1073"/>
      <c r="BS280" s="1116">
        <f t="shared" si="798"/>
        <v>3348499</v>
      </c>
      <c r="BT280" s="1117">
        <f t="shared" si="752"/>
        <v>0</v>
      </c>
      <c r="BU280" s="1117">
        <f t="shared" si="753"/>
        <v>0</v>
      </c>
      <c r="BV280" s="1117">
        <f t="shared" si="754"/>
        <v>3348499</v>
      </c>
      <c r="BW280" s="1073"/>
      <c r="CA280" s="1116">
        <f t="shared" si="799"/>
        <v>3348499</v>
      </c>
      <c r="CB280" s="1117">
        <f t="shared" si="755"/>
        <v>0</v>
      </c>
      <c r="CC280" s="1117">
        <f t="shared" si="756"/>
        <v>0</v>
      </c>
      <c r="CD280" s="1117">
        <f t="shared" si="757"/>
        <v>3348499</v>
      </c>
      <c r="CE280" s="1073"/>
      <c r="CI280" s="1116">
        <f t="shared" si="800"/>
        <v>3348499</v>
      </c>
      <c r="CJ280" s="1117">
        <f t="shared" si="758"/>
        <v>0</v>
      </c>
      <c r="CK280" s="1117">
        <f t="shared" si="759"/>
        <v>0</v>
      </c>
      <c r="CL280" s="1117">
        <f t="shared" si="760"/>
        <v>3348499</v>
      </c>
      <c r="CM280" s="1073"/>
      <c r="CQ280" s="1116">
        <f t="shared" si="801"/>
        <v>3348499</v>
      </c>
      <c r="CR280" s="1117">
        <f t="shared" si="761"/>
        <v>0</v>
      </c>
      <c r="CS280" s="1117">
        <f t="shared" si="762"/>
        <v>0</v>
      </c>
      <c r="CT280" s="1117">
        <f t="shared" si="763"/>
        <v>3348499</v>
      </c>
      <c r="CU280" s="1073"/>
      <c r="CY280" s="1116">
        <f t="shared" si="802"/>
        <v>3348499</v>
      </c>
      <c r="CZ280" s="1117">
        <f t="shared" si="764"/>
        <v>0</v>
      </c>
      <c r="DA280" s="1117">
        <f t="shared" si="765"/>
        <v>0</v>
      </c>
      <c r="DB280" s="1117">
        <f t="shared" si="766"/>
        <v>3348499</v>
      </c>
      <c r="DC280" s="1073"/>
      <c r="DG280" s="1116">
        <f t="shared" si="803"/>
        <v>3348499</v>
      </c>
      <c r="DH280" s="1117">
        <f t="shared" si="767"/>
        <v>0</v>
      </c>
      <c r="DI280" s="1117">
        <f t="shared" si="768"/>
        <v>0</v>
      </c>
      <c r="DJ280" s="1117">
        <f t="shared" si="769"/>
        <v>3348499</v>
      </c>
      <c r="DK280" s="1073"/>
      <c r="DO280" s="1116">
        <f t="shared" si="804"/>
        <v>3348499</v>
      </c>
      <c r="DP280" s="1117">
        <f t="shared" si="770"/>
        <v>0</v>
      </c>
      <c r="DQ280" s="1117">
        <f t="shared" si="771"/>
        <v>0</v>
      </c>
      <c r="DR280" s="1117">
        <f t="shared" si="772"/>
        <v>3348499</v>
      </c>
      <c r="DS280" s="1073"/>
      <c r="DW280" s="1116">
        <f t="shared" si="805"/>
        <v>3348499</v>
      </c>
      <c r="DX280" s="1117">
        <f t="shared" si="773"/>
        <v>0</v>
      </c>
      <c r="DY280" s="1117">
        <f t="shared" si="774"/>
        <v>0</v>
      </c>
      <c r="DZ280" s="1117">
        <f t="shared" si="775"/>
        <v>3348499</v>
      </c>
      <c r="EA280" s="1073"/>
      <c r="EE280" s="1116">
        <f t="shared" si="806"/>
        <v>3348499</v>
      </c>
      <c r="EF280" s="1117">
        <f t="shared" si="776"/>
        <v>0</v>
      </c>
      <c r="EG280" s="1117">
        <f t="shared" si="777"/>
        <v>0</v>
      </c>
      <c r="EH280" s="1117">
        <f t="shared" si="778"/>
        <v>3348499</v>
      </c>
      <c r="EI280" s="1073"/>
      <c r="EM280" s="1116">
        <f t="shared" si="807"/>
        <v>3348499</v>
      </c>
      <c r="EN280" s="1117">
        <f t="shared" si="779"/>
        <v>0</v>
      </c>
      <c r="EO280" s="1117">
        <f t="shared" si="780"/>
        <v>0</v>
      </c>
      <c r="EP280" s="1117">
        <f t="shared" si="781"/>
        <v>3348499</v>
      </c>
      <c r="EQ280" s="1073"/>
      <c r="EU280" s="1116">
        <f t="shared" si="808"/>
        <v>3348499</v>
      </c>
      <c r="EV280" s="1117">
        <f t="shared" si="782"/>
        <v>0</v>
      </c>
      <c r="EW280" s="1117">
        <f t="shared" si="783"/>
        <v>0</v>
      </c>
      <c r="EX280" s="1117">
        <f t="shared" si="784"/>
        <v>3348499</v>
      </c>
      <c r="EY280" s="1073"/>
      <c r="FC280" s="1116">
        <f t="shared" si="809"/>
        <v>3348499</v>
      </c>
      <c r="FD280" s="1117">
        <f t="shared" si="785"/>
        <v>0</v>
      </c>
      <c r="FE280" s="1117">
        <f t="shared" si="786"/>
        <v>0</v>
      </c>
      <c r="FF280" s="1117">
        <f t="shared" si="787"/>
        <v>3348499</v>
      </c>
      <c r="FG280" s="1073"/>
      <c r="FK280" s="1116">
        <f t="shared" si="810"/>
        <v>3348499</v>
      </c>
      <c r="FL280" s="1117">
        <f t="shared" si="788"/>
        <v>0</v>
      </c>
      <c r="FM280" s="1117">
        <f t="shared" si="789"/>
        <v>0</v>
      </c>
      <c r="FN280" s="1117">
        <f t="shared" si="790"/>
        <v>3348499</v>
      </c>
      <c r="FO280" s="1073"/>
    </row>
    <row r="281" spans="1:171" ht="16.5" thickBot="1">
      <c r="A281" s="201" t="s">
        <v>36</v>
      </c>
      <c r="B281" s="63"/>
      <c r="C281" s="914"/>
      <c r="D281" s="915"/>
      <c r="E281" s="915"/>
      <c r="F281" s="916"/>
      <c r="G281" s="923">
        <f>SUM(G274:G280)</f>
        <v>120761317</v>
      </c>
      <c r="H281" s="923">
        <f>SUM(H274:H280)</f>
        <v>12089545.30249124</v>
      </c>
      <c r="I281" s="923">
        <f>SUM(I274:I280)</f>
        <v>0</v>
      </c>
      <c r="J281" s="1393">
        <f>SUM(J274:J280)</f>
        <v>108671771.69361828</v>
      </c>
      <c r="K281" s="903"/>
      <c r="O281" s="1137">
        <f>SUM(O274:O280)</f>
        <v>120761317</v>
      </c>
      <c r="P281" s="1137">
        <f>SUM(P274:P280)</f>
        <v>12089545.30249124</v>
      </c>
      <c r="Q281" s="1137">
        <f>SUM(Q274:Q280)</f>
        <v>7796194.6332288198</v>
      </c>
      <c r="R281" s="1137">
        <f>SUM(R274:R280)</f>
        <v>100875577.06427994</v>
      </c>
      <c r="S281" s="1073"/>
      <c r="W281" s="1137">
        <f>SUM(W274:W280)</f>
        <v>120761317</v>
      </c>
      <c r="X281" s="1137">
        <f>SUM(X274:X280)</f>
        <v>12089545.30249124</v>
      </c>
      <c r="Y281" s="1137">
        <f>SUM(Y274:Y280)</f>
        <v>7796194.6332288198</v>
      </c>
      <c r="Z281" s="1137">
        <f>SUM(Z274:Z280)</f>
        <v>100875577.06427994</v>
      </c>
      <c r="AA281" s="1073"/>
      <c r="AE281" s="1137">
        <f>SUM(AE274:AE280)</f>
        <v>120761317</v>
      </c>
      <c r="AF281" s="1137">
        <f>SUM(AF274:AF280)</f>
        <v>12089545.30249124</v>
      </c>
      <c r="AG281" s="1137">
        <f>SUM(AG274:AG280)</f>
        <v>7796194.6332288198</v>
      </c>
      <c r="AH281" s="1137">
        <f>SUM(AH274:AH280)</f>
        <v>100875577.06427994</v>
      </c>
      <c r="AI281" s="1073"/>
      <c r="AM281" s="1137">
        <f>SUM(AM274:AM280)</f>
        <v>120761317</v>
      </c>
      <c r="AN281" s="1137">
        <f>SUM(AN274:AN280)</f>
        <v>12089545.30249124</v>
      </c>
      <c r="AO281" s="1137">
        <f>SUM(AO274:AO280)</f>
        <v>7796194.6332288198</v>
      </c>
      <c r="AP281" s="1137">
        <f>SUM(AP274:AP280)</f>
        <v>100875577.06427994</v>
      </c>
      <c r="AQ281" s="1073"/>
      <c r="AU281" s="1137">
        <f>SUM(AU274:AU280)</f>
        <v>120761317</v>
      </c>
      <c r="AV281" s="1137">
        <f>SUM(AV274:AV280)</f>
        <v>12089545.30249124</v>
      </c>
      <c r="AW281" s="1137">
        <f>SUM(AW274:AW280)</f>
        <v>7796194.6332288198</v>
      </c>
      <c r="AX281" s="1137">
        <f>SUM(AX274:AX280)</f>
        <v>100875577.06427994</v>
      </c>
      <c r="AY281" s="1073"/>
      <c r="BC281" s="1137">
        <f>SUM(BC274:BC280)</f>
        <v>120761317</v>
      </c>
      <c r="BD281" s="1137">
        <f>SUM(BD274:BD280)</f>
        <v>12089545.30249124</v>
      </c>
      <c r="BE281" s="1137">
        <f>SUM(BE274:BE280)</f>
        <v>7796194.6332288198</v>
      </c>
      <c r="BF281" s="1137">
        <f>SUM(BF274:BF280)</f>
        <v>100875577.06427994</v>
      </c>
      <c r="BG281" s="1073"/>
      <c r="BK281" s="1137">
        <f>SUM(BK274:BK280)</f>
        <v>120761317</v>
      </c>
      <c r="BL281" s="1137">
        <f>SUM(BL274:BL280)</f>
        <v>12089545.30249124</v>
      </c>
      <c r="BM281" s="1137">
        <f>SUM(BM274:BM280)</f>
        <v>7796194.6332288198</v>
      </c>
      <c r="BN281" s="1137">
        <f>SUM(BN274:BN280)</f>
        <v>100875577.06427994</v>
      </c>
      <c r="BO281" s="1073"/>
      <c r="BS281" s="1137">
        <f>SUM(BS274:BS280)</f>
        <v>120761317</v>
      </c>
      <c r="BT281" s="1137">
        <f>SUM(BT274:BT280)</f>
        <v>12089545.30249124</v>
      </c>
      <c r="BU281" s="1137">
        <f>SUM(BU274:BU280)</f>
        <v>7796194.6332288198</v>
      </c>
      <c r="BV281" s="1137">
        <f>SUM(BV274:BV280)</f>
        <v>100875577.06427994</v>
      </c>
      <c r="BW281" s="1073"/>
      <c r="CA281" s="1137">
        <f>SUM(CA274:CA280)</f>
        <v>120761317</v>
      </c>
      <c r="CB281" s="1137">
        <f>SUM(CB274:CB280)</f>
        <v>12089545.30249124</v>
      </c>
      <c r="CC281" s="1137">
        <f>SUM(CC274:CC280)</f>
        <v>7796194.6332288198</v>
      </c>
      <c r="CD281" s="1137">
        <f>SUM(CD274:CD280)</f>
        <v>100875577.06427994</v>
      </c>
      <c r="CE281" s="1073"/>
      <c r="CI281" s="1137">
        <f>SUM(CI274:CI280)</f>
        <v>120761317</v>
      </c>
      <c r="CJ281" s="1137">
        <f>SUM(CJ274:CJ280)</f>
        <v>12089545.30249124</v>
      </c>
      <c r="CK281" s="1137">
        <f>SUM(CK274:CK280)</f>
        <v>7796194.6332288198</v>
      </c>
      <c r="CL281" s="1137">
        <f>SUM(CL274:CL280)</f>
        <v>100875577.06427994</v>
      </c>
      <c r="CM281" s="1073"/>
      <c r="CQ281" s="1137">
        <f>SUM(CQ274:CQ280)</f>
        <v>120761317</v>
      </c>
      <c r="CR281" s="1137">
        <f>SUM(CR274:CR280)</f>
        <v>12089545.30249124</v>
      </c>
      <c r="CS281" s="1137">
        <f>SUM(CS274:CS280)</f>
        <v>7796194.6332288198</v>
      </c>
      <c r="CT281" s="1137">
        <f>SUM(CT274:CT280)</f>
        <v>100875577.06427994</v>
      </c>
      <c r="CU281" s="1073"/>
      <c r="CY281" s="1137">
        <f>SUM(CY274:CY280)</f>
        <v>120761317</v>
      </c>
      <c r="CZ281" s="1137">
        <f>SUM(CZ274:CZ280)</f>
        <v>12089545.30249124</v>
      </c>
      <c r="DA281" s="1137">
        <f>SUM(DA274:DA280)</f>
        <v>7796194.6332288198</v>
      </c>
      <c r="DB281" s="1137">
        <f>SUM(DB274:DB280)</f>
        <v>100875577.06427994</v>
      </c>
      <c r="DC281" s="1073"/>
      <c r="DG281" s="1137">
        <f>SUM(DG274:DG280)</f>
        <v>120761317</v>
      </c>
      <c r="DH281" s="1137">
        <f>SUM(DH274:DH280)</f>
        <v>12089545.30249124</v>
      </c>
      <c r="DI281" s="1137">
        <f>SUM(DI274:DI280)</f>
        <v>7796194.6332288198</v>
      </c>
      <c r="DJ281" s="1137">
        <f>SUM(DJ274:DJ280)</f>
        <v>100875577.06427994</v>
      </c>
      <c r="DK281" s="1073"/>
      <c r="DO281" s="1137">
        <f>SUM(DO274:DO280)</f>
        <v>120761317</v>
      </c>
      <c r="DP281" s="1137">
        <f>SUM(DP274:DP280)</f>
        <v>12089545.30249124</v>
      </c>
      <c r="DQ281" s="1137">
        <f>SUM(DQ274:DQ280)</f>
        <v>7796194.6332288198</v>
      </c>
      <c r="DR281" s="1137">
        <f>SUM(DR274:DR280)</f>
        <v>100875577.06427994</v>
      </c>
      <c r="DS281" s="1073"/>
      <c r="DW281" s="1137">
        <f>SUM(DW274:DW280)</f>
        <v>120761317</v>
      </c>
      <c r="DX281" s="1137">
        <f>SUM(DX274:DX280)</f>
        <v>12089545.30249124</v>
      </c>
      <c r="DY281" s="1137">
        <f>SUM(DY274:DY280)</f>
        <v>7796194.6332288198</v>
      </c>
      <c r="DZ281" s="1137">
        <f>SUM(DZ274:DZ280)</f>
        <v>100875577.06427994</v>
      </c>
      <c r="EA281" s="1073"/>
      <c r="EE281" s="1137">
        <f>SUM(EE274:EE280)</f>
        <v>120761317</v>
      </c>
      <c r="EF281" s="1137">
        <f>SUM(EF274:EF280)</f>
        <v>12089545.30249124</v>
      </c>
      <c r="EG281" s="1137">
        <f>SUM(EG274:EG280)</f>
        <v>7796194.6332288198</v>
      </c>
      <c r="EH281" s="1137">
        <f>SUM(EH274:EH280)</f>
        <v>100875577.06427994</v>
      </c>
      <c r="EI281" s="1073"/>
      <c r="EM281" s="1137">
        <f>SUM(EM274:EM280)</f>
        <v>120761317</v>
      </c>
      <c r="EN281" s="1137">
        <f>SUM(EN274:EN280)</f>
        <v>12089545.30249124</v>
      </c>
      <c r="EO281" s="1137">
        <f>SUM(EO274:EO280)</f>
        <v>7796194.6332288198</v>
      </c>
      <c r="EP281" s="1137">
        <f>SUM(EP274:EP280)</f>
        <v>100875577.06427994</v>
      </c>
      <c r="EQ281" s="1073"/>
      <c r="EU281" s="1137">
        <f>SUM(EU274:EU280)</f>
        <v>120761317</v>
      </c>
      <c r="EV281" s="1137">
        <f>SUM(EV274:EV280)</f>
        <v>12089545.30249124</v>
      </c>
      <c r="EW281" s="1137">
        <f>SUM(EW274:EW280)</f>
        <v>7796194.6332288198</v>
      </c>
      <c r="EX281" s="1137">
        <f>SUM(EX274:EX280)</f>
        <v>100875577.06427994</v>
      </c>
      <c r="EY281" s="1073"/>
      <c r="FC281" s="1137">
        <f>SUM(FC274:FC280)</f>
        <v>120761317</v>
      </c>
      <c r="FD281" s="1137">
        <f>SUM(FD274:FD280)</f>
        <v>12089545.30249124</v>
      </c>
      <c r="FE281" s="1137">
        <f>SUM(FE274:FE280)</f>
        <v>7796194.6332288198</v>
      </c>
      <c r="FF281" s="1137">
        <f>SUM(FF274:FF280)</f>
        <v>100875577.06427994</v>
      </c>
      <c r="FG281" s="1073"/>
      <c r="FK281" s="1137">
        <f>SUM(FK274:FK280)</f>
        <v>120761317</v>
      </c>
      <c r="FL281" s="1137">
        <f>SUM(FL274:FL280)</f>
        <v>12089545.30249124</v>
      </c>
      <c r="FM281" s="1137">
        <f>SUM(FM274:FM280)</f>
        <v>7796194.6332288198</v>
      </c>
      <c r="FN281" s="1137">
        <f>SUM(FN274:FN280)</f>
        <v>100875577.06427994</v>
      </c>
      <c r="FO281" s="1073"/>
    </row>
    <row r="282" spans="1:171" ht="16.5" thickBot="1">
      <c r="A282" s="170"/>
      <c r="B282" s="63"/>
      <c r="C282" s="150"/>
      <c r="D282" s="195"/>
      <c r="E282" s="196"/>
      <c r="F282" s="196"/>
      <c r="G282" s="1027"/>
      <c r="H282" s="1027"/>
      <c r="I282" s="1027"/>
      <c r="J282" s="1028"/>
      <c r="K282" s="903"/>
      <c r="O282" s="1079"/>
      <c r="P282" s="1079"/>
      <c r="Q282" s="1079"/>
      <c r="R282" s="1079"/>
      <c r="S282" s="1073"/>
      <c r="W282" s="1079"/>
      <c r="X282" s="1079"/>
      <c r="Y282" s="1079"/>
      <c r="Z282" s="1079"/>
      <c r="AA282" s="1073"/>
      <c r="AE282" s="1079"/>
      <c r="AF282" s="1079"/>
      <c r="AG282" s="1079"/>
      <c r="AH282" s="1079"/>
      <c r="AI282" s="1073"/>
      <c r="AM282" s="1079"/>
      <c r="AN282" s="1079"/>
      <c r="AO282" s="1079"/>
      <c r="AP282" s="1079"/>
      <c r="AQ282" s="1073"/>
      <c r="AU282" s="1079"/>
      <c r="AV282" s="1079"/>
      <c r="AW282" s="1079"/>
      <c r="AX282" s="1079"/>
      <c r="AY282" s="1073"/>
      <c r="BC282" s="1079"/>
      <c r="BD282" s="1079"/>
      <c r="BE282" s="1079"/>
      <c r="BF282" s="1079"/>
      <c r="BG282" s="1073"/>
      <c r="BK282" s="1079"/>
      <c r="BL282" s="1079"/>
      <c r="BM282" s="1079"/>
      <c r="BN282" s="1079"/>
      <c r="BO282" s="1073"/>
      <c r="BS282" s="1079"/>
      <c r="BT282" s="1079"/>
      <c r="BU282" s="1079"/>
      <c r="BV282" s="1079"/>
      <c r="BW282" s="1073"/>
      <c r="CA282" s="1079"/>
      <c r="CB282" s="1079"/>
      <c r="CC282" s="1079"/>
      <c r="CD282" s="1079"/>
      <c r="CE282" s="1073"/>
      <c r="CI282" s="1079"/>
      <c r="CJ282" s="1079"/>
      <c r="CK282" s="1079"/>
      <c r="CL282" s="1079"/>
      <c r="CM282" s="1073"/>
      <c r="CQ282" s="1079"/>
      <c r="CR282" s="1079"/>
      <c r="CS282" s="1079"/>
      <c r="CT282" s="1079"/>
      <c r="CU282" s="1073"/>
      <c r="CY282" s="1079"/>
      <c r="CZ282" s="1079"/>
      <c r="DA282" s="1079"/>
      <c r="DB282" s="1079"/>
      <c r="DC282" s="1073"/>
      <c r="DG282" s="1079"/>
      <c r="DH282" s="1079"/>
      <c r="DI282" s="1079"/>
      <c r="DJ282" s="1079"/>
      <c r="DK282" s="1073"/>
      <c r="DO282" s="1079"/>
      <c r="DP282" s="1079"/>
      <c r="DQ282" s="1079"/>
      <c r="DR282" s="1079"/>
      <c r="DS282" s="1073"/>
      <c r="DW282" s="1079"/>
      <c r="DX282" s="1079"/>
      <c r="DY282" s="1079"/>
      <c r="DZ282" s="1079"/>
      <c r="EA282" s="1073"/>
      <c r="EE282" s="1079"/>
      <c r="EF282" s="1079"/>
      <c r="EG282" s="1079"/>
      <c r="EH282" s="1079"/>
      <c r="EI282" s="1073"/>
      <c r="EM282" s="1079"/>
      <c r="EN282" s="1079"/>
      <c r="EO282" s="1079"/>
      <c r="EP282" s="1079"/>
      <c r="EQ282" s="1073"/>
      <c r="EU282" s="1079"/>
      <c r="EV282" s="1079"/>
      <c r="EW282" s="1079"/>
      <c r="EX282" s="1079"/>
      <c r="EY282" s="1073"/>
      <c r="FC282" s="1079"/>
      <c r="FD282" s="1079"/>
      <c r="FE282" s="1079"/>
      <c r="FF282" s="1079"/>
      <c r="FG282" s="1073"/>
      <c r="FK282" s="1079"/>
      <c r="FL282" s="1079"/>
      <c r="FM282" s="1079"/>
      <c r="FN282" s="1079"/>
      <c r="FO282" s="1073"/>
    </row>
    <row r="283" spans="1:171" ht="16.5" thickBot="1">
      <c r="A283" s="201" t="s">
        <v>575</v>
      </c>
      <c r="B283" s="79"/>
      <c r="C283" s="914"/>
      <c r="D283" s="915"/>
      <c r="E283" s="915"/>
      <c r="F283" s="916"/>
      <c r="G283" s="923">
        <f>SUM(G271,G281)</f>
        <v>135775232</v>
      </c>
      <c r="H283" s="923">
        <f>SUM(H271,H281)</f>
        <v>18405972.337472353</v>
      </c>
      <c r="I283" s="923">
        <f>SUM(I271,I281)</f>
        <v>0</v>
      </c>
      <c r="J283" s="1393">
        <f>SUM(J271,J281)</f>
        <v>117369259.65863717</v>
      </c>
      <c r="K283" s="903"/>
      <c r="O283" s="1137">
        <f>SUM(O271,O281)</f>
        <v>135775232</v>
      </c>
      <c r="P283" s="1137">
        <f>SUM(P271,P281)</f>
        <v>18405972.337472353</v>
      </c>
      <c r="Q283" s="1137">
        <f>SUM(Q271,Q281)</f>
        <v>9119856.8663379103</v>
      </c>
      <c r="R283" s="1137">
        <f>SUM(R271,R281)</f>
        <v>108249402.79618974</v>
      </c>
      <c r="S283" s="1073"/>
      <c r="W283" s="1137">
        <f>SUM(W271,W281)</f>
        <v>135775232</v>
      </c>
      <c r="X283" s="1137">
        <f>SUM(X271,X281)</f>
        <v>18405972.337472353</v>
      </c>
      <c r="Y283" s="1137">
        <f>SUM(Y271,Y281)</f>
        <v>9119856.8663379103</v>
      </c>
      <c r="Z283" s="1137">
        <f>SUM(Z271,Z281)</f>
        <v>108249402.79618974</v>
      </c>
      <c r="AA283" s="1073"/>
      <c r="AE283" s="1137">
        <f>SUM(AE271,AE281)</f>
        <v>135775232</v>
      </c>
      <c r="AF283" s="1137">
        <f>SUM(AF271,AF281)</f>
        <v>18405972.337472353</v>
      </c>
      <c r="AG283" s="1137">
        <f>SUM(AG271,AG281)</f>
        <v>9119856.8663379103</v>
      </c>
      <c r="AH283" s="1137">
        <f>SUM(AH271,AH281)</f>
        <v>108249402.79618974</v>
      </c>
      <c r="AI283" s="1073"/>
      <c r="AM283" s="1137">
        <f>SUM(AM271,AM281)</f>
        <v>135775232</v>
      </c>
      <c r="AN283" s="1137">
        <f>SUM(AN271,AN281)</f>
        <v>18405972.337472353</v>
      </c>
      <c r="AO283" s="1137">
        <f>SUM(AO271,AO281)</f>
        <v>9119856.8663379103</v>
      </c>
      <c r="AP283" s="1137">
        <f>SUM(AP271,AP281)</f>
        <v>108249402.79618974</v>
      </c>
      <c r="AQ283" s="1073"/>
      <c r="AU283" s="1137">
        <f>SUM(AU271,AU281)</f>
        <v>135775232</v>
      </c>
      <c r="AV283" s="1137">
        <f>SUM(AV271,AV281)</f>
        <v>18405972.337472353</v>
      </c>
      <c r="AW283" s="1137">
        <f>SUM(AW271,AW281)</f>
        <v>9119856.8663379103</v>
      </c>
      <c r="AX283" s="1137">
        <f>SUM(AX271,AX281)</f>
        <v>108249402.79618974</v>
      </c>
      <c r="AY283" s="1073"/>
      <c r="BC283" s="1137">
        <f>SUM(BC271,BC281)</f>
        <v>135775232</v>
      </c>
      <c r="BD283" s="1137">
        <f>SUM(BD271,BD281)</f>
        <v>18405972.337472353</v>
      </c>
      <c r="BE283" s="1137">
        <f>SUM(BE271,BE281)</f>
        <v>9119856.8663379103</v>
      </c>
      <c r="BF283" s="1137">
        <f>SUM(BF271,BF281)</f>
        <v>108249402.79618974</v>
      </c>
      <c r="BG283" s="1073"/>
      <c r="BK283" s="1137">
        <f>SUM(BK271,BK281)</f>
        <v>135775232</v>
      </c>
      <c r="BL283" s="1137">
        <f>SUM(BL271,BL281)</f>
        <v>18405972.337472353</v>
      </c>
      <c r="BM283" s="1137">
        <f>SUM(BM271,BM281)</f>
        <v>9119856.8663379103</v>
      </c>
      <c r="BN283" s="1137">
        <f>SUM(BN271,BN281)</f>
        <v>108249402.79618974</v>
      </c>
      <c r="BO283" s="1073"/>
      <c r="BS283" s="1137">
        <f>SUM(BS271,BS281)</f>
        <v>135775232</v>
      </c>
      <c r="BT283" s="1137">
        <f>SUM(BT271,BT281)</f>
        <v>18405972.337472353</v>
      </c>
      <c r="BU283" s="1137">
        <f>SUM(BU271,BU281)</f>
        <v>9119856.8663379103</v>
      </c>
      <c r="BV283" s="1137">
        <f>SUM(BV271,BV281)</f>
        <v>108249402.79618974</v>
      </c>
      <c r="BW283" s="1073"/>
      <c r="CA283" s="1137">
        <f>SUM(CA271,CA281)</f>
        <v>135775232</v>
      </c>
      <c r="CB283" s="1137">
        <f>SUM(CB271,CB281)</f>
        <v>18405972.337472353</v>
      </c>
      <c r="CC283" s="1137">
        <f>SUM(CC271,CC281)</f>
        <v>9119856.8663379103</v>
      </c>
      <c r="CD283" s="1137">
        <f>SUM(CD271,CD281)</f>
        <v>108249402.79618974</v>
      </c>
      <c r="CE283" s="1073"/>
      <c r="CI283" s="1137">
        <f>SUM(CI271,CI281)</f>
        <v>135775232</v>
      </c>
      <c r="CJ283" s="1137">
        <f>SUM(CJ271,CJ281)</f>
        <v>18405972.337472353</v>
      </c>
      <c r="CK283" s="1137">
        <f>SUM(CK271,CK281)</f>
        <v>9119856.8663379103</v>
      </c>
      <c r="CL283" s="1137">
        <f>SUM(CL271,CL281)</f>
        <v>108249402.79618974</v>
      </c>
      <c r="CM283" s="1073"/>
      <c r="CQ283" s="1137">
        <f>SUM(CQ271,CQ281)</f>
        <v>135775232</v>
      </c>
      <c r="CR283" s="1137">
        <f>SUM(CR271,CR281)</f>
        <v>18405972.337472353</v>
      </c>
      <c r="CS283" s="1137">
        <f>SUM(CS271,CS281)</f>
        <v>9119856.8663379103</v>
      </c>
      <c r="CT283" s="1137">
        <f>SUM(CT271,CT281)</f>
        <v>108249402.79618974</v>
      </c>
      <c r="CU283" s="1073"/>
      <c r="CY283" s="1137">
        <f>SUM(CY271,CY281)</f>
        <v>135775232</v>
      </c>
      <c r="CZ283" s="1137">
        <f>SUM(CZ271,CZ281)</f>
        <v>18405972.337472353</v>
      </c>
      <c r="DA283" s="1137">
        <f>SUM(DA271,DA281)</f>
        <v>9119856.8663379103</v>
      </c>
      <c r="DB283" s="1137">
        <f>SUM(DB271,DB281)</f>
        <v>108249402.79618974</v>
      </c>
      <c r="DC283" s="1073"/>
      <c r="DG283" s="1137">
        <f>SUM(DG271,DG281)</f>
        <v>135775232</v>
      </c>
      <c r="DH283" s="1137">
        <f>SUM(DH271,DH281)</f>
        <v>18405972.337472353</v>
      </c>
      <c r="DI283" s="1137">
        <f>SUM(DI271,DI281)</f>
        <v>9119856.8663379103</v>
      </c>
      <c r="DJ283" s="1137">
        <f>SUM(DJ271,DJ281)</f>
        <v>108249402.79618974</v>
      </c>
      <c r="DK283" s="1073"/>
      <c r="DO283" s="1137">
        <f>SUM(DO271,DO281)</f>
        <v>135775232</v>
      </c>
      <c r="DP283" s="1137">
        <f>SUM(DP271,DP281)</f>
        <v>18405972.337472353</v>
      </c>
      <c r="DQ283" s="1137">
        <f>SUM(DQ271,DQ281)</f>
        <v>9119856.8663379103</v>
      </c>
      <c r="DR283" s="1137">
        <f>SUM(DR271,DR281)</f>
        <v>108249402.79618974</v>
      </c>
      <c r="DS283" s="1073"/>
      <c r="DW283" s="1137">
        <f>SUM(DW271,DW281)</f>
        <v>135775232</v>
      </c>
      <c r="DX283" s="1137">
        <f>SUM(DX271,DX281)</f>
        <v>18405972.337472353</v>
      </c>
      <c r="DY283" s="1137">
        <f>SUM(DY271,DY281)</f>
        <v>9119856.8663379103</v>
      </c>
      <c r="DZ283" s="1137">
        <f>SUM(DZ271,DZ281)</f>
        <v>108249402.79618974</v>
      </c>
      <c r="EA283" s="1073"/>
      <c r="EE283" s="1137">
        <f>SUM(EE271,EE281)</f>
        <v>135775232</v>
      </c>
      <c r="EF283" s="1137">
        <f>SUM(EF271,EF281)</f>
        <v>18405972.337472353</v>
      </c>
      <c r="EG283" s="1137">
        <f>SUM(EG271,EG281)</f>
        <v>9119856.8663379103</v>
      </c>
      <c r="EH283" s="1137">
        <f>SUM(EH271,EH281)</f>
        <v>108249402.79618974</v>
      </c>
      <c r="EI283" s="1073"/>
      <c r="EM283" s="1137">
        <f>SUM(EM271,EM281)</f>
        <v>135775232</v>
      </c>
      <c r="EN283" s="1137">
        <f>SUM(EN271,EN281)</f>
        <v>18405972.337472353</v>
      </c>
      <c r="EO283" s="1137">
        <f>SUM(EO271,EO281)</f>
        <v>9119856.8663379103</v>
      </c>
      <c r="EP283" s="1137">
        <f>SUM(EP271,EP281)</f>
        <v>108249402.79618974</v>
      </c>
      <c r="EQ283" s="1073"/>
      <c r="EU283" s="1137">
        <f>SUM(EU271,EU281)</f>
        <v>135775232</v>
      </c>
      <c r="EV283" s="1137">
        <f>SUM(EV271,EV281)</f>
        <v>18405972.337472353</v>
      </c>
      <c r="EW283" s="1137">
        <f>SUM(EW271,EW281)</f>
        <v>9119856.8663379103</v>
      </c>
      <c r="EX283" s="1137">
        <f>SUM(EX271,EX281)</f>
        <v>108249402.79618974</v>
      </c>
      <c r="EY283" s="1073"/>
      <c r="FC283" s="1137">
        <f>SUM(FC271,FC281)</f>
        <v>135775232</v>
      </c>
      <c r="FD283" s="1137">
        <f>SUM(FD271,FD281)</f>
        <v>18405972.337472353</v>
      </c>
      <c r="FE283" s="1137">
        <f>SUM(FE271,FE281)</f>
        <v>9119856.8663379103</v>
      </c>
      <c r="FF283" s="1137">
        <f>SUM(FF271,FF281)</f>
        <v>108249402.79618974</v>
      </c>
      <c r="FG283" s="1073"/>
      <c r="FK283" s="1137">
        <f>SUM(FK271,FK281)</f>
        <v>135775232</v>
      </c>
      <c r="FL283" s="1137">
        <f>SUM(FL271,FL281)</f>
        <v>18405972.337472353</v>
      </c>
      <c r="FM283" s="1137">
        <f>SUM(FM271,FM281)</f>
        <v>9119856.8663379103</v>
      </c>
      <c r="FN283" s="1137">
        <f>SUM(FN271,FN281)</f>
        <v>108249402.79618974</v>
      </c>
      <c r="FO283" s="1073"/>
    </row>
    <row r="284" spans="1:171" ht="16.5" thickBot="1">
      <c r="A284" s="191"/>
      <c r="B284" s="203"/>
      <c r="C284" s="203"/>
      <c r="D284" s="203"/>
      <c r="E284" s="203"/>
      <c r="F284" s="203"/>
      <c r="G284" s="203"/>
      <c r="H284" s="203"/>
      <c r="I284" s="203"/>
      <c r="J284" s="1029"/>
      <c r="K284" s="903"/>
      <c r="S284" s="1073"/>
      <c r="AA284" s="1073"/>
      <c r="AI284" s="1073"/>
      <c r="AQ284" s="1073"/>
      <c r="AY284" s="1073"/>
      <c r="BG284" s="1073"/>
      <c r="BO284" s="1073"/>
      <c r="BW284" s="1073"/>
      <c r="CE284" s="1073"/>
      <c r="CM284" s="1073"/>
      <c r="CU284" s="1073"/>
      <c r="DC284" s="1073"/>
      <c r="DK284" s="1073"/>
      <c r="DS284" s="1073"/>
      <c r="EA284" s="1073"/>
      <c r="EI284" s="1073"/>
      <c r="EQ284" s="1073"/>
      <c r="EY284" s="1073"/>
      <c r="FG284" s="1073"/>
      <c r="FO284" s="1073"/>
    </row>
    <row r="285" spans="1:171" ht="16.5" thickTop="1">
      <c r="A285" s="214"/>
      <c r="B285" s="1"/>
      <c r="C285" s="1"/>
      <c r="D285" s="1"/>
      <c r="E285" s="1"/>
      <c r="F285" s="1"/>
      <c r="G285" s="1"/>
      <c r="H285" s="1"/>
      <c r="I285" s="1"/>
      <c r="J285" s="171"/>
      <c r="K285" s="903"/>
      <c r="S285" s="1073"/>
      <c r="AA285" s="1073"/>
      <c r="AI285" s="1073"/>
      <c r="AQ285" s="1073"/>
      <c r="AY285" s="1073"/>
      <c r="BG285" s="1073"/>
      <c r="BO285" s="1073"/>
      <c r="BW285" s="1073"/>
      <c r="CE285" s="1073"/>
      <c r="CM285" s="1073"/>
      <c r="CU285" s="1073"/>
      <c r="DC285" s="1073"/>
      <c r="DK285" s="1073"/>
      <c r="DS285" s="1073"/>
      <c r="EA285" s="1073"/>
      <c r="EI285" s="1073"/>
      <c r="EQ285" s="1073"/>
      <c r="EY285" s="1073"/>
      <c r="FG285" s="1073"/>
      <c r="FO285" s="1073"/>
    </row>
    <row r="286" spans="1:171" ht="16.5" thickBot="1">
      <c r="A286" s="332" t="s">
        <v>632</v>
      </c>
      <c r="B286" s="1019"/>
      <c r="C286" s="1019"/>
      <c r="D286" s="1019"/>
      <c r="E286" s="147"/>
      <c r="F286" s="4"/>
      <c r="G286" s="1020"/>
      <c r="H286" s="1020"/>
      <c r="I286" s="1021"/>
      <c r="J286" s="1193"/>
      <c r="K286" s="903"/>
      <c r="S286" s="1073"/>
      <c r="AA286" s="1073"/>
      <c r="AI286" s="1073"/>
      <c r="AQ286" s="1073"/>
      <c r="AY286" s="1073"/>
      <c r="BG286" s="1073"/>
      <c r="BO286" s="1073"/>
      <c r="BW286" s="1073"/>
      <c r="CE286" s="1073"/>
      <c r="CM286" s="1073"/>
      <c r="CU286" s="1073"/>
      <c r="DC286" s="1073"/>
      <c r="DK286" s="1073"/>
      <c r="DS286" s="1073"/>
      <c r="EA286" s="1073"/>
      <c r="EI286" s="1073"/>
      <c r="EQ286" s="1073"/>
      <c r="EY286" s="1073"/>
      <c r="FG286" s="1073"/>
      <c r="FO286" s="1073"/>
    </row>
    <row r="287" spans="1:171" ht="17.25" thickTop="1" thickBot="1">
      <c r="A287" s="987"/>
      <c r="B287" s="2382" t="s">
        <v>100</v>
      </c>
      <c r="C287" s="325" t="s">
        <v>323</v>
      </c>
      <c r="D287" s="325"/>
      <c r="E287" s="2490" t="s">
        <v>354</v>
      </c>
      <c r="F287" s="2481"/>
      <c r="G287" s="2482" t="s">
        <v>104</v>
      </c>
      <c r="H287" s="2484" t="s">
        <v>105</v>
      </c>
      <c r="I287" s="2460" t="s">
        <v>106</v>
      </c>
      <c r="J287" s="326"/>
      <c r="K287" s="903"/>
      <c r="S287" s="1073"/>
      <c r="AA287" s="1073"/>
      <c r="AI287" s="1073"/>
      <c r="AQ287" s="1073"/>
      <c r="AY287" s="1073"/>
      <c r="BG287" s="1073"/>
      <c r="BO287" s="1073"/>
      <c r="BW287" s="1073"/>
      <c r="CE287" s="1073"/>
      <c r="CM287" s="1073"/>
      <c r="CU287" s="1073"/>
      <c r="DC287" s="1073"/>
      <c r="DK287" s="1073"/>
      <c r="DS287" s="1073"/>
      <c r="EA287" s="1073"/>
      <c r="EI287" s="1073"/>
      <c r="EQ287" s="1073"/>
      <c r="EY287" s="1073"/>
      <c r="FG287" s="1073"/>
      <c r="FO287" s="1073"/>
    </row>
    <row r="288" spans="1:171" ht="16.5" thickBot="1">
      <c r="A288" s="864"/>
      <c r="B288" s="2463"/>
      <c r="C288" s="322" t="s">
        <v>272</v>
      </c>
      <c r="D288" s="322" t="s">
        <v>96</v>
      </c>
      <c r="E288" s="2467"/>
      <c r="F288" s="2468"/>
      <c r="G288" s="2470"/>
      <c r="H288" s="2473"/>
      <c r="I288" s="2461"/>
      <c r="J288" s="310" t="s">
        <v>98</v>
      </c>
      <c r="K288" s="903"/>
      <c r="S288" s="1073"/>
      <c r="AA288" s="1073"/>
      <c r="AI288" s="1073"/>
      <c r="AQ288" s="1073"/>
      <c r="AY288" s="1073"/>
      <c r="BG288" s="1073"/>
      <c r="BO288" s="1073"/>
      <c r="BW288" s="1073"/>
      <c r="CE288" s="1073"/>
      <c r="CM288" s="1073"/>
      <c r="CU288" s="1073"/>
      <c r="DC288" s="1073"/>
      <c r="DK288" s="1073"/>
      <c r="DS288" s="1073"/>
      <c r="EA288" s="1073"/>
      <c r="EI288" s="1073"/>
      <c r="EQ288" s="1073"/>
      <c r="EY288" s="1073"/>
      <c r="FG288" s="1073"/>
      <c r="FO288" s="1073"/>
    </row>
    <row r="289" spans="1:171" ht="16.5" thickBot="1">
      <c r="A289" s="988"/>
      <c r="B289" s="2464"/>
      <c r="C289" s="311" t="s">
        <v>273</v>
      </c>
      <c r="D289" s="311" t="s">
        <v>252</v>
      </c>
      <c r="E289" s="311" t="s">
        <v>454</v>
      </c>
      <c r="F289" s="311" t="s">
        <v>623</v>
      </c>
      <c r="G289" s="2471"/>
      <c r="H289" s="2474"/>
      <c r="I289" s="2476"/>
      <c r="J289" s="314" t="s">
        <v>107</v>
      </c>
      <c r="K289" s="903"/>
      <c r="S289" s="1073"/>
      <c r="AA289" s="1073"/>
      <c r="AI289" s="1073"/>
      <c r="AQ289" s="1073"/>
      <c r="AY289" s="1073"/>
      <c r="BG289" s="1073"/>
      <c r="BO289" s="1073"/>
      <c r="BW289" s="1073"/>
      <c r="CE289" s="1073"/>
      <c r="CM289" s="1073"/>
      <c r="CU289" s="1073"/>
      <c r="DC289" s="1073"/>
      <c r="DK289" s="1073"/>
      <c r="DS289" s="1073"/>
      <c r="EA289" s="1073"/>
      <c r="EI289" s="1073"/>
      <c r="EQ289" s="1073"/>
      <c r="EY289" s="1073"/>
      <c r="FG289" s="1073"/>
      <c r="FO289" s="1073"/>
    </row>
    <row r="290" spans="1:171" ht="16.5" thickTop="1">
      <c r="A290" s="199" t="s">
        <v>41</v>
      </c>
      <c r="B290" s="10"/>
      <c r="C290" s="51"/>
      <c r="D290" s="946"/>
      <c r="E290" s="55"/>
      <c r="F290" s="55"/>
      <c r="G290" s="221"/>
      <c r="H290" s="221"/>
      <c r="I290" s="221"/>
      <c r="J290" s="222"/>
      <c r="K290" s="903"/>
      <c r="S290" s="1073"/>
      <c r="AA290" s="1073"/>
      <c r="AI290" s="1073"/>
      <c r="AQ290" s="1073"/>
      <c r="AY290" s="1073"/>
      <c r="BG290" s="1073"/>
      <c r="BO290" s="1073"/>
      <c r="BW290" s="1073"/>
      <c r="CE290" s="1073"/>
      <c r="CM290" s="1073"/>
      <c r="CU290" s="1073"/>
      <c r="DC290" s="1073"/>
      <c r="DK290" s="1073"/>
      <c r="DS290" s="1073"/>
      <c r="EA290" s="1073"/>
      <c r="EI290" s="1073"/>
      <c r="EQ290" s="1073"/>
      <c r="EY290" s="1073"/>
      <c r="FG290" s="1073"/>
      <c r="FO290" s="1073"/>
    </row>
    <row r="291" spans="1:171">
      <c r="A291" s="199"/>
      <c r="B291" s="1030" t="s">
        <v>570</v>
      </c>
      <c r="C291" s="888">
        <v>114</v>
      </c>
      <c r="D291" s="889">
        <v>407.3</v>
      </c>
      <c r="E291" s="182" t="str">
        <f>'Sch 3B - Other Items'!E15</f>
        <v>DIRECT</v>
      </c>
      <c r="F291" s="889"/>
      <c r="G291" s="182">
        <f>'Sch 3B - Other Items'!G15</f>
        <v>43048247.780000001</v>
      </c>
      <c r="H291" s="182">
        <f>'Sch 3B - Other Items'!H15</f>
        <v>6528962.2342846561</v>
      </c>
      <c r="I291" s="182">
        <f>'Sch 3B - Other Items'!I15</f>
        <v>0</v>
      </c>
      <c r="J291" s="183">
        <f>'Sch 3B - Other Items'!J15</f>
        <v>36519285.765715346</v>
      </c>
      <c r="K291" s="903">
        <f t="shared" ref="K291:K297" si="811">IF($E291="DIRECT",0,1)</f>
        <v>0</v>
      </c>
      <c r="O291" s="1116">
        <f t="shared" ref="O291:O297" si="812">$G291</f>
        <v>43048247.780000001</v>
      </c>
      <c r="P291" s="1117">
        <f t="shared" ref="P291:P297" si="813">VLOOKUP($E291,O$442:R$453,2,FALSE)*O291*($K291)+IF($G291&lt;&gt;0,($H291/$G291)*O291,0)*(1-$K291)</f>
        <v>6528962.2342846561</v>
      </c>
      <c r="Q291" s="1117">
        <f t="shared" ref="Q291:Q297" si="814">VLOOKUP($E291,O$442:R$453,3,FALSE)*O291*($K291)+IF($G291&lt;&gt;0,($I291/$G291)*O291,0)*(1-$K291)</f>
        <v>0</v>
      </c>
      <c r="R291" s="1117">
        <f t="shared" ref="R291:R297" si="815">VLOOKUP($E291,O$442:R$453,4,FALSE)*O291*($K291)+(O291-P291-Q291)*(1-$K291)</f>
        <v>36519285.545715347</v>
      </c>
      <c r="S291" s="1073"/>
      <c r="W291" s="1116">
        <f t="shared" ref="W291:W297" si="816">$G291</f>
        <v>43048247.780000001</v>
      </c>
      <c r="X291" s="1117">
        <f t="shared" ref="X291:X297" si="817">VLOOKUP($E291,W$442:Z$453,2,FALSE)*W291*($K291)+IF($G291&lt;&gt;0,($H291/$G291)*W291,0)*(1-$K291)</f>
        <v>6528962.2342846561</v>
      </c>
      <c r="Y291" s="1117">
        <f t="shared" ref="Y291:Y297" si="818">VLOOKUP($E291,W$442:Z$453,3,FALSE)*W291*($K291)+IF($G291&lt;&gt;0,($I291/$G291)*W291,0)*(1-$K291)</f>
        <v>0</v>
      </c>
      <c r="Z291" s="1117">
        <f t="shared" ref="Z291:Z297" si="819">VLOOKUP($E291,W$442:Z$453,4,FALSE)*W291*($K291)+(W291-X291-Y291)*(1-$K291)</f>
        <v>36519285.545715347</v>
      </c>
      <c r="AA291" s="1073"/>
      <c r="AE291" s="1116">
        <f t="shared" ref="AE291:AE297" si="820">$G291</f>
        <v>43048247.780000001</v>
      </c>
      <c r="AF291" s="1117">
        <f t="shared" ref="AF291:AF297" si="821">VLOOKUP($E291,AE$442:AH$453,2,FALSE)*AE291*($K291)+IF($G291&lt;&gt;0,($H291/$G291)*AE291,0)*(1-$K291)</f>
        <v>6528962.2342846561</v>
      </c>
      <c r="AG291" s="1117">
        <f t="shared" ref="AG291:AG297" si="822">VLOOKUP($E291,AE$442:AH$453,3,FALSE)*AE291*($K291)+IF($G291&lt;&gt;0,($I291/$G291)*AE291,0)*(1-$K291)</f>
        <v>0</v>
      </c>
      <c r="AH291" s="1117">
        <f t="shared" ref="AH291:AH297" si="823">VLOOKUP($E291,AE$442:AH$453,4,FALSE)*AE291*($K291)+(AE291-AF291-AG291)*(1-$K291)</f>
        <v>36519285.545715347</v>
      </c>
      <c r="AI291" s="1073"/>
      <c r="AM291" s="1116">
        <f t="shared" ref="AM291:AM297" si="824">$G291</f>
        <v>43048247.780000001</v>
      </c>
      <c r="AN291" s="1117">
        <f t="shared" ref="AN291:AN297" si="825">VLOOKUP($E291,AM$442:AP$453,2,FALSE)*AM291*($K291)+IF($G291&lt;&gt;0,($H291/$G291)*AM291,0)*(1-$K291)</f>
        <v>6528962.2342846561</v>
      </c>
      <c r="AO291" s="1117">
        <f t="shared" ref="AO291:AO297" si="826">VLOOKUP($E291,AM$442:AP$453,3,FALSE)*AM291*($K291)+IF($G291&lt;&gt;0,($I291/$G291)*AM291,0)*(1-$K291)</f>
        <v>0</v>
      </c>
      <c r="AP291" s="1117">
        <f t="shared" ref="AP291:AP297" si="827">VLOOKUP($E291,AM$442:AP$453,4,FALSE)*AM291*($K291)+(AM291-AN291-AO291)*(1-$K291)</f>
        <v>36519285.545715347</v>
      </c>
      <c r="AQ291" s="1073"/>
      <c r="AU291" s="1116">
        <f t="shared" ref="AU291:AU297" si="828">$G291</f>
        <v>43048247.780000001</v>
      </c>
      <c r="AV291" s="1117">
        <f t="shared" ref="AV291:AV297" si="829">VLOOKUP($E291,AU$442:AX$453,2,FALSE)*AU291*($K291)+IF($G291&lt;&gt;0,($H291/$G291)*AU291,0)*(1-$K291)</f>
        <v>6528962.2342846561</v>
      </c>
      <c r="AW291" s="1117">
        <f t="shared" ref="AW291:AW297" si="830">VLOOKUP($E291,AU$442:AX$453,3,FALSE)*AU291*($K291)+IF($G291&lt;&gt;0,($I291/$G291)*AU291,0)*(1-$K291)</f>
        <v>0</v>
      </c>
      <c r="AX291" s="1117">
        <f t="shared" ref="AX291:AX297" si="831">VLOOKUP($E291,AU$442:AX$453,4,FALSE)*AU291*($K291)+(AU291-AV291-AW291)*(1-$K291)</f>
        <v>36519285.545715347</v>
      </c>
      <c r="AY291" s="1073"/>
      <c r="BC291" s="1116">
        <f t="shared" ref="BC291:BC297" si="832">$G291</f>
        <v>43048247.780000001</v>
      </c>
      <c r="BD291" s="1117">
        <f t="shared" ref="BD291:BD297" si="833">VLOOKUP($E291,BC$442:BF$453,2,FALSE)*BC291*($K291)+IF($G291&lt;&gt;0,($H291/$G291)*BC291,0)*(1-$K291)</f>
        <v>6528962.2342846561</v>
      </c>
      <c r="BE291" s="1117">
        <f t="shared" ref="BE291:BE297" si="834">VLOOKUP($E291,BC$442:BF$453,3,FALSE)*BC291*($K291)+IF($G291&lt;&gt;0,($I291/$G291)*BC291,0)*(1-$K291)</f>
        <v>0</v>
      </c>
      <c r="BF291" s="1117">
        <f t="shared" ref="BF291:BF297" si="835">VLOOKUP($E291,BC$442:BF$453,4,FALSE)*BC291*($K291)+(BC291-BD291-BE291)*(1-$K291)</f>
        <v>36519285.545715347</v>
      </c>
      <c r="BG291" s="1073"/>
      <c r="BK291" s="1116">
        <f t="shared" ref="BK291:BK297" si="836">$G291</f>
        <v>43048247.780000001</v>
      </c>
      <c r="BL291" s="1117">
        <f t="shared" ref="BL291:BL297" si="837">VLOOKUP($E291,BK$442:BN$453,2,FALSE)*BK291*($K291)+IF($G291&lt;&gt;0,($H291/$G291)*BK291,0)*(1-$K291)</f>
        <v>6528962.2342846561</v>
      </c>
      <c r="BM291" s="1117">
        <f t="shared" ref="BM291:BM297" si="838">VLOOKUP($E291,BK$442:BN$453,3,FALSE)*BK291*($K291)+IF($G291&lt;&gt;0,($I291/$G291)*BK291,0)*(1-$K291)</f>
        <v>0</v>
      </c>
      <c r="BN291" s="1117">
        <f t="shared" ref="BN291:BN297" si="839">VLOOKUP($E291,BK$442:BN$453,4,FALSE)*BK291*($K291)+(BK291-BL291-BM291)*(1-$K291)</f>
        <v>36519285.545715347</v>
      </c>
      <c r="BO291" s="1073"/>
      <c r="BS291" s="1116">
        <f t="shared" ref="BS291:BS297" si="840">$G291</f>
        <v>43048247.780000001</v>
      </c>
      <c r="BT291" s="1117">
        <f t="shared" ref="BT291:BT297" si="841">VLOOKUP($E291,BS$442:BV$453,2,FALSE)*BS291*($K291)+IF($G291&lt;&gt;0,($H291/$G291)*BS291,0)*(1-$K291)</f>
        <v>6528962.2342846561</v>
      </c>
      <c r="BU291" s="1117">
        <f t="shared" ref="BU291:BU297" si="842">VLOOKUP($E291,BS$442:BV$453,3,FALSE)*BS291*($K291)+IF($G291&lt;&gt;0,($I291/$G291)*BS291,0)*(1-$K291)</f>
        <v>0</v>
      </c>
      <c r="BV291" s="1117">
        <f t="shared" ref="BV291:BV297" si="843">VLOOKUP($E291,BS$442:BV$453,4,FALSE)*BS291*($K291)+(BS291-BT291-BU291)*(1-$K291)</f>
        <v>36519285.545715347</v>
      </c>
      <c r="BW291" s="1073"/>
      <c r="CA291" s="1116">
        <f t="shared" ref="CA291:CA297" si="844">$G291</f>
        <v>43048247.780000001</v>
      </c>
      <c r="CB291" s="1117">
        <f t="shared" ref="CB291:CB297" si="845">VLOOKUP($E291,CA$442:CD$453,2,FALSE)*CA291*($K291)+IF($G291&lt;&gt;0,($H291/$G291)*CA291,0)*(1-$K291)</f>
        <v>6528962.2342846561</v>
      </c>
      <c r="CC291" s="1117">
        <f t="shared" ref="CC291:CC297" si="846">VLOOKUP($E291,CA$442:CD$453,3,FALSE)*CA291*($K291)+IF($G291&lt;&gt;0,($I291/$G291)*CA291,0)*(1-$K291)</f>
        <v>0</v>
      </c>
      <c r="CD291" s="1117">
        <f t="shared" ref="CD291:CD297" si="847">VLOOKUP($E291,CA$442:CD$453,4,FALSE)*CA291*($K291)+(CA291-CB291-CC291)*(1-$K291)</f>
        <v>36519285.545715347</v>
      </c>
      <c r="CE291" s="1073"/>
      <c r="CI291" s="1116">
        <f t="shared" ref="CI291:CI297" si="848">$G291</f>
        <v>43048247.780000001</v>
      </c>
      <c r="CJ291" s="1117">
        <f t="shared" ref="CJ291:CJ297" si="849">VLOOKUP($E291,CI$442:CL$453,2,FALSE)*CI291*($K291)+IF($G291&lt;&gt;0,($H291/$G291)*CI291,0)*(1-$K291)</f>
        <v>6528962.2342846561</v>
      </c>
      <c r="CK291" s="1117">
        <f t="shared" ref="CK291:CK297" si="850">VLOOKUP($E291,CI$442:CL$453,3,FALSE)*CI291*($K291)+IF($G291&lt;&gt;0,($I291/$G291)*CI291,0)*(1-$K291)</f>
        <v>0</v>
      </c>
      <c r="CL291" s="1117">
        <f t="shared" ref="CL291:CL297" si="851">VLOOKUP($E291,CI$442:CL$453,4,FALSE)*CI291*($K291)+(CI291-CJ291-CK291)*(1-$K291)</f>
        <v>36519285.545715347</v>
      </c>
      <c r="CM291" s="1073"/>
      <c r="CQ291" s="1116">
        <f t="shared" ref="CQ291:CQ297" si="852">$G291</f>
        <v>43048247.780000001</v>
      </c>
      <c r="CR291" s="1117">
        <f t="shared" ref="CR291:CR297" si="853">VLOOKUP($E291,CQ$442:CT$453,2,FALSE)*CQ291*($K291)+IF($G291&lt;&gt;0,($H291/$G291)*CQ291,0)*(1-$K291)</f>
        <v>6528962.2342846561</v>
      </c>
      <c r="CS291" s="1117">
        <f t="shared" ref="CS291:CS297" si="854">VLOOKUP($E291,CQ$442:CT$453,3,FALSE)*CQ291*($K291)+IF($G291&lt;&gt;0,($I291/$G291)*CQ291,0)*(1-$K291)</f>
        <v>0</v>
      </c>
      <c r="CT291" s="1117">
        <f t="shared" ref="CT291:CT297" si="855">VLOOKUP($E291,CQ$442:CT$453,4,FALSE)*CQ291*($K291)+(CQ291-CR291-CS291)*(1-$K291)</f>
        <v>36519285.545715347</v>
      </c>
      <c r="CU291" s="1073"/>
      <c r="CY291" s="1116">
        <f t="shared" ref="CY291:CY297" si="856">$G291</f>
        <v>43048247.780000001</v>
      </c>
      <c r="CZ291" s="1117">
        <f t="shared" ref="CZ291:CZ297" si="857">VLOOKUP($E291,CY$442:DB$453,2,FALSE)*CY291*($K291)+IF($G291&lt;&gt;0,($H291/$G291)*CY291,0)*(1-$K291)</f>
        <v>6528962.2342846561</v>
      </c>
      <c r="DA291" s="1117">
        <f t="shared" ref="DA291:DA297" si="858">VLOOKUP($E291,CY$442:DB$453,3,FALSE)*CY291*($K291)+IF($G291&lt;&gt;0,($I291/$G291)*CY291,0)*(1-$K291)</f>
        <v>0</v>
      </c>
      <c r="DB291" s="1117">
        <f t="shared" ref="DB291:DB297" si="859">VLOOKUP($E291,CY$442:DB$453,4,FALSE)*CY291*($K291)+(CY291-CZ291-DA291)*(1-$K291)</f>
        <v>36519285.545715347</v>
      </c>
      <c r="DC291" s="1073"/>
      <c r="DG291" s="1116">
        <f t="shared" ref="DG291:DG297" si="860">$G291</f>
        <v>43048247.780000001</v>
      </c>
      <c r="DH291" s="1117">
        <f t="shared" ref="DH291:DH297" si="861">VLOOKUP($E291,DG$442:DJ$453,2,FALSE)*DG291*($K291)+IF($G291&lt;&gt;0,($H291/$G291)*DG291,0)*(1-$K291)</f>
        <v>6528962.2342846561</v>
      </c>
      <c r="DI291" s="1117">
        <f t="shared" ref="DI291:DI297" si="862">VLOOKUP($E291,DG$442:DJ$453,3,FALSE)*DG291*($K291)+IF($G291&lt;&gt;0,($I291/$G291)*DG291,0)*(1-$K291)</f>
        <v>0</v>
      </c>
      <c r="DJ291" s="1117">
        <f t="shared" ref="DJ291:DJ297" si="863">VLOOKUP($E291,DG$442:DJ$453,4,FALSE)*DG291*($K291)+(DG291-DH291-DI291)*(1-$K291)</f>
        <v>36519285.545715347</v>
      </c>
      <c r="DK291" s="1073"/>
      <c r="DO291" s="1116">
        <f t="shared" ref="DO291:DO297" si="864">$G291</f>
        <v>43048247.780000001</v>
      </c>
      <c r="DP291" s="1117">
        <f t="shared" ref="DP291:DP297" si="865">VLOOKUP($E291,DO$442:DR$453,2,FALSE)*DO291*($K291)+IF($G291&lt;&gt;0,($H291/$G291)*DO291,0)*(1-$K291)</f>
        <v>6528962.2342846561</v>
      </c>
      <c r="DQ291" s="1117">
        <f t="shared" ref="DQ291:DQ297" si="866">VLOOKUP($E291,DO$442:DR$453,3,FALSE)*DO291*($K291)+IF($G291&lt;&gt;0,($I291/$G291)*DO291,0)*(1-$K291)</f>
        <v>0</v>
      </c>
      <c r="DR291" s="1117">
        <f t="shared" ref="DR291:DR297" si="867">VLOOKUP($E291,DO$442:DR$453,4,FALSE)*DO291*($K291)+(DO291-DP291-DQ291)*(1-$K291)</f>
        <v>36519285.545715347</v>
      </c>
      <c r="DS291" s="1073"/>
      <c r="DW291" s="1116">
        <f t="shared" ref="DW291:DW297" si="868">$G291</f>
        <v>43048247.780000001</v>
      </c>
      <c r="DX291" s="1117">
        <f t="shared" ref="DX291:DX297" si="869">VLOOKUP($E291,DW$442:DZ$453,2,FALSE)*DW291*($K291)+IF($G291&lt;&gt;0,($H291/$G291)*DW291,0)*(1-$K291)</f>
        <v>6528962.2342846561</v>
      </c>
      <c r="DY291" s="1117">
        <f t="shared" ref="DY291:DY297" si="870">VLOOKUP($E291,DW$442:DZ$453,3,FALSE)*DW291*($K291)+IF($G291&lt;&gt;0,($I291/$G291)*DW291,0)*(1-$K291)</f>
        <v>0</v>
      </c>
      <c r="DZ291" s="1117">
        <f t="shared" ref="DZ291:DZ297" si="871">VLOOKUP($E291,DW$442:DZ$453,4,FALSE)*DW291*($K291)+(DW291-DX291-DY291)*(1-$K291)</f>
        <v>36519285.545715347</v>
      </c>
      <c r="EA291" s="1073"/>
      <c r="EE291" s="1116">
        <f t="shared" ref="EE291:EE297" si="872">$G291</f>
        <v>43048247.780000001</v>
      </c>
      <c r="EF291" s="1117">
        <f t="shared" ref="EF291:EF297" si="873">VLOOKUP($E291,EE$442:EH$453,2,FALSE)*EE291*($K291)+IF($G291&lt;&gt;0,($H291/$G291)*EE291,0)*(1-$K291)</f>
        <v>6528962.2342846561</v>
      </c>
      <c r="EG291" s="1117">
        <f t="shared" ref="EG291:EG297" si="874">VLOOKUP($E291,EE$442:EH$453,3,FALSE)*EE291*($K291)+IF($G291&lt;&gt;0,($I291/$G291)*EE291,0)*(1-$K291)</f>
        <v>0</v>
      </c>
      <c r="EH291" s="1117">
        <f t="shared" ref="EH291:EH297" si="875">VLOOKUP($E291,EE$442:EH$453,4,FALSE)*EE291*($K291)+(EE291-EF291-EG291)*(1-$K291)</f>
        <v>36519285.545715347</v>
      </c>
      <c r="EI291" s="1073"/>
      <c r="EM291" s="1116">
        <f t="shared" ref="EM291:EM297" si="876">$G291</f>
        <v>43048247.780000001</v>
      </c>
      <c r="EN291" s="1117">
        <f t="shared" ref="EN291:EN297" si="877">VLOOKUP($E291,EM$442:EP$453,2,FALSE)*EM291*($K291)+IF($G291&lt;&gt;0,($H291/$G291)*EM291,0)*(1-$K291)</f>
        <v>6528962.2342846561</v>
      </c>
      <c r="EO291" s="1117">
        <f t="shared" ref="EO291:EO297" si="878">VLOOKUP($E291,EM$442:EP$453,3,FALSE)*EM291*($K291)+IF($G291&lt;&gt;0,($I291/$G291)*EM291,0)*(1-$K291)</f>
        <v>0</v>
      </c>
      <c r="EP291" s="1117">
        <f t="shared" ref="EP291:EP297" si="879">VLOOKUP($E291,EM$442:EP$453,4,FALSE)*EM291*($K291)+(EM291-EN291-EO291)*(1-$K291)</f>
        <v>36519285.545715347</v>
      </c>
      <c r="EQ291" s="1073"/>
      <c r="EU291" s="1116">
        <f t="shared" ref="EU291:EU297" si="880">$G291</f>
        <v>43048247.780000001</v>
      </c>
      <c r="EV291" s="1117">
        <f t="shared" ref="EV291:EV297" si="881">VLOOKUP($E291,EU$442:EX$453,2,FALSE)*EU291*($K291)+IF($G291&lt;&gt;0,($H291/$G291)*EU291,0)*(1-$K291)</f>
        <v>6528962.2342846561</v>
      </c>
      <c r="EW291" s="1117">
        <f t="shared" ref="EW291:EW297" si="882">VLOOKUP($E291,EU$442:EX$453,3,FALSE)*EU291*($K291)+IF($G291&lt;&gt;0,($I291/$G291)*EU291,0)*(1-$K291)</f>
        <v>0</v>
      </c>
      <c r="EX291" s="1117">
        <f t="shared" ref="EX291:EX297" si="883">VLOOKUP($E291,EU$442:EX$453,4,FALSE)*EU291*($K291)+(EU291-EV291-EW291)*(1-$K291)</f>
        <v>36519285.545715347</v>
      </c>
      <c r="EY291" s="1073"/>
      <c r="FC291" s="1116">
        <f t="shared" ref="FC291:FC297" si="884">$G291</f>
        <v>43048247.780000001</v>
      </c>
      <c r="FD291" s="1117">
        <f t="shared" ref="FD291:FD297" si="885">VLOOKUP($E291,FC$442:FF$453,2,FALSE)*FC291*($K291)+IF($G291&lt;&gt;0,($H291/$G291)*FC291,0)*(1-$K291)</f>
        <v>6528962.2342846561</v>
      </c>
      <c r="FE291" s="1117">
        <f t="shared" ref="FE291:FE297" si="886">VLOOKUP($E291,FC$442:FF$453,3,FALSE)*FC291*($K291)+IF($G291&lt;&gt;0,($I291/$G291)*FC291,0)*(1-$K291)</f>
        <v>0</v>
      </c>
      <c r="FF291" s="1117">
        <f t="shared" ref="FF291:FF297" si="887">VLOOKUP($E291,FC$442:FF$453,4,FALSE)*FC291*($K291)+(FC291-FD291-FE291)*(1-$K291)</f>
        <v>36519285.545715347</v>
      </c>
      <c r="FG291" s="1073"/>
      <c r="FK291" s="1116">
        <f t="shared" ref="FK291:FK297" si="888">$G291</f>
        <v>43048247.780000001</v>
      </c>
      <c r="FL291" s="1117">
        <f t="shared" ref="FL291:FL297" si="889">VLOOKUP($E291,FK$442:FN$453,2,FALSE)*FK291*($K291)+IF($G291&lt;&gt;0,($H291/$G291)*FK291,0)*(1-$K291)</f>
        <v>6528962.2342846561</v>
      </c>
      <c r="FM291" s="1117">
        <f t="shared" ref="FM291:FM297" si="890">VLOOKUP($E291,FK$442:FN$453,3,FALSE)*FK291*($K291)+IF($G291&lt;&gt;0,($I291/$G291)*FK291,0)*(1-$K291)</f>
        <v>0</v>
      </c>
      <c r="FN291" s="1117">
        <f t="shared" ref="FN291:FN297" si="891">VLOOKUP($E291,FK$442:FN$453,4,FALSE)*FK291*($K291)+(FK291-FL291-FM291)*(1-$K291)</f>
        <v>36519285.545715347</v>
      </c>
      <c r="FO291" s="1073"/>
    </row>
    <row r="292" spans="1:171">
      <c r="A292" s="199"/>
      <c r="B292" s="1031" t="s">
        <v>633</v>
      </c>
      <c r="C292" s="888">
        <v>114</v>
      </c>
      <c r="D292" s="889">
        <v>407.4</v>
      </c>
      <c r="E292" s="182" t="str">
        <f>'Sch 3B - Other Items'!E16</f>
        <v>DIRECT</v>
      </c>
      <c r="F292" s="889"/>
      <c r="G292" s="182">
        <f>'Sch 3B - Other Items'!G16</f>
        <v>21751021.41</v>
      </c>
      <c r="H292" s="182">
        <f>'Sch 3B - Other Items'!H16</f>
        <v>5597733.3811167059</v>
      </c>
      <c r="I292" s="182">
        <f>'Sch 3B - Other Items'!I16</f>
        <v>0</v>
      </c>
      <c r="J292" s="183">
        <f>'Sch 3B - Other Items'!J16</f>
        <v>11163861</v>
      </c>
      <c r="K292" s="903">
        <f t="shared" si="811"/>
        <v>0</v>
      </c>
      <c r="O292" s="1116">
        <f t="shared" si="812"/>
        <v>21751021.41</v>
      </c>
      <c r="P292" s="1117">
        <f t="shared" si="813"/>
        <v>5597733.3811167069</v>
      </c>
      <c r="Q292" s="1117">
        <f t="shared" si="814"/>
        <v>0</v>
      </c>
      <c r="R292" s="1117">
        <f t="shared" si="815"/>
        <v>16153288.028883293</v>
      </c>
      <c r="S292" s="1073"/>
      <c r="W292" s="1116">
        <f t="shared" si="816"/>
        <v>21751021.41</v>
      </c>
      <c r="X292" s="1117">
        <f t="shared" si="817"/>
        <v>5597733.3811167069</v>
      </c>
      <c r="Y292" s="1117">
        <f t="shared" si="818"/>
        <v>0</v>
      </c>
      <c r="Z292" s="1117">
        <f t="shared" si="819"/>
        <v>16153288.028883293</v>
      </c>
      <c r="AA292" s="1073"/>
      <c r="AE292" s="1116">
        <f t="shared" si="820"/>
        <v>21751021.41</v>
      </c>
      <c r="AF292" s="1117">
        <f t="shared" si="821"/>
        <v>5597733.3811167069</v>
      </c>
      <c r="AG292" s="1117">
        <f t="shared" si="822"/>
        <v>0</v>
      </c>
      <c r="AH292" s="1117">
        <f t="shared" si="823"/>
        <v>16153288.028883293</v>
      </c>
      <c r="AI292" s="1073"/>
      <c r="AM292" s="1116">
        <f t="shared" si="824"/>
        <v>21751021.41</v>
      </c>
      <c r="AN292" s="1117">
        <f t="shared" si="825"/>
        <v>5597733.3811167069</v>
      </c>
      <c r="AO292" s="1117">
        <f t="shared" si="826"/>
        <v>0</v>
      </c>
      <c r="AP292" s="1117">
        <f t="shared" si="827"/>
        <v>16153288.028883293</v>
      </c>
      <c r="AQ292" s="1073"/>
      <c r="AU292" s="1116">
        <f t="shared" si="828"/>
        <v>21751021.41</v>
      </c>
      <c r="AV292" s="1117">
        <f t="shared" si="829"/>
        <v>5597733.3811167069</v>
      </c>
      <c r="AW292" s="1117">
        <f t="shared" si="830"/>
        <v>0</v>
      </c>
      <c r="AX292" s="1117">
        <f t="shared" si="831"/>
        <v>16153288.028883293</v>
      </c>
      <c r="AY292" s="1073"/>
      <c r="BC292" s="1116">
        <f t="shared" si="832"/>
        <v>21751021.41</v>
      </c>
      <c r="BD292" s="1117">
        <f t="shared" si="833"/>
        <v>5597733.3811167069</v>
      </c>
      <c r="BE292" s="1117">
        <f t="shared" si="834"/>
        <v>0</v>
      </c>
      <c r="BF292" s="1117">
        <f t="shared" si="835"/>
        <v>16153288.028883293</v>
      </c>
      <c r="BG292" s="1073"/>
      <c r="BK292" s="1116">
        <f t="shared" si="836"/>
        <v>21751021.41</v>
      </c>
      <c r="BL292" s="1117">
        <f t="shared" si="837"/>
        <v>5597733.3811167069</v>
      </c>
      <c r="BM292" s="1117">
        <f t="shared" si="838"/>
        <v>0</v>
      </c>
      <c r="BN292" s="1117">
        <f t="shared" si="839"/>
        <v>16153288.028883293</v>
      </c>
      <c r="BO292" s="1073"/>
      <c r="BS292" s="1116">
        <f t="shared" si="840"/>
        <v>21751021.41</v>
      </c>
      <c r="BT292" s="1117">
        <f t="shared" si="841"/>
        <v>5597733.3811167069</v>
      </c>
      <c r="BU292" s="1117">
        <f t="shared" si="842"/>
        <v>0</v>
      </c>
      <c r="BV292" s="1117">
        <f t="shared" si="843"/>
        <v>16153288.028883293</v>
      </c>
      <c r="BW292" s="1073"/>
      <c r="CA292" s="1116">
        <f t="shared" si="844"/>
        <v>21751021.41</v>
      </c>
      <c r="CB292" s="1117">
        <f t="shared" si="845"/>
        <v>5597733.3811167069</v>
      </c>
      <c r="CC292" s="1117">
        <f t="shared" si="846"/>
        <v>0</v>
      </c>
      <c r="CD292" s="1117">
        <f t="shared" si="847"/>
        <v>16153288.028883293</v>
      </c>
      <c r="CE292" s="1073"/>
      <c r="CI292" s="1116">
        <f t="shared" si="848"/>
        <v>21751021.41</v>
      </c>
      <c r="CJ292" s="1117">
        <f t="shared" si="849"/>
        <v>5597733.3811167069</v>
      </c>
      <c r="CK292" s="1117">
        <f t="shared" si="850"/>
        <v>0</v>
      </c>
      <c r="CL292" s="1117">
        <f t="shared" si="851"/>
        <v>16153288.028883293</v>
      </c>
      <c r="CM292" s="1073"/>
      <c r="CQ292" s="1116">
        <f t="shared" si="852"/>
        <v>21751021.41</v>
      </c>
      <c r="CR292" s="1117">
        <f t="shared" si="853"/>
        <v>5597733.3811167069</v>
      </c>
      <c r="CS292" s="1117">
        <f t="shared" si="854"/>
        <v>0</v>
      </c>
      <c r="CT292" s="1117">
        <f t="shared" si="855"/>
        <v>16153288.028883293</v>
      </c>
      <c r="CU292" s="1073"/>
      <c r="CY292" s="1116">
        <f t="shared" si="856"/>
        <v>21751021.41</v>
      </c>
      <c r="CZ292" s="1117">
        <f t="shared" si="857"/>
        <v>5597733.3811167069</v>
      </c>
      <c r="DA292" s="1117">
        <f t="shared" si="858"/>
        <v>0</v>
      </c>
      <c r="DB292" s="1117">
        <f t="shared" si="859"/>
        <v>16153288.028883293</v>
      </c>
      <c r="DC292" s="1073"/>
      <c r="DG292" s="1116">
        <f t="shared" si="860"/>
        <v>21751021.41</v>
      </c>
      <c r="DH292" s="1117">
        <f t="shared" si="861"/>
        <v>5597733.3811167069</v>
      </c>
      <c r="DI292" s="1117">
        <f t="shared" si="862"/>
        <v>0</v>
      </c>
      <c r="DJ292" s="1117">
        <f t="shared" si="863"/>
        <v>16153288.028883293</v>
      </c>
      <c r="DK292" s="1073"/>
      <c r="DO292" s="1116">
        <f t="shared" si="864"/>
        <v>21751021.41</v>
      </c>
      <c r="DP292" s="1117">
        <f t="shared" si="865"/>
        <v>5597733.3811167069</v>
      </c>
      <c r="DQ292" s="1117">
        <f t="shared" si="866"/>
        <v>0</v>
      </c>
      <c r="DR292" s="1117">
        <f t="shared" si="867"/>
        <v>16153288.028883293</v>
      </c>
      <c r="DS292" s="1073"/>
      <c r="DW292" s="1116">
        <f t="shared" si="868"/>
        <v>21751021.41</v>
      </c>
      <c r="DX292" s="1117">
        <f t="shared" si="869"/>
        <v>5597733.3811167069</v>
      </c>
      <c r="DY292" s="1117">
        <f t="shared" si="870"/>
        <v>0</v>
      </c>
      <c r="DZ292" s="1117">
        <f t="shared" si="871"/>
        <v>16153288.028883293</v>
      </c>
      <c r="EA292" s="1073"/>
      <c r="EE292" s="1116">
        <f t="shared" si="872"/>
        <v>21751021.41</v>
      </c>
      <c r="EF292" s="1117">
        <f t="shared" si="873"/>
        <v>5597733.3811167069</v>
      </c>
      <c r="EG292" s="1117">
        <f t="shared" si="874"/>
        <v>0</v>
      </c>
      <c r="EH292" s="1117">
        <f t="shared" si="875"/>
        <v>16153288.028883293</v>
      </c>
      <c r="EI292" s="1073"/>
      <c r="EM292" s="1116">
        <f t="shared" si="876"/>
        <v>21751021.41</v>
      </c>
      <c r="EN292" s="1117">
        <f t="shared" si="877"/>
        <v>5597733.3811167069</v>
      </c>
      <c r="EO292" s="1117">
        <f t="shared" si="878"/>
        <v>0</v>
      </c>
      <c r="EP292" s="1117">
        <f t="shared" si="879"/>
        <v>16153288.028883293</v>
      </c>
      <c r="EQ292" s="1073"/>
      <c r="EU292" s="1116">
        <f t="shared" si="880"/>
        <v>21751021.41</v>
      </c>
      <c r="EV292" s="1117">
        <f t="shared" si="881"/>
        <v>5597733.3811167069</v>
      </c>
      <c r="EW292" s="1117">
        <f t="shared" si="882"/>
        <v>0</v>
      </c>
      <c r="EX292" s="1117">
        <f t="shared" si="883"/>
        <v>16153288.028883293</v>
      </c>
      <c r="EY292" s="1073"/>
      <c r="FC292" s="1116">
        <f t="shared" si="884"/>
        <v>21751021.41</v>
      </c>
      <c r="FD292" s="1117">
        <f t="shared" si="885"/>
        <v>5597733.3811167069</v>
      </c>
      <c r="FE292" s="1117">
        <f t="shared" si="886"/>
        <v>0</v>
      </c>
      <c r="FF292" s="1117">
        <f t="shared" si="887"/>
        <v>16153288.028883293</v>
      </c>
      <c r="FG292" s="1073"/>
      <c r="FK292" s="1116">
        <f t="shared" si="888"/>
        <v>21751021.41</v>
      </c>
      <c r="FL292" s="1117">
        <f t="shared" si="889"/>
        <v>5597733.3811167069</v>
      </c>
      <c r="FM292" s="1117">
        <f t="shared" si="890"/>
        <v>0</v>
      </c>
      <c r="FN292" s="1117">
        <f t="shared" si="891"/>
        <v>16153288.028883293</v>
      </c>
      <c r="FO292" s="1073"/>
    </row>
    <row r="293" spans="1:171">
      <c r="A293" s="912"/>
      <c r="B293" s="1032" t="s">
        <v>393</v>
      </c>
      <c r="C293" s="888">
        <v>114</v>
      </c>
      <c r="D293" s="889">
        <v>411.6</v>
      </c>
      <c r="E293" s="182" t="str">
        <f>'Sch 3B - Other Items'!E17</f>
        <v>DIRECT</v>
      </c>
      <c r="F293" s="889"/>
      <c r="G293" s="182">
        <f>'Sch 3B - Other Items'!G17</f>
        <v>0</v>
      </c>
      <c r="H293" s="182">
        <f>'Sch 3B - Other Items'!H17</f>
        <v>0</v>
      </c>
      <c r="I293" s="182">
        <f>'Sch 3B - Other Items'!I17</f>
        <v>0</v>
      </c>
      <c r="J293" s="183">
        <f>'Sch 3B - Other Items'!J17</f>
        <v>0</v>
      </c>
      <c r="K293" s="903">
        <f t="shared" si="811"/>
        <v>0</v>
      </c>
      <c r="O293" s="1116">
        <f t="shared" si="812"/>
        <v>0</v>
      </c>
      <c r="P293" s="1117">
        <f t="shared" si="813"/>
        <v>0</v>
      </c>
      <c r="Q293" s="1117">
        <f t="shared" si="814"/>
        <v>0</v>
      </c>
      <c r="R293" s="1117">
        <f t="shared" si="815"/>
        <v>0</v>
      </c>
      <c r="S293" s="1073"/>
      <c r="W293" s="1116">
        <f t="shared" si="816"/>
        <v>0</v>
      </c>
      <c r="X293" s="1117">
        <f t="shared" si="817"/>
        <v>0</v>
      </c>
      <c r="Y293" s="1117">
        <f t="shared" si="818"/>
        <v>0</v>
      </c>
      <c r="Z293" s="1117">
        <f t="shared" si="819"/>
        <v>0</v>
      </c>
      <c r="AA293" s="1073"/>
      <c r="AE293" s="1116">
        <f t="shared" si="820"/>
        <v>0</v>
      </c>
      <c r="AF293" s="1117">
        <f t="shared" si="821"/>
        <v>0</v>
      </c>
      <c r="AG293" s="1117">
        <f t="shared" si="822"/>
        <v>0</v>
      </c>
      <c r="AH293" s="1117">
        <f t="shared" si="823"/>
        <v>0</v>
      </c>
      <c r="AI293" s="1073"/>
      <c r="AM293" s="1116">
        <f t="shared" si="824"/>
        <v>0</v>
      </c>
      <c r="AN293" s="1117">
        <f t="shared" si="825"/>
        <v>0</v>
      </c>
      <c r="AO293" s="1117">
        <f t="shared" si="826"/>
        <v>0</v>
      </c>
      <c r="AP293" s="1117">
        <f t="shared" si="827"/>
        <v>0</v>
      </c>
      <c r="AQ293" s="1073"/>
      <c r="AU293" s="1116">
        <f t="shared" si="828"/>
        <v>0</v>
      </c>
      <c r="AV293" s="1117">
        <f t="shared" si="829"/>
        <v>0</v>
      </c>
      <c r="AW293" s="1117">
        <f t="shared" si="830"/>
        <v>0</v>
      </c>
      <c r="AX293" s="1117">
        <f t="shared" si="831"/>
        <v>0</v>
      </c>
      <c r="AY293" s="1073"/>
      <c r="BC293" s="1116">
        <f t="shared" si="832"/>
        <v>0</v>
      </c>
      <c r="BD293" s="1117">
        <f t="shared" si="833"/>
        <v>0</v>
      </c>
      <c r="BE293" s="1117">
        <f t="shared" si="834"/>
        <v>0</v>
      </c>
      <c r="BF293" s="1117">
        <f t="shared" si="835"/>
        <v>0</v>
      </c>
      <c r="BG293" s="1073"/>
      <c r="BK293" s="1116">
        <f t="shared" si="836"/>
        <v>0</v>
      </c>
      <c r="BL293" s="1117">
        <f t="shared" si="837"/>
        <v>0</v>
      </c>
      <c r="BM293" s="1117">
        <f t="shared" si="838"/>
        <v>0</v>
      </c>
      <c r="BN293" s="1117">
        <f t="shared" si="839"/>
        <v>0</v>
      </c>
      <c r="BO293" s="1073"/>
      <c r="BS293" s="1116">
        <f t="shared" si="840"/>
        <v>0</v>
      </c>
      <c r="BT293" s="1117">
        <f t="shared" si="841"/>
        <v>0</v>
      </c>
      <c r="BU293" s="1117">
        <f t="shared" si="842"/>
        <v>0</v>
      </c>
      <c r="BV293" s="1117">
        <f t="shared" si="843"/>
        <v>0</v>
      </c>
      <c r="BW293" s="1073"/>
      <c r="CA293" s="1116">
        <f t="shared" si="844"/>
        <v>0</v>
      </c>
      <c r="CB293" s="1117">
        <f t="shared" si="845"/>
        <v>0</v>
      </c>
      <c r="CC293" s="1117">
        <f t="shared" si="846"/>
        <v>0</v>
      </c>
      <c r="CD293" s="1117">
        <f t="shared" si="847"/>
        <v>0</v>
      </c>
      <c r="CE293" s="1073"/>
      <c r="CI293" s="1116">
        <f t="shared" si="848"/>
        <v>0</v>
      </c>
      <c r="CJ293" s="1117">
        <f t="shared" si="849"/>
        <v>0</v>
      </c>
      <c r="CK293" s="1117">
        <f t="shared" si="850"/>
        <v>0</v>
      </c>
      <c r="CL293" s="1117">
        <f t="shared" si="851"/>
        <v>0</v>
      </c>
      <c r="CM293" s="1073"/>
      <c r="CQ293" s="1116">
        <f t="shared" si="852"/>
        <v>0</v>
      </c>
      <c r="CR293" s="1117">
        <f t="shared" si="853"/>
        <v>0</v>
      </c>
      <c r="CS293" s="1117">
        <f t="shared" si="854"/>
        <v>0</v>
      </c>
      <c r="CT293" s="1117">
        <f t="shared" si="855"/>
        <v>0</v>
      </c>
      <c r="CU293" s="1073"/>
      <c r="CY293" s="1116">
        <f t="shared" si="856"/>
        <v>0</v>
      </c>
      <c r="CZ293" s="1117">
        <f t="shared" si="857"/>
        <v>0</v>
      </c>
      <c r="DA293" s="1117">
        <f t="shared" si="858"/>
        <v>0</v>
      </c>
      <c r="DB293" s="1117">
        <f t="shared" si="859"/>
        <v>0</v>
      </c>
      <c r="DC293" s="1073"/>
      <c r="DG293" s="1116">
        <f t="shared" si="860"/>
        <v>0</v>
      </c>
      <c r="DH293" s="1117">
        <f t="shared" si="861"/>
        <v>0</v>
      </c>
      <c r="DI293" s="1117">
        <f t="shared" si="862"/>
        <v>0</v>
      </c>
      <c r="DJ293" s="1117">
        <f t="shared" si="863"/>
        <v>0</v>
      </c>
      <c r="DK293" s="1073"/>
      <c r="DO293" s="1116">
        <f t="shared" si="864"/>
        <v>0</v>
      </c>
      <c r="DP293" s="1117">
        <f t="shared" si="865"/>
        <v>0</v>
      </c>
      <c r="DQ293" s="1117">
        <f t="shared" si="866"/>
        <v>0</v>
      </c>
      <c r="DR293" s="1117">
        <f t="shared" si="867"/>
        <v>0</v>
      </c>
      <c r="DS293" s="1073"/>
      <c r="DW293" s="1116">
        <f t="shared" si="868"/>
        <v>0</v>
      </c>
      <c r="DX293" s="1117">
        <f t="shared" si="869"/>
        <v>0</v>
      </c>
      <c r="DY293" s="1117">
        <f t="shared" si="870"/>
        <v>0</v>
      </c>
      <c r="DZ293" s="1117">
        <f t="shared" si="871"/>
        <v>0</v>
      </c>
      <c r="EA293" s="1073"/>
      <c r="EE293" s="1116">
        <f t="shared" si="872"/>
        <v>0</v>
      </c>
      <c r="EF293" s="1117">
        <f t="shared" si="873"/>
        <v>0</v>
      </c>
      <c r="EG293" s="1117">
        <f t="shared" si="874"/>
        <v>0</v>
      </c>
      <c r="EH293" s="1117">
        <f t="shared" si="875"/>
        <v>0</v>
      </c>
      <c r="EI293" s="1073"/>
      <c r="EM293" s="1116">
        <f t="shared" si="876"/>
        <v>0</v>
      </c>
      <c r="EN293" s="1117">
        <f t="shared" si="877"/>
        <v>0</v>
      </c>
      <c r="EO293" s="1117">
        <f t="shared" si="878"/>
        <v>0</v>
      </c>
      <c r="EP293" s="1117">
        <f t="shared" si="879"/>
        <v>0</v>
      </c>
      <c r="EQ293" s="1073"/>
      <c r="EU293" s="1116">
        <f t="shared" si="880"/>
        <v>0</v>
      </c>
      <c r="EV293" s="1117">
        <f t="shared" si="881"/>
        <v>0</v>
      </c>
      <c r="EW293" s="1117">
        <f t="shared" si="882"/>
        <v>0</v>
      </c>
      <c r="EX293" s="1117">
        <f t="shared" si="883"/>
        <v>0</v>
      </c>
      <c r="EY293" s="1073"/>
      <c r="FC293" s="1116">
        <f t="shared" si="884"/>
        <v>0</v>
      </c>
      <c r="FD293" s="1117">
        <f t="shared" si="885"/>
        <v>0</v>
      </c>
      <c r="FE293" s="1117">
        <f t="shared" si="886"/>
        <v>0</v>
      </c>
      <c r="FF293" s="1117">
        <f t="shared" si="887"/>
        <v>0</v>
      </c>
      <c r="FG293" s="1073"/>
      <c r="FK293" s="1116">
        <f t="shared" si="888"/>
        <v>0</v>
      </c>
      <c r="FL293" s="1117">
        <f t="shared" si="889"/>
        <v>0</v>
      </c>
      <c r="FM293" s="1117">
        <f t="shared" si="890"/>
        <v>0</v>
      </c>
      <c r="FN293" s="1117">
        <f t="shared" si="891"/>
        <v>0</v>
      </c>
      <c r="FO293" s="1073"/>
    </row>
    <row r="294" spans="1:171">
      <c r="A294" s="912"/>
      <c r="B294" s="1033" t="s">
        <v>634</v>
      </c>
      <c r="C294" s="888">
        <v>114</v>
      </c>
      <c r="D294" s="889" t="s">
        <v>42</v>
      </c>
      <c r="E294" s="182" t="str">
        <f>'Sch 3B - Other Items'!E18</f>
        <v>DIRECT</v>
      </c>
      <c r="F294" s="889"/>
      <c r="G294" s="182">
        <f>'Sch 3B - Other Items'!G18</f>
        <v>0</v>
      </c>
      <c r="H294" s="182">
        <f>'Sch 3B - Other Items'!H18</f>
        <v>0</v>
      </c>
      <c r="I294" s="182">
        <f>'Sch 3B - Other Items'!I18</f>
        <v>0</v>
      </c>
      <c r="J294" s="183">
        <f>'Sch 3B - Other Items'!J18</f>
        <v>0</v>
      </c>
      <c r="K294" s="903">
        <f t="shared" si="811"/>
        <v>0</v>
      </c>
      <c r="O294" s="1116">
        <f t="shared" si="812"/>
        <v>0</v>
      </c>
      <c r="P294" s="1117">
        <f t="shared" si="813"/>
        <v>0</v>
      </c>
      <c r="Q294" s="1117">
        <f t="shared" si="814"/>
        <v>0</v>
      </c>
      <c r="R294" s="1117">
        <f t="shared" si="815"/>
        <v>0</v>
      </c>
      <c r="S294" s="1073"/>
      <c r="W294" s="1116">
        <f t="shared" si="816"/>
        <v>0</v>
      </c>
      <c r="X294" s="1117">
        <f t="shared" si="817"/>
        <v>0</v>
      </c>
      <c r="Y294" s="1117">
        <f t="shared" si="818"/>
        <v>0</v>
      </c>
      <c r="Z294" s="1117">
        <f t="shared" si="819"/>
        <v>0</v>
      </c>
      <c r="AA294" s="1073"/>
      <c r="AE294" s="1116">
        <f t="shared" si="820"/>
        <v>0</v>
      </c>
      <c r="AF294" s="1117">
        <f t="shared" si="821"/>
        <v>0</v>
      </c>
      <c r="AG294" s="1117">
        <f t="shared" si="822"/>
        <v>0</v>
      </c>
      <c r="AH294" s="1117">
        <f t="shared" si="823"/>
        <v>0</v>
      </c>
      <c r="AI294" s="1073"/>
      <c r="AM294" s="1116">
        <f t="shared" si="824"/>
        <v>0</v>
      </c>
      <c r="AN294" s="1117">
        <f t="shared" si="825"/>
        <v>0</v>
      </c>
      <c r="AO294" s="1117">
        <f t="shared" si="826"/>
        <v>0</v>
      </c>
      <c r="AP294" s="1117">
        <f t="shared" si="827"/>
        <v>0</v>
      </c>
      <c r="AQ294" s="1073"/>
      <c r="AU294" s="1116">
        <f t="shared" si="828"/>
        <v>0</v>
      </c>
      <c r="AV294" s="1117">
        <f t="shared" si="829"/>
        <v>0</v>
      </c>
      <c r="AW294" s="1117">
        <f t="shared" si="830"/>
        <v>0</v>
      </c>
      <c r="AX294" s="1117">
        <f t="shared" si="831"/>
        <v>0</v>
      </c>
      <c r="AY294" s="1073"/>
      <c r="BC294" s="1116">
        <f t="shared" si="832"/>
        <v>0</v>
      </c>
      <c r="BD294" s="1117">
        <f t="shared" si="833"/>
        <v>0</v>
      </c>
      <c r="BE294" s="1117">
        <f t="shared" si="834"/>
        <v>0</v>
      </c>
      <c r="BF294" s="1117">
        <f t="shared" si="835"/>
        <v>0</v>
      </c>
      <c r="BG294" s="1073"/>
      <c r="BK294" s="1116">
        <f t="shared" si="836"/>
        <v>0</v>
      </c>
      <c r="BL294" s="1117">
        <f t="shared" si="837"/>
        <v>0</v>
      </c>
      <c r="BM294" s="1117">
        <f t="shared" si="838"/>
        <v>0</v>
      </c>
      <c r="BN294" s="1117">
        <f t="shared" si="839"/>
        <v>0</v>
      </c>
      <c r="BO294" s="1073"/>
      <c r="BS294" s="1116">
        <f t="shared" si="840"/>
        <v>0</v>
      </c>
      <c r="BT294" s="1117">
        <f t="shared" si="841"/>
        <v>0</v>
      </c>
      <c r="BU294" s="1117">
        <f t="shared" si="842"/>
        <v>0</v>
      </c>
      <c r="BV294" s="1117">
        <f t="shared" si="843"/>
        <v>0</v>
      </c>
      <c r="BW294" s="1073"/>
      <c r="CA294" s="1116">
        <f t="shared" si="844"/>
        <v>0</v>
      </c>
      <c r="CB294" s="1117">
        <f t="shared" si="845"/>
        <v>0</v>
      </c>
      <c r="CC294" s="1117">
        <f t="shared" si="846"/>
        <v>0</v>
      </c>
      <c r="CD294" s="1117">
        <f t="shared" si="847"/>
        <v>0</v>
      </c>
      <c r="CE294" s="1073"/>
      <c r="CI294" s="1116">
        <f t="shared" si="848"/>
        <v>0</v>
      </c>
      <c r="CJ294" s="1117">
        <f t="shared" si="849"/>
        <v>0</v>
      </c>
      <c r="CK294" s="1117">
        <f t="shared" si="850"/>
        <v>0</v>
      </c>
      <c r="CL294" s="1117">
        <f t="shared" si="851"/>
        <v>0</v>
      </c>
      <c r="CM294" s="1073"/>
      <c r="CQ294" s="1116">
        <f t="shared" si="852"/>
        <v>0</v>
      </c>
      <c r="CR294" s="1117">
        <f t="shared" si="853"/>
        <v>0</v>
      </c>
      <c r="CS294" s="1117">
        <f t="shared" si="854"/>
        <v>0</v>
      </c>
      <c r="CT294" s="1117">
        <f t="shared" si="855"/>
        <v>0</v>
      </c>
      <c r="CU294" s="1073"/>
      <c r="CY294" s="1116">
        <f t="shared" si="856"/>
        <v>0</v>
      </c>
      <c r="CZ294" s="1117">
        <f t="shared" si="857"/>
        <v>0</v>
      </c>
      <c r="DA294" s="1117">
        <f t="shared" si="858"/>
        <v>0</v>
      </c>
      <c r="DB294" s="1117">
        <f t="shared" si="859"/>
        <v>0</v>
      </c>
      <c r="DC294" s="1073"/>
      <c r="DG294" s="1116">
        <f t="shared" si="860"/>
        <v>0</v>
      </c>
      <c r="DH294" s="1117">
        <f t="shared" si="861"/>
        <v>0</v>
      </c>
      <c r="DI294" s="1117">
        <f t="shared" si="862"/>
        <v>0</v>
      </c>
      <c r="DJ294" s="1117">
        <f t="shared" si="863"/>
        <v>0</v>
      </c>
      <c r="DK294" s="1073"/>
      <c r="DO294" s="1116">
        <f t="shared" si="864"/>
        <v>0</v>
      </c>
      <c r="DP294" s="1117">
        <f t="shared" si="865"/>
        <v>0</v>
      </c>
      <c r="DQ294" s="1117">
        <f t="shared" si="866"/>
        <v>0</v>
      </c>
      <c r="DR294" s="1117">
        <f t="shared" si="867"/>
        <v>0</v>
      </c>
      <c r="DS294" s="1073"/>
      <c r="DW294" s="1116">
        <f t="shared" si="868"/>
        <v>0</v>
      </c>
      <c r="DX294" s="1117">
        <f t="shared" si="869"/>
        <v>0</v>
      </c>
      <c r="DY294" s="1117">
        <f t="shared" si="870"/>
        <v>0</v>
      </c>
      <c r="DZ294" s="1117">
        <f t="shared" si="871"/>
        <v>0</v>
      </c>
      <c r="EA294" s="1073"/>
      <c r="EE294" s="1116">
        <f t="shared" si="872"/>
        <v>0</v>
      </c>
      <c r="EF294" s="1117">
        <f t="shared" si="873"/>
        <v>0</v>
      </c>
      <c r="EG294" s="1117">
        <f t="shared" si="874"/>
        <v>0</v>
      </c>
      <c r="EH294" s="1117">
        <f t="shared" si="875"/>
        <v>0</v>
      </c>
      <c r="EI294" s="1073"/>
      <c r="EM294" s="1116">
        <f t="shared" si="876"/>
        <v>0</v>
      </c>
      <c r="EN294" s="1117">
        <f t="shared" si="877"/>
        <v>0</v>
      </c>
      <c r="EO294" s="1117">
        <f t="shared" si="878"/>
        <v>0</v>
      </c>
      <c r="EP294" s="1117">
        <f t="shared" si="879"/>
        <v>0</v>
      </c>
      <c r="EQ294" s="1073"/>
      <c r="EU294" s="1116">
        <f t="shared" si="880"/>
        <v>0</v>
      </c>
      <c r="EV294" s="1117">
        <f t="shared" si="881"/>
        <v>0</v>
      </c>
      <c r="EW294" s="1117">
        <f t="shared" si="882"/>
        <v>0</v>
      </c>
      <c r="EX294" s="1117">
        <f t="shared" si="883"/>
        <v>0</v>
      </c>
      <c r="EY294" s="1073"/>
      <c r="FC294" s="1116">
        <f t="shared" si="884"/>
        <v>0</v>
      </c>
      <c r="FD294" s="1117">
        <f t="shared" si="885"/>
        <v>0</v>
      </c>
      <c r="FE294" s="1117">
        <f t="shared" si="886"/>
        <v>0</v>
      </c>
      <c r="FF294" s="1117">
        <f t="shared" si="887"/>
        <v>0</v>
      </c>
      <c r="FG294" s="1073"/>
      <c r="FK294" s="1116">
        <f t="shared" si="888"/>
        <v>0</v>
      </c>
      <c r="FL294" s="1117">
        <f t="shared" si="889"/>
        <v>0</v>
      </c>
      <c r="FM294" s="1117">
        <f t="shared" si="890"/>
        <v>0</v>
      </c>
      <c r="FN294" s="1117">
        <f t="shared" si="891"/>
        <v>0</v>
      </c>
      <c r="FO294" s="1073"/>
    </row>
    <row r="295" spans="1:171">
      <c r="A295" s="912"/>
      <c r="B295" s="1032" t="s">
        <v>394</v>
      </c>
      <c r="C295" s="888">
        <v>114</v>
      </c>
      <c r="D295" s="889">
        <v>411.8</v>
      </c>
      <c r="E295" s="182" t="str">
        <f>'Sch 3B - Other Items'!E19</f>
        <v>PROD</v>
      </c>
      <c r="F295" s="889"/>
      <c r="G295" s="182">
        <f>'Sch 3B - Other Items'!G19</f>
        <v>0</v>
      </c>
      <c r="H295" s="182">
        <f>'Sch 3B - Other Items'!H19</f>
        <v>0</v>
      </c>
      <c r="I295" s="182">
        <f>'Sch 3B - Other Items'!I19</f>
        <v>0</v>
      </c>
      <c r="J295" s="183">
        <f>'Sch 3B - Other Items'!J19</f>
        <v>0</v>
      </c>
      <c r="K295" s="903">
        <f t="shared" si="811"/>
        <v>1</v>
      </c>
      <c r="O295" s="1116">
        <f t="shared" si="812"/>
        <v>0</v>
      </c>
      <c r="P295" s="1117">
        <f t="shared" si="813"/>
        <v>0</v>
      </c>
      <c r="Q295" s="1117">
        <f t="shared" si="814"/>
        <v>0</v>
      </c>
      <c r="R295" s="1117">
        <f t="shared" si="815"/>
        <v>0</v>
      </c>
      <c r="S295" s="1073"/>
      <c r="W295" s="1116">
        <f t="shared" si="816"/>
        <v>0</v>
      </c>
      <c r="X295" s="1117">
        <f t="shared" si="817"/>
        <v>0</v>
      </c>
      <c r="Y295" s="1117">
        <f t="shared" si="818"/>
        <v>0</v>
      </c>
      <c r="Z295" s="1117">
        <f t="shared" si="819"/>
        <v>0</v>
      </c>
      <c r="AA295" s="1073"/>
      <c r="AE295" s="1116">
        <f t="shared" si="820"/>
        <v>0</v>
      </c>
      <c r="AF295" s="1117">
        <f t="shared" si="821"/>
        <v>0</v>
      </c>
      <c r="AG295" s="1117">
        <f t="shared" si="822"/>
        <v>0</v>
      </c>
      <c r="AH295" s="1117">
        <f t="shared" si="823"/>
        <v>0</v>
      </c>
      <c r="AI295" s="1073"/>
      <c r="AM295" s="1116">
        <f t="shared" si="824"/>
        <v>0</v>
      </c>
      <c r="AN295" s="1117">
        <f t="shared" si="825"/>
        <v>0</v>
      </c>
      <c r="AO295" s="1117">
        <f t="shared" si="826"/>
        <v>0</v>
      </c>
      <c r="AP295" s="1117">
        <f t="shared" si="827"/>
        <v>0</v>
      </c>
      <c r="AQ295" s="1073"/>
      <c r="AU295" s="1116">
        <f t="shared" si="828"/>
        <v>0</v>
      </c>
      <c r="AV295" s="1117">
        <f t="shared" si="829"/>
        <v>0</v>
      </c>
      <c r="AW295" s="1117">
        <f t="shared" si="830"/>
        <v>0</v>
      </c>
      <c r="AX295" s="1117">
        <f t="shared" si="831"/>
        <v>0</v>
      </c>
      <c r="AY295" s="1073"/>
      <c r="BC295" s="1116">
        <f t="shared" si="832"/>
        <v>0</v>
      </c>
      <c r="BD295" s="1117">
        <f t="shared" si="833"/>
        <v>0</v>
      </c>
      <c r="BE295" s="1117">
        <f t="shared" si="834"/>
        <v>0</v>
      </c>
      <c r="BF295" s="1117">
        <f t="shared" si="835"/>
        <v>0</v>
      </c>
      <c r="BG295" s="1073"/>
      <c r="BK295" s="1116">
        <f t="shared" si="836"/>
        <v>0</v>
      </c>
      <c r="BL295" s="1117">
        <f t="shared" si="837"/>
        <v>0</v>
      </c>
      <c r="BM295" s="1117">
        <f t="shared" si="838"/>
        <v>0</v>
      </c>
      <c r="BN295" s="1117">
        <f t="shared" si="839"/>
        <v>0</v>
      </c>
      <c r="BO295" s="1073"/>
      <c r="BS295" s="1116">
        <f t="shared" si="840"/>
        <v>0</v>
      </c>
      <c r="BT295" s="1117">
        <f t="shared" si="841"/>
        <v>0</v>
      </c>
      <c r="BU295" s="1117">
        <f t="shared" si="842"/>
        <v>0</v>
      </c>
      <c r="BV295" s="1117">
        <f t="shared" si="843"/>
        <v>0</v>
      </c>
      <c r="BW295" s="1073"/>
      <c r="CA295" s="1116">
        <f t="shared" si="844"/>
        <v>0</v>
      </c>
      <c r="CB295" s="1117">
        <f t="shared" si="845"/>
        <v>0</v>
      </c>
      <c r="CC295" s="1117">
        <f t="shared" si="846"/>
        <v>0</v>
      </c>
      <c r="CD295" s="1117">
        <f t="shared" si="847"/>
        <v>0</v>
      </c>
      <c r="CE295" s="1073"/>
      <c r="CI295" s="1116">
        <f t="shared" si="848"/>
        <v>0</v>
      </c>
      <c r="CJ295" s="1117">
        <f t="shared" si="849"/>
        <v>0</v>
      </c>
      <c r="CK295" s="1117">
        <f t="shared" si="850"/>
        <v>0</v>
      </c>
      <c r="CL295" s="1117">
        <f t="shared" si="851"/>
        <v>0</v>
      </c>
      <c r="CM295" s="1073"/>
      <c r="CQ295" s="1116">
        <f t="shared" si="852"/>
        <v>0</v>
      </c>
      <c r="CR295" s="1117">
        <f t="shared" si="853"/>
        <v>0</v>
      </c>
      <c r="CS295" s="1117">
        <f t="shared" si="854"/>
        <v>0</v>
      </c>
      <c r="CT295" s="1117">
        <f t="shared" si="855"/>
        <v>0</v>
      </c>
      <c r="CU295" s="1073"/>
      <c r="CY295" s="1116">
        <f t="shared" si="856"/>
        <v>0</v>
      </c>
      <c r="CZ295" s="1117">
        <f t="shared" si="857"/>
        <v>0</v>
      </c>
      <c r="DA295" s="1117">
        <f t="shared" si="858"/>
        <v>0</v>
      </c>
      <c r="DB295" s="1117">
        <f t="shared" si="859"/>
        <v>0</v>
      </c>
      <c r="DC295" s="1073"/>
      <c r="DG295" s="1116">
        <f t="shared" si="860"/>
        <v>0</v>
      </c>
      <c r="DH295" s="1117">
        <f t="shared" si="861"/>
        <v>0</v>
      </c>
      <c r="DI295" s="1117">
        <f t="shared" si="862"/>
        <v>0</v>
      </c>
      <c r="DJ295" s="1117">
        <f t="shared" si="863"/>
        <v>0</v>
      </c>
      <c r="DK295" s="1073"/>
      <c r="DO295" s="1116">
        <f t="shared" si="864"/>
        <v>0</v>
      </c>
      <c r="DP295" s="1117">
        <f t="shared" si="865"/>
        <v>0</v>
      </c>
      <c r="DQ295" s="1117">
        <f t="shared" si="866"/>
        <v>0</v>
      </c>
      <c r="DR295" s="1117">
        <f t="shared" si="867"/>
        <v>0</v>
      </c>
      <c r="DS295" s="1073"/>
      <c r="DW295" s="1116">
        <f t="shared" si="868"/>
        <v>0</v>
      </c>
      <c r="DX295" s="1117">
        <f t="shared" si="869"/>
        <v>0</v>
      </c>
      <c r="DY295" s="1117">
        <f t="shared" si="870"/>
        <v>0</v>
      </c>
      <c r="DZ295" s="1117">
        <f t="shared" si="871"/>
        <v>0</v>
      </c>
      <c r="EA295" s="1073"/>
      <c r="EE295" s="1116">
        <f t="shared" si="872"/>
        <v>0</v>
      </c>
      <c r="EF295" s="1117">
        <f t="shared" si="873"/>
        <v>0</v>
      </c>
      <c r="EG295" s="1117">
        <f t="shared" si="874"/>
        <v>0</v>
      </c>
      <c r="EH295" s="1117">
        <f t="shared" si="875"/>
        <v>0</v>
      </c>
      <c r="EI295" s="1073"/>
      <c r="EM295" s="1116">
        <f t="shared" si="876"/>
        <v>0</v>
      </c>
      <c r="EN295" s="1117">
        <f t="shared" si="877"/>
        <v>0</v>
      </c>
      <c r="EO295" s="1117">
        <f t="shared" si="878"/>
        <v>0</v>
      </c>
      <c r="EP295" s="1117">
        <f t="shared" si="879"/>
        <v>0</v>
      </c>
      <c r="EQ295" s="1073"/>
      <c r="EU295" s="1116">
        <f t="shared" si="880"/>
        <v>0</v>
      </c>
      <c r="EV295" s="1117">
        <f t="shared" si="881"/>
        <v>0</v>
      </c>
      <c r="EW295" s="1117">
        <f t="shared" si="882"/>
        <v>0</v>
      </c>
      <c r="EX295" s="1117">
        <f t="shared" si="883"/>
        <v>0</v>
      </c>
      <c r="EY295" s="1073"/>
      <c r="FC295" s="1116">
        <f t="shared" si="884"/>
        <v>0</v>
      </c>
      <c r="FD295" s="1117">
        <f t="shared" si="885"/>
        <v>0</v>
      </c>
      <c r="FE295" s="1117">
        <f t="shared" si="886"/>
        <v>0</v>
      </c>
      <c r="FF295" s="1117">
        <f t="shared" si="887"/>
        <v>0</v>
      </c>
      <c r="FG295" s="1073"/>
      <c r="FK295" s="1116">
        <f t="shared" si="888"/>
        <v>0</v>
      </c>
      <c r="FL295" s="1117">
        <f t="shared" si="889"/>
        <v>0</v>
      </c>
      <c r="FM295" s="1117">
        <f t="shared" si="890"/>
        <v>0</v>
      </c>
      <c r="FN295" s="1117">
        <f t="shared" si="891"/>
        <v>0</v>
      </c>
      <c r="FO295" s="1073"/>
    </row>
    <row r="296" spans="1:171">
      <c r="A296" s="912"/>
      <c r="B296" s="1033" t="s">
        <v>635</v>
      </c>
      <c r="C296" s="888">
        <v>114</v>
      </c>
      <c r="D296" s="889">
        <v>411.9</v>
      </c>
      <c r="E296" s="182" t="str">
        <f>'Sch 3B - Other Items'!E20</f>
        <v>PROD</v>
      </c>
      <c r="F296" s="889"/>
      <c r="G296" s="182">
        <f>'Sch 3B - Other Items'!G20</f>
        <v>0</v>
      </c>
      <c r="H296" s="182">
        <f>'Sch 3B - Other Items'!H20</f>
        <v>0</v>
      </c>
      <c r="I296" s="182">
        <f>'Sch 3B - Other Items'!I20</f>
        <v>0</v>
      </c>
      <c r="J296" s="183">
        <f>'Sch 3B - Other Items'!J20</f>
        <v>0</v>
      </c>
      <c r="K296" s="903">
        <f t="shared" si="811"/>
        <v>1</v>
      </c>
      <c r="O296" s="1116">
        <f t="shared" si="812"/>
        <v>0</v>
      </c>
      <c r="P296" s="1117">
        <f t="shared" si="813"/>
        <v>0</v>
      </c>
      <c r="Q296" s="1117">
        <f t="shared" si="814"/>
        <v>0</v>
      </c>
      <c r="R296" s="1117">
        <f t="shared" si="815"/>
        <v>0</v>
      </c>
      <c r="S296" s="1073"/>
      <c r="W296" s="1116">
        <f t="shared" si="816"/>
        <v>0</v>
      </c>
      <c r="X296" s="1117">
        <f t="shared" si="817"/>
        <v>0</v>
      </c>
      <c r="Y296" s="1117">
        <f t="shared" si="818"/>
        <v>0</v>
      </c>
      <c r="Z296" s="1117">
        <f t="shared" si="819"/>
        <v>0</v>
      </c>
      <c r="AA296" s="1073"/>
      <c r="AE296" s="1116">
        <f t="shared" si="820"/>
        <v>0</v>
      </c>
      <c r="AF296" s="1117">
        <f t="shared" si="821"/>
        <v>0</v>
      </c>
      <c r="AG296" s="1117">
        <f t="shared" si="822"/>
        <v>0</v>
      </c>
      <c r="AH296" s="1117">
        <f t="shared" si="823"/>
        <v>0</v>
      </c>
      <c r="AI296" s="1073"/>
      <c r="AM296" s="1116">
        <f t="shared" si="824"/>
        <v>0</v>
      </c>
      <c r="AN296" s="1117">
        <f t="shared" si="825"/>
        <v>0</v>
      </c>
      <c r="AO296" s="1117">
        <f t="shared" si="826"/>
        <v>0</v>
      </c>
      <c r="AP296" s="1117">
        <f t="shared" si="827"/>
        <v>0</v>
      </c>
      <c r="AQ296" s="1073"/>
      <c r="AU296" s="1116">
        <f t="shared" si="828"/>
        <v>0</v>
      </c>
      <c r="AV296" s="1117">
        <f t="shared" si="829"/>
        <v>0</v>
      </c>
      <c r="AW296" s="1117">
        <f t="shared" si="830"/>
        <v>0</v>
      </c>
      <c r="AX296" s="1117">
        <f t="shared" si="831"/>
        <v>0</v>
      </c>
      <c r="AY296" s="1073"/>
      <c r="BC296" s="1116">
        <f t="shared" si="832"/>
        <v>0</v>
      </c>
      <c r="BD296" s="1117">
        <f t="shared" si="833"/>
        <v>0</v>
      </c>
      <c r="BE296" s="1117">
        <f t="shared" si="834"/>
        <v>0</v>
      </c>
      <c r="BF296" s="1117">
        <f t="shared" si="835"/>
        <v>0</v>
      </c>
      <c r="BG296" s="1073"/>
      <c r="BK296" s="1116">
        <f t="shared" si="836"/>
        <v>0</v>
      </c>
      <c r="BL296" s="1117">
        <f t="shared" si="837"/>
        <v>0</v>
      </c>
      <c r="BM296" s="1117">
        <f t="shared" si="838"/>
        <v>0</v>
      </c>
      <c r="BN296" s="1117">
        <f t="shared" si="839"/>
        <v>0</v>
      </c>
      <c r="BO296" s="1073"/>
      <c r="BS296" s="1116">
        <f t="shared" si="840"/>
        <v>0</v>
      </c>
      <c r="BT296" s="1117">
        <f t="shared" si="841"/>
        <v>0</v>
      </c>
      <c r="BU296" s="1117">
        <f t="shared" si="842"/>
        <v>0</v>
      </c>
      <c r="BV296" s="1117">
        <f t="shared" si="843"/>
        <v>0</v>
      </c>
      <c r="BW296" s="1073"/>
      <c r="CA296" s="1116">
        <f t="shared" si="844"/>
        <v>0</v>
      </c>
      <c r="CB296" s="1117">
        <f t="shared" si="845"/>
        <v>0</v>
      </c>
      <c r="CC296" s="1117">
        <f t="shared" si="846"/>
        <v>0</v>
      </c>
      <c r="CD296" s="1117">
        <f t="shared" si="847"/>
        <v>0</v>
      </c>
      <c r="CE296" s="1073"/>
      <c r="CI296" s="1116">
        <f t="shared" si="848"/>
        <v>0</v>
      </c>
      <c r="CJ296" s="1117">
        <f t="shared" si="849"/>
        <v>0</v>
      </c>
      <c r="CK296" s="1117">
        <f t="shared" si="850"/>
        <v>0</v>
      </c>
      <c r="CL296" s="1117">
        <f t="shared" si="851"/>
        <v>0</v>
      </c>
      <c r="CM296" s="1073"/>
      <c r="CQ296" s="1116">
        <f t="shared" si="852"/>
        <v>0</v>
      </c>
      <c r="CR296" s="1117">
        <f t="shared" si="853"/>
        <v>0</v>
      </c>
      <c r="CS296" s="1117">
        <f t="shared" si="854"/>
        <v>0</v>
      </c>
      <c r="CT296" s="1117">
        <f t="shared" si="855"/>
        <v>0</v>
      </c>
      <c r="CU296" s="1073"/>
      <c r="CY296" s="1116">
        <f t="shared" si="856"/>
        <v>0</v>
      </c>
      <c r="CZ296" s="1117">
        <f t="shared" si="857"/>
        <v>0</v>
      </c>
      <c r="DA296" s="1117">
        <f t="shared" si="858"/>
        <v>0</v>
      </c>
      <c r="DB296" s="1117">
        <f t="shared" si="859"/>
        <v>0</v>
      </c>
      <c r="DC296" s="1073"/>
      <c r="DG296" s="1116">
        <f t="shared" si="860"/>
        <v>0</v>
      </c>
      <c r="DH296" s="1117">
        <f t="shared" si="861"/>
        <v>0</v>
      </c>
      <c r="DI296" s="1117">
        <f t="shared" si="862"/>
        <v>0</v>
      </c>
      <c r="DJ296" s="1117">
        <f t="shared" si="863"/>
        <v>0</v>
      </c>
      <c r="DK296" s="1073"/>
      <c r="DO296" s="1116">
        <f t="shared" si="864"/>
        <v>0</v>
      </c>
      <c r="DP296" s="1117">
        <f t="shared" si="865"/>
        <v>0</v>
      </c>
      <c r="DQ296" s="1117">
        <f t="shared" si="866"/>
        <v>0</v>
      </c>
      <c r="DR296" s="1117">
        <f t="shared" si="867"/>
        <v>0</v>
      </c>
      <c r="DS296" s="1073"/>
      <c r="DW296" s="1116">
        <f t="shared" si="868"/>
        <v>0</v>
      </c>
      <c r="DX296" s="1117">
        <f t="shared" si="869"/>
        <v>0</v>
      </c>
      <c r="DY296" s="1117">
        <f t="shared" si="870"/>
        <v>0</v>
      </c>
      <c r="DZ296" s="1117">
        <f t="shared" si="871"/>
        <v>0</v>
      </c>
      <c r="EA296" s="1073"/>
      <c r="EE296" s="1116">
        <f t="shared" si="872"/>
        <v>0</v>
      </c>
      <c r="EF296" s="1117">
        <f t="shared" si="873"/>
        <v>0</v>
      </c>
      <c r="EG296" s="1117">
        <f t="shared" si="874"/>
        <v>0</v>
      </c>
      <c r="EH296" s="1117">
        <f t="shared" si="875"/>
        <v>0</v>
      </c>
      <c r="EI296" s="1073"/>
      <c r="EM296" s="1116">
        <f t="shared" si="876"/>
        <v>0</v>
      </c>
      <c r="EN296" s="1117">
        <f t="shared" si="877"/>
        <v>0</v>
      </c>
      <c r="EO296" s="1117">
        <f t="shared" si="878"/>
        <v>0</v>
      </c>
      <c r="EP296" s="1117">
        <f t="shared" si="879"/>
        <v>0</v>
      </c>
      <c r="EQ296" s="1073"/>
      <c r="EU296" s="1116">
        <f t="shared" si="880"/>
        <v>0</v>
      </c>
      <c r="EV296" s="1117">
        <f t="shared" si="881"/>
        <v>0</v>
      </c>
      <c r="EW296" s="1117">
        <f t="shared" si="882"/>
        <v>0</v>
      </c>
      <c r="EX296" s="1117">
        <f t="shared" si="883"/>
        <v>0</v>
      </c>
      <c r="EY296" s="1073"/>
      <c r="FC296" s="1116">
        <f t="shared" si="884"/>
        <v>0</v>
      </c>
      <c r="FD296" s="1117">
        <f t="shared" si="885"/>
        <v>0</v>
      </c>
      <c r="FE296" s="1117">
        <f t="shared" si="886"/>
        <v>0</v>
      </c>
      <c r="FF296" s="1117">
        <f t="shared" si="887"/>
        <v>0</v>
      </c>
      <c r="FG296" s="1073"/>
      <c r="FK296" s="1116">
        <f t="shared" si="888"/>
        <v>0</v>
      </c>
      <c r="FL296" s="1117">
        <f t="shared" si="889"/>
        <v>0</v>
      </c>
      <c r="FM296" s="1117">
        <f t="shared" si="890"/>
        <v>0</v>
      </c>
      <c r="FN296" s="1117">
        <f t="shared" si="891"/>
        <v>0</v>
      </c>
      <c r="FO296" s="1073"/>
    </row>
    <row r="297" spans="1:171">
      <c r="A297" s="912"/>
      <c r="B297" s="1032" t="s">
        <v>181</v>
      </c>
      <c r="C297" s="888">
        <v>114</v>
      </c>
      <c r="D297" s="889">
        <v>421</v>
      </c>
      <c r="E297" s="182" t="str">
        <f>'Sch 3B - Other Items'!E21</f>
        <v>DIRECT</v>
      </c>
      <c r="F297" s="889"/>
      <c r="G297" s="182">
        <f>'Sch 3B - Other Items'!G21</f>
        <v>0</v>
      </c>
      <c r="H297" s="182">
        <f>'Sch 3B - Other Items'!H21</f>
        <v>0</v>
      </c>
      <c r="I297" s="182">
        <f>'Sch 3B - Other Items'!I21</f>
        <v>0</v>
      </c>
      <c r="J297" s="183">
        <f>'Sch 3B - Other Items'!J21</f>
        <v>0</v>
      </c>
      <c r="K297" s="903">
        <f t="shared" si="811"/>
        <v>0</v>
      </c>
      <c r="O297" s="1116">
        <f t="shared" si="812"/>
        <v>0</v>
      </c>
      <c r="P297" s="1117">
        <f t="shared" si="813"/>
        <v>0</v>
      </c>
      <c r="Q297" s="1117">
        <f t="shared" si="814"/>
        <v>0</v>
      </c>
      <c r="R297" s="1117">
        <f t="shared" si="815"/>
        <v>0</v>
      </c>
      <c r="S297" s="1073"/>
      <c r="W297" s="1116">
        <f t="shared" si="816"/>
        <v>0</v>
      </c>
      <c r="X297" s="1117">
        <f t="shared" si="817"/>
        <v>0</v>
      </c>
      <c r="Y297" s="1117">
        <f t="shared" si="818"/>
        <v>0</v>
      </c>
      <c r="Z297" s="1117">
        <f t="shared" si="819"/>
        <v>0</v>
      </c>
      <c r="AA297" s="1073"/>
      <c r="AE297" s="1116">
        <f t="shared" si="820"/>
        <v>0</v>
      </c>
      <c r="AF297" s="1117">
        <f t="shared" si="821"/>
        <v>0</v>
      </c>
      <c r="AG297" s="1117">
        <f t="shared" si="822"/>
        <v>0</v>
      </c>
      <c r="AH297" s="1117">
        <f t="shared" si="823"/>
        <v>0</v>
      </c>
      <c r="AI297" s="1073"/>
      <c r="AM297" s="1116">
        <f t="shared" si="824"/>
        <v>0</v>
      </c>
      <c r="AN297" s="1117">
        <f t="shared" si="825"/>
        <v>0</v>
      </c>
      <c r="AO297" s="1117">
        <f t="shared" si="826"/>
        <v>0</v>
      </c>
      <c r="AP297" s="1117">
        <f t="shared" si="827"/>
        <v>0</v>
      </c>
      <c r="AQ297" s="1073"/>
      <c r="AU297" s="1116">
        <f t="shared" si="828"/>
        <v>0</v>
      </c>
      <c r="AV297" s="1117">
        <f t="shared" si="829"/>
        <v>0</v>
      </c>
      <c r="AW297" s="1117">
        <f t="shared" si="830"/>
        <v>0</v>
      </c>
      <c r="AX297" s="1117">
        <f t="shared" si="831"/>
        <v>0</v>
      </c>
      <c r="AY297" s="1073"/>
      <c r="BC297" s="1116">
        <f t="shared" si="832"/>
        <v>0</v>
      </c>
      <c r="BD297" s="1117">
        <f t="shared" si="833"/>
        <v>0</v>
      </c>
      <c r="BE297" s="1117">
        <f t="shared" si="834"/>
        <v>0</v>
      </c>
      <c r="BF297" s="1117">
        <f t="shared" si="835"/>
        <v>0</v>
      </c>
      <c r="BG297" s="1073"/>
      <c r="BK297" s="1116">
        <f t="shared" si="836"/>
        <v>0</v>
      </c>
      <c r="BL297" s="1117">
        <f t="shared" si="837"/>
        <v>0</v>
      </c>
      <c r="BM297" s="1117">
        <f t="shared" si="838"/>
        <v>0</v>
      </c>
      <c r="BN297" s="1117">
        <f t="shared" si="839"/>
        <v>0</v>
      </c>
      <c r="BO297" s="1073"/>
      <c r="BS297" s="1116">
        <f t="shared" si="840"/>
        <v>0</v>
      </c>
      <c r="BT297" s="1117">
        <f t="shared" si="841"/>
        <v>0</v>
      </c>
      <c r="BU297" s="1117">
        <f t="shared" si="842"/>
        <v>0</v>
      </c>
      <c r="BV297" s="1117">
        <f t="shared" si="843"/>
        <v>0</v>
      </c>
      <c r="BW297" s="1073"/>
      <c r="CA297" s="1116">
        <f t="shared" si="844"/>
        <v>0</v>
      </c>
      <c r="CB297" s="1117">
        <f t="shared" si="845"/>
        <v>0</v>
      </c>
      <c r="CC297" s="1117">
        <f t="shared" si="846"/>
        <v>0</v>
      </c>
      <c r="CD297" s="1117">
        <f t="shared" si="847"/>
        <v>0</v>
      </c>
      <c r="CE297" s="1073"/>
      <c r="CI297" s="1116">
        <f t="shared" si="848"/>
        <v>0</v>
      </c>
      <c r="CJ297" s="1117">
        <f t="shared" si="849"/>
        <v>0</v>
      </c>
      <c r="CK297" s="1117">
        <f t="shared" si="850"/>
        <v>0</v>
      </c>
      <c r="CL297" s="1117">
        <f t="shared" si="851"/>
        <v>0</v>
      </c>
      <c r="CM297" s="1073"/>
      <c r="CQ297" s="1116">
        <f t="shared" si="852"/>
        <v>0</v>
      </c>
      <c r="CR297" s="1117">
        <f t="shared" si="853"/>
        <v>0</v>
      </c>
      <c r="CS297" s="1117">
        <f t="shared" si="854"/>
        <v>0</v>
      </c>
      <c r="CT297" s="1117">
        <f t="shared" si="855"/>
        <v>0</v>
      </c>
      <c r="CU297" s="1073"/>
      <c r="CY297" s="1116">
        <f t="shared" si="856"/>
        <v>0</v>
      </c>
      <c r="CZ297" s="1117">
        <f t="shared" si="857"/>
        <v>0</v>
      </c>
      <c r="DA297" s="1117">
        <f t="shared" si="858"/>
        <v>0</v>
      </c>
      <c r="DB297" s="1117">
        <f t="shared" si="859"/>
        <v>0</v>
      </c>
      <c r="DC297" s="1073"/>
      <c r="DG297" s="1116">
        <f t="shared" si="860"/>
        <v>0</v>
      </c>
      <c r="DH297" s="1117">
        <f t="shared" si="861"/>
        <v>0</v>
      </c>
      <c r="DI297" s="1117">
        <f t="shared" si="862"/>
        <v>0</v>
      </c>
      <c r="DJ297" s="1117">
        <f t="shared" si="863"/>
        <v>0</v>
      </c>
      <c r="DK297" s="1073"/>
      <c r="DO297" s="1116">
        <f t="shared" si="864"/>
        <v>0</v>
      </c>
      <c r="DP297" s="1117">
        <f t="shared" si="865"/>
        <v>0</v>
      </c>
      <c r="DQ297" s="1117">
        <f t="shared" si="866"/>
        <v>0</v>
      </c>
      <c r="DR297" s="1117">
        <f t="shared" si="867"/>
        <v>0</v>
      </c>
      <c r="DS297" s="1073"/>
      <c r="DW297" s="1116">
        <f t="shared" si="868"/>
        <v>0</v>
      </c>
      <c r="DX297" s="1117">
        <f t="shared" si="869"/>
        <v>0</v>
      </c>
      <c r="DY297" s="1117">
        <f t="shared" si="870"/>
        <v>0</v>
      </c>
      <c r="DZ297" s="1117">
        <f t="shared" si="871"/>
        <v>0</v>
      </c>
      <c r="EA297" s="1073"/>
      <c r="EE297" s="1116">
        <f t="shared" si="872"/>
        <v>0</v>
      </c>
      <c r="EF297" s="1117">
        <f t="shared" si="873"/>
        <v>0</v>
      </c>
      <c r="EG297" s="1117">
        <f t="shared" si="874"/>
        <v>0</v>
      </c>
      <c r="EH297" s="1117">
        <f t="shared" si="875"/>
        <v>0</v>
      </c>
      <c r="EI297" s="1073"/>
      <c r="EM297" s="1116">
        <f t="shared" si="876"/>
        <v>0</v>
      </c>
      <c r="EN297" s="1117">
        <f t="shared" si="877"/>
        <v>0</v>
      </c>
      <c r="EO297" s="1117">
        <f t="shared" si="878"/>
        <v>0</v>
      </c>
      <c r="EP297" s="1117">
        <f t="shared" si="879"/>
        <v>0</v>
      </c>
      <c r="EQ297" s="1073"/>
      <c r="EU297" s="1116">
        <f t="shared" si="880"/>
        <v>0</v>
      </c>
      <c r="EV297" s="1117">
        <f t="shared" si="881"/>
        <v>0</v>
      </c>
      <c r="EW297" s="1117">
        <f t="shared" si="882"/>
        <v>0</v>
      </c>
      <c r="EX297" s="1117">
        <f t="shared" si="883"/>
        <v>0</v>
      </c>
      <c r="EY297" s="1073"/>
      <c r="FC297" s="1116">
        <f t="shared" si="884"/>
        <v>0</v>
      </c>
      <c r="FD297" s="1117">
        <f t="shared" si="885"/>
        <v>0</v>
      </c>
      <c r="FE297" s="1117">
        <f t="shared" si="886"/>
        <v>0</v>
      </c>
      <c r="FF297" s="1117">
        <f t="shared" si="887"/>
        <v>0</v>
      </c>
      <c r="FG297" s="1073"/>
      <c r="FK297" s="1116">
        <f t="shared" si="888"/>
        <v>0</v>
      </c>
      <c r="FL297" s="1117">
        <f t="shared" si="889"/>
        <v>0</v>
      </c>
      <c r="FM297" s="1117">
        <f t="shared" si="890"/>
        <v>0</v>
      </c>
      <c r="FN297" s="1117">
        <f t="shared" si="891"/>
        <v>0</v>
      </c>
      <c r="FO297" s="1073"/>
    </row>
    <row r="298" spans="1:171">
      <c r="A298" s="209" t="s">
        <v>49</v>
      </c>
      <c r="B298" s="220"/>
      <c r="C298" s="914"/>
      <c r="D298" s="915"/>
      <c r="E298" s="915"/>
      <c r="F298" s="916"/>
      <c r="G298" s="923">
        <f>G291-G292+G293-G294+G295-G296+G297</f>
        <v>21297226.370000001</v>
      </c>
      <c r="H298" s="923">
        <f>H291-H292+H293-H294+H295-H296+H297</f>
        <v>931228.85316795018</v>
      </c>
      <c r="I298" s="923">
        <f>I291-I292+I293-I294+I295-I296+I297</f>
        <v>0</v>
      </c>
      <c r="J298" s="1393">
        <f>J291-J292+J293-J294+J295-J296+J297</f>
        <v>25355424.765715346</v>
      </c>
      <c r="K298" s="903"/>
      <c r="O298" s="1133">
        <f>O291-O292+O293-O294+O295-O296+O297</f>
        <v>21297226.370000001</v>
      </c>
      <c r="P298" s="1139">
        <f>P291-P292+P293-P294+P295-P296+P297</f>
        <v>931228.85316794924</v>
      </c>
      <c r="Q298" s="1139">
        <f>Q291-Q292+Q293-Q294+Q295-Q296+Q297</f>
        <v>0</v>
      </c>
      <c r="R298" s="1139">
        <f>R291-R292+R293-R294+R295-R296+R297</f>
        <v>20365997.516832054</v>
      </c>
      <c r="S298" s="1073"/>
      <c r="W298" s="1133">
        <f>W291-W292+W293-W294+W295-W296+W297</f>
        <v>21297226.370000001</v>
      </c>
      <c r="X298" s="1139">
        <f>X291-X292+X293-X294+X295-X296+X297</f>
        <v>931228.85316794924</v>
      </c>
      <c r="Y298" s="1139">
        <f>Y291-Y292+Y293-Y294+Y295-Y296+Y297</f>
        <v>0</v>
      </c>
      <c r="Z298" s="1139">
        <f>Z291-Z292+Z293-Z294+Z295-Z296+Z297</f>
        <v>20365997.516832054</v>
      </c>
      <c r="AA298" s="1073"/>
      <c r="AE298" s="1133">
        <f>AE291-AE292+AE293-AE294+AE295-AE296+AE297</f>
        <v>21297226.370000001</v>
      </c>
      <c r="AF298" s="1139">
        <f>AF291-AF292+AF293-AF294+AF295-AF296+AF297</f>
        <v>931228.85316794924</v>
      </c>
      <c r="AG298" s="1139">
        <f>AG291-AG292+AG293-AG294+AG295-AG296+AG297</f>
        <v>0</v>
      </c>
      <c r="AH298" s="1139">
        <f>AH291-AH292+AH293-AH294+AH295-AH296+AH297</f>
        <v>20365997.516832054</v>
      </c>
      <c r="AI298" s="1073"/>
      <c r="AM298" s="1133">
        <f>AM291-AM292+AM293-AM294+AM295-AM296+AM297</f>
        <v>21297226.370000001</v>
      </c>
      <c r="AN298" s="1139">
        <f>AN291-AN292+AN293-AN294+AN295-AN296+AN297</f>
        <v>931228.85316794924</v>
      </c>
      <c r="AO298" s="1139">
        <f>AO291-AO292+AO293-AO294+AO295-AO296+AO297</f>
        <v>0</v>
      </c>
      <c r="AP298" s="1139">
        <f>AP291-AP292+AP293-AP294+AP295-AP296+AP297</f>
        <v>20365997.516832054</v>
      </c>
      <c r="AQ298" s="1073"/>
      <c r="AU298" s="1133">
        <f>AU291-AU292+AU293-AU294+AU295-AU296+AU297</f>
        <v>21297226.370000001</v>
      </c>
      <c r="AV298" s="1139">
        <f>AV291-AV292+AV293-AV294+AV295-AV296+AV297</f>
        <v>931228.85316794924</v>
      </c>
      <c r="AW298" s="1139">
        <f>AW291-AW292+AW293-AW294+AW295-AW296+AW297</f>
        <v>0</v>
      </c>
      <c r="AX298" s="1139">
        <f>AX291-AX292+AX293-AX294+AX295-AX296+AX297</f>
        <v>20365997.516832054</v>
      </c>
      <c r="AY298" s="1073"/>
      <c r="BC298" s="1133">
        <f>BC291-BC292+BC293-BC294+BC295-BC296+BC297</f>
        <v>21297226.370000001</v>
      </c>
      <c r="BD298" s="1139">
        <f>BD291-BD292+BD293-BD294+BD295-BD296+BD297</f>
        <v>931228.85316794924</v>
      </c>
      <c r="BE298" s="1139">
        <f>BE291-BE292+BE293-BE294+BE295-BE296+BE297</f>
        <v>0</v>
      </c>
      <c r="BF298" s="1139">
        <f>BF291-BF292+BF293-BF294+BF295-BF296+BF297</f>
        <v>20365997.516832054</v>
      </c>
      <c r="BG298" s="1073"/>
      <c r="BK298" s="1133">
        <f>BK291-BK292+BK293-BK294+BK295-BK296+BK297</f>
        <v>21297226.370000001</v>
      </c>
      <c r="BL298" s="1139">
        <f>BL291-BL292+BL293-BL294+BL295-BL296+BL297</f>
        <v>931228.85316794924</v>
      </c>
      <c r="BM298" s="1139">
        <f>BM291-BM292+BM293-BM294+BM295-BM296+BM297</f>
        <v>0</v>
      </c>
      <c r="BN298" s="1139">
        <f>BN291-BN292+BN293-BN294+BN295-BN296+BN297</f>
        <v>20365997.516832054</v>
      </c>
      <c r="BO298" s="1073"/>
      <c r="BS298" s="1133">
        <f>BS291-BS292+BS293-BS294+BS295-BS296+BS297</f>
        <v>21297226.370000001</v>
      </c>
      <c r="BT298" s="1139">
        <f>BT291-BT292+BT293-BT294+BT295-BT296+BT297</f>
        <v>931228.85316794924</v>
      </c>
      <c r="BU298" s="1139">
        <f>BU291-BU292+BU293-BU294+BU295-BU296+BU297</f>
        <v>0</v>
      </c>
      <c r="BV298" s="1139">
        <f>BV291-BV292+BV293-BV294+BV295-BV296+BV297</f>
        <v>20365997.516832054</v>
      </c>
      <c r="BW298" s="1073"/>
      <c r="CA298" s="1133">
        <f>CA291-CA292+CA293-CA294+CA295-CA296+CA297</f>
        <v>21297226.370000001</v>
      </c>
      <c r="CB298" s="1139">
        <f>CB291-CB292+CB293-CB294+CB295-CB296+CB297</f>
        <v>931228.85316794924</v>
      </c>
      <c r="CC298" s="1139">
        <f>CC291-CC292+CC293-CC294+CC295-CC296+CC297</f>
        <v>0</v>
      </c>
      <c r="CD298" s="1139">
        <f>CD291-CD292+CD293-CD294+CD295-CD296+CD297</f>
        <v>20365997.516832054</v>
      </c>
      <c r="CE298" s="1073"/>
      <c r="CI298" s="1133">
        <f>CI291-CI292+CI293-CI294+CI295-CI296+CI297</f>
        <v>21297226.370000001</v>
      </c>
      <c r="CJ298" s="1139">
        <f>CJ291-CJ292+CJ293-CJ294+CJ295-CJ296+CJ297</f>
        <v>931228.85316794924</v>
      </c>
      <c r="CK298" s="1139">
        <f>CK291-CK292+CK293-CK294+CK295-CK296+CK297</f>
        <v>0</v>
      </c>
      <c r="CL298" s="1139">
        <f>CL291-CL292+CL293-CL294+CL295-CL296+CL297</f>
        <v>20365997.516832054</v>
      </c>
      <c r="CM298" s="1073"/>
      <c r="CQ298" s="1133">
        <f>CQ291-CQ292+CQ293-CQ294+CQ295-CQ296+CQ297</f>
        <v>21297226.370000001</v>
      </c>
      <c r="CR298" s="1139">
        <f>CR291-CR292+CR293-CR294+CR295-CR296+CR297</f>
        <v>931228.85316794924</v>
      </c>
      <c r="CS298" s="1139">
        <f>CS291-CS292+CS293-CS294+CS295-CS296+CS297</f>
        <v>0</v>
      </c>
      <c r="CT298" s="1139">
        <f>CT291-CT292+CT293-CT294+CT295-CT296+CT297</f>
        <v>20365997.516832054</v>
      </c>
      <c r="CU298" s="1073"/>
      <c r="CY298" s="1133">
        <f>CY291-CY292+CY293-CY294+CY295-CY296+CY297</f>
        <v>21297226.370000001</v>
      </c>
      <c r="CZ298" s="1139">
        <f>CZ291-CZ292+CZ293-CZ294+CZ295-CZ296+CZ297</f>
        <v>931228.85316794924</v>
      </c>
      <c r="DA298" s="1139">
        <f>DA291-DA292+DA293-DA294+DA295-DA296+DA297</f>
        <v>0</v>
      </c>
      <c r="DB298" s="1139">
        <f>DB291-DB292+DB293-DB294+DB295-DB296+DB297</f>
        <v>20365997.516832054</v>
      </c>
      <c r="DC298" s="1073"/>
      <c r="DG298" s="1133">
        <f>DG291-DG292+DG293-DG294+DG295-DG296+DG297</f>
        <v>21297226.370000001</v>
      </c>
      <c r="DH298" s="1139">
        <f>DH291-DH292+DH293-DH294+DH295-DH296+DH297</f>
        <v>931228.85316794924</v>
      </c>
      <c r="DI298" s="1139">
        <f>DI291-DI292+DI293-DI294+DI295-DI296+DI297</f>
        <v>0</v>
      </c>
      <c r="DJ298" s="1139">
        <f>DJ291-DJ292+DJ293-DJ294+DJ295-DJ296+DJ297</f>
        <v>20365997.516832054</v>
      </c>
      <c r="DK298" s="1073"/>
      <c r="DO298" s="1133">
        <f>DO291-DO292+DO293-DO294+DO295-DO296+DO297</f>
        <v>21297226.370000001</v>
      </c>
      <c r="DP298" s="1139">
        <f>DP291-DP292+DP293-DP294+DP295-DP296+DP297</f>
        <v>931228.85316794924</v>
      </c>
      <c r="DQ298" s="1139">
        <f>DQ291-DQ292+DQ293-DQ294+DQ295-DQ296+DQ297</f>
        <v>0</v>
      </c>
      <c r="DR298" s="1139">
        <f>DR291-DR292+DR293-DR294+DR295-DR296+DR297</f>
        <v>20365997.516832054</v>
      </c>
      <c r="DS298" s="1073"/>
      <c r="DW298" s="1133">
        <f>DW291-DW292+DW293-DW294+DW295-DW296+DW297</f>
        <v>21297226.370000001</v>
      </c>
      <c r="DX298" s="1139">
        <f>DX291-DX292+DX293-DX294+DX295-DX296+DX297</f>
        <v>931228.85316794924</v>
      </c>
      <c r="DY298" s="1139">
        <f>DY291-DY292+DY293-DY294+DY295-DY296+DY297</f>
        <v>0</v>
      </c>
      <c r="DZ298" s="1139">
        <f>DZ291-DZ292+DZ293-DZ294+DZ295-DZ296+DZ297</f>
        <v>20365997.516832054</v>
      </c>
      <c r="EA298" s="1073"/>
      <c r="EE298" s="1133">
        <f>EE291-EE292+EE293-EE294+EE295-EE296+EE297</f>
        <v>21297226.370000001</v>
      </c>
      <c r="EF298" s="1139">
        <f>EF291-EF292+EF293-EF294+EF295-EF296+EF297</f>
        <v>931228.85316794924</v>
      </c>
      <c r="EG298" s="1139">
        <f>EG291-EG292+EG293-EG294+EG295-EG296+EG297</f>
        <v>0</v>
      </c>
      <c r="EH298" s="1139">
        <f>EH291-EH292+EH293-EH294+EH295-EH296+EH297</f>
        <v>20365997.516832054</v>
      </c>
      <c r="EI298" s="1073"/>
      <c r="EM298" s="1133">
        <f>EM291-EM292+EM293-EM294+EM295-EM296+EM297</f>
        <v>21297226.370000001</v>
      </c>
      <c r="EN298" s="1139">
        <f>EN291-EN292+EN293-EN294+EN295-EN296+EN297</f>
        <v>931228.85316794924</v>
      </c>
      <c r="EO298" s="1139">
        <f>EO291-EO292+EO293-EO294+EO295-EO296+EO297</f>
        <v>0</v>
      </c>
      <c r="EP298" s="1139">
        <f>EP291-EP292+EP293-EP294+EP295-EP296+EP297</f>
        <v>20365997.516832054</v>
      </c>
      <c r="EQ298" s="1073"/>
      <c r="EU298" s="1133">
        <f>EU291-EU292+EU293-EU294+EU295-EU296+EU297</f>
        <v>21297226.370000001</v>
      </c>
      <c r="EV298" s="1139">
        <f>EV291-EV292+EV293-EV294+EV295-EV296+EV297</f>
        <v>931228.85316794924</v>
      </c>
      <c r="EW298" s="1139">
        <f>EW291-EW292+EW293-EW294+EW295-EW296+EW297</f>
        <v>0</v>
      </c>
      <c r="EX298" s="1139">
        <f>EX291-EX292+EX293-EX294+EX295-EX296+EX297</f>
        <v>20365997.516832054</v>
      </c>
      <c r="EY298" s="1073"/>
      <c r="FC298" s="1133">
        <f>FC291-FC292+FC293-FC294+FC295-FC296+FC297</f>
        <v>21297226.370000001</v>
      </c>
      <c r="FD298" s="1139">
        <f>FD291-FD292+FD293-FD294+FD295-FD296+FD297</f>
        <v>931228.85316794924</v>
      </c>
      <c r="FE298" s="1139">
        <f>FE291-FE292+FE293-FE294+FE295-FE296+FE297</f>
        <v>0</v>
      </c>
      <c r="FF298" s="1139">
        <f>FF291-FF292+FF293-FF294+FF295-FF296+FF297</f>
        <v>20365997.516832054</v>
      </c>
      <c r="FG298" s="1073"/>
      <c r="FK298" s="1133">
        <f>FK291-FK292+FK293-FK294+FK295-FK296+FK297</f>
        <v>21297226.370000001</v>
      </c>
      <c r="FL298" s="1139">
        <f>FL291-FL292+FL293-FL294+FL295-FL296+FL297</f>
        <v>931228.85316794924</v>
      </c>
      <c r="FM298" s="1139">
        <f>FM291-FM292+FM293-FM294+FM295-FM296+FM297</f>
        <v>0</v>
      </c>
      <c r="FN298" s="1139">
        <f>FN291-FN292+FN293-FN294+FN295-FN296+FN297</f>
        <v>20365997.516832054</v>
      </c>
      <c r="FO298" s="1073"/>
    </row>
    <row r="299" spans="1:171">
      <c r="A299" s="1034"/>
      <c r="B299" s="220"/>
      <c r="C299" s="51"/>
      <c r="D299" s="51"/>
      <c r="E299" s="55"/>
      <c r="F299" s="55"/>
      <c r="G299" s="221"/>
      <c r="H299" s="221"/>
      <c r="I299" s="221"/>
      <c r="J299" s="222"/>
      <c r="K299" s="903"/>
      <c r="S299" s="1073"/>
      <c r="AA299" s="1073"/>
      <c r="AI299" s="1073"/>
      <c r="AQ299" s="1073"/>
      <c r="AY299" s="1073"/>
      <c r="BG299" s="1073"/>
      <c r="BO299" s="1073"/>
      <c r="BW299" s="1073"/>
      <c r="CE299" s="1073"/>
      <c r="CM299" s="1073"/>
      <c r="CU299" s="1073"/>
      <c r="DC299" s="1073"/>
      <c r="DK299" s="1073"/>
      <c r="DS299" s="1073"/>
      <c r="EA299" s="1073"/>
      <c r="EI299" s="1073"/>
      <c r="EQ299" s="1073"/>
      <c r="EY299" s="1073"/>
      <c r="FG299" s="1073"/>
      <c r="FO299" s="1073"/>
    </row>
    <row r="300" spans="1:171">
      <c r="A300" s="199" t="s">
        <v>636</v>
      </c>
      <c r="B300" s="220"/>
      <c r="C300" s="55"/>
      <c r="D300" s="55"/>
      <c r="E300" s="55"/>
      <c r="F300" s="55"/>
      <c r="G300" s="221"/>
      <c r="H300" s="221"/>
      <c r="I300" s="221"/>
      <c r="J300" s="222"/>
      <c r="K300" s="903"/>
      <c r="S300" s="1073"/>
      <c r="AA300" s="1073"/>
      <c r="AI300" s="1073"/>
      <c r="AQ300" s="1073"/>
      <c r="AY300" s="1073"/>
      <c r="BG300" s="1073"/>
      <c r="BO300" s="1073"/>
      <c r="BW300" s="1073"/>
      <c r="CE300" s="1073"/>
      <c r="CM300" s="1073"/>
      <c r="CU300" s="1073"/>
      <c r="DC300" s="1073"/>
      <c r="DK300" s="1073"/>
      <c r="DS300" s="1073"/>
      <c r="EA300" s="1073"/>
      <c r="EI300" s="1073"/>
      <c r="EQ300" s="1073"/>
      <c r="EY300" s="1073"/>
      <c r="FG300" s="1073"/>
      <c r="FO300" s="1073"/>
    </row>
    <row r="301" spans="1:171">
      <c r="A301" s="199"/>
      <c r="B301" s="913" t="s">
        <v>64</v>
      </c>
      <c r="C301" s="888">
        <v>310</v>
      </c>
      <c r="D301" s="889">
        <v>447</v>
      </c>
      <c r="E301" s="182" t="str">
        <f>'Sch 3B - Other Items'!E25</f>
        <v>PROD</v>
      </c>
      <c r="F301" s="889"/>
      <c r="G301" s="182">
        <f>'Sch 3B - Other Items'!G25</f>
        <v>253658001</v>
      </c>
      <c r="H301" s="182">
        <f>'Sch 3B - Other Items'!H25</f>
        <v>253658001</v>
      </c>
      <c r="I301" s="182">
        <f>'Sch 3B - Other Items'!I25</f>
        <v>0</v>
      </c>
      <c r="J301" s="183">
        <f>'Sch 3B - Other Items'!J25</f>
        <v>0</v>
      </c>
      <c r="K301" s="903">
        <f>IF($E301="DIRECT",0,1)</f>
        <v>1</v>
      </c>
      <c r="O301" s="1145">
        <f>O466</f>
        <v>253658001</v>
      </c>
      <c r="P301" s="1117">
        <f>VLOOKUP($E301,O$442:R$453,2,FALSE)*O301*($K301)+IF($G301&lt;&gt;0,($H301/$G301)*O301,0)*(1-$K301)</f>
        <v>253658001</v>
      </c>
      <c r="Q301" s="1117">
        <f>VLOOKUP($E301,O$442:R$453,3,FALSE)*O301*($K301)+IF($G301&lt;&gt;0,($I301/$G301)*O301,0)*(1-$K301)</f>
        <v>0</v>
      </c>
      <c r="R301" s="1117">
        <f>VLOOKUP($E301,O$442:R$453,4,FALSE)*O301*($K301)+(O301-P301-Q301)*(1-$K301)</f>
        <v>0</v>
      </c>
      <c r="S301" s="1073"/>
      <c r="W301" s="1145">
        <f>W466</f>
        <v>253658001</v>
      </c>
      <c r="X301" s="1117">
        <f>VLOOKUP($E301,W$442:Z$453,2,FALSE)*W301*($K301)+IF($G301&lt;&gt;0,($H301/$G301)*W301,0)*(1-$K301)</f>
        <v>253658001</v>
      </c>
      <c r="Y301" s="1117">
        <f>VLOOKUP($E301,W$442:Z$453,3,FALSE)*W301*($K301)+IF($G301&lt;&gt;0,($I301/$G301)*W301,0)*(1-$K301)</f>
        <v>0</v>
      </c>
      <c r="Z301" s="1117">
        <f>VLOOKUP($E301,W$442:Z$453,4,FALSE)*W301*($K301)+(W301-X301-Y301)*(1-$K301)</f>
        <v>0</v>
      </c>
      <c r="AA301" s="1073"/>
      <c r="AE301" s="1145">
        <f>AE466</f>
        <v>253658001</v>
      </c>
      <c r="AF301" s="1117">
        <f>VLOOKUP($E301,AE$442:AH$453,2,FALSE)*AE301*($K301)+IF($G301&lt;&gt;0,($H301/$G301)*AE301,0)*(1-$K301)</f>
        <v>253658001</v>
      </c>
      <c r="AG301" s="1117">
        <f>VLOOKUP($E301,AE$442:AH$453,3,FALSE)*AE301*($K301)+IF($G301&lt;&gt;0,($I301/$G301)*AE301,0)*(1-$K301)</f>
        <v>0</v>
      </c>
      <c r="AH301" s="1117">
        <f>VLOOKUP($E301,AE$442:AH$453,4,FALSE)*AE301*($K301)+(AE301-AF301-AG301)*(1-$K301)</f>
        <v>0</v>
      </c>
      <c r="AI301" s="1073"/>
      <c r="AM301" s="1145">
        <f>AM466</f>
        <v>253658001</v>
      </c>
      <c r="AN301" s="1117">
        <f>VLOOKUP($E301,AM$442:AP$453,2,FALSE)*AM301*($K301)+IF($G301&lt;&gt;0,($H301/$G301)*AM301,0)*(1-$K301)</f>
        <v>253658001</v>
      </c>
      <c r="AO301" s="1117">
        <f>VLOOKUP($E301,AM$442:AP$453,3,FALSE)*AM301*($K301)+IF($G301&lt;&gt;0,($I301/$G301)*AM301,0)*(1-$K301)</f>
        <v>0</v>
      </c>
      <c r="AP301" s="1117">
        <f>VLOOKUP($E301,AM$442:AP$453,4,FALSE)*AM301*($K301)+(AM301-AN301-AO301)*(1-$K301)</f>
        <v>0</v>
      </c>
      <c r="AQ301" s="1073"/>
      <c r="AU301" s="1145">
        <f>AU466</f>
        <v>253658001</v>
      </c>
      <c r="AV301" s="1117">
        <f>VLOOKUP($E301,AU$442:AX$453,2,FALSE)*AU301*($K301)+IF($G301&lt;&gt;0,($H301/$G301)*AU301,0)*(1-$K301)</f>
        <v>253658001</v>
      </c>
      <c r="AW301" s="1117">
        <f>VLOOKUP($E301,AU$442:AX$453,3,FALSE)*AU301*($K301)+IF($G301&lt;&gt;0,($I301/$G301)*AU301,0)*(1-$K301)</f>
        <v>0</v>
      </c>
      <c r="AX301" s="1117">
        <f>VLOOKUP($E301,AU$442:AX$453,4,FALSE)*AU301*($K301)+(AU301-AV301-AW301)*(1-$K301)</f>
        <v>0</v>
      </c>
      <c r="AY301" s="1073"/>
      <c r="BC301" s="1145">
        <f>BC466</f>
        <v>253658001</v>
      </c>
      <c r="BD301" s="1117">
        <f>VLOOKUP($E301,BC$442:BF$453,2,FALSE)*BC301*($K301)+IF($G301&lt;&gt;0,($H301/$G301)*BC301,0)*(1-$K301)</f>
        <v>253658001</v>
      </c>
      <c r="BE301" s="1117">
        <f>VLOOKUP($E301,BC$442:BF$453,3,FALSE)*BC301*($K301)+IF($G301&lt;&gt;0,($I301/$G301)*BC301,0)*(1-$K301)</f>
        <v>0</v>
      </c>
      <c r="BF301" s="1117">
        <f>VLOOKUP($E301,BC$442:BF$453,4,FALSE)*BC301*($K301)+(BC301-BD301-BE301)*(1-$K301)</f>
        <v>0</v>
      </c>
      <c r="BG301" s="1073"/>
      <c r="BK301" s="1145">
        <f>BK466</f>
        <v>253658001</v>
      </c>
      <c r="BL301" s="1117">
        <f>VLOOKUP($E301,BK$442:BN$453,2,FALSE)*BK301*($K301)+IF($G301&lt;&gt;0,($H301/$G301)*BK301,0)*(1-$K301)</f>
        <v>253658001</v>
      </c>
      <c r="BM301" s="1117">
        <f>VLOOKUP($E301,BK$442:BN$453,3,FALSE)*BK301*($K301)+IF($G301&lt;&gt;0,($I301/$G301)*BK301,0)*(1-$K301)</f>
        <v>0</v>
      </c>
      <c r="BN301" s="1117">
        <f>VLOOKUP($E301,BK$442:BN$453,4,FALSE)*BK301*($K301)+(BK301-BL301-BM301)*(1-$K301)</f>
        <v>0</v>
      </c>
      <c r="BO301" s="1073"/>
      <c r="BS301" s="1145">
        <f>BS466</f>
        <v>253658001</v>
      </c>
      <c r="BT301" s="1117">
        <f>VLOOKUP($E301,BS$442:BV$453,2,FALSE)*BS301*($K301)+IF($G301&lt;&gt;0,($H301/$G301)*BS301,0)*(1-$K301)</f>
        <v>253658001</v>
      </c>
      <c r="BU301" s="1117">
        <f>VLOOKUP($E301,BS$442:BV$453,3,FALSE)*BS301*($K301)+IF($G301&lt;&gt;0,($I301/$G301)*BS301,0)*(1-$K301)</f>
        <v>0</v>
      </c>
      <c r="BV301" s="1117">
        <f>VLOOKUP($E301,BS$442:BV$453,4,FALSE)*BS301*($K301)+(BS301-BT301-BU301)*(1-$K301)</f>
        <v>0</v>
      </c>
      <c r="BW301" s="1073"/>
      <c r="CA301" s="1145">
        <f>CA466</f>
        <v>253658001</v>
      </c>
      <c r="CB301" s="1117">
        <f>VLOOKUP($E301,CA$442:CD$453,2,FALSE)*CA301*($K301)+IF($G301&lt;&gt;0,($H301/$G301)*CA301,0)*(1-$K301)</f>
        <v>253658001</v>
      </c>
      <c r="CC301" s="1117">
        <f>VLOOKUP($E301,CA$442:CD$453,3,FALSE)*CA301*($K301)+IF($G301&lt;&gt;0,($I301/$G301)*CA301,0)*(1-$K301)</f>
        <v>0</v>
      </c>
      <c r="CD301" s="1117">
        <f>VLOOKUP($E301,CA$442:CD$453,4,FALSE)*CA301*($K301)+(CA301-CB301-CC301)*(1-$K301)</f>
        <v>0</v>
      </c>
      <c r="CE301" s="1073"/>
      <c r="CI301" s="1145">
        <f>CI466</f>
        <v>253658001</v>
      </c>
      <c r="CJ301" s="1117">
        <f>VLOOKUP($E301,CI$442:CL$453,2,FALSE)*CI301*($K301)+IF($G301&lt;&gt;0,($H301/$G301)*CI301,0)*(1-$K301)</f>
        <v>253658001</v>
      </c>
      <c r="CK301" s="1117">
        <f>VLOOKUP($E301,CI$442:CL$453,3,FALSE)*CI301*($K301)+IF($G301&lt;&gt;0,($I301/$G301)*CI301,0)*(1-$K301)</f>
        <v>0</v>
      </c>
      <c r="CL301" s="1117">
        <f>VLOOKUP($E301,CI$442:CL$453,4,FALSE)*CI301*($K301)+(CI301-CJ301-CK301)*(1-$K301)</f>
        <v>0</v>
      </c>
      <c r="CM301" s="1073"/>
      <c r="CQ301" s="1145">
        <f>CQ466</f>
        <v>253658001</v>
      </c>
      <c r="CR301" s="1117">
        <f>VLOOKUP($E301,CQ$442:CT$453,2,FALSE)*CQ301*($K301)+IF($G301&lt;&gt;0,($H301/$G301)*CQ301,0)*(1-$K301)</f>
        <v>253658001</v>
      </c>
      <c r="CS301" s="1117">
        <f>VLOOKUP($E301,CQ$442:CT$453,3,FALSE)*CQ301*($K301)+IF($G301&lt;&gt;0,($I301/$G301)*CQ301,0)*(1-$K301)</f>
        <v>0</v>
      </c>
      <c r="CT301" s="1117">
        <f>VLOOKUP($E301,CQ$442:CT$453,4,FALSE)*CQ301*($K301)+(CQ301-CR301-CS301)*(1-$K301)</f>
        <v>0</v>
      </c>
      <c r="CU301" s="1073"/>
      <c r="CY301" s="1145">
        <f>CY466</f>
        <v>253658001</v>
      </c>
      <c r="CZ301" s="1117">
        <f>VLOOKUP($E301,CY$442:DB$453,2,FALSE)*CY301*($K301)+IF($G301&lt;&gt;0,($H301/$G301)*CY301,0)*(1-$K301)</f>
        <v>253658001</v>
      </c>
      <c r="DA301" s="1117">
        <f>VLOOKUP($E301,CY$442:DB$453,3,FALSE)*CY301*($K301)+IF($G301&lt;&gt;0,($I301/$G301)*CY301,0)*(1-$K301)</f>
        <v>0</v>
      </c>
      <c r="DB301" s="1117">
        <f>VLOOKUP($E301,CY$442:DB$453,4,FALSE)*CY301*($K301)+(CY301-CZ301-DA301)*(1-$K301)</f>
        <v>0</v>
      </c>
      <c r="DC301" s="1073"/>
      <c r="DG301" s="1145">
        <f>DG466</f>
        <v>253658001</v>
      </c>
      <c r="DH301" s="1117">
        <f>VLOOKUP($E301,DG$442:DJ$453,2,FALSE)*DG301*($K301)+IF($G301&lt;&gt;0,($H301/$G301)*DG301,0)*(1-$K301)</f>
        <v>253658001</v>
      </c>
      <c r="DI301" s="1117">
        <f>VLOOKUP($E301,DG$442:DJ$453,3,FALSE)*DG301*($K301)+IF($G301&lt;&gt;0,($I301/$G301)*DG301,0)*(1-$K301)</f>
        <v>0</v>
      </c>
      <c r="DJ301" s="1117">
        <f>VLOOKUP($E301,DG$442:DJ$453,4,FALSE)*DG301*($K301)+(DG301-DH301-DI301)*(1-$K301)</f>
        <v>0</v>
      </c>
      <c r="DK301" s="1073"/>
      <c r="DO301" s="1145">
        <f>DO466</f>
        <v>253658001</v>
      </c>
      <c r="DP301" s="1117">
        <f>VLOOKUP($E301,DO$442:DR$453,2,FALSE)*DO301*($K301)+IF($G301&lt;&gt;0,($H301/$G301)*DO301,0)*(1-$K301)</f>
        <v>253658001</v>
      </c>
      <c r="DQ301" s="1117">
        <f>VLOOKUP($E301,DO$442:DR$453,3,FALSE)*DO301*($K301)+IF($G301&lt;&gt;0,($I301/$G301)*DO301,0)*(1-$K301)</f>
        <v>0</v>
      </c>
      <c r="DR301" s="1117">
        <f>VLOOKUP($E301,DO$442:DR$453,4,FALSE)*DO301*($K301)+(DO301-DP301-DQ301)*(1-$K301)</f>
        <v>0</v>
      </c>
      <c r="DS301" s="1073"/>
      <c r="DW301" s="1145">
        <f>DW466</f>
        <v>253658001</v>
      </c>
      <c r="DX301" s="1117">
        <f>VLOOKUP($E301,DW$442:DZ$453,2,FALSE)*DW301*($K301)+IF($G301&lt;&gt;0,($H301/$G301)*DW301,0)*(1-$K301)</f>
        <v>253658001</v>
      </c>
      <c r="DY301" s="1117">
        <f>VLOOKUP($E301,DW$442:DZ$453,3,FALSE)*DW301*($K301)+IF($G301&lt;&gt;0,($I301/$G301)*DW301,0)*(1-$K301)</f>
        <v>0</v>
      </c>
      <c r="DZ301" s="1117">
        <f>VLOOKUP($E301,DW$442:DZ$453,4,FALSE)*DW301*($K301)+(DW301-DX301-DY301)*(1-$K301)</f>
        <v>0</v>
      </c>
      <c r="EA301" s="1073"/>
      <c r="EE301" s="1145">
        <f>EE466</f>
        <v>253658001</v>
      </c>
      <c r="EF301" s="1117">
        <f>VLOOKUP($E301,EE$442:EH$453,2,FALSE)*EE301*($K301)+IF($G301&lt;&gt;0,($H301/$G301)*EE301,0)*(1-$K301)</f>
        <v>253658001</v>
      </c>
      <c r="EG301" s="1117">
        <f>VLOOKUP($E301,EE$442:EH$453,3,FALSE)*EE301*($K301)+IF($G301&lt;&gt;0,($I301/$G301)*EE301,0)*(1-$K301)</f>
        <v>0</v>
      </c>
      <c r="EH301" s="1117">
        <f>VLOOKUP($E301,EE$442:EH$453,4,FALSE)*EE301*($K301)+(EE301-EF301-EG301)*(1-$K301)</f>
        <v>0</v>
      </c>
      <c r="EI301" s="1073"/>
      <c r="EM301" s="1145">
        <f>EM466</f>
        <v>253658001</v>
      </c>
      <c r="EN301" s="1117">
        <f>VLOOKUP($E301,EM$442:EP$453,2,FALSE)*EM301*($K301)+IF($G301&lt;&gt;0,($H301/$G301)*EM301,0)*(1-$K301)</f>
        <v>253658001</v>
      </c>
      <c r="EO301" s="1117">
        <f>VLOOKUP($E301,EM$442:EP$453,3,FALSE)*EM301*($K301)+IF($G301&lt;&gt;0,($I301/$G301)*EM301,0)*(1-$K301)</f>
        <v>0</v>
      </c>
      <c r="EP301" s="1117">
        <f>VLOOKUP($E301,EM$442:EP$453,4,FALSE)*EM301*($K301)+(EM301-EN301-EO301)*(1-$K301)</f>
        <v>0</v>
      </c>
      <c r="EQ301" s="1073"/>
      <c r="EU301" s="1145">
        <f>EU466</f>
        <v>253658001</v>
      </c>
      <c r="EV301" s="1117">
        <f>VLOOKUP($E301,EU$442:EX$453,2,FALSE)*EU301*($K301)+IF($G301&lt;&gt;0,($H301/$G301)*EU301,0)*(1-$K301)</f>
        <v>253658001</v>
      </c>
      <c r="EW301" s="1117">
        <f>VLOOKUP($E301,EU$442:EX$453,3,FALSE)*EU301*($K301)+IF($G301&lt;&gt;0,($I301/$G301)*EU301,0)*(1-$K301)</f>
        <v>0</v>
      </c>
      <c r="EX301" s="1117">
        <f>VLOOKUP($E301,EU$442:EX$453,4,FALSE)*EU301*($K301)+(EU301-EV301-EW301)*(1-$K301)</f>
        <v>0</v>
      </c>
      <c r="EY301" s="1073"/>
      <c r="FC301" s="1145">
        <f>FC466</f>
        <v>253658001</v>
      </c>
      <c r="FD301" s="1117">
        <f>VLOOKUP($E301,FC$442:FF$453,2,FALSE)*FC301*($K301)+IF($G301&lt;&gt;0,($H301/$G301)*FC301,0)*(1-$K301)</f>
        <v>253658001</v>
      </c>
      <c r="FE301" s="1117">
        <f>VLOOKUP($E301,FC$442:FF$453,3,FALSE)*FC301*($K301)+IF($G301&lt;&gt;0,($I301/$G301)*FC301,0)*(1-$K301)</f>
        <v>0</v>
      </c>
      <c r="FF301" s="1117">
        <f>VLOOKUP($E301,FC$442:FF$453,4,FALSE)*FC301*($K301)+(FC301-FD301-FE301)*(1-$K301)</f>
        <v>0</v>
      </c>
      <c r="FG301" s="1073"/>
      <c r="FK301" s="1145">
        <f>FK466</f>
        <v>253658001</v>
      </c>
      <c r="FL301" s="1117">
        <f>VLOOKUP($E301,FK$442:FN$453,2,FALSE)*FK301*($K301)+IF($G301&lt;&gt;0,($H301/$G301)*FK301,0)*(1-$K301)</f>
        <v>253658001</v>
      </c>
      <c r="FM301" s="1117">
        <f>VLOOKUP($E301,FK$442:FN$453,3,FALSE)*FK301*($K301)+IF($G301&lt;&gt;0,($I301/$G301)*FK301,0)*(1-$K301)</f>
        <v>0</v>
      </c>
      <c r="FN301" s="1117">
        <f>VLOOKUP($E301,FK$442:FN$453,4,FALSE)*FK301*($K301)+(FK301-FL301-FM301)*(1-$K301)</f>
        <v>0</v>
      </c>
      <c r="FO301" s="1073"/>
    </row>
    <row r="302" spans="1:171">
      <c r="A302" s="163" t="s">
        <v>65</v>
      </c>
      <c r="B302" s="64"/>
      <c r="C302" s="914"/>
      <c r="D302" s="915"/>
      <c r="E302" s="915"/>
      <c r="F302" s="916"/>
      <c r="G302" s="923">
        <f>SUM(G301)</f>
        <v>253658001</v>
      </c>
      <c r="H302" s="923">
        <f>SUM(H301)</f>
        <v>253658001</v>
      </c>
      <c r="I302" s="923">
        <f>SUM(I301)</f>
        <v>0</v>
      </c>
      <c r="J302" s="1393">
        <f>SUM(J301)</f>
        <v>0</v>
      </c>
      <c r="K302" s="903"/>
      <c r="O302" s="1133">
        <f>SUM(O301)</f>
        <v>253658001</v>
      </c>
      <c r="P302" s="1139">
        <f>SUM(P301)</f>
        <v>253658001</v>
      </c>
      <c r="Q302" s="1139">
        <f>SUM(Q301)</f>
        <v>0</v>
      </c>
      <c r="R302" s="1139">
        <f>SUM(R301)</f>
        <v>0</v>
      </c>
      <c r="S302" s="1073"/>
      <c r="W302" s="1133">
        <f>SUM(W301)</f>
        <v>253658001</v>
      </c>
      <c r="X302" s="1139">
        <f>SUM(X301)</f>
        <v>253658001</v>
      </c>
      <c r="Y302" s="1139">
        <f>SUM(Y301)</f>
        <v>0</v>
      </c>
      <c r="Z302" s="1139">
        <f>SUM(Z301)</f>
        <v>0</v>
      </c>
      <c r="AA302" s="1073"/>
      <c r="AE302" s="1133">
        <f>SUM(AE301)</f>
        <v>253658001</v>
      </c>
      <c r="AF302" s="1139">
        <f>SUM(AF301)</f>
        <v>253658001</v>
      </c>
      <c r="AG302" s="1139">
        <f>SUM(AG301)</f>
        <v>0</v>
      </c>
      <c r="AH302" s="1139">
        <f>SUM(AH301)</f>
        <v>0</v>
      </c>
      <c r="AI302" s="1073"/>
      <c r="AM302" s="1133">
        <f>SUM(AM301)</f>
        <v>253658001</v>
      </c>
      <c r="AN302" s="1139">
        <f>SUM(AN301)</f>
        <v>253658001</v>
      </c>
      <c r="AO302" s="1139">
        <f>SUM(AO301)</f>
        <v>0</v>
      </c>
      <c r="AP302" s="1139">
        <f>SUM(AP301)</f>
        <v>0</v>
      </c>
      <c r="AQ302" s="1073"/>
      <c r="AU302" s="1133">
        <f>SUM(AU301)</f>
        <v>253658001</v>
      </c>
      <c r="AV302" s="1139">
        <f>SUM(AV301)</f>
        <v>253658001</v>
      </c>
      <c r="AW302" s="1139">
        <f>SUM(AW301)</f>
        <v>0</v>
      </c>
      <c r="AX302" s="1139">
        <f>SUM(AX301)</f>
        <v>0</v>
      </c>
      <c r="AY302" s="1073"/>
      <c r="BC302" s="1133">
        <f>SUM(BC301)</f>
        <v>253658001</v>
      </c>
      <c r="BD302" s="1139">
        <f>SUM(BD301)</f>
        <v>253658001</v>
      </c>
      <c r="BE302" s="1139">
        <f>SUM(BE301)</f>
        <v>0</v>
      </c>
      <c r="BF302" s="1139">
        <f>SUM(BF301)</f>
        <v>0</v>
      </c>
      <c r="BG302" s="1073"/>
      <c r="BK302" s="1133">
        <f>SUM(BK301)</f>
        <v>253658001</v>
      </c>
      <c r="BL302" s="1139">
        <f>SUM(BL301)</f>
        <v>253658001</v>
      </c>
      <c r="BM302" s="1139">
        <f>SUM(BM301)</f>
        <v>0</v>
      </c>
      <c r="BN302" s="1139">
        <f>SUM(BN301)</f>
        <v>0</v>
      </c>
      <c r="BO302" s="1073"/>
      <c r="BS302" s="1133">
        <f>SUM(BS301)</f>
        <v>253658001</v>
      </c>
      <c r="BT302" s="1139">
        <f>SUM(BT301)</f>
        <v>253658001</v>
      </c>
      <c r="BU302" s="1139">
        <f>SUM(BU301)</f>
        <v>0</v>
      </c>
      <c r="BV302" s="1139">
        <f>SUM(BV301)</f>
        <v>0</v>
      </c>
      <c r="BW302" s="1073"/>
      <c r="CA302" s="1133">
        <f>SUM(CA301)</f>
        <v>253658001</v>
      </c>
      <c r="CB302" s="1139">
        <f>SUM(CB301)</f>
        <v>253658001</v>
      </c>
      <c r="CC302" s="1139">
        <f>SUM(CC301)</f>
        <v>0</v>
      </c>
      <c r="CD302" s="1139">
        <f>SUM(CD301)</f>
        <v>0</v>
      </c>
      <c r="CE302" s="1073"/>
      <c r="CI302" s="1133">
        <f>SUM(CI301)</f>
        <v>253658001</v>
      </c>
      <c r="CJ302" s="1139">
        <f>SUM(CJ301)</f>
        <v>253658001</v>
      </c>
      <c r="CK302" s="1139">
        <f>SUM(CK301)</f>
        <v>0</v>
      </c>
      <c r="CL302" s="1139">
        <f>SUM(CL301)</f>
        <v>0</v>
      </c>
      <c r="CM302" s="1073"/>
      <c r="CQ302" s="1133">
        <f>SUM(CQ301)</f>
        <v>253658001</v>
      </c>
      <c r="CR302" s="1139">
        <f>SUM(CR301)</f>
        <v>253658001</v>
      </c>
      <c r="CS302" s="1139">
        <f>SUM(CS301)</f>
        <v>0</v>
      </c>
      <c r="CT302" s="1139">
        <f>SUM(CT301)</f>
        <v>0</v>
      </c>
      <c r="CU302" s="1073"/>
      <c r="CY302" s="1133">
        <f>SUM(CY301)</f>
        <v>253658001</v>
      </c>
      <c r="CZ302" s="1139">
        <f>SUM(CZ301)</f>
        <v>253658001</v>
      </c>
      <c r="DA302" s="1139">
        <f>SUM(DA301)</f>
        <v>0</v>
      </c>
      <c r="DB302" s="1139">
        <f>SUM(DB301)</f>
        <v>0</v>
      </c>
      <c r="DC302" s="1073"/>
      <c r="DG302" s="1133">
        <f>SUM(DG301)</f>
        <v>253658001</v>
      </c>
      <c r="DH302" s="1139">
        <f>SUM(DH301)</f>
        <v>253658001</v>
      </c>
      <c r="DI302" s="1139">
        <f>SUM(DI301)</f>
        <v>0</v>
      </c>
      <c r="DJ302" s="1139">
        <f>SUM(DJ301)</f>
        <v>0</v>
      </c>
      <c r="DK302" s="1073"/>
      <c r="DO302" s="1133">
        <f>SUM(DO301)</f>
        <v>253658001</v>
      </c>
      <c r="DP302" s="1139">
        <f>SUM(DP301)</f>
        <v>253658001</v>
      </c>
      <c r="DQ302" s="1139">
        <f>SUM(DQ301)</f>
        <v>0</v>
      </c>
      <c r="DR302" s="1139">
        <f>SUM(DR301)</f>
        <v>0</v>
      </c>
      <c r="DS302" s="1073"/>
      <c r="DW302" s="1133">
        <f>SUM(DW301)</f>
        <v>253658001</v>
      </c>
      <c r="DX302" s="1139">
        <f>SUM(DX301)</f>
        <v>253658001</v>
      </c>
      <c r="DY302" s="1139">
        <f>SUM(DY301)</f>
        <v>0</v>
      </c>
      <c r="DZ302" s="1139">
        <f>SUM(DZ301)</f>
        <v>0</v>
      </c>
      <c r="EA302" s="1073"/>
      <c r="EE302" s="1133">
        <f>SUM(EE301)</f>
        <v>253658001</v>
      </c>
      <c r="EF302" s="1139">
        <f>SUM(EF301)</f>
        <v>253658001</v>
      </c>
      <c r="EG302" s="1139">
        <f>SUM(EG301)</f>
        <v>0</v>
      </c>
      <c r="EH302" s="1139">
        <f>SUM(EH301)</f>
        <v>0</v>
      </c>
      <c r="EI302" s="1073"/>
      <c r="EM302" s="1133">
        <f>SUM(EM301)</f>
        <v>253658001</v>
      </c>
      <c r="EN302" s="1139">
        <f>SUM(EN301)</f>
        <v>253658001</v>
      </c>
      <c r="EO302" s="1139">
        <f>SUM(EO301)</f>
        <v>0</v>
      </c>
      <c r="EP302" s="1139">
        <f>SUM(EP301)</f>
        <v>0</v>
      </c>
      <c r="EQ302" s="1073"/>
      <c r="EU302" s="1133">
        <f>SUM(EU301)</f>
        <v>253658001</v>
      </c>
      <c r="EV302" s="1139">
        <f>SUM(EV301)</f>
        <v>253658001</v>
      </c>
      <c r="EW302" s="1139">
        <f>SUM(EW301)</f>
        <v>0</v>
      </c>
      <c r="EX302" s="1139">
        <f>SUM(EX301)</f>
        <v>0</v>
      </c>
      <c r="EY302" s="1073"/>
      <c r="FC302" s="1133">
        <f>SUM(FC301)</f>
        <v>253658001</v>
      </c>
      <c r="FD302" s="1139">
        <f>SUM(FD301)</f>
        <v>253658001</v>
      </c>
      <c r="FE302" s="1139">
        <f>SUM(FE301)</f>
        <v>0</v>
      </c>
      <c r="FF302" s="1139">
        <f>SUM(FF301)</f>
        <v>0</v>
      </c>
      <c r="FG302" s="1073"/>
      <c r="FK302" s="1133">
        <f>SUM(FK301)</f>
        <v>253658001</v>
      </c>
      <c r="FL302" s="1139">
        <f>SUM(FL301)</f>
        <v>253658001</v>
      </c>
      <c r="FM302" s="1139">
        <f>SUM(FM301)</f>
        <v>0</v>
      </c>
      <c r="FN302" s="1139">
        <f>SUM(FN301)</f>
        <v>0</v>
      </c>
      <c r="FO302" s="1073"/>
    </row>
    <row r="303" spans="1:171">
      <c r="A303" s="228"/>
      <c r="B303" s="64"/>
      <c r="C303" s="55"/>
      <c r="D303" s="55"/>
      <c r="E303" s="55"/>
      <c r="F303" s="55"/>
      <c r="G303" s="221"/>
      <c r="H303" s="221"/>
      <c r="I303" s="221"/>
      <c r="J303" s="222"/>
      <c r="K303" s="903"/>
      <c r="S303" s="1073"/>
      <c r="AA303" s="1073"/>
      <c r="AI303" s="1073"/>
      <c r="AQ303" s="1073"/>
      <c r="AY303" s="1073"/>
      <c r="BG303" s="1073"/>
      <c r="BO303" s="1073"/>
      <c r="BW303" s="1073"/>
      <c r="CE303" s="1073"/>
      <c r="CM303" s="1073"/>
      <c r="CU303" s="1073"/>
      <c r="DC303" s="1073"/>
      <c r="DK303" s="1073"/>
      <c r="DS303" s="1073"/>
      <c r="EA303" s="1073"/>
      <c r="EI303" s="1073"/>
      <c r="EQ303" s="1073"/>
      <c r="EY303" s="1073"/>
      <c r="FG303" s="1073"/>
      <c r="FO303" s="1073"/>
    </row>
    <row r="304" spans="1:171">
      <c r="A304" s="160" t="s">
        <v>43</v>
      </c>
      <c r="B304" s="64"/>
      <c r="C304" s="55"/>
      <c r="D304" s="55"/>
      <c r="E304" s="55"/>
      <c r="F304" s="55"/>
      <c r="G304" s="221"/>
      <c r="H304" s="221"/>
      <c r="I304" s="221"/>
      <c r="J304" s="222"/>
      <c r="K304" s="903"/>
      <c r="S304" s="1073"/>
      <c r="AA304" s="1073"/>
      <c r="AI304" s="1073"/>
      <c r="AQ304" s="1073"/>
      <c r="AY304" s="1073"/>
      <c r="BG304" s="1073"/>
      <c r="BO304" s="1073"/>
      <c r="BW304" s="1073"/>
      <c r="CE304" s="1073"/>
      <c r="CM304" s="1073"/>
      <c r="CU304" s="1073"/>
      <c r="DC304" s="1073"/>
      <c r="DK304" s="1073"/>
      <c r="DS304" s="1073"/>
      <c r="EA304" s="1073"/>
      <c r="EI304" s="1073"/>
      <c r="EQ304" s="1073"/>
      <c r="EY304" s="1073"/>
      <c r="FG304" s="1073"/>
      <c r="FO304" s="1073"/>
    </row>
    <row r="305" spans="1:171">
      <c r="A305" s="912"/>
      <c r="B305" s="79" t="s">
        <v>327</v>
      </c>
      <c r="C305" s="888">
        <v>300</v>
      </c>
      <c r="D305" s="889">
        <v>450</v>
      </c>
      <c r="E305" s="182" t="str">
        <f>'Sch 3B - Other Items'!E29</f>
        <v>DIST</v>
      </c>
      <c r="F305" s="889"/>
      <c r="G305" s="182">
        <f>'Sch 3B - Other Items'!G29</f>
        <v>0</v>
      </c>
      <c r="H305" s="182">
        <f>'Sch 3B - Other Items'!H29</f>
        <v>0</v>
      </c>
      <c r="I305" s="182">
        <f>'Sch 3B - Other Items'!I29</f>
        <v>0</v>
      </c>
      <c r="J305" s="183">
        <f>'Sch 3B - Other Items'!J29</f>
        <v>0</v>
      </c>
      <c r="K305" s="903">
        <f t="shared" ref="K305:K311" si="892">IF($E305="DIRECT",0,1)</f>
        <v>1</v>
      </c>
      <c r="O305" s="1116">
        <f>$G305</f>
        <v>0</v>
      </c>
      <c r="P305" s="1117">
        <f t="shared" ref="P305:P311" si="893">VLOOKUP($E305,O$442:R$453,2,FALSE)*O305*($K305)+IF($G305&lt;&gt;0,($H305/$G305)*O305,0)*(1-$K305)</f>
        <v>0</v>
      </c>
      <c r="Q305" s="1117">
        <f t="shared" ref="Q305:Q311" si="894">VLOOKUP($E305,O$442:R$453,3,FALSE)*O305*($K305)+IF($G305&lt;&gt;0,($I305/$G305)*O305,0)*(1-$K305)</f>
        <v>0</v>
      </c>
      <c r="R305" s="1117">
        <f t="shared" ref="R305:R311" si="895">VLOOKUP($E305,O$442:R$453,4,FALSE)*O305*($K305)+(O305-P305-Q305)*(1-$K305)</f>
        <v>0</v>
      </c>
      <c r="S305" s="1073"/>
      <c r="W305" s="1116">
        <f>$G305</f>
        <v>0</v>
      </c>
      <c r="X305" s="1117">
        <f t="shared" ref="X305:X311" si="896">VLOOKUP($E305,W$442:Z$453,2,FALSE)*W305*($K305)+IF($G305&lt;&gt;0,($H305/$G305)*W305,0)*(1-$K305)</f>
        <v>0</v>
      </c>
      <c r="Y305" s="1117">
        <f t="shared" ref="Y305:Y311" si="897">VLOOKUP($E305,W$442:Z$453,3,FALSE)*W305*($K305)+IF($G305&lt;&gt;0,($I305/$G305)*W305,0)*(1-$K305)</f>
        <v>0</v>
      </c>
      <c r="Z305" s="1117">
        <f t="shared" ref="Z305:Z311" si="898">VLOOKUP($E305,W$442:Z$453,4,FALSE)*W305*($K305)+(W305-X305-Y305)*(1-$K305)</f>
        <v>0</v>
      </c>
      <c r="AA305" s="1073"/>
      <c r="AE305" s="1116">
        <f>$G305</f>
        <v>0</v>
      </c>
      <c r="AF305" s="1117">
        <f t="shared" ref="AF305:AF311" si="899">VLOOKUP($E305,AE$442:AH$453,2,FALSE)*AE305*($K305)+IF($G305&lt;&gt;0,($H305/$G305)*AE305,0)*(1-$K305)</f>
        <v>0</v>
      </c>
      <c r="AG305" s="1117">
        <f t="shared" ref="AG305:AG311" si="900">VLOOKUP($E305,AE$442:AH$453,3,FALSE)*AE305*($K305)+IF($G305&lt;&gt;0,($I305/$G305)*AE305,0)*(1-$K305)</f>
        <v>0</v>
      </c>
      <c r="AH305" s="1117">
        <f t="shared" ref="AH305:AH311" si="901">VLOOKUP($E305,AE$442:AH$453,4,FALSE)*AE305*($K305)+(AE305-AF305-AG305)*(1-$K305)</f>
        <v>0</v>
      </c>
      <c r="AI305" s="1073"/>
      <c r="AM305" s="1116">
        <f>$G305</f>
        <v>0</v>
      </c>
      <c r="AN305" s="1117">
        <f t="shared" ref="AN305:AN311" si="902">VLOOKUP($E305,AM$442:AP$453,2,FALSE)*AM305*($K305)+IF($G305&lt;&gt;0,($H305/$G305)*AM305,0)*(1-$K305)</f>
        <v>0</v>
      </c>
      <c r="AO305" s="1117">
        <f t="shared" ref="AO305:AO311" si="903">VLOOKUP($E305,AM$442:AP$453,3,FALSE)*AM305*($K305)+IF($G305&lt;&gt;0,($I305/$G305)*AM305,0)*(1-$K305)</f>
        <v>0</v>
      </c>
      <c r="AP305" s="1117">
        <f t="shared" ref="AP305:AP311" si="904">VLOOKUP($E305,AM$442:AP$453,4,FALSE)*AM305*($K305)+(AM305-AN305-AO305)*(1-$K305)</f>
        <v>0</v>
      </c>
      <c r="AQ305" s="1073"/>
      <c r="AU305" s="1116">
        <f>$G305</f>
        <v>0</v>
      </c>
      <c r="AV305" s="1117">
        <f t="shared" ref="AV305:AV311" si="905">VLOOKUP($E305,AU$442:AX$453,2,FALSE)*AU305*($K305)+IF($G305&lt;&gt;0,($H305/$G305)*AU305,0)*(1-$K305)</f>
        <v>0</v>
      </c>
      <c r="AW305" s="1117">
        <f t="shared" ref="AW305:AW311" si="906">VLOOKUP($E305,AU$442:AX$453,3,FALSE)*AU305*($K305)+IF($G305&lt;&gt;0,($I305/$G305)*AU305,0)*(1-$K305)</f>
        <v>0</v>
      </c>
      <c r="AX305" s="1117">
        <f t="shared" ref="AX305:AX311" si="907">VLOOKUP($E305,AU$442:AX$453,4,FALSE)*AU305*($K305)+(AU305-AV305-AW305)*(1-$K305)</f>
        <v>0</v>
      </c>
      <c r="AY305" s="1073"/>
      <c r="BC305" s="1116">
        <f>$G305</f>
        <v>0</v>
      </c>
      <c r="BD305" s="1117">
        <f t="shared" ref="BD305:BD311" si="908">VLOOKUP($E305,BC$442:BF$453,2,FALSE)*BC305*($K305)+IF($G305&lt;&gt;0,($H305/$G305)*BC305,0)*(1-$K305)</f>
        <v>0</v>
      </c>
      <c r="BE305" s="1117">
        <f t="shared" ref="BE305:BE311" si="909">VLOOKUP($E305,BC$442:BF$453,3,FALSE)*BC305*($K305)+IF($G305&lt;&gt;0,($I305/$G305)*BC305,0)*(1-$K305)</f>
        <v>0</v>
      </c>
      <c r="BF305" s="1117">
        <f t="shared" ref="BF305:BF311" si="910">VLOOKUP($E305,BC$442:BF$453,4,FALSE)*BC305*($K305)+(BC305-BD305-BE305)*(1-$K305)</f>
        <v>0</v>
      </c>
      <c r="BG305" s="1073"/>
      <c r="BK305" s="1116">
        <f>$G305</f>
        <v>0</v>
      </c>
      <c r="BL305" s="1117">
        <f t="shared" ref="BL305:BL311" si="911">VLOOKUP($E305,BK$442:BN$453,2,FALSE)*BK305*($K305)+IF($G305&lt;&gt;0,($H305/$G305)*BK305,0)*(1-$K305)</f>
        <v>0</v>
      </c>
      <c r="BM305" s="1117">
        <f t="shared" ref="BM305:BM311" si="912">VLOOKUP($E305,BK$442:BN$453,3,FALSE)*BK305*($K305)+IF($G305&lt;&gt;0,($I305/$G305)*BK305,0)*(1-$K305)</f>
        <v>0</v>
      </c>
      <c r="BN305" s="1117">
        <f t="shared" ref="BN305:BN311" si="913">VLOOKUP($E305,BK$442:BN$453,4,FALSE)*BK305*($K305)+(BK305-BL305-BM305)*(1-$K305)</f>
        <v>0</v>
      </c>
      <c r="BO305" s="1073"/>
      <c r="BS305" s="1116">
        <f>$G305</f>
        <v>0</v>
      </c>
      <c r="BT305" s="1117">
        <f t="shared" ref="BT305:BT311" si="914">VLOOKUP($E305,BS$442:BV$453,2,FALSE)*BS305*($K305)+IF($G305&lt;&gt;0,($H305/$G305)*BS305,0)*(1-$K305)</f>
        <v>0</v>
      </c>
      <c r="BU305" s="1117">
        <f t="shared" ref="BU305:BU311" si="915">VLOOKUP($E305,BS$442:BV$453,3,FALSE)*BS305*($K305)+IF($G305&lt;&gt;0,($I305/$G305)*BS305,0)*(1-$K305)</f>
        <v>0</v>
      </c>
      <c r="BV305" s="1117">
        <f t="shared" ref="BV305:BV311" si="916">VLOOKUP($E305,BS$442:BV$453,4,FALSE)*BS305*($K305)+(BS305-BT305-BU305)*(1-$K305)</f>
        <v>0</v>
      </c>
      <c r="BW305" s="1073"/>
      <c r="CA305" s="1116">
        <f>$G305</f>
        <v>0</v>
      </c>
      <c r="CB305" s="1117">
        <f t="shared" ref="CB305:CB311" si="917">VLOOKUP($E305,CA$442:CD$453,2,FALSE)*CA305*($K305)+IF($G305&lt;&gt;0,($H305/$G305)*CA305,0)*(1-$K305)</f>
        <v>0</v>
      </c>
      <c r="CC305" s="1117">
        <f t="shared" ref="CC305:CC311" si="918">VLOOKUP($E305,CA$442:CD$453,3,FALSE)*CA305*($K305)+IF($G305&lt;&gt;0,($I305/$G305)*CA305,0)*(1-$K305)</f>
        <v>0</v>
      </c>
      <c r="CD305" s="1117">
        <f t="shared" ref="CD305:CD311" si="919">VLOOKUP($E305,CA$442:CD$453,4,FALSE)*CA305*($K305)+(CA305-CB305-CC305)*(1-$K305)</f>
        <v>0</v>
      </c>
      <c r="CE305" s="1073"/>
      <c r="CI305" s="1116">
        <f>$G305</f>
        <v>0</v>
      </c>
      <c r="CJ305" s="1117">
        <f t="shared" ref="CJ305:CJ311" si="920">VLOOKUP($E305,CI$442:CL$453,2,FALSE)*CI305*($K305)+IF($G305&lt;&gt;0,($H305/$G305)*CI305,0)*(1-$K305)</f>
        <v>0</v>
      </c>
      <c r="CK305" s="1117">
        <f t="shared" ref="CK305:CK311" si="921">VLOOKUP($E305,CI$442:CL$453,3,FALSE)*CI305*($K305)+IF($G305&lt;&gt;0,($I305/$G305)*CI305,0)*(1-$K305)</f>
        <v>0</v>
      </c>
      <c r="CL305" s="1117">
        <f t="shared" ref="CL305:CL311" si="922">VLOOKUP($E305,CI$442:CL$453,4,FALSE)*CI305*($K305)+(CI305-CJ305-CK305)*(1-$K305)</f>
        <v>0</v>
      </c>
      <c r="CM305" s="1073"/>
      <c r="CQ305" s="1116">
        <f>$G305</f>
        <v>0</v>
      </c>
      <c r="CR305" s="1117">
        <f t="shared" ref="CR305:CR311" si="923">VLOOKUP($E305,CQ$442:CT$453,2,FALSE)*CQ305*($K305)+IF($G305&lt;&gt;0,($H305/$G305)*CQ305,0)*(1-$K305)</f>
        <v>0</v>
      </c>
      <c r="CS305" s="1117">
        <f t="shared" ref="CS305:CS311" si="924">VLOOKUP($E305,CQ$442:CT$453,3,FALSE)*CQ305*($K305)+IF($G305&lt;&gt;0,($I305/$G305)*CQ305,0)*(1-$K305)</f>
        <v>0</v>
      </c>
      <c r="CT305" s="1117">
        <f t="shared" ref="CT305:CT311" si="925">VLOOKUP($E305,CQ$442:CT$453,4,FALSE)*CQ305*($K305)+(CQ305-CR305-CS305)*(1-$K305)</f>
        <v>0</v>
      </c>
      <c r="CU305" s="1073"/>
      <c r="CY305" s="1116">
        <f>$G305</f>
        <v>0</v>
      </c>
      <c r="CZ305" s="1117">
        <f t="shared" ref="CZ305:CZ311" si="926">VLOOKUP($E305,CY$442:DB$453,2,FALSE)*CY305*($K305)+IF($G305&lt;&gt;0,($H305/$G305)*CY305,0)*(1-$K305)</f>
        <v>0</v>
      </c>
      <c r="DA305" s="1117">
        <f t="shared" ref="DA305:DA311" si="927">VLOOKUP($E305,CY$442:DB$453,3,FALSE)*CY305*($K305)+IF($G305&lt;&gt;0,($I305/$G305)*CY305,0)*(1-$K305)</f>
        <v>0</v>
      </c>
      <c r="DB305" s="1117">
        <f t="shared" ref="DB305:DB311" si="928">VLOOKUP($E305,CY$442:DB$453,4,FALSE)*CY305*($K305)+(CY305-CZ305-DA305)*(1-$K305)</f>
        <v>0</v>
      </c>
      <c r="DC305" s="1073"/>
      <c r="DG305" s="1116">
        <f>$G305</f>
        <v>0</v>
      </c>
      <c r="DH305" s="1117">
        <f t="shared" ref="DH305:DH311" si="929">VLOOKUP($E305,DG$442:DJ$453,2,FALSE)*DG305*($K305)+IF($G305&lt;&gt;0,($H305/$G305)*DG305,0)*(1-$K305)</f>
        <v>0</v>
      </c>
      <c r="DI305" s="1117">
        <f t="shared" ref="DI305:DI311" si="930">VLOOKUP($E305,DG$442:DJ$453,3,FALSE)*DG305*($K305)+IF($G305&lt;&gt;0,($I305/$G305)*DG305,0)*(1-$K305)</f>
        <v>0</v>
      </c>
      <c r="DJ305" s="1117">
        <f t="shared" ref="DJ305:DJ311" si="931">VLOOKUP($E305,DG$442:DJ$453,4,FALSE)*DG305*($K305)+(DG305-DH305-DI305)*(1-$K305)</f>
        <v>0</v>
      </c>
      <c r="DK305" s="1073"/>
      <c r="DO305" s="1116">
        <f>$G305</f>
        <v>0</v>
      </c>
      <c r="DP305" s="1117">
        <f t="shared" ref="DP305:DP311" si="932">VLOOKUP($E305,DO$442:DR$453,2,FALSE)*DO305*($K305)+IF($G305&lt;&gt;0,($H305/$G305)*DO305,0)*(1-$K305)</f>
        <v>0</v>
      </c>
      <c r="DQ305" s="1117">
        <f t="shared" ref="DQ305:DQ311" si="933">VLOOKUP($E305,DO$442:DR$453,3,FALSE)*DO305*($K305)+IF($G305&lt;&gt;0,($I305/$G305)*DO305,0)*(1-$K305)</f>
        <v>0</v>
      </c>
      <c r="DR305" s="1117">
        <f t="shared" ref="DR305:DR311" si="934">VLOOKUP($E305,DO$442:DR$453,4,FALSE)*DO305*($K305)+(DO305-DP305-DQ305)*(1-$K305)</f>
        <v>0</v>
      </c>
      <c r="DS305" s="1073"/>
      <c r="DW305" s="1116">
        <f>$G305</f>
        <v>0</v>
      </c>
      <c r="DX305" s="1117">
        <f t="shared" ref="DX305:DX311" si="935">VLOOKUP($E305,DW$442:DZ$453,2,FALSE)*DW305*($K305)+IF($G305&lt;&gt;0,($H305/$G305)*DW305,0)*(1-$K305)</f>
        <v>0</v>
      </c>
      <c r="DY305" s="1117">
        <f t="shared" ref="DY305:DY311" si="936">VLOOKUP($E305,DW$442:DZ$453,3,FALSE)*DW305*($K305)+IF($G305&lt;&gt;0,($I305/$G305)*DW305,0)*(1-$K305)</f>
        <v>0</v>
      </c>
      <c r="DZ305" s="1117">
        <f t="shared" ref="DZ305:DZ311" si="937">VLOOKUP($E305,DW$442:DZ$453,4,FALSE)*DW305*($K305)+(DW305-DX305-DY305)*(1-$K305)</f>
        <v>0</v>
      </c>
      <c r="EA305" s="1073"/>
      <c r="EE305" s="1116">
        <f>$G305</f>
        <v>0</v>
      </c>
      <c r="EF305" s="1117">
        <f t="shared" ref="EF305:EF311" si="938">VLOOKUP($E305,EE$442:EH$453,2,FALSE)*EE305*($K305)+IF($G305&lt;&gt;0,($H305/$G305)*EE305,0)*(1-$K305)</f>
        <v>0</v>
      </c>
      <c r="EG305" s="1117">
        <f t="shared" ref="EG305:EG311" si="939">VLOOKUP($E305,EE$442:EH$453,3,FALSE)*EE305*($K305)+IF($G305&lt;&gt;0,($I305/$G305)*EE305,0)*(1-$K305)</f>
        <v>0</v>
      </c>
      <c r="EH305" s="1117">
        <f t="shared" ref="EH305:EH311" si="940">VLOOKUP($E305,EE$442:EH$453,4,FALSE)*EE305*($K305)+(EE305-EF305-EG305)*(1-$K305)</f>
        <v>0</v>
      </c>
      <c r="EI305" s="1073"/>
      <c r="EM305" s="1116">
        <f>$G305</f>
        <v>0</v>
      </c>
      <c r="EN305" s="1117">
        <f t="shared" ref="EN305:EN311" si="941">VLOOKUP($E305,EM$442:EP$453,2,FALSE)*EM305*($K305)+IF($G305&lt;&gt;0,($H305/$G305)*EM305,0)*(1-$K305)</f>
        <v>0</v>
      </c>
      <c r="EO305" s="1117">
        <f t="shared" ref="EO305:EO311" si="942">VLOOKUP($E305,EM$442:EP$453,3,FALSE)*EM305*($K305)+IF($G305&lt;&gt;0,($I305/$G305)*EM305,0)*(1-$K305)</f>
        <v>0</v>
      </c>
      <c r="EP305" s="1117">
        <f t="shared" ref="EP305:EP311" si="943">VLOOKUP($E305,EM$442:EP$453,4,FALSE)*EM305*($K305)+(EM305-EN305-EO305)*(1-$K305)</f>
        <v>0</v>
      </c>
      <c r="EQ305" s="1073"/>
      <c r="EU305" s="1116">
        <f>$G305</f>
        <v>0</v>
      </c>
      <c r="EV305" s="1117">
        <f t="shared" ref="EV305:EV311" si="944">VLOOKUP($E305,EU$442:EX$453,2,FALSE)*EU305*($K305)+IF($G305&lt;&gt;0,($H305/$G305)*EU305,0)*(1-$K305)</f>
        <v>0</v>
      </c>
      <c r="EW305" s="1117">
        <f t="shared" ref="EW305:EW311" si="945">VLOOKUP($E305,EU$442:EX$453,3,FALSE)*EU305*($K305)+IF($G305&lt;&gt;0,($I305/$G305)*EU305,0)*(1-$K305)</f>
        <v>0</v>
      </c>
      <c r="EX305" s="1117">
        <f t="shared" ref="EX305:EX311" si="946">VLOOKUP($E305,EU$442:EX$453,4,FALSE)*EU305*($K305)+(EU305-EV305-EW305)*(1-$K305)</f>
        <v>0</v>
      </c>
      <c r="EY305" s="1073"/>
      <c r="FC305" s="1116">
        <f>$G305</f>
        <v>0</v>
      </c>
      <c r="FD305" s="1117">
        <f t="shared" ref="FD305:FD311" si="947">VLOOKUP($E305,FC$442:FF$453,2,FALSE)*FC305*($K305)+IF($G305&lt;&gt;0,($H305/$G305)*FC305,0)*(1-$K305)</f>
        <v>0</v>
      </c>
      <c r="FE305" s="1117">
        <f t="shared" ref="FE305:FE311" si="948">VLOOKUP($E305,FC$442:FF$453,3,FALSE)*FC305*($K305)+IF($G305&lt;&gt;0,($I305/$G305)*FC305,0)*(1-$K305)</f>
        <v>0</v>
      </c>
      <c r="FF305" s="1117">
        <f t="shared" ref="FF305:FF311" si="949">VLOOKUP($E305,FC$442:FF$453,4,FALSE)*FC305*($K305)+(FC305-FD305-FE305)*(1-$K305)</f>
        <v>0</v>
      </c>
      <c r="FG305" s="1073"/>
      <c r="FK305" s="1116">
        <f>$G305</f>
        <v>0</v>
      </c>
      <c r="FL305" s="1117">
        <f t="shared" ref="FL305:FL311" si="950">VLOOKUP($E305,FK$442:FN$453,2,FALSE)*FK305*($K305)+IF($G305&lt;&gt;0,($H305/$G305)*FK305,0)*(1-$K305)</f>
        <v>0</v>
      </c>
      <c r="FM305" s="1117">
        <f t="shared" ref="FM305:FM311" si="951">VLOOKUP($E305,FK$442:FN$453,3,FALSE)*FK305*($K305)+IF($G305&lt;&gt;0,($I305/$G305)*FK305,0)*(1-$K305)</f>
        <v>0</v>
      </c>
      <c r="FN305" s="1117">
        <f t="shared" ref="FN305:FN311" si="952">VLOOKUP($E305,FK$442:FN$453,4,FALSE)*FK305*($K305)+(FK305-FL305-FM305)*(1-$K305)</f>
        <v>0</v>
      </c>
      <c r="FO305" s="1073"/>
    </row>
    <row r="306" spans="1:171">
      <c r="A306" s="912"/>
      <c r="B306" s="79" t="s">
        <v>550</v>
      </c>
      <c r="C306" s="888">
        <v>300</v>
      </c>
      <c r="D306" s="889" t="s">
        <v>44</v>
      </c>
      <c r="E306" s="182" t="str">
        <f>'Sch 3B - Other Items'!E30</f>
        <v>DIST</v>
      </c>
      <c r="F306" s="889"/>
      <c r="G306" s="182">
        <f>'Sch 3B - Other Items'!G30</f>
        <v>129396</v>
      </c>
      <c r="H306" s="182">
        <f>'Sch 3B - Other Items'!H30</f>
        <v>0</v>
      </c>
      <c r="I306" s="182">
        <f>'Sch 3B - Other Items'!I30</f>
        <v>0</v>
      </c>
      <c r="J306" s="183">
        <f>'Sch 3B - Other Items'!J30</f>
        <v>129396</v>
      </c>
      <c r="K306" s="903">
        <f t="shared" si="892"/>
        <v>1</v>
      </c>
      <c r="O306" s="1116">
        <f>$G306</f>
        <v>129396</v>
      </c>
      <c r="P306" s="1117">
        <f t="shared" si="893"/>
        <v>0</v>
      </c>
      <c r="Q306" s="1117">
        <f t="shared" si="894"/>
        <v>0</v>
      </c>
      <c r="R306" s="1117">
        <f t="shared" si="895"/>
        <v>129396</v>
      </c>
      <c r="S306" s="1073"/>
      <c r="W306" s="1116">
        <f>$G306</f>
        <v>129396</v>
      </c>
      <c r="X306" s="1117">
        <f t="shared" si="896"/>
        <v>0</v>
      </c>
      <c r="Y306" s="1117">
        <f t="shared" si="897"/>
        <v>0</v>
      </c>
      <c r="Z306" s="1117">
        <f t="shared" si="898"/>
        <v>129396</v>
      </c>
      <c r="AA306" s="1073"/>
      <c r="AE306" s="1116">
        <f>$G306</f>
        <v>129396</v>
      </c>
      <c r="AF306" s="1117">
        <f t="shared" si="899"/>
        <v>0</v>
      </c>
      <c r="AG306" s="1117">
        <f t="shared" si="900"/>
        <v>0</v>
      </c>
      <c r="AH306" s="1117">
        <f t="shared" si="901"/>
        <v>129396</v>
      </c>
      <c r="AI306" s="1073"/>
      <c r="AM306" s="1116">
        <f>$G306</f>
        <v>129396</v>
      </c>
      <c r="AN306" s="1117">
        <f t="shared" si="902"/>
        <v>0</v>
      </c>
      <c r="AO306" s="1117">
        <f t="shared" si="903"/>
        <v>0</v>
      </c>
      <c r="AP306" s="1117">
        <f t="shared" si="904"/>
        <v>129396</v>
      </c>
      <c r="AQ306" s="1073"/>
      <c r="AU306" s="1116">
        <f>$G306</f>
        <v>129396</v>
      </c>
      <c r="AV306" s="1117">
        <f t="shared" si="905"/>
        <v>0</v>
      </c>
      <c r="AW306" s="1117">
        <f t="shared" si="906"/>
        <v>0</v>
      </c>
      <c r="AX306" s="1117">
        <f t="shared" si="907"/>
        <v>129396</v>
      </c>
      <c r="AY306" s="1073"/>
      <c r="BC306" s="1116">
        <f>$G306</f>
        <v>129396</v>
      </c>
      <c r="BD306" s="1117">
        <f t="shared" si="908"/>
        <v>0</v>
      </c>
      <c r="BE306" s="1117">
        <f t="shared" si="909"/>
        <v>0</v>
      </c>
      <c r="BF306" s="1117">
        <f t="shared" si="910"/>
        <v>129396</v>
      </c>
      <c r="BG306" s="1073"/>
      <c r="BK306" s="1116">
        <f>$G306</f>
        <v>129396</v>
      </c>
      <c r="BL306" s="1117">
        <f t="shared" si="911"/>
        <v>0</v>
      </c>
      <c r="BM306" s="1117">
        <f t="shared" si="912"/>
        <v>0</v>
      </c>
      <c r="BN306" s="1117">
        <f t="shared" si="913"/>
        <v>129396</v>
      </c>
      <c r="BO306" s="1073"/>
      <c r="BS306" s="1116">
        <f>$G306</f>
        <v>129396</v>
      </c>
      <c r="BT306" s="1117">
        <f t="shared" si="914"/>
        <v>0</v>
      </c>
      <c r="BU306" s="1117">
        <f t="shared" si="915"/>
        <v>0</v>
      </c>
      <c r="BV306" s="1117">
        <f t="shared" si="916"/>
        <v>129396</v>
      </c>
      <c r="BW306" s="1073"/>
      <c r="CA306" s="1116">
        <f>$G306</f>
        <v>129396</v>
      </c>
      <c r="CB306" s="1117">
        <f t="shared" si="917"/>
        <v>0</v>
      </c>
      <c r="CC306" s="1117">
        <f t="shared" si="918"/>
        <v>0</v>
      </c>
      <c r="CD306" s="1117">
        <f t="shared" si="919"/>
        <v>129396</v>
      </c>
      <c r="CE306" s="1073"/>
      <c r="CI306" s="1116">
        <f>$G306</f>
        <v>129396</v>
      </c>
      <c r="CJ306" s="1117">
        <f t="shared" si="920"/>
        <v>0</v>
      </c>
      <c r="CK306" s="1117">
        <f t="shared" si="921"/>
        <v>0</v>
      </c>
      <c r="CL306" s="1117">
        <f t="shared" si="922"/>
        <v>129396</v>
      </c>
      <c r="CM306" s="1073"/>
      <c r="CQ306" s="1116">
        <f>$G306</f>
        <v>129396</v>
      </c>
      <c r="CR306" s="1117">
        <f t="shared" si="923"/>
        <v>0</v>
      </c>
      <c r="CS306" s="1117">
        <f t="shared" si="924"/>
        <v>0</v>
      </c>
      <c r="CT306" s="1117">
        <f t="shared" si="925"/>
        <v>129396</v>
      </c>
      <c r="CU306" s="1073"/>
      <c r="CY306" s="1116">
        <f>$G306</f>
        <v>129396</v>
      </c>
      <c r="CZ306" s="1117">
        <f t="shared" si="926"/>
        <v>0</v>
      </c>
      <c r="DA306" s="1117">
        <f t="shared" si="927"/>
        <v>0</v>
      </c>
      <c r="DB306" s="1117">
        <f t="shared" si="928"/>
        <v>129396</v>
      </c>
      <c r="DC306" s="1073"/>
      <c r="DG306" s="1116">
        <f>$G306</f>
        <v>129396</v>
      </c>
      <c r="DH306" s="1117">
        <f t="shared" si="929"/>
        <v>0</v>
      </c>
      <c r="DI306" s="1117">
        <f t="shared" si="930"/>
        <v>0</v>
      </c>
      <c r="DJ306" s="1117">
        <f t="shared" si="931"/>
        <v>129396</v>
      </c>
      <c r="DK306" s="1073"/>
      <c r="DO306" s="1116">
        <f>$G306</f>
        <v>129396</v>
      </c>
      <c r="DP306" s="1117">
        <f t="shared" si="932"/>
        <v>0</v>
      </c>
      <c r="DQ306" s="1117">
        <f t="shared" si="933"/>
        <v>0</v>
      </c>
      <c r="DR306" s="1117">
        <f t="shared" si="934"/>
        <v>129396</v>
      </c>
      <c r="DS306" s="1073"/>
      <c r="DW306" s="1116">
        <f>$G306</f>
        <v>129396</v>
      </c>
      <c r="DX306" s="1117">
        <f t="shared" si="935"/>
        <v>0</v>
      </c>
      <c r="DY306" s="1117">
        <f t="shared" si="936"/>
        <v>0</v>
      </c>
      <c r="DZ306" s="1117">
        <f t="shared" si="937"/>
        <v>129396</v>
      </c>
      <c r="EA306" s="1073"/>
      <c r="EE306" s="1116">
        <f>$G306</f>
        <v>129396</v>
      </c>
      <c r="EF306" s="1117">
        <f t="shared" si="938"/>
        <v>0</v>
      </c>
      <c r="EG306" s="1117">
        <f t="shared" si="939"/>
        <v>0</v>
      </c>
      <c r="EH306" s="1117">
        <f t="shared" si="940"/>
        <v>129396</v>
      </c>
      <c r="EI306" s="1073"/>
      <c r="EM306" s="1116">
        <f>$G306</f>
        <v>129396</v>
      </c>
      <c r="EN306" s="1117">
        <f t="shared" si="941"/>
        <v>0</v>
      </c>
      <c r="EO306" s="1117">
        <f t="shared" si="942"/>
        <v>0</v>
      </c>
      <c r="EP306" s="1117">
        <f t="shared" si="943"/>
        <v>129396</v>
      </c>
      <c r="EQ306" s="1073"/>
      <c r="EU306" s="1116">
        <f>$G306</f>
        <v>129396</v>
      </c>
      <c r="EV306" s="1117">
        <f t="shared" si="944"/>
        <v>0</v>
      </c>
      <c r="EW306" s="1117">
        <f t="shared" si="945"/>
        <v>0</v>
      </c>
      <c r="EX306" s="1117">
        <f t="shared" si="946"/>
        <v>129396</v>
      </c>
      <c r="EY306" s="1073"/>
      <c r="FC306" s="1116">
        <f>$G306</f>
        <v>129396</v>
      </c>
      <c r="FD306" s="1117">
        <f t="shared" si="947"/>
        <v>0</v>
      </c>
      <c r="FE306" s="1117">
        <f t="shared" si="948"/>
        <v>0</v>
      </c>
      <c r="FF306" s="1117">
        <f t="shared" si="949"/>
        <v>129396</v>
      </c>
      <c r="FG306" s="1073"/>
      <c r="FK306" s="1116">
        <f>$G306</f>
        <v>129396</v>
      </c>
      <c r="FL306" s="1117">
        <f t="shared" si="950"/>
        <v>0</v>
      </c>
      <c r="FM306" s="1117">
        <f t="shared" si="951"/>
        <v>0</v>
      </c>
      <c r="FN306" s="1117">
        <f t="shared" si="952"/>
        <v>129396</v>
      </c>
      <c r="FO306" s="1073"/>
    </row>
    <row r="307" spans="1:171">
      <c r="A307" s="912"/>
      <c r="B307" s="79" t="s">
        <v>549</v>
      </c>
      <c r="C307" s="888">
        <v>300</v>
      </c>
      <c r="D307" s="889" t="s">
        <v>45</v>
      </c>
      <c r="E307" s="182" t="str">
        <f>'Sch 3B - Other Items'!E31</f>
        <v>PROD</v>
      </c>
      <c r="F307" s="889"/>
      <c r="G307" s="182">
        <f>'Sch 3B - Other Items'!G31</f>
        <v>688332</v>
      </c>
      <c r="H307" s="182">
        <f>'Sch 3B - Other Items'!H31</f>
        <v>688332</v>
      </c>
      <c r="I307" s="182">
        <f>'Sch 3B - Other Items'!I31</f>
        <v>0</v>
      </c>
      <c r="J307" s="183">
        <f>'Sch 3B - Other Items'!J31</f>
        <v>0</v>
      </c>
      <c r="K307" s="903">
        <f t="shared" si="892"/>
        <v>1</v>
      </c>
      <c r="O307" s="1116">
        <f>$G307</f>
        <v>688332</v>
      </c>
      <c r="P307" s="1117">
        <f t="shared" si="893"/>
        <v>688332</v>
      </c>
      <c r="Q307" s="1117">
        <f t="shared" si="894"/>
        <v>0</v>
      </c>
      <c r="R307" s="1117">
        <f t="shared" si="895"/>
        <v>0</v>
      </c>
      <c r="S307" s="1073"/>
      <c r="W307" s="1116">
        <f>$G307</f>
        <v>688332</v>
      </c>
      <c r="X307" s="1117">
        <f t="shared" si="896"/>
        <v>688332</v>
      </c>
      <c r="Y307" s="1117">
        <f t="shared" si="897"/>
        <v>0</v>
      </c>
      <c r="Z307" s="1117">
        <f t="shared" si="898"/>
        <v>0</v>
      </c>
      <c r="AA307" s="1073"/>
      <c r="AE307" s="1116">
        <f>$G307</f>
        <v>688332</v>
      </c>
      <c r="AF307" s="1117">
        <f t="shared" si="899"/>
        <v>688332</v>
      </c>
      <c r="AG307" s="1117">
        <f t="shared" si="900"/>
        <v>0</v>
      </c>
      <c r="AH307" s="1117">
        <f t="shared" si="901"/>
        <v>0</v>
      </c>
      <c r="AI307" s="1073"/>
      <c r="AM307" s="1116">
        <f>$G307</f>
        <v>688332</v>
      </c>
      <c r="AN307" s="1117">
        <f t="shared" si="902"/>
        <v>688332</v>
      </c>
      <c r="AO307" s="1117">
        <f t="shared" si="903"/>
        <v>0</v>
      </c>
      <c r="AP307" s="1117">
        <f t="shared" si="904"/>
        <v>0</v>
      </c>
      <c r="AQ307" s="1073"/>
      <c r="AU307" s="1116">
        <f>$G307</f>
        <v>688332</v>
      </c>
      <c r="AV307" s="1117">
        <f t="shared" si="905"/>
        <v>688332</v>
      </c>
      <c r="AW307" s="1117">
        <f t="shared" si="906"/>
        <v>0</v>
      </c>
      <c r="AX307" s="1117">
        <f t="shared" si="907"/>
        <v>0</v>
      </c>
      <c r="AY307" s="1073"/>
      <c r="BC307" s="1116">
        <f>$G307</f>
        <v>688332</v>
      </c>
      <c r="BD307" s="1117">
        <f t="shared" si="908"/>
        <v>688332</v>
      </c>
      <c r="BE307" s="1117">
        <f t="shared" si="909"/>
        <v>0</v>
      </c>
      <c r="BF307" s="1117">
        <f t="shared" si="910"/>
        <v>0</v>
      </c>
      <c r="BG307" s="1073"/>
      <c r="BK307" s="1116">
        <f>$G307</f>
        <v>688332</v>
      </c>
      <c r="BL307" s="1117">
        <f t="shared" si="911"/>
        <v>688332</v>
      </c>
      <c r="BM307" s="1117">
        <f t="shared" si="912"/>
        <v>0</v>
      </c>
      <c r="BN307" s="1117">
        <f t="shared" si="913"/>
        <v>0</v>
      </c>
      <c r="BO307" s="1073"/>
      <c r="BS307" s="1116">
        <f>$G307</f>
        <v>688332</v>
      </c>
      <c r="BT307" s="1117">
        <f t="shared" si="914"/>
        <v>688332</v>
      </c>
      <c r="BU307" s="1117">
        <f t="shared" si="915"/>
        <v>0</v>
      </c>
      <c r="BV307" s="1117">
        <f t="shared" si="916"/>
        <v>0</v>
      </c>
      <c r="BW307" s="1073"/>
      <c r="CA307" s="1116">
        <f>$G307</f>
        <v>688332</v>
      </c>
      <c r="CB307" s="1117">
        <f t="shared" si="917"/>
        <v>688332</v>
      </c>
      <c r="CC307" s="1117">
        <f t="shared" si="918"/>
        <v>0</v>
      </c>
      <c r="CD307" s="1117">
        <f t="shared" si="919"/>
        <v>0</v>
      </c>
      <c r="CE307" s="1073"/>
      <c r="CI307" s="1116">
        <f>$G307</f>
        <v>688332</v>
      </c>
      <c r="CJ307" s="1117">
        <f t="shared" si="920"/>
        <v>688332</v>
      </c>
      <c r="CK307" s="1117">
        <f t="shared" si="921"/>
        <v>0</v>
      </c>
      <c r="CL307" s="1117">
        <f t="shared" si="922"/>
        <v>0</v>
      </c>
      <c r="CM307" s="1073"/>
      <c r="CQ307" s="1116">
        <f>$G307</f>
        <v>688332</v>
      </c>
      <c r="CR307" s="1117">
        <f t="shared" si="923"/>
        <v>688332</v>
      </c>
      <c r="CS307" s="1117">
        <f t="shared" si="924"/>
        <v>0</v>
      </c>
      <c r="CT307" s="1117">
        <f t="shared" si="925"/>
        <v>0</v>
      </c>
      <c r="CU307" s="1073"/>
      <c r="CY307" s="1116">
        <f>$G307</f>
        <v>688332</v>
      </c>
      <c r="CZ307" s="1117">
        <f t="shared" si="926"/>
        <v>688332</v>
      </c>
      <c r="DA307" s="1117">
        <f t="shared" si="927"/>
        <v>0</v>
      </c>
      <c r="DB307" s="1117">
        <f t="shared" si="928"/>
        <v>0</v>
      </c>
      <c r="DC307" s="1073"/>
      <c r="DG307" s="1116">
        <f>$G307</f>
        <v>688332</v>
      </c>
      <c r="DH307" s="1117">
        <f t="shared" si="929"/>
        <v>688332</v>
      </c>
      <c r="DI307" s="1117">
        <f t="shared" si="930"/>
        <v>0</v>
      </c>
      <c r="DJ307" s="1117">
        <f t="shared" si="931"/>
        <v>0</v>
      </c>
      <c r="DK307" s="1073"/>
      <c r="DO307" s="1116">
        <f>$G307</f>
        <v>688332</v>
      </c>
      <c r="DP307" s="1117">
        <f t="shared" si="932"/>
        <v>688332</v>
      </c>
      <c r="DQ307" s="1117">
        <f t="shared" si="933"/>
        <v>0</v>
      </c>
      <c r="DR307" s="1117">
        <f t="shared" si="934"/>
        <v>0</v>
      </c>
      <c r="DS307" s="1073"/>
      <c r="DW307" s="1116">
        <f>$G307</f>
        <v>688332</v>
      </c>
      <c r="DX307" s="1117">
        <f t="shared" si="935"/>
        <v>688332</v>
      </c>
      <c r="DY307" s="1117">
        <f t="shared" si="936"/>
        <v>0</v>
      </c>
      <c r="DZ307" s="1117">
        <f t="shared" si="937"/>
        <v>0</v>
      </c>
      <c r="EA307" s="1073"/>
      <c r="EE307" s="1116">
        <f>$G307</f>
        <v>688332</v>
      </c>
      <c r="EF307" s="1117">
        <f t="shared" si="938"/>
        <v>688332</v>
      </c>
      <c r="EG307" s="1117">
        <f t="shared" si="939"/>
        <v>0</v>
      </c>
      <c r="EH307" s="1117">
        <f t="shared" si="940"/>
        <v>0</v>
      </c>
      <c r="EI307" s="1073"/>
      <c r="EM307" s="1116">
        <f>$G307</f>
        <v>688332</v>
      </c>
      <c r="EN307" s="1117">
        <f t="shared" si="941"/>
        <v>688332</v>
      </c>
      <c r="EO307" s="1117">
        <f t="shared" si="942"/>
        <v>0</v>
      </c>
      <c r="EP307" s="1117">
        <f t="shared" si="943"/>
        <v>0</v>
      </c>
      <c r="EQ307" s="1073"/>
      <c r="EU307" s="1116">
        <f>$G307</f>
        <v>688332</v>
      </c>
      <c r="EV307" s="1117">
        <f t="shared" si="944"/>
        <v>688332</v>
      </c>
      <c r="EW307" s="1117">
        <f t="shared" si="945"/>
        <v>0</v>
      </c>
      <c r="EX307" s="1117">
        <f t="shared" si="946"/>
        <v>0</v>
      </c>
      <c r="EY307" s="1073"/>
      <c r="FC307" s="1116">
        <f>$G307</f>
        <v>688332</v>
      </c>
      <c r="FD307" s="1117">
        <f t="shared" si="947"/>
        <v>688332</v>
      </c>
      <c r="FE307" s="1117">
        <f t="shared" si="948"/>
        <v>0</v>
      </c>
      <c r="FF307" s="1117">
        <f t="shared" si="949"/>
        <v>0</v>
      </c>
      <c r="FG307" s="1073"/>
      <c r="FK307" s="1116">
        <f>$G307</f>
        <v>688332</v>
      </c>
      <c r="FL307" s="1117">
        <f t="shared" si="950"/>
        <v>688332</v>
      </c>
      <c r="FM307" s="1117">
        <f t="shared" si="951"/>
        <v>0</v>
      </c>
      <c r="FN307" s="1117">
        <f t="shared" si="952"/>
        <v>0</v>
      </c>
      <c r="FO307" s="1073"/>
    </row>
    <row r="308" spans="1:171">
      <c r="A308" s="912"/>
      <c r="B308" s="79" t="s">
        <v>548</v>
      </c>
      <c r="C308" s="888">
        <v>300</v>
      </c>
      <c r="D308" s="889" t="s">
        <v>46</v>
      </c>
      <c r="E308" s="182" t="str">
        <f>'Sch 3B - Other Items'!E32</f>
        <v>TD</v>
      </c>
      <c r="F308" s="889"/>
      <c r="G308" s="182">
        <f>'Sch 3B - Other Items'!G32</f>
        <v>7542853</v>
      </c>
      <c r="H308" s="182">
        <f>'Sch 3B - Other Items'!H32</f>
        <v>0</v>
      </c>
      <c r="I308" s="182">
        <f>'Sch 3B - Other Items'!I32</f>
        <v>0</v>
      </c>
      <c r="J308" s="183">
        <f>'Sch 3B - Other Items'!J32</f>
        <v>7542853</v>
      </c>
      <c r="K308" s="903">
        <f t="shared" si="892"/>
        <v>1</v>
      </c>
      <c r="O308" s="1116">
        <f>$G308</f>
        <v>7542853</v>
      </c>
      <c r="P308" s="1117">
        <f t="shared" si="893"/>
        <v>0</v>
      </c>
      <c r="Q308" s="1117">
        <f t="shared" si="894"/>
        <v>2302499.2819598946</v>
      </c>
      <c r="R308" s="1117">
        <f t="shared" si="895"/>
        <v>5240353.718040105</v>
      </c>
      <c r="S308" s="1073"/>
      <c r="W308" s="1116">
        <f>$G308</f>
        <v>7542853</v>
      </c>
      <c r="X308" s="1117">
        <f t="shared" si="896"/>
        <v>0</v>
      </c>
      <c r="Y308" s="1117">
        <f t="shared" si="897"/>
        <v>2302499.2819598946</v>
      </c>
      <c r="Z308" s="1117">
        <f t="shared" si="898"/>
        <v>5240353.718040105</v>
      </c>
      <c r="AA308" s="1073"/>
      <c r="AE308" s="1116">
        <f>$G308</f>
        <v>7542853</v>
      </c>
      <c r="AF308" s="1117">
        <f t="shared" si="899"/>
        <v>0</v>
      </c>
      <c r="AG308" s="1117">
        <f t="shared" si="900"/>
        <v>2302499.2819598946</v>
      </c>
      <c r="AH308" s="1117">
        <f t="shared" si="901"/>
        <v>5240353.718040105</v>
      </c>
      <c r="AI308" s="1073"/>
      <c r="AM308" s="1116">
        <f>$G308</f>
        <v>7542853</v>
      </c>
      <c r="AN308" s="1117">
        <f t="shared" si="902"/>
        <v>0</v>
      </c>
      <c r="AO308" s="1117">
        <f t="shared" si="903"/>
        <v>2302499.2819598946</v>
      </c>
      <c r="AP308" s="1117">
        <f t="shared" si="904"/>
        <v>5240353.718040105</v>
      </c>
      <c r="AQ308" s="1073"/>
      <c r="AU308" s="1116">
        <f>$G308</f>
        <v>7542853</v>
      </c>
      <c r="AV308" s="1117">
        <f t="shared" si="905"/>
        <v>0</v>
      </c>
      <c r="AW308" s="1117">
        <f t="shared" si="906"/>
        <v>2302499.2819598946</v>
      </c>
      <c r="AX308" s="1117">
        <f t="shared" si="907"/>
        <v>5240353.718040105</v>
      </c>
      <c r="AY308" s="1073"/>
      <c r="BC308" s="1116">
        <f>$G308</f>
        <v>7542853</v>
      </c>
      <c r="BD308" s="1117">
        <f t="shared" si="908"/>
        <v>0</v>
      </c>
      <c r="BE308" s="1117">
        <f t="shared" si="909"/>
        <v>2302499.2819598946</v>
      </c>
      <c r="BF308" s="1117">
        <f t="shared" si="910"/>
        <v>5240353.718040105</v>
      </c>
      <c r="BG308" s="1073"/>
      <c r="BK308" s="1116">
        <f>$G308</f>
        <v>7542853</v>
      </c>
      <c r="BL308" s="1117">
        <f t="shared" si="911"/>
        <v>0</v>
      </c>
      <c r="BM308" s="1117">
        <f t="shared" si="912"/>
        <v>2302499.2819598946</v>
      </c>
      <c r="BN308" s="1117">
        <f t="shared" si="913"/>
        <v>5240353.718040105</v>
      </c>
      <c r="BO308" s="1073"/>
      <c r="BS308" s="1116">
        <f>$G308</f>
        <v>7542853</v>
      </c>
      <c r="BT308" s="1117">
        <f t="shared" si="914"/>
        <v>0</v>
      </c>
      <c r="BU308" s="1117">
        <f t="shared" si="915"/>
        <v>2302499.2819598946</v>
      </c>
      <c r="BV308" s="1117">
        <f t="shared" si="916"/>
        <v>5240353.718040105</v>
      </c>
      <c r="BW308" s="1073"/>
      <c r="CA308" s="1116">
        <f>$G308</f>
        <v>7542853</v>
      </c>
      <c r="CB308" s="1117">
        <f t="shared" si="917"/>
        <v>0</v>
      </c>
      <c r="CC308" s="1117">
        <f t="shared" si="918"/>
        <v>2302499.2819598946</v>
      </c>
      <c r="CD308" s="1117">
        <f t="shared" si="919"/>
        <v>5240353.718040105</v>
      </c>
      <c r="CE308" s="1073"/>
      <c r="CI308" s="1116">
        <f>$G308</f>
        <v>7542853</v>
      </c>
      <c r="CJ308" s="1117">
        <f t="shared" si="920"/>
        <v>0</v>
      </c>
      <c r="CK308" s="1117">
        <f t="shared" si="921"/>
        <v>2302499.2819598946</v>
      </c>
      <c r="CL308" s="1117">
        <f t="shared" si="922"/>
        <v>5240353.718040105</v>
      </c>
      <c r="CM308" s="1073"/>
      <c r="CQ308" s="1116">
        <f>$G308</f>
        <v>7542853</v>
      </c>
      <c r="CR308" s="1117">
        <f t="shared" si="923"/>
        <v>0</v>
      </c>
      <c r="CS308" s="1117">
        <f t="shared" si="924"/>
        <v>2302499.2819598946</v>
      </c>
      <c r="CT308" s="1117">
        <f t="shared" si="925"/>
        <v>5240353.718040105</v>
      </c>
      <c r="CU308" s="1073"/>
      <c r="CY308" s="1116">
        <f>$G308</f>
        <v>7542853</v>
      </c>
      <c r="CZ308" s="1117">
        <f t="shared" si="926"/>
        <v>0</v>
      </c>
      <c r="DA308" s="1117">
        <f t="shared" si="927"/>
        <v>2302499.2819598946</v>
      </c>
      <c r="DB308" s="1117">
        <f t="shared" si="928"/>
        <v>5240353.718040105</v>
      </c>
      <c r="DC308" s="1073"/>
      <c r="DG308" s="1116">
        <f>$G308</f>
        <v>7542853</v>
      </c>
      <c r="DH308" s="1117">
        <f t="shared" si="929"/>
        <v>0</v>
      </c>
      <c r="DI308" s="1117">
        <f t="shared" si="930"/>
        <v>2302499.2819598946</v>
      </c>
      <c r="DJ308" s="1117">
        <f t="shared" si="931"/>
        <v>5240353.718040105</v>
      </c>
      <c r="DK308" s="1073"/>
      <c r="DO308" s="1116">
        <f>$G308</f>
        <v>7542853</v>
      </c>
      <c r="DP308" s="1117">
        <f t="shared" si="932"/>
        <v>0</v>
      </c>
      <c r="DQ308" s="1117">
        <f t="shared" si="933"/>
        <v>2302499.2819598946</v>
      </c>
      <c r="DR308" s="1117">
        <f t="shared" si="934"/>
        <v>5240353.718040105</v>
      </c>
      <c r="DS308" s="1073"/>
      <c r="DW308" s="1116">
        <f>$G308</f>
        <v>7542853</v>
      </c>
      <c r="DX308" s="1117">
        <f t="shared" si="935"/>
        <v>0</v>
      </c>
      <c r="DY308" s="1117">
        <f t="shared" si="936"/>
        <v>2302499.2819598946</v>
      </c>
      <c r="DZ308" s="1117">
        <f t="shared" si="937"/>
        <v>5240353.718040105</v>
      </c>
      <c r="EA308" s="1073"/>
      <c r="EE308" s="1116">
        <f>$G308</f>
        <v>7542853</v>
      </c>
      <c r="EF308" s="1117">
        <f t="shared" si="938"/>
        <v>0</v>
      </c>
      <c r="EG308" s="1117">
        <f t="shared" si="939"/>
        <v>2302499.2819598946</v>
      </c>
      <c r="EH308" s="1117">
        <f t="shared" si="940"/>
        <v>5240353.718040105</v>
      </c>
      <c r="EI308" s="1073"/>
      <c r="EM308" s="1116">
        <f>$G308</f>
        <v>7542853</v>
      </c>
      <c r="EN308" s="1117">
        <f t="shared" si="941"/>
        <v>0</v>
      </c>
      <c r="EO308" s="1117">
        <f t="shared" si="942"/>
        <v>2302499.2819598946</v>
      </c>
      <c r="EP308" s="1117">
        <f t="shared" si="943"/>
        <v>5240353.718040105</v>
      </c>
      <c r="EQ308" s="1073"/>
      <c r="EU308" s="1116">
        <f>$G308</f>
        <v>7542853</v>
      </c>
      <c r="EV308" s="1117">
        <f t="shared" si="944"/>
        <v>0</v>
      </c>
      <c r="EW308" s="1117">
        <f t="shared" si="945"/>
        <v>2302499.2819598946</v>
      </c>
      <c r="EX308" s="1117">
        <f t="shared" si="946"/>
        <v>5240353.718040105</v>
      </c>
      <c r="EY308" s="1073"/>
      <c r="FC308" s="1116">
        <f>$G308</f>
        <v>7542853</v>
      </c>
      <c r="FD308" s="1117">
        <f t="shared" si="947"/>
        <v>0</v>
      </c>
      <c r="FE308" s="1117">
        <f t="shared" si="948"/>
        <v>2302499.2819598946</v>
      </c>
      <c r="FF308" s="1117">
        <f t="shared" si="949"/>
        <v>5240353.718040105</v>
      </c>
      <c r="FG308" s="1073"/>
      <c r="FK308" s="1116">
        <f>$G308</f>
        <v>7542853</v>
      </c>
      <c r="FL308" s="1117">
        <f t="shared" si="950"/>
        <v>0</v>
      </c>
      <c r="FM308" s="1117">
        <f t="shared" si="951"/>
        <v>2302499.2819598946</v>
      </c>
      <c r="FN308" s="1117">
        <f t="shared" si="952"/>
        <v>5240353.718040105</v>
      </c>
      <c r="FO308" s="1073"/>
    </row>
    <row r="309" spans="1:171">
      <c r="A309" s="912"/>
      <c r="B309" s="79" t="s">
        <v>329</v>
      </c>
      <c r="C309" s="888">
        <v>300</v>
      </c>
      <c r="D309" s="889">
        <v>455</v>
      </c>
      <c r="E309" s="182" t="str">
        <f>'Sch 3B - Other Items'!E33</f>
        <v>DIST</v>
      </c>
      <c r="F309" s="889"/>
      <c r="G309" s="182">
        <f>'Sch 3B - Other Items'!G33</f>
        <v>0</v>
      </c>
      <c r="H309" s="182">
        <f>'Sch 3B - Other Items'!H33</f>
        <v>0</v>
      </c>
      <c r="I309" s="182">
        <f>'Sch 3B - Other Items'!I33</f>
        <v>0</v>
      </c>
      <c r="J309" s="183">
        <f>'Sch 3B - Other Items'!J33</f>
        <v>0</v>
      </c>
      <c r="K309" s="903">
        <f t="shared" si="892"/>
        <v>1</v>
      </c>
      <c r="O309" s="1116">
        <f>$G309</f>
        <v>0</v>
      </c>
      <c r="P309" s="1117">
        <f t="shared" si="893"/>
        <v>0</v>
      </c>
      <c r="Q309" s="1117">
        <f t="shared" si="894"/>
        <v>0</v>
      </c>
      <c r="R309" s="1117">
        <f t="shared" si="895"/>
        <v>0</v>
      </c>
      <c r="S309" s="1073"/>
      <c r="W309" s="1116">
        <f>$G309</f>
        <v>0</v>
      </c>
      <c r="X309" s="1117">
        <f t="shared" si="896"/>
        <v>0</v>
      </c>
      <c r="Y309" s="1117">
        <f t="shared" si="897"/>
        <v>0</v>
      </c>
      <c r="Z309" s="1117">
        <f t="shared" si="898"/>
        <v>0</v>
      </c>
      <c r="AA309" s="1073"/>
      <c r="AE309" s="1116">
        <f>$G309</f>
        <v>0</v>
      </c>
      <c r="AF309" s="1117">
        <f t="shared" si="899"/>
        <v>0</v>
      </c>
      <c r="AG309" s="1117">
        <f t="shared" si="900"/>
        <v>0</v>
      </c>
      <c r="AH309" s="1117">
        <f t="shared" si="901"/>
        <v>0</v>
      </c>
      <c r="AI309" s="1073"/>
      <c r="AM309" s="1116">
        <f>$G309</f>
        <v>0</v>
      </c>
      <c r="AN309" s="1117">
        <f t="shared" si="902"/>
        <v>0</v>
      </c>
      <c r="AO309" s="1117">
        <f t="shared" si="903"/>
        <v>0</v>
      </c>
      <c r="AP309" s="1117">
        <f t="shared" si="904"/>
        <v>0</v>
      </c>
      <c r="AQ309" s="1073"/>
      <c r="AU309" s="1116">
        <f>$G309</f>
        <v>0</v>
      </c>
      <c r="AV309" s="1117">
        <f t="shared" si="905"/>
        <v>0</v>
      </c>
      <c r="AW309" s="1117">
        <f t="shared" si="906"/>
        <v>0</v>
      </c>
      <c r="AX309" s="1117">
        <f t="shared" si="907"/>
        <v>0</v>
      </c>
      <c r="AY309" s="1073"/>
      <c r="BC309" s="1116">
        <f>$G309</f>
        <v>0</v>
      </c>
      <c r="BD309" s="1117">
        <f t="shared" si="908"/>
        <v>0</v>
      </c>
      <c r="BE309" s="1117">
        <f t="shared" si="909"/>
        <v>0</v>
      </c>
      <c r="BF309" s="1117">
        <f t="shared" si="910"/>
        <v>0</v>
      </c>
      <c r="BG309" s="1073"/>
      <c r="BK309" s="1116">
        <f>$G309</f>
        <v>0</v>
      </c>
      <c r="BL309" s="1117">
        <f t="shared" si="911"/>
        <v>0</v>
      </c>
      <c r="BM309" s="1117">
        <f t="shared" si="912"/>
        <v>0</v>
      </c>
      <c r="BN309" s="1117">
        <f t="shared" si="913"/>
        <v>0</v>
      </c>
      <c r="BO309" s="1073"/>
      <c r="BS309" s="1116">
        <f>$G309</f>
        <v>0</v>
      </c>
      <c r="BT309" s="1117">
        <f t="shared" si="914"/>
        <v>0</v>
      </c>
      <c r="BU309" s="1117">
        <f t="shared" si="915"/>
        <v>0</v>
      </c>
      <c r="BV309" s="1117">
        <f t="shared" si="916"/>
        <v>0</v>
      </c>
      <c r="BW309" s="1073"/>
      <c r="CA309" s="1116">
        <f>$G309</f>
        <v>0</v>
      </c>
      <c r="CB309" s="1117">
        <f t="shared" si="917"/>
        <v>0</v>
      </c>
      <c r="CC309" s="1117">
        <f t="shared" si="918"/>
        <v>0</v>
      </c>
      <c r="CD309" s="1117">
        <f t="shared" si="919"/>
        <v>0</v>
      </c>
      <c r="CE309" s="1073"/>
      <c r="CI309" s="1116">
        <f>$G309</f>
        <v>0</v>
      </c>
      <c r="CJ309" s="1117">
        <f t="shared" si="920"/>
        <v>0</v>
      </c>
      <c r="CK309" s="1117">
        <f t="shared" si="921"/>
        <v>0</v>
      </c>
      <c r="CL309" s="1117">
        <f t="shared" si="922"/>
        <v>0</v>
      </c>
      <c r="CM309" s="1073"/>
      <c r="CQ309" s="1116">
        <f>$G309</f>
        <v>0</v>
      </c>
      <c r="CR309" s="1117">
        <f t="shared" si="923"/>
        <v>0</v>
      </c>
      <c r="CS309" s="1117">
        <f t="shared" si="924"/>
        <v>0</v>
      </c>
      <c r="CT309" s="1117">
        <f t="shared" si="925"/>
        <v>0</v>
      </c>
      <c r="CU309" s="1073"/>
      <c r="CY309" s="1116">
        <f>$G309</f>
        <v>0</v>
      </c>
      <c r="CZ309" s="1117">
        <f t="shared" si="926"/>
        <v>0</v>
      </c>
      <c r="DA309" s="1117">
        <f t="shared" si="927"/>
        <v>0</v>
      </c>
      <c r="DB309" s="1117">
        <f t="shared" si="928"/>
        <v>0</v>
      </c>
      <c r="DC309" s="1073"/>
      <c r="DG309" s="1116">
        <f>$G309</f>
        <v>0</v>
      </c>
      <c r="DH309" s="1117">
        <f t="shared" si="929"/>
        <v>0</v>
      </c>
      <c r="DI309" s="1117">
        <f t="shared" si="930"/>
        <v>0</v>
      </c>
      <c r="DJ309" s="1117">
        <f t="shared" si="931"/>
        <v>0</v>
      </c>
      <c r="DK309" s="1073"/>
      <c r="DO309" s="1116">
        <f>$G309</f>
        <v>0</v>
      </c>
      <c r="DP309" s="1117">
        <f t="shared" si="932"/>
        <v>0</v>
      </c>
      <c r="DQ309" s="1117">
        <f t="shared" si="933"/>
        <v>0</v>
      </c>
      <c r="DR309" s="1117">
        <f t="shared" si="934"/>
        <v>0</v>
      </c>
      <c r="DS309" s="1073"/>
      <c r="DW309" s="1116">
        <f>$G309</f>
        <v>0</v>
      </c>
      <c r="DX309" s="1117">
        <f t="shared" si="935"/>
        <v>0</v>
      </c>
      <c r="DY309" s="1117">
        <f t="shared" si="936"/>
        <v>0</v>
      </c>
      <c r="DZ309" s="1117">
        <f t="shared" si="937"/>
        <v>0</v>
      </c>
      <c r="EA309" s="1073"/>
      <c r="EE309" s="1116">
        <f>$G309</f>
        <v>0</v>
      </c>
      <c r="EF309" s="1117">
        <f t="shared" si="938"/>
        <v>0</v>
      </c>
      <c r="EG309" s="1117">
        <f t="shared" si="939"/>
        <v>0</v>
      </c>
      <c r="EH309" s="1117">
        <f t="shared" si="940"/>
        <v>0</v>
      </c>
      <c r="EI309" s="1073"/>
      <c r="EM309" s="1116">
        <f>$G309</f>
        <v>0</v>
      </c>
      <c r="EN309" s="1117">
        <f t="shared" si="941"/>
        <v>0</v>
      </c>
      <c r="EO309" s="1117">
        <f t="shared" si="942"/>
        <v>0</v>
      </c>
      <c r="EP309" s="1117">
        <f t="shared" si="943"/>
        <v>0</v>
      </c>
      <c r="EQ309" s="1073"/>
      <c r="EU309" s="1116">
        <f>$G309</f>
        <v>0</v>
      </c>
      <c r="EV309" s="1117">
        <f t="shared" si="944"/>
        <v>0</v>
      </c>
      <c r="EW309" s="1117">
        <f t="shared" si="945"/>
        <v>0</v>
      </c>
      <c r="EX309" s="1117">
        <f t="shared" si="946"/>
        <v>0</v>
      </c>
      <c r="EY309" s="1073"/>
      <c r="FC309" s="1116">
        <f>$G309</f>
        <v>0</v>
      </c>
      <c r="FD309" s="1117">
        <f t="shared" si="947"/>
        <v>0</v>
      </c>
      <c r="FE309" s="1117">
        <f t="shared" si="948"/>
        <v>0</v>
      </c>
      <c r="FF309" s="1117">
        <f t="shared" si="949"/>
        <v>0</v>
      </c>
      <c r="FG309" s="1073"/>
      <c r="FK309" s="1116">
        <f>$G309</f>
        <v>0</v>
      </c>
      <c r="FL309" s="1117">
        <f t="shared" si="950"/>
        <v>0</v>
      </c>
      <c r="FM309" s="1117">
        <f t="shared" si="951"/>
        <v>0</v>
      </c>
      <c r="FN309" s="1117">
        <f t="shared" si="952"/>
        <v>0</v>
      </c>
      <c r="FO309" s="1073"/>
    </row>
    <row r="310" spans="1:171">
      <c r="A310" s="1392">
        <v>920</v>
      </c>
      <c r="B310" s="79" t="s">
        <v>328</v>
      </c>
      <c r="C310" s="888">
        <v>300</v>
      </c>
      <c r="D310" s="889" t="s">
        <v>47</v>
      </c>
      <c r="E310" s="182" t="str">
        <f>'Sch 3B - Other Items'!E34</f>
        <v>DIRECT</v>
      </c>
      <c r="F310" s="889"/>
      <c r="G310" s="182">
        <f>'Sch 3B - Other Items'!G34</f>
        <v>2198927</v>
      </c>
      <c r="H310" s="182">
        <f>'Sch 3B - Other Items'!H34</f>
        <v>-52738265.199999996</v>
      </c>
      <c r="I310" s="182">
        <f>'Sch 3B - Other Items'!I34</f>
        <v>0</v>
      </c>
      <c r="J310" s="183">
        <f>'Sch 3B - Other Items'!J34</f>
        <v>54937192.220000006</v>
      </c>
      <c r="K310" s="903">
        <f t="shared" si="892"/>
        <v>0</v>
      </c>
      <c r="N310" s="1129">
        <f>VLOOKUP($A310,'New Resources - Individual'!$A$4:$Y$133,N$2,FALSE)*N$1</f>
        <v>0</v>
      </c>
      <c r="O310" s="1116">
        <f>$G310+N310</f>
        <v>2198927</v>
      </c>
      <c r="P310" s="1117">
        <f t="shared" si="893"/>
        <v>-52738265.199999996</v>
      </c>
      <c r="Q310" s="1117">
        <f t="shared" si="894"/>
        <v>0</v>
      </c>
      <c r="R310" s="1117">
        <f t="shared" si="895"/>
        <v>54937192.199999996</v>
      </c>
      <c r="S310" s="1073"/>
      <c r="V310" s="1129">
        <f>VLOOKUP($A310,'New Resources - Individual'!$A$4:$Y$133,V$2,FALSE)*V$1</f>
        <v>0</v>
      </c>
      <c r="W310" s="1116">
        <f>$G310+V310</f>
        <v>2198927</v>
      </c>
      <c r="X310" s="1117">
        <f t="shared" si="896"/>
        <v>-52738265.199999996</v>
      </c>
      <c r="Y310" s="1117">
        <f t="shared" si="897"/>
        <v>0</v>
      </c>
      <c r="Z310" s="1117">
        <f t="shared" si="898"/>
        <v>54937192.199999996</v>
      </c>
      <c r="AA310" s="1073"/>
      <c r="AD310" s="1129">
        <f>VLOOKUP($A310,'New Resources - Individual'!$A$4:$Y$133,AD$2,FALSE)*AD$1</f>
        <v>0</v>
      </c>
      <c r="AE310" s="1116">
        <f>$G310+AD310</f>
        <v>2198927</v>
      </c>
      <c r="AF310" s="1117">
        <f t="shared" si="899"/>
        <v>-52738265.199999996</v>
      </c>
      <c r="AG310" s="1117">
        <f t="shared" si="900"/>
        <v>0</v>
      </c>
      <c r="AH310" s="1117">
        <f t="shared" si="901"/>
        <v>54937192.199999996</v>
      </c>
      <c r="AI310" s="1073"/>
      <c r="AL310" s="1129">
        <f>VLOOKUP($A310,'New Resources - Individual'!$A$4:$Y$133,AL$2,FALSE)*AL$1</f>
        <v>0</v>
      </c>
      <c r="AM310" s="1116">
        <f>$G310+AL310</f>
        <v>2198927</v>
      </c>
      <c r="AN310" s="1117">
        <f t="shared" si="902"/>
        <v>-52738265.199999996</v>
      </c>
      <c r="AO310" s="1117">
        <f t="shared" si="903"/>
        <v>0</v>
      </c>
      <c r="AP310" s="1117">
        <f t="shared" si="904"/>
        <v>54937192.199999996</v>
      </c>
      <c r="AQ310" s="1073"/>
      <c r="AT310" s="1129">
        <f>VLOOKUP($A310,'New Resources - Individual'!$A$4:$Y$133,AT$2,FALSE)*AT$1</f>
        <v>0</v>
      </c>
      <c r="AU310" s="1116">
        <f>$G310+AT310</f>
        <v>2198927</v>
      </c>
      <c r="AV310" s="1117">
        <f t="shared" si="905"/>
        <v>-52738265.199999996</v>
      </c>
      <c r="AW310" s="1117">
        <f t="shared" si="906"/>
        <v>0</v>
      </c>
      <c r="AX310" s="1117">
        <f t="shared" si="907"/>
        <v>54937192.199999996</v>
      </c>
      <c r="AY310" s="1073"/>
      <c r="BB310" s="1129">
        <f>VLOOKUP($A310,'New Resources - Individual'!$A$4:$Y$133,BB$2,FALSE)*BB$1</f>
        <v>0</v>
      </c>
      <c r="BC310" s="1116">
        <f>$G310+BB310</f>
        <v>2198927</v>
      </c>
      <c r="BD310" s="1117">
        <f t="shared" si="908"/>
        <v>-52738265.199999996</v>
      </c>
      <c r="BE310" s="1117">
        <f t="shared" si="909"/>
        <v>0</v>
      </c>
      <c r="BF310" s="1117">
        <f t="shared" si="910"/>
        <v>54937192.199999996</v>
      </c>
      <c r="BG310" s="1073"/>
      <c r="BJ310" s="1129">
        <f>VLOOKUP($A310,'New Resources - Individual'!$A$4:$Y$133,BJ$2,FALSE)*BJ$1</f>
        <v>0</v>
      </c>
      <c r="BK310" s="1116">
        <f>$G310+BJ310</f>
        <v>2198927</v>
      </c>
      <c r="BL310" s="1117">
        <f t="shared" si="911"/>
        <v>-52738265.199999996</v>
      </c>
      <c r="BM310" s="1117">
        <f t="shared" si="912"/>
        <v>0</v>
      </c>
      <c r="BN310" s="1117">
        <f t="shared" si="913"/>
        <v>54937192.199999996</v>
      </c>
      <c r="BO310" s="1073"/>
      <c r="BR310" s="1129">
        <f>VLOOKUP($A310,'New Resources - Individual'!$A$4:$Y$133,BR$2,FALSE)*BR$1</f>
        <v>0</v>
      </c>
      <c r="BS310" s="1116">
        <f>$G310+BR310</f>
        <v>2198927</v>
      </c>
      <c r="BT310" s="1117">
        <f t="shared" si="914"/>
        <v>-52738265.199999996</v>
      </c>
      <c r="BU310" s="1117">
        <f t="shared" si="915"/>
        <v>0</v>
      </c>
      <c r="BV310" s="1117">
        <f t="shared" si="916"/>
        <v>54937192.199999996</v>
      </c>
      <c r="BW310" s="1073"/>
      <c r="BZ310" s="1129">
        <f>VLOOKUP($A310,'New Resources - Individual'!$A$4:$Y$133,BZ$2,FALSE)*BZ$1</f>
        <v>0</v>
      </c>
      <c r="CA310" s="1116">
        <f>$G310+BZ310</f>
        <v>2198927</v>
      </c>
      <c r="CB310" s="1117">
        <f t="shared" si="917"/>
        <v>-52738265.199999996</v>
      </c>
      <c r="CC310" s="1117">
        <f t="shared" si="918"/>
        <v>0</v>
      </c>
      <c r="CD310" s="1117">
        <f t="shared" si="919"/>
        <v>54937192.199999996</v>
      </c>
      <c r="CE310" s="1073"/>
      <c r="CH310" s="1129">
        <f>VLOOKUP($A310,'New Resources - Individual'!$A$4:$Y$133,CH$2,FALSE)*CH$1</f>
        <v>0</v>
      </c>
      <c r="CI310" s="1116">
        <f>$G310+CH310</f>
        <v>2198927</v>
      </c>
      <c r="CJ310" s="1117">
        <f t="shared" si="920"/>
        <v>-52738265.199999996</v>
      </c>
      <c r="CK310" s="1117">
        <f t="shared" si="921"/>
        <v>0</v>
      </c>
      <c r="CL310" s="1117">
        <f t="shared" si="922"/>
        <v>54937192.199999996</v>
      </c>
      <c r="CM310" s="1073"/>
      <c r="CP310" s="1129">
        <f>VLOOKUP($A310,'New Resources - Individual'!$A$4:$Y$133,CP$2,FALSE)*CP$1</f>
        <v>0</v>
      </c>
      <c r="CQ310" s="1116">
        <f>$G310+CP310</f>
        <v>2198927</v>
      </c>
      <c r="CR310" s="1117">
        <f t="shared" si="923"/>
        <v>-52738265.199999996</v>
      </c>
      <c r="CS310" s="1117">
        <f t="shared" si="924"/>
        <v>0</v>
      </c>
      <c r="CT310" s="1117">
        <f t="shared" si="925"/>
        <v>54937192.199999996</v>
      </c>
      <c r="CU310" s="1073"/>
      <c r="CX310" s="1129">
        <f>VLOOKUP($A310,'New Resources - Individual'!$A$4:$Y$133,CX$2,FALSE)*CX$1</f>
        <v>0</v>
      </c>
      <c r="CY310" s="1116">
        <f>$G310+CX310</f>
        <v>2198927</v>
      </c>
      <c r="CZ310" s="1117">
        <f t="shared" si="926"/>
        <v>-52738265.199999996</v>
      </c>
      <c r="DA310" s="1117">
        <f t="shared" si="927"/>
        <v>0</v>
      </c>
      <c r="DB310" s="1117">
        <f t="shared" si="928"/>
        <v>54937192.199999996</v>
      </c>
      <c r="DC310" s="1073"/>
      <c r="DF310" s="1129">
        <f>VLOOKUP($A310,'New Resources - Individual'!$A$4:$Y$133,DF$2,FALSE)*DF$1</f>
        <v>0</v>
      </c>
      <c r="DG310" s="1116">
        <f>$G310+DF310</f>
        <v>2198927</v>
      </c>
      <c r="DH310" s="1117">
        <f t="shared" si="929"/>
        <v>-52738265.199999996</v>
      </c>
      <c r="DI310" s="1117">
        <f t="shared" si="930"/>
        <v>0</v>
      </c>
      <c r="DJ310" s="1117">
        <f t="shared" si="931"/>
        <v>54937192.199999996</v>
      </c>
      <c r="DK310" s="1073"/>
      <c r="DN310" s="1129">
        <f>VLOOKUP($A310,'New Resources - Individual'!$A$4:$Y$133,DN$2,FALSE)*DN$1</f>
        <v>0</v>
      </c>
      <c r="DO310" s="1116">
        <f>$G310+DN310</f>
        <v>2198927</v>
      </c>
      <c r="DP310" s="1117">
        <f t="shared" si="932"/>
        <v>-52738265.199999996</v>
      </c>
      <c r="DQ310" s="1117">
        <f t="shared" si="933"/>
        <v>0</v>
      </c>
      <c r="DR310" s="1117">
        <f t="shared" si="934"/>
        <v>54937192.199999996</v>
      </c>
      <c r="DS310" s="1073"/>
      <c r="DV310" s="1129">
        <f>VLOOKUP($A310,'New Resources - Individual'!$A$4:$Y$133,DV$2,FALSE)*DV$1</f>
        <v>0</v>
      </c>
      <c r="DW310" s="1116">
        <f>$G310+DV310</f>
        <v>2198927</v>
      </c>
      <c r="DX310" s="1117">
        <f t="shared" si="935"/>
        <v>-52738265.199999996</v>
      </c>
      <c r="DY310" s="1117">
        <f t="shared" si="936"/>
        <v>0</v>
      </c>
      <c r="DZ310" s="1117">
        <f t="shared" si="937"/>
        <v>54937192.199999996</v>
      </c>
      <c r="EA310" s="1073"/>
      <c r="ED310" s="1129">
        <f>VLOOKUP($A310,'New Resources - Individual'!$A$4:$Y$133,ED$2,FALSE)*ED$1</f>
        <v>0</v>
      </c>
      <c r="EE310" s="1116">
        <f>$G310+ED310</f>
        <v>2198927</v>
      </c>
      <c r="EF310" s="1117">
        <f t="shared" si="938"/>
        <v>-52738265.199999996</v>
      </c>
      <c r="EG310" s="1117">
        <f t="shared" si="939"/>
        <v>0</v>
      </c>
      <c r="EH310" s="1117">
        <f t="shared" si="940"/>
        <v>54937192.199999996</v>
      </c>
      <c r="EI310" s="1073"/>
      <c r="EL310" s="1129">
        <f>VLOOKUP($A310,'New Resources - Individual'!$A$4:$Y$133,EL$2,FALSE)*EL$1</f>
        <v>0</v>
      </c>
      <c r="EM310" s="1116">
        <f>$G310+EL310</f>
        <v>2198927</v>
      </c>
      <c r="EN310" s="1117">
        <f t="shared" si="941"/>
        <v>-52738265.199999996</v>
      </c>
      <c r="EO310" s="1117">
        <f t="shared" si="942"/>
        <v>0</v>
      </c>
      <c r="EP310" s="1117">
        <f t="shared" si="943"/>
        <v>54937192.199999996</v>
      </c>
      <c r="EQ310" s="1073"/>
      <c r="ET310" s="1129">
        <f>VLOOKUP($A310,'New Resources - Individual'!$A$4:$Y$133,ET$2,FALSE)*ET$1</f>
        <v>0</v>
      </c>
      <c r="EU310" s="1116">
        <f>$G310+ET310</f>
        <v>2198927</v>
      </c>
      <c r="EV310" s="1117">
        <f t="shared" si="944"/>
        <v>-52738265.199999996</v>
      </c>
      <c r="EW310" s="1117">
        <f t="shared" si="945"/>
        <v>0</v>
      </c>
      <c r="EX310" s="1117">
        <f t="shared" si="946"/>
        <v>54937192.199999996</v>
      </c>
      <c r="EY310" s="1073"/>
      <c r="FB310" s="1129">
        <f>VLOOKUP($A310,'New Resources - Individual'!$A$4:$Y$133,FB$2,FALSE)*FB$1</f>
        <v>0</v>
      </c>
      <c r="FC310" s="1116">
        <f>$G310+FB310</f>
        <v>2198927</v>
      </c>
      <c r="FD310" s="1117">
        <f t="shared" si="947"/>
        <v>-52738265.199999996</v>
      </c>
      <c r="FE310" s="1117">
        <f t="shared" si="948"/>
        <v>0</v>
      </c>
      <c r="FF310" s="1117">
        <f t="shared" si="949"/>
        <v>54937192.199999996</v>
      </c>
      <c r="FG310" s="1073"/>
      <c r="FJ310" s="1129">
        <f>VLOOKUP($A310,'New Resources - Individual'!$A$4:$Y$133,FJ$2,FALSE)*FJ$1</f>
        <v>0</v>
      </c>
      <c r="FK310" s="1116">
        <f>$G310+FJ310</f>
        <v>2198927</v>
      </c>
      <c r="FL310" s="1117">
        <f t="shared" si="950"/>
        <v>-52738265.199999996</v>
      </c>
      <c r="FM310" s="1117">
        <f t="shared" si="951"/>
        <v>0</v>
      </c>
      <c r="FN310" s="1117">
        <f t="shared" si="952"/>
        <v>54937192.199999996</v>
      </c>
      <c r="FO310" s="1073"/>
    </row>
    <row r="311" spans="1:171">
      <c r="A311" s="1392">
        <v>930</v>
      </c>
      <c r="B311" s="79" t="s">
        <v>507</v>
      </c>
      <c r="C311" s="888">
        <v>330</v>
      </c>
      <c r="D311" s="888">
        <v>456.1</v>
      </c>
      <c r="E311" s="182" t="str">
        <f>'Sch 3B - Other Items'!E35</f>
        <v>TRANS</v>
      </c>
      <c r="F311" s="889"/>
      <c r="G311" s="182">
        <f>'Sch 3B - Other Items'!G35</f>
        <v>30969981</v>
      </c>
      <c r="H311" s="182">
        <f>'Sch 3B - Other Items'!H35</f>
        <v>0</v>
      </c>
      <c r="I311" s="182">
        <f>'Sch 3B - Other Items'!I35</f>
        <v>0</v>
      </c>
      <c r="J311" s="183">
        <f>'Sch 3B - Other Items'!J35</f>
        <v>30969981</v>
      </c>
      <c r="K311" s="903">
        <f t="shared" si="892"/>
        <v>1</v>
      </c>
      <c r="N311" s="1129">
        <f>VLOOKUP($A311,'New Resources - Individual'!$A$4:$Y$133,N$2,FALSE)*N$1</f>
        <v>0</v>
      </c>
      <c r="O311" s="1116">
        <f>$G311+N311</f>
        <v>30969981</v>
      </c>
      <c r="P311" s="1117">
        <f t="shared" si="893"/>
        <v>0</v>
      </c>
      <c r="Q311" s="1117">
        <f t="shared" si="894"/>
        <v>30969981</v>
      </c>
      <c r="R311" s="1117">
        <f t="shared" si="895"/>
        <v>0</v>
      </c>
      <c r="S311" s="1073"/>
      <c r="V311" s="1129">
        <f>VLOOKUP($A311,'New Resources - Individual'!$A$4:$Y$133,V$2,FALSE)*V$1</f>
        <v>0</v>
      </c>
      <c r="W311" s="1116">
        <f>$G311+V311</f>
        <v>30969981</v>
      </c>
      <c r="X311" s="1117">
        <f t="shared" si="896"/>
        <v>0</v>
      </c>
      <c r="Y311" s="1117">
        <f t="shared" si="897"/>
        <v>30969981</v>
      </c>
      <c r="Z311" s="1117">
        <f t="shared" si="898"/>
        <v>0</v>
      </c>
      <c r="AA311" s="1073"/>
      <c r="AD311" s="1129">
        <f>VLOOKUP($A311,'New Resources - Individual'!$A$4:$Y$133,AD$2,FALSE)*AD$1</f>
        <v>0</v>
      </c>
      <c r="AE311" s="1116">
        <f>$G311+AD311</f>
        <v>30969981</v>
      </c>
      <c r="AF311" s="1117">
        <f t="shared" si="899"/>
        <v>0</v>
      </c>
      <c r="AG311" s="1117">
        <f t="shared" si="900"/>
        <v>30969981</v>
      </c>
      <c r="AH311" s="1117">
        <f t="shared" si="901"/>
        <v>0</v>
      </c>
      <c r="AI311" s="1073"/>
      <c r="AL311" s="1129">
        <f>VLOOKUP($A311,'New Resources - Individual'!$A$4:$Y$133,AL$2,FALSE)*AL$1</f>
        <v>0</v>
      </c>
      <c r="AM311" s="1116">
        <f>$G311+AL311</f>
        <v>30969981</v>
      </c>
      <c r="AN311" s="1117">
        <f t="shared" si="902"/>
        <v>0</v>
      </c>
      <c r="AO311" s="1117">
        <f t="shared" si="903"/>
        <v>30969981</v>
      </c>
      <c r="AP311" s="1117">
        <f t="shared" si="904"/>
        <v>0</v>
      </c>
      <c r="AQ311" s="1073"/>
      <c r="AT311" s="1129">
        <f>VLOOKUP($A311,'New Resources - Individual'!$A$4:$Y$133,AT$2,FALSE)*AT$1</f>
        <v>0</v>
      </c>
      <c r="AU311" s="1116">
        <f>$G311+AT311</f>
        <v>30969981</v>
      </c>
      <c r="AV311" s="1117">
        <f t="shared" si="905"/>
        <v>0</v>
      </c>
      <c r="AW311" s="1117">
        <f t="shared" si="906"/>
        <v>30969981</v>
      </c>
      <c r="AX311" s="1117">
        <f t="shared" si="907"/>
        <v>0</v>
      </c>
      <c r="AY311" s="1073"/>
      <c r="BB311" s="1129">
        <f>VLOOKUP($A311,'New Resources - Individual'!$A$4:$Y$133,BB$2,FALSE)*BB$1</f>
        <v>0</v>
      </c>
      <c r="BC311" s="1116">
        <f>$G311+BB311</f>
        <v>30969981</v>
      </c>
      <c r="BD311" s="1117">
        <f t="shared" si="908"/>
        <v>0</v>
      </c>
      <c r="BE311" s="1117">
        <f t="shared" si="909"/>
        <v>30969981</v>
      </c>
      <c r="BF311" s="1117">
        <f t="shared" si="910"/>
        <v>0</v>
      </c>
      <c r="BG311" s="1073"/>
      <c r="BJ311" s="1129">
        <f>VLOOKUP($A311,'New Resources - Individual'!$A$4:$Y$133,BJ$2,FALSE)*BJ$1</f>
        <v>0</v>
      </c>
      <c r="BK311" s="1116">
        <f>$G311+BJ311</f>
        <v>30969981</v>
      </c>
      <c r="BL311" s="1117">
        <f t="shared" si="911"/>
        <v>0</v>
      </c>
      <c r="BM311" s="1117">
        <f t="shared" si="912"/>
        <v>30969981</v>
      </c>
      <c r="BN311" s="1117">
        <f t="shared" si="913"/>
        <v>0</v>
      </c>
      <c r="BO311" s="1073"/>
      <c r="BR311" s="1129">
        <f>VLOOKUP($A311,'New Resources - Individual'!$A$4:$Y$133,BR$2,FALSE)*BR$1</f>
        <v>0</v>
      </c>
      <c r="BS311" s="1116">
        <f>$G311+BR311</f>
        <v>30969981</v>
      </c>
      <c r="BT311" s="1117">
        <f t="shared" si="914"/>
        <v>0</v>
      </c>
      <c r="BU311" s="1117">
        <f t="shared" si="915"/>
        <v>30969981</v>
      </c>
      <c r="BV311" s="1117">
        <f t="shared" si="916"/>
        <v>0</v>
      </c>
      <c r="BW311" s="1073"/>
      <c r="BZ311" s="1129">
        <f>VLOOKUP($A311,'New Resources - Individual'!$A$4:$Y$133,BZ$2,FALSE)*BZ$1</f>
        <v>0</v>
      </c>
      <c r="CA311" s="1116">
        <f>$G311+BZ311</f>
        <v>30969981</v>
      </c>
      <c r="CB311" s="1117">
        <f t="shared" si="917"/>
        <v>0</v>
      </c>
      <c r="CC311" s="1117">
        <f t="shared" si="918"/>
        <v>30969981</v>
      </c>
      <c r="CD311" s="1117">
        <f t="shared" si="919"/>
        <v>0</v>
      </c>
      <c r="CE311" s="1073"/>
      <c r="CH311" s="1129">
        <f>VLOOKUP($A311,'New Resources - Individual'!$A$4:$Y$133,CH$2,FALSE)*CH$1</f>
        <v>0</v>
      </c>
      <c r="CI311" s="1116">
        <f>$G311+CH311</f>
        <v>30969981</v>
      </c>
      <c r="CJ311" s="1117">
        <f t="shared" si="920"/>
        <v>0</v>
      </c>
      <c r="CK311" s="1117">
        <f t="shared" si="921"/>
        <v>30969981</v>
      </c>
      <c r="CL311" s="1117">
        <f t="shared" si="922"/>
        <v>0</v>
      </c>
      <c r="CM311" s="1073"/>
      <c r="CP311" s="1129">
        <f>VLOOKUP($A311,'New Resources - Individual'!$A$4:$Y$133,CP$2,FALSE)*CP$1</f>
        <v>0</v>
      </c>
      <c r="CQ311" s="1116">
        <f>$G311+CP311</f>
        <v>30969981</v>
      </c>
      <c r="CR311" s="1117">
        <f t="shared" si="923"/>
        <v>0</v>
      </c>
      <c r="CS311" s="1117">
        <f t="shared" si="924"/>
        <v>30969981</v>
      </c>
      <c r="CT311" s="1117">
        <f t="shared" si="925"/>
        <v>0</v>
      </c>
      <c r="CU311" s="1073"/>
      <c r="CX311" s="1129">
        <f>VLOOKUP($A311,'New Resources - Individual'!$A$4:$Y$133,CX$2,FALSE)*CX$1</f>
        <v>0</v>
      </c>
      <c r="CY311" s="1116">
        <f>$G311+CX311</f>
        <v>30969981</v>
      </c>
      <c r="CZ311" s="1117">
        <f t="shared" si="926"/>
        <v>0</v>
      </c>
      <c r="DA311" s="1117">
        <f t="shared" si="927"/>
        <v>30969981</v>
      </c>
      <c r="DB311" s="1117">
        <f t="shared" si="928"/>
        <v>0</v>
      </c>
      <c r="DC311" s="1073"/>
      <c r="DF311" s="1129">
        <f>VLOOKUP($A311,'New Resources - Individual'!$A$4:$Y$133,DF$2,FALSE)*DF$1</f>
        <v>0</v>
      </c>
      <c r="DG311" s="1116">
        <f>$G311+DF311</f>
        <v>30969981</v>
      </c>
      <c r="DH311" s="1117">
        <f t="shared" si="929"/>
        <v>0</v>
      </c>
      <c r="DI311" s="1117">
        <f t="shared" si="930"/>
        <v>30969981</v>
      </c>
      <c r="DJ311" s="1117">
        <f t="shared" si="931"/>
        <v>0</v>
      </c>
      <c r="DK311" s="1073"/>
      <c r="DN311" s="1129">
        <f>VLOOKUP($A311,'New Resources - Individual'!$A$4:$Y$133,DN$2,FALSE)*DN$1</f>
        <v>0</v>
      </c>
      <c r="DO311" s="1116">
        <f>$G311+DN311</f>
        <v>30969981</v>
      </c>
      <c r="DP311" s="1117">
        <f t="shared" si="932"/>
        <v>0</v>
      </c>
      <c r="DQ311" s="1117">
        <f t="shared" si="933"/>
        <v>30969981</v>
      </c>
      <c r="DR311" s="1117">
        <f t="shared" si="934"/>
        <v>0</v>
      </c>
      <c r="DS311" s="1073"/>
      <c r="DV311" s="1129">
        <f>VLOOKUP($A311,'New Resources - Individual'!$A$4:$Y$133,DV$2,FALSE)*DV$1</f>
        <v>0</v>
      </c>
      <c r="DW311" s="1116">
        <f>$G311+DV311</f>
        <v>30969981</v>
      </c>
      <c r="DX311" s="1117">
        <f t="shared" si="935"/>
        <v>0</v>
      </c>
      <c r="DY311" s="1117">
        <f t="shared" si="936"/>
        <v>30969981</v>
      </c>
      <c r="DZ311" s="1117">
        <f t="shared" si="937"/>
        <v>0</v>
      </c>
      <c r="EA311" s="1073"/>
      <c r="ED311" s="1129">
        <f>VLOOKUP($A311,'New Resources - Individual'!$A$4:$Y$133,ED$2,FALSE)*ED$1</f>
        <v>0</v>
      </c>
      <c r="EE311" s="1116">
        <f>$G311+ED311</f>
        <v>30969981</v>
      </c>
      <c r="EF311" s="1117">
        <f t="shared" si="938"/>
        <v>0</v>
      </c>
      <c r="EG311" s="1117">
        <f t="shared" si="939"/>
        <v>30969981</v>
      </c>
      <c r="EH311" s="1117">
        <f t="shared" si="940"/>
        <v>0</v>
      </c>
      <c r="EI311" s="1073"/>
      <c r="EL311" s="1129">
        <f>VLOOKUP($A311,'New Resources - Individual'!$A$4:$Y$133,EL$2,FALSE)*EL$1</f>
        <v>0</v>
      </c>
      <c r="EM311" s="1116">
        <f>$G311+EL311</f>
        <v>30969981</v>
      </c>
      <c r="EN311" s="1117">
        <f t="shared" si="941"/>
        <v>0</v>
      </c>
      <c r="EO311" s="1117">
        <f t="shared" si="942"/>
        <v>30969981</v>
      </c>
      <c r="EP311" s="1117">
        <f t="shared" si="943"/>
        <v>0</v>
      </c>
      <c r="EQ311" s="1073"/>
      <c r="ET311" s="1129">
        <f>VLOOKUP($A311,'New Resources - Individual'!$A$4:$Y$133,ET$2,FALSE)*ET$1</f>
        <v>0</v>
      </c>
      <c r="EU311" s="1116">
        <f>$G311+ET311</f>
        <v>30969981</v>
      </c>
      <c r="EV311" s="1117">
        <f t="shared" si="944"/>
        <v>0</v>
      </c>
      <c r="EW311" s="1117">
        <f t="shared" si="945"/>
        <v>30969981</v>
      </c>
      <c r="EX311" s="1117">
        <f t="shared" si="946"/>
        <v>0</v>
      </c>
      <c r="EY311" s="1073"/>
      <c r="FB311" s="1129">
        <f>VLOOKUP($A311,'New Resources - Individual'!$A$4:$Y$133,FB$2,FALSE)*FB$1</f>
        <v>0</v>
      </c>
      <c r="FC311" s="1116">
        <f>$G311+FB311</f>
        <v>30969981</v>
      </c>
      <c r="FD311" s="1117">
        <f t="shared" si="947"/>
        <v>0</v>
      </c>
      <c r="FE311" s="1117">
        <f t="shared" si="948"/>
        <v>30969981</v>
      </c>
      <c r="FF311" s="1117">
        <f t="shared" si="949"/>
        <v>0</v>
      </c>
      <c r="FG311" s="1073"/>
      <c r="FJ311" s="1129">
        <f>VLOOKUP($A311,'New Resources - Individual'!$A$4:$Y$133,FJ$2,FALSE)*FJ$1</f>
        <v>0</v>
      </c>
      <c r="FK311" s="1116">
        <f>$G311+FJ311</f>
        <v>30969981</v>
      </c>
      <c r="FL311" s="1117">
        <f t="shared" si="950"/>
        <v>0</v>
      </c>
      <c r="FM311" s="1117">
        <f t="shared" si="951"/>
        <v>30969981</v>
      </c>
      <c r="FN311" s="1117">
        <f t="shared" si="952"/>
        <v>0</v>
      </c>
      <c r="FO311" s="1073"/>
    </row>
    <row r="312" spans="1:171">
      <c r="A312" s="199"/>
      <c r="B312" s="79"/>
      <c r="C312" s="55"/>
      <c r="D312" s="196"/>
      <c r="E312" s="55"/>
      <c r="F312" s="55"/>
      <c r="G312" s="221"/>
      <c r="H312" s="221"/>
      <c r="I312" s="221"/>
      <c r="J312" s="222"/>
      <c r="K312" s="903"/>
      <c r="S312" s="1073"/>
      <c r="AA312" s="1073"/>
      <c r="AI312" s="1073"/>
      <c r="AQ312" s="1073"/>
      <c r="AY312" s="1073"/>
      <c r="BG312" s="1073"/>
      <c r="BO312" s="1073"/>
      <c r="BW312" s="1073"/>
      <c r="CE312" s="1073"/>
      <c r="CM312" s="1073"/>
      <c r="CU312" s="1073"/>
      <c r="DC312" s="1073"/>
      <c r="DK312" s="1073"/>
      <c r="DS312" s="1073"/>
      <c r="EA312" s="1073"/>
      <c r="EI312" s="1073"/>
      <c r="EQ312" s="1073"/>
      <c r="EY312" s="1073"/>
      <c r="FG312" s="1073"/>
      <c r="FO312" s="1073"/>
    </row>
    <row r="313" spans="1:171">
      <c r="A313" s="163" t="s">
        <v>48</v>
      </c>
      <c r="B313" s="64"/>
      <c r="C313" s="914"/>
      <c r="D313" s="915"/>
      <c r="E313" s="915"/>
      <c r="F313" s="916"/>
      <c r="G313" s="923">
        <f>SUM(G305:G311)</f>
        <v>41529489</v>
      </c>
      <c r="H313" s="923">
        <f>SUM(H305:H311)</f>
        <v>-52049933.199999996</v>
      </c>
      <c r="I313" s="923">
        <f>SUM(I305:I311)</f>
        <v>0</v>
      </c>
      <c r="J313" s="1393">
        <f>SUM(J305:J311)</f>
        <v>93579422.219999999</v>
      </c>
      <c r="K313" s="903"/>
      <c r="O313" s="1133">
        <f>SUM(O305:O311)</f>
        <v>41529489</v>
      </c>
      <c r="P313" s="1133">
        <f>SUM(P305:P311)</f>
        <v>-52049933.199999996</v>
      </c>
      <c r="Q313" s="1133">
        <f>SUM(Q305:Q311)</f>
        <v>33272480.281959895</v>
      </c>
      <c r="R313" s="1133">
        <f>SUM(R305:R311)</f>
        <v>60306941.918040097</v>
      </c>
      <c r="S313" s="1073"/>
      <c r="W313" s="1133">
        <f>SUM(W305:W311)</f>
        <v>41529489</v>
      </c>
      <c r="X313" s="1133">
        <f>SUM(X305:X311)</f>
        <v>-52049933.199999996</v>
      </c>
      <c r="Y313" s="1133">
        <f>SUM(Y305:Y311)</f>
        <v>33272480.281959895</v>
      </c>
      <c r="Z313" s="1133">
        <f>SUM(Z305:Z311)</f>
        <v>60306941.918040097</v>
      </c>
      <c r="AA313" s="1073"/>
      <c r="AE313" s="1133">
        <f>SUM(AE305:AE311)</f>
        <v>41529489</v>
      </c>
      <c r="AF313" s="1133">
        <f>SUM(AF305:AF311)</f>
        <v>-52049933.199999996</v>
      </c>
      <c r="AG313" s="1133">
        <f>SUM(AG305:AG311)</f>
        <v>33272480.281959895</v>
      </c>
      <c r="AH313" s="1133">
        <f>SUM(AH305:AH311)</f>
        <v>60306941.918040097</v>
      </c>
      <c r="AI313" s="1073"/>
      <c r="AM313" s="1133">
        <f>SUM(AM305:AM311)</f>
        <v>41529489</v>
      </c>
      <c r="AN313" s="1133">
        <f>SUM(AN305:AN311)</f>
        <v>-52049933.199999996</v>
      </c>
      <c r="AO313" s="1133">
        <f>SUM(AO305:AO311)</f>
        <v>33272480.281959895</v>
      </c>
      <c r="AP313" s="1133">
        <f>SUM(AP305:AP311)</f>
        <v>60306941.918040097</v>
      </c>
      <c r="AQ313" s="1073"/>
      <c r="AU313" s="1133">
        <f>SUM(AU305:AU311)</f>
        <v>41529489</v>
      </c>
      <c r="AV313" s="1133">
        <f>SUM(AV305:AV311)</f>
        <v>-52049933.199999996</v>
      </c>
      <c r="AW313" s="1133">
        <f>SUM(AW305:AW311)</f>
        <v>33272480.281959895</v>
      </c>
      <c r="AX313" s="1133">
        <f>SUM(AX305:AX311)</f>
        <v>60306941.918040097</v>
      </c>
      <c r="AY313" s="1073"/>
      <c r="BC313" s="1133">
        <f>SUM(BC305:BC311)</f>
        <v>41529489</v>
      </c>
      <c r="BD313" s="1133">
        <f>SUM(BD305:BD311)</f>
        <v>-52049933.199999996</v>
      </c>
      <c r="BE313" s="1133">
        <f>SUM(BE305:BE311)</f>
        <v>33272480.281959895</v>
      </c>
      <c r="BF313" s="1133">
        <f>SUM(BF305:BF311)</f>
        <v>60306941.918040097</v>
      </c>
      <c r="BG313" s="1073"/>
      <c r="BK313" s="1133">
        <f>SUM(BK305:BK311)</f>
        <v>41529489</v>
      </c>
      <c r="BL313" s="1133">
        <f>SUM(BL305:BL311)</f>
        <v>-52049933.199999996</v>
      </c>
      <c r="BM313" s="1133">
        <f>SUM(BM305:BM311)</f>
        <v>33272480.281959895</v>
      </c>
      <c r="BN313" s="1133">
        <f>SUM(BN305:BN311)</f>
        <v>60306941.918040097</v>
      </c>
      <c r="BO313" s="1073"/>
      <c r="BS313" s="1133">
        <f>SUM(BS305:BS311)</f>
        <v>41529489</v>
      </c>
      <c r="BT313" s="1133">
        <f>SUM(BT305:BT311)</f>
        <v>-52049933.199999996</v>
      </c>
      <c r="BU313" s="1133">
        <f>SUM(BU305:BU311)</f>
        <v>33272480.281959895</v>
      </c>
      <c r="BV313" s="1133">
        <f>SUM(BV305:BV311)</f>
        <v>60306941.918040097</v>
      </c>
      <c r="BW313" s="1073"/>
      <c r="CA313" s="1133">
        <f>SUM(CA305:CA311)</f>
        <v>41529489</v>
      </c>
      <c r="CB313" s="1133">
        <f>SUM(CB305:CB311)</f>
        <v>-52049933.199999996</v>
      </c>
      <c r="CC313" s="1133">
        <f>SUM(CC305:CC311)</f>
        <v>33272480.281959895</v>
      </c>
      <c r="CD313" s="1133">
        <f>SUM(CD305:CD311)</f>
        <v>60306941.918040097</v>
      </c>
      <c r="CE313" s="1073"/>
      <c r="CI313" s="1133">
        <f>SUM(CI305:CI311)</f>
        <v>41529489</v>
      </c>
      <c r="CJ313" s="1133">
        <f>SUM(CJ305:CJ311)</f>
        <v>-52049933.199999996</v>
      </c>
      <c r="CK313" s="1133">
        <f>SUM(CK305:CK311)</f>
        <v>33272480.281959895</v>
      </c>
      <c r="CL313" s="1133">
        <f>SUM(CL305:CL311)</f>
        <v>60306941.918040097</v>
      </c>
      <c r="CM313" s="1073"/>
      <c r="CQ313" s="1133">
        <f>SUM(CQ305:CQ311)</f>
        <v>41529489</v>
      </c>
      <c r="CR313" s="1133">
        <f>SUM(CR305:CR311)</f>
        <v>-52049933.199999996</v>
      </c>
      <c r="CS313" s="1133">
        <f>SUM(CS305:CS311)</f>
        <v>33272480.281959895</v>
      </c>
      <c r="CT313" s="1133">
        <f>SUM(CT305:CT311)</f>
        <v>60306941.918040097</v>
      </c>
      <c r="CU313" s="1073"/>
      <c r="CY313" s="1133">
        <f>SUM(CY305:CY311)</f>
        <v>41529489</v>
      </c>
      <c r="CZ313" s="1133">
        <f>SUM(CZ305:CZ311)</f>
        <v>-52049933.199999996</v>
      </c>
      <c r="DA313" s="1133">
        <f>SUM(DA305:DA311)</f>
        <v>33272480.281959895</v>
      </c>
      <c r="DB313" s="1133">
        <f>SUM(DB305:DB311)</f>
        <v>60306941.918040097</v>
      </c>
      <c r="DC313" s="1073"/>
      <c r="DG313" s="1133">
        <f>SUM(DG305:DG311)</f>
        <v>41529489</v>
      </c>
      <c r="DH313" s="1133">
        <f>SUM(DH305:DH311)</f>
        <v>-52049933.199999996</v>
      </c>
      <c r="DI313" s="1133">
        <f>SUM(DI305:DI311)</f>
        <v>33272480.281959895</v>
      </c>
      <c r="DJ313" s="1133">
        <f>SUM(DJ305:DJ311)</f>
        <v>60306941.918040097</v>
      </c>
      <c r="DK313" s="1073"/>
      <c r="DO313" s="1133">
        <f>SUM(DO305:DO311)</f>
        <v>41529489</v>
      </c>
      <c r="DP313" s="1133">
        <f>SUM(DP305:DP311)</f>
        <v>-52049933.199999996</v>
      </c>
      <c r="DQ313" s="1133">
        <f>SUM(DQ305:DQ311)</f>
        <v>33272480.281959895</v>
      </c>
      <c r="DR313" s="1133">
        <f>SUM(DR305:DR311)</f>
        <v>60306941.918040097</v>
      </c>
      <c r="DS313" s="1073"/>
      <c r="DW313" s="1133">
        <f>SUM(DW305:DW311)</f>
        <v>41529489</v>
      </c>
      <c r="DX313" s="1133">
        <f>SUM(DX305:DX311)</f>
        <v>-52049933.199999996</v>
      </c>
      <c r="DY313" s="1133">
        <f>SUM(DY305:DY311)</f>
        <v>33272480.281959895</v>
      </c>
      <c r="DZ313" s="1133">
        <f>SUM(DZ305:DZ311)</f>
        <v>60306941.918040097</v>
      </c>
      <c r="EA313" s="1073"/>
      <c r="EE313" s="1133">
        <f>SUM(EE305:EE311)</f>
        <v>41529489</v>
      </c>
      <c r="EF313" s="1133">
        <f>SUM(EF305:EF311)</f>
        <v>-52049933.199999996</v>
      </c>
      <c r="EG313" s="1133">
        <f>SUM(EG305:EG311)</f>
        <v>33272480.281959895</v>
      </c>
      <c r="EH313" s="1133">
        <f>SUM(EH305:EH311)</f>
        <v>60306941.918040097</v>
      </c>
      <c r="EI313" s="1073"/>
      <c r="EM313" s="1133">
        <f>SUM(EM305:EM311)</f>
        <v>41529489</v>
      </c>
      <c r="EN313" s="1133">
        <f>SUM(EN305:EN311)</f>
        <v>-52049933.199999996</v>
      </c>
      <c r="EO313" s="1133">
        <f>SUM(EO305:EO311)</f>
        <v>33272480.281959895</v>
      </c>
      <c r="EP313" s="1133">
        <f>SUM(EP305:EP311)</f>
        <v>60306941.918040097</v>
      </c>
      <c r="EQ313" s="1073"/>
      <c r="EU313" s="1133">
        <f>SUM(EU305:EU311)</f>
        <v>41529489</v>
      </c>
      <c r="EV313" s="1133">
        <f>SUM(EV305:EV311)</f>
        <v>-52049933.199999996</v>
      </c>
      <c r="EW313" s="1133">
        <f>SUM(EW305:EW311)</f>
        <v>33272480.281959895</v>
      </c>
      <c r="EX313" s="1133">
        <f>SUM(EX305:EX311)</f>
        <v>60306941.918040097</v>
      </c>
      <c r="EY313" s="1073"/>
      <c r="FC313" s="1133">
        <f>SUM(FC305:FC311)</f>
        <v>41529489</v>
      </c>
      <c r="FD313" s="1133">
        <f>SUM(FD305:FD311)</f>
        <v>-52049933.199999996</v>
      </c>
      <c r="FE313" s="1133">
        <f>SUM(FE305:FE311)</f>
        <v>33272480.281959895</v>
      </c>
      <c r="FF313" s="1133">
        <f>SUM(FF305:FF311)</f>
        <v>60306941.918040097</v>
      </c>
      <c r="FG313" s="1073"/>
      <c r="FK313" s="1133">
        <f>SUM(FK305:FK311)</f>
        <v>41529489</v>
      </c>
      <c r="FL313" s="1133">
        <f>SUM(FL305:FL311)</f>
        <v>-52049933.199999996</v>
      </c>
      <c r="FM313" s="1133">
        <f>SUM(FM305:FM311)</f>
        <v>33272480.281959895</v>
      </c>
      <c r="FN313" s="1133">
        <f>SUM(FN305:FN311)</f>
        <v>60306941.918040097</v>
      </c>
      <c r="FO313" s="1073"/>
    </row>
    <row r="314" spans="1:171">
      <c r="A314" s="163"/>
      <c r="B314" s="64"/>
      <c r="C314" s="55"/>
      <c r="D314" s="55"/>
      <c r="E314" s="55"/>
      <c r="F314" s="55"/>
      <c r="G314" s="1035"/>
      <c r="H314" s="1035"/>
      <c r="I314" s="1035"/>
      <c r="J314" s="1036"/>
      <c r="K314" s="903"/>
      <c r="O314" s="1079"/>
      <c r="P314" s="1079"/>
      <c r="Q314" s="1079"/>
      <c r="R314" s="1079"/>
      <c r="S314" s="1073"/>
      <c r="W314" s="1079"/>
      <c r="X314" s="1079"/>
      <c r="Y314" s="1079"/>
      <c r="Z314" s="1079"/>
      <c r="AA314" s="1073"/>
      <c r="AE314" s="1079"/>
      <c r="AF314" s="1079"/>
      <c r="AG314" s="1079"/>
      <c r="AH314" s="1079"/>
      <c r="AI314" s="1073"/>
      <c r="AM314" s="1079"/>
      <c r="AN314" s="1079"/>
      <c r="AO314" s="1079"/>
      <c r="AP314" s="1079"/>
      <c r="AQ314" s="1073"/>
      <c r="AU314" s="1079"/>
      <c r="AV314" s="1079"/>
      <c r="AW314" s="1079"/>
      <c r="AX314" s="1079"/>
      <c r="AY314" s="1073"/>
      <c r="BC314" s="1079"/>
      <c r="BD314" s="1079"/>
      <c r="BE314" s="1079"/>
      <c r="BF314" s="1079"/>
      <c r="BG314" s="1073"/>
      <c r="BK314" s="1079"/>
      <c r="BL314" s="1079"/>
      <c r="BM314" s="1079"/>
      <c r="BN314" s="1079"/>
      <c r="BO314" s="1073"/>
      <c r="BS314" s="1079"/>
      <c r="BT314" s="1079"/>
      <c r="BU314" s="1079"/>
      <c r="BV314" s="1079"/>
      <c r="BW314" s="1073"/>
      <c r="CA314" s="1079"/>
      <c r="CB314" s="1079"/>
      <c r="CC314" s="1079"/>
      <c r="CD314" s="1079"/>
      <c r="CE314" s="1073"/>
      <c r="CI314" s="1079"/>
      <c r="CJ314" s="1079"/>
      <c r="CK314" s="1079"/>
      <c r="CL314" s="1079"/>
      <c r="CM314" s="1073"/>
      <c r="CQ314" s="1079"/>
      <c r="CR314" s="1079"/>
      <c r="CS314" s="1079"/>
      <c r="CT314" s="1079"/>
      <c r="CU314" s="1073"/>
      <c r="CY314" s="1079"/>
      <c r="CZ314" s="1079"/>
      <c r="DA314" s="1079"/>
      <c r="DB314" s="1079"/>
      <c r="DC314" s="1073"/>
      <c r="DG314" s="1079"/>
      <c r="DH314" s="1079"/>
      <c r="DI314" s="1079"/>
      <c r="DJ314" s="1079"/>
      <c r="DK314" s="1073"/>
      <c r="DO314" s="1079"/>
      <c r="DP314" s="1079"/>
      <c r="DQ314" s="1079"/>
      <c r="DR314" s="1079"/>
      <c r="DS314" s="1073"/>
      <c r="DW314" s="1079"/>
      <c r="DX314" s="1079"/>
      <c r="DY314" s="1079"/>
      <c r="DZ314" s="1079"/>
      <c r="EA314" s="1073"/>
      <c r="EE314" s="1079"/>
      <c r="EF314" s="1079"/>
      <c r="EG314" s="1079"/>
      <c r="EH314" s="1079"/>
      <c r="EI314" s="1073"/>
      <c r="EM314" s="1079"/>
      <c r="EN314" s="1079"/>
      <c r="EO314" s="1079"/>
      <c r="EP314" s="1079"/>
      <c r="EQ314" s="1073"/>
      <c r="EU314" s="1079"/>
      <c r="EV314" s="1079"/>
      <c r="EW314" s="1079"/>
      <c r="EX314" s="1079"/>
      <c r="EY314" s="1073"/>
      <c r="FC314" s="1079"/>
      <c r="FD314" s="1079"/>
      <c r="FE314" s="1079"/>
      <c r="FF314" s="1079"/>
      <c r="FG314" s="1073"/>
      <c r="FK314" s="1079"/>
      <c r="FL314" s="1079"/>
      <c r="FM314" s="1079"/>
      <c r="FN314" s="1079"/>
      <c r="FO314" s="1073"/>
    </row>
    <row r="315" spans="1:171">
      <c r="A315" s="163" t="s">
        <v>49</v>
      </c>
      <c r="B315" s="64"/>
      <c r="C315" s="914"/>
      <c r="D315" s="915"/>
      <c r="E315" s="915"/>
      <c r="F315" s="916"/>
      <c r="G315" s="923">
        <f>+G313+G302+G298</f>
        <v>316484716.37</v>
      </c>
      <c r="H315" s="923">
        <f>+H313+H302+H298</f>
        <v>202539296.65316796</v>
      </c>
      <c r="I315" s="923">
        <f>+I313+I302+I298</f>
        <v>0</v>
      </c>
      <c r="J315" s="1393">
        <f>+J313+J302+J298</f>
        <v>118934846.98571534</v>
      </c>
      <c r="K315" s="903"/>
      <c r="O315" s="1133">
        <f>+O313+O302+O298</f>
        <v>316484716.37</v>
      </c>
      <c r="P315" s="1133">
        <f>+P313+P302+P298</f>
        <v>202539296.65316796</v>
      </c>
      <c r="Q315" s="1133">
        <f>+Q313+Q302+Q298</f>
        <v>33272480.281959895</v>
      </c>
      <c r="R315" s="1133">
        <f>+R313+R302+R298</f>
        <v>80672939.43487215</v>
      </c>
      <c r="S315" s="1073"/>
      <c r="W315" s="1133">
        <f>+W313+W302+W298</f>
        <v>316484716.37</v>
      </c>
      <c r="X315" s="1133">
        <f>+X313+X302+X298</f>
        <v>202539296.65316796</v>
      </c>
      <c r="Y315" s="1133">
        <f>+Y313+Y302+Y298</f>
        <v>33272480.281959895</v>
      </c>
      <c r="Z315" s="1133">
        <f>+Z313+Z302+Z298</f>
        <v>80672939.43487215</v>
      </c>
      <c r="AA315" s="1073"/>
      <c r="AE315" s="1133">
        <f>+AE313+AE302+AE298</f>
        <v>316484716.37</v>
      </c>
      <c r="AF315" s="1133">
        <f>+AF313+AF302+AF298</f>
        <v>202539296.65316796</v>
      </c>
      <c r="AG315" s="1133">
        <f>+AG313+AG302+AG298</f>
        <v>33272480.281959895</v>
      </c>
      <c r="AH315" s="1133">
        <f>+AH313+AH302+AH298</f>
        <v>80672939.43487215</v>
      </c>
      <c r="AI315" s="1073"/>
      <c r="AM315" s="1133">
        <f>+AM313+AM302+AM298</f>
        <v>316484716.37</v>
      </c>
      <c r="AN315" s="1133">
        <f>+AN313+AN302+AN298</f>
        <v>202539296.65316796</v>
      </c>
      <c r="AO315" s="1133">
        <f>+AO313+AO302+AO298</f>
        <v>33272480.281959895</v>
      </c>
      <c r="AP315" s="1133">
        <f>+AP313+AP302+AP298</f>
        <v>80672939.43487215</v>
      </c>
      <c r="AQ315" s="1073"/>
      <c r="AU315" s="1133">
        <f>+AU313+AU302+AU298</f>
        <v>316484716.37</v>
      </c>
      <c r="AV315" s="1133">
        <f>+AV313+AV302+AV298</f>
        <v>202539296.65316796</v>
      </c>
      <c r="AW315" s="1133">
        <f>+AW313+AW302+AW298</f>
        <v>33272480.281959895</v>
      </c>
      <c r="AX315" s="1133">
        <f>+AX313+AX302+AX298</f>
        <v>80672939.43487215</v>
      </c>
      <c r="AY315" s="1073"/>
      <c r="BC315" s="1133">
        <f>+BC313+BC302+BC298</f>
        <v>316484716.37</v>
      </c>
      <c r="BD315" s="1133">
        <f>+BD313+BD302+BD298</f>
        <v>202539296.65316796</v>
      </c>
      <c r="BE315" s="1133">
        <f>+BE313+BE302+BE298</f>
        <v>33272480.281959895</v>
      </c>
      <c r="BF315" s="1133">
        <f>+BF313+BF302+BF298</f>
        <v>80672939.43487215</v>
      </c>
      <c r="BG315" s="1073"/>
      <c r="BK315" s="1133">
        <f>+BK313+BK302+BK298</f>
        <v>316484716.37</v>
      </c>
      <c r="BL315" s="1133">
        <f>+BL313+BL302+BL298</f>
        <v>202539296.65316796</v>
      </c>
      <c r="BM315" s="1133">
        <f>+BM313+BM302+BM298</f>
        <v>33272480.281959895</v>
      </c>
      <c r="BN315" s="1133">
        <f>+BN313+BN302+BN298</f>
        <v>80672939.43487215</v>
      </c>
      <c r="BO315" s="1073"/>
      <c r="BS315" s="1133">
        <f>+BS313+BS302+BS298</f>
        <v>316484716.37</v>
      </c>
      <c r="BT315" s="1133">
        <f>+BT313+BT302+BT298</f>
        <v>202539296.65316796</v>
      </c>
      <c r="BU315" s="1133">
        <f>+BU313+BU302+BU298</f>
        <v>33272480.281959895</v>
      </c>
      <c r="BV315" s="1133">
        <f>+BV313+BV302+BV298</f>
        <v>80672939.43487215</v>
      </c>
      <c r="BW315" s="1073"/>
      <c r="CA315" s="1133">
        <f>+CA313+CA302+CA298</f>
        <v>316484716.37</v>
      </c>
      <c r="CB315" s="1133">
        <f>+CB313+CB302+CB298</f>
        <v>202539296.65316796</v>
      </c>
      <c r="CC315" s="1133">
        <f>+CC313+CC302+CC298</f>
        <v>33272480.281959895</v>
      </c>
      <c r="CD315" s="1133">
        <f>+CD313+CD302+CD298</f>
        <v>80672939.43487215</v>
      </c>
      <c r="CE315" s="1073"/>
      <c r="CI315" s="1133">
        <f>+CI313+CI302+CI298</f>
        <v>316484716.37</v>
      </c>
      <c r="CJ315" s="1133">
        <f>+CJ313+CJ302+CJ298</f>
        <v>202539296.65316796</v>
      </c>
      <c r="CK315" s="1133">
        <f>+CK313+CK302+CK298</f>
        <v>33272480.281959895</v>
      </c>
      <c r="CL315" s="1133">
        <f>+CL313+CL302+CL298</f>
        <v>80672939.43487215</v>
      </c>
      <c r="CM315" s="1073"/>
      <c r="CQ315" s="1133">
        <f>+CQ313+CQ302+CQ298</f>
        <v>316484716.37</v>
      </c>
      <c r="CR315" s="1133">
        <f>+CR313+CR302+CR298</f>
        <v>202539296.65316796</v>
      </c>
      <c r="CS315" s="1133">
        <f>+CS313+CS302+CS298</f>
        <v>33272480.281959895</v>
      </c>
      <c r="CT315" s="1133">
        <f>+CT313+CT302+CT298</f>
        <v>80672939.43487215</v>
      </c>
      <c r="CU315" s="1073"/>
      <c r="CY315" s="1133">
        <f>+CY313+CY302+CY298</f>
        <v>316484716.37</v>
      </c>
      <c r="CZ315" s="1133">
        <f>+CZ313+CZ302+CZ298</f>
        <v>202539296.65316796</v>
      </c>
      <c r="DA315" s="1133">
        <f>+DA313+DA302+DA298</f>
        <v>33272480.281959895</v>
      </c>
      <c r="DB315" s="1133">
        <f>+DB313+DB302+DB298</f>
        <v>80672939.43487215</v>
      </c>
      <c r="DC315" s="1073"/>
      <c r="DG315" s="1133">
        <f>+DG313+DG302+DG298</f>
        <v>316484716.37</v>
      </c>
      <c r="DH315" s="1133">
        <f>+DH313+DH302+DH298</f>
        <v>202539296.65316796</v>
      </c>
      <c r="DI315" s="1133">
        <f>+DI313+DI302+DI298</f>
        <v>33272480.281959895</v>
      </c>
      <c r="DJ315" s="1133">
        <f>+DJ313+DJ302+DJ298</f>
        <v>80672939.43487215</v>
      </c>
      <c r="DK315" s="1073"/>
      <c r="DO315" s="1133">
        <f>+DO313+DO302+DO298</f>
        <v>316484716.37</v>
      </c>
      <c r="DP315" s="1133">
        <f>+DP313+DP302+DP298</f>
        <v>202539296.65316796</v>
      </c>
      <c r="DQ315" s="1133">
        <f>+DQ313+DQ302+DQ298</f>
        <v>33272480.281959895</v>
      </c>
      <c r="DR315" s="1133">
        <f>+DR313+DR302+DR298</f>
        <v>80672939.43487215</v>
      </c>
      <c r="DS315" s="1073"/>
      <c r="DW315" s="1133">
        <f>+DW313+DW302+DW298</f>
        <v>316484716.37</v>
      </c>
      <c r="DX315" s="1133">
        <f>+DX313+DX302+DX298</f>
        <v>202539296.65316796</v>
      </c>
      <c r="DY315" s="1133">
        <f>+DY313+DY302+DY298</f>
        <v>33272480.281959895</v>
      </c>
      <c r="DZ315" s="1133">
        <f>+DZ313+DZ302+DZ298</f>
        <v>80672939.43487215</v>
      </c>
      <c r="EA315" s="1073"/>
      <c r="EE315" s="1133">
        <f>+EE313+EE302+EE298</f>
        <v>316484716.37</v>
      </c>
      <c r="EF315" s="1133">
        <f>+EF313+EF302+EF298</f>
        <v>202539296.65316796</v>
      </c>
      <c r="EG315" s="1133">
        <f>+EG313+EG302+EG298</f>
        <v>33272480.281959895</v>
      </c>
      <c r="EH315" s="1133">
        <f>+EH313+EH302+EH298</f>
        <v>80672939.43487215</v>
      </c>
      <c r="EI315" s="1073"/>
      <c r="EM315" s="1133">
        <f>+EM313+EM302+EM298</f>
        <v>316484716.37</v>
      </c>
      <c r="EN315" s="1133">
        <f>+EN313+EN302+EN298</f>
        <v>202539296.65316796</v>
      </c>
      <c r="EO315" s="1133">
        <f>+EO313+EO302+EO298</f>
        <v>33272480.281959895</v>
      </c>
      <c r="EP315" s="1133">
        <f>+EP313+EP302+EP298</f>
        <v>80672939.43487215</v>
      </c>
      <c r="EQ315" s="1073"/>
      <c r="EU315" s="1133">
        <f>+EU313+EU302+EU298</f>
        <v>316484716.37</v>
      </c>
      <c r="EV315" s="1133">
        <f>+EV313+EV302+EV298</f>
        <v>202539296.65316796</v>
      </c>
      <c r="EW315" s="1133">
        <f>+EW313+EW302+EW298</f>
        <v>33272480.281959895</v>
      </c>
      <c r="EX315" s="1133">
        <f>+EX313+EX302+EX298</f>
        <v>80672939.43487215</v>
      </c>
      <c r="EY315" s="1073"/>
      <c r="FC315" s="1133">
        <f>+FC313+FC302+FC298</f>
        <v>316484716.37</v>
      </c>
      <c r="FD315" s="1133">
        <f>+FD313+FD302+FD298</f>
        <v>202539296.65316796</v>
      </c>
      <c r="FE315" s="1133">
        <f>+FE313+FE302+FE298</f>
        <v>33272480.281959895</v>
      </c>
      <c r="FF315" s="1133">
        <f>+FF313+FF302+FF298</f>
        <v>80672939.43487215</v>
      </c>
      <c r="FG315" s="1073"/>
      <c r="FK315" s="1133">
        <f>+FK313+FK302+FK298</f>
        <v>316484716.37</v>
      </c>
      <c r="FL315" s="1133">
        <f>+FL313+FL302+FL298</f>
        <v>202539296.65316796</v>
      </c>
      <c r="FM315" s="1133">
        <f>+FM313+FM302+FM298</f>
        <v>33272480.281959895</v>
      </c>
      <c r="FN315" s="1133">
        <f>+FN313+FN302+FN298</f>
        <v>80672939.43487215</v>
      </c>
      <c r="FO315" s="1073"/>
    </row>
    <row r="316" spans="1:171">
      <c r="A316" s="922" t="s">
        <v>67</v>
      </c>
      <c r="B316" s="64"/>
      <c r="C316" s="79"/>
      <c r="D316" s="79"/>
      <c r="E316" s="79"/>
      <c r="F316" s="79"/>
      <c r="G316" s="79"/>
      <c r="H316" s="79"/>
      <c r="I316" s="79"/>
      <c r="J316" s="1037"/>
      <c r="K316" s="903"/>
      <c r="S316" s="1073"/>
      <c r="AA316" s="1073"/>
      <c r="AI316" s="1073"/>
      <c r="AQ316" s="1073"/>
      <c r="AY316" s="1073"/>
      <c r="BG316" s="1073"/>
      <c r="BO316" s="1073"/>
      <c r="BW316" s="1073"/>
      <c r="CE316" s="1073"/>
      <c r="CM316" s="1073"/>
      <c r="CU316" s="1073"/>
      <c r="DC316" s="1073"/>
      <c r="DK316" s="1073"/>
      <c r="DS316" s="1073"/>
      <c r="EA316" s="1073"/>
      <c r="EI316" s="1073"/>
      <c r="EQ316" s="1073"/>
      <c r="EY316" s="1073"/>
      <c r="FG316" s="1073"/>
      <c r="FO316" s="1073"/>
    </row>
    <row r="317" spans="1:171" ht="16.5" thickBot="1">
      <c r="A317" s="215"/>
      <c r="B317" s="216"/>
      <c r="C317" s="216"/>
      <c r="D317" s="216"/>
      <c r="E317" s="216"/>
      <c r="F317" s="216"/>
      <c r="G317" s="216"/>
      <c r="H317" s="216"/>
      <c r="I317" s="216"/>
      <c r="J317" s="204"/>
      <c r="K317" s="903"/>
      <c r="S317" s="1073"/>
      <c r="AA317" s="1073"/>
      <c r="AI317" s="1073"/>
      <c r="AQ317" s="1073"/>
      <c r="AY317" s="1073"/>
      <c r="BG317" s="1073"/>
      <c r="BO317" s="1073"/>
      <c r="BW317" s="1073"/>
      <c r="CE317" s="1073"/>
      <c r="CM317" s="1073"/>
      <c r="CU317" s="1073"/>
      <c r="DC317" s="1073"/>
      <c r="DK317" s="1073"/>
      <c r="DS317" s="1073"/>
      <c r="EA317" s="1073"/>
      <c r="EI317" s="1073"/>
      <c r="EQ317" s="1073"/>
      <c r="EY317" s="1073"/>
      <c r="FG317" s="1073"/>
      <c r="FO317" s="1073"/>
    </row>
    <row r="318" spans="1:171" ht="17.25" thickTop="1" thickBot="1">
      <c r="A318" s="1038" t="s">
        <v>66</v>
      </c>
      <c r="B318" s="1039"/>
      <c r="C318" s="1039"/>
      <c r="D318" s="1039"/>
      <c r="E318" s="1039"/>
      <c r="F318" s="1040"/>
      <c r="G318" s="1040"/>
      <c r="H318" s="1040"/>
      <c r="I318" s="1039"/>
      <c r="J318" s="1039"/>
      <c r="K318" s="903"/>
      <c r="S318" s="1073"/>
      <c r="AA318" s="1073"/>
      <c r="AI318" s="1073"/>
      <c r="AQ318" s="1073"/>
      <c r="AY318" s="1073"/>
      <c r="BG318" s="1073"/>
      <c r="BO318" s="1073"/>
      <c r="BW318" s="1073"/>
      <c r="CE318" s="1073"/>
      <c r="CM318" s="1073"/>
      <c r="CU318" s="1073"/>
      <c r="DC318" s="1073"/>
      <c r="DK318" s="1073"/>
      <c r="DS318" s="1073"/>
      <c r="EA318" s="1073"/>
      <c r="EI318" s="1073"/>
      <c r="EQ318" s="1073"/>
      <c r="EY318" s="1073"/>
      <c r="FG318" s="1073"/>
      <c r="FO318" s="1073"/>
    </row>
    <row r="319" spans="1:171">
      <c r="A319" s="1041"/>
      <c r="B319" s="1042"/>
      <c r="C319" s="1043"/>
      <c r="D319" s="1043"/>
      <c r="E319" s="1043"/>
      <c r="F319" s="1043"/>
      <c r="G319" s="1042"/>
      <c r="H319" s="1042"/>
      <c r="I319" s="1042"/>
      <c r="J319" s="1044"/>
      <c r="K319" s="903"/>
      <c r="S319" s="1073"/>
      <c r="AA319" s="1073"/>
      <c r="AI319" s="1073"/>
      <c r="AQ319" s="1073"/>
      <c r="AY319" s="1073"/>
      <c r="BG319" s="1073"/>
      <c r="BO319" s="1073"/>
      <c r="BW319" s="1073"/>
      <c r="CE319" s="1073"/>
      <c r="CM319" s="1073"/>
      <c r="CU319" s="1073"/>
      <c r="DC319" s="1073"/>
      <c r="DK319" s="1073"/>
      <c r="DS319" s="1073"/>
      <c r="EA319" s="1073"/>
      <c r="EI319" s="1073"/>
      <c r="EQ319" s="1073"/>
      <c r="EY319" s="1073"/>
      <c r="FG319" s="1073"/>
      <c r="FO319" s="1073"/>
    </row>
    <row r="320" spans="1:171" ht="16.5" thickBot="1">
      <c r="A320" s="1045"/>
      <c r="B320" s="1019"/>
      <c r="C320" s="1"/>
      <c r="D320" s="1"/>
      <c r="E320" s="1"/>
      <c r="F320" s="1"/>
      <c r="G320" s="1046" t="s">
        <v>97</v>
      </c>
      <c r="H320" s="1046" t="s">
        <v>97</v>
      </c>
      <c r="I320" s="1046" t="s">
        <v>97</v>
      </c>
      <c r="J320" s="1047" t="s">
        <v>97</v>
      </c>
      <c r="K320" s="903"/>
      <c r="S320" s="1073"/>
      <c r="AA320" s="1073"/>
      <c r="AI320" s="1073"/>
      <c r="AQ320" s="1073"/>
      <c r="AY320" s="1073"/>
      <c r="BG320" s="1073"/>
      <c r="BO320" s="1073"/>
      <c r="BW320" s="1073"/>
      <c r="CE320" s="1073"/>
      <c r="CM320" s="1073"/>
      <c r="CU320" s="1073"/>
      <c r="DC320" s="1073"/>
      <c r="DK320" s="1073"/>
      <c r="DS320" s="1073"/>
      <c r="EA320" s="1073"/>
      <c r="EI320" s="1073"/>
      <c r="EQ320" s="1073"/>
      <c r="EY320" s="1073"/>
      <c r="FG320" s="1073"/>
      <c r="FO320" s="1073"/>
    </row>
    <row r="321" spans="1:171" ht="16.5" thickBot="1">
      <c r="A321" s="1048"/>
      <c r="B321" s="1"/>
      <c r="C321" s="1"/>
      <c r="D321" s="1"/>
      <c r="E321" s="1"/>
      <c r="F321" s="1"/>
      <c r="G321" s="305" t="s">
        <v>104</v>
      </c>
      <c r="H321" s="305" t="s">
        <v>105</v>
      </c>
      <c r="I321" s="305" t="s">
        <v>106</v>
      </c>
      <c r="J321" s="305" t="s">
        <v>516</v>
      </c>
      <c r="K321" s="903"/>
      <c r="O321" s="305" t="s">
        <v>104</v>
      </c>
      <c r="P321" s="305" t="s">
        <v>105</v>
      </c>
      <c r="Q321" s="305" t="s">
        <v>106</v>
      </c>
      <c r="R321" s="305" t="s">
        <v>516</v>
      </c>
      <c r="S321" s="903"/>
      <c r="W321" s="305" t="s">
        <v>104</v>
      </c>
      <c r="X321" s="305" t="s">
        <v>105</v>
      </c>
      <c r="Y321" s="305" t="s">
        <v>106</v>
      </c>
      <c r="Z321" s="305" t="s">
        <v>516</v>
      </c>
      <c r="AA321" s="903"/>
      <c r="AE321" s="305" t="s">
        <v>104</v>
      </c>
      <c r="AF321" s="305" t="s">
        <v>105</v>
      </c>
      <c r="AG321" s="305" t="s">
        <v>106</v>
      </c>
      <c r="AH321" s="305" t="s">
        <v>516</v>
      </c>
      <c r="AI321" s="903"/>
      <c r="AM321" s="305" t="s">
        <v>104</v>
      </c>
      <c r="AN321" s="305" t="s">
        <v>105</v>
      </c>
      <c r="AO321" s="305" t="s">
        <v>106</v>
      </c>
      <c r="AP321" s="305" t="s">
        <v>516</v>
      </c>
      <c r="AQ321" s="903"/>
      <c r="AU321" s="305" t="s">
        <v>104</v>
      </c>
      <c r="AV321" s="305" t="s">
        <v>105</v>
      </c>
      <c r="AW321" s="305" t="s">
        <v>106</v>
      </c>
      <c r="AX321" s="305" t="s">
        <v>516</v>
      </c>
      <c r="AY321" s="903"/>
      <c r="BC321" s="305" t="s">
        <v>104</v>
      </c>
      <c r="BD321" s="305" t="s">
        <v>105</v>
      </c>
      <c r="BE321" s="305" t="s">
        <v>106</v>
      </c>
      <c r="BF321" s="305" t="s">
        <v>516</v>
      </c>
      <c r="BG321" s="903"/>
      <c r="BK321" s="305" t="s">
        <v>104</v>
      </c>
      <c r="BL321" s="305" t="s">
        <v>105</v>
      </c>
      <c r="BM321" s="305" t="s">
        <v>106</v>
      </c>
      <c r="BN321" s="305" t="s">
        <v>516</v>
      </c>
      <c r="BO321" s="903"/>
      <c r="BS321" s="305" t="s">
        <v>104</v>
      </c>
      <c r="BT321" s="305" t="s">
        <v>105</v>
      </c>
      <c r="BU321" s="305" t="s">
        <v>106</v>
      </c>
      <c r="BV321" s="305" t="s">
        <v>516</v>
      </c>
      <c r="BW321" s="903"/>
      <c r="CA321" s="305" t="s">
        <v>104</v>
      </c>
      <c r="CB321" s="305" t="s">
        <v>105</v>
      </c>
      <c r="CC321" s="305" t="s">
        <v>106</v>
      </c>
      <c r="CD321" s="305" t="s">
        <v>516</v>
      </c>
      <c r="CE321" s="903"/>
      <c r="CI321" s="305" t="s">
        <v>104</v>
      </c>
      <c r="CJ321" s="305" t="s">
        <v>105</v>
      </c>
      <c r="CK321" s="305" t="s">
        <v>106</v>
      </c>
      <c r="CL321" s="305" t="s">
        <v>516</v>
      </c>
      <c r="CM321" s="903"/>
      <c r="CQ321" s="305" t="s">
        <v>104</v>
      </c>
      <c r="CR321" s="305" t="s">
        <v>105</v>
      </c>
      <c r="CS321" s="305" t="s">
        <v>106</v>
      </c>
      <c r="CT321" s="305" t="s">
        <v>516</v>
      </c>
      <c r="CU321" s="903"/>
      <c r="CY321" s="305" t="s">
        <v>104</v>
      </c>
      <c r="CZ321" s="305" t="s">
        <v>105</v>
      </c>
      <c r="DA321" s="305" t="s">
        <v>106</v>
      </c>
      <c r="DB321" s="305" t="s">
        <v>516</v>
      </c>
      <c r="DC321" s="903"/>
      <c r="DG321" s="305" t="s">
        <v>104</v>
      </c>
      <c r="DH321" s="305" t="s">
        <v>105</v>
      </c>
      <c r="DI321" s="305" t="s">
        <v>106</v>
      </c>
      <c r="DJ321" s="305" t="s">
        <v>516</v>
      </c>
      <c r="DK321" s="903"/>
      <c r="DO321" s="305" t="s">
        <v>104</v>
      </c>
      <c r="DP321" s="305" t="s">
        <v>105</v>
      </c>
      <c r="DQ321" s="305" t="s">
        <v>106</v>
      </c>
      <c r="DR321" s="305" t="s">
        <v>516</v>
      </c>
      <c r="DS321" s="903"/>
      <c r="DW321" s="305" t="s">
        <v>104</v>
      </c>
      <c r="DX321" s="305" t="s">
        <v>105</v>
      </c>
      <c r="DY321" s="305" t="s">
        <v>106</v>
      </c>
      <c r="DZ321" s="305" t="s">
        <v>516</v>
      </c>
      <c r="EA321" s="903"/>
      <c r="EE321" s="305" t="s">
        <v>104</v>
      </c>
      <c r="EF321" s="305" t="s">
        <v>105</v>
      </c>
      <c r="EG321" s="305" t="s">
        <v>106</v>
      </c>
      <c r="EH321" s="305" t="s">
        <v>516</v>
      </c>
      <c r="EI321" s="903"/>
      <c r="EM321" s="305" t="s">
        <v>104</v>
      </c>
      <c r="EN321" s="305" t="s">
        <v>105</v>
      </c>
      <c r="EO321" s="305" t="s">
        <v>106</v>
      </c>
      <c r="EP321" s="305" t="s">
        <v>516</v>
      </c>
      <c r="EQ321" s="903"/>
      <c r="EU321" s="305" t="s">
        <v>104</v>
      </c>
      <c r="EV321" s="305" t="s">
        <v>105</v>
      </c>
      <c r="EW321" s="305" t="s">
        <v>106</v>
      </c>
      <c r="EX321" s="305" t="s">
        <v>516</v>
      </c>
      <c r="EY321" s="903"/>
      <c r="FC321" s="305" t="s">
        <v>104</v>
      </c>
      <c r="FD321" s="305" t="s">
        <v>105</v>
      </c>
      <c r="FE321" s="305" t="s">
        <v>106</v>
      </c>
      <c r="FF321" s="305" t="s">
        <v>516</v>
      </c>
      <c r="FG321" s="903"/>
      <c r="FK321" s="305" t="s">
        <v>104</v>
      </c>
      <c r="FL321" s="305" t="s">
        <v>105</v>
      </c>
      <c r="FM321" s="305" t="s">
        <v>106</v>
      </c>
      <c r="FN321" s="305" t="s">
        <v>516</v>
      </c>
      <c r="FO321" s="903"/>
    </row>
    <row r="322" spans="1:171">
      <c r="A322" s="1049" t="s">
        <v>50</v>
      </c>
      <c r="B322" s="51"/>
      <c r="C322" s="1"/>
      <c r="D322" s="1"/>
      <c r="E322" s="1"/>
      <c r="F322" s="1"/>
      <c r="G322" s="923">
        <f>G260</f>
        <v>937273416.83000004</v>
      </c>
      <c r="H322" s="923">
        <f>H260</f>
        <v>611677016.79410982</v>
      </c>
      <c r="I322" s="923">
        <f>I260</f>
        <v>0</v>
      </c>
      <c r="J322" s="923">
        <f>J260</f>
        <v>325596400.03416735</v>
      </c>
      <c r="K322" s="903"/>
      <c r="O322" s="923">
        <f>O260</f>
        <v>937273416.83000004</v>
      </c>
      <c r="P322" s="923">
        <f>P260</f>
        <v>611677016.79410982</v>
      </c>
      <c r="Q322" s="923">
        <f>Q260</f>
        <v>47412482.929716811</v>
      </c>
      <c r="R322" s="923">
        <f>R260</f>
        <v>278183917.10617346</v>
      </c>
      <c r="S322" s="903"/>
      <c r="W322" s="923">
        <f>W260</f>
        <v>937273416.83000004</v>
      </c>
      <c r="X322" s="923">
        <f>X260</f>
        <v>611677016.79410982</v>
      </c>
      <c r="Y322" s="923">
        <f>Y260</f>
        <v>47412482.929716811</v>
      </c>
      <c r="Z322" s="923">
        <f>Z260</f>
        <v>278183917.10617346</v>
      </c>
      <c r="AA322" s="903"/>
      <c r="AE322" s="923">
        <f>AE260</f>
        <v>937273416.83000004</v>
      </c>
      <c r="AF322" s="923">
        <f>AF260</f>
        <v>611677016.79410982</v>
      </c>
      <c r="AG322" s="923">
        <f>AG260</f>
        <v>47412482.929716811</v>
      </c>
      <c r="AH322" s="923">
        <f>AH260</f>
        <v>278183917.10617346</v>
      </c>
      <c r="AI322" s="903"/>
      <c r="AM322" s="923">
        <f>AM260</f>
        <v>937273416.83000004</v>
      </c>
      <c r="AN322" s="923">
        <f>AN260</f>
        <v>611677016.79410982</v>
      </c>
      <c r="AO322" s="923">
        <f>AO260</f>
        <v>47412482.929716811</v>
      </c>
      <c r="AP322" s="923">
        <f>AP260</f>
        <v>278183917.10617346</v>
      </c>
      <c r="AQ322" s="903"/>
      <c r="AU322" s="923">
        <f>AU260</f>
        <v>937273416.83000004</v>
      </c>
      <c r="AV322" s="923">
        <f>AV260</f>
        <v>611677016.79410982</v>
      </c>
      <c r="AW322" s="923">
        <f>AW260</f>
        <v>47412482.929716811</v>
      </c>
      <c r="AX322" s="923">
        <f>AX260</f>
        <v>278183917.10617346</v>
      </c>
      <c r="AY322" s="903"/>
      <c r="BC322" s="923">
        <f>BC260</f>
        <v>937273416.83000004</v>
      </c>
      <c r="BD322" s="923">
        <f>BD260</f>
        <v>611677016.79410982</v>
      </c>
      <c r="BE322" s="923">
        <f>BE260</f>
        <v>47412482.929716811</v>
      </c>
      <c r="BF322" s="923">
        <f>BF260</f>
        <v>278183917.10617346</v>
      </c>
      <c r="BG322" s="903"/>
      <c r="BK322" s="923">
        <f>BK260</f>
        <v>937273416.83000004</v>
      </c>
      <c r="BL322" s="923">
        <f>BL260</f>
        <v>611677016.79410982</v>
      </c>
      <c r="BM322" s="923">
        <f>BM260</f>
        <v>47412482.929716811</v>
      </c>
      <c r="BN322" s="923">
        <f>BN260</f>
        <v>278183917.10617346</v>
      </c>
      <c r="BO322" s="903"/>
      <c r="BS322" s="923">
        <f>BS260</f>
        <v>937273416.83000004</v>
      </c>
      <c r="BT322" s="923">
        <f>BT260</f>
        <v>611677016.79410982</v>
      </c>
      <c r="BU322" s="923">
        <f>BU260</f>
        <v>47412482.929716811</v>
      </c>
      <c r="BV322" s="923">
        <f>BV260</f>
        <v>278183917.10617346</v>
      </c>
      <c r="BW322" s="903"/>
      <c r="CA322" s="923">
        <f>CA260</f>
        <v>937273416.83000004</v>
      </c>
      <c r="CB322" s="923">
        <f>CB260</f>
        <v>611677016.79410982</v>
      </c>
      <c r="CC322" s="923">
        <f>CC260</f>
        <v>47412482.929716811</v>
      </c>
      <c r="CD322" s="923">
        <f>CD260</f>
        <v>278183917.10617346</v>
      </c>
      <c r="CE322" s="903"/>
      <c r="CI322" s="923">
        <f>CI260</f>
        <v>937273416.83000004</v>
      </c>
      <c r="CJ322" s="923">
        <f>CJ260</f>
        <v>611677016.79410982</v>
      </c>
      <c r="CK322" s="923">
        <f>CK260</f>
        <v>47412482.929716811</v>
      </c>
      <c r="CL322" s="923">
        <f>CL260</f>
        <v>278183917.10617346</v>
      </c>
      <c r="CM322" s="903"/>
      <c r="CQ322" s="923">
        <f>CQ260</f>
        <v>937273416.83000004</v>
      </c>
      <c r="CR322" s="923">
        <f>CR260</f>
        <v>611677016.79410982</v>
      </c>
      <c r="CS322" s="923">
        <f>CS260</f>
        <v>47412482.929716811</v>
      </c>
      <c r="CT322" s="923">
        <f>CT260</f>
        <v>278183917.10617346</v>
      </c>
      <c r="CU322" s="903"/>
      <c r="CY322" s="923">
        <f>CY260</f>
        <v>937273416.83000004</v>
      </c>
      <c r="CZ322" s="923">
        <f>CZ260</f>
        <v>611677016.79410982</v>
      </c>
      <c r="DA322" s="923">
        <f>DA260</f>
        <v>47412482.929716811</v>
      </c>
      <c r="DB322" s="923">
        <f>DB260</f>
        <v>278183917.10617346</v>
      </c>
      <c r="DC322" s="903"/>
      <c r="DG322" s="923">
        <f>DG260</f>
        <v>937273416.83000004</v>
      </c>
      <c r="DH322" s="923">
        <f>DH260</f>
        <v>611677016.79410982</v>
      </c>
      <c r="DI322" s="923">
        <f>DI260</f>
        <v>47412482.929716811</v>
      </c>
      <c r="DJ322" s="923">
        <f>DJ260</f>
        <v>278183917.10617346</v>
      </c>
      <c r="DK322" s="903"/>
      <c r="DO322" s="923">
        <f>DO260</f>
        <v>937273416.83000004</v>
      </c>
      <c r="DP322" s="923">
        <f>DP260</f>
        <v>611677016.79410982</v>
      </c>
      <c r="DQ322" s="923">
        <f>DQ260</f>
        <v>47412482.929716811</v>
      </c>
      <c r="DR322" s="923">
        <f>DR260</f>
        <v>278183917.10617346</v>
      </c>
      <c r="DS322" s="903"/>
      <c r="DW322" s="923">
        <f>DW260</f>
        <v>937273416.83000004</v>
      </c>
      <c r="DX322" s="923">
        <f>DX260</f>
        <v>611677016.79410982</v>
      </c>
      <c r="DY322" s="923">
        <f>DY260</f>
        <v>47412482.929716811</v>
      </c>
      <c r="DZ322" s="923">
        <f>DZ260</f>
        <v>278183917.10617346</v>
      </c>
      <c r="EA322" s="903"/>
      <c r="EE322" s="923">
        <f>EE260</f>
        <v>937273416.83000004</v>
      </c>
      <c r="EF322" s="923">
        <f>EF260</f>
        <v>611677016.79410982</v>
      </c>
      <c r="EG322" s="923">
        <f>EG260</f>
        <v>47412482.929716811</v>
      </c>
      <c r="EH322" s="923">
        <f>EH260</f>
        <v>278183917.10617346</v>
      </c>
      <c r="EI322" s="903"/>
      <c r="EM322" s="923">
        <f>EM260</f>
        <v>937273416.83000004</v>
      </c>
      <c r="EN322" s="923">
        <f>EN260</f>
        <v>611677016.79410982</v>
      </c>
      <c r="EO322" s="923">
        <f>EO260</f>
        <v>47412482.929716811</v>
      </c>
      <c r="EP322" s="923">
        <f>EP260</f>
        <v>278183917.10617346</v>
      </c>
      <c r="EQ322" s="903"/>
      <c r="EU322" s="923">
        <f>EU260</f>
        <v>937273416.83000004</v>
      </c>
      <c r="EV322" s="923">
        <f>EV260</f>
        <v>611677016.79410982</v>
      </c>
      <c r="EW322" s="923">
        <f>EW260</f>
        <v>47412482.929716811</v>
      </c>
      <c r="EX322" s="923">
        <f>EX260</f>
        <v>278183917.10617346</v>
      </c>
      <c r="EY322" s="903"/>
      <c r="FC322" s="923">
        <f>FC260</f>
        <v>937273416.83000004</v>
      </c>
      <c r="FD322" s="923">
        <f>FD260</f>
        <v>611677016.79410982</v>
      </c>
      <c r="FE322" s="923">
        <f>FE260</f>
        <v>47412482.929716811</v>
      </c>
      <c r="FF322" s="923">
        <f>FF260</f>
        <v>278183917.10617346</v>
      </c>
      <c r="FG322" s="903"/>
      <c r="FK322" s="923">
        <f>FK260</f>
        <v>937273416.83000004</v>
      </c>
      <c r="FL322" s="923">
        <f>FL260</f>
        <v>611677016.79410982</v>
      </c>
      <c r="FM322" s="923">
        <f>FM260</f>
        <v>47412482.929716811</v>
      </c>
      <c r="FN322" s="923">
        <f>FN260</f>
        <v>278183917.10617346</v>
      </c>
      <c r="FO322" s="903"/>
    </row>
    <row r="323" spans="1:171">
      <c r="A323" s="1050" t="s">
        <v>68</v>
      </c>
      <c r="B323" s="51"/>
      <c r="C323" s="1"/>
      <c r="D323" s="1"/>
      <c r="E323" s="1"/>
      <c r="F323" s="1"/>
      <c r="G323" s="221"/>
      <c r="H323" s="221"/>
      <c r="I323" s="221"/>
      <c r="J323" s="1051"/>
      <c r="K323" s="903"/>
      <c r="O323" s="221"/>
      <c r="P323" s="221"/>
      <c r="Q323" s="221"/>
      <c r="R323" s="1051"/>
      <c r="S323" s="903"/>
      <c r="W323" s="221"/>
      <c r="X323" s="221"/>
      <c r="Y323" s="221"/>
      <c r="Z323" s="1051"/>
      <c r="AA323" s="903"/>
      <c r="AE323" s="221"/>
      <c r="AF323" s="221"/>
      <c r="AG323" s="221"/>
      <c r="AH323" s="1051"/>
      <c r="AI323" s="903"/>
      <c r="AM323" s="221"/>
      <c r="AN323" s="221"/>
      <c r="AO323" s="221"/>
      <c r="AP323" s="1051"/>
      <c r="AQ323" s="903"/>
      <c r="AU323" s="221"/>
      <c r="AV323" s="221"/>
      <c r="AW323" s="221"/>
      <c r="AX323" s="1051"/>
      <c r="AY323" s="903"/>
      <c r="BC323" s="221"/>
      <c r="BD323" s="221"/>
      <c r="BE323" s="221"/>
      <c r="BF323" s="1051"/>
      <c r="BG323" s="903"/>
      <c r="BK323" s="221"/>
      <c r="BL323" s="221"/>
      <c r="BM323" s="221"/>
      <c r="BN323" s="1051"/>
      <c r="BO323" s="903"/>
      <c r="BS323" s="221"/>
      <c r="BT323" s="221"/>
      <c r="BU323" s="221"/>
      <c r="BV323" s="1051"/>
      <c r="BW323" s="903"/>
      <c r="CA323" s="221"/>
      <c r="CB323" s="221"/>
      <c r="CC323" s="221"/>
      <c r="CD323" s="1051"/>
      <c r="CE323" s="903"/>
      <c r="CI323" s="221"/>
      <c r="CJ323" s="221"/>
      <c r="CK323" s="221"/>
      <c r="CL323" s="1051"/>
      <c r="CM323" s="903"/>
      <c r="CQ323" s="221"/>
      <c r="CR323" s="221"/>
      <c r="CS323" s="221"/>
      <c r="CT323" s="1051"/>
      <c r="CU323" s="903"/>
      <c r="CY323" s="221"/>
      <c r="CZ323" s="221"/>
      <c r="DA323" s="221"/>
      <c r="DB323" s="1051"/>
      <c r="DC323" s="903"/>
      <c r="DG323" s="221"/>
      <c r="DH323" s="221"/>
      <c r="DI323" s="221"/>
      <c r="DJ323" s="1051"/>
      <c r="DK323" s="903"/>
      <c r="DO323" s="221"/>
      <c r="DP323" s="221"/>
      <c r="DQ323" s="221"/>
      <c r="DR323" s="1051"/>
      <c r="DS323" s="903"/>
      <c r="DW323" s="221"/>
      <c r="DX323" s="221"/>
      <c r="DY323" s="221"/>
      <c r="DZ323" s="1051"/>
      <c r="EA323" s="903"/>
      <c r="EE323" s="221"/>
      <c r="EF323" s="221"/>
      <c r="EG323" s="221"/>
      <c r="EH323" s="1051"/>
      <c r="EI323" s="903"/>
      <c r="EM323" s="221"/>
      <c r="EN323" s="221"/>
      <c r="EO323" s="221"/>
      <c r="EP323" s="1051"/>
      <c r="EQ323" s="903"/>
      <c r="EU323" s="221"/>
      <c r="EV323" s="221"/>
      <c r="EW323" s="221"/>
      <c r="EX323" s="1051"/>
      <c r="EY323" s="903"/>
      <c r="FC323" s="221"/>
      <c r="FD323" s="221"/>
      <c r="FE323" s="221"/>
      <c r="FF323" s="1051"/>
      <c r="FG323" s="903"/>
      <c r="FK323" s="221"/>
      <c r="FL323" s="221"/>
      <c r="FM323" s="221"/>
      <c r="FN323" s="1051"/>
      <c r="FO323" s="903"/>
    </row>
    <row r="324" spans="1:171">
      <c r="A324" s="1050"/>
      <c r="B324" s="51"/>
      <c r="C324" s="1"/>
      <c r="D324" s="1"/>
      <c r="E324" s="1"/>
      <c r="F324" s="1"/>
      <c r="G324" s="221"/>
      <c r="H324" s="221"/>
      <c r="I324" s="221"/>
      <c r="J324" s="1051"/>
      <c r="K324" s="903"/>
      <c r="O324" s="221"/>
      <c r="P324" s="221"/>
      <c r="Q324" s="221"/>
      <c r="R324" s="1051"/>
      <c r="S324" s="903"/>
      <c r="W324" s="221"/>
      <c r="X324" s="221"/>
      <c r="Y324" s="221"/>
      <c r="Z324" s="1051"/>
      <c r="AA324" s="903"/>
      <c r="AE324" s="221"/>
      <c r="AF324" s="221"/>
      <c r="AG324" s="221"/>
      <c r="AH324" s="1051"/>
      <c r="AI324" s="903"/>
      <c r="AM324" s="221"/>
      <c r="AN324" s="221"/>
      <c r="AO324" s="221"/>
      <c r="AP324" s="1051"/>
      <c r="AQ324" s="903"/>
      <c r="AU324" s="221"/>
      <c r="AV324" s="221"/>
      <c r="AW324" s="221"/>
      <c r="AX324" s="1051"/>
      <c r="AY324" s="903"/>
      <c r="BC324" s="221"/>
      <c r="BD324" s="221"/>
      <c r="BE324" s="221"/>
      <c r="BF324" s="1051"/>
      <c r="BG324" s="903"/>
      <c r="BK324" s="221"/>
      <c r="BL324" s="221"/>
      <c r="BM324" s="221"/>
      <c r="BN324" s="1051"/>
      <c r="BO324" s="903"/>
      <c r="BS324" s="221"/>
      <c r="BT324" s="221"/>
      <c r="BU324" s="221"/>
      <c r="BV324" s="1051"/>
      <c r="BW324" s="903"/>
      <c r="CA324" s="221"/>
      <c r="CB324" s="221"/>
      <c r="CC324" s="221"/>
      <c r="CD324" s="1051"/>
      <c r="CE324" s="903"/>
      <c r="CI324" s="221"/>
      <c r="CJ324" s="221"/>
      <c r="CK324" s="221"/>
      <c r="CL324" s="1051"/>
      <c r="CM324" s="903"/>
      <c r="CQ324" s="221"/>
      <c r="CR324" s="221"/>
      <c r="CS324" s="221"/>
      <c r="CT324" s="1051"/>
      <c r="CU324" s="903"/>
      <c r="CY324" s="221"/>
      <c r="CZ324" s="221"/>
      <c r="DA324" s="221"/>
      <c r="DB324" s="1051"/>
      <c r="DC324" s="903"/>
      <c r="DG324" s="221"/>
      <c r="DH324" s="221"/>
      <c r="DI324" s="221"/>
      <c r="DJ324" s="1051"/>
      <c r="DK324" s="903"/>
      <c r="DO324" s="221"/>
      <c r="DP324" s="221"/>
      <c r="DQ324" s="221"/>
      <c r="DR324" s="1051"/>
      <c r="DS324" s="903"/>
      <c r="DW324" s="221"/>
      <c r="DX324" s="221"/>
      <c r="DY324" s="221"/>
      <c r="DZ324" s="1051"/>
      <c r="EA324" s="903"/>
      <c r="EE324" s="221"/>
      <c r="EF324" s="221"/>
      <c r="EG324" s="221"/>
      <c r="EH324" s="1051"/>
      <c r="EI324" s="903"/>
      <c r="EM324" s="221"/>
      <c r="EN324" s="221"/>
      <c r="EO324" s="221"/>
      <c r="EP324" s="1051"/>
      <c r="EQ324" s="903"/>
      <c r="EU324" s="221"/>
      <c r="EV324" s="221"/>
      <c r="EW324" s="221"/>
      <c r="EX324" s="1051"/>
      <c r="EY324" s="903"/>
      <c r="FC324" s="221"/>
      <c r="FD324" s="221"/>
      <c r="FE324" s="221"/>
      <c r="FF324" s="1051"/>
      <c r="FG324" s="903"/>
      <c r="FK324" s="221"/>
      <c r="FL324" s="221"/>
      <c r="FM324" s="221"/>
      <c r="FN324" s="1051"/>
      <c r="FO324" s="903"/>
    </row>
    <row r="325" spans="1:171">
      <c r="A325" s="1049" t="s">
        <v>141</v>
      </c>
      <c r="B325" s="51"/>
      <c r="C325" s="1"/>
      <c r="D325" s="1"/>
      <c r="E325" s="1"/>
      <c r="F325" s="1"/>
      <c r="G325" s="923">
        <f>G167</f>
        <v>318560839.00773537</v>
      </c>
      <c r="H325" s="923">
        <f>H167</f>
        <v>91289873.635046005</v>
      </c>
      <c r="I325" s="923">
        <f>I167</f>
        <v>0</v>
      </c>
      <c r="J325" s="923">
        <f>J167</f>
        <v>227270965.2772226</v>
      </c>
      <c r="K325" s="903"/>
      <c r="O325" s="923">
        <f>O167</f>
        <v>318560839.00773537</v>
      </c>
      <c r="P325" s="923">
        <f>P167</f>
        <v>91289873.635046005</v>
      </c>
      <c r="Q325" s="923">
        <f>Q167</f>
        <v>68995342.635173887</v>
      </c>
      <c r="R325" s="923">
        <f>R167</f>
        <v>158275622.73751551</v>
      </c>
      <c r="S325" s="903"/>
      <c r="W325" s="923">
        <f>W167</f>
        <v>318560839.00773537</v>
      </c>
      <c r="X325" s="923">
        <f>X167</f>
        <v>91289873.635046005</v>
      </c>
      <c r="Y325" s="923">
        <f>Y167</f>
        <v>68995342.635173887</v>
      </c>
      <c r="Z325" s="923">
        <f>Z167</f>
        <v>158275622.73751551</v>
      </c>
      <c r="AA325" s="903"/>
      <c r="AE325" s="923">
        <f>AE167</f>
        <v>318560839.00773537</v>
      </c>
      <c r="AF325" s="923">
        <f>AF167</f>
        <v>91289873.635046005</v>
      </c>
      <c r="AG325" s="923">
        <f>AG167</f>
        <v>68995342.635173887</v>
      </c>
      <c r="AH325" s="923">
        <f>AH167</f>
        <v>158275622.73751551</v>
      </c>
      <c r="AI325" s="903"/>
      <c r="AM325" s="923">
        <f>AM167</f>
        <v>318560839.00773537</v>
      </c>
      <c r="AN325" s="923">
        <f>AN167</f>
        <v>91289873.635046005</v>
      </c>
      <c r="AO325" s="923">
        <f>AO167</f>
        <v>68995342.635173887</v>
      </c>
      <c r="AP325" s="923">
        <f>AP167</f>
        <v>158275622.73751551</v>
      </c>
      <c r="AQ325" s="903"/>
      <c r="AU325" s="923">
        <f>AU167</f>
        <v>318560839.00773537</v>
      </c>
      <c r="AV325" s="923">
        <f>AV167</f>
        <v>91289873.635046005</v>
      </c>
      <c r="AW325" s="923">
        <f>AW167</f>
        <v>68995342.635173887</v>
      </c>
      <c r="AX325" s="923">
        <f>AX167</f>
        <v>158275622.73751551</v>
      </c>
      <c r="AY325" s="903"/>
      <c r="BC325" s="923">
        <f>BC167</f>
        <v>318560839.00773537</v>
      </c>
      <c r="BD325" s="923">
        <f>BD167</f>
        <v>91289873.635046005</v>
      </c>
      <c r="BE325" s="923">
        <f>BE167</f>
        <v>68995342.635173887</v>
      </c>
      <c r="BF325" s="923">
        <f>BF167</f>
        <v>158275622.73751551</v>
      </c>
      <c r="BG325" s="903"/>
      <c r="BK325" s="923">
        <f>BK167</f>
        <v>318560839.00773537</v>
      </c>
      <c r="BL325" s="923">
        <f>BL167</f>
        <v>91289873.635046005</v>
      </c>
      <c r="BM325" s="923">
        <f>BM167</f>
        <v>68995342.635173887</v>
      </c>
      <c r="BN325" s="923">
        <f>BN167</f>
        <v>158275622.73751551</v>
      </c>
      <c r="BO325" s="903"/>
      <c r="BS325" s="923">
        <f>BS167</f>
        <v>318560839.00773537</v>
      </c>
      <c r="BT325" s="923">
        <f>BT167</f>
        <v>91289873.635046005</v>
      </c>
      <c r="BU325" s="923">
        <f>BU167</f>
        <v>68995342.635173887</v>
      </c>
      <c r="BV325" s="923">
        <f>BV167</f>
        <v>158275622.73751551</v>
      </c>
      <c r="BW325" s="903"/>
      <c r="CA325" s="923">
        <f>CA167</f>
        <v>318560839.00773537</v>
      </c>
      <c r="CB325" s="923">
        <f>CB167</f>
        <v>91289873.635046005</v>
      </c>
      <c r="CC325" s="923">
        <f>CC167</f>
        <v>68995342.635173887</v>
      </c>
      <c r="CD325" s="923">
        <f>CD167</f>
        <v>158275622.73751551</v>
      </c>
      <c r="CE325" s="903"/>
      <c r="CI325" s="923">
        <f>CI167</f>
        <v>318560839.00773537</v>
      </c>
      <c r="CJ325" s="923">
        <f>CJ167</f>
        <v>91289873.635046005</v>
      </c>
      <c r="CK325" s="923">
        <f>CK167</f>
        <v>68995342.635173887</v>
      </c>
      <c r="CL325" s="923">
        <f>CL167</f>
        <v>158275622.73751551</v>
      </c>
      <c r="CM325" s="903"/>
      <c r="CQ325" s="923">
        <f>CQ167</f>
        <v>318560839.00773537</v>
      </c>
      <c r="CR325" s="923">
        <f>CR167</f>
        <v>91289873.635046005</v>
      </c>
      <c r="CS325" s="923">
        <f>CS167</f>
        <v>68995342.635173887</v>
      </c>
      <c r="CT325" s="923">
        <f>CT167</f>
        <v>158275622.73751551</v>
      </c>
      <c r="CU325" s="903"/>
      <c r="CY325" s="923">
        <f>CY167</f>
        <v>318560839.00773537</v>
      </c>
      <c r="CZ325" s="923">
        <f>CZ167</f>
        <v>91289873.635046005</v>
      </c>
      <c r="DA325" s="923">
        <f>DA167</f>
        <v>68995342.635173887</v>
      </c>
      <c r="DB325" s="923">
        <f>DB167</f>
        <v>158275622.73751551</v>
      </c>
      <c r="DC325" s="903"/>
      <c r="DG325" s="923">
        <f>DG167</f>
        <v>318560839.00773537</v>
      </c>
      <c r="DH325" s="923">
        <f>DH167</f>
        <v>91289873.635046005</v>
      </c>
      <c r="DI325" s="923">
        <f>DI167</f>
        <v>68995342.635173887</v>
      </c>
      <c r="DJ325" s="923">
        <f>DJ167</f>
        <v>158275622.73751551</v>
      </c>
      <c r="DK325" s="903"/>
      <c r="DO325" s="923">
        <f>DO167</f>
        <v>318560839.00773537</v>
      </c>
      <c r="DP325" s="923">
        <f>DP167</f>
        <v>91289873.635046005</v>
      </c>
      <c r="DQ325" s="923">
        <f>DQ167</f>
        <v>68995342.635173887</v>
      </c>
      <c r="DR325" s="923">
        <f>DR167</f>
        <v>158275622.73751551</v>
      </c>
      <c r="DS325" s="903"/>
      <c r="DW325" s="923">
        <f>DW167</f>
        <v>318560839.00773537</v>
      </c>
      <c r="DX325" s="923">
        <f>DX167</f>
        <v>91289873.635046005</v>
      </c>
      <c r="DY325" s="923">
        <f>DY167</f>
        <v>68995342.635173887</v>
      </c>
      <c r="DZ325" s="923">
        <f>DZ167</f>
        <v>158275622.73751551</v>
      </c>
      <c r="EA325" s="903"/>
      <c r="EE325" s="923">
        <f>EE167</f>
        <v>318560839.00773537</v>
      </c>
      <c r="EF325" s="923">
        <f>EF167</f>
        <v>91289873.635046005</v>
      </c>
      <c r="EG325" s="923">
        <f>EG167</f>
        <v>68995342.635173887</v>
      </c>
      <c r="EH325" s="923">
        <f>EH167</f>
        <v>158275622.73751551</v>
      </c>
      <c r="EI325" s="903"/>
      <c r="EM325" s="923">
        <f>EM167</f>
        <v>318560839.00773537</v>
      </c>
      <c r="EN325" s="923">
        <f>EN167</f>
        <v>91289873.635046005</v>
      </c>
      <c r="EO325" s="923">
        <f>EO167</f>
        <v>68995342.635173887</v>
      </c>
      <c r="EP325" s="923">
        <f>EP167</f>
        <v>158275622.73751551</v>
      </c>
      <c r="EQ325" s="903"/>
      <c r="EU325" s="923">
        <f>EU167</f>
        <v>318560839.00773537</v>
      </c>
      <c r="EV325" s="923">
        <f>EV167</f>
        <v>91289873.635046005</v>
      </c>
      <c r="EW325" s="923">
        <f>EW167</f>
        <v>68995342.635173887</v>
      </c>
      <c r="EX325" s="923">
        <f>EX167</f>
        <v>158275622.73751551</v>
      </c>
      <c r="EY325" s="903"/>
      <c r="FC325" s="923">
        <f>FC167</f>
        <v>318560839.00773537</v>
      </c>
      <c r="FD325" s="923">
        <f>FD167</f>
        <v>91289873.635046005</v>
      </c>
      <c r="FE325" s="923">
        <f>FE167</f>
        <v>68995342.635173887</v>
      </c>
      <c r="FF325" s="923">
        <f>FF167</f>
        <v>158275622.73751551</v>
      </c>
      <c r="FG325" s="903"/>
      <c r="FK325" s="923">
        <f>FK167</f>
        <v>318560839.00773537</v>
      </c>
      <c r="FL325" s="923">
        <f>FL167</f>
        <v>91289873.635046005</v>
      </c>
      <c r="FM325" s="923">
        <f>FM167</f>
        <v>68995342.635173887</v>
      </c>
      <c r="FN325" s="923">
        <f>FN167</f>
        <v>158275622.73751551</v>
      </c>
      <c r="FO325" s="903"/>
    </row>
    <row r="326" spans="1:171">
      <c r="A326" s="1050" t="s">
        <v>254</v>
      </c>
      <c r="B326" s="51"/>
      <c r="C326" s="1"/>
      <c r="D326" s="1"/>
      <c r="E326" s="1"/>
      <c r="F326" s="1"/>
      <c r="G326" s="221"/>
      <c r="H326" s="221"/>
      <c r="I326" s="221"/>
      <c r="J326" s="1051"/>
      <c r="K326" s="903"/>
      <c r="O326" s="221"/>
      <c r="P326" s="221"/>
      <c r="Q326" s="221"/>
      <c r="R326" s="1051"/>
      <c r="S326" s="903"/>
      <c r="W326" s="221"/>
      <c r="X326" s="221"/>
      <c r="Y326" s="221"/>
      <c r="Z326" s="1051"/>
      <c r="AA326" s="903"/>
      <c r="AE326" s="221"/>
      <c r="AF326" s="221"/>
      <c r="AG326" s="221"/>
      <c r="AH326" s="1051"/>
      <c r="AI326" s="903"/>
      <c r="AM326" s="221"/>
      <c r="AN326" s="221"/>
      <c r="AO326" s="221"/>
      <c r="AP326" s="1051"/>
      <c r="AQ326" s="903"/>
      <c r="AU326" s="221"/>
      <c r="AV326" s="221"/>
      <c r="AW326" s="221"/>
      <c r="AX326" s="1051"/>
      <c r="AY326" s="903"/>
      <c r="BC326" s="221"/>
      <c r="BD326" s="221"/>
      <c r="BE326" s="221"/>
      <c r="BF326" s="1051"/>
      <c r="BG326" s="903"/>
      <c r="BK326" s="221"/>
      <c r="BL326" s="221"/>
      <c r="BM326" s="221"/>
      <c r="BN326" s="1051"/>
      <c r="BO326" s="903"/>
      <c r="BS326" s="221"/>
      <c r="BT326" s="221"/>
      <c r="BU326" s="221"/>
      <c r="BV326" s="1051"/>
      <c r="BW326" s="903"/>
      <c r="CA326" s="221"/>
      <c r="CB326" s="221"/>
      <c r="CC326" s="221"/>
      <c r="CD326" s="1051"/>
      <c r="CE326" s="903"/>
      <c r="CI326" s="221"/>
      <c r="CJ326" s="221"/>
      <c r="CK326" s="221"/>
      <c r="CL326" s="1051"/>
      <c r="CM326" s="903"/>
      <c r="CQ326" s="221"/>
      <c r="CR326" s="221"/>
      <c r="CS326" s="221"/>
      <c r="CT326" s="1051"/>
      <c r="CU326" s="903"/>
      <c r="CY326" s="221"/>
      <c r="CZ326" s="221"/>
      <c r="DA326" s="221"/>
      <c r="DB326" s="1051"/>
      <c r="DC326" s="903"/>
      <c r="DG326" s="221"/>
      <c r="DH326" s="221"/>
      <c r="DI326" s="221"/>
      <c r="DJ326" s="1051"/>
      <c r="DK326" s="903"/>
      <c r="DO326" s="221"/>
      <c r="DP326" s="221"/>
      <c r="DQ326" s="221"/>
      <c r="DR326" s="1051"/>
      <c r="DS326" s="903"/>
      <c r="DW326" s="221"/>
      <c r="DX326" s="221"/>
      <c r="DY326" s="221"/>
      <c r="DZ326" s="1051"/>
      <c r="EA326" s="903"/>
      <c r="EE326" s="221"/>
      <c r="EF326" s="221"/>
      <c r="EG326" s="221"/>
      <c r="EH326" s="1051"/>
      <c r="EI326" s="903"/>
      <c r="EM326" s="221"/>
      <c r="EN326" s="221"/>
      <c r="EO326" s="221"/>
      <c r="EP326" s="1051"/>
      <c r="EQ326" s="903"/>
      <c r="EU326" s="221"/>
      <c r="EV326" s="221"/>
      <c r="EW326" s="221"/>
      <c r="EX326" s="1051"/>
      <c r="EY326" s="903"/>
      <c r="FC326" s="221"/>
      <c r="FD326" s="221"/>
      <c r="FE326" s="221"/>
      <c r="FF326" s="1051"/>
      <c r="FG326" s="903"/>
      <c r="FK326" s="221"/>
      <c r="FL326" s="221"/>
      <c r="FM326" s="221"/>
      <c r="FN326" s="1051"/>
      <c r="FO326" s="903"/>
    </row>
    <row r="327" spans="1:171">
      <c r="A327" s="1050"/>
      <c r="B327" s="51"/>
      <c r="C327" s="1"/>
      <c r="D327" s="1"/>
      <c r="E327" s="1"/>
      <c r="F327" s="1"/>
      <c r="G327" s="221"/>
      <c r="H327" s="221"/>
      <c r="I327" s="221"/>
      <c r="J327" s="1051"/>
      <c r="K327" s="903"/>
      <c r="O327" s="221"/>
      <c r="P327" s="221"/>
      <c r="Q327" s="221"/>
      <c r="R327" s="1051"/>
      <c r="S327" s="903"/>
      <c r="W327" s="221"/>
      <c r="X327" s="221"/>
      <c r="Y327" s="221"/>
      <c r="Z327" s="1051"/>
      <c r="AA327" s="903"/>
      <c r="AE327" s="221"/>
      <c r="AF327" s="221"/>
      <c r="AG327" s="221"/>
      <c r="AH327" s="1051"/>
      <c r="AI327" s="903"/>
      <c r="AM327" s="221"/>
      <c r="AN327" s="221"/>
      <c r="AO327" s="221"/>
      <c r="AP327" s="1051"/>
      <c r="AQ327" s="903"/>
      <c r="AU327" s="221"/>
      <c r="AV327" s="221"/>
      <c r="AW327" s="221"/>
      <c r="AX327" s="1051"/>
      <c r="AY327" s="903"/>
      <c r="BC327" s="221"/>
      <c r="BD327" s="221"/>
      <c r="BE327" s="221"/>
      <c r="BF327" s="1051"/>
      <c r="BG327" s="903"/>
      <c r="BK327" s="221"/>
      <c r="BL327" s="221"/>
      <c r="BM327" s="221"/>
      <c r="BN327" s="1051"/>
      <c r="BO327" s="903"/>
      <c r="BS327" s="221"/>
      <c r="BT327" s="221"/>
      <c r="BU327" s="221"/>
      <c r="BV327" s="1051"/>
      <c r="BW327" s="903"/>
      <c r="CA327" s="221"/>
      <c r="CB327" s="221"/>
      <c r="CC327" s="221"/>
      <c r="CD327" s="1051"/>
      <c r="CE327" s="903"/>
      <c r="CI327" s="221"/>
      <c r="CJ327" s="221"/>
      <c r="CK327" s="221"/>
      <c r="CL327" s="1051"/>
      <c r="CM327" s="903"/>
      <c r="CQ327" s="221"/>
      <c r="CR327" s="221"/>
      <c r="CS327" s="221"/>
      <c r="CT327" s="1051"/>
      <c r="CU327" s="903"/>
      <c r="CY327" s="221"/>
      <c r="CZ327" s="221"/>
      <c r="DA327" s="221"/>
      <c r="DB327" s="1051"/>
      <c r="DC327" s="903"/>
      <c r="DG327" s="221"/>
      <c r="DH327" s="221"/>
      <c r="DI327" s="221"/>
      <c r="DJ327" s="1051"/>
      <c r="DK327" s="903"/>
      <c r="DO327" s="221"/>
      <c r="DP327" s="221"/>
      <c r="DQ327" s="221"/>
      <c r="DR327" s="1051"/>
      <c r="DS327" s="903"/>
      <c r="DW327" s="221"/>
      <c r="DX327" s="221"/>
      <c r="DY327" s="221"/>
      <c r="DZ327" s="1051"/>
      <c r="EA327" s="903"/>
      <c r="EE327" s="221"/>
      <c r="EF327" s="221"/>
      <c r="EG327" s="221"/>
      <c r="EH327" s="1051"/>
      <c r="EI327" s="903"/>
      <c r="EM327" s="221"/>
      <c r="EN327" s="221"/>
      <c r="EO327" s="221"/>
      <c r="EP327" s="1051"/>
      <c r="EQ327" s="903"/>
      <c r="EU327" s="221"/>
      <c r="EV327" s="221"/>
      <c r="EW327" s="221"/>
      <c r="EX327" s="1051"/>
      <c r="EY327" s="903"/>
      <c r="FC327" s="221"/>
      <c r="FD327" s="221"/>
      <c r="FE327" s="221"/>
      <c r="FF327" s="1051"/>
      <c r="FG327" s="903"/>
      <c r="FK327" s="221"/>
      <c r="FL327" s="221"/>
      <c r="FM327" s="221"/>
      <c r="FN327" s="1051"/>
      <c r="FO327" s="903"/>
    </row>
    <row r="328" spans="1:171">
      <c r="A328" s="1049" t="s">
        <v>39</v>
      </c>
      <c r="B328" s="51"/>
      <c r="C328" s="1"/>
      <c r="D328" s="1"/>
      <c r="E328" s="1"/>
      <c r="F328" s="1"/>
      <c r="G328" s="923">
        <f>G283</f>
        <v>135775232</v>
      </c>
      <c r="H328" s="923">
        <f>H283</f>
        <v>18405972.337472353</v>
      </c>
      <c r="I328" s="923">
        <f>I283</f>
        <v>0</v>
      </c>
      <c r="J328" s="923">
        <f>J283</f>
        <v>117369259.65863717</v>
      </c>
      <c r="K328" s="903"/>
      <c r="O328" s="923">
        <f>O283</f>
        <v>135775232</v>
      </c>
      <c r="P328" s="923">
        <f>P283</f>
        <v>18405972.337472353</v>
      </c>
      <c r="Q328" s="923">
        <f>Q283</f>
        <v>9119856.8663379103</v>
      </c>
      <c r="R328" s="923">
        <f>R283</f>
        <v>108249402.79618974</v>
      </c>
      <c r="S328" s="903"/>
      <c r="W328" s="923">
        <f>W283</f>
        <v>135775232</v>
      </c>
      <c r="X328" s="923">
        <f>X283</f>
        <v>18405972.337472353</v>
      </c>
      <c r="Y328" s="923">
        <f>Y283</f>
        <v>9119856.8663379103</v>
      </c>
      <c r="Z328" s="923">
        <f>Z283</f>
        <v>108249402.79618974</v>
      </c>
      <c r="AA328" s="903"/>
      <c r="AE328" s="923">
        <f>AE283</f>
        <v>135775232</v>
      </c>
      <c r="AF328" s="923">
        <f>AF283</f>
        <v>18405972.337472353</v>
      </c>
      <c r="AG328" s="923">
        <f>AG283</f>
        <v>9119856.8663379103</v>
      </c>
      <c r="AH328" s="923">
        <f>AH283</f>
        <v>108249402.79618974</v>
      </c>
      <c r="AI328" s="903"/>
      <c r="AM328" s="923">
        <f>AM283</f>
        <v>135775232</v>
      </c>
      <c r="AN328" s="923">
        <f>AN283</f>
        <v>18405972.337472353</v>
      </c>
      <c r="AO328" s="923">
        <f>AO283</f>
        <v>9119856.8663379103</v>
      </c>
      <c r="AP328" s="923">
        <f>AP283</f>
        <v>108249402.79618974</v>
      </c>
      <c r="AQ328" s="903"/>
      <c r="AU328" s="923">
        <f>AU283</f>
        <v>135775232</v>
      </c>
      <c r="AV328" s="923">
        <f>AV283</f>
        <v>18405972.337472353</v>
      </c>
      <c r="AW328" s="923">
        <f>AW283</f>
        <v>9119856.8663379103</v>
      </c>
      <c r="AX328" s="923">
        <f>AX283</f>
        <v>108249402.79618974</v>
      </c>
      <c r="AY328" s="903"/>
      <c r="BC328" s="923">
        <f>BC283</f>
        <v>135775232</v>
      </c>
      <c r="BD328" s="923">
        <f>BD283</f>
        <v>18405972.337472353</v>
      </c>
      <c r="BE328" s="923">
        <f>BE283</f>
        <v>9119856.8663379103</v>
      </c>
      <c r="BF328" s="923">
        <f>BF283</f>
        <v>108249402.79618974</v>
      </c>
      <c r="BG328" s="903"/>
      <c r="BK328" s="923">
        <f>BK283</f>
        <v>135775232</v>
      </c>
      <c r="BL328" s="923">
        <f>BL283</f>
        <v>18405972.337472353</v>
      </c>
      <c r="BM328" s="923">
        <f>BM283</f>
        <v>9119856.8663379103</v>
      </c>
      <c r="BN328" s="923">
        <f>BN283</f>
        <v>108249402.79618974</v>
      </c>
      <c r="BO328" s="903"/>
      <c r="BS328" s="923">
        <f>BS283</f>
        <v>135775232</v>
      </c>
      <c r="BT328" s="923">
        <f>BT283</f>
        <v>18405972.337472353</v>
      </c>
      <c r="BU328" s="923">
        <f>BU283</f>
        <v>9119856.8663379103</v>
      </c>
      <c r="BV328" s="923">
        <f>BV283</f>
        <v>108249402.79618974</v>
      </c>
      <c r="BW328" s="903"/>
      <c r="CA328" s="923">
        <f>CA283</f>
        <v>135775232</v>
      </c>
      <c r="CB328" s="923">
        <f>CB283</f>
        <v>18405972.337472353</v>
      </c>
      <c r="CC328" s="923">
        <f>CC283</f>
        <v>9119856.8663379103</v>
      </c>
      <c r="CD328" s="923">
        <f>CD283</f>
        <v>108249402.79618974</v>
      </c>
      <c r="CE328" s="903"/>
      <c r="CI328" s="923">
        <f>CI283</f>
        <v>135775232</v>
      </c>
      <c r="CJ328" s="923">
        <f>CJ283</f>
        <v>18405972.337472353</v>
      </c>
      <c r="CK328" s="923">
        <f>CK283</f>
        <v>9119856.8663379103</v>
      </c>
      <c r="CL328" s="923">
        <f>CL283</f>
        <v>108249402.79618974</v>
      </c>
      <c r="CM328" s="903"/>
      <c r="CQ328" s="923">
        <f>CQ283</f>
        <v>135775232</v>
      </c>
      <c r="CR328" s="923">
        <f>CR283</f>
        <v>18405972.337472353</v>
      </c>
      <c r="CS328" s="923">
        <f>CS283</f>
        <v>9119856.8663379103</v>
      </c>
      <c r="CT328" s="923">
        <f>CT283</f>
        <v>108249402.79618974</v>
      </c>
      <c r="CU328" s="903"/>
      <c r="CY328" s="923">
        <f>CY283</f>
        <v>135775232</v>
      </c>
      <c r="CZ328" s="923">
        <f>CZ283</f>
        <v>18405972.337472353</v>
      </c>
      <c r="DA328" s="923">
        <f>DA283</f>
        <v>9119856.8663379103</v>
      </c>
      <c r="DB328" s="923">
        <f>DB283</f>
        <v>108249402.79618974</v>
      </c>
      <c r="DC328" s="903"/>
      <c r="DG328" s="923">
        <f>DG283</f>
        <v>135775232</v>
      </c>
      <c r="DH328" s="923">
        <f>DH283</f>
        <v>18405972.337472353</v>
      </c>
      <c r="DI328" s="923">
        <f>DI283</f>
        <v>9119856.8663379103</v>
      </c>
      <c r="DJ328" s="923">
        <f>DJ283</f>
        <v>108249402.79618974</v>
      </c>
      <c r="DK328" s="903"/>
      <c r="DO328" s="923">
        <f>DO283</f>
        <v>135775232</v>
      </c>
      <c r="DP328" s="923">
        <f>DP283</f>
        <v>18405972.337472353</v>
      </c>
      <c r="DQ328" s="923">
        <f>DQ283</f>
        <v>9119856.8663379103</v>
      </c>
      <c r="DR328" s="923">
        <f>DR283</f>
        <v>108249402.79618974</v>
      </c>
      <c r="DS328" s="903"/>
      <c r="DW328" s="923">
        <f>DW283</f>
        <v>135775232</v>
      </c>
      <c r="DX328" s="923">
        <f>DX283</f>
        <v>18405972.337472353</v>
      </c>
      <c r="DY328" s="923">
        <f>DY283</f>
        <v>9119856.8663379103</v>
      </c>
      <c r="DZ328" s="923">
        <f>DZ283</f>
        <v>108249402.79618974</v>
      </c>
      <c r="EA328" s="903"/>
      <c r="EE328" s="923">
        <f>EE283</f>
        <v>135775232</v>
      </c>
      <c r="EF328" s="923">
        <f>EF283</f>
        <v>18405972.337472353</v>
      </c>
      <c r="EG328" s="923">
        <f>EG283</f>
        <v>9119856.8663379103</v>
      </c>
      <c r="EH328" s="923">
        <f>EH283</f>
        <v>108249402.79618974</v>
      </c>
      <c r="EI328" s="903"/>
      <c r="EM328" s="923">
        <f>EM283</f>
        <v>135775232</v>
      </c>
      <c r="EN328" s="923">
        <f>EN283</f>
        <v>18405972.337472353</v>
      </c>
      <c r="EO328" s="923">
        <f>EO283</f>
        <v>9119856.8663379103</v>
      </c>
      <c r="EP328" s="923">
        <f>EP283</f>
        <v>108249402.79618974</v>
      </c>
      <c r="EQ328" s="903"/>
      <c r="EU328" s="923">
        <f>EU283</f>
        <v>135775232</v>
      </c>
      <c r="EV328" s="923">
        <f>EV283</f>
        <v>18405972.337472353</v>
      </c>
      <c r="EW328" s="923">
        <f>EW283</f>
        <v>9119856.8663379103</v>
      </c>
      <c r="EX328" s="923">
        <f>EX283</f>
        <v>108249402.79618974</v>
      </c>
      <c r="EY328" s="903"/>
      <c r="FC328" s="923">
        <f>FC283</f>
        <v>135775232</v>
      </c>
      <c r="FD328" s="923">
        <f>FD283</f>
        <v>18405972.337472353</v>
      </c>
      <c r="FE328" s="923">
        <f>FE283</f>
        <v>9119856.8663379103</v>
      </c>
      <c r="FF328" s="923">
        <f>FF283</f>
        <v>108249402.79618974</v>
      </c>
      <c r="FG328" s="903"/>
      <c r="FK328" s="923">
        <f>FK283</f>
        <v>135775232</v>
      </c>
      <c r="FL328" s="923">
        <f>FL283</f>
        <v>18405972.337472353</v>
      </c>
      <c r="FM328" s="923">
        <f>FM283</f>
        <v>9119856.8663379103</v>
      </c>
      <c r="FN328" s="923">
        <f>FN283</f>
        <v>108249402.79618974</v>
      </c>
      <c r="FO328" s="903"/>
    </row>
    <row r="329" spans="1:171">
      <c r="A329" s="1050" t="s">
        <v>161</v>
      </c>
      <c r="B329" s="51"/>
      <c r="C329" s="1"/>
      <c r="D329" s="1"/>
      <c r="E329" s="1"/>
      <c r="F329" s="1"/>
      <c r="G329" s="221"/>
      <c r="H329" s="221"/>
      <c r="I329" s="221"/>
      <c r="J329" s="1051"/>
      <c r="K329" s="903"/>
      <c r="O329" s="221"/>
      <c r="P329" s="221"/>
      <c r="Q329" s="221"/>
      <c r="R329" s="1051"/>
      <c r="S329" s="903"/>
      <c r="W329" s="221"/>
      <c r="X329" s="221"/>
      <c r="Y329" s="221"/>
      <c r="Z329" s="1051"/>
      <c r="AA329" s="903"/>
      <c r="AE329" s="221"/>
      <c r="AF329" s="221"/>
      <c r="AG329" s="221"/>
      <c r="AH329" s="1051"/>
      <c r="AI329" s="903"/>
      <c r="AM329" s="221"/>
      <c r="AN329" s="221"/>
      <c r="AO329" s="221"/>
      <c r="AP329" s="1051"/>
      <c r="AQ329" s="903"/>
      <c r="AU329" s="221"/>
      <c r="AV329" s="221"/>
      <c r="AW329" s="221"/>
      <c r="AX329" s="1051"/>
      <c r="AY329" s="903"/>
      <c r="BC329" s="221"/>
      <c r="BD329" s="221"/>
      <c r="BE329" s="221"/>
      <c r="BF329" s="1051"/>
      <c r="BG329" s="903"/>
      <c r="BK329" s="221"/>
      <c r="BL329" s="221"/>
      <c r="BM329" s="221"/>
      <c r="BN329" s="1051"/>
      <c r="BO329" s="903"/>
      <c r="BS329" s="221"/>
      <c r="BT329" s="221"/>
      <c r="BU329" s="221"/>
      <c r="BV329" s="1051"/>
      <c r="BW329" s="903"/>
      <c r="CA329" s="221"/>
      <c r="CB329" s="221"/>
      <c r="CC329" s="221"/>
      <c r="CD329" s="1051"/>
      <c r="CE329" s="903"/>
      <c r="CI329" s="221"/>
      <c r="CJ329" s="221"/>
      <c r="CK329" s="221"/>
      <c r="CL329" s="1051"/>
      <c r="CM329" s="903"/>
      <c r="CQ329" s="221"/>
      <c r="CR329" s="221"/>
      <c r="CS329" s="221"/>
      <c r="CT329" s="1051"/>
      <c r="CU329" s="903"/>
      <c r="CY329" s="221"/>
      <c r="CZ329" s="221"/>
      <c r="DA329" s="221"/>
      <c r="DB329" s="1051"/>
      <c r="DC329" s="903"/>
      <c r="DG329" s="221"/>
      <c r="DH329" s="221"/>
      <c r="DI329" s="221"/>
      <c r="DJ329" s="1051"/>
      <c r="DK329" s="903"/>
      <c r="DO329" s="221"/>
      <c r="DP329" s="221"/>
      <c r="DQ329" s="221"/>
      <c r="DR329" s="1051"/>
      <c r="DS329" s="903"/>
      <c r="DW329" s="221"/>
      <c r="DX329" s="221"/>
      <c r="DY329" s="221"/>
      <c r="DZ329" s="1051"/>
      <c r="EA329" s="903"/>
      <c r="EE329" s="221"/>
      <c r="EF329" s="221"/>
      <c r="EG329" s="221"/>
      <c r="EH329" s="1051"/>
      <c r="EI329" s="903"/>
      <c r="EM329" s="221"/>
      <c r="EN329" s="221"/>
      <c r="EO329" s="221"/>
      <c r="EP329" s="1051"/>
      <c r="EQ329" s="903"/>
      <c r="EU329" s="221"/>
      <c r="EV329" s="221"/>
      <c r="EW329" s="221"/>
      <c r="EX329" s="1051"/>
      <c r="EY329" s="903"/>
      <c r="FC329" s="221"/>
      <c r="FD329" s="221"/>
      <c r="FE329" s="221"/>
      <c r="FF329" s="1051"/>
      <c r="FG329" s="903"/>
      <c r="FK329" s="221"/>
      <c r="FL329" s="221"/>
      <c r="FM329" s="221"/>
      <c r="FN329" s="1051"/>
      <c r="FO329" s="903"/>
    </row>
    <row r="330" spans="1:171">
      <c r="A330" s="1050"/>
      <c r="B330" s="51"/>
      <c r="C330" s="1"/>
      <c r="D330" s="1"/>
      <c r="E330" s="1"/>
      <c r="F330" s="1"/>
      <c r="G330" s="221"/>
      <c r="H330" s="221"/>
      <c r="I330" s="221"/>
      <c r="J330" s="1051"/>
      <c r="K330" s="903"/>
      <c r="O330" s="221"/>
      <c r="P330" s="221"/>
      <c r="Q330" s="221"/>
      <c r="R330" s="1051"/>
      <c r="S330" s="903"/>
      <c r="W330" s="221"/>
      <c r="X330" s="221"/>
      <c r="Y330" s="221"/>
      <c r="Z330" s="1051"/>
      <c r="AA330" s="903"/>
      <c r="AE330" s="221"/>
      <c r="AF330" s="221"/>
      <c r="AG330" s="221"/>
      <c r="AH330" s="1051"/>
      <c r="AI330" s="903"/>
      <c r="AM330" s="221"/>
      <c r="AN330" s="221"/>
      <c r="AO330" s="221"/>
      <c r="AP330" s="1051"/>
      <c r="AQ330" s="903"/>
      <c r="AU330" s="221"/>
      <c r="AV330" s="221"/>
      <c r="AW330" s="221"/>
      <c r="AX330" s="1051"/>
      <c r="AY330" s="903"/>
      <c r="BC330" s="221"/>
      <c r="BD330" s="221"/>
      <c r="BE330" s="221"/>
      <c r="BF330" s="1051"/>
      <c r="BG330" s="903"/>
      <c r="BK330" s="221"/>
      <c r="BL330" s="221"/>
      <c r="BM330" s="221"/>
      <c r="BN330" s="1051"/>
      <c r="BO330" s="903"/>
      <c r="BS330" s="221"/>
      <c r="BT330" s="221"/>
      <c r="BU330" s="221"/>
      <c r="BV330" s="1051"/>
      <c r="BW330" s="903"/>
      <c r="CA330" s="221"/>
      <c r="CB330" s="221"/>
      <c r="CC330" s="221"/>
      <c r="CD330" s="1051"/>
      <c r="CE330" s="903"/>
      <c r="CI330" s="221"/>
      <c r="CJ330" s="221"/>
      <c r="CK330" s="221"/>
      <c r="CL330" s="1051"/>
      <c r="CM330" s="903"/>
      <c r="CQ330" s="221"/>
      <c r="CR330" s="221"/>
      <c r="CS330" s="221"/>
      <c r="CT330" s="1051"/>
      <c r="CU330" s="903"/>
      <c r="CY330" s="221"/>
      <c r="CZ330" s="221"/>
      <c r="DA330" s="221"/>
      <c r="DB330" s="1051"/>
      <c r="DC330" s="903"/>
      <c r="DG330" s="221"/>
      <c r="DH330" s="221"/>
      <c r="DI330" s="221"/>
      <c r="DJ330" s="1051"/>
      <c r="DK330" s="903"/>
      <c r="DO330" s="221"/>
      <c r="DP330" s="221"/>
      <c r="DQ330" s="221"/>
      <c r="DR330" s="1051"/>
      <c r="DS330" s="903"/>
      <c r="DW330" s="221"/>
      <c r="DX330" s="221"/>
      <c r="DY330" s="221"/>
      <c r="DZ330" s="1051"/>
      <c r="EA330" s="903"/>
      <c r="EE330" s="221"/>
      <c r="EF330" s="221"/>
      <c r="EG330" s="221"/>
      <c r="EH330" s="1051"/>
      <c r="EI330" s="903"/>
      <c r="EM330" s="221"/>
      <c r="EN330" s="221"/>
      <c r="EO330" s="221"/>
      <c r="EP330" s="1051"/>
      <c r="EQ330" s="903"/>
      <c r="EU330" s="221"/>
      <c r="EV330" s="221"/>
      <c r="EW330" s="221"/>
      <c r="EX330" s="1051"/>
      <c r="EY330" s="903"/>
      <c r="FC330" s="221"/>
      <c r="FD330" s="221"/>
      <c r="FE330" s="221"/>
      <c r="FF330" s="1051"/>
      <c r="FG330" s="903"/>
      <c r="FK330" s="221"/>
      <c r="FL330" s="221"/>
      <c r="FM330" s="221"/>
      <c r="FN330" s="1051"/>
      <c r="FO330" s="903"/>
    </row>
    <row r="331" spans="1:171">
      <c r="A331" s="1049" t="s">
        <v>49</v>
      </c>
      <c r="B331" s="51"/>
      <c r="C331" s="1"/>
      <c r="D331" s="1"/>
      <c r="E331" s="1"/>
      <c r="F331" s="1"/>
      <c r="G331" s="923">
        <f>G315</f>
        <v>316484716.37</v>
      </c>
      <c r="H331" s="923">
        <f>H315</f>
        <v>202539296.65316796</v>
      </c>
      <c r="I331" s="923">
        <f>I315</f>
        <v>0</v>
      </c>
      <c r="J331" s="923">
        <f>J315</f>
        <v>118934846.98571534</v>
      </c>
      <c r="K331" s="903"/>
      <c r="O331" s="923">
        <f>O315</f>
        <v>316484716.37</v>
      </c>
      <c r="P331" s="923">
        <f>P315</f>
        <v>202539296.65316796</v>
      </c>
      <c r="Q331" s="923">
        <f>Q315</f>
        <v>33272480.281959895</v>
      </c>
      <c r="R331" s="923">
        <f>R315</f>
        <v>80672939.43487215</v>
      </c>
      <c r="S331" s="903"/>
      <c r="W331" s="923">
        <f>W315</f>
        <v>316484716.37</v>
      </c>
      <c r="X331" s="923">
        <f>X315</f>
        <v>202539296.65316796</v>
      </c>
      <c r="Y331" s="923">
        <f>Y315</f>
        <v>33272480.281959895</v>
      </c>
      <c r="Z331" s="923">
        <f>Z315</f>
        <v>80672939.43487215</v>
      </c>
      <c r="AA331" s="903"/>
      <c r="AE331" s="923">
        <f>AE315</f>
        <v>316484716.37</v>
      </c>
      <c r="AF331" s="923">
        <f>AF315</f>
        <v>202539296.65316796</v>
      </c>
      <c r="AG331" s="923">
        <f>AG315</f>
        <v>33272480.281959895</v>
      </c>
      <c r="AH331" s="923">
        <f>AH315</f>
        <v>80672939.43487215</v>
      </c>
      <c r="AI331" s="903"/>
      <c r="AM331" s="923">
        <f>AM315</f>
        <v>316484716.37</v>
      </c>
      <c r="AN331" s="923">
        <f>AN315</f>
        <v>202539296.65316796</v>
      </c>
      <c r="AO331" s="923">
        <f>AO315</f>
        <v>33272480.281959895</v>
      </c>
      <c r="AP331" s="923">
        <f>AP315</f>
        <v>80672939.43487215</v>
      </c>
      <c r="AQ331" s="903"/>
      <c r="AU331" s="923">
        <f>AU315</f>
        <v>316484716.37</v>
      </c>
      <c r="AV331" s="923">
        <f>AV315</f>
        <v>202539296.65316796</v>
      </c>
      <c r="AW331" s="923">
        <f>AW315</f>
        <v>33272480.281959895</v>
      </c>
      <c r="AX331" s="923">
        <f>AX315</f>
        <v>80672939.43487215</v>
      </c>
      <c r="AY331" s="903"/>
      <c r="BC331" s="923">
        <f>BC315</f>
        <v>316484716.37</v>
      </c>
      <c r="BD331" s="923">
        <f>BD315</f>
        <v>202539296.65316796</v>
      </c>
      <c r="BE331" s="923">
        <f>BE315</f>
        <v>33272480.281959895</v>
      </c>
      <c r="BF331" s="923">
        <f>BF315</f>
        <v>80672939.43487215</v>
      </c>
      <c r="BG331" s="903"/>
      <c r="BK331" s="923">
        <f>BK315</f>
        <v>316484716.37</v>
      </c>
      <c r="BL331" s="923">
        <f>BL315</f>
        <v>202539296.65316796</v>
      </c>
      <c r="BM331" s="923">
        <f>BM315</f>
        <v>33272480.281959895</v>
      </c>
      <c r="BN331" s="923">
        <f>BN315</f>
        <v>80672939.43487215</v>
      </c>
      <c r="BO331" s="903"/>
      <c r="BS331" s="923">
        <f>BS315</f>
        <v>316484716.37</v>
      </c>
      <c r="BT331" s="923">
        <f>BT315</f>
        <v>202539296.65316796</v>
      </c>
      <c r="BU331" s="923">
        <f>BU315</f>
        <v>33272480.281959895</v>
      </c>
      <c r="BV331" s="923">
        <f>BV315</f>
        <v>80672939.43487215</v>
      </c>
      <c r="BW331" s="903"/>
      <c r="CA331" s="923">
        <f>CA315</f>
        <v>316484716.37</v>
      </c>
      <c r="CB331" s="923">
        <f>CB315</f>
        <v>202539296.65316796</v>
      </c>
      <c r="CC331" s="923">
        <f>CC315</f>
        <v>33272480.281959895</v>
      </c>
      <c r="CD331" s="923">
        <f>CD315</f>
        <v>80672939.43487215</v>
      </c>
      <c r="CE331" s="903"/>
      <c r="CI331" s="923">
        <f>CI315</f>
        <v>316484716.37</v>
      </c>
      <c r="CJ331" s="923">
        <f>CJ315</f>
        <v>202539296.65316796</v>
      </c>
      <c r="CK331" s="923">
        <f>CK315</f>
        <v>33272480.281959895</v>
      </c>
      <c r="CL331" s="923">
        <f>CL315</f>
        <v>80672939.43487215</v>
      </c>
      <c r="CM331" s="903"/>
      <c r="CQ331" s="923">
        <f>CQ315</f>
        <v>316484716.37</v>
      </c>
      <c r="CR331" s="923">
        <f>CR315</f>
        <v>202539296.65316796</v>
      </c>
      <c r="CS331" s="923">
        <f>CS315</f>
        <v>33272480.281959895</v>
      </c>
      <c r="CT331" s="923">
        <f>CT315</f>
        <v>80672939.43487215</v>
      </c>
      <c r="CU331" s="903"/>
      <c r="CY331" s="923">
        <f>CY315</f>
        <v>316484716.37</v>
      </c>
      <c r="CZ331" s="923">
        <f>CZ315</f>
        <v>202539296.65316796</v>
      </c>
      <c r="DA331" s="923">
        <f>DA315</f>
        <v>33272480.281959895</v>
      </c>
      <c r="DB331" s="923">
        <f>DB315</f>
        <v>80672939.43487215</v>
      </c>
      <c r="DC331" s="903"/>
      <c r="DG331" s="923">
        <f>DG315</f>
        <v>316484716.37</v>
      </c>
      <c r="DH331" s="923">
        <f>DH315</f>
        <v>202539296.65316796</v>
      </c>
      <c r="DI331" s="923">
        <f>DI315</f>
        <v>33272480.281959895</v>
      </c>
      <c r="DJ331" s="923">
        <f>DJ315</f>
        <v>80672939.43487215</v>
      </c>
      <c r="DK331" s="903"/>
      <c r="DO331" s="923">
        <f>DO315</f>
        <v>316484716.37</v>
      </c>
      <c r="DP331" s="923">
        <f>DP315</f>
        <v>202539296.65316796</v>
      </c>
      <c r="DQ331" s="923">
        <f>DQ315</f>
        <v>33272480.281959895</v>
      </c>
      <c r="DR331" s="923">
        <f>DR315</f>
        <v>80672939.43487215</v>
      </c>
      <c r="DS331" s="903"/>
      <c r="DW331" s="923">
        <f>DW315</f>
        <v>316484716.37</v>
      </c>
      <c r="DX331" s="923">
        <f>DX315</f>
        <v>202539296.65316796</v>
      </c>
      <c r="DY331" s="923">
        <f>DY315</f>
        <v>33272480.281959895</v>
      </c>
      <c r="DZ331" s="923">
        <f>DZ315</f>
        <v>80672939.43487215</v>
      </c>
      <c r="EA331" s="903"/>
      <c r="EE331" s="923">
        <f>EE315</f>
        <v>316484716.37</v>
      </c>
      <c r="EF331" s="923">
        <f>EF315</f>
        <v>202539296.65316796</v>
      </c>
      <c r="EG331" s="923">
        <f>EG315</f>
        <v>33272480.281959895</v>
      </c>
      <c r="EH331" s="923">
        <f>EH315</f>
        <v>80672939.43487215</v>
      </c>
      <c r="EI331" s="903"/>
      <c r="EM331" s="923">
        <f>EM315</f>
        <v>316484716.37</v>
      </c>
      <c r="EN331" s="923">
        <f>EN315</f>
        <v>202539296.65316796</v>
      </c>
      <c r="EO331" s="923">
        <f>EO315</f>
        <v>33272480.281959895</v>
      </c>
      <c r="EP331" s="923">
        <f>EP315</f>
        <v>80672939.43487215</v>
      </c>
      <c r="EQ331" s="903"/>
      <c r="EU331" s="923">
        <f>EU315</f>
        <v>316484716.37</v>
      </c>
      <c r="EV331" s="923">
        <f>EV315</f>
        <v>202539296.65316796</v>
      </c>
      <c r="EW331" s="923">
        <f>EW315</f>
        <v>33272480.281959895</v>
      </c>
      <c r="EX331" s="923">
        <f>EX315</f>
        <v>80672939.43487215</v>
      </c>
      <c r="EY331" s="903"/>
      <c r="FC331" s="923">
        <f>FC315</f>
        <v>316484716.37</v>
      </c>
      <c r="FD331" s="923">
        <f>FD315</f>
        <v>202539296.65316796</v>
      </c>
      <c r="FE331" s="923">
        <f>FE315</f>
        <v>33272480.281959895</v>
      </c>
      <c r="FF331" s="923">
        <f>FF315</f>
        <v>80672939.43487215</v>
      </c>
      <c r="FG331" s="903"/>
      <c r="FK331" s="923">
        <f>FK315</f>
        <v>316484716.37</v>
      </c>
      <c r="FL331" s="923">
        <f>FL315</f>
        <v>202539296.65316796</v>
      </c>
      <c r="FM331" s="923">
        <f>FM315</f>
        <v>33272480.281959895</v>
      </c>
      <c r="FN331" s="923">
        <f>FN315</f>
        <v>80672939.43487215</v>
      </c>
      <c r="FO331" s="903"/>
    </row>
    <row r="332" spans="1:171">
      <c r="A332" s="1050" t="s">
        <v>508</v>
      </c>
      <c r="B332" s="51"/>
      <c r="C332" s="1"/>
      <c r="D332" s="1"/>
      <c r="E332" s="1"/>
      <c r="F332" s="1"/>
      <c r="G332" s="221"/>
      <c r="H332" s="221"/>
      <c r="I332" s="221"/>
      <c r="J332" s="1051"/>
      <c r="K332" s="903"/>
      <c r="O332" s="221"/>
      <c r="P332" s="221"/>
      <c r="Q332" s="221"/>
      <c r="R332" s="1051"/>
      <c r="S332" s="903"/>
      <c r="W332" s="221"/>
      <c r="X332" s="221"/>
      <c r="Y332" s="221"/>
      <c r="Z332" s="1051"/>
      <c r="AA332" s="903"/>
      <c r="AE332" s="221"/>
      <c r="AF332" s="221"/>
      <c r="AG332" s="221"/>
      <c r="AH332" s="1051"/>
      <c r="AI332" s="903"/>
      <c r="AM332" s="221"/>
      <c r="AN332" s="221"/>
      <c r="AO332" s="221"/>
      <c r="AP332" s="1051"/>
      <c r="AQ332" s="903"/>
      <c r="AU332" s="221"/>
      <c r="AV332" s="221"/>
      <c r="AW332" s="221"/>
      <c r="AX332" s="1051"/>
      <c r="AY332" s="903"/>
      <c r="BC332" s="221"/>
      <c r="BD332" s="221"/>
      <c r="BE332" s="221"/>
      <c r="BF332" s="1051"/>
      <c r="BG332" s="903"/>
      <c r="BK332" s="221"/>
      <c r="BL332" s="221"/>
      <c r="BM332" s="221"/>
      <c r="BN332" s="1051"/>
      <c r="BO332" s="903"/>
      <c r="BS332" s="221"/>
      <c r="BT332" s="221"/>
      <c r="BU332" s="221"/>
      <c r="BV332" s="1051"/>
      <c r="BW332" s="903"/>
      <c r="CA332" s="221"/>
      <c r="CB332" s="221"/>
      <c r="CC332" s="221"/>
      <c r="CD332" s="1051"/>
      <c r="CE332" s="903"/>
      <c r="CI332" s="221"/>
      <c r="CJ332" s="221"/>
      <c r="CK332" s="221"/>
      <c r="CL332" s="1051"/>
      <c r="CM332" s="903"/>
      <c r="CQ332" s="221"/>
      <c r="CR332" s="221"/>
      <c r="CS332" s="221"/>
      <c r="CT332" s="1051"/>
      <c r="CU332" s="903"/>
      <c r="CY332" s="221"/>
      <c r="CZ332" s="221"/>
      <c r="DA332" s="221"/>
      <c r="DB332" s="1051"/>
      <c r="DC332" s="903"/>
      <c r="DG332" s="221"/>
      <c r="DH332" s="221"/>
      <c r="DI332" s="221"/>
      <c r="DJ332" s="1051"/>
      <c r="DK332" s="903"/>
      <c r="DO332" s="221"/>
      <c r="DP332" s="221"/>
      <c r="DQ332" s="221"/>
      <c r="DR332" s="1051"/>
      <c r="DS332" s="903"/>
      <c r="DW332" s="221"/>
      <c r="DX332" s="221"/>
      <c r="DY332" s="221"/>
      <c r="DZ332" s="1051"/>
      <c r="EA332" s="903"/>
      <c r="EE332" s="221"/>
      <c r="EF332" s="221"/>
      <c r="EG332" s="221"/>
      <c r="EH332" s="1051"/>
      <c r="EI332" s="903"/>
      <c r="EM332" s="221"/>
      <c r="EN332" s="221"/>
      <c r="EO332" s="221"/>
      <c r="EP332" s="1051"/>
      <c r="EQ332" s="903"/>
      <c r="EU332" s="221"/>
      <c r="EV332" s="221"/>
      <c r="EW332" s="221"/>
      <c r="EX332" s="1051"/>
      <c r="EY332" s="903"/>
      <c r="FC332" s="221"/>
      <c r="FD332" s="221"/>
      <c r="FE332" s="221"/>
      <c r="FF332" s="1051"/>
      <c r="FG332" s="903"/>
      <c r="FK332" s="221"/>
      <c r="FL332" s="221"/>
      <c r="FM332" s="221"/>
      <c r="FN332" s="1051"/>
      <c r="FO332" s="903"/>
    </row>
    <row r="333" spans="1:171">
      <c r="A333" s="1050"/>
      <c r="B333" s="51"/>
      <c r="C333" s="1"/>
      <c r="D333" s="1"/>
      <c r="E333" s="1"/>
      <c r="F333" s="1"/>
      <c r="G333" s="221"/>
      <c r="H333" s="221"/>
      <c r="I333" s="221"/>
      <c r="J333" s="1051"/>
      <c r="K333" s="903"/>
      <c r="O333" s="221"/>
      <c r="P333" s="221"/>
      <c r="Q333" s="221"/>
      <c r="R333" s="1051"/>
      <c r="S333" s="903"/>
      <c r="W333" s="221"/>
      <c r="X333" s="221"/>
      <c r="Y333" s="221"/>
      <c r="Z333" s="1051"/>
      <c r="AA333" s="903"/>
      <c r="AE333" s="221"/>
      <c r="AF333" s="221"/>
      <c r="AG333" s="221"/>
      <c r="AH333" s="1051"/>
      <c r="AI333" s="903"/>
      <c r="AM333" s="221"/>
      <c r="AN333" s="221"/>
      <c r="AO333" s="221"/>
      <c r="AP333" s="1051"/>
      <c r="AQ333" s="903"/>
      <c r="AU333" s="221"/>
      <c r="AV333" s="221"/>
      <c r="AW333" s="221"/>
      <c r="AX333" s="1051"/>
      <c r="AY333" s="903"/>
      <c r="BC333" s="221"/>
      <c r="BD333" s="221"/>
      <c r="BE333" s="221"/>
      <c r="BF333" s="1051"/>
      <c r="BG333" s="903"/>
      <c r="BK333" s="221"/>
      <c r="BL333" s="221"/>
      <c r="BM333" s="221"/>
      <c r="BN333" s="1051"/>
      <c r="BO333" s="903"/>
      <c r="BS333" s="221"/>
      <c r="BT333" s="221"/>
      <c r="BU333" s="221"/>
      <c r="BV333" s="1051"/>
      <c r="BW333" s="903"/>
      <c r="CA333" s="221"/>
      <c r="CB333" s="221"/>
      <c r="CC333" s="221"/>
      <c r="CD333" s="1051"/>
      <c r="CE333" s="903"/>
      <c r="CI333" s="221"/>
      <c r="CJ333" s="221"/>
      <c r="CK333" s="221"/>
      <c r="CL333" s="1051"/>
      <c r="CM333" s="903"/>
      <c r="CQ333" s="221"/>
      <c r="CR333" s="221"/>
      <c r="CS333" s="221"/>
      <c r="CT333" s="1051"/>
      <c r="CU333" s="903"/>
      <c r="CY333" s="221"/>
      <c r="CZ333" s="221"/>
      <c r="DA333" s="221"/>
      <c r="DB333" s="1051"/>
      <c r="DC333" s="903"/>
      <c r="DG333" s="221"/>
      <c r="DH333" s="221"/>
      <c r="DI333" s="221"/>
      <c r="DJ333" s="1051"/>
      <c r="DK333" s="903"/>
      <c r="DO333" s="221"/>
      <c r="DP333" s="221"/>
      <c r="DQ333" s="221"/>
      <c r="DR333" s="1051"/>
      <c r="DS333" s="903"/>
      <c r="DW333" s="221"/>
      <c r="DX333" s="221"/>
      <c r="DY333" s="221"/>
      <c r="DZ333" s="1051"/>
      <c r="EA333" s="903"/>
      <c r="EE333" s="221"/>
      <c r="EF333" s="221"/>
      <c r="EG333" s="221"/>
      <c r="EH333" s="1051"/>
      <c r="EI333" s="903"/>
      <c r="EM333" s="221"/>
      <c r="EN333" s="221"/>
      <c r="EO333" s="221"/>
      <c r="EP333" s="1051"/>
      <c r="EQ333" s="903"/>
      <c r="EU333" s="221"/>
      <c r="EV333" s="221"/>
      <c r="EW333" s="221"/>
      <c r="EX333" s="1051"/>
      <c r="EY333" s="903"/>
      <c r="FC333" s="221"/>
      <c r="FD333" s="221"/>
      <c r="FE333" s="221"/>
      <c r="FF333" s="1051"/>
      <c r="FG333" s="903"/>
      <c r="FK333" s="221"/>
      <c r="FL333" s="221"/>
      <c r="FM333" s="221"/>
      <c r="FN333" s="1051"/>
      <c r="FO333" s="903"/>
    </row>
    <row r="334" spans="1:171">
      <c r="A334" s="1049" t="s">
        <v>51</v>
      </c>
      <c r="B334" s="51"/>
      <c r="C334" s="1"/>
      <c r="D334" s="1"/>
      <c r="E334" s="1"/>
      <c r="F334" s="1"/>
      <c r="G334" s="923">
        <f>G322+G325+G328-G331</f>
        <v>1075124771.4677353</v>
      </c>
      <c r="H334" s="923">
        <f>H322+H325+H328-H331</f>
        <v>518833566.11346018</v>
      </c>
      <c r="I334" s="923">
        <f>I322+I325+I328-I331</f>
        <v>0</v>
      </c>
      <c r="J334" s="923">
        <f>J322+J325+J328-J331</f>
        <v>551301777.9843117</v>
      </c>
      <c r="K334" s="903"/>
      <c r="O334" s="923">
        <f>O322+O325+O328-O331</f>
        <v>1075124771.4677353</v>
      </c>
      <c r="P334" s="923">
        <f>P322+P325+P328-P331</f>
        <v>518833566.11346018</v>
      </c>
      <c r="Q334" s="923">
        <f>Q322+Q325+Q328-Q331</f>
        <v>92255202.149268717</v>
      </c>
      <c r="R334" s="923">
        <f>R322+R325+R328-R331</f>
        <v>464036003.2050066</v>
      </c>
      <c r="S334" s="903"/>
      <c r="W334" s="923">
        <f>W322+W325+W328-W331</f>
        <v>1075124771.4677353</v>
      </c>
      <c r="X334" s="923">
        <f>X322+X325+X328-X331</f>
        <v>518833566.11346018</v>
      </c>
      <c r="Y334" s="923">
        <f>Y322+Y325+Y328-Y331</f>
        <v>92255202.149268717</v>
      </c>
      <c r="Z334" s="923">
        <f>Z322+Z325+Z328-Z331</f>
        <v>464036003.2050066</v>
      </c>
      <c r="AA334" s="903"/>
      <c r="AE334" s="923">
        <f>AE322+AE325+AE328-AE331</f>
        <v>1075124771.4677353</v>
      </c>
      <c r="AF334" s="923">
        <f>AF322+AF325+AF328-AF331</f>
        <v>518833566.11346018</v>
      </c>
      <c r="AG334" s="923">
        <f>AG322+AG325+AG328-AG331</f>
        <v>92255202.149268717</v>
      </c>
      <c r="AH334" s="923">
        <f>AH322+AH325+AH328-AH331</f>
        <v>464036003.2050066</v>
      </c>
      <c r="AI334" s="903"/>
      <c r="AM334" s="923">
        <f>AM322+AM325+AM328-AM331</f>
        <v>1075124771.4677353</v>
      </c>
      <c r="AN334" s="923">
        <f>AN322+AN325+AN328-AN331</f>
        <v>518833566.11346018</v>
      </c>
      <c r="AO334" s="923">
        <f>AO322+AO325+AO328-AO331</f>
        <v>92255202.149268717</v>
      </c>
      <c r="AP334" s="923">
        <f>AP322+AP325+AP328-AP331</f>
        <v>464036003.2050066</v>
      </c>
      <c r="AQ334" s="903"/>
      <c r="AU334" s="923">
        <f>AU322+AU325+AU328-AU331</f>
        <v>1075124771.4677353</v>
      </c>
      <c r="AV334" s="923">
        <f>AV322+AV325+AV328-AV331</f>
        <v>518833566.11346018</v>
      </c>
      <c r="AW334" s="923">
        <f>AW322+AW325+AW328-AW331</f>
        <v>92255202.149268717</v>
      </c>
      <c r="AX334" s="923">
        <f>AX322+AX325+AX328-AX331</f>
        <v>464036003.2050066</v>
      </c>
      <c r="AY334" s="903"/>
      <c r="BC334" s="923">
        <f>BC322+BC325+BC328-BC331</f>
        <v>1075124771.4677353</v>
      </c>
      <c r="BD334" s="923">
        <f>BD322+BD325+BD328-BD331</f>
        <v>518833566.11346018</v>
      </c>
      <c r="BE334" s="923">
        <f>BE322+BE325+BE328-BE331</f>
        <v>92255202.149268717</v>
      </c>
      <c r="BF334" s="923">
        <f>BF322+BF325+BF328-BF331</f>
        <v>464036003.2050066</v>
      </c>
      <c r="BG334" s="903"/>
      <c r="BK334" s="923">
        <f>BK322+BK325+BK328-BK331</f>
        <v>1075124771.4677353</v>
      </c>
      <c r="BL334" s="923">
        <f>BL322+BL325+BL328-BL331</f>
        <v>518833566.11346018</v>
      </c>
      <c r="BM334" s="923">
        <f>BM322+BM325+BM328-BM331</f>
        <v>92255202.149268717</v>
      </c>
      <c r="BN334" s="923">
        <f>BN322+BN325+BN328-BN331</f>
        <v>464036003.2050066</v>
      </c>
      <c r="BO334" s="903"/>
      <c r="BS334" s="923">
        <f>BS322+BS325+BS328-BS331</f>
        <v>1075124771.4677353</v>
      </c>
      <c r="BT334" s="923">
        <f>BT322+BT325+BT328-BT331</f>
        <v>518833566.11346018</v>
      </c>
      <c r="BU334" s="923">
        <f>BU322+BU325+BU328-BU331</f>
        <v>92255202.149268717</v>
      </c>
      <c r="BV334" s="923">
        <f>BV322+BV325+BV328-BV331</f>
        <v>464036003.2050066</v>
      </c>
      <c r="BW334" s="903"/>
      <c r="CA334" s="923">
        <f>CA322+CA325+CA328-CA331</f>
        <v>1075124771.4677353</v>
      </c>
      <c r="CB334" s="923">
        <f>CB322+CB325+CB328-CB331</f>
        <v>518833566.11346018</v>
      </c>
      <c r="CC334" s="923">
        <f>CC322+CC325+CC328-CC331</f>
        <v>92255202.149268717</v>
      </c>
      <c r="CD334" s="923">
        <f>CD322+CD325+CD328-CD331</f>
        <v>464036003.2050066</v>
      </c>
      <c r="CE334" s="903"/>
      <c r="CI334" s="923">
        <f>CI322+CI325+CI328-CI331</f>
        <v>1075124771.4677353</v>
      </c>
      <c r="CJ334" s="923">
        <f>CJ322+CJ325+CJ328-CJ331</f>
        <v>518833566.11346018</v>
      </c>
      <c r="CK334" s="923">
        <f>CK322+CK325+CK328-CK331</f>
        <v>92255202.149268717</v>
      </c>
      <c r="CL334" s="923">
        <f>CL322+CL325+CL328-CL331</f>
        <v>464036003.2050066</v>
      </c>
      <c r="CM334" s="903"/>
      <c r="CQ334" s="923">
        <f>CQ322+CQ325+CQ328-CQ331</f>
        <v>1075124771.4677353</v>
      </c>
      <c r="CR334" s="923">
        <f>CR322+CR325+CR328-CR331</f>
        <v>518833566.11346018</v>
      </c>
      <c r="CS334" s="923">
        <f>CS322+CS325+CS328-CS331</f>
        <v>92255202.149268717</v>
      </c>
      <c r="CT334" s="923">
        <f>CT322+CT325+CT328-CT331</f>
        <v>464036003.2050066</v>
      </c>
      <c r="CU334" s="903"/>
      <c r="CY334" s="923">
        <f>CY322+CY325+CY328-CY331</f>
        <v>1075124771.4677353</v>
      </c>
      <c r="CZ334" s="923">
        <f>CZ322+CZ325+CZ328-CZ331</f>
        <v>518833566.11346018</v>
      </c>
      <c r="DA334" s="923">
        <f>DA322+DA325+DA328-DA331</f>
        <v>92255202.149268717</v>
      </c>
      <c r="DB334" s="923">
        <f>DB322+DB325+DB328-DB331</f>
        <v>464036003.2050066</v>
      </c>
      <c r="DC334" s="903"/>
      <c r="DG334" s="923">
        <f>DG322+DG325+DG328-DG331</f>
        <v>1075124771.4677353</v>
      </c>
      <c r="DH334" s="923">
        <f>DH322+DH325+DH328-DH331</f>
        <v>518833566.11346018</v>
      </c>
      <c r="DI334" s="923">
        <f>DI322+DI325+DI328-DI331</f>
        <v>92255202.149268717</v>
      </c>
      <c r="DJ334" s="923">
        <f>DJ322+DJ325+DJ328-DJ331</f>
        <v>464036003.2050066</v>
      </c>
      <c r="DK334" s="903"/>
      <c r="DO334" s="923">
        <f>DO322+DO325+DO328-DO331</f>
        <v>1075124771.4677353</v>
      </c>
      <c r="DP334" s="923">
        <f>DP322+DP325+DP328-DP331</f>
        <v>518833566.11346018</v>
      </c>
      <c r="DQ334" s="923">
        <f>DQ322+DQ325+DQ328-DQ331</f>
        <v>92255202.149268717</v>
      </c>
      <c r="DR334" s="923">
        <f>DR322+DR325+DR328-DR331</f>
        <v>464036003.2050066</v>
      </c>
      <c r="DS334" s="903"/>
      <c r="DW334" s="923">
        <f>DW322+DW325+DW328-DW331</f>
        <v>1075124771.4677353</v>
      </c>
      <c r="DX334" s="923">
        <f>DX322+DX325+DX328-DX331</f>
        <v>518833566.11346018</v>
      </c>
      <c r="DY334" s="923">
        <f>DY322+DY325+DY328-DY331</f>
        <v>92255202.149268717</v>
      </c>
      <c r="DZ334" s="923">
        <f>DZ322+DZ325+DZ328-DZ331</f>
        <v>464036003.2050066</v>
      </c>
      <c r="EA334" s="903"/>
      <c r="EE334" s="923">
        <f>EE322+EE325+EE328-EE331</f>
        <v>1075124771.4677353</v>
      </c>
      <c r="EF334" s="923">
        <f>EF322+EF325+EF328-EF331</f>
        <v>518833566.11346018</v>
      </c>
      <c r="EG334" s="923">
        <f>EG322+EG325+EG328-EG331</f>
        <v>92255202.149268717</v>
      </c>
      <c r="EH334" s="923">
        <f>EH322+EH325+EH328-EH331</f>
        <v>464036003.2050066</v>
      </c>
      <c r="EI334" s="903"/>
      <c r="EM334" s="923">
        <f>EM322+EM325+EM328-EM331</f>
        <v>1075124771.4677353</v>
      </c>
      <c r="EN334" s="923">
        <f>EN322+EN325+EN328-EN331</f>
        <v>518833566.11346018</v>
      </c>
      <c r="EO334" s="923">
        <f>EO322+EO325+EO328-EO331</f>
        <v>92255202.149268717</v>
      </c>
      <c r="EP334" s="923">
        <f>EP322+EP325+EP328-EP331</f>
        <v>464036003.2050066</v>
      </c>
      <c r="EQ334" s="903"/>
      <c r="EU334" s="923">
        <f>EU322+EU325+EU328-EU331</f>
        <v>1075124771.4677353</v>
      </c>
      <c r="EV334" s="923">
        <f>EV322+EV325+EV328-EV331</f>
        <v>518833566.11346018</v>
      </c>
      <c r="EW334" s="923">
        <f>EW322+EW325+EW328-EW331</f>
        <v>92255202.149268717</v>
      </c>
      <c r="EX334" s="923">
        <f>EX322+EX325+EX328-EX331</f>
        <v>464036003.2050066</v>
      </c>
      <c r="EY334" s="903"/>
      <c r="FC334" s="923">
        <f>FC322+FC325+FC328-FC331</f>
        <v>1075124771.4677353</v>
      </c>
      <c r="FD334" s="923">
        <f>FD322+FD325+FD328-FD331</f>
        <v>518833566.11346018</v>
      </c>
      <c r="FE334" s="923">
        <f>FE322+FE325+FE328-FE331</f>
        <v>92255202.149268717</v>
      </c>
      <c r="FF334" s="923">
        <f>FF322+FF325+FF328-FF331</f>
        <v>464036003.2050066</v>
      </c>
      <c r="FG334" s="903"/>
      <c r="FK334" s="923">
        <f>FK322+FK325+FK328-FK331</f>
        <v>1075124771.4677353</v>
      </c>
      <c r="FL334" s="923">
        <f>FL322+FL325+FL328-FL331</f>
        <v>518833566.11346018</v>
      </c>
      <c r="FM334" s="923">
        <f>FM322+FM325+FM328-FM331</f>
        <v>92255202.149268717</v>
      </c>
      <c r="FN334" s="923">
        <f>FN322+FN325+FN328-FN331</f>
        <v>464036003.2050066</v>
      </c>
      <c r="FO334" s="903"/>
    </row>
    <row r="335" spans="1:171">
      <c r="A335" s="1050" t="s">
        <v>251</v>
      </c>
      <c r="B335" s="64"/>
      <c r="C335" s="1"/>
      <c r="D335" s="1"/>
      <c r="E335" s="1"/>
      <c r="F335" s="1"/>
      <c r="G335" s="1052"/>
      <c r="H335" s="51"/>
      <c r="I335" s="51"/>
      <c r="J335" s="1053"/>
      <c r="K335" s="903"/>
      <c r="S335" s="1073"/>
      <c r="AA335" s="1073"/>
      <c r="AI335" s="1073"/>
      <c r="AQ335" s="1073"/>
      <c r="AY335" s="1073"/>
      <c r="BG335" s="1073"/>
      <c r="BO335" s="1073"/>
      <c r="BW335" s="1073"/>
      <c r="CE335" s="1073"/>
      <c r="CM335" s="1073"/>
      <c r="CU335" s="1073"/>
      <c r="DC335" s="1073"/>
      <c r="DK335" s="1073"/>
      <c r="DS335" s="1073"/>
      <c r="EA335" s="1073"/>
      <c r="EI335" s="1073"/>
      <c r="EQ335" s="1073"/>
      <c r="EY335" s="1073"/>
      <c r="FG335" s="1073"/>
      <c r="FO335" s="1073"/>
    </row>
    <row r="336" spans="1:171">
      <c r="A336" s="1048"/>
      <c r="B336" s="1"/>
      <c r="C336" s="1"/>
      <c r="D336" s="1"/>
      <c r="E336" s="1"/>
      <c r="F336" s="1"/>
      <c r="G336" s="1"/>
      <c r="H336" s="1"/>
      <c r="I336" s="1"/>
      <c r="J336" s="1054"/>
      <c r="K336" s="903"/>
      <c r="S336" s="1073"/>
      <c r="AA336" s="1073"/>
      <c r="AI336" s="1073"/>
      <c r="AQ336" s="1073"/>
      <c r="AY336" s="1073"/>
      <c r="BG336" s="1073"/>
      <c r="BO336" s="1073"/>
      <c r="BW336" s="1073"/>
      <c r="CE336" s="1073"/>
      <c r="CM336" s="1073"/>
      <c r="CU336" s="1073"/>
      <c r="DC336" s="1073"/>
      <c r="DK336" s="1073"/>
      <c r="DS336" s="1073"/>
      <c r="EA336" s="1073"/>
      <c r="EI336" s="1073"/>
      <c r="EQ336" s="1073"/>
      <c r="EY336" s="1073"/>
      <c r="FG336" s="1073"/>
      <c r="FO336" s="1073"/>
    </row>
    <row r="337" spans="1:171" ht="16.5" thickBot="1">
      <c r="A337" s="1055"/>
      <c r="B337" s="1056"/>
      <c r="C337" s="1056"/>
      <c r="D337" s="1056"/>
      <c r="E337" s="1056"/>
      <c r="F337" s="1056"/>
      <c r="G337" s="1056"/>
      <c r="H337" s="1056"/>
      <c r="I337" s="1056"/>
      <c r="J337" s="1057"/>
      <c r="K337" s="903"/>
      <c r="S337" s="1073"/>
      <c r="AA337" s="1073"/>
      <c r="AI337" s="1073"/>
      <c r="AQ337" s="1073"/>
      <c r="AY337" s="1073"/>
      <c r="BG337" s="1073"/>
      <c r="BO337" s="1073"/>
      <c r="BW337" s="1073"/>
      <c r="CE337" s="1073"/>
      <c r="CM337" s="1073"/>
      <c r="CU337" s="1073"/>
      <c r="DC337" s="1073"/>
      <c r="DK337" s="1073"/>
      <c r="DS337" s="1073"/>
      <c r="EA337" s="1073"/>
      <c r="EI337" s="1073"/>
      <c r="EQ337" s="1073"/>
      <c r="EY337" s="1073"/>
      <c r="FG337" s="1073"/>
      <c r="FO337" s="1073"/>
    </row>
    <row r="338" spans="1:171" ht="16.5" thickBot="1">
      <c r="A338" s="1058" t="s">
        <v>509</v>
      </c>
      <c r="B338" s="1059"/>
      <c r="C338" s="51"/>
      <c r="D338" s="51"/>
      <c r="E338" s="51"/>
      <c r="F338" s="51"/>
      <c r="G338" s="51"/>
      <c r="H338" s="51"/>
      <c r="I338" s="51"/>
      <c r="J338" s="51"/>
      <c r="K338" s="903"/>
      <c r="S338" s="1073"/>
      <c r="AA338" s="1073"/>
      <c r="AI338" s="1073"/>
      <c r="AQ338" s="1073"/>
      <c r="AY338" s="1073"/>
      <c r="BG338" s="1073"/>
      <c r="BO338" s="1073"/>
      <c r="BW338" s="1073"/>
      <c r="CE338" s="1073"/>
      <c r="CM338" s="1073"/>
      <c r="CU338" s="1073"/>
      <c r="DC338" s="1073"/>
      <c r="DK338" s="1073"/>
      <c r="DS338" s="1073"/>
      <c r="EA338" s="1073"/>
      <c r="EI338" s="1073"/>
      <c r="EQ338" s="1073"/>
      <c r="EY338" s="1073"/>
      <c r="FG338" s="1073"/>
      <c r="FO338" s="1073"/>
    </row>
    <row r="339" spans="1:171" ht="16.5" thickTop="1">
      <c r="A339" s="228" t="s">
        <v>319</v>
      </c>
      <c r="B339" s="51"/>
      <c r="C339" s="1"/>
      <c r="D339" s="1"/>
      <c r="E339" s="1"/>
      <c r="F339" s="1"/>
      <c r="G339" s="51"/>
      <c r="H339" s="1247">
        <f>H334</f>
        <v>518833566.11346018</v>
      </c>
      <c r="I339" s="51"/>
      <c r="J339" s="51"/>
      <c r="K339" s="903"/>
      <c r="P339" s="1247">
        <f>P334</f>
        <v>518833566.11346018</v>
      </c>
      <c r="S339" s="1073"/>
      <c r="X339" s="1247">
        <f>X334</f>
        <v>518833566.11346018</v>
      </c>
      <c r="AA339" s="1073"/>
      <c r="AF339" s="1247">
        <f>AF334</f>
        <v>518833566.11346018</v>
      </c>
      <c r="AI339" s="1073"/>
      <c r="AN339" s="1247">
        <f>AN334</f>
        <v>518833566.11346018</v>
      </c>
      <c r="AQ339" s="1073"/>
      <c r="AV339" s="1247">
        <f>AV334</f>
        <v>518833566.11346018</v>
      </c>
      <c r="AY339" s="1073"/>
      <c r="BD339" s="1247">
        <f>BD334</f>
        <v>518833566.11346018</v>
      </c>
      <c r="BG339" s="1073"/>
      <c r="BL339" s="1247">
        <f>BL334</f>
        <v>518833566.11346018</v>
      </c>
      <c r="BO339" s="1073"/>
      <c r="BT339" s="1247">
        <f>BT334</f>
        <v>518833566.11346018</v>
      </c>
      <c r="BW339" s="1073"/>
      <c r="CB339" s="1247">
        <f>CB334</f>
        <v>518833566.11346018</v>
      </c>
      <c r="CE339" s="1073"/>
      <c r="CJ339" s="1247">
        <f>CJ334</f>
        <v>518833566.11346018</v>
      </c>
      <c r="CM339" s="1073"/>
      <c r="CR339" s="1247">
        <f>CR334</f>
        <v>518833566.11346018</v>
      </c>
      <c r="CU339" s="1073"/>
      <c r="CZ339" s="1247">
        <f>CZ334</f>
        <v>518833566.11346018</v>
      </c>
      <c r="DC339" s="1073"/>
      <c r="DH339" s="1247">
        <f>DH334</f>
        <v>518833566.11346018</v>
      </c>
      <c r="DK339" s="1073"/>
      <c r="DP339" s="1247">
        <f>DP334</f>
        <v>518833566.11346018</v>
      </c>
      <c r="DS339" s="1073"/>
      <c r="DX339" s="1247">
        <f>DX334</f>
        <v>518833566.11346018</v>
      </c>
      <c r="EA339" s="1073"/>
      <c r="EF339" s="1247">
        <f>EF334</f>
        <v>518833566.11346018</v>
      </c>
      <c r="EI339" s="1073"/>
      <c r="EN339" s="1247">
        <f>EN334</f>
        <v>518833566.11346018</v>
      </c>
      <c r="EQ339" s="1073"/>
      <c r="EV339" s="1247">
        <f>EV334</f>
        <v>518833566.11346018</v>
      </c>
      <c r="EY339" s="1073"/>
      <c r="FD339" s="1247">
        <f>FD334</f>
        <v>518833566.11346018</v>
      </c>
      <c r="FG339" s="1073"/>
      <c r="FL339" s="1247">
        <f>FL334</f>
        <v>518833566.11346018</v>
      </c>
      <c r="FO339" s="1073"/>
    </row>
    <row r="340" spans="1:171">
      <c r="A340" s="228" t="s">
        <v>106</v>
      </c>
      <c r="B340" s="51"/>
      <c r="C340" s="1"/>
      <c r="D340" s="1"/>
      <c r="E340" s="1"/>
      <c r="F340" s="1"/>
      <c r="G340" s="51"/>
      <c r="H340" s="1248">
        <f>+I334</f>
        <v>0</v>
      </c>
      <c r="I340" s="51"/>
      <c r="J340" s="51"/>
      <c r="K340" s="903"/>
      <c r="P340" s="1248">
        <f>Q334</f>
        <v>92255202.149268717</v>
      </c>
      <c r="S340" s="1073"/>
      <c r="X340" s="1248">
        <f>Y334</f>
        <v>92255202.149268717</v>
      </c>
      <c r="AA340" s="1073"/>
      <c r="AF340" s="1248">
        <f>AG334</f>
        <v>92255202.149268717</v>
      </c>
      <c r="AI340" s="1073"/>
      <c r="AN340" s="1248">
        <f>AO334</f>
        <v>92255202.149268717</v>
      </c>
      <c r="AQ340" s="1073"/>
      <c r="AV340" s="1248">
        <f>AW334</f>
        <v>92255202.149268717</v>
      </c>
      <c r="AY340" s="1073"/>
      <c r="BD340" s="1248">
        <f>BE334</f>
        <v>92255202.149268717</v>
      </c>
      <c r="BG340" s="1073"/>
      <c r="BL340" s="1248">
        <f>BM334</f>
        <v>92255202.149268717</v>
      </c>
      <c r="BO340" s="1073"/>
      <c r="BT340" s="1248">
        <f>BU334</f>
        <v>92255202.149268717</v>
      </c>
      <c r="BW340" s="1073"/>
      <c r="CB340" s="1248">
        <f>CC334</f>
        <v>92255202.149268717</v>
      </c>
      <c r="CE340" s="1073"/>
      <c r="CJ340" s="1248">
        <f>CK334</f>
        <v>92255202.149268717</v>
      </c>
      <c r="CM340" s="1073"/>
      <c r="CR340" s="1248">
        <f>CS334</f>
        <v>92255202.149268717</v>
      </c>
      <c r="CU340" s="1073"/>
      <c r="CZ340" s="1248">
        <f>DA334</f>
        <v>92255202.149268717</v>
      </c>
      <c r="DC340" s="1073"/>
      <c r="DH340" s="1248">
        <f>DI334</f>
        <v>92255202.149268717</v>
      </c>
      <c r="DK340" s="1073"/>
      <c r="DP340" s="1248">
        <f>DQ334</f>
        <v>92255202.149268717</v>
      </c>
      <c r="DS340" s="1073"/>
      <c r="DX340" s="1248">
        <f>DY334</f>
        <v>92255202.149268717</v>
      </c>
      <c r="EA340" s="1073"/>
      <c r="EF340" s="1248">
        <f>EG334</f>
        <v>92255202.149268717</v>
      </c>
      <c r="EI340" s="1073"/>
      <c r="EN340" s="1248">
        <f>EO334</f>
        <v>92255202.149268717</v>
      </c>
      <c r="EQ340" s="1073"/>
      <c r="EV340" s="1248">
        <f>EW334</f>
        <v>92255202.149268717</v>
      </c>
      <c r="EY340" s="1073"/>
      <c r="FD340" s="1248">
        <f>FE334</f>
        <v>92255202.149268717</v>
      </c>
      <c r="FG340" s="1073"/>
      <c r="FL340" s="1248">
        <f>FM334</f>
        <v>92255202.149268717</v>
      </c>
      <c r="FO340" s="1073"/>
    </row>
    <row r="341" spans="1:171">
      <c r="A341" s="228" t="s">
        <v>513</v>
      </c>
      <c r="B341" s="51"/>
      <c r="C341" s="1"/>
      <c r="D341" s="1"/>
      <c r="E341" s="1"/>
      <c r="F341" s="1"/>
      <c r="G341" s="51"/>
      <c r="H341" s="890">
        <f>'Sch 4 - Average System Cost'!$D$34+'Sch 4 - Average System Cost'!$D$35</f>
        <v>0</v>
      </c>
      <c r="I341" s="51"/>
      <c r="J341" s="51"/>
      <c r="K341" s="903"/>
      <c r="P341" s="890">
        <f>$H$341</f>
        <v>0</v>
      </c>
      <c r="S341" s="1073"/>
      <c r="X341" s="890">
        <f>$H$341</f>
        <v>0</v>
      </c>
      <c r="AA341" s="1073"/>
      <c r="AF341" s="890">
        <f>$H$341</f>
        <v>0</v>
      </c>
      <c r="AI341" s="1073"/>
      <c r="AN341" s="890">
        <f>$H$341</f>
        <v>0</v>
      </c>
      <c r="AQ341" s="1073"/>
      <c r="AV341" s="890">
        <f>$H$341</f>
        <v>0</v>
      </c>
      <c r="AY341" s="1073"/>
      <c r="BD341" s="890">
        <f>$H$341</f>
        <v>0</v>
      </c>
      <c r="BG341" s="1073"/>
      <c r="BL341" s="890">
        <f>$H$341</f>
        <v>0</v>
      </c>
      <c r="BO341" s="1073"/>
      <c r="BT341" s="890">
        <f>$H$341</f>
        <v>0</v>
      </c>
      <c r="BW341" s="1073"/>
      <c r="CB341" s="890">
        <f>$H$341</f>
        <v>0</v>
      </c>
      <c r="CE341" s="1073"/>
      <c r="CJ341" s="890">
        <f>$H$341</f>
        <v>0</v>
      </c>
      <c r="CM341" s="1073"/>
      <c r="CR341" s="890">
        <f>$H$341</f>
        <v>0</v>
      </c>
      <c r="CU341" s="1073"/>
      <c r="CZ341" s="890">
        <f>$H$341</f>
        <v>0</v>
      </c>
      <c r="DC341" s="1073"/>
      <c r="DH341" s="890">
        <f>$H$341</f>
        <v>0</v>
      </c>
      <c r="DK341" s="1073"/>
      <c r="DP341" s="890">
        <f>$H$341</f>
        <v>0</v>
      </c>
      <c r="DS341" s="1073"/>
      <c r="DX341" s="890">
        <f>$H$341</f>
        <v>0</v>
      </c>
      <c r="EA341" s="1073"/>
      <c r="EF341" s="890">
        <f>$H$341</f>
        <v>0</v>
      </c>
      <c r="EI341" s="1073"/>
      <c r="EN341" s="890">
        <f>$H$341</f>
        <v>0</v>
      </c>
      <c r="EQ341" s="1073"/>
      <c r="EV341" s="890">
        <f>$H$341</f>
        <v>0</v>
      </c>
      <c r="EY341" s="1073"/>
      <c r="FD341" s="890">
        <f>$H$341</f>
        <v>0</v>
      </c>
      <c r="FG341" s="1073"/>
      <c r="FL341" s="890">
        <f>$H$341</f>
        <v>0</v>
      </c>
      <c r="FO341" s="1073"/>
    </row>
    <row r="342" spans="1:171">
      <c r="A342" s="160" t="s">
        <v>510</v>
      </c>
      <c r="B342" s="51"/>
      <c r="C342" s="1"/>
      <c r="D342" s="1"/>
      <c r="E342" s="1"/>
      <c r="F342" s="1"/>
      <c r="G342" s="51"/>
      <c r="H342" s="1249">
        <f>H339+H340-H341</f>
        <v>518833566.11346018</v>
      </c>
      <c r="I342" s="51"/>
      <c r="J342" s="51"/>
      <c r="K342" s="903"/>
      <c r="P342" s="923">
        <f>P339+P340-P341</f>
        <v>611088768.26272893</v>
      </c>
      <c r="S342" s="1073"/>
      <c r="X342" s="923">
        <f>X339+X340-X341</f>
        <v>611088768.26272893</v>
      </c>
      <c r="AA342" s="1073"/>
      <c r="AF342" s="923">
        <f>AF339+AF340-AF341</f>
        <v>611088768.26272893</v>
      </c>
      <c r="AI342" s="1073"/>
      <c r="AN342" s="923">
        <f>AN339+AN340-AN341</f>
        <v>611088768.26272893</v>
      </c>
      <c r="AQ342" s="1073"/>
      <c r="AV342" s="923">
        <f>AV339+AV340-AV341</f>
        <v>611088768.26272893</v>
      </c>
      <c r="AY342" s="1073"/>
      <c r="BD342" s="923">
        <f>BD339+BD340-BD341</f>
        <v>611088768.26272893</v>
      </c>
      <c r="BG342" s="1073"/>
      <c r="BL342" s="923">
        <f>BL339+BL340-BL341</f>
        <v>611088768.26272893</v>
      </c>
      <c r="BO342" s="1073"/>
      <c r="BT342" s="923">
        <f>BT339+BT340-BT341</f>
        <v>611088768.26272893</v>
      </c>
      <c r="BW342" s="1073"/>
      <c r="CB342" s="923">
        <f>CB339+CB340-CB341</f>
        <v>611088768.26272893</v>
      </c>
      <c r="CE342" s="1073"/>
      <c r="CJ342" s="923">
        <f>CJ339+CJ340-CJ341</f>
        <v>611088768.26272893</v>
      </c>
      <c r="CM342" s="1073"/>
      <c r="CR342" s="923">
        <f>CR339+CR340-CR341</f>
        <v>611088768.26272893</v>
      </c>
      <c r="CU342" s="1073"/>
      <c r="CZ342" s="923">
        <f>CZ339+CZ340-CZ341</f>
        <v>611088768.26272893</v>
      </c>
      <c r="DC342" s="1073"/>
      <c r="DH342" s="923">
        <f>DH339+DH340-DH341</f>
        <v>611088768.26272893</v>
      </c>
      <c r="DK342" s="1073"/>
      <c r="DP342" s="923">
        <f>DP339+DP340-DP341</f>
        <v>611088768.26272893</v>
      </c>
      <c r="DS342" s="1073"/>
      <c r="DX342" s="923">
        <f>DX339+DX340-DX341</f>
        <v>611088768.26272893</v>
      </c>
      <c r="EA342" s="1073"/>
      <c r="EF342" s="923">
        <f>EF339+EF340-EF341</f>
        <v>611088768.26272893</v>
      </c>
      <c r="EI342" s="1073"/>
      <c r="EN342" s="923">
        <f>EN339+EN340-EN341</f>
        <v>611088768.26272893</v>
      </c>
      <c r="EQ342" s="1073"/>
      <c r="EV342" s="923">
        <f>EV339+EV340-EV341</f>
        <v>611088768.26272893</v>
      </c>
      <c r="EY342" s="1073"/>
      <c r="FD342" s="923">
        <f>FD339+FD340-FD341</f>
        <v>611088768.26272893</v>
      </c>
      <c r="FG342" s="1073"/>
      <c r="FL342" s="923">
        <f>FL339+FL340-FL341</f>
        <v>611088768.26272893</v>
      </c>
      <c r="FO342" s="1073"/>
    </row>
    <row r="343" spans="1:171" ht="16.5" thickBot="1">
      <c r="A343" s="1060"/>
      <c r="B343" s="51"/>
      <c r="C343" s="1"/>
      <c r="D343" s="1"/>
      <c r="E343" s="1"/>
      <c r="F343" s="1"/>
      <c r="G343" s="51"/>
      <c r="H343" s="592"/>
      <c r="I343" s="51"/>
      <c r="J343" s="51"/>
      <c r="K343" s="903"/>
      <c r="S343" s="1073"/>
      <c r="AA343" s="1073"/>
      <c r="AI343" s="1073"/>
      <c r="AQ343" s="1073"/>
      <c r="AY343" s="1073"/>
      <c r="BG343" s="1073"/>
      <c r="BO343" s="1073"/>
      <c r="BW343" s="1073"/>
      <c r="CE343" s="1073"/>
      <c r="CM343" s="1073"/>
      <c r="CU343" s="1073"/>
      <c r="DC343" s="1073"/>
      <c r="DK343" s="1073"/>
      <c r="DS343" s="1073"/>
      <c r="EA343" s="1073"/>
      <c r="EI343" s="1073"/>
      <c r="EQ343" s="1073"/>
      <c r="EY343" s="1073"/>
      <c r="FG343" s="1073"/>
      <c r="FO343" s="1073"/>
    </row>
    <row r="344" spans="1:171" ht="17.25" thickTop="1" thickBot="1">
      <c r="A344" s="1061" t="s">
        <v>511</v>
      </c>
      <c r="B344" s="1062"/>
      <c r="C344" s="1"/>
      <c r="D344" s="1"/>
      <c r="E344" s="1"/>
      <c r="F344" s="1"/>
      <c r="G344" s="51"/>
      <c r="H344" s="592"/>
      <c r="I344" s="51"/>
      <c r="J344" s="51"/>
      <c r="K344" s="903"/>
      <c r="S344" s="1073"/>
      <c r="AA344" s="1073"/>
      <c r="AI344" s="1073"/>
      <c r="AQ344" s="1073"/>
      <c r="AY344" s="1073"/>
      <c r="BG344" s="1073"/>
      <c r="BO344" s="1073"/>
      <c r="BW344" s="1073"/>
      <c r="CE344" s="1073"/>
      <c r="CM344" s="1073"/>
      <c r="CU344" s="1073"/>
      <c r="DC344" s="1073"/>
      <c r="DK344" s="1073"/>
      <c r="DS344" s="1073"/>
      <c r="EA344" s="1073"/>
      <c r="EI344" s="1073"/>
      <c r="EQ344" s="1073"/>
      <c r="EY344" s="1073"/>
      <c r="FG344" s="1073"/>
      <c r="FO344" s="1073"/>
    </row>
    <row r="345" spans="1:171" ht="16.5" thickTop="1">
      <c r="A345" s="228" t="s">
        <v>320</v>
      </c>
      <c r="B345" s="51"/>
      <c r="C345" s="1"/>
      <c r="D345" s="1"/>
      <c r="E345" s="1"/>
      <c r="F345" s="1"/>
      <c r="G345" s="51"/>
      <c r="H345" s="1063">
        <f>'Sch 4 - Average System Cost'!$D$39</f>
        <v>9307869</v>
      </c>
      <c r="I345" s="51"/>
      <c r="J345" s="51"/>
      <c r="K345" s="903"/>
      <c r="P345" s="1063">
        <f>$H$345</f>
        <v>9307869</v>
      </c>
      <c r="Q345" s="51"/>
      <c r="R345" s="51"/>
      <c r="S345" s="903"/>
      <c r="X345" s="1063">
        <f>$H$345</f>
        <v>9307869</v>
      </c>
      <c r="Y345" s="51"/>
      <c r="Z345" s="51"/>
      <c r="AA345" s="903"/>
      <c r="AF345" s="1063">
        <f>$H$345</f>
        <v>9307869</v>
      </c>
      <c r="AG345" s="51"/>
      <c r="AH345" s="51"/>
      <c r="AI345" s="903"/>
      <c r="AN345" s="1063">
        <f>$H$345</f>
        <v>9307869</v>
      </c>
      <c r="AO345" s="51"/>
      <c r="AP345" s="51"/>
      <c r="AQ345" s="903"/>
      <c r="AV345" s="1063">
        <f>$H$345</f>
        <v>9307869</v>
      </c>
      <c r="AW345" s="51"/>
      <c r="AX345" s="51"/>
      <c r="AY345" s="903"/>
      <c r="BD345" s="1063">
        <f>$H$345</f>
        <v>9307869</v>
      </c>
      <c r="BE345" s="51"/>
      <c r="BF345" s="51"/>
      <c r="BG345" s="903"/>
      <c r="BL345" s="1063">
        <f>$H$345</f>
        <v>9307869</v>
      </c>
      <c r="BM345" s="51"/>
      <c r="BN345" s="51"/>
      <c r="BO345" s="903"/>
      <c r="BT345" s="1063">
        <f>$H$345</f>
        <v>9307869</v>
      </c>
      <c r="BU345" s="51"/>
      <c r="BV345" s="51"/>
      <c r="BW345" s="903"/>
      <c r="CB345" s="1063">
        <f>$H$345</f>
        <v>9307869</v>
      </c>
      <c r="CC345" s="51"/>
      <c r="CD345" s="51"/>
      <c r="CE345" s="903"/>
      <c r="CJ345" s="1063">
        <f>$H$345</f>
        <v>9307869</v>
      </c>
      <c r="CK345" s="51"/>
      <c r="CL345" s="51"/>
      <c r="CM345" s="903"/>
      <c r="CR345" s="1063">
        <f>$H$345</f>
        <v>9307869</v>
      </c>
      <c r="CS345" s="51"/>
      <c r="CT345" s="51"/>
      <c r="CU345" s="903"/>
      <c r="CZ345" s="1063">
        <f>$H$345</f>
        <v>9307869</v>
      </c>
      <c r="DA345" s="51"/>
      <c r="DB345" s="51"/>
      <c r="DC345" s="903"/>
      <c r="DH345" s="1063">
        <f>$H$345</f>
        <v>9307869</v>
      </c>
      <c r="DI345" s="51"/>
      <c r="DJ345" s="51"/>
      <c r="DK345" s="903"/>
      <c r="DP345" s="1063">
        <f>$H$345</f>
        <v>9307869</v>
      </c>
      <c r="DQ345" s="51"/>
      <c r="DR345" s="51"/>
      <c r="DS345" s="903"/>
      <c r="DX345" s="1063">
        <f>$H$345</f>
        <v>9307869</v>
      </c>
      <c r="DY345" s="51"/>
      <c r="DZ345" s="51"/>
      <c r="EA345" s="903"/>
      <c r="EF345" s="1063">
        <f>$H$345</f>
        <v>9307869</v>
      </c>
      <c r="EG345" s="51"/>
      <c r="EH345" s="51"/>
      <c r="EI345" s="903"/>
      <c r="EN345" s="1063">
        <f>$H$345</f>
        <v>9307869</v>
      </c>
      <c r="EO345" s="51"/>
      <c r="EP345" s="51"/>
      <c r="EQ345" s="903"/>
      <c r="EV345" s="1063">
        <f>$H$345</f>
        <v>9307869</v>
      </c>
      <c r="EW345" s="51"/>
      <c r="EX345" s="51"/>
      <c r="EY345" s="903"/>
      <c r="FD345" s="1063">
        <f>$H$345</f>
        <v>9307869</v>
      </c>
      <c r="FE345" s="51"/>
      <c r="FF345" s="51"/>
      <c r="FG345" s="903"/>
      <c r="FL345" s="1063">
        <f>$H$345</f>
        <v>9307869</v>
      </c>
      <c r="FM345" s="51"/>
      <c r="FN345" s="51"/>
      <c r="FO345" s="903"/>
    </row>
    <row r="346" spans="1:171">
      <c r="A346" s="228" t="s">
        <v>321</v>
      </c>
      <c r="B346" s="51"/>
      <c r="C346" s="1"/>
      <c r="D346" s="1"/>
      <c r="E346" s="1"/>
      <c r="F346" s="1"/>
      <c r="G346" s="51"/>
      <c r="H346" s="1063">
        <f>'Sch 4 - Average System Cost'!$D$40+'Sch 4 - Average System Cost'!$D$43</f>
        <v>0</v>
      </c>
      <c r="I346" s="1064" t="s">
        <v>637</v>
      </c>
      <c r="J346" s="1063">
        <v>0</v>
      </c>
      <c r="K346" s="903"/>
      <c r="P346" s="1063">
        <f>$H$346</f>
        <v>0</v>
      </c>
      <c r="Q346" s="1064" t="s">
        <v>637</v>
      </c>
      <c r="R346" s="1063">
        <v>0</v>
      </c>
      <c r="S346" s="903"/>
      <c r="X346" s="1063">
        <f>$H$346</f>
        <v>0</v>
      </c>
      <c r="Y346" s="1064" t="s">
        <v>637</v>
      </c>
      <c r="Z346" s="1063">
        <v>0</v>
      </c>
      <c r="AA346" s="903"/>
      <c r="AF346" s="1063">
        <f>$H$346</f>
        <v>0</v>
      </c>
      <c r="AG346" s="1064" t="s">
        <v>637</v>
      </c>
      <c r="AH346" s="1063">
        <v>0</v>
      </c>
      <c r="AI346" s="903"/>
      <c r="AN346" s="1063">
        <f>$H$346</f>
        <v>0</v>
      </c>
      <c r="AO346" s="1064" t="s">
        <v>637</v>
      </c>
      <c r="AP346" s="1063">
        <v>0</v>
      </c>
      <c r="AQ346" s="903"/>
      <c r="AV346" s="1063">
        <f>$H$346</f>
        <v>0</v>
      </c>
      <c r="AW346" s="1064" t="s">
        <v>637</v>
      </c>
      <c r="AX346" s="1063">
        <v>0</v>
      </c>
      <c r="AY346" s="903"/>
      <c r="BD346" s="1063">
        <f>$H$346</f>
        <v>0</v>
      </c>
      <c r="BE346" s="1064" t="s">
        <v>637</v>
      </c>
      <c r="BF346" s="1063">
        <v>0</v>
      </c>
      <c r="BG346" s="903"/>
      <c r="BL346" s="1063">
        <f>$H$346</f>
        <v>0</v>
      </c>
      <c r="BM346" s="1064" t="s">
        <v>637</v>
      </c>
      <c r="BN346" s="1063">
        <v>0</v>
      </c>
      <c r="BO346" s="903"/>
      <c r="BT346" s="1063">
        <f>$H$346</f>
        <v>0</v>
      </c>
      <c r="BU346" s="1064" t="s">
        <v>637</v>
      </c>
      <c r="BV346" s="1063">
        <v>0</v>
      </c>
      <c r="BW346" s="903"/>
      <c r="CB346" s="1063">
        <f>$H$346</f>
        <v>0</v>
      </c>
      <c r="CC346" s="1064" t="s">
        <v>637</v>
      </c>
      <c r="CD346" s="1063">
        <v>0</v>
      </c>
      <c r="CE346" s="903"/>
      <c r="CJ346" s="1063">
        <f>$H$346</f>
        <v>0</v>
      </c>
      <c r="CK346" s="1064" t="s">
        <v>637</v>
      </c>
      <c r="CL346" s="1063">
        <v>0</v>
      </c>
      <c r="CM346" s="903"/>
      <c r="CR346" s="1063">
        <f>$H$346</f>
        <v>0</v>
      </c>
      <c r="CS346" s="1064" t="s">
        <v>637</v>
      </c>
      <c r="CT346" s="1063">
        <v>0</v>
      </c>
      <c r="CU346" s="903"/>
      <c r="CZ346" s="1063">
        <f>$H$346</f>
        <v>0</v>
      </c>
      <c r="DA346" s="1064" t="s">
        <v>637</v>
      </c>
      <c r="DB346" s="1063">
        <v>0</v>
      </c>
      <c r="DC346" s="903"/>
      <c r="DH346" s="1063">
        <f>$H$346</f>
        <v>0</v>
      </c>
      <c r="DI346" s="1064" t="s">
        <v>637</v>
      </c>
      <c r="DJ346" s="1063">
        <v>0</v>
      </c>
      <c r="DK346" s="903"/>
      <c r="DP346" s="1063">
        <f>$H$346</f>
        <v>0</v>
      </c>
      <c r="DQ346" s="1064" t="s">
        <v>637</v>
      </c>
      <c r="DR346" s="1063">
        <v>0</v>
      </c>
      <c r="DS346" s="903"/>
      <c r="DX346" s="1063">
        <f>$H$346</f>
        <v>0</v>
      </c>
      <c r="DY346" s="1064" t="s">
        <v>637</v>
      </c>
      <c r="DZ346" s="1063">
        <v>0</v>
      </c>
      <c r="EA346" s="903"/>
      <c r="EF346" s="1063">
        <f>$H$346</f>
        <v>0</v>
      </c>
      <c r="EG346" s="1064" t="s">
        <v>637</v>
      </c>
      <c r="EH346" s="1063">
        <v>0</v>
      </c>
      <c r="EI346" s="903"/>
      <c r="EN346" s="1063">
        <f>$H$346</f>
        <v>0</v>
      </c>
      <c r="EO346" s="1064" t="s">
        <v>637</v>
      </c>
      <c r="EP346" s="1063">
        <v>0</v>
      </c>
      <c r="EQ346" s="903"/>
      <c r="EV346" s="1063">
        <f>$H$346</f>
        <v>0</v>
      </c>
      <c r="EW346" s="1064" t="s">
        <v>637</v>
      </c>
      <c r="EX346" s="1063">
        <v>0</v>
      </c>
      <c r="EY346" s="903"/>
      <c r="FD346" s="1063">
        <f>$H$346</f>
        <v>0</v>
      </c>
      <c r="FE346" s="1064" t="s">
        <v>637</v>
      </c>
      <c r="FF346" s="1063">
        <v>0</v>
      </c>
      <c r="FG346" s="903"/>
      <c r="FL346" s="1063">
        <f>$H$346</f>
        <v>0</v>
      </c>
      <c r="FM346" s="1064" t="s">
        <v>637</v>
      </c>
      <c r="FN346" s="1063">
        <v>0</v>
      </c>
      <c r="FO346" s="903"/>
    </row>
    <row r="347" spans="1:171">
      <c r="A347" s="228" t="s">
        <v>514</v>
      </c>
      <c r="B347" s="51"/>
      <c r="C347" s="1"/>
      <c r="D347" s="1"/>
      <c r="E347" s="1"/>
      <c r="F347" s="1070"/>
      <c r="G347" s="51"/>
      <c r="H347" s="1067">
        <f>H345-H346</f>
        <v>9307869</v>
      </c>
      <c r="I347" s="51"/>
      <c r="J347" s="51"/>
      <c r="K347" s="903"/>
      <c r="P347" s="1067">
        <f>P345-P346</f>
        <v>9307869</v>
      </c>
      <c r="Q347" s="51"/>
      <c r="R347" s="51"/>
      <c r="S347" s="903"/>
      <c r="X347" s="1067">
        <f>X345-X346</f>
        <v>9307869</v>
      </c>
      <c r="Y347" s="51"/>
      <c r="Z347" s="51"/>
      <c r="AA347" s="903"/>
      <c r="AF347" s="1067">
        <f>AF345-AF346</f>
        <v>9307869</v>
      </c>
      <c r="AG347" s="51"/>
      <c r="AH347" s="51"/>
      <c r="AI347" s="903"/>
      <c r="AN347" s="1067">
        <f>AN345-AN346</f>
        <v>9307869</v>
      </c>
      <c r="AO347" s="51"/>
      <c r="AP347" s="51"/>
      <c r="AQ347" s="903"/>
      <c r="AV347" s="1067">
        <f>AV345-AV346</f>
        <v>9307869</v>
      </c>
      <c r="AW347" s="51"/>
      <c r="AX347" s="51"/>
      <c r="AY347" s="903"/>
      <c r="BD347" s="1067">
        <f>BD345-BD346</f>
        <v>9307869</v>
      </c>
      <c r="BE347" s="51"/>
      <c r="BF347" s="51"/>
      <c r="BG347" s="903"/>
      <c r="BL347" s="1067">
        <f>BL345-BL346</f>
        <v>9307869</v>
      </c>
      <c r="BM347" s="51"/>
      <c r="BN347" s="51"/>
      <c r="BO347" s="903"/>
      <c r="BT347" s="1067">
        <f>BT345-BT346</f>
        <v>9307869</v>
      </c>
      <c r="BU347" s="51"/>
      <c r="BV347" s="51"/>
      <c r="BW347" s="903"/>
      <c r="CB347" s="1067">
        <f>CB345-CB346</f>
        <v>9307869</v>
      </c>
      <c r="CC347" s="51"/>
      <c r="CD347" s="51"/>
      <c r="CE347" s="903"/>
      <c r="CJ347" s="1067">
        <f>CJ345-CJ346</f>
        <v>9307869</v>
      </c>
      <c r="CK347" s="51"/>
      <c r="CL347" s="51"/>
      <c r="CM347" s="903"/>
      <c r="CR347" s="1067">
        <f>CR345-CR346</f>
        <v>9307869</v>
      </c>
      <c r="CS347" s="51"/>
      <c r="CT347" s="51"/>
      <c r="CU347" s="903"/>
      <c r="CZ347" s="1067">
        <f>CZ345-CZ346</f>
        <v>9307869</v>
      </c>
      <c r="DA347" s="51"/>
      <c r="DB347" s="51"/>
      <c r="DC347" s="903"/>
      <c r="DH347" s="1067">
        <f>DH345-DH346</f>
        <v>9307869</v>
      </c>
      <c r="DI347" s="51"/>
      <c r="DJ347" s="51"/>
      <c r="DK347" s="903"/>
      <c r="DP347" s="1067">
        <f>DP345-DP346</f>
        <v>9307869</v>
      </c>
      <c r="DQ347" s="51"/>
      <c r="DR347" s="51"/>
      <c r="DS347" s="903"/>
      <c r="DX347" s="1067">
        <f>DX345-DX346</f>
        <v>9307869</v>
      </c>
      <c r="DY347" s="51"/>
      <c r="DZ347" s="51"/>
      <c r="EA347" s="903"/>
      <c r="EF347" s="1067">
        <f>EF345-EF346</f>
        <v>9307869</v>
      </c>
      <c r="EG347" s="51"/>
      <c r="EH347" s="51"/>
      <c r="EI347" s="903"/>
      <c r="EN347" s="1067">
        <f>EN345-EN346</f>
        <v>9307869</v>
      </c>
      <c r="EO347" s="51"/>
      <c r="EP347" s="51"/>
      <c r="EQ347" s="903"/>
      <c r="EV347" s="1067">
        <f>EV345-EV346</f>
        <v>9307869</v>
      </c>
      <c r="EW347" s="51"/>
      <c r="EX347" s="51"/>
      <c r="EY347" s="903"/>
      <c r="FD347" s="1067">
        <f>FD345-FD346</f>
        <v>9307869</v>
      </c>
      <c r="FE347" s="51"/>
      <c r="FF347" s="51"/>
      <c r="FG347" s="903"/>
      <c r="FL347" s="1067">
        <f>FL345-FL346</f>
        <v>9307869</v>
      </c>
      <c r="FM347" s="51"/>
      <c r="FN347" s="51"/>
      <c r="FO347" s="903"/>
    </row>
    <row r="348" spans="1:171">
      <c r="A348" s="228" t="s">
        <v>638</v>
      </c>
      <c r="B348" s="51"/>
      <c r="C348" s="1"/>
      <c r="D348" s="1"/>
      <c r="E348" s="1"/>
      <c r="F348" s="1"/>
      <c r="G348" s="51"/>
      <c r="H348" s="1063">
        <f>'Sch 4 - Average System Cost'!$D$42</f>
        <v>298050.91444673057</v>
      </c>
      <c r="I348" s="51"/>
      <c r="J348" s="51"/>
      <c r="K348" s="903"/>
      <c r="P348" s="1293">
        <f>$H$348</f>
        <v>298050.91444673057</v>
      </c>
      <c r="Q348" s="51"/>
      <c r="R348" s="51"/>
      <c r="S348" s="903"/>
      <c r="X348" s="1293">
        <f>$H$348</f>
        <v>298050.91444673057</v>
      </c>
      <c r="Y348" s="51"/>
      <c r="Z348" s="51"/>
      <c r="AA348" s="903"/>
      <c r="AF348" s="1293">
        <f>$H$348</f>
        <v>298050.91444673057</v>
      </c>
      <c r="AG348" s="51"/>
      <c r="AH348" s="51"/>
      <c r="AI348" s="903"/>
      <c r="AN348" s="1293">
        <f>$H$348</f>
        <v>298050.91444673057</v>
      </c>
      <c r="AO348" s="51"/>
      <c r="AP348" s="51"/>
      <c r="AQ348" s="903"/>
      <c r="AV348" s="1293">
        <f>$H$348</f>
        <v>298050.91444673057</v>
      </c>
      <c r="AW348" s="51"/>
      <c r="AX348" s="51"/>
      <c r="AY348" s="903"/>
      <c r="BD348" s="1293">
        <f>$H$348</f>
        <v>298050.91444673057</v>
      </c>
      <c r="BE348" s="51"/>
      <c r="BF348" s="51"/>
      <c r="BG348" s="903"/>
      <c r="BL348" s="1293">
        <f>$H$348</f>
        <v>298050.91444673057</v>
      </c>
      <c r="BM348" s="51"/>
      <c r="BN348" s="51"/>
      <c r="BO348" s="903"/>
      <c r="BT348" s="1293">
        <f>$H$348</f>
        <v>298050.91444673057</v>
      </c>
      <c r="BU348" s="51"/>
      <c r="BV348" s="51"/>
      <c r="BW348" s="903"/>
      <c r="CB348" s="1293">
        <f>$H$348</f>
        <v>298050.91444673057</v>
      </c>
      <c r="CC348" s="51"/>
      <c r="CD348" s="51"/>
      <c r="CE348" s="903"/>
      <c r="CJ348" s="1293">
        <f>$H$348</f>
        <v>298050.91444673057</v>
      </c>
      <c r="CK348" s="51"/>
      <c r="CL348" s="51"/>
      <c r="CM348" s="903"/>
      <c r="CR348" s="1293">
        <f>$H$348</f>
        <v>298050.91444673057</v>
      </c>
      <c r="CS348" s="51"/>
      <c r="CT348" s="51"/>
      <c r="CU348" s="903"/>
      <c r="CZ348" s="1293">
        <f>$H$348</f>
        <v>298050.91444673057</v>
      </c>
      <c r="DA348" s="51"/>
      <c r="DB348" s="51"/>
      <c r="DC348" s="903"/>
      <c r="DH348" s="1293">
        <f>$H$348</f>
        <v>298050.91444673057</v>
      </c>
      <c r="DI348" s="51"/>
      <c r="DJ348" s="51"/>
      <c r="DK348" s="903"/>
      <c r="DP348" s="1293">
        <f>$H$348</f>
        <v>298050.91444673057</v>
      </c>
      <c r="DQ348" s="51"/>
      <c r="DR348" s="51"/>
      <c r="DS348" s="903"/>
      <c r="DX348" s="1293">
        <f>$H$348</f>
        <v>298050.91444673057</v>
      </c>
      <c r="DY348" s="51"/>
      <c r="DZ348" s="51"/>
      <c r="EA348" s="903"/>
      <c r="EF348" s="1293">
        <f>$H$348</f>
        <v>298050.91444673057</v>
      </c>
      <c r="EG348" s="51"/>
      <c r="EH348" s="51"/>
      <c r="EI348" s="903"/>
      <c r="EN348" s="1293">
        <f>$H$348</f>
        <v>298050.91444673057</v>
      </c>
      <c r="EO348" s="51"/>
      <c r="EP348" s="51"/>
      <c r="EQ348" s="903"/>
      <c r="EV348" s="1293">
        <f>$H$348</f>
        <v>298050.91444673057</v>
      </c>
      <c r="EW348" s="51"/>
      <c r="EX348" s="51"/>
      <c r="EY348" s="903"/>
      <c r="FD348" s="1293">
        <f>$H$348</f>
        <v>298050.91444673057</v>
      </c>
      <c r="FE348" s="51"/>
      <c r="FF348" s="51"/>
      <c r="FG348" s="903"/>
      <c r="FL348" s="1293">
        <f>$H$348</f>
        <v>298050.91444673057</v>
      </c>
      <c r="FM348" s="51"/>
      <c r="FN348" s="51"/>
      <c r="FO348" s="903"/>
    </row>
    <row r="349" spans="1:171">
      <c r="A349" s="160" t="s">
        <v>512</v>
      </c>
      <c r="B349" s="51"/>
      <c r="C349" s="1"/>
      <c r="D349" s="1"/>
      <c r="E349" s="1"/>
      <c r="F349" s="1"/>
      <c r="G349" s="51"/>
      <c r="H349" s="1250">
        <f>H347+H348</f>
        <v>9605919.9144467302</v>
      </c>
      <c r="I349" s="51"/>
      <c r="J349" s="51"/>
      <c r="K349" s="903"/>
      <c r="P349" s="1250">
        <f>P347+P348</f>
        <v>9605919.9144467302</v>
      </c>
      <c r="Q349" s="51"/>
      <c r="R349" s="51"/>
      <c r="S349" s="903"/>
      <c r="X349" s="1250">
        <f>X347+X348</f>
        <v>9605919.9144467302</v>
      </c>
      <c r="Y349" s="51"/>
      <c r="Z349" s="51"/>
      <c r="AA349" s="903"/>
      <c r="AF349" s="1250">
        <f>AF347+AF348</f>
        <v>9605919.9144467302</v>
      </c>
      <c r="AG349" s="51"/>
      <c r="AH349" s="51"/>
      <c r="AI349" s="903"/>
      <c r="AN349" s="1250">
        <f>AN347+AN348</f>
        <v>9605919.9144467302</v>
      </c>
      <c r="AO349" s="51"/>
      <c r="AP349" s="51"/>
      <c r="AQ349" s="903"/>
      <c r="AV349" s="1250">
        <f>AV347+AV348</f>
        <v>9605919.9144467302</v>
      </c>
      <c r="AW349" s="51"/>
      <c r="AX349" s="51"/>
      <c r="AY349" s="903"/>
      <c r="BD349" s="1250">
        <f>BD347+BD348</f>
        <v>9605919.9144467302</v>
      </c>
      <c r="BE349" s="51"/>
      <c r="BF349" s="51"/>
      <c r="BG349" s="903"/>
      <c r="BL349" s="1250">
        <f>BL347+BL348</f>
        <v>9605919.9144467302</v>
      </c>
      <c r="BM349" s="51"/>
      <c r="BN349" s="51"/>
      <c r="BO349" s="903"/>
      <c r="BT349" s="1250">
        <f>BT347+BT348</f>
        <v>9605919.9144467302</v>
      </c>
      <c r="BU349" s="51"/>
      <c r="BV349" s="51"/>
      <c r="BW349" s="903"/>
      <c r="CB349" s="1250">
        <f>CB347+CB348</f>
        <v>9605919.9144467302</v>
      </c>
      <c r="CC349" s="51"/>
      <c r="CD349" s="51"/>
      <c r="CE349" s="903"/>
      <c r="CJ349" s="1250">
        <f>CJ347+CJ348</f>
        <v>9605919.9144467302</v>
      </c>
      <c r="CK349" s="51"/>
      <c r="CL349" s="51"/>
      <c r="CM349" s="903"/>
      <c r="CR349" s="1250">
        <f>CR347+CR348</f>
        <v>9605919.9144467302</v>
      </c>
      <c r="CS349" s="51"/>
      <c r="CT349" s="51"/>
      <c r="CU349" s="903"/>
      <c r="CZ349" s="1250">
        <f>CZ347+CZ348</f>
        <v>9605919.9144467302</v>
      </c>
      <c r="DA349" s="51"/>
      <c r="DB349" s="51"/>
      <c r="DC349" s="903"/>
      <c r="DH349" s="1250">
        <f>DH347+DH348</f>
        <v>9605919.9144467302</v>
      </c>
      <c r="DI349" s="51"/>
      <c r="DJ349" s="51"/>
      <c r="DK349" s="903"/>
      <c r="DP349" s="1250">
        <f>DP347+DP348</f>
        <v>9605919.9144467302</v>
      </c>
      <c r="DQ349" s="51"/>
      <c r="DR349" s="51"/>
      <c r="DS349" s="903"/>
      <c r="DX349" s="1250">
        <f>DX347+DX348</f>
        <v>9605919.9144467302</v>
      </c>
      <c r="DY349" s="51"/>
      <c r="DZ349" s="51"/>
      <c r="EA349" s="903"/>
      <c r="EF349" s="1250">
        <f>EF347+EF348</f>
        <v>9605919.9144467302</v>
      </c>
      <c r="EG349" s="51"/>
      <c r="EH349" s="51"/>
      <c r="EI349" s="903"/>
      <c r="EN349" s="1250">
        <f>EN347+EN348</f>
        <v>9605919.9144467302</v>
      </c>
      <c r="EO349" s="51"/>
      <c r="EP349" s="51"/>
      <c r="EQ349" s="903"/>
      <c r="EV349" s="1250">
        <f>EV347+EV348</f>
        <v>9605919.9144467302</v>
      </c>
      <c r="EW349" s="51"/>
      <c r="EX349" s="51"/>
      <c r="EY349" s="903"/>
      <c r="FD349" s="1250">
        <f>FD347+FD348</f>
        <v>9605919.9144467302</v>
      </c>
      <c r="FE349" s="51"/>
      <c r="FF349" s="51"/>
      <c r="FG349" s="903"/>
      <c r="FL349" s="1250">
        <f>FL347+FL348</f>
        <v>9605919.9144467302</v>
      </c>
      <c r="FM349" s="51"/>
      <c r="FN349" s="51"/>
      <c r="FO349" s="903"/>
    </row>
    <row r="350" spans="1:171" ht="16.5" thickBot="1">
      <c r="A350" s="228"/>
      <c r="B350" s="51"/>
      <c r="C350" s="1"/>
      <c r="D350" s="1"/>
      <c r="E350" s="1"/>
      <c r="F350" s="1"/>
      <c r="G350" s="51"/>
      <c r="H350" s="56"/>
      <c r="I350" s="51"/>
      <c r="J350" s="51"/>
      <c r="K350" s="903"/>
      <c r="P350" s="56"/>
      <c r="Q350" s="51"/>
      <c r="R350" s="51"/>
      <c r="S350" s="903"/>
      <c r="X350" s="56"/>
      <c r="Y350" s="51"/>
      <c r="Z350" s="51"/>
      <c r="AA350" s="903"/>
      <c r="AF350" s="56"/>
      <c r="AG350" s="51"/>
      <c r="AH350" s="51"/>
      <c r="AI350" s="903"/>
      <c r="AN350" s="56"/>
      <c r="AO350" s="51"/>
      <c r="AP350" s="51"/>
      <c r="AQ350" s="903"/>
      <c r="AV350" s="56"/>
      <c r="AW350" s="51"/>
      <c r="AX350" s="51"/>
      <c r="AY350" s="903"/>
      <c r="BD350" s="56"/>
      <c r="BE350" s="51"/>
      <c r="BF350" s="51"/>
      <c r="BG350" s="903"/>
      <c r="BL350" s="56"/>
      <c r="BM350" s="51"/>
      <c r="BN350" s="51"/>
      <c r="BO350" s="903"/>
      <c r="BT350" s="56"/>
      <c r="BU350" s="51"/>
      <c r="BV350" s="51"/>
      <c r="BW350" s="903"/>
      <c r="CB350" s="56"/>
      <c r="CC350" s="51"/>
      <c r="CD350" s="51"/>
      <c r="CE350" s="903"/>
      <c r="CJ350" s="56"/>
      <c r="CK350" s="51"/>
      <c r="CL350" s="51"/>
      <c r="CM350" s="903"/>
      <c r="CR350" s="56"/>
      <c r="CS350" s="51"/>
      <c r="CT350" s="51"/>
      <c r="CU350" s="903"/>
      <c r="CZ350" s="56"/>
      <c r="DA350" s="51"/>
      <c r="DB350" s="51"/>
      <c r="DC350" s="903"/>
      <c r="DH350" s="56"/>
      <c r="DI350" s="51"/>
      <c r="DJ350" s="51"/>
      <c r="DK350" s="903"/>
      <c r="DP350" s="56"/>
      <c r="DQ350" s="51"/>
      <c r="DR350" s="51"/>
      <c r="DS350" s="903"/>
      <c r="DX350" s="56"/>
      <c r="DY350" s="51"/>
      <c r="DZ350" s="51"/>
      <c r="EA350" s="903"/>
      <c r="EF350" s="56"/>
      <c r="EG350" s="51"/>
      <c r="EH350" s="51"/>
      <c r="EI350" s="903"/>
      <c r="EN350" s="56"/>
      <c r="EO350" s="51"/>
      <c r="EP350" s="51"/>
      <c r="EQ350" s="903"/>
      <c r="EV350" s="56"/>
      <c r="EW350" s="51"/>
      <c r="EX350" s="51"/>
      <c r="EY350" s="903"/>
      <c r="FD350" s="56"/>
      <c r="FE350" s="51"/>
      <c r="FF350" s="51"/>
      <c r="FG350" s="903"/>
      <c r="FL350" s="56"/>
      <c r="FM350" s="51"/>
      <c r="FN350" s="51"/>
      <c r="FO350" s="903"/>
    </row>
    <row r="351" spans="1:171" ht="17.25" thickTop="1" thickBot="1">
      <c r="A351" s="1061" t="s">
        <v>322</v>
      </c>
      <c r="B351" s="1062"/>
      <c r="C351" s="1"/>
      <c r="D351" s="1"/>
      <c r="E351" s="1"/>
      <c r="F351" s="1"/>
      <c r="G351" s="51"/>
      <c r="H351" s="1251">
        <f>H342/H349</f>
        <v>54.011856306772394</v>
      </c>
      <c r="I351" s="51"/>
      <c r="J351" s="51"/>
      <c r="K351" s="903"/>
      <c r="L351" s="1294" t="s">
        <v>322</v>
      </c>
      <c r="P351" s="1069">
        <f>P342/P349</f>
        <v>63.615850819627163</v>
      </c>
      <c r="Q351" s="51"/>
      <c r="R351" s="51"/>
      <c r="S351" s="903"/>
      <c r="T351" s="1294" t="s">
        <v>322</v>
      </c>
      <c r="X351" s="1069">
        <f>X342/X349</f>
        <v>63.615850819627163</v>
      </c>
      <c r="Y351" s="51"/>
      <c r="Z351" s="51"/>
      <c r="AA351" s="903"/>
      <c r="AB351" s="1294" t="s">
        <v>322</v>
      </c>
      <c r="AF351" s="1069">
        <f>AF342/AF349</f>
        <v>63.615850819627163</v>
      </c>
      <c r="AG351" s="51"/>
      <c r="AH351" s="51"/>
      <c r="AI351" s="903"/>
      <c r="AJ351" s="1294" t="s">
        <v>322</v>
      </c>
      <c r="AN351" s="1069">
        <f>AN342/AN349</f>
        <v>63.615850819627163</v>
      </c>
      <c r="AO351" s="51"/>
      <c r="AP351" s="51"/>
      <c r="AQ351" s="903"/>
      <c r="AR351" s="1294" t="s">
        <v>322</v>
      </c>
      <c r="AV351" s="1069">
        <f>AV342/AV349</f>
        <v>63.615850819627163</v>
      </c>
      <c r="AW351" s="51"/>
      <c r="AX351" s="51"/>
      <c r="AY351" s="903"/>
      <c r="AZ351" s="1294" t="s">
        <v>322</v>
      </c>
      <c r="BD351" s="1069">
        <f>BD342/BD349</f>
        <v>63.615850819627163</v>
      </c>
      <c r="BE351" s="51"/>
      <c r="BF351" s="51"/>
      <c r="BG351" s="903"/>
      <c r="BH351" s="1294" t="s">
        <v>322</v>
      </c>
      <c r="BL351" s="1069">
        <f>BL342/BL349</f>
        <v>63.615850819627163</v>
      </c>
      <c r="BM351" s="51"/>
      <c r="BN351" s="51"/>
      <c r="BO351" s="903"/>
      <c r="BP351" s="1294" t="s">
        <v>322</v>
      </c>
      <c r="BT351" s="1069">
        <f>BT342/BT349</f>
        <v>63.615850819627163</v>
      </c>
      <c r="BU351" s="51"/>
      <c r="BV351" s="51"/>
      <c r="BW351" s="903"/>
      <c r="BX351" s="1294" t="s">
        <v>322</v>
      </c>
      <c r="CB351" s="1069">
        <f>CB342/CB349</f>
        <v>63.615850819627163</v>
      </c>
      <c r="CC351" s="51"/>
      <c r="CD351" s="51"/>
      <c r="CE351" s="903"/>
      <c r="CF351" s="1294" t="s">
        <v>322</v>
      </c>
      <c r="CJ351" s="1069">
        <f>CJ342/CJ349</f>
        <v>63.615850819627163</v>
      </c>
      <c r="CK351" s="51"/>
      <c r="CL351" s="51"/>
      <c r="CM351" s="903"/>
      <c r="CN351" s="1294" t="s">
        <v>322</v>
      </c>
      <c r="CO351" s="600"/>
      <c r="CR351" s="1069">
        <f>CR342/CR349</f>
        <v>63.615850819627163</v>
      </c>
      <c r="CS351" s="51"/>
      <c r="CT351" s="51"/>
      <c r="CU351" s="903"/>
      <c r="CV351" s="1294" t="s">
        <v>322</v>
      </c>
      <c r="CZ351" s="1069">
        <f>CZ342/CZ349</f>
        <v>63.615850819627163</v>
      </c>
      <c r="DA351" s="51"/>
      <c r="DB351" s="51"/>
      <c r="DC351" s="903"/>
      <c r="DD351" s="1294" t="s">
        <v>322</v>
      </c>
      <c r="DH351" s="1069">
        <f>DH342/DH349</f>
        <v>63.615850819627163</v>
      </c>
      <c r="DI351" s="51"/>
      <c r="DJ351" s="51"/>
      <c r="DK351" s="903"/>
      <c r="DL351" s="1294" t="s">
        <v>322</v>
      </c>
      <c r="DP351" s="1069">
        <f>DP342/DP349</f>
        <v>63.615850819627163</v>
      </c>
      <c r="DQ351" s="51"/>
      <c r="DR351" s="51"/>
      <c r="DS351" s="903"/>
      <c r="DT351" s="1294" t="s">
        <v>322</v>
      </c>
      <c r="DX351" s="1069">
        <f>DX342/DX349</f>
        <v>63.615850819627163</v>
      </c>
      <c r="DY351" s="51"/>
      <c r="DZ351" s="51"/>
      <c r="EA351" s="903"/>
      <c r="EB351" s="1294" t="s">
        <v>322</v>
      </c>
      <c r="EF351" s="1069">
        <f>EF342/EF349</f>
        <v>63.615850819627163</v>
      </c>
      <c r="EG351" s="51"/>
      <c r="EH351" s="51"/>
      <c r="EI351" s="903"/>
      <c r="EJ351" s="1294" t="s">
        <v>322</v>
      </c>
      <c r="EN351" s="1069">
        <f>EN342/EN349</f>
        <v>63.615850819627163</v>
      </c>
      <c r="EO351" s="51"/>
      <c r="EP351" s="51"/>
      <c r="EQ351" s="903"/>
      <c r="ER351" s="1294" t="s">
        <v>322</v>
      </c>
      <c r="EV351" s="1069">
        <f>EV342/EV349</f>
        <v>63.615850819627163</v>
      </c>
      <c r="EW351" s="51"/>
      <c r="EX351" s="51"/>
      <c r="EY351" s="903"/>
      <c r="EZ351" s="1294" t="s">
        <v>322</v>
      </c>
      <c r="FD351" s="1069">
        <f>FD342/FD349</f>
        <v>63.615850819627163</v>
      </c>
      <c r="FE351" s="51"/>
      <c r="FF351" s="51"/>
      <c r="FG351" s="903"/>
      <c r="FH351" s="1294" t="s">
        <v>322</v>
      </c>
      <c r="FL351" s="1069">
        <f>FL342/FL349</f>
        <v>63.615850819627163</v>
      </c>
      <c r="FM351" s="51"/>
      <c r="FN351" s="51"/>
      <c r="FO351" s="903"/>
    </row>
    <row r="352" spans="1:171" ht="17.25" thickTop="1" thickBot="1">
      <c r="A352" s="1"/>
      <c r="B352" s="1"/>
      <c r="C352" s="1"/>
      <c r="D352" s="1"/>
      <c r="E352" s="1"/>
      <c r="F352" s="1"/>
      <c r="G352" s="1"/>
      <c r="H352" s="1"/>
      <c r="I352" s="1"/>
      <c r="J352" s="1"/>
      <c r="K352" s="903"/>
      <c r="L352" s="1294" t="s">
        <v>687</v>
      </c>
      <c r="P352" s="1156">
        <f>(P351-$H351)/$H$351</f>
        <v>0.1778127094596923</v>
      </c>
      <c r="S352" s="903"/>
      <c r="T352" s="1294" t="s">
        <v>687</v>
      </c>
      <c r="X352" s="1156">
        <f>(X351-$H351)/$H$351</f>
        <v>0.1778127094596923</v>
      </c>
      <c r="AA352" s="903"/>
      <c r="AB352" s="1294" t="s">
        <v>687</v>
      </c>
      <c r="AF352" s="1156">
        <f>(AF351-$H351)/$H$351</f>
        <v>0.1778127094596923</v>
      </c>
      <c r="AI352" s="903"/>
      <c r="AJ352" s="1294" t="s">
        <v>687</v>
      </c>
      <c r="AN352" s="1156">
        <f>(AN351-$H351)/$H$351</f>
        <v>0.1778127094596923</v>
      </c>
      <c r="AQ352" s="903"/>
      <c r="AR352" s="1294" t="s">
        <v>687</v>
      </c>
      <c r="AV352" s="1156">
        <f>(AV351-$H351)/$H$351</f>
        <v>0.1778127094596923</v>
      </c>
      <c r="AY352" s="903"/>
      <c r="AZ352" s="1294" t="s">
        <v>687</v>
      </c>
      <c r="BD352" s="1156">
        <f>(BD351-$H351)/$H$351</f>
        <v>0.1778127094596923</v>
      </c>
      <c r="BG352" s="903"/>
      <c r="BH352" s="1294" t="s">
        <v>687</v>
      </c>
      <c r="BL352" s="1156">
        <f>(BL351-$H351)/$H$351</f>
        <v>0.1778127094596923</v>
      </c>
      <c r="BO352" s="903"/>
      <c r="BP352" s="1294" t="s">
        <v>687</v>
      </c>
      <c r="BT352" s="1156">
        <f>(BT351-$H351)/$H$351</f>
        <v>0.1778127094596923</v>
      </c>
      <c r="BW352" s="903"/>
      <c r="BX352" s="1294" t="s">
        <v>687</v>
      </c>
      <c r="CB352" s="1156">
        <f>(CB351-$H351)/$H$351</f>
        <v>0.1778127094596923</v>
      </c>
      <c r="CE352" s="903"/>
      <c r="CF352" s="1294" t="s">
        <v>687</v>
      </c>
      <c r="CJ352" s="1156">
        <f>(CJ351-$H351)/$H$351</f>
        <v>0.1778127094596923</v>
      </c>
      <c r="CM352" s="903"/>
      <c r="CN352" s="1294" t="s">
        <v>687</v>
      </c>
      <c r="CO352" s="600"/>
      <c r="CR352" s="1156">
        <f>(CR351-$H351)/$H$351</f>
        <v>0.1778127094596923</v>
      </c>
      <c r="CU352" s="903"/>
      <c r="CV352" s="1294" t="s">
        <v>687</v>
      </c>
      <c r="CZ352" s="1156">
        <f>(CZ351-$H351)/$H$351</f>
        <v>0.1778127094596923</v>
      </c>
      <c r="DC352" s="903"/>
      <c r="DD352" s="1294" t="s">
        <v>687</v>
      </c>
      <c r="DH352" s="1156">
        <f>(DH351-$H351)/$H$351</f>
        <v>0.1778127094596923</v>
      </c>
      <c r="DK352" s="903"/>
      <c r="DL352" s="1294" t="s">
        <v>687</v>
      </c>
      <c r="DP352" s="1156">
        <f>(DP351-$H351)/$H$351</f>
        <v>0.1778127094596923</v>
      </c>
      <c r="DS352" s="903"/>
      <c r="DT352" s="1294" t="s">
        <v>687</v>
      </c>
      <c r="DX352" s="1156">
        <f>(DX351-$H351)/$H$351</f>
        <v>0.1778127094596923</v>
      </c>
      <c r="EA352" s="903"/>
      <c r="EB352" s="1294" t="s">
        <v>687</v>
      </c>
      <c r="EF352" s="1156">
        <f>(EF351-$H351)/$H$351</f>
        <v>0.1778127094596923</v>
      </c>
      <c r="EI352" s="903"/>
      <c r="EJ352" s="1294" t="s">
        <v>687</v>
      </c>
      <c r="EN352" s="1156">
        <f>(EN351-$H351)/$H$351</f>
        <v>0.1778127094596923</v>
      </c>
      <c r="EQ352" s="903"/>
      <c r="ER352" s="1294" t="s">
        <v>687</v>
      </c>
      <c r="EV352" s="1156">
        <f>(EV351-$H351)/$H$351</f>
        <v>0.1778127094596923</v>
      </c>
      <c r="EY352" s="903"/>
      <c r="EZ352" s="1294" t="s">
        <v>687</v>
      </c>
      <c r="FD352" s="1156">
        <f>(FD351-$H351)/$H$351</f>
        <v>0.1778127094596923</v>
      </c>
      <c r="FG352" s="903"/>
      <c r="FH352" s="1294" t="s">
        <v>687</v>
      </c>
      <c r="FL352" s="1156">
        <f>(FL351-$H351)/$H$351</f>
        <v>0.1778127094596923</v>
      </c>
      <c r="FO352" s="903"/>
    </row>
    <row r="353" spans="11:171" ht="16.5" thickTop="1">
      <c r="K353" s="903"/>
      <c r="S353" s="903"/>
      <c r="AA353" s="903"/>
      <c r="AI353" s="903"/>
      <c r="AQ353" s="903"/>
      <c r="AY353" s="903"/>
      <c r="BG353" s="903"/>
      <c r="BO353" s="903"/>
      <c r="BW353" s="903"/>
      <c r="CE353" s="903"/>
      <c r="CM353" s="903"/>
      <c r="CU353" s="903"/>
      <c r="DC353" s="903"/>
      <c r="DK353" s="903"/>
      <c r="DS353" s="903"/>
      <c r="EA353" s="903"/>
      <c r="EI353" s="903"/>
      <c r="EQ353" s="903"/>
      <c r="EY353" s="903"/>
      <c r="FG353" s="903"/>
      <c r="FO353" s="903"/>
    </row>
    <row r="354" spans="11:171">
      <c r="K354" s="903"/>
      <c r="P354" s="1070" t="str">
        <f>IF(P352&gt;=0.025,"Material",IF(P352&gt;0.005,"Group","Not Material"))</f>
        <v>Material</v>
      </c>
      <c r="S354" s="903"/>
      <c r="X354" s="1070" t="str">
        <f>IF(X352&gt;=0.025,"Material",IF(X352&gt;0.005,"Group","Not Material"))</f>
        <v>Material</v>
      </c>
      <c r="AA354" s="903"/>
      <c r="AF354" s="1070" t="str">
        <f>IF(AF352&gt;=0.025,"Material",IF(AF352&gt;0.005,"Group","Not Material"))</f>
        <v>Material</v>
      </c>
      <c r="AI354" s="903"/>
      <c r="AN354" s="1070" t="str">
        <f>IF(AN352&gt;=0.025,"Material",IF(AN352&gt;0.005,"Group","Not Material"))</f>
        <v>Material</v>
      </c>
      <c r="AQ354" s="903"/>
      <c r="AV354" s="1070" t="str">
        <f>IF(AV352&gt;=0.025,"Material",IF(AV352&gt;0.005,"Group","Not Material"))</f>
        <v>Material</v>
      </c>
      <c r="AY354" s="903"/>
      <c r="BD354" s="1070" t="str">
        <f>IF(BD352&gt;=0.025,"Material",IF(BD352&gt;0.005,"Group","Not Material"))</f>
        <v>Material</v>
      </c>
      <c r="BG354" s="903"/>
      <c r="BL354" s="1070" t="str">
        <f>IF(BL352&gt;=0.025,"Material",IF(BL352&gt;0.005,"Group","Not Material"))</f>
        <v>Material</v>
      </c>
      <c r="BO354" s="903"/>
      <c r="BT354" s="1070" t="str">
        <f>IF(BT352&gt;=0.025,"Material",IF(BT352&gt;0.005,"Group","Not Material"))</f>
        <v>Material</v>
      </c>
      <c r="BW354" s="903"/>
      <c r="CB354" s="1070" t="str">
        <f>IF(CB352&gt;=0.025,"Material",IF(CB352&gt;0.005,"Group","Not Material"))</f>
        <v>Material</v>
      </c>
      <c r="CE354" s="903"/>
      <c r="CJ354" s="1070" t="str">
        <f>IF(CJ352&gt;=0.025,"Material",IF(CJ352&gt;0.005,"Group","Not Material"))</f>
        <v>Material</v>
      </c>
      <c r="CM354" s="903"/>
      <c r="CR354" s="1070" t="str">
        <f>IF(CR352&gt;=0.025,"Material",IF(CR352&gt;0.005,"Group","Not Material"))</f>
        <v>Material</v>
      </c>
      <c r="CU354" s="903"/>
      <c r="CZ354" s="1070" t="str">
        <f>IF(CZ352&gt;=0.025,"Material",IF(CZ352&gt;0.005,"Group","Not Material"))</f>
        <v>Material</v>
      </c>
      <c r="DC354" s="903"/>
      <c r="DH354" s="1070" t="str">
        <f>IF(DH352&gt;=0.025,"Material",IF(DH352&gt;0.005,"Group","Not Material"))</f>
        <v>Material</v>
      </c>
      <c r="DK354" s="903"/>
      <c r="DP354" s="1070" t="str">
        <f>IF(DP352&gt;=0.025,"Material",IF(DP352&gt;0.005,"Group","Not Material"))</f>
        <v>Material</v>
      </c>
      <c r="DS354" s="903"/>
      <c r="DX354" s="1070" t="str">
        <f>IF(DX352&gt;=0.025,"Material",IF(DX352&gt;0.005,"Group","Not Material"))</f>
        <v>Material</v>
      </c>
      <c r="EA354" s="903"/>
      <c r="EF354" s="1070" t="str">
        <f>IF(EF352&gt;=0.025,"Material",IF(EF352&gt;0.005,"Group","Not Material"))</f>
        <v>Material</v>
      </c>
      <c r="EI354" s="903"/>
      <c r="EN354" s="1070" t="str">
        <f>IF(EN352&gt;=0.025,"Material",IF(EN352&gt;0.005,"Group","Not Material"))</f>
        <v>Material</v>
      </c>
      <c r="EQ354" s="903"/>
      <c r="EV354" s="1070" t="str">
        <f>IF(EV352&gt;=0.025,"Material",IF(EV352&gt;0.005,"Group","Not Material"))</f>
        <v>Material</v>
      </c>
      <c r="EY354" s="903"/>
      <c r="FD354" s="1070" t="str">
        <f>IF(FD352&gt;=0.025,"Material",IF(FD352&gt;0.005,"Group","Not Material"))</f>
        <v>Material</v>
      </c>
      <c r="FG354" s="903"/>
      <c r="FL354" s="1070" t="str">
        <f>IF(FL352&gt;=0.025,"Material",IF(FL352&gt;0.005,"Group","Not Material"))</f>
        <v>Material</v>
      </c>
      <c r="FO354" s="903"/>
    </row>
    <row r="355" spans="11:171">
      <c r="K355" s="903"/>
      <c r="S355" s="903"/>
      <c r="AA355" s="903"/>
      <c r="AI355" s="903"/>
      <c r="AQ355" s="903"/>
      <c r="AY355" s="903"/>
      <c r="BG355" s="903"/>
      <c r="BO355" s="903"/>
      <c r="BW355" s="903"/>
      <c r="CE355" s="903"/>
      <c r="CM355" s="903"/>
      <c r="CU355" s="903"/>
      <c r="DC355" s="903"/>
      <c r="DK355" s="903"/>
      <c r="DS355" s="903"/>
      <c r="EA355" s="903"/>
      <c r="EI355" s="903"/>
      <c r="EQ355" s="903"/>
      <c r="EY355" s="903"/>
      <c r="FG355" s="903"/>
      <c r="FO355" s="903"/>
    </row>
    <row r="356" spans="11:171">
      <c r="K356" s="903"/>
      <c r="S356" s="903"/>
      <c r="AA356" s="903"/>
      <c r="AI356" s="903"/>
      <c r="AQ356" s="903"/>
      <c r="AY356" s="903"/>
      <c r="BG356" s="903"/>
      <c r="BO356" s="903"/>
      <c r="BW356" s="903"/>
      <c r="CE356" s="903"/>
      <c r="CM356" s="903"/>
      <c r="CU356" s="903"/>
      <c r="DC356" s="903"/>
      <c r="DK356" s="903"/>
      <c r="DS356" s="903"/>
      <c r="EA356" s="903"/>
      <c r="EI356" s="903"/>
      <c r="EQ356" s="903"/>
      <c r="EY356" s="903"/>
      <c r="FG356" s="903"/>
      <c r="FO356" s="903"/>
    </row>
    <row r="357" spans="11:171">
      <c r="K357" s="903"/>
      <c r="S357" s="903"/>
      <c r="AA357" s="903"/>
      <c r="AI357" s="903"/>
      <c r="AQ357" s="903"/>
      <c r="AY357" s="903"/>
      <c r="BG357" s="903"/>
      <c r="BO357" s="903"/>
      <c r="BW357" s="903"/>
      <c r="CE357" s="903"/>
      <c r="CM357" s="903"/>
      <c r="CU357" s="903"/>
      <c r="DC357" s="903"/>
      <c r="DK357" s="903"/>
      <c r="DS357" s="903"/>
      <c r="EA357" s="903"/>
      <c r="EI357" s="903"/>
      <c r="EQ357" s="903"/>
      <c r="EY357" s="903"/>
      <c r="FG357" s="903"/>
      <c r="FO357" s="903"/>
    </row>
    <row r="358" spans="11:171">
      <c r="K358" s="903"/>
      <c r="S358" s="903"/>
      <c r="AA358" s="903"/>
      <c r="AI358" s="903"/>
      <c r="AQ358" s="903"/>
      <c r="AY358" s="903"/>
      <c r="BG358" s="903"/>
      <c r="BO358" s="903"/>
      <c r="BW358" s="903"/>
      <c r="CE358" s="903"/>
      <c r="CM358" s="903"/>
      <c r="CU358" s="903"/>
      <c r="DC358" s="903"/>
      <c r="DK358" s="903"/>
      <c r="DS358" s="903"/>
      <c r="EA358" s="903"/>
      <c r="EI358" s="903"/>
      <c r="EQ358" s="903"/>
      <c r="EY358" s="903"/>
      <c r="FG358" s="903"/>
      <c r="FO358" s="903"/>
    </row>
    <row r="359" spans="11:171">
      <c r="K359" s="903"/>
      <c r="S359" s="903"/>
      <c r="AA359" s="903"/>
      <c r="AI359" s="903"/>
      <c r="AQ359" s="903"/>
      <c r="AY359" s="903"/>
      <c r="BG359" s="903"/>
      <c r="BO359" s="903"/>
      <c r="BW359" s="903"/>
      <c r="CE359" s="903"/>
      <c r="CM359" s="903"/>
      <c r="CU359" s="903"/>
      <c r="DC359" s="903"/>
      <c r="DK359" s="903"/>
      <c r="DS359" s="903"/>
      <c r="EA359" s="903"/>
      <c r="EI359" s="903"/>
      <c r="EQ359" s="903"/>
      <c r="EY359" s="903"/>
      <c r="FG359" s="903"/>
      <c r="FO359" s="903"/>
    </row>
    <row r="360" spans="11:171">
      <c r="K360" s="903"/>
      <c r="S360" s="903"/>
      <c r="AA360" s="903"/>
      <c r="AI360" s="903"/>
      <c r="AQ360" s="903"/>
      <c r="AY360" s="903"/>
      <c r="BG360" s="903"/>
      <c r="BO360" s="903"/>
      <c r="BW360" s="903"/>
      <c r="CE360" s="903"/>
      <c r="CM360" s="903"/>
      <c r="CU360" s="903"/>
      <c r="DC360" s="903"/>
      <c r="DK360" s="903"/>
      <c r="DS360" s="903"/>
      <c r="EA360" s="903"/>
      <c r="EI360" s="903"/>
      <c r="EQ360" s="903"/>
      <c r="EY360" s="903"/>
      <c r="FG360" s="903"/>
      <c r="FO360" s="903"/>
    </row>
    <row r="361" spans="11:171">
      <c r="K361" s="903"/>
      <c r="S361" s="903"/>
      <c r="AA361" s="903"/>
      <c r="AI361" s="903"/>
      <c r="AQ361" s="903"/>
      <c r="AY361" s="903"/>
      <c r="BG361" s="903"/>
      <c r="BO361" s="903"/>
      <c r="BW361" s="903"/>
      <c r="CE361" s="903"/>
      <c r="CM361" s="903"/>
      <c r="CU361" s="903"/>
      <c r="DC361" s="903"/>
      <c r="DK361" s="903"/>
      <c r="DS361" s="903"/>
      <c r="EA361" s="903"/>
      <c r="EI361" s="903"/>
      <c r="EQ361" s="903"/>
      <c r="EY361" s="903"/>
      <c r="FG361" s="903"/>
      <c r="FO361" s="903"/>
    </row>
    <row r="362" spans="11:171">
      <c r="K362" s="903"/>
      <c r="S362" s="903"/>
      <c r="AA362" s="903"/>
      <c r="AI362" s="903"/>
      <c r="AQ362" s="903"/>
      <c r="AY362" s="903"/>
      <c r="BG362" s="903"/>
      <c r="BO362" s="903"/>
      <c r="BW362" s="903"/>
      <c r="CE362" s="903"/>
      <c r="CM362" s="903"/>
      <c r="CU362" s="903"/>
      <c r="DC362" s="903"/>
      <c r="DK362" s="903"/>
      <c r="DS362" s="903"/>
      <c r="EA362" s="903"/>
      <c r="EI362" s="903"/>
      <c r="EQ362" s="903"/>
      <c r="EY362" s="903"/>
      <c r="FG362" s="903"/>
      <c r="FO362" s="903"/>
    </row>
    <row r="363" spans="11:171">
      <c r="K363" s="903"/>
      <c r="S363" s="903"/>
      <c r="AA363" s="903"/>
      <c r="AI363" s="903"/>
      <c r="AQ363" s="903"/>
      <c r="AY363" s="903"/>
      <c r="BG363" s="903"/>
      <c r="BO363" s="903"/>
      <c r="BW363" s="903"/>
      <c r="CE363" s="903"/>
      <c r="CM363" s="903"/>
      <c r="CU363" s="903"/>
      <c r="DC363" s="903"/>
      <c r="DK363" s="903"/>
      <c r="DS363" s="903"/>
      <c r="EA363" s="903"/>
      <c r="EI363" s="903"/>
      <c r="EQ363" s="903"/>
      <c r="EY363" s="903"/>
      <c r="FG363" s="903"/>
      <c r="FO363" s="903"/>
    </row>
    <row r="364" spans="11:171">
      <c r="K364" s="903"/>
      <c r="S364" s="903"/>
      <c r="AA364" s="903"/>
      <c r="AI364" s="903"/>
      <c r="AQ364" s="903"/>
      <c r="AY364" s="903"/>
      <c r="BG364" s="903"/>
      <c r="BO364" s="903"/>
      <c r="BW364" s="903"/>
      <c r="CE364" s="903"/>
      <c r="CM364" s="903"/>
      <c r="CU364" s="903"/>
      <c r="DC364" s="903"/>
      <c r="DK364" s="903"/>
      <c r="DS364" s="903"/>
      <c r="EA364" s="903"/>
      <c r="EI364" s="903"/>
      <c r="EQ364" s="903"/>
      <c r="EY364" s="903"/>
      <c r="FG364" s="903"/>
      <c r="FO364" s="903"/>
    </row>
    <row r="365" spans="11:171">
      <c r="K365" s="903"/>
      <c r="S365" s="903"/>
      <c r="AA365" s="903"/>
      <c r="AI365" s="903"/>
      <c r="AQ365" s="903"/>
      <c r="AY365" s="903"/>
      <c r="BG365" s="903"/>
      <c r="BO365" s="903"/>
      <c r="BW365" s="903"/>
      <c r="CE365" s="903"/>
      <c r="CM365" s="903"/>
      <c r="CU365" s="903"/>
      <c r="DC365" s="903"/>
      <c r="DK365" s="903"/>
      <c r="DS365" s="903"/>
      <c r="EA365" s="903"/>
      <c r="EI365" s="903"/>
      <c r="EQ365" s="903"/>
      <c r="EY365" s="903"/>
      <c r="FG365" s="903"/>
      <c r="FO365" s="903"/>
    </row>
    <row r="366" spans="11:171">
      <c r="K366" s="903"/>
      <c r="S366" s="903"/>
      <c r="AA366" s="903"/>
      <c r="AI366" s="903"/>
      <c r="AQ366" s="903"/>
      <c r="AY366" s="903"/>
      <c r="BG366" s="903"/>
      <c r="BO366" s="903"/>
      <c r="BW366" s="903"/>
      <c r="CE366" s="903"/>
      <c r="CM366" s="903"/>
      <c r="CU366" s="903"/>
      <c r="DC366" s="903"/>
      <c r="DK366" s="903"/>
      <c r="DS366" s="903"/>
      <c r="EA366" s="903"/>
      <c r="EI366" s="903"/>
      <c r="EQ366" s="903"/>
      <c r="EY366" s="903"/>
      <c r="FG366" s="903"/>
      <c r="FO366" s="903"/>
    </row>
    <row r="367" spans="11:171">
      <c r="K367" s="903"/>
      <c r="S367" s="903"/>
      <c r="AA367" s="903"/>
      <c r="AI367" s="903"/>
      <c r="AQ367" s="903"/>
      <c r="AY367" s="903"/>
      <c r="BG367" s="903"/>
      <c r="BO367" s="903"/>
      <c r="BW367" s="903"/>
      <c r="CE367" s="903"/>
      <c r="CM367" s="903"/>
      <c r="CU367" s="903"/>
      <c r="DC367" s="903"/>
      <c r="DK367" s="903"/>
      <c r="DS367" s="903"/>
      <c r="EA367" s="903"/>
      <c r="EI367" s="903"/>
      <c r="EQ367" s="903"/>
      <c r="EY367" s="903"/>
      <c r="FG367" s="903"/>
      <c r="FO367" s="903"/>
    </row>
    <row r="368" spans="11:171">
      <c r="K368" s="903"/>
      <c r="S368" s="903"/>
      <c r="AA368" s="903"/>
      <c r="AI368" s="903"/>
      <c r="AQ368" s="903"/>
      <c r="AY368" s="903"/>
      <c r="BG368" s="903"/>
      <c r="BO368" s="903"/>
      <c r="BW368" s="903"/>
      <c r="CE368" s="903"/>
      <c r="CM368" s="903"/>
      <c r="CU368" s="903"/>
      <c r="DC368" s="903"/>
      <c r="DK368" s="903"/>
      <c r="DS368" s="903"/>
      <c r="EA368" s="903"/>
      <c r="EI368" s="903"/>
      <c r="EQ368" s="903"/>
      <c r="EY368" s="903"/>
      <c r="FG368" s="903"/>
      <c r="FO368" s="903"/>
    </row>
    <row r="369" spans="2:171" ht="18.75">
      <c r="D369" s="1647"/>
      <c r="E369" s="302" t="s">
        <v>525</v>
      </c>
      <c r="G369" s="303" t="s">
        <v>104</v>
      </c>
      <c r="H369" s="303" t="s">
        <v>105</v>
      </c>
      <c r="I369" s="303" t="s">
        <v>106</v>
      </c>
      <c r="J369" s="304" t="s">
        <v>516</v>
      </c>
      <c r="K369" s="903"/>
      <c r="O369" s="303" t="s">
        <v>104</v>
      </c>
      <c r="P369" s="303" t="s">
        <v>105</v>
      </c>
      <c r="Q369" s="303" t="s">
        <v>106</v>
      </c>
      <c r="R369" s="304" t="s">
        <v>516</v>
      </c>
      <c r="S369" s="903"/>
      <c r="W369" s="303" t="s">
        <v>104</v>
      </c>
      <c r="X369" s="303" t="s">
        <v>105</v>
      </c>
      <c r="Y369" s="303" t="s">
        <v>106</v>
      </c>
      <c r="Z369" s="304" t="s">
        <v>516</v>
      </c>
      <c r="AA369" s="903"/>
      <c r="AE369" s="303" t="s">
        <v>104</v>
      </c>
      <c r="AF369" s="303" t="s">
        <v>105</v>
      </c>
      <c r="AG369" s="303" t="s">
        <v>106</v>
      </c>
      <c r="AH369" s="304" t="s">
        <v>516</v>
      </c>
      <c r="AI369" s="903"/>
      <c r="AM369" s="303" t="s">
        <v>104</v>
      </c>
      <c r="AN369" s="303" t="s">
        <v>105</v>
      </c>
      <c r="AO369" s="303" t="s">
        <v>106</v>
      </c>
      <c r="AP369" s="304" t="s">
        <v>516</v>
      </c>
      <c r="AQ369" s="903"/>
      <c r="AU369" s="303" t="s">
        <v>104</v>
      </c>
      <c r="AV369" s="303" t="s">
        <v>105</v>
      </c>
      <c r="AW369" s="303" t="s">
        <v>106</v>
      </c>
      <c r="AX369" s="304" t="s">
        <v>516</v>
      </c>
      <c r="AY369" s="903"/>
      <c r="BC369" s="303" t="s">
        <v>104</v>
      </c>
      <c r="BD369" s="303" t="s">
        <v>105</v>
      </c>
      <c r="BE369" s="303" t="s">
        <v>106</v>
      </c>
      <c r="BF369" s="304" t="s">
        <v>516</v>
      </c>
      <c r="BG369" s="903"/>
      <c r="BK369" s="303" t="s">
        <v>104</v>
      </c>
      <c r="BL369" s="303" t="s">
        <v>105</v>
      </c>
      <c r="BM369" s="303" t="s">
        <v>106</v>
      </c>
      <c r="BN369" s="304" t="s">
        <v>516</v>
      </c>
      <c r="BO369" s="903"/>
      <c r="BS369" s="303" t="s">
        <v>104</v>
      </c>
      <c r="BT369" s="303" t="s">
        <v>105</v>
      </c>
      <c r="BU369" s="303" t="s">
        <v>106</v>
      </c>
      <c r="BV369" s="304" t="s">
        <v>516</v>
      </c>
      <c r="BW369" s="903"/>
      <c r="CA369" s="303" t="s">
        <v>104</v>
      </c>
      <c r="CB369" s="303" t="s">
        <v>105</v>
      </c>
      <c r="CC369" s="303" t="s">
        <v>106</v>
      </c>
      <c r="CD369" s="304" t="s">
        <v>516</v>
      </c>
      <c r="CE369" s="903"/>
      <c r="CI369" s="303" t="s">
        <v>104</v>
      </c>
      <c r="CJ369" s="303" t="s">
        <v>105</v>
      </c>
      <c r="CK369" s="303" t="s">
        <v>106</v>
      </c>
      <c r="CL369" s="304" t="s">
        <v>516</v>
      </c>
      <c r="CM369" s="903"/>
      <c r="CQ369" s="303" t="s">
        <v>104</v>
      </c>
      <c r="CR369" s="303" t="s">
        <v>105</v>
      </c>
      <c r="CS369" s="303" t="s">
        <v>106</v>
      </c>
      <c r="CT369" s="304" t="s">
        <v>516</v>
      </c>
      <c r="CU369" s="903"/>
      <c r="CY369" s="303" t="s">
        <v>104</v>
      </c>
      <c r="CZ369" s="303" t="s">
        <v>105</v>
      </c>
      <c r="DA369" s="303" t="s">
        <v>106</v>
      </c>
      <c r="DB369" s="304" t="s">
        <v>516</v>
      </c>
      <c r="DC369" s="903"/>
      <c r="DG369" s="303" t="s">
        <v>104</v>
      </c>
      <c r="DH369" s="303" t="s">
        <v>105</v>
      </c>
      <c r="DI369" s="303" t="s">
        <v>106</v>
      </c>
      <c r="DJ369" s="304" t="s">
        <v>516</v>
      </c>
      <c r="DK369" s="903"/>
      <c r="DO369" s="303" t="s">
        <v>104</v>
      </c>
      <c r="DP369" s="303" t="s">
        <v>105</v>
      </c>
      <c r="DQ369" s="303" t="s">
        <v>106</v>
      </c>
      <c r="DR369" s="304" t="s">
        <v>516</v>
      </c>
      <c r="DS369" s="903"/>
      <c r="DW369" s="303" t="s">
        <v>104</v>
      </c>
      <c r="DX369" s="303" t="s">
        <v>105</v>
      </c>
      <c r="DY369" s="303" t="s">
        <v>106</v>
      </c>
      <c r="DZ369" s="304" t="s">
        <v>516</v>
      </c>
      <c r="EA369" s="903"/>
      <c r="EE369" s="303" t="s">
        <v>104</v>
      </c>
      <c r="EF369" s="303" t="s">
        <v>105</v>
      </c>
      <c r="EG369" s="303" t="s">
        <v>106</v>
      </c>
      <c r="EH369" s="304" t="s">
        <v>516</v>
      </c>
      <c r="EI369" s="903"/>
      <c r="EM369" s="303" t="s">
        <v>104</v>
      </c>
      <c r="EN369" s="303" t="s">
        <v>105</v>
      </c>
      <c r="EO369" s="303" t="s">
        <v>106</v>
      </c>
      <c r="EP369" s="304" t="s">
        <v>516</v>
      </c>
      <c r="EQ369" s="903"/>
      <c r="EU369" s="303" t="s">
        <v>104</v>
      </c>
      <c r="EV369" s="303" t="s">
        <v>105</v>
      </c>
      <c r="EW369" s="303" t="s">
        <v>106</v>
      </c>
      <c r="EX369" s="304" t="s">
        <v>516</v>
      </c>
      <c r="EY369" s="903"/>
      <c r="FC369" s="303" t="s">
        <v>104</v>
      </c>
      <c r="FD369" s="303" t="s">
        <v>105</v>
      </c>
      <c r="FE369" s="303" t="s">
        <v>106</v>
      </c>
      <c r="FF369" s="304" t="s">
        <v>516</v>
      </c>
      <c r="FG369" s="903"/>
      <c r="FK369" s="303" t="s">
        <v>104</v>
      </c>
      <c r="FL369" s="303" t="s">
        <v>105</v>
      </c>
      <c r="FM369" s="303" t="s">
        <v>106</v>
      </c>
      <c r="FN369" s="304" t="s">
        <v>516</v>
      </c>
      <c r="FO369" s="903"/>
    </row>
    <row r="370" spans="2:171" ht="18.75">
      <c r="B370" s="1646" t="s">
        <v>521</v>
      </c>
      <c r="C370" s="108" t="s">
        <v>105</v>
      </c>
      <c r="D370" s="108"/>
      <c r="E370" s="904" t="str">
        <f>Ratios!C13</f>
        <v>PROD</v>
      </c>
      <c r="G370" s="890">
        <f>Ratios!D13</f>
        <v>19893844</v>
      </c>
      <c r="H370" s="890">
        <f>Ratios!E13</f>
        <v>19893844</v>
      </c>
      <c r="I370" s="890">
        <f>Ratios!F13</f>
        <v>0</v>
      </c>
      <c r="J370" s="890">
        <f>Ratios!G13</f>
        <v>0</v>
      </c>
      <c r="K370" s="903">
        <f t="shared" ref="K370:K376" si="953">IF($E370="DIRECT",0,1)</f>
        <v>1</v>
      </c>
      <c r="O370" s="890">
        <f t="shared" ref="O370:O376" si="954">$G370</f>
        <v>19893844</v>
      </c>
      <c r="P370" s="890">
        <f t="shared" ref="P370:P375" si="955">$H370</f>
        <v>19893844</v>
      </c>
      <c r="Q370" s="890">
        <f t="shared" ref="Q370:Q375" si="956">$I370</f>
        <v>0</v>
      </c>
      <c r="R370" s="890">
        <f t="shared" ref="R370:R375" si="957">$J370</f>
        <v>0</v>
      </c>
      <c r="S370" s="903"/>
      <c r="W370" s="890">
        <f t="shared" ref="W370:W376" si="958">$G370</f>
        <v>19893844</v>
      </c>
      <c r="X370" s="890">
        <f t="shared" ref="X370:X375" si="959">$H370</f>
        <v>19893844</v>
      </c>
      <c r="Y370" s="890">
        <f t="shared" ref="Y370:Y375" si="960">$I370</f>
        <v>0</v>
      </c>
      <c r="Z370" s="890">
        <f t="shared" ref="Z370:Z375" si="961">$J370</f>
        <v>0</v>
      </c>
      <c r="AA370" s="903"/>
      <c r="AE370" s="890">
        <f t="shared" ref="AE370:AE376" si="962">$G370</f>
        <v>19893844</v>
      </c>
      <c r="AF370" s="890">
        <f t="shared" ref="AF370:AF375" si="963">$H370</f>
        <v>19893844</v>
      </c>
      <c r="AG370" s="890">
        <f t="shared" ref="AG370:AG375" si="964">$I370</f>
        <v>0</v>
      </c>
      <c r="AH370" s="890">
        <f t="shared" ref="AH370:AH375" si="965">$J370</f>
        <v>0</v>
      </c>
      <c r="AI370" s="903"/>
      <c r="AM370" s="890">
        <f t="shared" ref="AM370:AM376" si="966">$G370</f>
        <v>19893844</v>
      </c>
      <c r="AN370" s="890">
        <f t="shared" ref="AN370:AN375" si="967">$H370</f>
        <v>19893844</v>
      </c>
      <c r="AO370" s="890">
        <f t="shared" ref="AO370:AO375" si="968">$I370</f>
        <v>0</v>
      </c>
      <c r="AP370" s="890">
        <f t="shared" ref="AP370:AP375" si="969">$J370</f>
        <v>0</v>
      </c>
      <c r="AQ370" s="903"/>
      <c r="AU370" s="890">
        <f t="shared" ref="AU370:AU376" si="970">$G370</f>
        <v>19893844</v>
      </c>
      <c r="AV370" s="890">
        <f t="shared" ref="AV370:AV375" si="971">$H370</f>
        <v>19893844</v>
      </c>
      <c r="AW370" s="890">
        <f t="shared" ref="AW370:AW375" si="972">$I370</f>
        <v>0</v>
      </c>
      <c r="AX370" s="890">
        <f t="shared" ref="AX370:AX375" si="973">$J370</f>
        <v>0</v>
      </c>
      <c r="AY370" s="903"/>
      <c r="BC370" s="890">
        <f t="shared" ref="BC370:BC376" si="974">$G370</f>
        <v>19893844</v>
      </c>
      <c r="BD370" s="890">
        <f t="shared" ref="BD370:BD375" si="975">$H370</f>
        <v>19893844</v>
      </c>
      <c r="BE370" s="890">
        <f t="shared" ref="BE370:BE375" si="976">$I370</f>
        <v>0</v>
      </c>
      <c r="BF370" s="890">
        <f t="shared" ref="BF370:BF375" si="977">$J370</f>
        <v>0</v>
      </c>
      <c r="BG370" s="903"/>
      <c r="BK370" s="890">
        <f t="shared" ref="BK370:BK376" si="978">$G370</f>
        <v>19893844</v>
      </c>
      <c r="BL370" s="890">
        <f t="shared" ref="BL370:BL375" si="979">$H370</f>
        <v>19893844</v>
      </c>
      <c r="BM370" s="890">
        <f t="shared" ref="BM370:BM375" si="980">$I370</f>
        <v>0</v>
      </c>
      <c r="BN370" s="890">
        <f t="shared" ref="BN370:BN375" si="981">$J370</f>
        <v>0</v>
      </c>
      <c r="BO370" s="903"/>
      <c r="BS370" s="890">
        <f t="shared" ref="BS370:BS376" si="982">$G370</f>
        <v>19893844</v>
      </c>
      <c r="BT370" s="890">
        <f t="shared" ref="BT370:BT375" si="983">$H370</f>
        <v>19893844</v>
      </c>
      <c r="BU370" s="890">
        <f t="shared" ref="BU370:BU375" si="984">$I370</f>
        <v>0</v>
      </c>
      <c r="BV370" s="890">
        <f t="shared" ref="BV370:BV375" si="985">$J370</f>
        <v>0</v>
      </c>
      <c r="BW370" s="903"/>
      <c r="CA370" s="890">
        <f t="shared" ref="CA370:CA376" si="986">$G370</f>
        <v>19893844</v>
      </c>
      <c r="CB370" s="890">
        <f t="shared" ref="CB370:CB375" si="987">$H370</f>
        <v>19893844</v>
      </c>
      <c r="CC370" s="890">
        <f t="shared" ref="CC370:CC375" si="988">$I370</f>
        <v>0</v>
      </c>
      <c r="CD370" s="890">
        <f t="shared" ref="CD370:CD375" si="989">$J370</f>
        <v>0</v>
      </c>
      <c r="CE370" s="903"/>
      <c r="CI370" s="890">
        <f t="shared" ref="CI370:CI376" si="990">$G370</f>
        <v>19893844</v>
      </c>
      <c r="CJ370" s="890">
        <f t="shared" ref="CJ370:CJ375" si="991">$H370</f>
        <v>19893844</v>
      </c>
      <c r="CK370" s="890">
        <f t="shared" ref="CK370:CK375" si="992">$I370</f>
        <v>0</v>
      </c>
      <c r="CL370" s="890">
        <f t="shared" ref="CL370:CL375" si="993">$J370</f>
        <v>0</v>
      </c>
      <c r="CM370" s="903"/>
      <c r="CQ370" s="890">
        <f t="shared" ref="CQ370:CQ376" si="994">$G370</f>
        <v>19893844</v>
      </c>
      <c r="CR370" s="890">
        <f t="shared" ref="CR370:CR375" si="995">$H370</f>
        <v>19893844</v>
      </c>
      <c r="CS370" s="890">
        <f t="shared" ref="CS370:CS375" si="996">$I370</f>
        <v>0</v>
      </c>
      <c r="CT370" s="890">
        <f t="shared" ref="CT370:CT375" si="997">$J370</f>
        <v>0</v>
      </c>
      <c r="CU370" s="903"/>
      <c r="CY370" s="890">
        <f t="shared" ref="CY370:CY376" si="998">$G370</f>
        <v>19893844</v>
      </c>
      <c r="CZ370" s="890">
        <f t="shared" ref="CZ370:CZ375" si="999">$H370</f>
        <v>19893844</v>
      </c>
      <c r="DA370" s="890">
        <f t="shared" ref="DA370:DA375" si="1000">$I370</f>
        <v>0</v>
      </c>
      <c r="DB370" s="890">
        <f t="shared" ref="DB370:DB375" si="1001">$J370</f>
        <v>0</v>
      </c>
      <c r="DC370" s="903"/>
      <c r="DG370" s="890">
        <f t="shared" ref="DG370:DG376" si="1002">$G370</f>
        <v>19893844</v>
      </c>
      <c r="DH370" s="890">
        <f t="shared" ref="DH370:DH375" si="1003">$H370</f>
        <v>19893844</v>
      </c>
      <c r="DI370" s="890">
        <f t="shared" ref="DI370:DI375" si="1004">$I370</f>
        <v>0</v>
      </c>
      <c r="DJ370" s="890">
        <f t="shared" ref="DJ370:DJ375" si="1005">$J370</f>
        <v>0</v>
      </c>
      <c r="DK370" s="903"/>
      <c r="DO370" s="890">
        <f t="shared" ref="DO370:DO376" si="1006">$G370</f>
        <v>19893844</v>
      </c>
      <c r="DP370" s="890">
        <f t="shared" ref="DP370:DP375" si="1007">$H370</f>
        <v>19893844</v>
      </c>
      <c r="DQ370" s="890">
        <f t="shared" ref="DQ370:DQ375" si="1008">$I370</f>
        <v>0</v>
      </c>
      <c r="DR370" s="890">
        <f t="shared" ref="DR370:DR375" si="1009">$J370</f>
        <v>0</v>
      </c>
      <c r="DS370" s="903"/>
      <c r="DW370" s="890">
        <f t="shared" ref="DW370:DW376" si="1010">$G370</f>
        <v>19893844</v>
      </c>
      <c r="DX370" s="890">
        <f t="shared" ref="DX370:DX375" si="1011">$H370</f>
        <v>19893844</v>
      </c>
      <c r="DY370" s="890">
        <f t="shared" ref="DY370:DY375" si="1012">$I370</f>
        <v>0</v>
      </c>
      <c r="DZ370" s="890">
        <f t="shared" ref="DZ370:DZ375" si="1013">$J370</f>
        <v>0</v>
      </c>
      <c r="EA370" s="903"/>
      <c r="EE370" s="890">
        <f t="shared" ref="EE370:EE376" si="1014">$G370</f>
        <v>19893844</v>
      </c>
      <c r="EF370" s="890">
        <f t="shared" ref="EF370:EF375" si="1015">$H370</f>
        <v>19893844</v>
      </c>
      <c r="EG370" s="890">
        <f t="shared" ref="EG370:EG375" si="1016">$I370</f>
        <v>0</v>
      </c>
      <c r="EH370" s="890">
        <f t="shared" ref="EH370:EH375" si="1017">$J370</f>
        <v>0</v>
      </c>
      <c r="EI370" s="903"/>
      <c r="EM370" s="890">
        <f t="shared" ref="EM370:EM376" si="1018">$G370</f>
        <v>19893844</v>
      </c>
      <c r="EN370" s="890">
        <f t="shared" ref="EN370:EN375" si="1019">$H370</f>
        <v>19893844</v>
      </c>
      <c r="EO370" s="890">
        <f t="shared" ref="EO370:EO375" si="1020">$I370</f>
        <v>0</v>
      </c>
      <c r="EP370" s="890">
        <f t="shared" ref="EP370:EP375" si="1021">$J370</f>
        <v>0</v>
      </c>
      <c r="EQ370" s="903"/>
      <c r="EU370" s="890">
        <f t="shared" ref="EU370:EU376" si="1022">$G370</f>
        <v>19893844</v>
      </c>
      <c r="EV370" s="890">
        <f t="shared" ref="EV370:EV375" si="1023">$H370</f>
        <v>19893844</v>
      </c>
      <c r="EW370" s="890">
        <f t="shared" ref="EW370:EW375" si="1024">$I370</f>
        <v>0</v>
      </c>
      <c r="EX370" s="890">
        <f t="shared" ref="EX370:EX375" si="1025">$J370</f>
        <v>0</v>
      </c>
      <c r="EY370" s="903"/>
      <c r="FC370" s="890">
        <f t="shared" ref="FC370:FC376" si="1026">$G370</f>
        <v>19893844</v>
      </c>
      <c r="FD370" s="890">
        <f t="shared" ref="FD370:FD375" si="1027">$H370</f>
        <v>19893844</v>
      </c>
      <c r="FE370" s="890">
        <f t="shared" ref="FE370:FE375" si="1028">$I370</f>
        <v>0</v>
      </c>
      <c r="FF370" s="890">
        <f t="shared" ref="FF370:FF375" si="1029">$J370</f>
        <v>0</v>
      </c>
      <c r="FG370" s="903"/>
      <c r="FK370" s="890">
        <f t="shared" ref="FK370:FK376" si="1030">$G370</f>
        <v>19893844</v>
      </c>
      <c r="FL370" s="890">
        <f t="shared" ref="FL370:FL375" si="1031">$H370</f>
        <v>19893844</v>
      </c>
      <c r="FM370" s="890">
        <f t="shared" ref="FM370:FM375" si="1032">$I370</f>
        <v>0</v>
      </c>
      <c r="FN370" s="890">
        <f t="shared" ref="FN370:FN375" si="1033">$J370</f>
        <v>0</v>
      </c>
      <c r="FO370" s="903"/>
    </row>
    <row r="371" spans="2:171">
      <c r="B371" s="113"/>
      <c r="C371" s="108" t="s">
        <v>106</v>
      </c>
      <c r="D371" s="108"/>
      <c r="E371" s="904" t="str">
        <f>Ratios!C14</f>
        <v>TRANS</v>
      </c>
      <c r="G371" s="890">
        <f>Ratios!D14</f>
        <v>6611795</v>
      </c>
      <c r="H371" s="890">
        <f>Ratios!E14</f>
        <v>0</v>
      </c>
      <c r="I371" s="890">
        <f>Ratios!F14</f>
        <v>0</v>
      </c>
      <c r="J371" s="890">
        <f>Ratios!G14</f>
        <v>6611795</v>
      </c>
      <c r="K371" s="903">
        <f t="shared" si="953"/>
        <v>1</v>
      </c>
      <c r="O371" s="890">
        <f t="shared" si="954"/>
        <v>6611795</v>
      </c>
      <c r="P371" s="890">
        <f t="shared" si="955"/>
        <v>0</v>
      </c>
      <c r="Q371" s="890">
        <f t="shared" si="956"/>
        <v>0</v>
      </c>
      <c r="R371" s="890">
        <f t="shared" si="957"/>
        <v>6611795</v>
      </c>
      <c r="S371" s="903"/>
      <c r="W371" s="890">
        <f t="shared" si="958"/>
        <v>6611795</v>
      </c>
      <c r="X371" s="890">
        <f t="shared" si="959"/>
        <v>0</v>
      </c>
      <c r="Y371" s="890">
        <f t="shared" si="960"/>
        <v>0</v>
      </c>
      <c r="Z371" s="890">
        <f t="shared" si="961"/>
        <v>6611795</v>
      </c>
      <c r="AA371" s="903"/>
      <c r="AE371" s="890">
        <f t="shared" si="962"/>
        <v>6611795</v>
      </c>
      <c r="AF371" s="890">
        <f t="shared" si="963"/>
        <v>0</v>
      </c>
      <c r="AG371" s="890">
        <f t="shared" si="964"/>
        <v>0</v>
      </c>
      <c r="AH371" s="890">
        <f t="shared" si="965"/>
        <v>6611795</v>
      </c>
      <c r="AI371" s="903"/>
      <c r="AM371" s="890">
        <f t="shared" si="966"/>
        <v>6611795</v>
      </c>
      <c r="AN371" s="890">
        <f t="shared" si="967"/>
        <v>0</v>
      </c>
      <c r="AO371" s="890">
        <f t="shared" si="968"/>
        <v>0</v>
      </c>
      <c r="AP371" s="890">
        <f t="shared" si="969"/>
        <v>6611795</v>
      </c>
      <c r="AQ371" s="903"/>
      <c r="AU371" s="890">
        <f t="shared" si="970"/>
        <v>6611795</v>
      </c>
      <c r="AV371" s="890">
        <f t="shared" si="971"/>
        <v>0</v>
      </c>
      <c r="AW371" s="890">
        <f t="shared" si="972"/>
        <v>0</v>
      </c>
      <c r="AX371" s="890">
        <f t="shared" si="973"/>
        <v>6611795</v>
      </c>
      <c r="AY371" s="903"/>
      <c r="BC371" s="890">
        <f t="shared" si="974"/>
        <v>6611795</v>
      </c>
      <c r="BD371" s="890">
        <f t="shared" si="975"/>
        <v>0</v>
      </c>
      <c r="BE371" s="890">
        <f t="shared" si="976"/>
        <v>0</v>
      </c>
      <c r="BF371" s="890">
        <f t="shared" si="977"/>
        <v>6611795</v>
      </c>
      <c r="BG371" s="903"/>
      <c r="BK371" s="890">
        <f t="shared" si="978"/>
        <v>6611795</v>
      </c>
      <c r="BL371" s="890">
        <f t="shared" si="979"/>
        <v>0</v>
      </c>
      <c r="BM371" s="890">
        <f t="shared" si="980"/>
        <v>0</v>
      </c>
      <c r="BN371" s="890">
        <f t="shared" si="981"/>
        <v>6611795</v>
      </c>
      <c r="BO371" s="903"/>
      <c r="BS371" s="890">
        <f t="shared" si="982"/>
        <v>6611795</v>
      </c>
      <c r="BT371" s="890">
        <f t="shared" si="983"/>
        <v>0</v>
      </c>
      <c r="BU371" s="890">
        <f t="shared" si="984"/>
        <v>0</v>
      </c>
      <c r="BV371" s="890">
        <f t="shared" si="985"/>
        <v>6611795</v>
      </c>
      <c r="BW371" s="903"/>
      <c r="CA371" s="890">
        <f t="shared" si="986"/>
        <v>6611795</v>
      </c>
      <c r="CB371" s="890">
        <f t="shared" si="987"/>
        <v>0</v>
      </c>
      <c r="CC371" s="890">
        <f t="shared" si="988"/>
        <v>0</v>
      </c>
      <c r="CD371" s="890">
        <f t="shared" si="989"/>
        <v>6611795</v>
      </c>
      <c r="CE371" s="903"/>
      <c r="CI371" s="890">
        <f t="shared" si="990"/>
        <v>6611795</v>
      </c>
      <c r="CJ371" s="890">
        <f t="shared" si="991"/>
        <v>0</v>
      </c>
      <c r="CK371" s="890">
        <f t="shared" si="992"/>
        <v>0</v>
      </c>
      <c r="CL371" s="890">
        <f t="shared" si="993"/>
        <v>6611795</v>
      </c>
      <c r="CM371" s="903"/>
      <c r="CQ371" s="890">
        <f t="shared" si="994"/>
        <v>6611795</v>
      </c>
      <c r="CR371" s="890">
        <f t="shared" si="995"/>
        <v>0</v>
      </c>
      <c r="CS371" s="890">
        <f t="shared" si="996"/>
        <v>0</v>
      </c>
      <c r="CT371" s="890">
        <f t="shared" si="997"/>
        <v>6611795</v>
      </c>
      <c r="CU371" s="903"/>
      <c r="CY371" s="890">
        <f t="shared" si="998"/>
        <v>6611795</v>
      </c>
      <c r="CZ371" s="890">
        <f t="shared" si="999"/>
        <v>0</v>
      </c>
      <c r="DA371" s="890">
        <f t="shared" si="1000"/>
        <v>0</v>
      </c>
      <c r="DB371" s="890">
        <f t="shared" si="1001"/>
        <v>6611795</v>
      </c>
      <c r="DC371" s="903"/>
      <c r="DG371" s="890">
        <f t="shared" si="1002"/>
        <v>6611795</v>
      </c>
      <c r="DH371" s="890">
        <f t="shared" si="1003"/>
        <v>0</v>
      </c>
      <c r="DI371" s="890">
        <f t="shared" si="1004"/>
        <v>0</v>
      </c>
      <c r="DJ371" s="890">
        <f t="shared" si="1005"/>
        <v>6611795</v>
      </c>
      <c r="DK371" s="903"/>
      <c r="DO371" s="890">
        <f t="shared" si="1006"/>
        <v>6611795</v>
      </c>
      <c r="DP371" s="890">
        <f t="shared" si="1007"/>
        <v>0</v>
      </c>
      <c r="DQ371" s="890">
        <f t="shared" si="1008"/>
        <v>0</v>
      </c>
      <c r="DR371" s="890">
        <f t="shared" si="1009"/>
        <v>6611795</v>
      </c>
      <c r="DS371" s="903"/>
      <c r="DW371" s="890">
        <f t="shared" si="1010"/>
        <v>6611795</v>
      </c>
      <c r="DX371" s="890">
        <f t="shared" si="1011"/>
        <v>0</v>
      </c>
      <c r="DY371" s="890">
        <f t="shared" si="1012"/>
        <v>0</v>
      </c>
      <c r="DZ371" s="890">
        <f t="shared" si="1013"/>
        <v>6611795</v>
      </c>
      <c r="EA371" s="903"/>
      <c r="EE371" s="890">
        <f t="shared" si="1014"/>
        <v>6611795</v>
      </c>
      <c r="EF371" s="890">
        <f t="shared" si="1015"/>
        <v>0</v>
      </c>
      <c r="EG371" s="890">
        <f t="shared" si="1016"/>
        <v>0</v>
      </c>
      <c r="EH371" s="890">
        <f t="shared" si="1017"/>
        <v>6611795</v>
      </c>
      <c r="EI371" s="903"/>
      <c r="EM371" s="890">
        <f t="shared" si="1018"/>
        <v>6611795</v>
      </c>
      <c r="EN371" s="890">
        <f t="shared" si="1019"/>
        <v>0</v>
      </c>
      <c r="EO371" s="890">
        <f t="shared" si="1020"/>
        <v>0</v>
      </c>
      <c r="EP371" s="890">
        <f t="shared" si="1021"/>
        <v>6611795</v>
      </c>
      <c r="EQ371" s="903"/>
      <c r="EU371" s="890">
        <f t="shared" si="1022"/>
        <v>6611795</v>
      </c>
      <c r="EV371" s="890">
        <f t="shared" si="1023"/>
        <v>0</v>
      </c>
      <c r="EW371" s="890">
        <f t="shared" si="1024"/>
        <v>0</v>
      </c>
      <c r="EX371" s="890">
        <f t="shared" si="1025"/>
        <v>6611795</v>
      </c>
      <c r="EY371" s="903"/>
      <c r="FC371" s="890">
        <f t="shared" si="1026"/>
        <v>6611795</v>
      </c>
      <c r="FD371" s="890">
        <f t="shared" si="1027"/>
        <v>0</v>
      </c>
      <c r="FE371" s="890">
        <f t="shared" si="1028"/>
        <v>0</v>
      </c>
      <c r="FF371" s="890">
        <f t="shared" si="1029"/>
        <v>6611795</v>
      </c>
      <c r="FG371" s="903"/>
      <c r="FK371" s="890">
        <f t="shared" si="1030"/>
        <v>6611795</v>
      </c>
      <c r="FL371" s="890">
        <f t="shared" si="1031"/>
        <v>0</v>
      </c>
      <c r="FM371" s="890">
        <f t="shared" si="1032"/>
        <v>0</v>
      </c>
      <c r="FN371" s="890">
        <f t="shared" si="1033"/>
        <v>6611795</v>
      </c>
      <c r="FO371" s="903"/>
    </row>
    <row r="372" spans="2:171">
      <c r="B372" s="113"/>
      <c r="C372" s="108" t="s">
        <v>516</v>
      </c>
      <c r="D372" s="108"/>
      <c r="E372" s="904" t="str">
        <f>Ratios!C15</f>
        <v>DIST</v>
      </c>
      <c r="G372" s="890">
        <f>Ratios!D15</f>
        <v>17025418</v>
      </c>
      <c r="H372" s="890">
        <f>Ratios!E15</f>
        <v>0</v>
      </c>
      <c r="I372" s="890">
        <f>Ratios!F15</f>
        <v>0</v>
      </c>
      <c r="J372" s="890">
        <f>Ratios!G15</f>
        <v>17025418</v>
      </c>
      <c r="K372" s="903">
        <f t="shared" si="953"/>
        <v>1</v>
      </c>
      <c r="O372" s="890">
        <f t="shared" si="954"/>
        <v>17025418</v>
      </c>
      <c r="P372" s="890">
        <f t="shared" si="955"/>
        <v>0</v>
      </c>
      <c r="Q372" s="890">
        <f t="shared" si="956"/>
        <v>0</v>
      </c>
      <c r="R372" s="890">
        <f t="shared" si="957"/>
        <v>17025418</v>
      </c>
      <c r="S372" s="903"/>
      <c r="W372" s="890">
        <f t="shared" si="958"/>
        <v>17025418</v>
      </c>
      <c r="X372" s="890">
        <f t="shared" si="959"/>
        <v>0</v>
      </c>
      <c r="Y372" s="890">
        <f t="shared" si="960"/>
        <v>0</v>
      </c>
      <c r="Z372" s="890">
        <f t="shared" si="961"/>
        <v>17025418</v>
      </c>
      <c r="AA372" s="903"/>
      <c r="AE372" s="890">
        <f t="shared" si="962"/>
        <v>17025418</v>
      </c>
      <c r="AF372" s="890">
        <f t="shared" si="963"/>
        <v>0</v>
      </c>
      <c r="AG372" s="890">
        <f t="shared" si="964"/>
        <v>0</v>
      </c>
      <c r="AH372" s="890">
        <f t="shared" si="965"/>
        <v>17025418</v>
      </c>
      <c r="AI372" s="903"/>
      <c r="AM372" s="890">
        <f t="shared" si="966"/>
        <v>17025418</v>
      </c>
      <c r="AN372" s="890">
        <f t="shared" si="967"/>
        <v>0</v>
      </c>
      <c r="AO372" s="890">
        <f t="shared" si="968"/>
        <v>0</v>
      </c>
      <c r="AP372" s="890">
        <f t="shared" si="969"/>
        <v>17025418</v>
      </c>
      <c r="AQ372" s="903"/>
      <c r="AU372" s="890">
        <f t="shared" si="970"/>
        <v>17025418</v>
      </c>
      <c r="AV372" s="890">
        <f t="shared" si="971"/>
        <v>0</v>
      </c>
      <c r="AW372" s="890">
        <f t="shared" si="972"/>
        <v>0</v>
      </c>
      <c r="AX372" s="890">
        <f t="shared" si="973"/>
        <v>17025418</v>
      </c>
      <c r="AY372" s="903"/>
      <c r="BC372" s="890">
        <f t="shared" si="974"/>
        <v>17025418</v>
      </c>
      <c r="BD372" s="890">
        <f t="shared" si="975"/>
        <v>0</v>
      </c>
      <c r="BE372" s="890">
        <f t="shared" si="976"/>
        <v>0</v>
      </c>
      <c r="BF372" s="890">
        <f t="shared" si="977"/>
        <v>17025418</v>
      </c>
      <c r="BG372" s="903"/>
      <c r="BK372" s="890">
        <f t="shared" si="978"/>
        <v>17025418</v>
      </c>
      <c r="BL372" s="890">
        <f t="shared" si="979"/>
        <v>0</v>
      </c>
      <c r="BM372" s="890">
        <f t="shared" si="980"/>
        <v>0</v>
      </c>
      <c r="BN372" s="890">
        <f t="shared" si="981"/>
        <v>17025418</v>
      </c>
      <c r="BO372" s="903"/>
      <c r="BS372" s="890">
        <f t="shared" si="982"/>
        <v>17025418</v>
      </c>
      <c r="BT372" s="890">
        <f t="shared" si="983"/>
        <v>0</v>
      </c>
      <c r="BU372" s="890">
        <f t="shared" si="984"/>
        <v>0</v>
      </c>
      <c r="BV372" s="890">
        <f t="shared" si="985"/>
        <v>17025418</v>
      </c>
      <c r="BW372" s="903"/>
      <c r="CA372" s="890">
        <f t="shared" si="986"/>
        <v>17025418</v>
      </c>
      <c r="CB372" s="890">
        <f t="shared" si="987"/>
        <v>0</v>
      </c>
      <c r="CC372" s="890">
        <f t="shared" si="988"/>
        <v>0</v>
      </c>
      <c r="CD372" s="890">
        <f t="shared" si="989"/>
        <v>17025418</v>
      </c>
      <c r="CE372" s="903"/>
      <c r="CI372" s="890">
        <f t="shared" si="990"/>
        <v>17025418</v>
      </c>
      <c r="CJ372" s="890">
        <f t="shared" si="991"/>
        <v>0</v>
      </c>
      <c r="CK372" s="890">
        <f t="shared" si="992"/>
        <v>0</v>
      </c>
      <c r="CL372" s="890">
        <f t="shared" si="993"/>
        <v>17025418</v>
      </c>
      <c r="CM372" s="903"/>
      <c r="CQ372" s="890">
        <f t="shared" si="994"/>
        <v>17025418</v>
      </c>
      <c r="CR372" s="890">
        <f t="shared" si="995"/>
        <v>0</v>
      </c>
      <c r="CS372" s="890">
        <f t="shared" si="996"/>
        <v>0</v>
      </c>
      <c r="CT372" s="890">
        <f t="shared" si="997"/>
        <v>17025418</v>
      </c>
      <c r="CU372" s="903"/>
      <c r="CY372" s="890">
        <f t="shared" si="998"/>
        <v>17025418</v>
      </c>
      <c r="CZ372" s="890">
        <f t="shared" si="999"/>
        <v>0</v>
      </c>
      <c r="DA372" s="890">
        <f t="shared" si="1000"/>
        <v>0</v>
      </c>
      <c r="DB372" s="890">
        <f t="shared" si="1001"/>
        <v>17025418</v>
      </c>
      <c r="DC372" s="903"/>
      <c r="DG372" s="890">
        <f t="shared" si="1002"/>
        <v>17025418</v>
      </c>
      <c r="DH372" s="890">
        <f t="shared" si="1003"/>
        <v>0</v>
      </c>
      <c r="DI372" s="890">
        <f t="shared" si="1004"/>
        <v>0</v>
      </c>
      <c r="DJ372" s="890">
        <f t="shared" si="1005"/>
        <v>17025418</v>
      </c>
      <c r="DK372" s="903"/>
      <c r="DO372" s="890">
        <f t="shared" si="1006"/>
        <v>17025418</v>
      </c>
      <c r="DP372" s="890">
        <f t="shared" si="1007"/>
        <v>0</v>
      </c>
      <c r="DQ372" s="890">
        <f t="shared" si="1008"/>
        <v>0</v>
      </c>
      <c r="DR372" s="890">
        <f t="shared" si="1009"/>
        <v>17025418</v>
      </c>
      <c r="DS372" s="903"/>
      <c r="DW372" s="890">
        <f t="shared" si="1010"/>
        <v>17025418</v>
      </c>
      <c r="DX372" s="890">
        <f t="shared" si="1011"/>
        <v>0</v>
      </c>
      <c r="DY372" s="890">
        <f t="shared" si="1012"/>
        <v>0</v>
      </c>
      <c r="DZ372" s="890">
        <f t="shared" si="1013"/>
        <v>17025418</v>
      </c>
      <c r="EA372" s="903"/>
      <c r="EE372" s="890">
        <f t="shared" si="1014"/>
        <v>17025418</v>
      </c>
      <c r="EF372" s="890">
        <f t="shared" si="1015"/>
        <v>0</v>
      </c>
      <c r="EG372" s="890">
        <f t="shared" si="1016"/>
        <v>0</v>
      </c>
      <c r="EH372" s="890">
        <f t="shared" si="1017"/>
        <v>17025418</v>
      </c>
      <c r="EI372" s="903"/>
      <c r="EM372" s="890">
        <f t="shared" si="1018"/>
        <v>17025418</v>
      </c>
      <c r="EN372" s="890">
        <f t="shared" si="1019"/>
        <v>0</v>
      </c>
      <c r="EO372" s="890">
        <f t="shared" si="1020"/>
        <v>0</v>
      </c>
      <c r="EP372" s="890">
        <f t="shared" si="1021"/>
        <v>17025418</v>
      </c>
      <c r="EQ372" s="903"/>
      <c r="EU372" s="890">
        <f t="shared" si="1022"/>
        <v>17025418</v>
      </c>
      <c r="EV372" s="890">
        <f t="shared" si="1023"/>
        <v>0</v>
      </c>
      <c r="EW372" s="890">
        <f t="shared" si="1024"/>
        <v>0</v>
      </c>
      <c r="EX372" s="890">
        <f t="shared" si="1025"/>
        <v>17025418</v>
      </c>
      <c r="EY372" s="903"/>
      <c r="FC372" s="890">
        <f t="shared" si="1026"/>
        <v>17025418</v>
      </c>
      <c r="FD372" s="890">
        <f t="shared" si="1027"/>
        <v>0</v>
      </c>
      <c r="FE372" s="890">
        <f t="shared" si="1028"/>
        <v>0</v>
      </c>
      <c r="FF372" s="890">
        <f t="shared" si="1029"/>
        <v>17025418</v>
      </c>
      <c r="FG372" s="903"/>
      <c r="FK372" s="890">
        <f t="shared" si="1030"/>
        <v>17025418</v>
      </c>
      <c r="FL372" s="890">
        <f t="shared" si="1031"/>
        <v>0</v>
      </c>
      <c r="FM372" s="890">
        <f t="shared" si="1032"/>
        <v>0</v>
      </c>
      <c r="FN372" s="890">
        <f t="shared" si="1033"/>
        <v>17025418</v>
      </c>
      <c r="FO372" s="903"/>
    </row>
    <row r="373" spans="2:171">
      <c r="B373" s="113"/>
      <c r="C373" s="108" t="s">
        <v>517</v>
      </c>
      <c r="D373" s="108"/>
      <c r="E373" s="904" t="str">
        <f>Ratios!C16</f>
        <v>DIST</v>
      </c>
      <c r="G373" s="890">
        <f>Ratios!D16</f>
        <v>6507117</v>
      </c>
      <c r="H373" s="890">
        <f>Ratios!E16</f>
        <v>0</v>
      </c>
      <c r="I373" s="890">
        <f>Ratios!F16</f>
        <v>0</v>
      </c>
      <c r="J373" s="890">
        <f>Ratios!G16</f>
        <v>6507117</v>
      </c>
      <c r="K373" s="903">
        <f t="shared" si="953"/>
        <v>1</v>
      </c>
      <c r="O373" s="890">
        <f t="shared" si="954"/>
        <v>6507117</v>
      </c>
      <c r="P373" s="890">
        <f t="shared" si="955"/>
        <v>0</v>
      </c>
      <c r="Q373" s="890">
        <f t="shared" si="956"/>
        <v>0</v>
      </c>
      <c r="R373" s="890">
        <f t="shared" si="957"/>
        <v>6507117</v>
      </c>
      <c r="S373" s="903"/>
      <c r="W373" s="890">
        <f t="shared" si="958"/>
        <v>6507117</v>
      </c>
      <c r="X373" s="890">
        <f t="shared" si="959"/>
        <v>0</v>
      </c>
      <c r="Y373" s="890">
        <f t="shared" si="960"/>
        <v>0</v>
      </c>
      <c r="Z373" s="890">
        <f t="shared" si="961"/>
        <v>6507117</v>
      </c>
      <c r="AA373" s="903"/>
      <c r="AE373" s="890">
        <f t="shared" si="962"/>
        <v>6507117</v>
      </c>
      <c r="AF373" s="890">
        <f t="shared" si="963"/>
        <v>0</v>
      </c>
      <c r="AG373" s="890">
        <f t="shared" si="964"/>
        <v>0</v>
      </c>
      <c r="AH373" s="890">
        <f t="shared" si="965"/>
        <v>6507117</v>
      </c>
      <c r="AI373" s="903"/>
      <c r="AM373" s="890">
        <f t="shared" si="966"/>
        <v>6507117</v>
      </c>
      <c r="AN373" s="890">
        <f t="shared" si="967"/>
        <v>0</v>
      </c>
      <c r="AO373" s="890">
        <f t="shared" si="968"/>
        <v>0</v>
      </c>
      <c r="AP373" s="890">
        <f t="shared" si="969"/>
        <v>6507117</v>
      </c>
      <c r="AQ373" s="903"/>
      <c r="AU373" s="890">
        <f t="shared" si="970"/>
        <v>6507117</v>
      </c>
      <c r="AV373" s="890">
        <f t="shared" si="971"/>
        <v>0</v>
      </c>
      <c r="AW373" s="890">
        <f t="shared" si="972"/>
        <v>0</v>
      </c>
      <c r="AX373" s="890">
        <f t="shared" si="973"/>
        <v>6507117</v>
      </c>
      <c r="AY373" s="903"/>
      <c r="BC373" s="890">
        <f t="shared" si="974"/>
        <v>6507117</v>
      </c>
      <c r="BD373" s="890">
        <f t="shared" si="975"/>
        <v>0</v>
      </c>
      <c r="BE373" s="890">
        <f t="shared" si="976"/>
        <v>0</v>
      </c>
      <c r="BF373" s="890">
        <f t="shared" si="977"/>
        <v>6507117</v>
      </c>
      <c r="BG373" s="903"/>
      <c r="BK373" s="890">
        <f t="shared" si="978"/>
        <v>6507117</v>
      </c>
      <c r="BL373" s="890">
        <f t="shared" si="979"/>
        <v>0</v>
      </c>
      <c r="BM373" s="890">
        <f t="shared" si="980"/>
        <v>0</v>
      </c>
      <c r="BN373" s="890">
        <f t="shared" si="981"/>
        <v>6507117</v>
      </c>
      <c r="BO373" s="903"/>
      <c r="BS373" s="890">
        <f t="shared" si="982"/>
        <v>6507117</v>
      </c>
      <c r="BT373" s="890">
        <f t="shared" si="983"/>
        <v>0</v>
      </c>
      <c r="BU373" s="890">
        <f t="shared" si="984"/>
        <v>0</v>
      </c>
      <c r="BV373" s="890">
        <f t="shared" si="985"/>
        <v>6507117</v>
      </c>
      <c r="BW373" s="903"/>
      <c r="CA373" s="890">
        <f t="shared" si="986"/>
        <v>6507117</v>
      </c>
      <c r="CB373" s="890">
        <f t="shared" si="987"/>
        <v>0</v>
      </c>
      <c r="CC373" s="890">
        <f t="shared" si="988"/>
        <v>0</v>
      </c>
      <c r="CD373" s="890">
        <f t="shared" si="989"/>
        <v>6507117</v>
      </c>
      <c r="CE373" s="903"/>
      <c r="CI373" s="890">
        <f t="shared" si="990"/>
        <v>6507117</v>
      </c>
      <c r="CJ373" s="890">
        <f t="shared" si="991"/>
        <v>0</v>
      </c>
      <c r="CK373" s="890">
        <f t="shared" si="992"/>
        <v>0</v>
      </c>
      <c r="CL373" s="890">
        <f t="shared" si="993"/>
        <v>6507117</v>
      </c>
      <c r="CM373" s="903"/>
      <c r="CQ373" s="890">
        <f t="shared" si="994"/>
        <v>6507117</v>
      </c>
      <c r="CR373" s="890">
        <f t="shared" si="995"/>
        <v>0</v>
      </c>
      <c r="CS373" s="890">
        <f t="shared" si="996"/>
        <v>0</v>
      </c>
      <c r="CT373" s="890">
        <f t="shared" si="997"/>
        <v>6507117</v>
      </c>
      <c r="CU373" s="903"/>
      <c r="CY373" s="890">
        <f t="shared" si="998"/>
        <v>6507117</v>
      </c>
      <c r="CZ373" s="890">
        <f t="shared" si="999"/>
        <v>0</v>
      </c>
      <c r="DA373" s="890">
        <f t="shared" si="1000"/>
        <v>0</v>
      </c>
      <c r="DB373" s="890">
        <f t="shared" si="1001"/>
        <v>6507117</v>
      </c>
      <c r="DC373" s="903"/>
      <c r="DG373" s="890">
        <f t="shared" si="1002"/>
        <v>6507117</v>
      </c>
      <c r="DH373" s="890">
        <f t="shared" si="1003"/>
        <v>0</v>
      </c>
      <c r="DI373" s="890">
        <f t="shared" si="1004"/>
        <v>0</v>
      </c>
      <c r="DJ373" s="890">
        <f t="shared" si="1005"/>
        <v>6507117</v>
      </c>
      <c r="DK373" s="903"/>
      <c r="DO373" s="890">
        <f t="shared" si="1006"/>
        <v>6507117</v>
      </c>
      <c r="DP373" s="890">
        <f t="shared" si="1007"/>
        <v>0</v>
      </c>
      <c r="DQ373" s="890">
        <f t="shared" si="1008"/>
        <v>0</v>
      </c>
      <c r="DR373" s="890">
        <f t="shared" si="1009"/>
        <v>6507117</v>
      </c>
      <c r="DS373" s="903"/>
      <c r="DW373" s="890">
        <f t="shared" si="1010"/>
        <v>6507117</v>
      </c>
      <c r="DX373" s="890">
        <f t="shared" si="1011"/>
        <v>0</v>
      </c>
      <c r="DY373" s="890">
        <f t="shared" si="1012"/>
        <v>0</v>
      </c>
      <c r="DZ373" s="890">
        <f t="shared" si="1013"/>
        <v>6507117</v>
      </c>
      <c r="EA373" s="903"/>
      <c r="EE373" s="890">
        <f t="shared" si="1014"/>
        <v>6507117</v>
      </c>
      <c r="EF373" s="890">
        <f t="shared" si="1015"/>
        <v>0</v>
      </c>
      <c r="EG373" s="890">
        <f t="shared" si="1016"/>
        <v>0</v>
      </c>
      <c r="EH373" s="890">
        <f t="shared" si="1017"/>
        <v>6507117</v>
      </c>
      <c r="EI373" s="903"/>
      <c r="EM373" s="890">
        <f t="shared" si="1018"/>
        <v>6507117</v>
      </c>
      <c r="EN373" s="890">
        <f t="shared" si="1019"/>
        <v>0</v>
      </c>
      <c r="EO373" s="890">
        <f t="shared" si="1020"/>
        <v>0</v>
      </c>
      <c r="EP373" s="890">
        <f t="shared" si="1021"/>
        <v>6507117</v>
      </c>
      <c r="EQ373" s="903"/>
      <c r="EU373" s="890">
        <f t="shared" si="1022"/>
        <v>6507117</v>
      </c>
      <c r="EV373" s="890">
        <f t="shared" si="1023"/>
        <v>0</v>
      </c>
      <c r="EW373" s="890">
        <f t="shared" si="1024"/>
        <v>0</v>
      </c>
      <c r="EX373" s="890">
        <f t="shared" si="1025"/>
        <v>6507117</v>
      </c>
      <c r="EY373" s="903"/>
      <c r="FC373" s="890">
        <f t="shared" si="1026"/>
        <v>6507117</v>
      </c>
      <c r="FD373" s="890">
        <f t="shared" si="1027"/>
        <v>0</v>
      </c>
      <c r="FE373" s="890">
        <f t="shared" si="1028"/>
        <v>0</v>
      </c>
      <c r="FF373" s="890">
        <f t="shared" si="1029"/>
        <v>6507117</v>
      </c>
      <c r="FG373" s="903"/>
      <c r="FK373" s="890">
        <f t="shared" si="1030"/>
        <v>6507117</v>
      </c>
      <c r="FL373" s="890">
        <f t="shared" si="1031"/>
        <v>0</v>
      </c>
      <c r="FM373" s="890">
        <f t="shared" si="1032"/>
        <v>0</v>
      </c>
      <c r="FN373" s="890">
        <f t="shared" si="1033"/>
        <v>6507117</v>
      </c>
      <c r="FO373" s="903"/>
    </row>
    <row r="374" spans="2:171">
      <c r="B374" s="113"/>
      <c r="C374" s="1532" t="s">
        <v>518</v>
      </c>
      <c r="D374" s="1532"/>
      <c r="E374" s="904" t="str">
        <f>Ratios!C17</f>
        <v>DIST</v>
      </c>
      <c r="G374" s="890">
        <f>Ratios!D17</f>
        <v>422600</v>
      </c>
      <c r="H374" s="890">
        <f>Ratios!E17</f>
        <v>0</v>
      </c>
      <c r="I374" s="890">
        <f>Ratios!F17</f>
        <v>0</v>
      </c>
      <c r="J374" s="890">
        <f>Ratios!G17</f>
        <v>422600</v>
      </c>
      <c r="K374" s="903">
        <f t="shared" si="953"/>
        <v>1</v>
      </c>
      <c r="O374" s="890">
        <f t="shared" si="954"/>
        <v>422600</v>
      </c>
      <c r="P374" s="890">
        <f t="shared" si="955"/>
        <v>0</v>
      </c>
      <c r="Q374" s="890">
        <f t="shared" si="956"/>
        <v>0</v>
      </c>
      <c r="R374" s="890">
        <f t="shared" si="957"/>
        <v>422600</v>
      </c>
      <c r="S374" s="903"/>
      <c r="W374" s="890">
        <f t="shared" si="958"/>
        <v>422600</v>
      </c>
      <c r="X374" s="890">
        <f t="shared" si="959"/>
        <v>0</v>
      </c>
      <c r="Y374" s="890">
        <f t="shared" si="960"/>
        <v>0</v>
      </c>
      <c r="Z374" s="890">
        <f t="shared" si="961"/>
        <v>422600</v>
      </c>
      <c r="AA374" s="903"/>
      <c r="AE374" s="890">
        <f t="shared" si="962"/>
        <v>422600</v>
      </c>
      <c r="AF374" s="890">
        <f t="shared" si="963"/>
        <v>0</v>
      </c>
      <c r="AG374" s="890">
        <f t="shared" si="964"/>
        <v>0</v>
      </c>
      <c r="AH374" s="890">
        <f t="shared" si="965"/>
        <v>422600</v>
      </c>
      <c r="AI374" s="903"/>
      <c r="AM374" s="890">
        <f t="shared" si="966"/>
        <v>422600</v>
      </c>
      <c r="AN374" s="890">
        <f t="shared" si="967"/>
        <v>0</v>
      </c>
      <c r="AO374" s="890">
        <f t="shared" si="968"/>
        <v>0</v>
      </c>
      <c r="AP374" s="890">
        <f t="shared" si="969"/>
        <v>422600</v>
      </c>
      <c r="AQ374" s="903"/>
      <c r="AU374" s="890">
        <f t="shared" si="970"/>
        <v>422600</v>
      </c>
      <c r="AV374" s="890">
        <f t="shared" si="971"/>
        <v>0</v>
      </c>
      <c r="AW374" s="890">
        <f t="shared" si="972"/>
        <v>0</v>
      </c>
      <c r="AX374" s="890">
        <f t="shared" si="973"/>
        <v>422600</v>
      </c>
      <c r="AY374" s="903"/>
      <c r="BC374" s="890">
        <f t="shared" si="974"/>
        <v>422600</v>
      </c>
      <c r="BD374" s="890">
        <f t="shared" si="975"/>
        <v>0</v>
      </c>
      <c r="BE374" s="890">
        <f t="shared" si="976"/>
        <v>0</v>
      </c>
      <c r="BF374" s="890">
        <f t="shared" si="977"/>
        <v>422600</v>
      </c>
      <c r="BG374" s="903"/>
      <c r="BK374" s="890">
        <f t="shared" si="978"/>
        <v>422600</v>
      </c>
      <c r="BL374" s="890">
        <f t="shared" si="979"/>
        <v>0</v>
      </c>
      <c r="BM374" s="890">
        <f t="shared" si="980"/>
        <v>0</v>
      </c>
      <c r="BN374" s="890">
        <f t="shared" si="981"/>
        <v>422600</v>
      </c>
      <c r="BO374" s="903"/>
      <c r="BS374" s="890">
        <f t="shared" si="982"/>
        <v>422600</v>
      </c>
      <c r="BT374" s="890">
        <f t="shared" si="983"/>
        <v>0</v>
      </c>
      <c r="BU374" s="890">
        <f t="shared" si="984"/>
        <v>0</v>
      </c>
      <c r="BV374" s="890">
        <f t="shared" si="985"/>
        <v>422600</v>
      </c>
      <c r="BW374" s="903"/>
      <c r="CA374" s="890">
        <f t="shared" si="986"/>
        <v>422600</v>
      </c>
      <c r="CB374" s="890">
        <f t="shared" si="987"/>
        <v>0</v>
      </c>
      <c r="CC374" s="890">
        <f t="shared" si="988"/>
        <v>0</v>
      </c>
      <c r="CD374" s="890">
        <f t="shared" si="989"/>
        <v>422600</v>
      </c>
      <c r="CE374" s="903"/>
      <c r="CI374" s="890">
        <f t="shared" si="990"/>
        <v>422600</v>
      </c>
      <c r="CJ374" s="890">
        <f t="shared" si="991"/>
        <v>0</v>
      </c>
      <c r="CK374" s="890">
        <f t="shared" si="992"/>
        <v>0</v>
      </c>
      <c r="CL374" s="890">
        <f t="shared" si="993"/>
        <v>422600</v>
      </c>
      <c r="CM374" s="903"/>
      <c r="CQ374" s="890">
        <f t="shared" si="994"/>
        <v>422600</v>
      </c>
      <c r="CR374" s="890">
        <f t="shared" si="995"/>
        <v>0</v>
      </c>
      <c r="CS374" s="890">
        <f t="shared" si="996"/>
        <v>0</v>
      </c>
      <c r="CT374" s="890">
        <f t="shared" si="997"/>
        <v>422600</v>
      </c>
      <c r="CU374" s="903"/>
      <c r="CY374" s="890">
        <f t="shared" si="998"/>
        <v>422600</v>
      </c>
      <c r="CZ374" s="890">
        <f t="shared" si="999"/>
        <v>0</v>
      </c>
      <c r="DA374" s="890">
        <f t="shared" si="1000"/>
        <v>0</v>
      </c>
      <c r="DB374" s="890">
        <f t="shared" si="1001"/>
        <v>422600</v>
      </c>
      <c r="DC374" s="903"/>
      <c r="DG374" s="890">
        <f t="shared" si="1002"/>
        <v>422600</v>
      </c>
      <c r="DH374" s="890">
        <f t="shared" si="1003"/>
        <v>0</v>
      </c>
      <c r="DI374" s="890">
        <f t="shared" si="1004"/>
        <v>0</v>
      </c>
      <c r="DJ374" s="890">
        <f t="shared" si="1005"/>
        <v>422600</v>
      </c>
      <c r="DK374" s="903"/>
      <c r="DO374" s="890">
        <f t="shared" si="1006"/>
        <v>422600</v>
      </c>
      <c r="DP374" s="890">
        <f t="shared" si="1007"/>
        <v>0</v>
      </c>
      <c r="DQ374" s="890">
        <f t="shared" si="1008"/>
        <v>0</v>
      </c>
      <c r="DR374" s="890">
        <f t="shared" si="1009"/>
        <v>422600</v>
      </c>
      <c r="DS374" s="903"/>
      <c r="DW374" s="890">
        <f t="shared" si="1010"/>
        <v>422600</v>
      </c>
      <c r="DX374" s="890">
        <f t="shared" si="1011"/>
        <v>0</v>
      </c>
      <c r="DY374" s="890">
        <f t="shared" si="1012"/>
        <v>0</v>
      </c>
      <c r="DZ374" s="890">
        <f t="shared" si="1013"/>
        <v>422600</v>
      </c>
      <c r="EA374" s="903"/>
      <c r="EE374" s="890">
        <f t="shared" si="1014"/>
        <v>422600</v>
      </c>
      <c r="EF374" s="890">
        <f t="shared" si="1015"/>
        <v>0</v>
      </c>
      <c r="EG374" s="890">
        <f t="shared" si="1016"/>
        <v>0</v>
      </c>
      <c r="EH374" s="890">
        <f t="shared" si="1017"/>
        <v>422600</v>
      </c>
      <c r="EI374" s="903"/>
      <c r="EM374" s="890">
        <f t="shared" si="1018"/>
        <v>422600</v>
      </c>
      <c r="EN374" s="890">
        <f t="shared" si="1019"/>
        <v>0</v>
      </c>
      <c r="EO374" s="890">
        <f t="shared" si="1020"/>
        <v>0</v>
      </c>
      <c r="EP374" s="890">
        <f t="shared" si="1021"/>
        <v>422600</v>
      </c>
      <c r="EQ374" s="903"/>
      <c r="EU374" s="890">
        <f t="shared" si="1022"/>
        <v>422600</v>
      </c>
      <c r="EV374" s="890">
        <f t="shared" si="1023"/>
        <v>0</v>
      </c>
      <c r="EW374" s="890">
        <f t="shared" si="1024"/>
        <v>0</v>
      </c>
      <c r="EX374" s="890">
        <f t="shared" si="1025"/>
        <v>422600</v>
      </c>
      <c r="EY374" s="903"/>
      <c r="FC374" s="890">
        <f t="shared" si="1026"/>
        <v>422600</v>
      </c>
      <c r="FD374" s="890">
        <f t="shared" si="1027"/>
        <v>0</v>
      </c>
      <c r="FE374" s="890">
        <f t="shared" si="1028"/>
        <v>0</v>
      </c>
      <c r="FF374" s="890">
        <f t="shared" si="1029"/>
        <v>422600</v>
      </c>
      <c r="FG374" s="903"/>
      <c r="FK374" s="890">
        <f t="shared" si="1030"/>
        <v>422600</v>
      </c>
      <c r="FL374" s="890">
        <f t="shared" si="1031"/>
        <v>0</v>
      </c>
      <c r="FM374" s="890">
        <f t="shared" si="1032"/>
        <v>0</v>
      </c>
      <c r="FN374" s="890">
        <f t="shared" si="1033"/>
        <v>422600</v>
      </c>
      <c r="FO374" s="903"/>
    </row>
    <row r="375" spans="2:171">
      <c r="B375" s="113"/>
      <c r="C375" s="108" t="s">
        <v>519</v>
      </c>
      <c r="D375" s="108"/>
      <c r="E375" s="904" t="str">
        <f>Ratios!C18</f>
        <v>DIST</v>
      </c>
      <c r="G375" s="890">
        <f>Ratios!D18</f>
        <v>0</v>
      </c>
      <c r="H375" s="890">
        <f>Ratios!E18</f>
        <v>0</v>
      </c>
      <c r="I375" s="890">
        <f>Ratios!F18</f>
        <v>0</v>
      </c>
      <c r="J375" s="890">
        <f>Ratios!G18</f>
        <v>0</v>
      </c>
      <c r="K375" s="903">
        <f t="shared" si="953"/>
        <v>1</v>
      </c>
      <c r="O375" s="890">
        <f t="shared" si="954"/>
        <v>0</v>
      </c>
      <c r="P375" s="890">
        <f t="shared" si="955"/>
        <v>0</v>
      </c>
      <c r="Q375" s="890">
        <f t="shared" si="956"/>
        <v>0</v>
      </c>
      <c r="R375" s="890">
        <f t="shared" si="957"/>
        <v>0</v>
      </c>
      <c r="S375" s="903"/>
      <c r="W375" s="890">
        <f t="shared" si="958"/>
        <v>0</v>
      </c>
      <c r="X375" s="890">
        <f t="shared" si="959"/>
        <v>0</v>
      </c>
      <c r="Y375" s="890">
        <f t="shared" si="960"/>
        <v>0</v>
      </c>
      <c r="Z375" s="890">
        <f t="shared" si="961"/>
        <v>0</v>
      </c>
      <c r="AA375" s="903"/>
      <c r="AE375" s="890">
        <f t="shared" si="962"/>
        <v>0</v>
      </c>
      <c r="AF375" s="890">
        <f t="shared" si="963"/>
        <v>0</v>
      </c>
      <c r="AG375" s="890">
        <f t="shared" si="964"/>
        <v>0</v>
      </c>
      <c r="AH375" s="890">
        <f t="shared" si="965"/>
        <v>0</v>
      </c>
      <c r="AI375" s="903"/>
      <c r="AM375" s="890">
        <f t="shared" si="966"/>
        <v>0</v>
      </c>
      <c r="AN375" s="890">
        <f t="shared" si="967"/>
        <v>0</v>
      </c>
      <c r="AO375" s="890">
        <f t="shared" si="968"/>
        <v>0</v>
      </c>
      <c r="AP375" s="890">
        <f t="shared" si="969"/>
        <v>0</v>
      </c>
      <c r="AQ375" s="903"/>
      <c r="AU375" s="890">
        <f t="shared" si="970"/>
        <v>0</v>
      </c>
      <c r="AV375" s="890">
        <f t="shared" si="971"/>
        <v>0</v>
      </c>
      <c r="AW375" s="890">
        <f t="shared" si="972"/>
        <v>0</v>
      </c>
      <c r="AX375" s="890">
        <f t="shared" si="973"/>
        <v>0</v>
      </c>
      <c r="AY375" s="903"/>
      <c r="BC375" s="890">
        <f t="shared" si="974"/>
        <v>0</v>
      </c>
      <c r="BD375" s="890">
        <f t="shared" si="975"/>
        <v>0</v>
      </c>
      <c r="BE375" s="890">
        <f t="shared" si="976"/>
        <v>0</v>
      </c>
      <c r="BF375" s="890">
        <f t="shared" si="977"/>
        <v>0</v>
      </c>
      <c r="BG375" s="903"/>
      <c r="BK375" s="890">
        <f t="shared" si="978"/>
        <v>0</v>
      </c>
      <c r="BL375" s="890">
        <f t="shared" si="979"/>
        <v>0</v>
      </c>
      <c r="BM375" s="890">
        <f t="shared" si="980"/>
        <v>0</v>
      </c>
      <c r="BN375" s="890">
        <f t="shared" si="981"/>
        <v>0</v>
      </c>
      <c r="BO375" s="903"/>
      <c r="BS375" s="890">
        <f t="shared" si="982"/>
        <v>0</v>
      </c>
      <c r="BT375" s="890">
        <f t="shared" si="983"/>
        <v>0</v>
      </c>
      <c r="BU375" s="890">
        <f t="shared" si="984"/>
        <v>0</v>
      </c>
      <c r="BV375" s="890">
        <f t="shared" si="985"/>
        <v>0</v>
      </c>
      <c r="BW375" s="903"/>
      <c r="CA375" s="890">
        <f t="shared" si="986"/>
        <v>0</v>
      </c>
      <c r="CB375" s="890">
        <f t="shared" si="987"/>
        <v>0</v>
      </c>
      <c r="CC375" s="890">
        <f t="shared" si="988"/>
        <v>0</v>
      </c>
      <c r="CD375" s="890">
        <f t="shared" si="989"/>
        <v>0</v>
      </c>
      <c r="CE375" s="903"/>
      <c r="CI375" s="890">
        <f t="shared" si="990"/>
        <v>0</v>
      </c>
      <c r="CJ375" s="890">
        <f t="shared" si="991"/>
        <v>0</v>
      </c>
      <c r="CK375" s="890">
        <f t="shared" si="992"/>
        <v>0</v>
      </c>
      <c r="CL375" s="890">
        <f t="shared" si="993"/>
        <v>0</v>
      </c>
      <c r="CM375" s="903"/>
      <c r="CQ375" s="890">
        <f t="shared" si="994"/>
        <v>0</v>
      </c>
      <c r="CR375" s="890">
        <f t="shared" si="995"/>
        <v>0</v>
      </c>
      <c r="CS375" s="890">
        <f t="shared" si="996"/>
        <v>0</v>
      </c>
      <c r="CT375" s="890">
        <f t="shared" si="997"/>
        <v>0</v>
      </c>
      <c r="CU375" s="903"/>
      <c r="CY375" s="890">
        <f t="shared" si="998"/>
        <v>0</v>
      </c>
      <c r="CZ375" s="890">
        <f t="shared" si="999"/>
        <v>0</v>
      </c>
      <c r="DA375" s="890">
        <f t="shared" si="1000"/>
        <v>0</v>
      </c>
      <c r="DB375" s="890">
        <f t="shared" si="1001"/>
        <v>0</v>
      </c>
      <c r="DC375" s="903"/>
      <c r="DG375" s="890">
        <f t="shared" si="1002"/>
        <v>0</v>
      </c>
      <c r="DH375" s="890">
        <f t="shared" si="1003"/>
        <v>0</v>
      </c>
      <c r="DI375" s="890">
        <f t="shared" si="1004"/>
        <v>0</v>
      </c>
      <c r="DJ375" s="890">
        <f t="shared" si="1005"/>
        <v>0</v>
      </c>
      <c r="DK375" s="903"/>
      <c r="DO375" s="890">
        <f t="shared" si="1006"/>
        <v>0</v>
      </c>
      <c r="DP375" s="890">
        <f t="shared" si="1007"/>
        <v>0</v>
      </c>
      <c r="DQ375" s="890">
        <f t="shared" si="1008"/>
        <v>0</v>
      </c>
      <c r="DR375" s="890">
        <f t="shared" si="1009"/>
        <v>0</v>
      </c>
      <c r="DS375" s="903"/>
      <c r="DW375" s="890">
        <f t="shared" si="1010"/>
        <v>0</v>
      </c>
      <c r="DX375" s="890">
        <f t="shared" si="1011"/>
        <v>0</v>
      </c>
      <c r="DY375" s="890">
        <f t="shared" si="1012"/>
        <v>0</v>
      </c>
      <c r="DZ375" s="890">
        <f t="shared" si="1013"/>
        <v>0</v>
      </c>
      <c r="EA375" s="903"/>
      <c r="EE375" s="890">
        <f t="shared" si="1014"/>
        <v>0</v>
      </c>
      <c r="EF375" s="890">
        <f t="shared" si="1015"/>
        <v>0</v>
      </c>
      <c r="EG375" s="890">
        <f t="shared" si="1016"/>
        <v>0</v>
      </c>
      <c r="EH375" s="890">
        <f t="shared" si="1017"/>
        <v>0</v>
      </c>
      <c r="EI375" s="903"/>
      <c r="EM375" s="890">
        <f t="shared" si="1018"/>
        <v>0</v>
      </c>
      <c r="EN375" s="890">
        <f t="shared" si="1019"/>
        <v>0</v>
      </c>
      <c r="EO375" s="890">
        <f t="shared" si="1020"/>
        <v>0</v>
      </c>
      <c r="EP375" s="890">
        <f t="shared" si="1021"/>
        <v>0</v>
      </c>
      <c r="EQ375" s="903"/>
      <c r="EU375" s="890">
        <f t="shared" si="1022"/>
        <v>0</v>
      </c>
      <c r="EV375" s="890">
        <f t="shared" si="1023"/>
        <v>0</v>
      </c>
      <c r="EW375" s="890">
        <f t="shared" si="1024"/>
        <v>0</v>
      </c>
      <c r="EX375" s="890">
        <f t="shared" si="1025"/>
        <v>0</v>
      </c>
      <c r="EY375" s="903"/>
      <c r="FC375" s="890">
        <f t="shared" si="1026"/>
        <v>0</v>
      </c>
      <c r="FD375" s="890">
        <f t="shared" si="1027"/>
        <v>0</v>
      </c>
      <c r="FE375" s="890">
        <f t="shared" si="1028"/>
        <v>0</v>
      </c>
      <c r="FF375" s="890">
        <f t="shared" si="1029"/>
        <v>0</v>
      </c>
      <c r="FG375" s="903"/>
      <c r="FK375" s="890">
        <f t="shared" si="1030"/>
        <v>0</v>
      </c>
      <c r="FL375" s="890">
        <f t="shared" si="1031"/>
        <v>0</v>
      </c>
      <c r="FM375" s="890">
        <f t="shared" si="1032"/>
        <v>0</v>
      </c>
      <c r="FN375" s="890">
        <f t="shared" si="1033"/>
        <v>0</v>
      </c>
      <c r="FO375" s="903"/>
    </row>
    <row r="376" spans="2:171">
      <c r="B376" s="113"/>
      <c r="C376" s="108" t="s">
        <v>522</v>
      </c>
      <c r="D376" s="108"/>
      <c r="E376" s="904" t="str">
        <f>Ratios!C19</f>
        <v>PTD</v>
      </c>
      <c r="G376" s="890">
        <f>Ratios!D19</f>
        <v>29427473</v>
      </c>
      <c r="H376" s="890">
        <f>Ratios!E19</f>
        <v>9350897.9082645196</v>
      </c>
      <c r="I376" s="890">
        <f>Ratios!F19</f>
        <v>0</v>
      </c>
      <c r="J376" s="890">
        <f>Ratios!G19</f>
        <v>20076575.091735478</v>
      </c>
      <c r="K376" s="903">
        <f t="shared" si="953"/>
        <v>1</v>
      </c>
      <c r="O376" s="890">
        <f t="shared" si="954"/>
        <v>29427473</v>
      </c>
      <c r="P376" s="890">
        <f>VLOOKUP($E376,O$442:R$453,2,FALSE)*O376*($K376)+IF($G376&lt;&gt;0,($H376/$G376)*O376,0)*(1-$K376)</f>
        <v>9350897.9082645196</v>
      </c>
      <c r="Q376" s="890">
        <f>VLOOKUP($E376,O$442:R$453,3,FALSE)*O376*($K376)+IF($G376&lt;&gt;0,($I376/$G376)*O376,0)*(1-$K376)</f>
        <v>6128490.0730446223</v>
      </c>
      <c r="R376" s="890">
        <f>VLOOKUP($E376,O$442:R$453,4,FALSE)*O376*($K376)+(O376-P376-Q376)*(1-$K376)</f>
        <v>13948085.018690856</v>
      </c>
      <c r="S376" s="903"/>
      <c r="W376" s="890">
        <f t="shared" si="958"/>
        <v>29427473</v>
      </c>
      <c r="X376" s="890">
        <f>VLOOKUP($E376,W$442:Z$453,2,FALSE)*W376*($K376)+IF($G376&lt;&gt;0,($H376/$G376)*W376,0)*(1-$K376)</f>
        <v>9350897.9082645196</v>
      </c>
      <c r="Y376" s="890">
        <f>VLOOKUP($E376,W$442:Z$453,3,FALSE)*W376*($K376)+IF($G376&lt;&gt;0,($I376/$G376)*W376,0)*(1-$K376)</f>
        <v>6128490.0730446223</v>
      </c>
      <c r="Z376" s="890">
        <f>VLOOKUP($E376,W$442:Z$453,4,FALSE)*W376*($K376)+(W376-X376-Y376)*(1-$K376)</f>
        <v>13948085.018690856</v>
      </c>
      <c r="AA376" s="903"/>
      <c r="AE376" s="890">
        <f t="shared" si="962"/>
        <v>29427473</v>
      </c>
      <c r="AF376" s="890">
        <f>VLOOKUP($E376,AE$442:AH$453,2,FALSE)*AE376*($K376)+IF($G376&lt;&gt;0,($H376/$G376)*AE376,0)*(1-$K376)</f>
        <v>9350897.9082645196</v>
      </c>
      <c r="AG376" s="890">
        <f>VLOOKUP($E376,AE$442:AH$453,3,FALSE)*AE376*($K376)+IF($G376&lt;&gt;0,($I376/$G376)*AE376,0)*(1-$K376)</f>
        <v>6128490.0730446223</v>
      </c>
      <c r="AH376" s="890">
        <f>VLOOKUP($E376,AE$442:AH$453,4,FALSE)*AE376*($K376)+(AE376-AF376-AG376)*(1-$K376)</f>
        <v>13948085.018690856</v>
      </c>
      <c r="AI376" s="903"/>
      <c r="AM376" s="890">
        <f t="shared" si="966"/>
        <v>29427473</v>
      </c>
      <c r="AN376" s="890">
        <f>VLOOKUP($E376,AM$442:AP$453,2,FALSE)*AM376*($K376)+IF($G376&lt;&gt;0,($H376/$G376)*AM376,0)*(1-$K376)</f>
        <v>9350897.9082645196</v>
      </c>
      <c r="AO376" s="890">
        <f>VLOOKUP($E376,AM$442:AP$453,3,FALSE)*AM376*($K376)+IF($G376&lt;&gt;0,($I376/$G376)*AM376,0)*(1-$K376)</f>
        <v>6128490.0730446223</v>
      </c>
      <c r="AP376" s="890">
        <f>VLOOKUP($E376,AM$442:AP$453,4,FALSE)*AM376*($K376)+(AM376-AN376-AO376)*(1-$K376)</f>
        <v>13948085.018690856</v>
      </c>
      <c r="AQ376" s="903"/>
      <c r="AU376" s="890">
        <f t="shared" si="970"/>
        <v>29427473</v>
      </c>
      <c r="AV376" s="890">
        <f>VLOOKUP($E376,AU$442:AX$453,2,FALSE)*AU376*($K376)+IF($G376&lt;&gt;0,($H376/$G376)*AU376,0)*(1-$K376)</f>
        <v>9350897.9082645196</v>
      </c>
      <c r="AW376" s="890">
        <f>VLOOKUP($E376,AU$442:AX$453,3,FALSE)*AU376*($K376)+IF($G376&lt;&gt;0,($I376/$G376)*AU376,0)*(1-$K376)</f>
        <v>6128490.0730446223</v>
      </c>
      <c r="AX376" s="890">
        <f>VLOOKUP($E376,AU$442:AX$453,4,FALSE)*AU376*($K376)+(AU376-AV376-AW376)*(1-$K376)</f>
        <v>13948085.018690856</v>
      </c>
      <c r="AY376" s="903"/>
      <c r="BC376" s="890">
        <f t="shared" si="974"/>
        <v>29427473</v>
      </c>
      <c r="BD376" s="890">
        <f>VLOOKUP($E376,BC$442:BF$453,2,FALSE)*BC376*($K376)+IF($G376&lt;&gt;0,($H376/$G376)*BC376,0)*(1-$K376)</f>
        <v>9350897.9082645196</v>
      </c>
      <c r="BE376" s="890">
        <f>VLOOKUP($E376,BC$442:BF$453,3,FALSE)*BC376*($K376)+IF($G376&lt;&gt;0,($I376/$G376)*BC376,0)*(1-$K376)</f>
        <v>6128490.0730446223</v>
      </c>
      <c r="BF376" s="890">
        <f>VLOOKUP($E376,BC$442:BF$453,4,FALSE)*BC376*($K376)+(BC376-BD376-BE376)*(1-$K376)</f>
        <v>13948085.018690856</v>
      </c>
      <c r="BG376" s="903"/>
      <c r="BK376" s="890">
        <f t="shared" si="978"/>
        <v>29427473</v>
      </c>
      <c r="BL376" s="890">
        <f>VLOOKUP($E376,BK$442:BN$453,2,FALSE)*BK376*($K376)+IF($G376&lt;&gt;0,($H376/$G376)*BK376,0)*(1-$K376)</f>
        <v>9350897.9082645196</v>
      </c>
      <c r="BM376" s="890">
        <f>VLOOKUP($E376,BK$442:BN$453,3,FALSE)*BK376*($K376)+IF($G376&lt;&gt;0,($I376/$G376)*BK376,0)*(1-$K376)</f>
        <v>6128490.0730446223</v>
      </c>
      <c r="BN376" s="890">
        <f>VLOOKUP($E376,BK$442:BN$453,4,FALSE)*BK376*($K376)+(BK376-BL376-BM376)*(1-$K376)</f>
        <v>13948085.018690856</v>
      </c>
      <c r="BO376" s="903"/>
      <c r="BS376" s="890">
        <f t="shared" si="982"/>
        <v>29427473</v>
      </c>
      <c r="BT376" s="890">
        <f>VLOOKUP($E376,BS$442:BV$453,2,FALSE)*BS376*($K376)+IF($G376&lt;&gt;0,($H376/$G376)*BS376,0)*(1-$K376)</f>
        <v>9350897.9082645196</v>
      </c>
      <c r="BU376" s="890">
        <f>VLOOKUP($E376,BS$442:BV$453,3,FALSE)*BS376*($K376)+IF($G376&lt;&gt;0,($I376/$G376)*BS376,0)*(1-$K376)</f>
        <v>6128490.0730446223</v>
      </c>
      <c r="BV376" s="890">
        <f>VLOOKUP($E376,BS$442:BV$453,4,FALSE)*BS376*($K376)+(BS376-BT376-BU376)*(1-$K376)</f>
        <v>13948085.018690856</v>
      </c>
      <c r="BW376" s="903"/>
      <c r="CA376" s="890">
        <f t="shared" si="986"/>
        <v>29427473</v>
      </c>
      <c r="CB376" s="890">
        <f>VLOOKUP($E376,CA$442:CD$453,2,FALSE)*CA376*($K376)+IF($G376&lt;&gt;0,($H376/$G376)*CA376,0)*(1-$K376)</f>
        <v>9350897.9082645196</v>
      </c>
      <c r="CC376" s="890">
        <f>VLOOKUP($E376,CA$442:CD$453,3,FALSE)*CA376*($K376)+IF($G376&lt;&gt;0,($I376/$G376)*CA376,0)*(1-$K376)</f>
        <v>6128490.0730446223</v>
      </c>
      <c r="CD376" s="890">
        <f>VLOOKUP($E376,CA$442:CD$453,4,FALSE)*CA376*($K376)+(CA376-CB376-CC376)*(1-$K376)</f>
        <v>13948085.018690856</v>
      </c>
      <c r="CE376" s="903"/>
      <c r="CI376" s="890">
        <f t="shared" si="990"/>
        <v>29427473</v>
      </c>
      <c r="CJ376" s="890">
        <f>VLOOKUP($E376,CI$442:CL$453,2,FALSE)*CI376*($K376)+IF($G376&lt;&gt;0,($H376/$G376)*CI376,0)*(1-$K376)</f>
        <v>9350897.9082645196</v>
      </c>
      <c r="CK376" s="890">
        <f>VLOOKUP($E376,CI$442:CL$453,3,FALSE)*CI376*($K376)+IF($G376&lt;&gt;0,($I376/$G376)*CI376,0)*(1-$K376)</f>
        <v>6128490.0730446223</v>
      </c>
      <c r="CL376" s="890">
        <f>VLOOKUP($E376,CI$442:CL$453,4,FALSE)*CI376*($K376)+(CI376-CJ376-CK376)*(1-$K376)</f>
        <v>13948085.018690856</v>
      </c>
      <c r="CM376" s="903"/>
      <c r="CQ376" s="890">
        <f t="shared" si="994"/>
        <v>29427473</v>
      </c>
      <c r="CR376" s="890">
        <f>VLOOKUP($E376,CQ$442:CT$453,2,FALSE)*CQ376*($K376)+IF($G376&lt;&gt;0,($H376/$G376)*CQ376,0)*(1-$K376)</f>
        <v>9350897.9082645196</v>
      </c>
      <c r="CS376" s="890">
        <f>VLOOKUP($E376,CQ$442:CT$453,3,FALSE)*CQ376*($K376)+IF($G376&lt;&gt;0,($I376/$G376)*CQ376,0)*(1-$K376)</f>
        <v>6128490.0730446223</v>
      </c>
      <c r="CT376" s="890">
        <f>VLOOKUP($E376,CQ$442:CT$453,4,FALSE)*CQ376*($K376)+(CQ376-CR376-CS376)*(1-$K376)</f>
        <v>13948085.018690856</v>
      </c>
      <c r="CU376" s="903"/>
      <c r="CY376" s="890">
        <f t="shared" si="998"/>
        <v>29427473</v>
      </c>
      <c r="CZ376" s="890">
        <f>VLOOKUP($E376,CY$442:DB$453,2,FALSE)*CY376*($K376)+IF($G376&lt;&gt;0,($H376/$G376)*CY376,0)*(1-$K376)</f>
        <v>9350897.9082645196</v>
      </c>
      <c r="DA376" s="890">
        <f>VLOOKUP($E376,CY$442:DB$453,3,FALSE)*CY376*($K376)+IF($G376&lt;&gt;0,($I376/$G376)*CY376,0)*(1-$K376)</f>
        <v>6128490.0730446223</v>
      </c>
      <c r="DB376" s="890">
        <f>VLOOKUP($E376,CY$442:DB$453,4,FALSE)*CY376*($K376)+(CY376-CZ376-DA376)*(1-$K376)</f>
        <v>13948085.018690856</v>
      </c>
      <c r="DC376" s="903"/>
      <c r="DG376" s="890">
        <f t="shared" si="1002"/>
        <v>29427473</v>
      </c>
      <c r="DH376" s="890">
        <f>VLOOKUP($E376,DG$442:DJ$453,2,FALSE)*DG376*($K376)+IF($G376&lt;&gt;0,($H376/$G376)*DG376,0)*(1-$K376)</f>
        <v>9350897.9082645196</v>
      </c>
      <c r="DI376" s="890">
        <f>VLOOKUP($E376,DG$442:DJ$453,3,FALSE)*DG376*($K376)+IF($G376&lt;&gt;0,($I376/$G376)*DG376,0)*(1-$K376)</f>
        <v>6128490.0730446223</v>
      </c>
      <c r="DJ376" s="890">
        <f>VLOOKUP($E376,DG$442:DJ$453,4,FALSE)*DG376*($K376)+(DG376-DH376-DI376)*(1-$K376)</f>
        <v>13948085.018690856</v>
      </c>
      <c r="DK376" s="903"/>
      <c r="DO376" s="890">
        <f t="shared" si="1006"/>
        <v>29427473</v>
      </c>
      <c r="DP376" s="890">
        <f>VLOOKUP($E376,DO$442:DR$453,2,FALSE)*DO376*($K376)+IF($G376&lt;&gt;0,($H376/$G376)*DO376,0)*(1-$K376)</f>
        <v>9350897.9082645196</v>
      </c>
      <c r="DQ376" s="890">
        <f>VLOOKUP($E376,DO$442:DR$453,3,FALSE)*DO376*($K376)+IF($G376&lt;&gt;0,($I376/$G376)*DO376,0)*(1-$K376)</f>
        <v>6128490.0730446223</v>
      </c>
      <c r="DR376" s="890">
        <f>VLOOKUP($E376,DO$442:DR$453,4,FALSE)*DO376*($K376)+(DO376-DP376-DQ376)*(1-$K376)</f>
        <v>13948085.018690856</v>
      </c>
      <c r="DS376" s="903"/>
      <c r="DW376" s="890">
        <f t="shared" si="1010"/>
        <v>29427473</v>
      </c>
      <c r="DX376" s="890">
        <f>VLOOKUP($E376,DW$442:DZ$453,2,FALSE)*DW376*($K376)+IF($G376&lt;&gt;0,($H376/$G376)*DW376,0)*(1-$K376)</f>
        <v>9350897.9082645196</v>
      </c>
      <c r="DY376" s="890">
        <f>VLOOKUP($E376,DW$442:DZ$453,3,FALSE)*DW376*($K376)+IF($G376&lt;&gt;0,($I376/$G376)*DW376,0)*(1-$K376)</f>
        <v>6128490.0730446223</v>
      </c>
      <c r="DZ376" s="890">
        <f>VLOOKUP($E376,DW$442:DZ$453,4,FALSE)*DW376*($K376)+(DW376-DX376-DY376)*(1-$K376)</f>
        <v>13948085.018690856</v>
      </c>
      <c r="EA376" s="903"/>
      <c r="EE376" s="890">
        <f t="shared" si="1014"/>
        <v>29427473</v>
      </c>
      <c r="EF376" s="890">
        <f>VLOOKUP($E376,EE$442:EH$453,2,FALSE)*EE376*($K376)+IF($G376&lt;&gt;0,($H376/$G376)*EE376,0)*(1-$K376)</f>
        <v>9350897.9082645196</v>
      </c>
      <c r="EG376" s="890">
        <f>VLOOKUP($E376,EE$442:EH$453,3,FALSE)*EE376*($K376)+IF($G376&lt;&gt;0,($I376/$G376)*EE376,0)*(1-$K376)</f>
        <v>6128490.0730446223</v>
      </c>
      <c r="EH376" s="890">
        <f>VLOOKUP($E376,EE$442:EH$453,4,FALSE)*EE376*($K376)+(EE376-EF376-EG376)*(1-$K376)</f>
        <v>13948085.018690856</v>
      </c>
      <c r="EI376" s="903"/>
      <c r="EM376" s="890">
        <f t="shared" si="1018"/>
        <v>29427473</v>
      </c>
      <c r="EN376" s="890">
        <f>VLOOKUP($E376,EM$442:EP$453,2,FALSE)*EM376*($K376)+IF($G376&lt;&gt;0,($H376/$G376)*EM376,0)*(1-$K376)</f>
        <v>9350897.9082645196</v>
      </c>
      <c r="EO376" s="890">
        <f>VLOOKUP($E376,EM$442:EP$453,3,FALSE)*EM376*($K376)+IF($G376&lt;&gt;0,($I376/$G376)*EM376,0)*(1-$K376)</f>
        <v>6128490.0730446223</v>
      </c>
      <c r="EP376" s="890">
        <f>VLOOKUP($E376,EM$442:EP$453,4,FALSE)*EM376*($K376)+(EM376-EN376-EO376)*(1-$K376)</f>
        <v>13948085.018690856</v>
      </c>
      <c r="EQ376" s="903"/>
      <c r="EU376" s="890">
        <f t="shared" si="1022"/>
        <v>29427473</v>
      </c>
      <c r="EV376" s="890">
        <f>VLOOKUP($E376,EU$442:EX$453,2,FALSE)*EU376*($K376)+IF($G376&lt;&gt;0,($H376/$G376)*EU376,0)*(1-$K376)</f>
        <v>9350897.9082645196</v>
      </c>
      <c r="EW376" s="890">
        <f>VLOOKUP($E376,EU$442:EX$453,3,FALSE)*EU376*($K376)+IF($G376&lt;&gt;0,($I376/$G376)*EU376,0)*(1-$K376)</f>
        <v>6128490.0730446223</v>
      </c>
      <c r="EX376" s="890">
        <f>VLOOKUP($E376,EU$442:EX$453,4,FALSE)*EU376*($K376)+(EU376-EV376-EW376)*(1-$K376)</f>
        <v>13948085.018690856</v>
      </c>
      <c r="EY376" s="903"/>
      <c r="FC376" s="890">
        <f t="shared" si="1026"/>
        <v>29427473</v>
      </c>
      <c r="FD376" s="890">
        <f>VLOOKUP($E376,FC$442:FF$453,2,FALSE)*FC376*($K376)+IF($G376&lt;&gt;0,($H376/$G376)*FC376,0)*(1-$K376)</f>
        <v>9350897.9082645196</v>
      </c>
      <c r="FE376" s="890">
        <f>VLOOKUP($E376,FC$442:FF$453,3,FALSE)*FC376*($K376)+IF($G376&lt;&gt;0,($I376/$G376)*FC376,0)*(1-$K376)</f>
        <v>6128490.0730446223</v>
      </c>
      <c r="FF376" s="890">
        <f>VLOOKUP($E376,FC$442:FF$453,4,FALSE)*FC376*($K376)+(FC376-FD376-FE376)*(1-$K376)</f>
        <v>13948085.018690856</v>
      </c>
      <c r="FG376" s="903"/>
      <c r="FK376" s="890">
        <f t="shared" si="1030"/>
        <v>29427473</v>
      </c>
      <c r="FL376" s="890">
        <f>VLOOKUP($E376,FK$442:FN$453,2,FALSE)*FK376*($K376)+IF($G376&lt;&gt;0,($H376/$G376)*FK376,0)*(1-$K376)</f>
        <v>9350897.9082645196</v>
      </c>
      <c r="FM376" s="890">
        <f>VLOOKUP($E376,FK$442:FN$453,3,FALSE)*FK376*($K376)+IF($G376&lt;&gt;0,($I376/$G376)*FK376,0)*(1-$K376)</f>
        <v>6128490.0730446223</v>
      </c>
      <c r="FN376" s="890">
        <f>VLOOKUP($E376,FK$442:FN$453,4,FALSE)*FK376*($K376)+(FK376-FL376-FM376)*(1-$K376)</f>
        <v>13948085.018690856</v>
      </c>
      <c r="FO376" s="903"/>
    </row>
    <row r="377" spans="2:171">
      <c r="K377" s="903"/>
      <c r="S377" s="903"/>
      <c r="AA377" s="903"/>
      <c r="AI377" s="903"/>
      <c r="AQ377" s="903"/>
      <c r="AY377" s="903"/>
      <c r="BG377" s="903"/>
      <c r="BO377" s="903"/>
      <c r="BW377" s="903"/>
      <c r="CE377" s="903"/>
      <c r="CM377" s="903"/>
      <c r="CU377" s="903"/>
      <c r="DC377" s="903"/>
      <c r="DK377" s="903"/>
      <c r="DS377" s="903"/>
      <c r="EA377" s="903"/>
      <c r="EI377" s="903"/>
      <c r="EQ377" s="903"/>
      <c r="EY377" s="903"/>
      <c r="FG377" s="903"/>
      <c r="FO377" s="903"/>
    </row>
    <row r="378" spans="2:171">
      <c r="C378" s="108" t="s">
        <v>527</v>
      </c>
      <c r="G378" s="1648">
        <f>SUM(G370:G377)</f>
        <v>79888247</v>
      </c>
      <c r="H378" s="1648">
        <f>SUM(H370:H377)</f>
        <v>29244741.908264518</v>
      </c>
      <c r="I378" s="1648">
        <f>SUM(I370:I377)</f>
        <v>0</v>
      </c>
      <c r="J378" s="1648">
        <f>SUM(J370:J377)</f>
        <v>50643505.091735482</v>
      </c>
      <c r="K378" s="903"/>
      <c r="O378" s="905">
        <f>SUM(O370:O377)</f>
        <v>79888247</v>
      </c>
      <c r="P378" s="905">
        <f>SUM(P370:P377)</f>
        <v>29244741.908264518</v>
      </c>
      <c r="Q378" s="905">
        <f>SUM(Q370:Q377)</f>
        <v>6128490.0730446223</v>
      </c>
      <c r="R378" s="905">
        <f>SUM(R370:R377)</f>
        <v>44515015.018690854</v>
      </c>
      <c r="S378" s="903"/>
      <c r="W378" s="905">
        <f>SUM(W370:W377)</f>
        <v>79888247</v>
      </c>
      <c r="X378" s="905">
        <f>SUM(X370:X377)</f>
        <v>29244741.908264518</v>
      </c>
      <c r="Y378" s="905">
        <f>SUM(Y370:Y377)</f>
        <v>6128490.0730446223</v>
      </c>
      <c r="Z378" s="905">
        <f>SUM(Z370:Z377)</f>
        <v>44515015.018690854</v>
      </c>
      <c r="AA378" s="903"/>
      <c r="AE378" s="905">
        <f>SUM(AE370:AE377)</f>
        <v>79888247</v>
      </c>
      <c r="AF378" s="905">
        <f>SUM(AF370:AF377)</f>
        <v>29244741.908264518</v>
      </c>
      <c r="AG378" s="905">
        <f>SUM(AG370:AG377)</f>
        <v>6128490.0730446223</v>
      </c>
      <c r="AH378" s="905">
        <f>SUM(AH370:AH377)</f>
        <v>44515015.018690854</v>
      </c>
      <c r="AI378" s="903"/>
      <c r="AM378" s="905">
        <f>SUM(AM370:AM377)</f>
        <v>79888247</v>
      </c>
      <c r="AN378" s="905">
        <f>SUM(AN370:AN377)</f>
        <v>29244741.908264518</v>
      </c>
      <c r="AO378" s="905">
        <f>SUM(AO370:AO377)</f>
        <v>6128490.0730446223</v>
      </c>
      <c r="AP378" s="905">
        <f>SUM(AP370:AP377)</f>
        <v>44515015.018690854</v>
      </c>
      <c r="AQ378" s="903"/>
      <c r="AU378" s="905">
        <f>SUM(AU370:AU377)</f>
        <v>79888247</v>
      </c>
      <c r="AV378" s="905">
        <f>SUM(AV370:AV377)</f>
        <v>29244741.908264518</v>
      </c>
      <c r="AW378" s="905">
        <f>SUM(AW370:AW377)</f>
        <v>6128490.0730446223</v>
      </c>
      <c r="AX378" s="905">
        <f>SUM(AX370:AX377)</f>
        <v>44515015.018690854</v>
      </c>
      <c r="AY378" s="903"/>
      <c r="BC378" s="905">
        <f>SUM(BC370:BC377)</f>
        <v>79888247</v>
      </c>
      <c r="BD378" s="905">
        <f>SUM(BD370:BD377)</f>
        <v>29244741.908264518</v>
      </c>
      <c r="BE378" s="905">
        <f>SUM(BE370:BE377)</f>
        <v>6128490.0730446223</v>
      </c>
      <c r="BF378" s="905">
        <f>SUM(BF370:BF377)</f>
        <v>44515015.018690854</v>
      </c>
      <c r="BG378" s="903"/>
      <c r="BK378" s="905">
        <f>SUM(BK370:BK377)</f>
        <v>79888247</v>
      </c>
      <c r="BL378" s="905">
        <f>SUM(BL370:BL377)</f>
        <v>29244741.908264518</v>
      </c>
      <c r="BM378" s="905">
        <f>SUM(BM370:BM377)</f>
        <v>6128490.0730446223</v>
      </c>
      <c r="BN378" s="905">
        <f>SUM(BN370:BN377)</f>
        <v>44515015.018690854</v>
      </c>
      <c r="BO378" s="903"/>
      <c r="BS378" s="905">
        <f>SUM(BS370:BS377)</f>
        <v>79888247</v>
      </c>
      <c r="BT378" s="905">
        <f>SUM(BT370:BT377)</f>
        <v>29244741.908264518</v>
      </c>
      <c r="BU378" s="905">
        <f>SUM(BU370:BU377)</f>
        <v>6128490.0730446223</v>
      </c>
      <c r="BV378" s="905">
        <f>SUM(BV370:BV377)</f>
        <v>44515015.018690854</v>
      </c>
      <c r="BW378" s="903"/>
      <c r="CA378" s="905">
        <f>SUM(CA370:CA377)</f>
        <v>79888247</v>
      </c>
      <c r="CB378" s="905">
        <f>SUM(CB370:CB377)</f>
        <v>29244741.908264518</v>
      </c>
      <c r="CC378" s="905">
        <f>SUM(CC370:CC377)</f>
        <v>6128490.0730446223</v>
      </c>
      <c r="CD378" s="905">
        <f>SUM(CD370:CD377)</f>
        <v>44515015.018690854</v>
      </c>
      <c r="CE378" s="903"/>
      <c r="CI378" s="905">
        <f>SUM(CI370:CI377)</f>
        <v>79888247</v>
      </c>
      <c r="CJ378" s="905">
        <f>SUM(CJ370:CJ377)</f>
        <v>29244741.908264518</v>
      </c>
      <c r="CK378" s="905">
        <f>SUM(CK370:CK377)</f>
        <v>6128490.0730446223</v>
      </c>
      <c r="CL378" s="905">
        <f>SUM(CL370:CL377)</f>
        <v>44515015.018690854</v>
      </c>
      <c r="CM378" s="903"/>
      <c r="CQ378" s="905">
        <f>SUM(CQ370:CQ377)</f>
        <v>79888247</v>
      </c>
      <c r="CR378" s="905">
        <f>SUM(CR370:CR377)</f>
        <v>29244741.908264518</v>
      </c>
      <c r="CS378" s="905">
        <f>SUM(CS370:CS377)</f>
        <v>6128490.0730446223</v>
      </c>
      <c r="CT378" s="905">
        <f>SUM(CT370:CT377)</f>
        <v>44515015.018690854</v>
      </c>
      <c r="CU378" s="903"/>
      <c r="CY378" s="905">
        <f>SUM(CY370:CY377)</f>
        <v>79888247</v>
      </c>
      <c r="CZ378" s="905">
        <f>SUM(CZ370:CZ377)</f>
        <v>29244741.908264518</v>
      </c>
      <c r="DA378" s="905">
        <f>SUM(DA370:DA377)</f>
        <v>6128490.0730446223</v>
      </c>
      <c r="DB378" s="905">
        <f>SUM(DB370:DB377)</f>
        <v>44515015.018690854</v>
      </c>
      <c r="DC378" s="903"/>
      <c r="DG378" s="905">
        <f>SUM(DG370:DG377)</f>
        <v>79888247</v>
      </c>
      <c r="DH378" s="905">
        <f>SUM(DH370:DH377)</f>
        <v>29244741.908264518</v>
      </c>
      <c r="DI378" s="905">
        <f>SUM(DI370:DI377)</f>
        <v>6128490.0730446223</v>
      </c>
      <c r="DJ378" s="905">
        <f>SUM(DJ370:DJ377)</f>
        <v>44515015.018690854</v>
      </c>
      <c r="DK378" s="903"/>
      <c r="DO378" s="905">
        <f>SUM(DO370:DO377)</f>
        <v>79888247</v>
      </c>
      <c r="DP378" s="905">
        <f>SUM(DP370:DP377)</f>
        <v>29244741.908264518</v>
      </c>
      <c r="DQ378" s="905">
        <f>SUM(DQ370:DQ377)</f>
        <v>6128490.0730446223</v>
      </c>
      <c r="DR378" s="905">
        <f>SUM(DR370:DR377)</f>
        <v>44515015.018690854</v>
      </c>
      <c r="DS378" s="903"/>
      <c r="DW378" s="905">
        <f>SUM(DW370:DW377)</f>
        <v>79888247</v>
      </c>
      <c r="DX378" s="905">
        <f>SUM(DX370:DX377)</f>
        <v>29244741.908264518</v>
      </c>
      <c r="DY378" s="905">
        <f>SUM(DY370:DY377)</f>
        <v>6128490.0730446223</v>
      </c>
      <c r="DZ378" s="905">
        <f>SUM(DZ370:DZ377)</f>
        <v>44515015.018690854</v>
      </c>
      <c r="EA378" s="903"/>
      <c r="EE378" s="905">
        <f>SUM(EE370:EE377)</f>
        <v>79888247</v>
      </c>
      <c r="EF378" s="905">
        <f>SUM(EF370:EF377)</f>
        <v>29244741.908264518</v>
      </c>
      <c r="EG378" s="905">
        <f>SUM(EG370:EG377)</f>
        <v>6128490.0730446223</v>
      </c>
      <c r="EH378" s="905">
        <f>SUM(EH370:EH377)</f>
        <v>44515015.018690854</v>
      </c>
      <c r="EI378" s="903"/>
      <c r="EM378" s="905">
        <f>SUM(EM370:EM377)</f>
        <v>79888247</v>
      </c>
      <c r="EN378" s="905">
        <f>SUM(EN370:EN377)</f>
        <v>29244741.908264518</v>
      </c>
      <c r="EO378" s="905">
        <f>SUM(EO370:EO377)</f>
        <v>6128490.0730446223</v>
      </c>
      <c r="EP378" s="905">
        <f>SUM(EP370:EP377)</f>
        <v>44515015.018690854</v>
      </c>
      <c r="EQ378" s="903"/>
      <c r="EU378" s="905">
        <f>SUM(EU370:EU377)</f>
        <v>79888247</v>
      </c>
      <c r="EV378" s="905">
        <f>SUM(EV370:EV377)</f>
        <v>29244741.908264518</v>
      </c>
      <c r="EW378" s="905">
        <f>SUM(EW370:EW377)</f>
        <v>6128490.0730446223</v>
      </c>
      <c r="EX378" s="905">
        <f>SUM(EX370:EX377)</f>
        <v>44515015.018690854</v>
      </c>
      <c r="EY378" s="903"/>
      <c r="FC378" s="905">
        <f>SUM(FC370:FC377)</f>
        <v>79888247</v>
      </c>
      <c r="FD378" s="905">
        <f>SUM(FD370:FD377)</f>
        <v>29244741.908264518</v>
      </c>
      <c r="FE378" s="905">
        <f>SUM(FE370:FE377)</f>
        <v>6128490.0730446223</v>
      </c>
      <c r="FF378" s="905">
        <f>SUM(FF370:FF377)</f>
        <v>44515015.018690854</v>
      </c>
      <c r="FG378" s="903"/>
      <c r="FK378" s="905">
        <f>SUM(FK370:FK377)</f>
        <v>79888247</v>
      </c>
      <c r="FL378" s="905">
        <f>SUM(FL370:FL377)</f>
        <v>29244741.908264518</v>
      </c>
      <c r="FM378" s="905">
        <f>SUM(FM370:FM377)</f>
        <v>6128490.0730446223</v>
      </c>
      <c r="FN378" s="905">
        <f>SUM(FN370:FN377)</f>
        <v>44515015.018690854</v>
      </c>
      <c r="FO378" s="903"/>
    </row>
    <row r="379" spans="2:171">
      <c r="D379" s="1299" t="s">
        <v>643</v>
      </c>
      <c r="E379" s="1295"/>
      <c r="G379" s="1649">
        <f>SUM(H379:J379)</f>
        <v>1</v>
      </c>
      <c r="H379" s="1649">
        <f>H378/$G378</f>
        <v>0.36607064250971133</v>
      </c>
      <c r="I379" s="1649">
        <f>I378/$G378</f>
        <v>0</v>
      </c>
      <c r="J379" s="1649">
        <f>J378/$G378</f>
        <v>0.63392935749028867</v>
      </c>
      <c r="K379" s="903"/>
      <c r="L379" s="1074" t="s">
        <v>643</v>
      </c>
      <c r="O379" s="1077">
        <f>SUM(P379:R379)</f>
        <v>1</v>
      </c>
      <c r="P379" s="1077">
        <f>P378/$G378</f>
        <v>0.36607064250971133</v>
      </c>
      <c r="Q379" s="1077">
        <f>Q378/$G378</f>
        <v>7.6713287663511029E-2</v>
      </c>
      <c r="R379" s="1077">
        <f>R378/$G378</f>
        <v>0.55721606982677763</v>
      </c>
      <c r="S379" s="903"/>
      <c r="T379" s="1074" t="s">
        <v>643</v>
      </c>
      <c r="W379" s="1077">
        <f>SUM(X379:Z379)</f>
        <v>1</v>
      </c>
      <c r="X379" s="1077">
        <f>X378/$G378</f>
        <v>0.36607064250971133</v>
      </c>
      <c r="Y379" s="1077">
        <f>Y378/$G378</f>
        <v>7.6713287663511029E-2</v>
      </c>
      <c r="Z379" s="1077">
        <f>Z378/$G378</f>
        <v>0.55721606982677763</v>
      </c>
      <c r="AA379" s="903"/>
      <c r="AB379" s="1074" t="s">
        <v>643</v>
      </c>
      <c r="AE379" s="1077">
        <f>SUM(AF379:AH379)</f>
        <v>1</v>
      </c>
      <c r="AF379" s="1077">
        <f>AF378/$G378</f>
        <v>0.36607064250971133</v>
      </c>
      <c r="AG379" s="1077">
        <f>AG378/$G378</f>
        <v>7.6713287663511029E-2</v>
      </c>
      <c r="AH379" s="1077">
        <f>AH378/$G378</f>
        <v>0.55721606982677763</v>
      </c>
      <c r="AI379" s="903"/>
      <c r="AJ379" s="1074" t="s">
        <v>643</v>
      </c>
      <c r="AM379" s="1077">
        <f>SUM(AN379:AP379)</f>
        <v>1</v>
      </c>
      <c r="AN379" s="1077">
        <f>AN378/$G378</f>
        <v>0.36607064250971133</v>
      </c>
      <c r="AO379" s="1077">
        <f>AO378/$G378</f>
        <v>7.6713287663511029E-2</v>
      </c>
      <c r="AP379" s="1077">
        <f>AP378/$G378</f>
        <v>0.55721606982677763</v>
      </c>
      <c r="AQ379" s="903"/>
      <c r="AR379" s="1074" t="s">
        <v>643</v>
      </c>
      <c r="AU379" s="1077">
        <f>SUM(AV379:AX379)</f>
        <v>1</v>
      </c>
      <c r="AV379" s="1077">
        <f>AV378/$G378</f>
        <v>0.36607064250971133</v>
      </c>
      <c r="AW379" s="1077">
        <f>AW378/$G378</f>
        <v>7.6713287663511029E-2</v>
      </c>
      <c r="AX379" s="1077">
        <f>AX378/$G378</f>
        <v>0.55721606982677763</v>
      </c>
      <c r="AY379" s="903"/>
      <c r="AZ379" s="1074" t="s">
        <v>643</v>
      </c>
      <c r="BC379" s="1077">
        <f>SUM(BD379:BF379)</f>
        <v>1</v>
      </c>
      <c r="BD379" s="1077">
        <f>BD378/$G378</f>
        <v>0.36607064250971133</v>
      </c>
      <c r="BE379" s="1077">
        <f>BE378/$G378</f>
        <v>7.6713287663511029E-2</v>
      </c>
      <c r="BF379" s="1077">
        <f>BF378/$G378</f>
        <v>0.55721606982677763</v>
      </c>
      <c r="BG379" s="903"/>
      <c r="BH379" s="1074" t="s">
        <v>643</v>
      </c>
      <c r="BK379" s="1077">
        <f>SUM(BL379:BN379)</f>
        <v>1</v>
      </c>
      <c r="BL379" s="1077">
        <f>BL378/$G378</f>
        <v>0.36607064250971133</v>
      </c>
      <c r="BM379" s="1077">
        <f>BM378/$G378</f>
        <v>7.6713287663511029E-2</v>
      </c>
      <c r="BN379" s="1077">
        <f>BN378/$G378</f>
        <v>0.55721606982677763</v>
      </c>
      <c r="BO379" s="903"/>
      <c r="BP379" s="1074" t="s">
        <v>643</v>
      </c>
      <c r="BS379" s="1077">
        <f>SUM(BT379:BV379)</f>
        <v>1</v>
      </c>
      <c r="BT379" s="1077">
        <f>BT378/$G378</f>
        <v>0.36607064250971133</v>
      </c>
      <c r="BU379" s="1077">
        <f>BU378/$G378</f>
        <v>7.6713287663511029E-2</v>
      </c>
      <c r="BV379" s="1077">
        <f>BV378/$G378</f>
        <v>0.55721606982677763</v>
      </c>
      <c r="BW379" s="903"/>
      <c r="BX379" s="1074" t="s">
        <v>643</v>
      </c>
      <c r="CA379" s="1077">
        <f>SUM(CB379:CD379)</f>
        <v>1</v>
      </c>
      <c r="CB379" s="1077">
        <f>CB378/$G378</f>
        <v>0.36607064250971133</v>
      </c>
      <c r="CC379" s="1077">
        <f>CC378/$G378</f>
        <v>7.6713287663511029E-2</v>
      </c>
      <c r="CD379" s="1077">
        <f>CD378/$G378</f>
        <v>0.55721606982677763</v>
      </c>
      <c r="CE379" s="903"/>
      <c r="CF379" s="1074" t="s">
        <v>643</v>
      </c>
      <c r="CI379" s="1077">
        <f>SUM(CJ379:CL379)</f>
        <v>1</v>
      </c>
      <c r="CJ379" s="1077">
        <f>CJ378/$G378</f>
        <v>0.36607064250971133</v>
      </c>
      <c r="CK379" s="1077">
        <f>CK378/$G378</f>
        <v>7.6713287663511029E-2</v>
      </c>
      <c r="CL379" s="1077">
        <f>CL378/$G378</f>
        <v>0.55721606982677763</v>
      </c>
      <c r="CM379" s="903"/>
      <c r="CN379" s="1074" t="s">
        <v>643</v>
      </c>
      <c r="CQ379" s="1077">
        <f>SUM(CR379:CT379)</f>
        <v>1</v>
      </c>
      <c r="CR379" s="1077">
        <f>CR378/$G378</f>
        <v>0.36607064250971133</v>
      </c>
      <c r="CS379" s="1077">
        <f>CS378/$G378</f>
        <v>7.6713287663511029E-2</v>
      </c>
      <c r="CT379" s="1077">
        <f>CT378/$G378</f>
        <v>0.55721606982677763</v>
      </c>
      <c r="CU379" s="903"/>
      <c r="CV379" s="1074" t="s">
        <v>643</v>
      </c>
      <c r="CY379" s="1077">
        <f>SUM(CZ379:DB379)</f>
        <v>1</v>
      </c>
      <c r="CZ379" s="1077">
        <f>CZ378/$G378</f>
        <v>0.36607064250971133</v>
      </c>
      <c r="DA379" s="1077">
        <f>DA378/$G378</f>
        <v>7.6713287663511029E-2</v>
      </c>
      <c r="DB379" s="1077">
        <f>DB378/$G378</f>
        <v>0.55721606982677763</v>
      </c>
      <c r="DC379" s="903"/>
      <c r="DD379" s="1074" t="s">
        <v>643</v>
      </c>
      <c r="DG379" s="1077">
        <f>SUM(DH379:DJ379)</f>
        <v>1</v>
      </c>
      <c r="DH379" s="1077">
        <f>DH378/$G378</f>
        <v>0.36607064250971133</v>
      </c>
      <c r="DI379" s="1077">
        <f>DI378/$G378</f>
        <v>7.6713287663511029E-2</v>
      </c>
      <c r="DJ379" s="1077">
        <f>DJ378/$G378</f>
        <v>0.55721606982677763</v>
      </c>
      <c r="DK379" s="903"/>
      <c r="DL379" s="1074" t="s">
        <v>643</v>
      </c>
      <c r="DO379" s="1077">
        <f>SUM(DP379:DR379)</f>
        <v>1</v>
      </c>
      <c r="DP379" s="1077">
        <f>DP378/$G378</f>
        <v>0.36607064250971133</v>
      </c>
      <c r="DQ379" s="1077">
        <f>DQ378/$G378</f>
        <v>7.6713287663511029E-2</v>
      </c>
      <c r="DR379" s="1077">
        <f>DR378/$G378</f>
        <v>0.55721606982677763</v>
      </c>
      <c r="DS379" s="903"/>
      <c r="DT379" s="1074" t="s">
        <v>643</v>
      </c>
      <c r="DW379" s="1077">
        <f>SUM(DX379:DZ379)</f>
        <v>1</v>
      </c>
      <c r="DX379" s="1077">
        <f>DX378/$G378</f>
        <v>0.36607064250971133</v>
      </c>
      <c r="DY379" s="1077">
        <f>DY378/$G378</f>
        <v>7.6713287663511029E-2</v>
      </c>
      <c r="DZ379" s="1077">
        <f>DZ378/$G378</f>
        <v>0.55721606982677763</v>
      </c>
      <c r="EA379" s="903"/>
      <c r="EB379" s="1074" t="s">
        <v>643</v>
      </c>
      <c r="EE379" s="1077">
        <f>SUM(EF379:EH379)</f>
        <v>1</v>
      </c>
      <c r="EF379" s="1077">
        <f>EF378/$G378</f>
        <v>0.36607064250971133</v>
      </c>
      <c r="EG379" s="1077">
        <f>EG378/$G378</f>
        <v>7.6713287663511029E-2</v>
      </c>
      <c r="EH379" s="1077">
        <f>EH378/$G378</f>
        <v>0.55721606982677763</v>
      </c>
      <c r="EI379" s="903"/>
      <c r="EJ379" s="1074" t="s">
        <v>643</v>
      </c>
      <c r="EM379" s="1077">
        <f>SUM(EN379:EP379)</f>
        <v>1</v>
      </c>
      <c r="EN379" s="1077">
        <f>EN378/$G378</f>
        <v>0.36607064250971133</v>
      </c>
      <c r="EO379" s="1077">
        <f>EO378/$G378</f>
        <v>7.6713287663511029E-2</v>
      </c>
      <c r="EP379" s="1077">
        <f>EP378/$G378</f>
        <v>0.55721606982677763</v>
      </c>
      <c r="EQ379" s="903"/>
      <c r="ER379" s="1074" t="s">
        <v>643</v>
      </c>
      <c r="EU379" s="1077">
        <f>SUM(EV379:EX379)</f>
        <v>1</v>
      </c>
      <c r="EV379" s="1077">
        <f>EV378/$G378</f>
        <v>0.36607064250971133</v>
      </c>
      <c r="EW379" s="1077">
        <f>EW378/$G378</f>
        <v>7.6713287663511029E-2</v>
      </c>
      <c r="EX379" s="1077">
        <f>EX378/$G378</f>
        <v>0.55721606982677763</v>
      </c>
      <c r="EY379" s="903"/>
      <c r="EZ379" s="1074" t="s">
        <v>643</v>
      </c>
      <c r="FC379" s="1077">
        <f>SUM(FD379:FF379)</f>
        <v>1</v>
      </c>
      <c r="FD379" s="1077">
        <f>FD378/$G378</f>
        <v>0.36607064250971133</v>
      </c>
      <c r="FE379" s="1077">
        <f>FE378/$G378</f>
        <v>7.6713287663511029E-2</v>
      </c>
      <c r="FF379" s="1077">
        <f>FF378/$G378</f>
        <v>0.55721606982677763</v>
      </c>
      <c r="FG379" s="903"/>
      <c r="FH379" s="1074" t="s">
        <v>643</v>
      </c>
      <c r="FK379" s="1077">
        <f>SUM(FL379:FN379)</f>
        <v>1</v>
      </c>
      <c r="FL379" s="1077">
        <f>FL378/$G378</f>
        <v>0.36607064250971133</v>
      </c>
      <c r="FM379" s="1077">
        <f>FM378/$G378</f>
        <v>7.6713287663511029E-2</v>
      </c>
      <c r="FN379" s="1077">
        <f>FN378/$G378</f>
        <v>0.55721606982677763</v>
      </c>
      <c r="FO379" s="903"/>
    </row>
    <row r="380" spans="2:171">
      <c r="K380" s="903"/>
      <c r="S380" s="903"/>
      <c r="AA380" s="903"/>
      <c r="AI380" s="903"/>
      <c r="AQ380" s="903"/>
      <c r="AY380" s="903"/>
      <c r="BG380" s="903"/>
      <c r="BO380" s="903"/>
      <c r="BW380" s="903"/>
      <c r="CE380" s="903"/>
      <c r="CM380" s="903"/>
      <c r="CU380" s="903"/>
      <c r="DC380" s="903"/>
      <c r="DK380" s="903"/>
      <c r="DS380" s="903"/>
      <c r="EA380" s="903"/>
      <c r="EI380" s="903"/>
      <c r="EQ380" s="903"/>
      <c r="EY380" s="903"/>
      <c r="FG380" s="903"/>
      <c r="FO380" s="903"/>
    </row>
    <row r="381" spans="2:171">
      <c r="E381" s="302" t="s">
        <v>525</v>
      </c>
      <c r="G381" s="303" t="s">
        <v>104</v>
      </c>
      <c r="H381" s="303" t="s">
        <v>105</v>
      </c>
      <c r="I381" s="303" t="s">
        <v>106</v>
      </c>
      <c r="J381" s="304" t="s">
        <v>516</v>
      </c>
      <c r="K381" s="903"/>
      <c r="O381" s="303" t="s">
        <v>104</v>
      </c>
      <c r="P381" s="303" t="s">
        <v>105</v>
      </c>
      <c r="Q381" s="303" t="s">
        <v>106</v>
      </c>
      <c r="R381" s="304" t="s">
        <v>516</v>
      </c>
      <c r="S381" s="903"/>
      <c r="W381" s="303" t="s">
        <v>104</v>
      </c>
      <c r="X381" s="303" t="s">
        <v>105</v>
      </c>
      <c r="Y381" s="303" t="s">
        <v>106</v>
      </c>
      <c r="Z381" s="304" t="s">
        <v>516</v>
      </c>
      <c r="AA381" s="903"/>
      <c r="AE381" s="303" t="s">
        <v>104</v>
      </c>
      <c r="AF381" s="303" t="s">
        <v>105</v>
      </c>
      <c r="AG381" s="303" t="s">
        <v>106</v>
      </c>
      <c r="AH381" s="304" t="s">
        <v>516</v>
      </c>
      <c r="AI381" s="903"/>
      <c r="AM381" s="303" t="s">
        <v>104</v>
      </c>
      <c r="AN381" s="303" t="s">
        <v>105</v>
      </c>
      <c r="AO381" s="303" t="s">
        <v>106</v>
      </c>
      <c r="AP381" s="304" t="s">
        <v>516</v>
      </c>
      <c r="AQ381" s="903"/>
      <c r="AU381" s="303" t="s">
        <v>104</v>
      </c>
      <c r="AV381" s="303" t="s">
        <v>105</v>
      </c>
      <c r="AW381" s="303" t="s">
        <v>106</v>
      </c>
      <c r="AX381" s="304" t="s">
        <v>516</v>
      </c>
      <c r="AY381" s="903"/>
      <c r="BC381" s="303" t="s">
        <v>104</v>
      </c>
      <c r="BD381" s="303" t="s">
        <v>105</v>
      </c>
      <c r="BE381" s="303" t="s">
        <v>106</v>
      </c>
      <c r="BF381" s="304" t="s">
        <v>516</v>
      </c>
      <c r="BG381" s="903"/>
      <c r="BK381" s="303" t="s">
        <v>104</v>
      </c>
      <c r="BL381" s="303" t="s">
        <v>105</v>
      </c>
      <c r="BM381" s="303" t="s">
        <v>106</v>
      </c>
      <c r="BN381" s="304" t="s">
        <v>516</v>
      </c>
      <c r="BO381" s="903"/>
      <c r="BS381" s="303" t="s">
        <v>104</v>
      </c>
      <c r="BT381" s="303" t="s">
        <v>105</v>
      </c>
      <c r="BU381" s="303" t="s">
        <v>106</v>
      </c>
      <c r="BV381" s="304" t="s">
        <v>516</v>
      </c>
      <c r="BW381" s="903"/>
      <c r="CA381" s="303" t="s">
        <v>104</v>
      </c>
      <c r="CB381" s="303" t="s">
        <v>105</v>
      </c>
      <c r="CC381" s="303" t="s">
        <v>106</v>
      </c>
      <c r="CD381" s="304" t="s">
        <v>516</v>
      </c>
      <c r="CE381" s="903"/>
      <c r="CI381" s="303" t="s">
        <v>104</v>
      </c>
      <c r="CJ381" s="303" t="s">
        <v>105</v>
      </c>
      <c r="CK381" s="303" t="s">
        <v>106</v>
      </c>
      <c r="CL381" s="304" t="s">
        <v>516</v>
      </c>
      <c r="CM381" s="903"/>
      <c r="CQ381" s="303" t="s">
        <v>104</v>
      </c>
      <c r="CR381" s="303" t="s">
        <v>105</v>
      </c>
      <c r="CS381" s="303" t="s">
        <v>106</v>
      </c>
      <c r="CT381" s="304" t="s">
        <v>516</v>
      </c>
      <c r="CU381" s="903"/>
      <c r="CY381" s="303" t="s">
        <v>104</v>
      </c>
      <c r="CZ381" s="303" t="s">
        <v>105</v>
      </c>
      <c r="DA381" s="303" t="s">
        <v>106</v>
      </c>
      <c r="DB381" s="304" t="s">
        <v>516</v>
      </c>
      <c r="DC381" s="903"/>
      <c r="DG381" s="303" t="s">
        <v>104</v>
      </c>
      <c r="DH381" s="303" t="s">
        <v>105</v>
      </c>
      <c r="DI381" s="303" t="s">
        <v>106</v>
      </c>
      <c r="DJ381" s="304" t="s">
        <v>516</v>
      </c>
      <c r="DK381" s="903"/>
      <c r="DO381" s="303" t="s">
        <v>104</v>
      </c>
      <c r="DP381" s="303" t="s">
        <v>105</v>
      </c>
      <c r="DQ381" s="303" t="s">
        <v>106</v>
      </c>
      <c r="DR381" s="304" t="s">
        <v>516</v>
      </c>
      <c r="DS381" s="903"/>
      <c r="DW381" s="303" t="s">
        <v>104</v>
      </c>
      <c r="DX381" s="303" t="s">
        <v>105</v>
      </c>
      <c r="DY381" s="303" t="s">
        <v>106</v>
      </c>
      <c r="DZ381" s="304" t="s">
        <v>516</v>
      </c>
      <c r="EA381" s="903"/>
      <c r="EE381" s="303" t="s">
        <v>104</v>
      </c>
      <c r="EF381" s="303" t="s">
        <v>105</v>
      </c>
      <c r="EG381" s="303" t="s">
        <v>106</v>
      </c>
      <c r="EH381" s="304" t="s">
        <v>516</v>
      </c>
      <c r="EI381" s="903"/>
      <c r="EM381" s="303" t="s">
        <v>104</v>
      </c>
      <c r="EN381" s="303" t="s">
        <v>105</v>
      </c>
      <c r="EO381" s="303" t="s">
        <v>106</v>
      </c>
      <c r="EP381" s="304" t="s">
        <v>516</v>
      </c>
      <c r="EQ381" s="903"/>
      <c r="EU381" s="303" t="s">
        <v>104</v>
      </c>
      <c r="EV381" s="303" t="s">
        <v>105</v>
      </c>
      <c r="EW381" s="303" t="s">
        <v>106</v>
      </c>
      <c r="EX381" s="304" t="s">
        <v>516</v>
      </c>
      <c r="EY381" s="903"/>
      <c r="FC381" s="303" t="s">
        <v>104</v>
      </c>
      <c r="FD381" s="303" t="s">
        <v>105</v>
      </c>
      <c r="FE381" s="303" t="s">
        <v>106</v>
      </c>
      <c r="FF381" s="304" t="s">
        <v>516</v>
      </c>
      <c r="FG381" s="903"/>
      <c r="FK381" s="303" t="s">
        <v>104</v>
      </c>
      <c r="FL381" s="303" t="s">
        <v>105</v>
      </c>
      <c r="FM381" s="303" t="s">
        <v>106</v>
      </c>
      <c r="FN381" s="304" t="s">
        <v>516</v>
      </c>
      <c r="FO381" s="903"/>
    </row>
    <row r="382" spans="2:171">
      <c r="B382" s="108"/>
      <c r="C382" s="108" t="s">
        <v>125</v>
      </c>
      <c r="D382" s="1071"/>
      <c r="E382" s="904" t="str">
        <f t="shared" ref="E382:E393" si="1034">E37</f>
        <v>PTD</v>
      </c>
      <c r="G382" s="890">
        <f t="shared" ref="G382:J393" si="1035">G37</f>
        <v>1083006</v>
      </c>
      <c r="H382" s="890">
        <f t="shared" si="1035"/>
        <v>344136.87305185618</v>
      </c>
      <c r="I382" s="890">
        <f t="shared" si="1035"/>
        <v>0</v>
      </c>
      <c r="J382" s="890">
        <f t="shared" si="1035"/>
        <v>738869.1269481437</v>
      </c>
      <c r="K382" s="1073">
        <f t="shared" ref="K382:K393" si="1036">IF($E382="DIRECT",0,1)</f>
        <v>1</v>
      </c>
      <c r="L382" s="1071"/>
      <c r="N382" s="1072"/>
      <c r="O382" s="890">
        <f t="shared" ref="O382:R393" si="1037">O37</f>
        <v>1083006</v>
      </c>
      <c r="P382" s="890">
        <f t="shared" si="1037"/>
        <v>344136.87305185618</v>
      </c>
      <c r="Q382" s="890">
        <f t="shared" si="1037"/>
        <v>225544.05266288968</v>
      </c>
      <c r="R382" s="890">
        <f t="shared" si="1037"/>
        <v>513325.07428525412</v>
      </c>
      <c r="S382" s="1073"/>
      <c r="T382" s="1071"/>
      <c r="V382" s="1072"/>
      <c r="W382" s="890">
        <f t="shared" ref="W382:Z393" si="1038">W37</f>
        <v>1083006</v>
      </c>
      <c r="X382" s="890">
        <f t="shared" si="1038"/>
        <v>344136.87305185618</v>
      </c>
      <c r="Y382" s="890">
        <f t="shared" si="1038"/>
        <v>225544.05266288968</v>
      </c>
      <c r="Z382" s="890">
        <f t="shared" si="1038"/>
        <v>513325.07428525412</v>
      </c>
      <c r="AA382" s="1073"/>
      <c r="AB382" s="1071"/>
      <c r="AD382" s="1072"/>
      <c r="AE382" s="890">
        <f t="shared" ref="AE382:AH393" si="1039">AE37</f>
        <v>1083006</v>
      </c>
      <c r="AF382" s="890">
        <f t="shared" si="1039"/>
        <v>344136.87305185618</v>
      </c>
      <c r="AG382" s="890">
        <f t="shared" si="1039"/>
        <v>225544.05266288968</v>
      </c>
      <c r="AH382" s="890">
        <f t="shared" si="1039"/>
        <v>513325.07428525412</v>
      </c>
      <c r="AI382" s="1073"/>
      <c r="AJ382" s="1071"/>
      <c r="AL382" s="1072"/>
      <c r="AM382" s="890">
        <f t="shared" ref="AM382:AP393" si="1040">AM37</f>
        <v>1083006</v>
      </c>
      <c r="AN382" s="890">
        <f t="shared" si="1040"/>
        <v>344136.87305185618</v>
      </c>
      <c r="AO382" s="890">
        <f t="shared" si="1040"/>
        <v>225544.05266288968</v>
      </c>
      <c r="AP382" s="890">
        <f t="shared" si="1040"/>
        <v>513325.07428525412</v>
      </c>
      <c r="AQ382" s="1073"/>
      <c r="AR382" s="1071"/>
      <c r="AT382" s="1072"/>
      <c r="AU382" s="890">
        <f t="shared" ref="AU382:AX393" si="1041">AU37</f>
        <v>1083006</v>
      </c>
      <c r="AV382" s="890">
        <f t="shared" si="1041"/>
        <v>344136.87305185618</v>
      </c>
      <c r="AW382" s="890">
        <f t="shared" si="1041"/>
        <v>225544.05266288968</v>
      </c>
      <c r="AX382" s="890">
        <f t="shared" si="1041"/>
        <v>513325.07428525412</v>
      </c>
      <c r="AY382" s="1073"/>
      <c r="AZ382" s="1071"/>
      <c r="BB382" s="1072"/>
      <c r="BC382" s="890">
        <f t="shared" ref="BC382:BF393" si="1042">BC37</f>
        <v>1083006</v>
      </c>
      <c r="BD382" s="890">
        <f t="shared" si="1042"/>
        <v>344136.87305185618</v>
      </c>
      <c r="BE382" s="890">
        <f t="shared" si="1042"/>
        <v>225544.05266288968</v>
      </c>
      <c r="BF382" s="890">
        <f t="shared" si="1042"/>
        <v>513325.07428525412</v>
      </c>
      <c r="BG382" s="1073"/>
      <c r="BH382" s="1071"/>
      <c r="BJ382" s="1072"/>
      <c r="BK382" s="890">
        <f t="shared" ref="BK382:BN393" si="1043">BK37</f>
        <v>1083006</v>
      </c>
      <c r="BL382" s="890">
        <f t="shared" si="1043"/>
        <v>344136.87305185618</v>
      </c>
      <c r="BM382" s="890">
        <f t="shared" si="1043"/>
        <v>225544.05266288968</v>
      </c>
      <c r="BN382" s="890">
        <f t="shared" si="1043"/>
        <v>513325.07428525412</v>
      </c>
      <c r="BO382" s="1073"/>
      <c r="BP382" s="1071"/>
      <c r="BR382" s="1072"/>
      <c r="BS382" s="890">
        <f t="shared" ref="BS382:BV393" si="1044">BS37</f>
        <v>1083006</v>
      </c>
      <c r="BT382" s="890">
        <f t="shared" si="1044"/>
        <v>344136.87305185618</v>
      </c>
      <c r="BU382" s="890">
        <f t="shared" si="1044"/>
        <v>225544.05266288968</v>
      </c>
      <c r="BV382" s="890">
        <f t="shared" si="1044"/>
        <v>513325.07428525412</v>
      </c>
      <c r="BW382" s="1073"/>
      <c r="BX382" s="1071"/>
      <c r="BZ382" s="1072"/>
      <c r="CA382" s="890">
        <f t="shared" ref="CA382:CD393" si="1045">CA37</f>
        <v>1083006</v>
      </c>
      <c r="CB382" s="890">
        <f t="shared" si="1045"/>
        <v>344136.87305185618</v>
      </c>
      <c r="CC382" s="890">
        <f t="shared" si="1045"/>
        <v>225544.05266288968</v>
      </c>
      <c r="CD382" s="890">
        <f t="shared" si="1045"/>
        <v>513325.07428525412</v>
      </c>
      <c r="CE382" s="1073"/>
      <c r="CF382" s="1071"/>
      <c r="CH382" s="1072"/>
      <c r="CI382" s="890">
        <f t="shared" ref="CI382:CL393" si="1046">CI37</f>
        <v>1083006</v>
      </c>
      <c r="CJ382" s="890">
        <f t="shared" si="1046"/>
        <v>344136.87305185618</v>
      </c>
      <c r="CK382" s="890">
        <f t="shared" si="1046"/>
        <v>225544.05266288968</v>
      </c>
      <c r="CL382" s="890">
        <f t="shared" si="1046"/>
        <v>513325.07428525412</v>
      </c>
      <c r="CM382" s="1073"/>
      <c r="CN382" s="1071"/>
      <c r="CP382" s="1072"/>
      <c r="CQ382" s="890">
        <f t="shared" ref="CQ382:CT393" si="1047">CQ37</f>
        <v>1083006</v>
      </c>
      <c r="CR382" s="890">
        <f t="shared" si="1047"/>
        <v>344136.87305185618</v>
      </c>
      <c r="CS382" s="890">
        <f t="shared" si="1047"/>
        <v>225544.05266288968</v>
      </c>
      <c r="CT382" s="890">
        <f t="shared" si="1047"/>
        <v>513325.07428525412</v>
      </c>
      <c r="CU382" s="1073"/>
      <c r="CV382" s="1071"/>
      <c r="CX382" s="1072"/>
      <c r="CY382" s="890">
        <f t="shared" ref="CY382:DB393" si="1048">CY37</f>
        <v>1083006</v>
      </c>
      <c r="CZ382" s="890">
        <f t="shared" si="1048"/>
        <v>344136.87305185618</v>
      </c>
      <c r="DA382" s="890">
        <f t="shared" si="1048"/>
        <v>225544.05266288968</v>
      </c>
      <c r="DB382" s="890">
        <f t="shared" si="1048"/>
        <v>513325.07428525412</v>
      </c>
      <c r="DC382" s="1073"/>
      <c r="DD382" s="1071"/>
      <c r="DF382" s="1072"/>
      <c r="DG382" s="890">
        <f t="shared" ref="DG382:DJ393" si="1049">DG37</f>
        <v>1083006</v>
      </c>
      <c r="DH382" s="890">
        <f t="shared" si="1049"/>
        <v>344136.87305185618</v>
      </c>
      <c r="DI382" s="890">
        <f t="shared" si="1049"/>
        <v>225544.05266288968</v>
      </c>
      <c r="DJ382" s="890">
        <f t="shared" si="1049"/>
        <v>513325.07428525412</v>
      </c>
      <c r="DK382" s="1073"/>
      <c r="DL382" s="1071"/>
      <c r="DN382" s="1072"/>
      <c r="DO382" s="890">
        <f t="shared" ref="DO382:DR393" si="1050">DO37</f>
        <v>1083006</v>
      </c>
      <c r="DP382" s="890">
        <f t="shared" si="1050"/>
        <v>344136.87305185618</v>
      </c>
      <c r="DQ382" s="890">
        <f t="shared" si="1050"/>
        <v>225544.05266288968</v>
      </c>
      <c r="DR382" s="890">
        <f t="shared" si="1050"/>
        <v>513325.07428525412</v>
      </c>
      <c r="DS382" s="1073"/>
      <c r="DT382" s="1071"/>
      <c r="DV382" s="1072"/>
      <c r="DW382" s="890">
        <f t="shared" ref="DW382:DZ393" si="1051">DW37</f>
        <v>1083006</v>
      </c>
      <c r="DX382" s="890">
        <f t="shared" si="1051"/>
        <v>344136.87305185618</v>
      </c>
      <c r="DY382" s="890">
        <f t="shared" si="1051"/>
        <v>225544.05266288968</v>
      </c>
      <c r="DZ382" s="890">
        <f t="shared" si="1051"/>
        <v>513325.07428525412</v>
      </c>
      <c r="EA382" s="1073"/>
      <c r="EB382" s="1071"/>
      <c r="ED382" s="1072"/>
      <c r="EE382" s="890">
        <f t="shared" ref="EE382:EH393" si="1052">EE37</f>
        <v>1083006</v>
      </c>
      <c r="EF382" s="890">
        <f t="shared" si="1052"/>
        <v>344136.87305185618</v>
      </c>
      <c r="EG382" s="890">
        <f t="shared" si="1052"/>
        <v>225544.05266288968</v>
      </c>
      <c r="EH382" s="890">
        <f t="shared" si="1052"/>
        <v>513325.07428525412</v>
      </c>
      <c r="EI382" s="1073"/>
      <c r="EJ382" s="1071"/>
      <c r="EL382" s="1072"/>
      <c r="EM382" s="890">
        <f t="shared" ref="EM382:EP393" si="1053">EM37</f>
        <v>1083006</v>
      </c>
      <c r="EN382" s="890">
        <f t="shared" si="1053"/>
        <v>344136.87305185618</v>
      </c>
      <c r="EO382" s="890">
        <f t="shared" si="1053"/>
        <v>225544.05266288968</v>
      </c>
      <c r="EP382" s="890">
        <f t="shared" si="1053"/>
        <v>513325.07428525412</v>
      </c>
      <c r="EQ382" s="1073"/>
      <c r="ER382" s="1071"/>
      <c r="ET382" s="1072"/>
      <c r="EU382" s="890">
        <f t="shared" ref="EU382:EX393" si="1054">EU37</f>
        <v>1083006</v>
      </c>
      <c r="EV382" s="890">
        <f t="shared" si="1054"/>
        <v>344136.87305185618</v>
      </c>
      <c r="EW382" s="890">
        <f t="shared" si="1054"/>
        <v>225544.05266288968</v>
      </c>
      <c r="EX382" s="890">
        <f t="shared" si="1054"/>
        <v>513325.07428525412</v>
      </c>
      <c r="EY382" s="1073"/>
      <c r="EZ382" s="1071"/>
      <c r="FB382" s="1072"/>
      <c r="FC382" s="890">
        <f t="shared" ref="FC382:FF393" si="1055">FC37</f>
        <v>1083006</v>
      </c>
      <c r="FD382" s="890">
        <f t="shared" si="1055"/>
        <v>344136.87305185618</v>
      </c>
      <c r="FE382" s="890">
        <f t="shared" si="1055"/>
        <v>225544.05266288968</v>
      </c>
      <c r="FF382" s="890">
        <f t="shared" si="1055"/>
        <v>513325.07428525412</v>
      </c>
      <c r="FG382" s="1073"/>
      <c r="FH382" s="1071"/>
      <c r="FJ382" s="1072"/>
      <c r="FK382" s="890">
        <f t="shared" ref="FK382:FN393" si="1056">FK37</f>
        <v>1083006</v>
      </c>
      <c r="FL382" s="890">
        <f t="shared" si="1056"/>
        <v>344136.87305185618</v>
      </c>
      <c r="FM382" s="890">
        <f t="shared" si="1056"/>
        <v>225544.05266288968</v>
      </c>
      <c r="FN382" s="890">
        <f t="shared" si="1056"/>
        <v>513325.07428525412</v>
      </c>
      <c r="FO382" s="1073"/>
    </row>
    <row r="383" spans="2:171">
      <c r="B383" s="108"/>
      <c r="C383" s="108" t="s">
        <v>126</v>
      </c>
      <c r="D383" s="1071"/>
      <c r="E383" s="904" t="str">
        <f t="shared" si="1034"/>
        <v>PTD</v>
      </c>
      <c r="G383" s="890">
        <f t="shared" si="1035"/>
        <v>21045508</v>
      </c>
      <c r="H383" s="890">
        <f t="shared" si="1035"/>
        <v>6687437.8488280065</v>
      </c>
      <c r="I383" s="890">
        <f t="shared" si="1035"/>
        <v>0</v>
      </c>
      <c r="J383" s="890">
        <f t="shared" si="1035"/>
        <v>14358070.151171993</v>
      </c>
      <c r="K383" s="1073">
        <f t="shared" si="1036"/>
        <v>1</v>
      </c>
      <c r="L383" s="1071"/>
      <c r="N383" s="1072"/>
      <c r="O383" s="890">
        <f t="shared" si="1037"/>
        <v>21045508</v>
      </c>
      <c r="P383" s="890">
        <f t="shared" si="1037"/>
        <v>6687437.8488280065</v>
      </c>
      <c r="Q383" s="890">
        <f t="shared" si="1037"/>
        <v>4382883.5340425316</v>
      </c>
      <c r="R383" s="890">
        <f t="shared" si="1037"/>
        <v>9975186.6171294618</v>
      </c>
      <c r="S383" s="1073"/>
      <c r="T383" s="1071"/>
      <c r="V383" s="1072"/>
      <c r="W383" s="890">
        <f t="shared" si="1038"/>
        <v>21045508</v>
      </c>
      <c r="X383" s="890">
        <f t="shared" si="1038"/>
        <v>6687437.8488280065</v>
      </c>
      <c r="Y383" s="890">
        <f t="shared" si="1038"/>
        <v>4382883.5340425316</v>
      </c>
      <c r="Z383" s="890">
        <f t="shared" si="1038"/>
        <v>9975186.6171294618</v>
      </c>
      <c r="AA383" s="1073"/>
      <c r="AB383" s="1071"/>
      <c r="AD383" s="1072"/>
      <c r="AE383" s="890">
        <f t="shared" si="1039"/>
        <v>21045508</v>
      </c>
      <c r="AF383" s="890">
        <f t="shared" si="1039"/>
        <v>6687437.8488280065</v>
      </c>
      <c r="AG383" s="890">
        <f t="shared" si="1039"/>
        <v>4382883.5340425316</v>
      </c>
      <c r="AH383" s="890">
        <f t="shared" si="1039"/>
        <v>9975186.6171294618</v>
      </c>
      <c r="AI383" s="1073"/>
      <c r="AJ383" s="1071"/>
      <c r="AL383" s="1072"/>
      <c r="AM383" s="890">
        <f t="shared" si="1040"/>
        <v>21045508</v>
      </c>
      <c r="AN383" s="890">
        <f t="shared" si="1040"/>
        <v>6687437.8488280065</v>
      </c>
      <c r="AO383" s="890">
        <f t="shared" si="1040"/>
        <v>4382883.5340425316</v>
      </c>
      <c r="AP383" s="890">
        <f t="shared" si="1040"/>
        <v>9975186.6171294618</v>
      </c>
      <c r="AQ383" s="1073"/>
      <c r="AR383" s="1071"/>
      <c r="AT383" s="1072"/>
      <c r="AU383" s="890">
        <f t="shared" si="1041"/>
        <v>21045508</v>
      </c>
      <c r="AV383" s="890">
        <f t="shared" si="1041"/>
        <v>6687437.8488280065</v>
      </c>
      <c r="AW383" s="890">
        <f t="shared" si="1041"/>
        <v>4382883.5340425316</v>
      </c>
      <c r="AX383" s="890">
        <f t="shared" si="1041"/>
        <v>9975186.6171294618</v>
      </c>
      <c r="AY383" s="1073"/>
      <c r="AZ383" s="1071"/>
      <c r="BB383" s="1072"/>
      <c r="BC383" s="890">
        <f t="shared" si="1042"/>
        <v>21045508</v>
      </c>
      <c r="BD383" s="890">
        <f t="shared" si="1042"/>
        <v>6687437.8488280065</v>
      </c>
      <c r="BE383" s="890">
        <f t="shared" si="1042"/>
        <v>4382883.5340425316</v>
      </c>
      <c r="BF383" s="890">
        <f t="shared" si="1042"/>
        <v>9975186.6171294618</v>
      </c>
      <c r="BG383" s="1073"/>
      <c r="BH383" s="1071"/>
      <c r="BJ383" s="1072"/>
      <c r="BK383" s="890">
        <f t="shared" si="1043"/>
        <v>21045508</v>
      </c>
      <c r="BL383" s="890">
        <f t="shared" si="1043"/>
        <v>6687437.8488280065</v>
      </c>
      <c r="BM383" s="890">
        <f t="shared" si="1043"/>
        <v>4382883.5340425316</v>
      </c>
      <c r="BN383" s="890">
        <f t="shared" si="1043"/>
        <v>9975186.6171294618</v>
      </c>
      <c r="BO383" s="1073"/>
      <c r="BP383" s="1071"/>
      <c r="BR383" s="1072"/>
      <c r="BS383" s="890">
        <f t="shared" si="1044"/>
        <v>21045508</v>
      </c>
      <c r="BT383" s="890">
        <f t="shared" si="1044"/>
        <v>6687437.8488280065</v>
      </c>
      <c r="BU383" s="890">
        <f t="shared" si="1044"/>
        <v>4382883.5340425316</v>
      </c>
      <c r="BV383" s="890">
        <f t="shared" si="1044"/>
        <v>9975186.6171294618</v>
      </c>
      <c r="BW383" s="1073"/>
      <c r="BX383" s="1071"/>
      <c r="BZ383" s="1072"/>
      <c r="CA383" s="890">
        <f t="shared" si="1045"/>
        <v>21045508</v>
      </c>
      <c r="CB383" s="890">
        <f t="shared" si="1045"/>
        <v>6687437.8488280065</v>
      </c>
      <c r="CC383" s="890">
        <f t="shared" si="1045"/>
        <v>4382883.5340425316</v>
      </c>
      <c r="CD383" s="890">
        <f t="shared" si="1045"/>
        <v>9975186.6171294618</v>
      </c>
      <c r="CE383" s="1073"/>
      <c r="CF383" s="1071"/>
      <c r="CH383" s="1072"/>
      <c r="CI383" s="890">
        <f t="shared" si="1046"/>
        <v>21045508</v>
      </c>
      <c r="CJ383" s="890">
        <f t="shared" si="1046"/>
        <v>6687437.8488280065</v>
      </c>
      <c r="CK383" s="890">
        <f t="shared" si="1046"/>
        <v>4382883.5340425316</v>
      </c>
      <c r="CL383" s="890">
        <f t="shared" si="1046"/>
        <v>9975186.6171294618</v>
      </c>
      <c r="CM383" s="1073"/>
      <c r="CN383" s="1071"/>
      <c r="CP383" s="1072"/>
      <c r="CQ383" s="890">
        <f t="shared" si="1047"/>
        <v>21045508</v>
      </c>
      <c r="CR383" s="890">
        <f t="shared" si="1047"/>
        <v>6687437.8488280065</v>
      </c>
      <c r="CS383" s="890">
        <f t="shared" si="1047"/>
        <v>4382883.5340425316</v>
      </c>
      <c r="CT383" s="890">
        <f t="shared" si="1047"/>
        <v>9975186.6171294618</v>
      </c>
      <c r="CU383" s="1073"/>
      <c r="CV383" s="1071"/>
      <c r="CX383" s="1072"/>
      <c r="CY383" s="890">
        <f t="shared" si="1048"/>
        <v>21045508</v>
      </c>
      <c r="CZ383" s="890">
        <f t="shared" si="1048"/>
        <v>6687437.8488280065</v>
      </c>
      <c r="DA383" s="890">
        <f t="shared" si="1048"/>
        <v>4382883.5340425316</v>
      </c>
      <c r="DB383" s="890">
        <f t="shared" si="1048"/>
        <v>9975186.6171294618</v>
      </c>
      <c r="DC383" s="1073"/>
      <c r="DD383" s="1071"/>
      <c r="DF383" s="1072"/>
      <c r="DG383" s="890">
        <f t="shared" si="1049"/>
        <v>21045508</v>
      </c>
      <c r="DH383" s="890">
        <f t="shared" si="1049"/>
        <v>6687437.8488280065</v>
      </c>
      <c r="DI383" s="890">
        <f t="shared" si="1049"/>
        <v>4382883.5340425316</v>
      </c>
      <c r="DJ383" s="890">
        <f t="shared" si="1049"/>
        <v>9975186.6171294618</v>
      </c>
      <c r="DK383" s="1073"/>
      <c r="DL383" s="1071"/>
      <c r="DN383" s="1072"/>
      <c r="DO383" s="890">
        <f t="shared" si="1050"/>
        <v>21045508</v>
      </c>
      <c r="DP383" s="890">
        <f t="shared" si="1050"/>
        <v>6687437.8488280065</v>
      </c>
      <c r="DQ383" s="890">
        <f t="shared" si="1050"/>
        <v>4382883.5340425316</v>
      </c>
      <c r="DR383" s="890">
        <f t="shared" si="1050"/>
        <v>9975186.6171294618</v>
      </c>
      <c r="DS383" s="1073"/>
      <c r="DT383" s="1071"/>
      <c r="DV383" s="1072"/>
      <c r="DW383" s="890">
        <f t="shared" si="1051"/>
        <v>21045508</v>
      </c>
      <c r="DX383" s="890">
        <f t="shared" si="1051"/>
        <v>6687437.8488280065</v>
      </c>
      <c r="DY383" s="890">
        <f t="shared" si="1051"/>
        <v>4382883.5340425316</v>
      </c>
      <c r="DZ383" s="890">
        <f t="shared" si="1051"/>
        <v>9975186.6171294618</v>
      </c>
      <c r="EA383" s="1073"/>
      <c r="EB383" s="1071"/>
      <c r="ED383" s="1072"/>
      <c r="EE383" s="890">
        <f t="shared" si="1052"/>
        <v>21045508</v>
      </c>
      <c r="EF383" s="890">
        <f t="shared" si="1052"/>
        <v>6687437.8488280065</v>
      </c>
      <c r="EG383" s="890">
        <f t="shared" si="1052"/>
        <v>4382883.5340425316</v>
      </c>
      <c r="EH383" s="890">
        <f t="shared" si="1052"/>
        <v>9975186.6171294618</v>
      </c>
      <c r="EI383" s="1073"/>
      <c r="EJ383" s="1071"/>
      <c r="EL383" s="1072"/>
      <c r="EM383" s="890">
        <f t="shared" si="1053"/>
        <v>21045508</v>
      </c>
      <c r="EN383" s="890">
        <f t="shared" si="1053"/>
        <v>6687437.8488280065</v>
      </c>
      <c r="EO383" s="890">
        <f t="shared" si="1053"/>
        <v>4382883.5340425316</v>
      </c>
      <c r="EP383" s="890">
        <f t="shared" si="1053"/>
        <v>9975186.6171294618</v>
      </c>
      <c r="EQ383" s="1073"/>
      <c r="ER383" s="1071"/>
      <c r="ET383" s="1072"/>
      <c r="EU383" s="890">
        <f t="shared" si="1054"/>
        <v>21045508</v>
      </c>
      <c r="EV383" s="890">
        <f t="shared" si="1054"/>
        <v>6687437.8488280065</v>
      </c>
      <c r="EW383" s="890">
        <f t="shared" si="1054"/>
        <v>4382883.5340425316</v>
      </c>
      <c r="EX383" s="890">
        <f t="shared" si="1054"/>
        <v>9975186.6171294618</v>
      </c>
      <c r="EY383" s="1073"/>
      <c r="EZ383" s="1071"/>
      <c r="FB383" s="1072"/>
      <c r="FC383" s="890">
        <f t="shared" si="1055"/>
        <v>21045508</v>
      </c>
      <c r="FD383" s="890">
        <f t="shared" si="1055"/>
        <v>6687437.8488280065</v>
      </c>
      <c r="FE383" s="890">
        <f t="shared" si="1055"/>
        <v>4382883.5340425316</v>
      </c>
      <c r="FF383" s="890">
        <f t="shared" si="1055"/>
        <v>9975186.6171294618</v>
      </c>
      <c r="FG383" s="1073"/>
      <c r="FH383" s="1071"/>
      <c r="FJ383" s="1072"/>
      <c r="FK383" s="890">
        <f t="shared" si="1056"/>
        <v>21045508</v>
      </c>
      <c r="FL383" s="890">
        <f t="shared" si="1056"/>
        <v>6687437.8488280065</v>
      </c>
      <c r="FM383" s="890">
        <f t="shared" si="1056"/>
        <v>4382883.5340425316</v>
      </c>
      <c r="FN383" s="890">
        <f t="shared" si="1056"/>
        <v>9975186.6171294618</v>
      </c>
      <c r="FO383" s="1073"/>
    </row>
    <row r="384" spans="2:171">
      <c r="B384" s="108"/>
      <c r="C384" s="108" t="s">
        <v>127</v>
      </c>
      <c r="D384" s="1071"/>
      <c r="E384" s="904" t="str">
        <f t="shared" si="1034"/>
        <v>LABOR</v>
      </c>
      <c r="G384" s="890">
        <f t="shared" si="1035"/>
        <v>3976622</v>
      </c>
      <c r="H384" s="890">
        <f t="shared" si="1035"/>
        <v>1455724.5705582532</v>
      </c>
      <c r="I384" s="890">
        <f t="shared" si="1035"/>
        <v>0</v>
      </c>
      <c r="J384" s="890">
        <f t="shared" si="1035"/>
        <v>2520897.4294417468</v>
      </c>
      <c r="K384" s="1073">
        <f t="shared" si="1036"/>
        <v>1</v>
      </c>
      <c r="L384" s="1071"/>
      <c r="N384" s="1072"/>
      <c r="O384" s="890">
        <f t="shared" si="1037"/>
        <v>3976622</v>
      </c>
      <c r="P384" s="890">
        <f t="shared" si="1037"/>
        <v>1455724.5705582532</v>
      </c>
      <c r="Q384" s="890">
        <f t="shared" si="1037"/>
        <v>305059.74741504656</v>
      </c>
      <c r="R384" s="890">
        <f t="shared" si="1037"/>
        <v>2215837.6820267001</v>
      </c>
      <c r="S384" s="1073"/>
      <c r="T384" s="1071"/>
      <c r="V384" s="1072"/>
      <c r="W384" s="890">
        <f t="shared" si="1038"/>
        <v>3976622</v>
      </c>
      <c r="X384" s="890">
        <f t="shared" si="1038"/>
        <v>1455724.5705582532</v>
      </c>
      <c r="Y384" s="890">
        <f t="shared" si="1038"/>
        <v>305059.74741504656</v>
      </c>
      <c r="Z384" s="890">
        <f t="shared" si="1038"/>
        <v>2215837.6820267001</v>
      </c>
      <c r="AA384" s="1073"/>
      <c r="AB384" s="1071"/>
      <c r="AD384" s="1072"/>
      <c r="AE384" s="890">
        <f t="shared" si="1039"/>
        <v>3976622</v>
      </c>
      <c r="AF384" s="890">
        <f t="shared" si="1039"/>
        <v>1455724.5705582532</v>
      </c>
      <c r="AG384" s="890">
        <f t="shared" si="1039"/>
        <v>305059.74741504656</v>
      </c>
      <c r="AH384" s="890">
        <f t="shared" si="1039"/>
        <v>2215837.6820267001</v>
      </c>
      <c r="AI384" s="1073"/>
      <c r="AJ384" s="1071"/>
      <c r="AL384" s="1072"/>
      <c r="AM384" s="890">
        <f t="shared" si="1040"/>
        <v>3976622</v>
      </c>
      <c r="AN384" s="890">
        <f t="shared" si="1040"/>
        <v>1455724.5705582532</v>
      </c>
      <c r="AO384" s="890">
        <f t="shared" si="1040"/>
        <v>305059.74741504656</v>
      </c>
      <c r="AP384" s="890">
        <f t="shared" si="1040"/>
        <v>2215837.6820267001</v>
      </c>
      <c r="AQ384" s="1073"/>
      <c r="AR384" s="1071"/>
      <c r="AT384" s="1072"/>
      <c r="AU384" s="890">
        <f t="shared" si="1041"/>
        <v>3976622</v>
      </c>
      <c r="AV384" s="890">
        <f t="shared" si="1041"/>
        <v>1455724.5705582532</v>
      </c>
      <c r="AW384" s="890">
        <f t="shared" si="1041"/>
        <v>305059.74741504656</v>
      </c>
      <c r="AX384" s="890">
        <f t="shared" si="1041"/>
        <v>2215837.6820267001</v>
      </c>
      <c r="AY384" s="1073"/>
      <c r="AZ384" s="1071"/>
      <c r="BB384" s="1072"/>
      <c r="BC384" s="890">
        <f t="shared" si="1042"/>
        <v>3976622</v>
      </c>
      <c r="BD384" s="890">
        <f t="shared" si="1042"/>
        <v>1455724.5705582532</v>
      </c>
      <c r="BE384" s="890">
        <f t="shared" si="1042"/>
        <v>305059.74741504656</v>
      </c>
      <c r="BF384" s="890">
        <f t="shared" si="1042"/>
        <v>2215837.6820267001</v>
      </c>
      <c r="BG384" s="1073"/>
      <c r="BH384" s="1071"/>
      <c r="BJ384" s="1072"/>
      <c r="BK384" s="890">
        <f t="shared" si="1043"/>
        <v>3976622</v>
      </c>
      <c r="BL384" s="890">
        <f t="shared" si="1043"/>
        <v>1455724.5705582532</v>
      </c>
      <c r="BM384" s="890">
        <f t="shared" si="1043"/>
        <v>305059.74741504656</v>
      </c>
      <c r="BN384" s="890">
        <f t="shared" si="1043"/>
        <v>2215837.6820267001</v>
      </c>
      <c r="BO384" s="1073"/>
      <c r="BP384" s="1071"/>
      <c r="BR384" s="1072"/>
      <c r="BS384" s="890">
        <f t="shared" si="1044"/>
        <v>3976622</v>
      </c>
      <c r="BT384" s="890">
        <f t="shared" si="1044"/>
        <v>1455724.5705582532</v>
      </c>
      <c r="BU384" s="890">
        <f t="shared" si="1044"/>
        <v>305059.74741504656</v>
      </c>
      <c r="BV384" s="890">
        <f t="shared" si="1044"/>
        <v>2215837.6820267001</v>
      </c>
      <c r="BW384" s="1073"/>
      <c r="BX384" s="1071"/>
      <c r="BZ384" s="1072"/>
      <c r="CA384" s="890">
        <f t="shared" si="1045"/>
        <v>3976622</v>
      </c>
      <c r="CB384" s="890">
        <f t="shared" si="1045"/>
        <v>1455724.5705582532</v>
      </c>
      <c r="CC384" s="890">
        <f t="shared" si="1045"/>
        <v>305059.74741504656</v>
      </c>
      <c r="CD384" s="890">
        <f t="shared" si="1045"/>
        <v>2215837.6820267001</v>
      </c>
      <c r="CE384" s="1073"/>
      <c r="CF384" s="1071"/>
      <c r="CH384" s="1072"/>
      <c r="CI384" s="890">
        <f t="shared" si="1046"/>
        <v>3976622</v>
      </c>
      <c r="CJ384" s="890">
        <f t="shared" si="1046"/>
        <v>1455724.5705582532</v>
      </c>
      <c r="CK384" s="890">
        <f t="shared" si="1046"/>
        <v>305059.74741504656</v>
      </c>
      <c r="CL384" s="890">
        <f t="shared" si="1046"/>
        <v>2215837.6820267001</v>
      </c>
      <c r="CM384" s="1073"/>
      <c r="CN384" s="1071"/>
      <c r="CP384" s="1072"/>
      <c r="CQ384" s="890">
        <f t="shared" si="1047"/>
        <v>3976622</v>
      </c>
      <c r="CR384" s="890">
        <f t="shared" si="1047"/>
        <v>1455724.5705582532</v>
      </c>
      <c r="CS384" s="890">
        <f t="shared" si="1047"/>
        <v>305059.74741504656</v>
      </c>
      <c r="CT384" s="890">
        <f t="shared" si="1047"/>
        <v>2215837.6820267001</v>
      </c>
      <c r="CU384" s="1073"/>
      <c r="CV384" s="1071"/>
      <c r="CX384" s="1072"/>
      <c r="CY384" s="890">
        <f t="shared" si="1048"/>
        <v>3976622</v>
      </c>
      <c r="CZ384" s="890">
        <f t="shared" si="1048"/>
        <v>1455724.5705582532</v>
      </c>
      <c r="DA384" s="890">
        <f t="shared" si="1048"/>
        <v>305059.74741504656</v>
      </c>
      <c r="DB384" s="890">
        <f t="shared" si="1048"/>
        <v>2215837.6820267001</v>
      </c>
      <c r="DC384" s="1073"/>
      <c r="DD384" s="1071"/>
      <c r="DF384" s="1072"/>
      <c r="DG384" s="890">
        <f t="shared" si="1049"/>
        <v>3976622</v>
      </c>
      <c r="DH384" s="890">
        <f t="shared" si="1049"/>
        <v>1455724.5705582532</v>
      </c>
      <c r="DI384" s="890">
        <f t="shared" si="1049"/>
        <v>305059.74741504656</v>
      </c>
      <c r="DJ384" s="890">
        <f t="shared" si="1049"/>
        <v>2215837.6820267001</v>
      </c>
      <c r="DK384" s="1073"/>
      <c r="DL384" s="1071"/>
      <c r="DN384" s="1072"/>
      <c r="DO384" s="890">
        <f t="shared" si="1050"/>
        <v>3976622</v>
      </c>
      <c r="DP384" s="890">
        <f t="shared" si="1050"/>
        <v>1455724.5705582532</v>
      </c>
      <c r="DQ384" s="890">
        <f t="shared" si="1050"/>
        <v>305059.74741504656</v>
      </c>
      <c r="DR384" s="890">
        <f t="shared" si="1050"/>
        <v>2215837.6820267001</v>
      </c>
      <c r="DS384" s="1073"/>
      <c r="DT384" s="1071"/>
      <c r="DV384" s="1072"/>
      <c r="DW384" s="890">
        <f t="shared" si="1051"/>
        <v>3976622</v>
      </c>
      <c r="DX384" s="890">
        <f t="shared" si="1051"/>
        <v>1455724.5705582532</v>
      </c>
      <c r="DY384" s="890">
        <f t="shared" si="1051"/>
        <v>305059.74741504656</v>
      </c>
      <c r="DZ384" s="890">
        <f t="shared" si="1051"/>
        <v>2215837.6820267001</v>
      </c>
      <c r="EA384" s="1073"/>
      <c r="EB384" s="1071"/>
      <c r="ED384" s="1072"/>
      <c r="EE384" s="890">
        <f t="shared" si="1052"/>
        <v>3976622</v>
      </c>
      <c r="EF384" s="890">
        <f t="shared" si="1052"/>
        <v>1455724.5705582532</v>
      </c>
      <c r="EG384" s="890">
        <f t="shared" si="1052"/>
        <v>305059.74741504656</v>
      </c>
      <c r="EH384" s="890">
        <f t="shared" si="1052"/>
        <v>2215837.6820267001</v>
      </c>
      <c r="EI384" s="1073"/>
      <c r="EJ384" s="1071"/>
      <c r="EL384" s="1072"/>
      <c r="EM384" s="890">
        <f t="shared" si="1053"/>
        <v>3976622</v>
      </c>
      <c r="EN384" s="890">
        <f t="shared" si="1053"/>
        <v>1455724.5705582532</v>
      </c>
      <c r="EO384" s="890">
        <f t="shared" si="1053"/>
        <v>305059.74741504656</v>
      </c>
      <c r="EP384" s="890">
        <f t="shared" si="1053"/>
        <v>2215837.6820267001</v>
      </c>
      <c r="EQ384" s="1073"/>
      <c r="ER384" s="1071"/>
      <c r="ET384" s="1072"/>
      <c r="EU384" s="890">
        <f t="shared" si="1054"/>
        <v>3976622</v>
      </c>
      <c r="EV384" s="890">
        <f t="shared" si="1054"/>
        <v>1455724.5705582532</v>
      </c>
      <c r="EW384" s="890">
        <f t="shared" si="1054"/>
        <v>305059.74741504656</v>
      </c>
      <c r="EX384" s="890">
        <f t="shared" si="1054"/>
        <v>2215837.6820267001</v>
      </c>
      <c r="EY384" s="1073"/>
      <c r="EZ384" s="1071"/>
      <c r="FB384" s="1072"/>
      <c r="FC384" s="890">
        <f t="shared" si="1055"/>
        <v>3976622</v>
      </c>
      <c r="FD384" s="890">
        <f t="shared" si="1055"/>
        <v>1455724.5705582532</v>
      </c>
      <c r="FE384" s="890">
        <f t="shared" si="1055"/>
        <v>305059.74741504656</v>
      </c>
      <c r="FF384" s="890">
        <f t="shared" si="1055"/>
        <v>2215837.6820267001</v>
      </c>
      <c r="FG384" s="1073"/>
      <c r="FH384" s="1071"/>
      <c r="FJ384" s="1072"/>
      <c r="FK384" s="890">
        <f t="shared" si="1056"/>
        <v>3976622</v>
      </c>
      <c r="FL384" s="890">
        <f t="shared" si="1056"/>
        <v>1455724.5705582532</v>
      </c>
      <c r="FM384" s="890">
        <f t="shared" si="1056"/>
        <v>305059.74741504656</v>
      </c>
      <c r="FN384" s="890">
        <f t="shared" si="1056"/>
        <v>2215837.6820267001</v>
      </c>
      <c r="FO384" s="1073"/>
    </row>
    <row r="385" spans="2:171">
      <c r="B385" s="108"/>
      <c r="C385" s="108" t="s">
        <v>128</v>
      </c>
      <c r="D385" s="1071"/>
      <c r="E385" s="904" t="str">
        <f t="shared" si="1034"/>
        <v>TD</v>
      </c>
      <c r="G385" s="890">
        <f t="shared" si="1035"/>
        <v>62357831</v>
      </c>
      <c r="H385" s="890">
        <f t="shared" si="1035"/>
        <v>0</v>
      </c>
      <c r="I385" s="890">
        <f t="shared" si="1035"/>
        <v>0</v>
      </c>
      <c r="J385" s="890">
        <f t="shared" si="1035"/>
        <v>62357831</v>
      </c>
      <c r="K385" s="1073">
        <f t="shared" si="1036"/>
        <v>1</v>
      </c>
      <c r="L385" s="1071"/>
      <c r="N385" s="1072"/>
      <c r="O385" s="890">
        <f t="shared" si="1037"/>
        <v>62357831.000000007</v>
      </c>
      <c r="P385" s="890">
        <f t="shared" si="1037"/>
        <v>0</v>
      </c>
      <c r="Q385" s="890">
        <f t="shared" si="1037"/>
        <v>19035086.737349447</v>
      </c>
      <c r="R385" s="890">
        <f t="shared" si="1037"/>
        <v>43322744.262650557</v>
      </c>
      <c r="S385" s="1073"/>
      <c r="T385" s="1071"/>
      <c r="V385" s="1072"/>
      <c r="W385" s="890">
        <f t="shared" si="1038"/>
        <v>62357831.000000007</v>
      </c>
      <c r="X385" s="890">
        <f t="shared" si="1038"/>
        <v>0</v>
      </c>
      <c r="Y385" s="890">
        <f t="shared" si="1038"/>
        <v>19035086.737349447</v>
      </c>
      <c r="Z385" s="890">
        <f t="shared" si="1038"/>
        <v>43322744.262650557</v>
      </c>
      <c r="AA385" s="1073"/>
      <c r="AB385" s="1071"/>
      <c r="AD385" s="1072"/>
      <c r="AE385" s="890">
        <f t="shared" si="1039"/>
        <v>62357831.000000007</v>
      </c>
      <c r="AF385" s="890">
        <f t="shared" si="1039"/>
        <v>0</v>
      </c>
      <c r="AG385" s="890">
        <f t="shared" si="1039"/>
        <v>19035086.737349447</v>
      </c>
      <c r="AH385" s="890">
        <f t="shared" si="1039"/>
        <v>43322744.262650557</v>
      </c>
      <c r="AI385" s="1073"/>
      <c r="AJ385" s="1071"/>
      <c r="AL385" s="1072"/>
      <c r="AM385" s="890">
        <f t="shared" si="1040"/>
        <v>62357831.000000007</v>
      </c>
      <c r="AN385" s="890">
        <f t="shared" si="1040"/>
        <v>0</v>
      </c>
      <c r="AO385" s="890">
        <f t="shared" si="1040"/>
        <v>19035086.737349447</v>
      </c>
      <c r="AP385" s="890">
        <f t="shared" si="1040"/>
        <v>43322744.262650557</v>
      </c>
      <c r="AQ385" s="1073"/>
      <c r="AR385" s="1071"/>
      <c r="AT385" s="1072"/>
      <c r="AU385" s="890">
        <f t="shared" si="1041"/>
        <v>62357831.000000007</v>
      </c>
      <c r="AV385" s="890">
        <f t="shared" si="1041"/>
        <v>0</v>
      </c>
      <c r="AW385" s="890">
        <f t="shared" si="1041"/>
        <v>19035086.737349447</v>
      </c>
      <c r="AX385" s="890">
        <f t="shared" si="1041"/>
        <v>43322744.262650557</v>
      </c>
      <c r="AY385" s="1073"/>
      <c r="AZ385" s="1071"/>
      <c r="BB385" s="1072"/>
      <c r="BC385" s="890">
        <f t="shared" si="1042"/>
        <v>62357831.000000007</v>
      </c>
      <c r="BD385" s="890">
        <f t="shared" si="1042"/>
        <v>0</v>
      </c>
      <c r="BE385" s="890">
        <f t="shared" si="1042"/>
        <v>19035086.737349447</v>
      </c>
      <c r="BF385" s="890">
        <f t="shared" si="1042"/>
        <v>43322744.262650557</v>
      </c>
      <c r="BG385" s="1073"/>
      <c r="BH385" s="1071"/>
      <c r="BJ385" s="1072"/>
      <c r="BK385" s="890">
        <f t="shared" si="1043"/>
        <v>62357831.000000007</v>
      </c>
      <c r="BL385" s="890">
        <f t="shared" si="1043"/>
        <v>0</v>
      </c>
      <c r="BM385" s="890">
        <f t="shared" si="1043"/>
        <v>19035086.737349447</v>
      </c>
      <c r="BN385" s="890">
        <f t="shared" si="1043"/>
        <v>43322744.262650557</v>
      </c>
      <c r="BO385" s="1073"/>
      <c r="BP385" s="1071"/>
      <c r="BR385" s="1072"/>
      <c r="BS385" s="890">
        <f t="shared" si="1044"/>
        <v>62357831.000000007</v>
      </c>
      <c r="BT385" s="890">
        <f t="shared" si="1044"/>
        <v>0</v>
      </c>
      <c r="BU385" s="890">
        <f t="shared" si="1044"/>
        <v>19035086.737349447</v>
      </c>
      <c r="BV385" s="890">
        <f t="shared" si="1044"/>
        <v>43322744.262650557</v>
      </c>
      <c r="BW385" s="1073"/>
      <c r="BX385" s="1071"/>
      <c r="BZ385" s="1072"/>
      <c r="CA385" s="890">
        <f t="shared" si="1045"/>
        <v>62357831.000000007</v>
      </c>
      <c r="CB385" s="890">
        <f t="shared" si="1045"/>
        <v>0</v>
      </c>
      <c r="CC385" s="890">
        <f t="shared" si="1045"/>
        <v>19035086.737349447</v>
      </c>
      <c r="CD385" s="890">
        <f t="shared" si="1045"/>
        <v>43322744.262650557</v>
      </c>
      <c r="CE385" s="1073"/>
      <c r="CF385" s="1071"/>
      <c r="CH385" s="1072"/>
      <c r="CI385" s="890">
        <f t="shared" si="1046"/>
        <v>62357831.000000007</v>
      </c>
      <c r="CJ385" s="890">
        <f t="shared" si="1046"/>
        <v>0</v>
      </c>
      <c r="CK385" s="890">
        <f t="shared" si="1046"/>
        <v>19035086.737349447</v>
      </c>
      <c r="CL385" s="890">
        <f t="shared" si="1046"/>
        <v>43322744.262650557</v>
      </c>
      <c r="CM385" s="1073"/>
      <c r="CN385" s="1071"/>
      <c r="CP385" s="1072"/>
      <c r="CQ385" s="890">
        <f t="shared" si="1047"/>
        <v>62357831.000000007</v>
      </c>
      <c r="CR385" s="890">
        <f t="shared" si="1047"/>
        <v>0</v>
      </c>
      <c r="CS385" s="890">
        <f t="shared" si="1047"/>
        <v>19035086.737349447</v>
      </c>
      <c r="CT385" s="890">
        <f t="shared" si="1047"/>
        <v>43322744.262650557</v>
      </c>
      <c r="CU385" s="1073"/>
      <c r="CV385" s="1071"/>
      <c r="CX385" s="1072"/>
      <c r="CY385" s="890">
        <f t="shared" si="1048"/>
        <v>62357831.000000007</v>
      </c>
      <c r="CZ385" s="890">
        <f t="shared" si="1048"/>
        <v>0</v>
      </c>
      <c r="DA385" s="890">
        <f t="shared" si="1048"/>
        <v>19035086.737349447</v>
      </c>
      <c r="DB385" s="890">
        <f t="shared" si="1048"/>
        <v>43322744.262650557</v>
      </c>
      <c r="DC385" s="1073"/>
      <c r="DD385" s="1071"/>
      <c r="DF385" s="1072"/>
      <c r="DG385" s="890">
        <f t="shared" si="1049"/>
        <v>62357831.000000007</v>
      </c>
      <c r="DH385" s="890">
        <f t="shared" si="1049"/>
        <v>0</v>
      </c>
      <c r="DI385" s="890">
        <f t="shared" si="1049"/>
        <v>19035086.737349447</v>
      </c>
      <c r="DJ385" s="890">
        <f t="shared" si="1049"/>
        <v>43322744.262650557</v>
      </c>
      <c r="DK385" s="1073"/>
      <c r="DL385" s="1071"/>
      <c r="DN385" s="1072"/>
      <c r="DO385" s="890">
        <f t="shared" si="1050"/>
        <v>62357831.000000007</v>
      </c>
      <c r="DP385" s="890">
        <f t="shared" si="1050"/>
        <v>0</v>
      </c>
      <c r="DQ385" s="890">
        <f t="shared" si="1050"/>
        <v>19035086.737349447</v>
      </c>
      <c r="DR385" s="890">
        <f t="shared" si="1050"/>
        <v>43322744.262650557</v>
      </c>
      <c r="DS385" s="1073"/>
      <c r="DT385" s="1071"/>
      <c r="DV385" s="1072"/>
      <c r="DW385" s="890">
        <f t="shared" si="1051"/>
        <v>62357831.000000007</v>
      </c>
      <c r="DX385" s="890">
        <f t="shared" si="1051"/>
        <v>0</v>
      </c>
      <c r="DY385" s="890">
        <f t="shared" si="1051"/>
        <v>19035086.737349447</v>
      </c>
      <c r="DZ385" s="890">
        <f t="shared" si="1051"/>
        <v>43322744.262650557</v>
      </c>
      <c r="EA385" s="1073"/>
      <c r="EB385" s="1071"/>
      <c r="ED385" s="1072"/>
      <c r="EE385" s="890">
        <f t="shared" si="1052"/>
        <v>62357831.000000007</v>
      </c>
      <c r="EF385" s="890">
        <f t="shared" si="1052"/>
        <v>0</v>
      </c>
      <c r="EG385" s="890">
        <f t="shared" si="1052"/>
        <v>19035086.737349447</v>
      </c>
      <c r="EH385" s="890">
        <f t="shared" si="1052"/>
        <v>43322744.262650557</v>
      </c>
      <c r="EI385" s="1073"/>
      <c r="EJ385" s="1071"/>
      <c r="EL385" s="1072"/>
      <c r="EM385" s="890">
        <f t="shared" si="1053"/>
        <v>62357831.000000007</v>
      </c>
      <c r="EN385" s="890">
        <f t="shared" si="1053"/>
        <v>0</v>
      </c>
      <c r="EO385" s="890">
        <f t="shared" si="1053"/>
        <v>19035086.737349447</v>
      </c>
      <c r="EP385" s="890">
        <f t="shared" si="1053"/>
        <v>43322744.262650557</v>
      </c>
      <c r="EQ385" s="1073"/>
      <c r="ER385" s="1071"/>
      <c r="ET385" s="1072"/>
      <c r="EU385" s="890">
        <f t="shared" si="1054"/>
        <v>62357831.000000007</v>
      </c>
      <c r="EV385" s="890">
        <f t="shared" si="1054"/>
        <v>0</v>
      </c>
      <c r="EW385" s="890">
        <f t="shared" si="1054"/>
        <v>19035086.737349447</v>
      </c>
      <c r="EX385" s="890">
        <f t="shared" si="1054"/>
        <v>43322744.262650557</v>
      </c>
      <c r="EY385" s="1073"/>
      <c r="EZ385" s="1071"/>
      <c r="FB385" s="1072"/>
      <c r="FC385" s="890">
        <f t="shared" si="1055"/>
        <v>62357831.000000007</v>
      </c>
      <c r="FD385" s="890">
        <f t="shared" si="1055"/>
        <v>0</v>
      </c>
      <c r="FE385" s="890">
        <f t="shared" si="1055"/>
        <v>19035086.737349447</v>
      </c>
      <c r="FF385" s="890">
        <f t="shared" si="1055"/>
        <v>43322744.262650557</v>
      </c>
      <c r="FG385" s="1073"/>
      <c r="FH385" s="1071"/>
      <c r="FJ385" s="1072"/>
      <c r="FK385" s="890">
        <f t="shared" si="1056"/>
        <v>62357831.000000007</v>
      </c>
      <c r="FL385" s="890">
        <f t="shared" si="1056"/>
        <v>0</v>
      </c>
      <c r="FM385" s="890">
        <f t="shared" si="1056"/>
        <v>19035086.737349447</v>
      </c>
      <c r="FN385" s="890">
        <f t="shared" si="1056"/>
        <v>43322744.262650557</v>
      </c>
      <c r="FO385" s="1073"/>
    </row>
    <row r="386" spans="2:171">
      <c r="B386" s="108"/>
      <c r="C386" s="108" t="s">
        <v>129</v>
      </c>
      <c r="D386" s="1071"/>
      <c r="E386" s="904" t="str">
        <f t="shared" si="1034"/>
        <v>PTD</v>
      </c>
      <c r="G386" s="890">
        <f t="shared" si="1035"/>
        <v>472784</v>
      </c>
      <c r="H386" s="890">
        <f t="shared" si="1035"/>
        <v>150232.23083616229</v>
      </c>
      <c r="I386" s="890">
        <f t="shared" si="1035"/>
        <v>0</v>
      </c>
      <c r="J386" s="890">
        <f t="shared" si="1035"/>
        <v>322551.76916383771</v>
      </c>
      <c r="K386" s="1073">
        <f t="shared" si="1036"/>
        <v>1</v>
      </c>
      <c r="L386" s="1071"/>
      <c r="N386" s="1072"/>
      <c r="O386" s="890">
        <f t="shared" si="1037"/>
        <v>472784</v>
      </c>
      <c r="P386" s="890">
        <f t="shared" si="1037"/>
        <v>150232.23083616229</v>
      </c>
      <c r="Q386" s="890">
        <f t="shared" si="1037"/>
        <v>98460.78359138513</v>
      </c>
      <c r="R386" s="890">
        <f t="shared" si="1037"/>
        <v>224090.9855724526</v>
      </c>
      <c r="S386" s="1073"/>
      <c r="T386" s="1071"/>
      <c r="V386" s="1072"/>
      <c r="W386" s="890">
        <f t="shared" si="1038"/>
        <v>472784</v>
      </c>
      <c r="X386" s="890">
        <f t="shared" si="1038"/>
        <v>150232.23083616229</v>
      </c>
      <c r="Y386" s="890">
        <f t="shared" si="1038"/>
        <v>98460.78359138513</v>
      </c>
      <c r="Z386" s="890">
        <f t="shared" si="1038"/>
        <v>224090.9855724526</v>
      </c>
      <c r="AA386" s="1073"/>
      <c r="AB386" s="1071"/>
      <c r="AD386" s="1072"/>
      <c r="AE386" s="890">
        <f t="shared" si="1039"/>
        <v>472784</v>
      </c>
      <c r="AF386" s="890">
        <f t="shared" si="1039"/>
        <v>150232.23083616229</v>
      </c>
      <c r="AG386" s="890">
        <f t="shared" si="1039"/>
        <v>98460.78359138513</v>
      </c>
      <c r="AH386" s="890">
        <f t="shared" si="1039"/>
        <v>224090.9855724526</v>
      </c>
      <c r="AI386" s="1073"/>
      <c r="AJ386" s="1071"/>
      <c r="AL386" s="1072"/>
      <c r="AM386" s="890">
        <f t="shared" si="1040"/>
        <v>472784</v>
      </c>
      <c r="AN386" s="890">
        <f t="shared" si="1040"/>
        <v>150232.23083616229</v>
      </c>
      <c r="AO386" s="890">
        <f t="shared" si="1040"/>
        <v>98460.78359138513</v>
      </c>
      <c r="AP386" s="890">
        <f t="shared" si="1040"/>
        <v>224090.9855724526</v>
      </c>
      <c r="AQ386" s="1073"/>
      <c r="AR386" s="1071"/>
      <c r="AT386" s="1072"/>
      <c r="AU386" s="890">
        <f t="shared" si="1041"/>
        <v>472784</v>
      </c>
      <c r="AV386" s="890">
        <f t="shared" si="1041"/>
        <v>150232.23083616229</v>
      </c>
      <c r="AW386" s="890">
        <f t="shared" si="1041"/>
        <v>98460.78359138513</v>
      </c>
      <c r="AX386" s="890">
        <f t="shared" si="1041"/>
        <v>224090.9855724526</v>
      </c>
      <c r="AY386" s="1073"/>
      <c r="AZ386" s="1071"/>
      <c r="BB386" s="1072"/>
      <c r="BC386" s="890">
        <f t="shared" si="1042"/>
        <v>472784</v>
      </c>
      <c r="BD386" s="890">
        <f t="shared" si="1042"/>
        <v>150232.23083616229</v>
      </c>
      <c r="BE386" s="890">
        <f t="shared" si="1042"/>
        <v>98460.78359138513</v>
      </c>
      <c r="BF386" s="890">
        <f t="shared" si="1042"/>
        <v>224090.9855724526</v>
      </c>
      <c r="BG386" s="1073"/>
      <c r="BH386" s="1071"/>
      <c r="BJ386" s="1072"/>
      <c r="BK386" s="890">
        <f t="shared" si="1043"/>
        <v>472784</v>
      </c>
      <c r="BL386" s="890">
        <f t="shared" si="1043"/>
        <v>150232.23083616229</v>
      </c>
      <c r="BM386" s="890">
        <f t="shared" si="1043"/>
        <v>98460.78359138513</v>
      </c>
      <c r="BN386" s="890">
        <f t="shared" si="1043"/>
        <v>224090.9855724526</v>
      </c>
      <c r="BO386" s="1073"/>
      <c r="BP386" s="1071"/>
      <c r="BR386" s="1072"/>
      <c r="BS386" s="890">
        <f t="shared" si="1044"/>
        <v>472784</v>
      </c>
      <c r="BT386" s="890">
        <f t="shared" si="1044"/>
        <v>150232.23083616229</v>
      </c>
      <c r="BU386" s="890">
        <f t="shared" si="1044"/>
        <v>98460.78359138513</v>
      </c>
      <c r="BV386" s="890">
        <f t="shared" si="1044"/>
        <v>224090.9855724526</v>
      </c>
      <c r="BW386" s="1073"/>
      <c r="BX386" s="1071"/>
      <c r="BZ386" s="1072"/>
      <c r="CA386" s="890">
        <f t="shared" si="1045"/>
        <v>472784</v>
      </c>
      <c r="CB386" s="890">
        <f t="shared" si="1045"/>
        <v>150232.23083616229</v>
      </c>
      <c r="CC386" s="890">
        <f t="shared" si="1045"/>
        <v>98460.78359138513</v>
      </c>
      <c r="CD386" s="890">
        <f t="shared" si="1045"/>
        <v>224090.9855724526</v>
      </c>
      <c r="CE386" s="1073"/>
      <c r="CF386" s="1071"/>
      <c r="CH386" s="1072"/>
      <c r="CI386" s="890">
        <f t="shared" si="1046"/>
        <v>472784</v>
      </c>
      <c r="CJ386" s="890">
        <f t="shared" si="1046"/>
        <v>150232.23083616229</v>
      </c>
      <c r="CK386" s="890">
        <f t="shared" si="1046"/>
        <v>98460.78359138513</v>
      </c>
      <c r="CL386" s="890">
        <f t="shared" si="1046"/>
        <v>224090.9855724526</v>
      </c>
      <c r="CM386" s="1073"/>
      <c r="CN386" s="1071"/>
      <c r="CP386" s="1072"/>
      <c r="CQ386" s="890">
        <f t="shared" si="1047"/>
        <v>472784</v>
      </c>
      <c r="CR386" s="890">
        <f t="shared" si="1047"/>
        <v>150232.23083616229</v>
      </c>
      <c r="CS386" s="890">
        <f t="shared" si="1047"/>
        <v>98460.78359138513</v>
      </c>
      <c r="CT386" s="890">
        <f t="shared" si="1047"/>
        <v>224090.9855724526</v>
      </c>
      <c r="CU386" s="1073"/>
      <c r="CV386" s="1071"/>
      <c r="CX386" s="1072"/>
      <c r="CY386" s="890">
        <f t="shared" si="1048"/>
        <v>472784</v>
      </c>
      <c r="CZ386" s="890">
        <f t="shared" si="1048"/>
        <v>150232.23083616229</v>
      </c>
      <c r="DA386" s="890">
        <f t="shared" si="1048"/>
        <v>98460.78359138513</v>
      </c>
      <c r="DB386" s="890">
        <f t="shared" si="1048"/>
        <v>224090.9855724526</v>
      </c>
      <c r="DC386" s="1073"/>
      <c r="DD386" s="1071"/>
      <c r="DF386" s="1072"/>
      <c r="DG386" s="890">
        <f t="shared" si="1049"/>
        <v>472784</v>
      </c>
      <c r="DH386" s="890">
        <f t="shared" si="1049"/>
        <v>150232.23083616229</v>
      </c>
      <c r="DI386" s="890">
        <f t="shared" si="1049"/>
        <v>98460.78359138513</v>
      </c>
      <c r="DJ386" s="890">
        <f t="shared" si="1049"/>
        <v>224090.9855724526</v>
      </c>
      <c r="DK386" s="1073"/>
      <c r="DL386" s="1071"/>
      <c r="DN386" s="1072"/>
      <c r="DO386" s="890">
        <f t="shared" si="1050"/>
        <v>472784</v>
      </c>
      <c r="DP386" s="890">
        <f t="shared" si="1050"/>
        <v>150232.23083616229</v>
      </c>
      <c r="DQ386" s="890">
        <f t="shared" si="1050"/>
        <v>98460.78359138513</v>
      </c>
      <c r="DR386" s="890">
        <f t="shared" si="1050"/>
        <v>224090.9855724526</v>
      </c>
      <c r="DS386" s="1073"/>
      <c r="DT386" s="1071"/>
      <c r="DV386" s="1072"/>
      <c r="DW386" s="890">
        <f t="shared" si="1051"/>
        <v>472784</v>
      </c>
      <c r="DX386" s="890">
        <f t="shared" si="1051"/>
        <v>150232.23083616229</v>
      </c>
      <c r="DY386" s="890">
        <f t="shared" si="1051"/>
        <v>98460.78359138513</v>
      </c>
      <c r="DZ386" s="890">
        <f t="shared" si="1051"/>
        <v>224090.9855724526</v>
      </c>
      <c r="EA386" s="1073"/>
      <c r="EB386" s="1071"/>
      <c r="ED386" s="1072"/>
      <c r="EE386" s="890">
        <f t="shared" si="1052"/>
        <v>472784</v>
      </c>
      <c r="EF386" s="890">
        <f t="shared" si="1052"/>
        <v>150232.23083616229</v>
      </c>
      <c r="EG386" s="890">
        <f t="shared" si="1052"/>
        <v>98460.78359138513</v>
      </c>
      <c r="EH386" s="890">
        <f t="shared" si="1052"/>
        <v>224090.9855724526</v>
      </c>
      <c r="EI386" s="1073"/>
      <c r="EJ386" s="1071"/>
      <c r="EL386" s="1072"/>
      <c r="EM386" s="890">
        <f t="shared" si="1053"/>
        <v>472784</v>
      </c>
      <c r="EN386" s="890">
        <f t="shared" si="1053"/>
        <v>150232.23083616229</v>
      </c>
      <c r="EO386" s="890">
        <f t="shared" si="1053"/>
        <v>98460.78359138513</v>
      </c>
      <c r="EP386" s="890">
        <f t="shared" si="1053"/>
        <v>224090.9855724526</v>
      </c>
      <c r="EQ386" s="1073"/>
      <c r="ER386" s="1071"/>
      <c r="ET386" s="1072"/>
      <c r="EU386" s="890">
        <f t="shared" si="1054"/>
        <v>472784</v>
      </c>
      <c r="EV386" s="890">
        <f t="shared" si="1054"/>
        <v>150232.23083616229</v>
      </c>
      <c r="EW386" s="890">
        <f t="shared" si="1054"/>
        <v>98460.78359138513</v>
      </c>
      <c r="EX386" s="890">
        <f t="shared" si="1054"/>
        <v>224090.9855724526</v>
      </c>
      <c r="EY386" s="1073"/>
      <c r="EZ386" s="1071"/>
      <c r="FB386" s="1072"/>
      <c r="FC386" s="890">
        <f t="shared" si="1055"/>
        <v>472784</v>
      </c>
      <c r="FD386" s="890">
        <f t="shared" si="1055"/>
        <v>150232.23083616229</v>
      </c>
      <c r="FE386" s="890">
        <f t="shared" si="1055"/>
        <v>98460.78359138513</v>
      </c>
      <c r="FF386" s="890">
        <f t="shared" si="1055"/>
        <v>224090.9855724526</v>
      </c>
      <c r="FG386" s="1073"/>
      <c r="FH386" s="1071"/>
      <c r="FJ386" s="1072"/>
      <c r="FK386" s="890">
        <f t="shared" si="1056"/>
        <v>472784</v>
      </c>
      <c r="FL386" s="890">
        <f t="shared" si="1056"/>
        <v>150232.23083616229</v>
      </c>
      <c r="FM386" s="890">
        <f t="shared" si="1056"/>
        <v>98460.78359138513</v>
      </c>
      <c r="FN386" s="890">
        <f t="shared" si="1056"/>
        <v>224090.9855724526</v>
      </c>
      <c r="FO386" s="1073"/>
    </row>
    <row r="387" spans="2:171">
      <c r="B387" s="108"/>
      <c r="C387" s="108" t="s">
        <v>130</v>
      </c>
      <c r="D387" s="1071"/>
      <c r="E387" s="904" t="str">
        <f t="shared" si="1034"/>
        <v>PTD</v>
      </c>
      <c r="G387" s="890">
        <f t="shared" si="1035"/>
        <v>9005539</v>
      </c>
      <c r="H387" s="890">
        <f t="shared" si="1035"/>
        <v>2861607.4441014547</v>
      </c>
      <c r="I387" s="890">
        <f t="shared" si="1035"/>
        <v>0</v>
      </c>
      <c r="J387" s="890">
        <f t="shared" si="1035"/>
        <v>6143931.5558985453</v>
      </c>
      <c r="K387" s="1073">
        <f t="shared" si="1036"/>
        <v>1</v>
      </c>
      <c r="L387" s="1071"/>
      <c r="N387" s="1072"/>
      <c r="O387" s="890">
        <f t="shared" si="1037"/>
        <v>9005539</v>
      </c>
      <c r="P387" s="890">
        <f t="shared" si="1037"/>
        <v>2861607.4441014547</v>
      </c>
      <c r="Q387" s="890">
        <f t="shared" si="1037"/>
        <v>1875470.4613582075</v>
      </c>
      <c r="R387" s="890">
        <f t="shared" si="1037"/>
        <v>4268461.094540338</v>
      </c>
      <c r="S387" s="1073"/>
      <c r="T387" s="1071"/>
      <c r="V387" s="1072"/>
      <c r="W387" s="890">
        <f t="shared" si="1038"/>
        <v>9005539</v>
      </c>
      <c r="X387" s="890">
        <f t="shared" si="1038"/>
        <v>2861607.4441014547</v>
      </c>
      <c r="Y387" s="890">
        <f t="shared" si="1038"/>
        <v>1875470.4613582075</v>
      </c>
      <c r="Z387" s="890">
        <f t="shared" si="1038"/>
        <v>4268461.094540338</v>
      </c>
      <c r="AA387" s="1073"/>
      <c r="AB387" s="1071"/>
      <c r="AD387" s="1072"/>
      <c r="AE387" s="890">
        <f t="shared" si="1039"/>
        <v>9005539</v>
      </c>
      <c r="AF387" s="890">
        <f t="shared" si="1039"/>
        <v>2861607.4441014547</v>
      </c>
      <c r="AG387" s="890">
        <f t="shared" si="1039"/>
        <v>1875470.4613582075</v>
      </c>
      <c r="AH387" s="890">
        <f t="shared" si="1039"/>
        <v>4268461.094540338</v>
      </c>
      <c r="AI387" s="1073"/>
      <c r="AJ387" s="1071"/>
      <c r="AL387" s="1072"/>
      <c r="AM387" s="890">
        <f t="shared" si="1040"/>
        <v>9005539</v>
      </c>
      <c r="AN387" s="890">
        <f t="shared" si="1040"/>
        <v>2861607.4441014547</v>
      </c>
      <c r="AO387" s="890">
        <f t="shared" si="1040"/>
        <v>1875470.4613582075</v>
      </c>
      <c r="AP387" s="890">
        <f t="shared" si="1040"/>
        <v>4268461.094540338</v>
      </c>
      <c r="AQ387" s="1073"/>
      <c r="AR387" s="1071"/>
      <c r="AT387" s="1072"/>
      <c r="AU387" s="890">
        <f t="shared" si="1041"/>
        <v>9005539</v>
      </c>
      <c r="AV387" s="890">
        <f t="shared" si="1041"/>
        <v>2861607.4441014547</v>
      </c>
      <c r="AW387" s="890">
        <f t="shared" si="1041"/>
        <v>1875470.4613582075</v>
      </c>
      <c r="AX387" s="890">
        <f t="shared" si="1041"/>
        <v>4268461.094540338</v>
      </c>
      <c r="AY387" s="1073"/>
      <c r="AZ387" s="1071"/>
      <c r="BB387" s="1072"/>
      <c r="BC387" s="890">
        <f t="shared" si="1042"/>
        <v>9005539</v>
      </c>
      <c r="BD387" s="890">
        <f t="shared" si="1042"/>
        <v>2861607.4441014547</v>
      </c>
      <c r="BE387" s="890">
        <f t="shared" si="1042"/>
        <v>1875470.4613582075</v>
      </c>
      <c r="BF387" s="890">
        <f t="shared" si="1042"/>
        <v>4268461.094540338</v>
      </c>
      <c r="BG387" s="1073"/>
      <c r="BH387" s="1071"/>
      <c r="BJ387" s="1072"/>
      <c r="BK387" s="890">
        <f t="shared" si="1043"/>
        <v>9005539</v>
      </c>
      <c r="BL387" s="890">
        <f t="shared" si="1043"/>
        <v>2861607.4441014547</v>
      </c>
      <c r="BM387" s="890">
        <f t="shared" si="1043"/>
        <v>1875470.4613582075</v>
      </c>
      <c r="BN387" s="890">
        <f t="shared" si="1043"/>
        <v>4268461.094540338</v>
      </c>
      <c r="BO387" s="1073"/>
      <c r="BP387" s="1071"/>
      <c r="BR387" s="1072"/>
      <c r="BS387" s="890">
        <f t="shared" si="1044"/>
        <v>9005539</v>
      </c>
      <c r="BT387" s="890">
        <f t="shared" si="1044"/>
        <v>2861607.4441014547</v>
      </c>
      <c r="BU387" s="890">
        <f t="shared" si="1044"/>
        <v>1875470.4613582075</v>
      </c>
      <c r="BV387" s="890">
        <f t="shared" si="1044"/>
        <v>4268461.094540338</v>
      </c>
      <c r="BW387" s="1073"/>
      <c r="BX387" s="1071"/>
      <c r="BZ387" s="1072"/>
      <c r="CA387" s="890">
        <f t="shared" si="1045"/>
        <v>9005539</v>
      </c>
      <c r="CB387" s="890">
        <f t="shared" si="1045"/>
        <v>2861607.4441014547</v>
      </c>
      <c r="CC387" s="890">
        <f t="shared" si="1045"/>
        <v>1875470.4613582075</v>
      </c>
      <c r="CD387" s="890">
        <f t="shared" si="1045"/>
        <v>4268461.094540338</v>
      </c>
      <c r="CE387" s="1073"/>
      <c r="CF387" s="1071"/>
      <c r="CH387" s="1072"/>
      <c r="CI387" s="890">
        <f t="shared" si="1046"/>
        <v>9005539</v>
      </c>
      <c r="CJ387" s="890">
        <f t="shared" si="1046"/>
        <v>2861607.4441014547</v>
      </c>
      <c r="CK387" s="890">
        <f t="shared" si="1046"/>
        <v>1875470.4613582075</v>
      </c>
      <c r="CL387" s="890">
        <f t="shared" si="1046"/>
        <v>4268461.094540338</v>
      </c>
      <c r="CM387" s="1073"/>
      <c r="CN387" s="1071"/>
      <c r="CP387" s="1072"/>
      <c r="CQ387" s="890">
        <f t="shared" si="1047"/>
        <v>9005539</v>
      </c>
      <c r="CR387" s="890">
        <f t="shared" si="1047"/>
        <v>2861607.4441014547</v>
      </c>
      <c r="CS387" s="890">
        <f t="shared" si="1047"/>
        <v>1875470.4613582075</v>
      </c>
      <c r="CT387" s="890">
        <f t="shared" si="1047"/>
        <v>4268461.094540338</v>
      </c>
      <c r="CU387" s="1073"/>
      <c r="CV387" s="1071"/>
      <c r="CX387" s="1072"/>
      <c r="CY387" s="890">
        <f t="shared" si="1048"/>
        <v>9005539</v>
      </c>
      <c r="CZ387" s="890">
        <f t="shared" si="1048"/>
        <v>2861607.4441014547</v>
      </c>
      <c r="DA387" s="890">
        <f t="shared" si="1048"/>
        <v>1875470.4613582075</v>
      </c>
      <c r="DB387" s="890">
        <f t="shared" si="1048"/>
        <v>4268461.094540338</v>
      </c>
      <c r="DC387" s="1073"/>
      <c r="DD387" s="1071"/>
      <c r="DF387" s="1072"/>
      <c r="DG387" s="890">
        <f t="shared" si="1049"/>
        <v>9005539</v>
      </c>
      <c r="DH387" s="890">
        <f t="shared" si="1049"/>
        <v>2861607.4441014547</v>
      </c>
      <c r="DI387" s="890">
        <f t="shared" si="1049"/>
        <v>1875470.4613582075</v>
      </c>
      <c r="DJ387" s="890">
        <f t="shared" si="1049"/>
        <v>4268461.094540338</v>
      </c>
      <c r="DK387" s="1073"/>
      <c r="DL387" s="1071"/>
      <c r="DN387" s="1072"/>
      <c r="DO387" s="890">
        <f t="shared" si="1050"/>
        <v>9005539</v>
      </c>
      <c r="DP387" s="890">
        <f t="shared" si="1050"/>
        <v>2861607.4441014547</v>
      </c>
      <c r="DQ387" s="890">
        <f t="shared" si="1050"/>
        <v>1875470.4613582075</v>
      </c>
      <c r="DR387" s="890">
        <f t="shared" si="1050"/>
        <v>4268461.094540338</v>
      </c>
      <c r="DS387" s="1073"/>
      <c r="DT387" s="1071"/>
      <c r="DV387" s="1072"/>
      <c r="DW387" s="890">
        <f t="shared" si="1051"/>
        <v>9005539</v>
      </c>
      <c r="DX387" s="890">
        <f t="shared" si="1051"/>
        <v>2861607.4441014547</v>
      </c>
      <c r="DY387" s="890">
        <f t="shared" si="1051"/>
        <v>1875470.4613582075</v>
      </c>
      <c r="DZ387" s="890">
        <f t="shared" si="1051"/>
        <v>4268461.094540338</v>
      </c>
      <c r="EA387" s="1073"/>
      <c r="EB387" s="1071"/>
      <c r="ED387" s="1072"/>
      <c r="EE387" s="890">
        <f t="shared" si="1052"/>
        <v>9005539</v>
      </c>
      <c r="EF387" s="890">
        <f t="shared" si="1052"/>
        <v>2861607.4441014547</v>
      </c>
      <c r="EG387" s="890">
        <f t="shared" si="1052"/>
        <v>1875470.4613582075</v>
      </c>
      <c r="EH387" s="890">
        <f t="shared" si="1052"/>
        <v>4268461.094540338</v>
      </c>
      <c r="EI387" s="1073"/>
      <c r="EJ387" s="1071"/>
      <c r="EL387" s="1072"/>
      <c r="EM387" s="890">
        <f t="shared" si="1053"/>
        <v>9005539</v>
      </c>
      <c r="EN387" s="890">
        <f t="shared" si="1053"/>
        <v>2861607.4441014547</v>
      </c>
      <c r="EO387" s="890">
        <f t="shared" si="1053"/>
        <v>1875470.4613582075</v>
      </c>
      <c r="EP387" s="890">
        <f t="shared" si="1053"/>
        <v>4268461.094540338</v>
      </c>
      <c r="EQ387" s="1073"/>
      <c r="ER387" s="1071"/>
      <c r="ET387" s="1072"/>
      <c r="EU387" s="890">
        <f t="shared" si="1054"/>
        <v>9005539</v>
      </c>
      <c r="EV387" s="890">
        <f t="shared" si="1054"/>
        <v>2861607.4441014547</v>
      </c>
      <c r="EW387" s="890">
        <f t="shared" si="1054"/>
        <v>1875470.4613582075</v>
      </c>
      <c r="EX387" s="890">
        <f t="shared" si="1054"/>
        <v>4268461.094540338</v>
      </c>
      <c r="EY387" s="1073"/>
      <c r="EZ387" s="1071"/>
      <c r="FB387" s="1072"/>
      <c r="FC387" s="890">
        <f t="shared" si="1055"/>
        <v>9005539</v>
      </c>
      <c r="FD387" s="890">
        <f t="shared" si="1055"/>
        <v>2861607.4441014547</v>
      </c>
      <c r="FE387" s="890">
        <f t="shared" si="1055"/>
        <v>1875470.4613582075</v>
      </c>
      <c r="FF387" s="890">
        <f t="shared" si="1055"/>
        <v>4268461.094540338</v>
      </c>
      <c r="FG387" s="1073"/>
      <c r="FH387" s="1071"/>
      <c r="FJ387" s="1072"/>
      <c r="FK387" s="890">
        <f t="shared" si="1056"/>
        <v>9005539</v>
      </c>
      <c r="FL387" s="890">
        <f t="shared" si="1056"/>
        <v>2861607.4441014547</v>
      </c>
      <c r="FM387" s="890">
        <f t="shared" si="1056"/>
        <v>1875470.4613582075</v>
      </c>
      <c r="FN387" s="890">
        <f t="shared" si="1056"/>
        <v>4268461.094540338</v>
      </c>
      <c r="FO387" s="1073"/>
    </row>
    <row r="388" spans="2:171">
      <c r="B388" s="108"/>
      <c r="C388" s="108" t="s">
        <v>131</v>
      </c>
      <c r="D388" s="1071"/>
      <c r="E388" s="904" t="str">
        <f t="shared" si="1034"/>
        <v>PTD</v>
      </c>
      <c r="G388" s="890">
        <f t="shared" si="1035"/>
        <v>3305287</v>
      </c>
      <c r="H388" s="890">
        <f t="shared" si="1035"/>
        <v>1050290.7026544178</v>
      </c>
      <c r="I388" s="890">
        <f t="shared" si="1035"/>
        <v>0</v>
      </c>
      <c r="J388" s="890">
        <f t="shared" si="1035"/>
        <v>2254996.2973455819</v>
      </c>
      <c r="K388" s="1073">
        <f t="shared" si="1036"/>
        <v>1</v>
      </c>
      <c r="L388" s="1071"/>
      <c r="N388" s="1072"/>
      <c r="O388" s="890">
        <f t="shared" si="1037"/>
        <v>3305287</v>
      </c>
      <c r="P388" s="890">
        <f t="shared" si="1037"/>
        <v>1050290.7026544178</v>
      </c>
      <c r="Q388" s="890">
        <f t="shared" si="1037"/>
        <v>688350.59565133031</v>
      </c>
      <c r="R388" s="890">
        <f t="shared" si="1037"/>
        <v>1566645.7016942517</v>
      </c>
      <c r="S388" s="1073"/>
      <c r="T388" s="1071"/>
      <c r="V388" s="1072"/>
      <c r="W388" s="890">
        <f t="shared" si="1038"/>
        <v>3305287</v>
      </c>
      <c r="X388" s="890">
        <f t="shared" si="1038"/>
        <v>1050290.7026544178</v>
      </c>
      <c r="Y388" s="890">
        <f t="shared" si="1038"/>
        <v>688350.59565133031</v>
      </c>
      <c r="Z388" s="890">
        <f t="shared" si="1038"/>
        <v>1566645.7016942517</v>
      </c>
      <c r="AA388" s="1073"/>
      <c r="AB388" s="1071"/>
      <c r="AD388" s="1072"/>
      <c r="AE388" s="890">
        <f t="shared" si="1039"/>
        <v>3305287</v>
      </c>
      <c r="AF388" s="890">
        <f t="shared" si="1039"/>
        <v>1050290.7026544178</v>
      </c>
      <c r="AG388" s="890">
        <f t="shared" si="1039"/>
        <v>688350.59565133031</v>
      </c>
      <c r="AH388" s="890">
        <f t="shared" si="1039"/>
        <v>1566645.7016942517</v>
      </c>
      <c r="AI388" s="1073"/>
      <c r="AJ388" s="1071"/>
      <c r="AL388" s="1072"/>
      <c r="AM388" s="890">
        <f t="shared" si="1040"/>
        <v>3305287</v>
      </c>
      <c r="AN388" s="890">
        <f t="shared" si="1040"/>
        <v>1050290.7026544178</v>
      </c>
      <c r="AO388" s="890">
        <f t="shared" si="1040"/>
        <v>688350.59565133031</v>
      </c>
      <c r="AP388" s="890">
        <f t="shared" si="1040"/>
        <v>1566645.7016942517</v>
      </c>
      <c r="AQ388" s="1073"/>
      <c r="AR388" s="1071"/>
      <c r="AT388" s="1072"/>
      <c r="AU388" s="890">
        <f t="shared" si="1041"/>
        <v>3305287</v>
      </c>
      <c r="AV388" s="890">
        <f t="shared" si="1041"/>
        <v>1050290.7026544178</v>
      </c>
      <c r="AW388" s="890">
        <f t="shared" si="1041"/>
        <v>688350.59565133031</v>
      </c>
      <c r="AX388" s="890">
        <f t="shared" si="1041"/>
        <v>1566645.7016942517</v>
      </c>
      <c r="AY388" s="1073"/>
      <c r="AZ388" s="1071"/>
      <c r="BB388" s="1072"/>
      <c r="BC388" s="890">
        <f t="shared" si="1042"/>
        <v>3305287</v>
      </c>
      <c r="BD388" s="890">
        <f t="shared" si="1042"/>
        <v>1050290.7026544178</v>
      </c>
      <c r="BE388" s="890">
        <f t="shared" si="1042"/>
        <v>688350.59565133031</v>
      </c>
      <c r="BF388" s="890">
        <f t="shared" si="1042"/>
        <v>1566645.7016942517</v>
      </c>
      <c r="BG388" s="1073"/>
      <c r="BH388" s="1071"/>
      <c r="BJ388" s="1072"/>
      <c r="BK388" s="890">
        <f t="shared" si="1043"/>
        <v>3305287</v>
      </c>
      <c r="BL388" s="890">
        <f t="shared" si="1043"/>
        <v>1050290.7026544178</v>
      </c>
      <c r="BM388" s="890">
        <f t="shared" si="1043"/>
        <v>688350.59565133031</v>
      </c>
      <c r="BN388" s="890">
        <f t="shared" si="1043"/>
        <v>1566645.7016942517</v>
      </c>
      <c r="BO388" s="1073"/>
      <c r="BP388" s="1071"/>
      <c r="BR388" s="1072"/>
      <c r="BS388" s="890">
        <f t="shared" si="1044"/>
        <v>3305287</v>
      </c>
      <c r="BT388" s="890">
        <f t="shared" si="1044"/>
        <v>1050290.7026544178</v>
      </c>
      <c r="BU388" s="890">
        <f t="shared" si="1044"/>
        <v>688350.59565133031</v>
      </c>
      <c r="BV388" s="890">
        <f t="shared" si="1044"/>
        <v>1566645.7016942517</v>
      </c>
      <c r="BW388" s="1073"/>
      <c r="BX388" s="1071"/>
      <c r="BZ388" s="1072"/>
      <c r="CA388" s="890">
        <f t="shared" si="1045"/>
        <v>3305287</v>
      </c>
      <c r="CB388" s="890">
        <f t="shared" si="1045"/>
        <v>1050290.7026544178</v>
      </c>
      <c r="CC388" s="890">
        <f t="shared" si="1045"/>
        <v>688350.59565133031</v>
      </c>
      <c r="CD388" s="890">
        <f t="shared" si="1045"/>
        <v>1566645.7016942517</v>
      </c>
      <c r="CE388" s="1073"/>
      <c r="CF388" s="1071"/>
      <c r="CH388" s="1072"/>
      <c r="CI388" s="890">
        <f t="shared" si="1046"/>
        <v>3305287</v>
      </c>
      <c r="CJ388" s="890">
        <f t="shared" si="1046"/>
        <v>1050290.7026544178</v>
      </c>
      <c r="CK388" s="890">
        <f t="shared" si="1046"/>
        <v>688350.59565133031</v>
      </c>
      <c r="CL388" s="890">
        <f t="shared" si="1046"/>
        <v>1566645.7016942517</v>
      </c>
      <c r="CM388" s="1073"/>
      <c r="CN388" s="1071"/>
      <c r="CP388" s="1072"/>
      <c r="CQ388" s="890">
        <f t="shared" si="1047"/>
        <v>3305287</v>
      </c>
      <c r="CR388" s="890">
        <f t="shared" si="1047"/>
        <v>1050290.7026544178</v>
      </c>
      <c r="CS388" s="890">
        <f t="shared" si="1047"/>
        <v>688350.59565133031</v>
      </c>
      <c r="CT388" s="890">
        <f t="shared" si="1047"/>
        <v>1566645.7016942517</v>
      </c>
      <c r="CU388" s="1073"/>
      <c r="CV388" s="1071"/>
      <c r="CX388" s="1072"/>
      <c r="CY388" s="890">
        <f t="shared" si="1048"/>
        <v>3305287</v>
      </c>
      <c r="CZ388" s="890">
        <f t="shared" si="1048"/>
        <v>1050290.7026544178</v>
      </c>
      <c r="DA388" s="890">
        <f t="shared" si="1048"/>
        <v>688350.59565133031</v>
      </c>
      <c r="DB388" s="890">
        <f t="shared" si="1048"/>
        <v>1566645.7016942517</v>
      </c>
      <c r="DC388" s="1073"/>
      <c r="DD388" s="1071"/>
      <c r="DF388" s="1072"/>
      <c r="DG388" s="890">
        <f t="shared" si="1049"/>
        <v>3305287</v>
      </c>
      <c r="DH388" s="890">
        <f t="shared" si="1049"/>
        <v>1050290.7026544178</v>
      </c>
      <c r="DI388" s="890">
        <f t="shared" si="1049"/>
        <v>688350.59565133031</v>
      </c>
      <c r="DJ388" s="890">
        <f t="shared" si="1049"/>
        <v>1566645.7016942517</v>
      </c>
      <c r="DK388" s="1073"/>
      <c r="DL388" s="1071"/>
      <c r="DN388" s="1072"/>
      <c r="DO388" s="890">
        <f t="shared" si="1050"/>
        <v>3305287</v>
      </c>
      <c r="DP388" s="890">
        <f t="shared" si="1050"/>
        <v>1050290.7026544178</v>
      </c>
      <c r="DQ388" s="890">
        <f t="shared" si="1050"/>
        <v>688350.59565133031</v>
      </c>
      <c r="DR388" s="890">
        <f t="shared" si="1050"/>
        <v>1566645.7016942517</v>
      </c>
      <c r="DS388" s="1073"/>
      <c r="DT388" s="1071"/>
      <c r="DV388" s="1072"/>
      <c r="DW388" s="890">
        <f t="shared" si="1051"/>
        <v>3305287</v>
      </c>
      <c r="DX388" s="890">
        <f t="shared" si="1051"/>
        <v>1050290.7026544178</v>
      </c>
      <c r="DY388" s="890">
        <f t="shared" si="1051"/>
        <v>688350.59565133031</v>
      </c>
      <c r="DZ388" s="890">
        <f t="shared" si="1051"/>
        <v>1566645.7016942517</v>
      </c>
      <c r="EA388" s="1073"/>
      <c r="EB388" s="1071"/>
      <c r="ED388" s="1072"/>
      <c r="EE388" s="890">
        <f t="shared" si="1052"/>
        <v>3305287</v>
      </c>
      <c r="EF388" s="890">
        <f t="shared" si="1052"/>
        <v>1050290.7026544178</v>
      </c>
      <c r="EG388" s="890">
        <f t="shared" si="1052"/>
        <v>688350.59565133031</v>
      </c>
      <c r="EH388" s="890">
        <f t="shared" si="1052"/>
        <v>1566645.7016942517</v>
      </c>
      <c r="EI388" s="1073"/>
      <c r="EJ388" s="1071"/>
      <c r="EL388" s="1072"/>
      <c r="EM388" s="890">
        <f t="shared" si="1053"/>
        <v>3305287</v>
      </c>
      <c r="EN388" s="890">
        <f t="shared" si="1053"/>
        <v>1050290.7026544178</v>
      </c>
      <c r="EO388" s="890">
        <f t="shared" si="1053"/>
        <v>688350.59565133031</v>
      </c>
      <c r="EP388" s="890">
        <f t="shared" si="1053"/>
        <v>1566645.7016942517</v>
      </c>
      <c r="EQ388" s="1073"/>
      <c r="ER388" s="1071"/>
      <c r="ET388" s="1072"/>
      <c r="EU388" s="890">
        <f t="shared" si="1054"/>
        <v>3305287</v>
      </c>
      <c r="EV388" s="890">
        <f t="shared" si="1054"/>
        <v>1050290.7026544178</v>
      </c>
      <c r="EW388" s="890">
        <f t="shared" si="1054"/>
        <v>688350.59565133031</v>
      </c>
      <c r="EX388" s="890">
        <f t="shared" si="1054"/>
        <v>1566645.7016942517</v>
      </c>
      <c r="EY388" s="1073"/>
      <c r="EZ388" s="1071"/>
      <c r="FB388" s="1072"/>
      <c r="FC388" s="890">
        <f t="shared" si="1055"/>
        <v>3305287</v>
      </c>
      <c r="FD388" s="890">
        <f t="shared" si="1055"/>
        <v>1050290.7026544178</v>
      </c>
      <c r="FE388" s="890">
        <f t="shared" si="1055"/>
        <v>688350.59565133031</v>
      </c>
      <c r="FF388" s="890">
        <f t="shared" si="1055"/>
        <v>1566645.7016942517</v>
      </c>
      <c r="FG388" s="1073"/>
      <c r="FH388" s="1071"/>
      <c r="FJ388" s="1072"/>
      <c r="FK388" s="890">
        <f t="shared" si="1056"/>
        <v>3305287</v>
      </c>
      <c r="FL388" s="890">
        <f t="shared" si="1056"/>
        <v>1050290.7026544178</v>
      </c>
      <c r="FM388" s="890">
        <f t="shared" si="1056"/>
        <v>688350.59565133031</v>
      </c>
      <c r="FN388" s="890">
        <f t="shared" si="1056"/>
        <v>1566645.7016942517</v>
      </c>
      <c r="FO388" s="1073"/>
    </row>
    <row r="389" spans="2:171">
      <c r="B389" s="108"/>
      <c r="C389" s="108" t="s">
        <v>132</v>
      </c>
      <c r="D389" s="1071"/>
      <c r="E389" s="904" t="str">
        <f t="shared" si="1034"/>
        <v>TD</v>
      </c>
      <c r="G389" s="890">
        <f t="shared" si="1035"/>
        <v>25432532</v>
      </c>
      <c r="H389" s="890">
        <f t="shared" si="1035"/>
        <v>0</v>
      </c>
      <c r="I389" s="890">
        <f t="shared" si="1035"/>
        <v>0</v>
      </c>
      <c r="J389" s="890">
        <f t="shared" si="1035"/>
        <v>25432532</v>
      </c>
      <c r="K389" s="1073">
        <f t="shared" si="1036"/>
        <v>1</v>
      </c>
      <c r="L389" s="1071"/>
      <c r="N389" s="1072"/>
      <c r="O389" s="890">
        <f t="shared" si="1037"/>
        <v>25432532</v>
      </c>
      <c r="P389" s="890">
        <f t="shared" si="1037"/>
        <v>0</v>
      </c>
      <c r="Q389" s="890">
        <f t="shared" si="1037"/>
        <v>7763426.7389835175</v>
      </c>
      <c r="R389" s="890">
        <f t="shared" si="1037"/>
        <v>17669105.261016481</v>
      </c>
      <c r="S389" s="1073"/>
      <c r="T389" s="1071"/>
      <c r="V389" s="1072"/>
      <c r="W389" s="890">
        <f t="shared" si="1038"/>
        <v>25432532</v>
      </c>
      <c r="X389" s="890">
        <f t="shared" si="1038"/>
        <v>0</v>
      </c>
      <c r="Y389" s="890">
        <f t="shared" si="1038"/>
        <v>7763426.7389835175</v>
      </c>
      <c r="Z389" s="890">
        <f t="shared" si="1038"/>
        <v>17669105.261016481</v>
      </c>
      <c r="AA389" s="1073"/>
      <c r="AB389" s="1071"/>
      <c r="AD389" s="1072"/>
      <c r="AE389" s="890">
        <f t="shared" si="1039"/>
        <v>25432532</v>
      </c>
      <c r="AF389" s="890">
        <f t="shared" si="1039"/>
        <v>0</v>
      </c>
      <c r="AG389" s="890">
        <f t="shared" si="1039"/>
        <v>7763426.7389835175</v>
      </c>
      <c r="AH389" s="890">
        <f t="shared" si="1039"/>
        <v>17669105.261016481</v>
      </c>
      <c r="AI389" s="1073"/>
      <c r="AJ389" s="1071"/>
      <c r="AL389" s="1072"/>
      <c r="AM389" s="890">
        <f t="shared" si="1040"/>
        <v>25432532</v>
      </c>
      <c r="AN389" s="890">
        <f t="shared" si="1040"/>
        <v>0</v>
      </c>
      <c r="AO389" s="890">
        <f t="shared" si="1040"/>
        <v>7763426.7389835175</v>
      </c>
      <c r="AP389" s="890">
        <f t="shared" si="1040"/>
        <v>17669105.261016481</v>
      </c>
      <c r="AQ389" s="1073"/>
      <c r="AR389" s="1071"/>
      <c r="AT389" s="1072"/>
      <c r="AU389" s="890">
        <f t="shared" si="1041"/>
        <v>25432532</v>
      </c>
      <c r="AV389" s="890">
        <f t="shared" si="1041"/>
        <v>0</v>
      </c>
      <c r="AW389" s="890">
        <f t="shared" si="1041"/>
        <v>7763426.7389835175</v>
      </c>
      <c r="AX389" s="890">
        <f t="shared" si="1041"/>
        <v>17669105.261016481</v>
      </c>
      <c r="AY389" s="1073"/>
      <c r="AZ389" s="1071"/>
      <c r="BB389" s="1072"/>
      <c r="BC389" s="890">
        <f t="shared" si="1042"/>
        <v>25432532</v>
      </c>
      <c r="BD389" s="890">
        <f t="shared" si="1042"/>
        <v>0</v>
      </c>
      <c r="BE389" s="890">
        <f t="shared" si="1042"/>
        <v>7763426.7389835175</v>
      </c>
      <c r="BF389" s="890">
        <f t="shared" si="1042"/>
        <v>17669105.261016481</v>
      </c>
      <c r="BG389" s="1073"/>
      <c r="BH389" s="1071"/>
      <c r="BJ389" s="1072"/>
      <c r="BK389" s="890">
        <f t="shared" si="1043"/>
        <v>25432532</v>
      </c>
      <c r="BL389" s="890">
        <f t="shared" si="1043"/>
        <v>0</v>
      </c>
      <c r="BM389" s="890">
        <f t="shared" si="1043"/>
        <v>7763426.7389835175</v>
      </c>
      <c r="BN389" s="890">
        <f t="shared" si="1043"/>
        <v>17669105.261016481</v>
      </c>
      <c r="BO389" s="1073"/>
      <c r="BP389" s="1071"/>
      <c r="BR389" s="1072"/>
      <c r="BS389" s="890">
        <f t="shared" si="1044"/>
        <v>25432532</v>
      </c>
      <c r="BT389" s="890">
        <f t="shared" si="1044"/>
        <v>0</v>
      </c>
      <c r="BU389" s="890">
        <f t="shared" si="1044"/>
        <v>7763426.7389835175</v>
      </c>
      <c r="BV389" s="890">
        <f t="shared" si="1044"/>
        <v>17669105.261016481</v>
      </c>
      <c r="BW389" s="1073"/>
      <c r="BX389" s="1071"/>
      <c r="BZ389" s="1072"/>
      <c r="CA389" s="890">
        <f t="shared" si="1045"/>
        <v>25432532</v>
      </c>
      <c r="CB389" s="890">
        <f t="shared" si="1045"/>
        <v>0</v>
      </c>
      <c r="CC389" s="890">
        <f t="shared" si="1045"/>
        <v>7763426.7389835175</v>
      </c>
      <c r="CD389" s="890">
        <f t="shared" si="1045"/>
        <v>17669105.261016481</v>
      </c>
      <c r="CE389" s="1073"/>
      <c r="CF389" s="1071"/>
      <c r="CH389" s="1072"/>
      <c r="CI389" s="890">
        <f t="shared" si="1046"/>
        <v>25432532</v>
      </c>
      <c r="CJ389" s="890">
        <f t="shared" si="1046"/>
        <v>0</v>
      </c>
      <c r="CK389" s="890">
        <f t="shared" si="1046"/>
        <v>7763426.7389835175</v>
      </c>
      <c r="CL389" s="890">
        <f t="shared" si="1046"/>
        <v>17669105.261016481</v>
      </c>
      <c r="CM389" s="1073"/>
      <c r="CN389" s="1071"/>
      <c r="CP389" s="1072"/>
      <c r="CQ389" s="890">
        <f t="shared" si="1047"/>
        <v>25432532</v>
      </c>
      <c r="CR389" s="890">
        <f t="shared" si="1047"/>
        <v>0</v>
      </c>
      <c r="CS389" s="890">
        <f t="shared" si="1047"/>
        <v>7763426.7389835175</v>
      </c>
      <c r="CT389" s="890">
        <f t="shared" si="1047"/>
        <v>17669105.261016481</v>
      </c>
      <c r="CU389" s="1073"/>
      <c r="CV389" s="1071"/>
      <c r="CX389" s="1072"/>
      <c r="CY389" s="890">
        <f t="shared" si="1048"/>
        <v>25432532</v>
      </c>
      <c r="CZ389" s="890">
        <f t="shared" si="1048"/>
        <v>0</v>
      </c>
      <c r="DA389" s="890">
        <f t="shared" si="1048"/>
        <v>7763426.7389835175</v>
      </c>
      <c r="DB389" s="890">
        <f t="shared" si="1048"/>
        <v>17669105.261016481</v>
      </c>
      <c r="DC389" s="1073"/>
      <c r="DD389" s="1071"/>
      <c r="DF389" s="1072"/>
      <c r="DG389" s="890">
        <f t="shared" si="1049"/>
        <v>25432532</v>
      </c>
      <c r="DH389" s="890">
        <f t="shared" si="1049"/>
        <v>0</v>
      </c>
      <c r="DI389" s="890">
        <f t="shared" si="1049"/>
        <v>7763426.7389835175</v>
      </c>
      <c r="DJ389" s="890">
        <f t="shared" si="1049"/>
        <v>17669105.261016481</v>
      </c>
      <c r="DK389" s="1073"/>
      <c r="DL389" s="1071"/>
      <c r="DN389" s="1072"/>
      <c r="DO389" s="890">
        <f t="shared" si="1050"/>
        <v>25432532</v>
      </c>
      <c r="DP389" s="890">
        <f t="shared" si="1050"/>
        <v>0</v>
      </c>
      <c r="DQ389" s="890">
        <f t="shared" si="1050"/>
        <v>7763426.7389835175</v>
      </c>
      <c r="DR389" s="890">
        <f t="shared" si="1050"/>
        <v>17669105.261016481</v>
      </c>
      <c r="DS389" s="1073"/>
      <c r="DT389" s="1071"/>
      <c r="DV389" s="1072"/>
      <c r="DW389" s="890">
        <f t="shared" si="1051"/>
        <v>25432532</v>
      </c>
      <c r="DX389" s="890">
        <f t="shared" si="1051"/>
        <v>0</v>
      </c>
      <c r="DY389" s="890">
        <f t="shared" si="1051"/>
        <v>7763426.7389835175</v>
      </c>
      <c r="DZ389" s="890">
        <f t="shared" si="1051"/>
        <v>17669105.261016481</v>
      </c>
      <c r="EA389" s="1073"/>
      <c r="EB389" s="1071"/>
      <c r="ED389" s="1072"/>
      <c r="EE389" s="890">
        <f t="shared" si="1052"/>
        <v>25432532</v>
      </c>
      <c r="EF389" s="890">
        <f t="shared" si="1052"/>
        <v>0</v>
      </c>
      <c r="EG389" s="890">
        <f t="shared" si="1052"/>
        <v>7763426.7389835175</v>
      </c>
      <c r="EH389" s="890">
        <f t="shared" si="1052"/>
        <v>17669105.261016481</v>
      </c>
      <c r="EI389" s="1073"/>
      <c r="EJ389" s="1071"/>
      <c r="EL389" s="1072"/>
      <c r="EM389" s="890">
        <f t="shared" si="1053"/>
        <v>25432532</v>
      </c>
      <c r="EN389" s="890">
        <f t="shared" si="1053"/>
        <v>0</v>
      </c>
      <c r="EO389" s="890">
        <f t="shared" si="1053"/>
        <v>7763426.7389835175</v>
      </c>
      <c r="EP389" s="890">
        <f t="shared" si="1053"/>
        <v>17669105.261016481</v>
      </c>
      <c r="EQ389" s="1073"/>
      <c r="ER389" s="1071"/>
      <c r="ET389" s="1072"/>
      <c r="EU389" s="890">
        <f t="shared" si="1054"/>
        <v>25432532</v>
      </c>
      <c r="EV389" s="890">
        <f t="shared" si="1054"/>
        <v>0</v>
      </c>
      <c r="EW389" s="890">
        <f t="shared" si="1054"/>
        <v>7763426.7389835175</v>
      </c>
      <c r="EX389" s="890">
        <f t="shared" si="1054"/>
        <v>17669105.261016481</v>
      </c>
      <c r="EY389" s="1073"/>
      <c r="EZ389" s="1071"/>
      <c r="FB389" s="1072"/>
      <c r="FC389" s="890">
        <f t="shared" si="1055"/>
        <v>25432532</v>
      </c>
      <c r="FD389" s="890">
        <f t="shared" si="1055"/>
        <v>0</v>
      </c>
      <c r="FE389" s="890">
        <f t="shared" si="1055"/>
        <v>7763426.7389835175</v>
      </c>
      <c r="FF389" s="890">
        <f t="shared" si="1055"/>
        <v>17669105.261016481</v>
      </c>
      <c r="FG389" s="1073"/>
      <c r="FH389" s="1071"/>
      <c r="FJ389" s="1072"/>
      <c r="FK389" s="890">
        <f t="shared" si="1056"/>
        <v>25432532</v>
      </c>
      <c r="FL389" s="890">
        <f t="shared" si="1056"/>
        <v>0</v>
      </c>
      <c r="FM389" s="890">
        <f t="shared" si="1056"/>
        <v>7763426.7389835175</v>
      </c>
      <c r="FN389" s="890">
        <f t="shared" si="1056"/>
        <v>17669105.261016481</v>
      </c>
      <c r="FO389" s="1073"/>
    </row>
    <row r="390" spans="2:171">
      <c r="B390" s="108"/>
      <c r="C390" s="108" t="s">
        <v>133</v>
      </c>
      <c r="D390" s="1071"/>
      <c r="E390" s="904" t="str">
        <f t="shared" si="1034"/>
        <v>PTD</v>
      </c>
      <c r="G390" s="890">
        <f t="shared" si="1035"/>
        <v>42279271</v>
      </c>
      <c r="H390" s="890">
        <f t="shared" si="1035"/>
        <v>13434695.760551672</v>
      </c>
      <c r="I390" s="890">
        <f t="shared" si="1035"/>
        <v>0</v>
      </c>
      <c r="J390" s="890">
        <f t="shared" si="1035"/>
        <v>28844575.239448324</v>
      </c>
      <c r="K390" s="1073">
        <f t="shared" si="1036"/>
        <v>1</v>
      </c>
      <c r="L390" s="1071"/>
      <c r="N390" s="1072"/>
      <c r="O390" s="890">
        <f t="shared" si="1037"/>
        <v>42279271</v>
      </c>
      <c r="P390" s="890">
        <f t="shared" si="1037"/>
        <v>13434695.760551672</v>
      </c>
      <c r="Q390" s="890">
        <f t="shared" si="1037"/>
        <v>8804972.5716871228</v>
      </c>
      <c r="R390" s="890">
        <f t="shared" si="1037"/>
        <v>20039602.667761203</v>
      </c>
      <c r="S390" s="1073"/>
      <c r="T390" s="1071"/>
      <c r="V390" s="1072"/>
      <c r="W390" s="890">
        <f t="shared" si="1038"/>
        <v>42279271</v>
      </c>
      <c r="X390" s="890">
        <f t="shared" si="1038"/>
        <v>13434695.760551672</v>
      </c>
      <c r="Y390" s="890">
        <f t="shared" si="1038"/>
        <v>8804972.5716871228</v>
      </c>
      <c r="Z390" s="890">
        <f t="shared" si="1038"/>
        <v>20039602.667761203</v>
      </c>
      <c r="AA390" s="1073"/>
      <c r="AB390" s="1071"/>
      <c r="AD390" s="1072"/>
      <c r="AE390" s="890">
        <f t="shared" si="1039"/>
        <v>42279271</v>
      </c>
      <c r="AF390" s="890">
        <f t="shared" si="1039"/>
        <v>13434695.760551672</v>
      </c>
      <c r="AG390" s="890">
        <f t="shared" si="1039"/>
        <v>8804972.5716871228</v>
      </c>
      <c r="AH390" s="890">
        <f t="shared" si="1039"/>
        <v>20039602.667761203</v>
      </c>
      <c r="AI390" s="1073"/>
      <c r="AJ390" s="1071"/>
      <c r="AL390" s="1072"/>
      <c r="AM390" s="890">
        <f t="shared" si="1040"/>
        <v>42279271</v>
      </c>
      <c r="AN390" s="890">
        <f t="shared" si="1040"/>
        <v>13434695.760551672</v>
      </c>
      <c r="AO390" s="890">
        <f t="shared" si="1040"/>
        <v>8804972.5716871228</v>
      </c>
      <c r="AP390" s="890">
        <f t="shared" si="1040"/>
        <v>20039602.667761203</v>
      </c>
      <c r="AQ390" s="1073"/>
      <c r="AR390" s="1071"/>
      <c r="AT390" s="1072"/>
      <c r="AU390" s="890">
        <f t="shared" si="1041"/>
        <v>42279271</v>
      </c>
      <c r="AV390" s="890">
        <f t="shared" si="1041"/>
        <v>13434695.760551672</v>
      </c>
      <c r="AW390" s="890">
        <f t="shared" si="1041"/>
        <v>8804972.5716871228</v>
      </c>
      <c r="AX390" s="890">
        <f t="shared" si="1041"/>
        <v>20039602.667761203</v>
      </c>
      <c r="AY390" s="1073"/>
      <c r="AZ390" s="1071"/>
      <c r="BB390" s="1072"/>
      <c r="BC390" s="890">
        <f t="shared" si="1042"/>
        <v>42279271</v>
      </c>
      <c r="BD390" s="890">
        <f t="shared" si="1042"/>
        <v>13434695.760551672</v>
      </c>
      <c r="BE390" s="890">
        <f t="shared" si="1042"/>
        <v>8804972.5716871228</v>
      </c>
      <c r="BF390" s="890">
        <f t="shared" si="1042"/>
        <v>20039602.667761203</v>
      </c>
      <c r="BG390" s="1073"/>
      <c r="BH390" s="1071"/>
      <c r="BJ390" s="1072"/>
      <c r="BK390" s="890">
        <f t="shared" si="1043"/>
        <v>42279271</v>
      </c>
      <c r="BL390" s="890">
        <f t="shared" si="1043"/>
        <v>13434695.760551672</v>
      </c>
      <c r="BM390" s="890">
        <f t="shared" si="1043"/>
        <v>8804972.5716871228</v>
      </c>
      <c r="BN390" s="890">
        <f t="shared" si="1043"/>
        <v>20039602.667761203</v>
      </c>
      <c r="BO390" s="1073"/>
      <c r="BP390" s="1071"/>
      <c r="BR390" s="1072"/>
      <c r="BS390" s="890">
        <f t="shared" si="1044"/>
        <v>42279271</v>
      </c>
      <c r="BT390" s="890">
        <f t="shared" si="1044"/>
        <v>13434695.760551672</v>
      </c>
      <c r="BU390" s="890">
        <f t="shared" si="1044"/>
        <v>8804972.5716871228</v>
      </c>
      <c r="BV390" s="890">
        <f t="shared" si="1044"/>
        <v>20039602.667761203</v>
      </c>
      <c r="BW390" s="1073"/>
      <c r="BX390" s="1071"/>
      <c r="BZ390" s="1072"/>
      <c r="CA390" s="890">
        <f t="shared" si="1045"/>
        <v>42279271</v>
      </c>
      <c r="CB390" s="890">
        <f t="shared" si="1045"/>
        <v>13434695.760551672</v>
      </c>
      <c r="CC390" s="890">
        <f t="shared" si="1045"/>
        <v>8804972.5716871228</v>
      </c>
      <c r="CD390" s="890">
        <f t="shared" si="1045"/>
        <v>20039602.667761203</v>
      </c>
      <c r="CE390" s="1073"/>
      <c r="CF390" s="1071"/>
      <c r="CH390" s="1072"/>
      <c r="CI390" s="890">
        <f t="shared" si="1046"/>
        <v>42279271</v>
      </c>
      <c r="CJ390" s="890">
        <f t="shared" si="1046"/>
        <v>13434695.760551672</v>
      </c>
      <c r="CK390" s="890">
        <f t="shared" si="1046"/>
        <v>8804972.5716871228</v>
      </c>
      <c r="CL390" s="890">
        <f t="shared" si="1046"/>
        <v>20039602.667761203</v>
      </c>
      <c r="CM390" s="1073"/>
      <c r="CN390" s="1071"/>
      <c r="CP390" s="1072"/>
      <c r="CQ390" s="890">
        <f t="shared" si="1047"/>
        <v>42279271</v>
      </c>
      <c r="CR390" s="890">
        <f t="shared" si="1047"/>
        <v>13434695.760551672</v>
      </c>
      <c r="CS390" s="890">
        <f t="shared" si="1047"/>
        <v>8804972.5716871228</v>
      </c>
      <c r="CT390" s="890">
        <f t="shared" si="1047"/>
        <v>20039602.667761203</v>
      </c>
      <c r="CU390" s="1073"/>
      <c r="CV390" s="1071"/>
      <c r="CX390" s="1072"/>
      <c r="CY390" s="890">
        <f t="shared" si="1048"/>
        <v>42279271</v>
      </c>
      <c r="CZ390" s="890">
        <f t="shared" si="1048"/>
        <v>13434695.760551672</v>
      </c>
      <c r="DA390" s="890">
        <f t="shared" si="1048"/>
        <v>8804972.5716871228</v>
      </c>
      <c r="DB390" s="890">
        <f t="shared" si="1048"/>
        <v>20039602.667761203</v>
      </c>
      <c r="DC390" s="1073"/>
      <c r="DD390" s="1071"/>
      <c r="DF390" s="1072"/>
      <c r="DG390" s="890">
        <f t="shared" si="1049"/>
        <v>42279271</v>
      </c>
      <c r="DH390" s="890">
        <f t="shared" si="1049"/>
        <v>13434695.760551672</v>
      </c>
      <c r="DI390" s="890">
        <f t="shared" si="1049"/>
        <v>8804972.5716871228</v>
      </c>
      <c r="DJ390" s="890">
        <f t="shared" si="1049"/>
        <v>20039602.667761203</v>
      </c>
      <c r="DK390" s="1073"/>
      <c r="DL390" s="1071"/>
      <c r="DN390" s="1072"/>
      <c r="DO390" s="890">
        <f t="shared" si="1050"/>
        <v>42279271</v>
      </c>
      <c r="DP390" s="890">
        <f t="shared" si="1050"/>
        <v>13434695.760551672</v>
      </c>
      <c r="DQ390" s="890">
        <f t="shared" si="1050"/>
        <v>8804972.5716871228</v>
      </c>
      <c r="DR390" s="890">
        <f t="shared" si="1050"/>
        <v>20039602.667761203</v>
      </c>
      <c r="DS390" s="1073"/>
      <c r="DT390" s="1071"/>
      <c r="DV390" s="1072"/>
      <c r="DW390" s="890">
        <f t="shared" si="1051"/>
        <v>42279271</v>
      </c>
      <c r="DX390" s="890">
        <f t="shared" si="1051"/>
        <v>13434695.760551672</v>
      </c>
      <c r="DY390" s="890">
        <f t="shared" si="1051"/>
        <v>8804972.5716871228</v>
      </c>
      <c r="DZ390" s="890">
        <f t="shared" si="1051"/>
        <v>20039602.667761203</v>
      </c>
      <c r="EA390" s="1073"/>
      <c r="EB390" s="1071"/>
      <c r="ED390" s="1072"/>
      <c r="EE390" s="890">
        <f t="shared" si="1052"/>
        <v>42279271</v>
      </c>
      <c r="EF390" s="890">
        <f t="shared" si="1052"/>
        <v>13434695.760551672</v>
      </c>
      <c r="EG390" s="890">
        <f t="shared" si="1052"/>
        <v>8804972.5716871228</v>
      </c>
      <c r="EH390" s="890">
        <f t="shared" si="1052"/>
        <v>20039602.667761203</v>
      </c>
      <c r="EI390" s="1073"/>
      <c r="EJ390" s="1071"/>
      <c r="EL390" s="1072"/>
      <c r="EM390" s="890">
        <f t="shared" si="1053"/>
        <v>42279271</v>
      </c>
      <c r="EN390" s="890">
        <f t="shared" si="1053"/>
        <v>13434695.760551672</v>
      </c>
      <c r="EO390" s="890">
        <f t="shared" si="1053"/>
        <v>8804972.5716871228</v>
      </c>
      <c r="EP390" s="890">
        <f t="shared" si="1053"/>
        <v>20039602.667761203</v>
      </c>
      <c r="EQ390" s="1073"/>
      <c r="ER390" s="1071"/>
      <c r="ET390" s="1072"/>
      <c r="EU390" s="890">
        <f t="shared" si="1054"/>
        <v>42279271</v>
      </c>
      <c r="EV390" s="890">
        <f t="shared" si="1054"/>
        <v>13434695.760551672</v>
      </c>
      <c r="EW390" s="890">
        <f t="shared" si="1054"/>
        <v>8804972.5716871228</v>
      </c>
      <c r="EX390" s="890">
        <f t="shared" si="1054"/>
        <v>20039602.667761203</v>
      </c>
      <c r="EY390" s="1073"/>
      <c r="EZ390" s="1071"/>
      <c r="FB390" s="1072"/>
      <c r="FC390" s="890">
        <f t="shared" si="1055"/>
        <v>42279271</v>
      </c>
      <c r="FD390" s="890">
        <f t="shared" si="1055"/>
        <v>13434695.760551672</v>
      </c>
      <c r="FE390" s="890">
        <f t="shared" si="1055"/>
        <v>8804972.5716871228</v>
      </c>
      <c r="FF390" s="890">
        <f t="shared" si="1055"/>
        <v>20039602.667761203</v>
      </c>
      <c r="FG390" s="1073"/>
      <c r="FH390" s="1071"/>
      <c r="FJ390" s="1072"/>
      <c r="FK390" s="890">
        <f t="shared" si="1056"/>
        <v>42279271</v>
      </c>
      <c r="FL390" s="890">
        <f t="shared" si="1056"/>
        <v>13434695.760551672</v>
      </c>
      <c r="FM390" s="890">
        <f t="shared" si="1056"/>
        <v>8804972.5716871228</v>
      </c>
      <c r="FN390" s="890">
        <f t="shared" si="1056"/>
        <v>20039602.667761203</v>
      </c>
      <c r="FO390" s="1073"/>
    </row>
    <row r="391" spans="2:171">
      <c r="B391" s="108"/>
      <c r="C391" s="108" t="s">
        <v>134</v>
      </c>
      <c r="D391" s="1071"/>
      <c r="E391" s="904" t="str">
        <f t="shared" si="1034"/>
        <v>PTD</v>
      </c>
      <c r="G391" s="890">
        <f t="shared" si="1035"/>
        <v>258773</v>
      </c>
      <c r="H391" s="890">
        <f t="shared" si="1035"/>
        <v>82227.920297992794</v>
      </c>
      <c r="I391" s="890">
        <f t="shared" si="1035"/>
        <v>0</v>
      </c>
      <c r="J391" s="890">
        <f t="shared" si="1035"/>
        <v>176545.07970200721</v>
      </c>
      <c r="K391" s="1073">
        <f t="shared" si="1036"/>
        <v>1</v>
      </c>
      <c r="L391" s="1071"/>
      <c r="N391" s="1072"/>
      <c r="O391" s="890">
        <f t="shared" si="1037"/>
        <v>258773</v>
      </c>
      <c r="P391" s="890">
        <f t="shared" si="1037"/>
        <v>82227.920297992794</v>
      </c>
      <c r="Q391" s="890">
        <f t="shared" si="1037"/>
        <v>53891.401469367622</v>
      </c>
      <c r="R391" s="890">
        <f t="shared" si="1037"/>
        <v>122653.67823263959</v>
      </c>
      <c r="S391" s="1073"/>
      <c r="T391" s="1071"/>
      <c r="V391" s="1072"/>
      <c r="W391" s="890">
        <f t="shared" si="1038"/>
        <v>258773</v>
      </c>
      <c r="X391" s="890">
        <f t="shared" si="1038"/>
        <v>82227.920297992794</v>
      </c>
      <c r="Y391" s="890">
        <f t="shared" si="1038"/>
        <v>53891.401469367622</v>
      </c>
      <c r="Z391" s="890">
        <f t="shared" si="1038"/>
        <v>122653.67823263959</v>
      </c>
      <c r="AA391" s="1073"/>
      <c r="AB391" s="1071"/>
      <c r="AD391" s="1072"/>
      <c r="AE391" s="890">
        <f t="shared" si="1039"/>
        <v>258773</v>
      </c>
      <c r="AF391" s="890">
        <f t="shared" si="1039"/>
        <v>82227.920297992794</v>
      </c>
      <c r="AG391" s="890">
        <f t="shared" si="1039"/>
        <v>53891.401469367622</v>
      </c>
      <c r="AH391" s="890">
        <f t="shared" si="1039"/>
        <v>122653.67823263959</v>
      </c>
      <c r="AI391" s="1073"/>
      <c r="AJ391" s="1071"/>
      <c r="AL391" s="1072"/>
      <c r="AM391" s="890">
        <f t="shared" si="1040"/>
        <v>258773</v>
      </c>
      <c r="AN391" s="890">
        <f t="shared" si="1040"/>
        <v>82227.920297992794</v>
      </c>
      <c r="AO391" s="890">
        <f t="shared" si="1040"/>
        <v>53891.401469367622</v>
      </c>
      <c r="AP391" s="890">
        <f t="shared" si="1040"/>
        <v>122653.67823263959</v>
      </c>
      <c r="AQ391" s="1073"/>
      <c r="AR391" s="1071"/>
      <c r="AT391" s="1072"/>
      <c r="AU391" s="890">
        <f t="shared" si="1041"/>
        <v>258773</v>
      </c>
      <c r="AV391" s="890">
        <f t="shared" si="1041"/>
        <v>82227.920297992794</v>
      </c>
      <c r="AW391" s="890">
        <f t="shared" si="1041"/>
        <v>53891.401469367622</v>
      </c>
      <c r="AX391" s="890">
        <f t="shared" si="1041"/>
        <v>122653.67823263959</v>
      </c>
      <c r="AY391" s="1073"/>
      <c r="AZ391" s="1071"/>
      <c r="BB391" s="1072"/>
      <c r="BC391" s="890">
        <f t="shared" si="1042"/>
        <v>258773</v>
      </c>
      <c r="BD391" s="890">
        <f t="shared" si="1042"/>
        <v>82227.920297992794</v>
      </c>
      <c r="BE391" s="890">
        <f t="shared" si="1042"/>
        <v>53891.401469367622</v>
      </c>
      <c r="BF391" s="890">
        <f t="shared" si="1042"/>
        <v>122653.67823263959</v>
      </c>
      <c r="BG391" s="1073"/>
      <c r="BH391" s="1071"/>
      <c r="BJ391" s="1072"/>
      <c r="BK391" s="890">
        <f t="shared" si="1043"/>
        <v>258773</v>
      </c>
      <c r="BL391" s="890">
        <f t="shared" si="1043"/>
        <v>82227.920297992794</v>
      </c>
      <c r="BM391" s="890">
        <f t="shared" si="1043"/>
        <v>53891.401469367622</v>
      </c>
      <c r="BN391" s="890">
        <f t="shared" si="1043"/>
        <v>122653.67823263959</v>
      </c>
      <c r="BO391" s="1073"/>
      <c r="BP391" s="1071"/>
      <c r="BR391" s="1072"/>
      <c r="BS391" s="890">
        <f t="shared" si="1044"/>
        <v>258773</v>
      </c>
      <c r="BT391" s="890">
        <f t="shared" si="1044"/>
        <v>82227.920297992794</v>
      </c>
      <c r="BU391" s="890">
        <f t="shared" si="1044"/>
        <v>53891.401469367622</v>
      </c>
      <c r="BV391" s="890">
        <f t="shared" si="1044"/>
        <v>122653.67823263959</v>
      </c>
      <c r="BW391" s="1073"/>
      <c r="BX391" s="1071"/>
      <c r="BZ391" s="1072"/>
      <c r="CA391" s="890">
        <f t="shared" si="1045"/>
        <v>258773</v>
      </c>
      <c r="CB391" s="890">
        <f t="shared" si="1045"/>
        <v>82227.920297992794</v>
      </c>
      <c r="CC391" s="890">
        <f t="shared" si="1045"/>
        <v>53891.401469367622</v>
      </c>
      <c r="CD391" s="890">
        <f t="shared" si="1045"/>
        <v>122653.67823263959</v>
      </c>
      <c r="CE391" s="1073"/>
      <c r="CF391" s="1071"/>
      <c r="CH391" s="1072"/>
      <c r="CI391" s="890">
        <f t="shared" si="1046"/>
        <v>258773</v>
      </c>
      <c r="CJ391" s="890">
        <f t="shared" si="1046"/>
        <v>82227.920297992794</v>
      </c>
      <c r="CK391" s="890">
        <f t="shared" si="1046"/>
        <v>53891.401469367622</v>
      </c>
      <c r="CL391" s="890">
        <f t="shared" si="1046"/>
        <v>122653.67823263959</v>
      </c>
      <c r="CM391" s="1073"/>
      <c r="CN391" s="1071"/>
      <c r="CP391" s="1072"/>
      <c r="CQ391" s="890">
        <f t="shared" si="1047"/>
        <v>258773</v>
      </c>
      <c r="CR391" s="890">
        <f t="shared" si="1047"/>
        <v>82227.920297992794</v>
      </c>
      <c r="CS391" s="890">
        <f t="shared" si="1047"/>
        <v>53891.401469367622</v>
      </c>
      <c r="CT391" s="890">
        <f t="shared" si="1047"/>
        <v>122653.67823263959</v>
      </c>
      <c r="CU391" s="1073"/>
      <c r="CV391" s="1071"/>
      <c r="CX391" s="1072"/>
      <c r="CY391" s="890">
        <f t="shared" si="1048"/>
        <v>258773</v>
      </c>
      <c r="CZ391" s="890">
        <f t="shared" si="1048"/>
        <v>82227.920297992794</v>
      </c>
      <c r="DA391" s="890">
        <f t="shared" si="1048"/>
        <v>53891.401469367622</v>
      </c>
      <c r="DB391" s="890">
        <f t="shared" si="1048"/>
        <v>122653.67823263959</v>
      </c>
      <c r="DC391" s="1073"/>
      <c r="DD391" s="1071"/>
      <c r="DF391" s="1072"/>
      <c r="DG391" s="890">
        <f t="shared" si="1049"/>
        <v>258773</v>
      </c>
      <c r="DH391" s="890">
        <f t="shared" si="1049"/>
        <v>82227.920297992794</v>
      </c>
      <c r="DI391" s="890">
        <f t="shared" si="1049"/>
        <v>53891.401469367622</v>
      </c>
      <c r="DJ391" s="890">
        <f t="shared" si="1049"/>
        <v>122653.67823263959</v>
      </c>
      <c r="DK391" s="1073"/>
      <c r="DL391" s="1071"/>
      <c r="DN391" s="1072"/>
      <c r="DO391" s="890">
        <f t="shared" si="1050"/>
        <v>258773</v>
      </c>
      <c r="DP391" s="890">
        <f t="shared" si="1050"/>
        <v>82227.920297992794</v>
      </c>
      <c r="DQ391" s="890">
        <f t="shared" si="1050"/>
        <v>53891.401469367622</v>
      </c>
      <c r="DR391" s="890">
        <f t="shared" si="1050"/>
        <v>122653.67823263959</v>
      </c>
      <c r="DS391" s="1073"/>
      <c r="DT391" s="1071"/>
      <c r="DV391" s="1072"/>
      <c r="DW391" s="890">
        <f t="shared" si="1051"/>
        <v>258773</v>
      </c>
      <c r="DX391" s="890">
        <f t="shared" si="1051"/>
        <v>82227.920297992794</v>
      </c>
      <c r="DY391" s="890">
        <f t="shared" si="1051"/>
        <v>53891.401469367622</v>
      </c>
      <c r="DZ391" s="890">
        <f t="shared" si="1051"/>
        <v>122653.67823263959</v>
      </c>
      <c r="EA391" s="1073"/>
      <c r="EB391" s="1071"/>
      <c r="ED391" s="1072"/>
      <c r="EE391" s="890">
        <f t="shared" si="1052"/>
        <v>258773</v>
      </c>
      <c r="EF391" s="890">
        <f t="shared" si="1052"/>
        <v>82227.920297992794</v>
      </c>
      <c r="EG391" s="890">
        <f t="shared" si="1052"/>
        <v>53891.401469367622</v>
      </c>
      <c r="EH391" s="890">
        <f t="shared" si="1052"/>
        <v>122653.67823263959</v>
      </c>
      <c r="EI391" s="1073"/>
      <c r="EJ391" s="1071"/>
      <c r="EL391" s="1072"/>
      <c r="EM391" s="890">
        <f t="shared" si="1053"/>
        <v>258773</v>
      </c>
      <c r="EN391" s="890">
        <f t="shared" si="1053"/>
        <v>82227.920297992794</v>
      </c>
      <c r="EO391" s="890">
        <f t="shared" si="1053"/>
        <v>53891.401469367622</v>
      </c>
      <c r="EP391" s="890">
        <f t="shared" si="1053"/>
        <v>122653.67823263959</v>
      </c>
      <c r="EQ391" s="1073"/>
      <c r="ER391" s="1071"/>
      <c r="ET391" s="1072"/>
      <c r="EU391" s="890">
        <f t="shared" si="1054"/>
        <v>258773</v>
      </c>
      <c r="EV391" s="890">
        <f t="shared" si="1054"/>
        <v>82227.920297992794</v>
      </c>
      <c r="EW391" s="890">
        <f t="shared" si="1054"/>
        <v>53891.401469367622</v>
      </c>
      <c r="EX391" s="890">
        <f t="shared" si="1054"/>
        <v>122653.67823263959</v>
      </c>
      <c r="EY391" s="1073"/>
      <c r="EZ391" s="1071"/>
      <c r="FB391" s="1072"/>
      <c r="FC391" s="890">
        <f t="shared" si="1055"/>
        <v>258773</v>
      </c>
      <c r="FD391" s="890">
        <f t="shared" si="1055"/>
        <v>82227.920297992794</v>
      </c>
      <c r="FE391" s="890">
        <f t="shared" si="1055"/>
        <v>53891.401469367622</v>
      </c>
      <c r="FF391" s="890">
        <f t="shared" si="1055"/>
        <v>122653.67823263959</v>
      </c>
      <c r="FG391" s="1073"/>
      <c r="FH391" s="1071"/>
      <c r="FJ391" s="1072"/>
      <c r="FK391" s="890">
        <f t="shared" si="1056"/>
        <v>258773</v>
      </c>
      <c r="FL391" s="890">
        <f t="shared" si="1056"/>
        <v>82227.920297992794</v>
      </c>
      <c r="FM391" s="890">
        <f t="shared" si="1056"/>
        <v>53891.401469367622</v>
      </c>
      <c r="FN391" s="890">
        <f t="shared" si="1056"/>
        <v>122653.67823263959</v>
      </c>
      <c r="FO391" s="1073"/>
    </row>
    <row r="392" spans="2:171">
      <c r="B392" s="108"/>
      <c r="C392" s="108" t="s">
        <v>256</v>
      </c>
      <c r="D392" s="1071"/>
      <c r="E392" s="904" t="str">
        <f t="shared" si="1034"/>
        <v>DIRECT</v>
      </c>
      <c r="G392" s="890">
        <f t="shared" si="1035"/>
        <v>0</v>
      </c>
      <c r="H392" s="890">
        <f t="shared" si="1035"/>
        <v>0</v>
      </c>
      <c r="I392" s="890">
        <f t="shared" si="1035"/>
        <v>0</v>
      </c>
      <c r="J392" s="890">
        <f t="shared" si="1035"/>
        <v>0</v>
      </c>
      <c r="K392" s="1073">
        <f t="shared" si="1036"/>
        <v>0</v>
      </c>
      <c r="L392" s="1071"/>
      <c r="N392" s="1072"/>
      <c r="O392" s="890">
        <f t="shared" si="1037"/>
        <v>0</v>
      </c>
      <c r="P392" s="890">
        <f t="shared" si="1037"/>
        <v>0</v>
      </c>
      <c r="Q392" s="890">
        <f t="shared" si="1037"/>
        <v>0</v>
      </c>
      <c r="R392" s="890">
        <f t="shared" si="1037"/>
        <v>0</v>
      </c>
      <c r="S392" s="1073"/>
      <c r="T392" s="1071"/>
      <c r="V392" s="1072"/>
      <c r="W392" s="890">
        <f t="shared" si="1038"/>
        <v>0</v>
      </c>
      <c r="X392" s="890">
        <f t="shared" si="1038"/>
        <v>0</v>
      </c>
      <c r="Y392" s="890">
        <f t="shared" si="1038"/>
        <v>0</v>
      </c>
      <c r="Z392" s="890">
        <f t="shared" si="1038"/>
        <v>0</v>
      </c>
      <c r="AA392" s="1073"/>
      <c r="AB392" s="1071"/>
      <c r="AD392" s="1072"/>
      <c r="AE392" s="890">
        <f t="shared" si="1039"/>
        <v>0</v>
      </c>
      <c r="AF392" s="890">
        <f t="shared" si="1039"/>
        <v>0</v>
      </c>
      <c r="AG392" s="890">
        <f t="shared" si="1039"/>
        <v>0</v>
      </c>
      <c r="AH392" s="890">
        <f t="shared" si="1039"/>
        <v>0</v>
      </c>
      <c r="AI392" s="1073"/>
      <c r="AJ392" s="1071"/>
      <c r="AL392" s="1072"/>
      <c r="AM392" s="890">
        <f t="shared" si="1040"/>
        <v>0</v>
      </c>
      <c r="AN392" s="890">
        <f t="shared" si="1040"/>
        <v>0</v>
      </c>
      <c r="AO392" s="890">
        <f t="shared" si="1040"/>
        <v>0</v>
      </c>
      <c r="AP392" s="890">
        <f t="shared" si="1040"/>
        <v>0</v>
      </c>
      <c r="AQ392" s="1073"/>
      <c r="AR392" s="1071"/>
      <c r="AT392" s="1072"/>
      <c r="AU392" s="890">
        <f t="shared" si="1041"/>
        <v>0</v>
      </c>
      <c r="AV392" s="890">
        <f t="shared" si="1041"/>
        <v>0</v>
      </c>
      <c r="AW392" s="890">
        <f t="shared" si="1041"/>
        <v>0</v>
      </c>
      <c r="AX392" s="890">
        <f t="shared" si="1041"/>
        <v>0</v>
      </c>
      <c r="AY392" s="1073"/>
      <c r="AZ392" s="1071"/>
      <c r="BB392" s="1072"/>
      <c r="BC392" s="890">
        <f t="shared" si="1042"/>
        <v>0</v>
      </c>
      <c r="BD392" s="890">
        <f t="shared" si="1042"/>
        <v>0</v>
      </c>
      <c r="BE392" s="890">
        <f t="shared" si="1042"/>
        <v>0</v>
      </c>
      <c r="BF392" s="890">
        <f t="shared" si="1042"/>
        <v>0</v>
      </c>
      <c r="BG392" s="1073"/>
      <c r="BH392" s="1071"/>
      <c r="BJ392" s="1072"/>
      <c r="BK392" s="890">
        <f t="shared" si="1043"/>
        <v>0</v>
      </c>
      <c r="BL392" s="890">
        <f t="shared" si="1043"/>
        <v>0</v>
      </c>
      <c r="BM392" s="890">
        <f t="shared" si="1043"/>
        <v>0</v>
      </c>
      <c r="BN392" s="890">
        <f t="shared" si="1043"/>
        <v>0</v>
      </c>
      <c r="BO392" s="1073"/>
      <c r="BP392" s="1071"/>
      <c r="BR392" s="1072"/>
      <c r="BS392" s="890">
        <f t="shared" si="1044"/>
        <v>0</v>
      </c>
      <c r="BT392" s="890">
        <f t="shared" si="1044"/>
        <v>0</v>
      </c>
      <c r="BU392" s="890">
        <f t="shared" si="1044"/>
        <v>0</v>
      </c>
      <c r="BV392" s="890">
        <f t="shared" si="1044"/>
        <v>0</v>
      </c>
      <c r="BW392" s="1073"/>
      <c r="BX392" s="1071"/>
      <c r="BZ392" s="1072"/>
      <c r="CA392" s="890">
        <f t="shared" si="1045"/>
        <v>0</v>
      </c>
      <c r="CB392" s="890">
        <f t="shared" si="1045"/>
        <v>0</v>
      </c>
      <c r="CC392" s="890">
        <f t="shared" si="1045"/>
        <v>0</v>
      </c>
      <c r="CD392" s="890">
        <f t="shared" si="1045"/>
        <v>0</v>
      </c>
      <c r="CE392" s="1073"/>
      <c r="CF392" s="1071"/>
      <c r="CH392" s="1072"/>
      <c r="CI392" s="890">
        <f t="shared" si="1046"/>
        <v>0</v>
      </c>
      <c r="CJ392" s="890">
        <f t="shared" si="1046"/>
        <v>0</v>
      </c>
      <c r="CK392" s="890">
        <f t="shared" si="1046"/>
        <v>0</v>
      </c>
      <c r="CL392" s="890">
        <f t="shared" si="1046"/>
        <v>0</v>
      </c>
      <c r="CM392" s="1073"/>
      <c r="CN392" s="1071"/>
      <c r="CP392" s="1072"/>
      <c r="CQ392" s="890">
        <f t="shared" si="1047"/>
        <v>0</v>
      </c>
      <c r="CR392" s="890">
        <f t="shared" si="1047"/>
        <v>0</v>
      </c>
      <c r="CS392" s="890">
        <f t="shared" si="1047"/>
        <v>0</v>
      </c>
      <c r="CT392" s="890">
        <f t="shared" si="1047"/>
        <v>0</v>
      </c>
      <c r="CU392" s="1073"/>
      <c r="CV392" s="1071"/>
      <c r="CX392" s="1072"/>
      <c r="CY392" s="890">
        <f t="shared" si="1048"/>
        <v>0</v>
      </c>
      <c r="CZ392" s="890">
        <f t="shared" si="1048"/>
        <v>0</v>
      </c>
      <c r="DA392" s="890">
        <f t="shared" si="1048"/>
        <v>0</v>
      </c>
      <c r="DB392" s="890">
        <f t="shared" si="1048"/>
        <v>0</v>
      </c>
      <c r="DC392" s="1073"/>
      <c r="DD392" s="1071"/>
      <c r="DF392" s="1072"/>
      <c r="DG392" s="890">
        <f t="shared" si="1049"/>
        <v>0</v>
      </c>
      <c r="DH392" s="890">
        <f t="shared" si="1049"/>
        <v>0</v>
      </c>
      <c r="DI392" s="890">
        <f t="shared" si="1049"/>
        <v>0</v>
      </c>
      <c r="DJ392" s="890">
        <f t="shared" si="1049"/>
        <v>0</v>
      </c>
      <c r="DK392" s="1073"/>
      <c r="DL392" s="1071"/>
      <c r="DN392" s="1072"/>
      <c r="DO392" s="890">
        <f t="shared" si="1050"/>
        <v>0</v>
      </c>
      <c r="DP392" s="890">
        <f t="shared" si="1050"/>
        <v>0</v>
      </c>
      <c r="DQ392" s="890">
        <f t="shared" si="1050"/>
        <v>0</v>
      </c>
      <c r="DR392" s="890">
        <f t="shared" si="1050"/>
        <v>0</v>
      </c>
      <c r="DS392" s="1073"/>
      <c r="DT392" s="1071"/>
      <c r="DV392" s="1072"/>
      <c r="DW392" s="890">
        <f t="shared" si="1051"/>
        <v>0</v>
      </c>
      <c r="DX392" s="890">
        <f t="shared" si="1051"/>
        <v>0</v>
      </c>
      <c r="DY392" s="890">
        <f t="shared" si="1051"/>
        <v>0</v>
      </c>
      <c r="DZ392" s="890">
        <f t="shared" si="1051"/>
        <v>0</v>
      </c>
      <c r="EA392" s="1073"/>
      <c r="EB392" s="1071"/>
      <c r="ED392" s="1072"/>
      <c r="EE392" s="890">
        <f t="shared" si="1052"/>
        <v>0</v>
      </c>
      <c r="EF392" s="890">
        <f t="shared" si="1052"/>
        <v>0</v>
      </c>
      <c r="EG392" s="890">
        <f t="shared" si="1052"/>
        <v>0</v>
      </c>
      <c r="EH392" s="890">
        <f t="shared" si="1052"/>
        <v>0</v>
      </c>
      <c r="EI392" s="1073"/>
      <c r="EJ392" s="1071"/>
      <c r="EL392" s="1072"/>
      <c r="EM392" s="890">
        <f t="shared" si="1053"/>
        <v>0</v>
      </c>
      <c r="EN392" s="890">
        <f t="shared" si="1053"/>
        <v>0</v>
      </c>
      <c r="EO392" s="890">
        <f t="shared" si="1053"/>
        <v>0</v>
      </c>
      <c r="EP392" s="890">
        <f t="shared" si="1053"/>
        <v>0</v>
      </c>
      <c r="EQ392" s="1073"/>
      <c r="ER392" s="1071"/>
      <c r="ET392" s="1072"/>
      <c r="EU392" s="890">
        <f t="shared" si="1054"/>
        <v>0</v>
      </c>
      <c r="EV392" s="890">
        <f t="shared" si="1054"/>
        <v>0</v>
      </c>
      <c r="EW392" s="890">
        <f t="shared" si="1054"/>
        <v>0</v>
      </c>
      <c r="EX392" s="890">
        <f t="shared" si="1054"/>
        <v>0</v>
      </c>
      <c r="EY392" s="1073"/>
      <c r="EZ392" s="1071"/>
      <c r="FB392" s="1072"/>
      <c r="FC392" s="890">
        <f t="shared" si="1055"/>
        <v>0</v>
      </c>
      <c r="FD392" s="890">
        <f t="shared" si="1055"/>
        <v>0</v>
      </c>
      <c r="FE392" s="890">
        <f t="shared" si="1055"/>
        <v>0</v>
      </c>
      <c r="FF392" s="890">
        <f t="shared" si="1055"/>
        <v>0</v>
      </c>
      <c r="FG392" s="1073"/>
      <c r="FH392" s="1071"/>
      <c r="FJ392" s="1072"/>
      <c r="FK392" s="890">
        <f t="shared" si="1056"/>
        <v>0</v>
      </c>
      <c r="FL392" s="890">
        <f t="shared" si="1056"/>
        <v>0</v>
      </c>
      <c r="FM392" s="890">
        <f t="shared" si="1056"/>
        <v>0</v>
      </c>
      <c r="FN392" s="890">
        <f t="shared" si="1056"/>
        <v>0</v>
      </c>
      <c r="FO392" s="1073"/>
    </row>
    <row r="393" spans="2:171">
      <c r="B393" s="108"/>
      <c r="C393" s="108" t="s">
        <v>446</v>
      </c>
      <c r="D393" s="1071"/>
      <c r="E393" s="904" t="str">
        <f t="shared" si="1034"/>
        <v>PTD</v>
      </c>
      <c r="G393" s="890">
        <f t="shared" si="1035"/>
        <v>0</v>
      </c>
      <c r="H393" s="890">
        <f t="shared" si="1035"/>
        <v>0</v>
      </c>
      <c r="I393" s="890">
        <f t="shared" si="1035"/>
        <v>0</v>
      </c>
      <c r="J393" s="890">
        <f t="shared" si="1035"/>
        <v>0</v>
      </c>
      <c r="K393" s="1073">
        <f t="shared" si="1036"/>
        <v>1</v>
      </c>
      <c r="L393" s="1071"/>
      <c r="N393" s="1072"/>
      <c r="O393" s="890">
        <f t="shared" si="1037"/>
        <v>0</v>
      </c>
      <c r="P393" s="890">
        <f t="shared" si="1037"/>
        <v>0</v>
      </c>
      <c r="Q393" s="890">
        <f t="shared" si="1037"/>
        <v>0</v>
      </c>
      <c r="R393" s="890">
        <f t="shared" si="1037"/>
        <v>0</v>
      </c>
      <c r="S393" s="1073"/>
      <c r="T393" s="1071"/>
      <c r="V393" s="1072"/>
      <c r="W393" s="890">
        <f t="shared" si="1038"/>
        <v>0</v>
      </c>
      <c r="X393" s="890">
        <f t="shared" si="1038"/>
        <v>0</v>
      </c>
      <c r="Y393" s="890">
        <f t="shared" si="1038"/>
        <v>0</v>
      </c>
      <c r="Z393" s="890">
        <f t="shared" si="1038"/>
        <v>0</v>
      </c>
      <c r="AA393" s="1073"/>
      <c r="AB393" s="1071"/>
      <c r="AD393" s="1072"/>
      <c r="AE393" s="890">
        <f t="shared" si="1039"/>
        <v>0</v>
      </c>
      <c r="AF393" s="890">
        <f t="shared" si="1039"/>
        <v>0</v>
      </c>
      <c r="AG393" s="890">
        <f t="shared" si="1039"/>
        <v>0</v>
      </c>
      <c r="AH393" s="890">
        <f t="shared" si="1039"/>
        <v>0</v>
      </c>
      <c r="AI393" s="1073"/>
      <c r="AJ393" s="1071"/>
      <c r="AL393" s="1072"/>
      <c r="AM393" s="890">
        <f t="shared" si="1040"/>
        <v>0</v>
      </c>
      <c r="AN393" s="890">
        <f t="shared" si="1040"/>
        <v>0</v>
      </c>
      <c r="AO393" s="890">
        <f t="shared" si="1040"/>
        <v>0</v>
      </c>
      <c r="AP393" s="890">
        <f t="shared" si="1040"/>
        <v>0</v>
      </c>
      <c r="AQ393" s="1073"/>
      <c r="AR393" s="1071"/>
      <c r="AT393" s="1072"/>
      <c r="AU393" s="890">
        <f t="shared" si="1041"/>
        <v>0</v>
      </c>
      <c r="AV393" s="890">
        <f t="shared" si="1041"/>
        <v>0</v>
      </c>
      <c r="AW393" s="890">
        <f t="shared" si="1041"/>
        <v>0</v>
      </c>
      <c r="AX393" s="890">
        <f t="shared" si="1041"/>
        <v>0</v>
      </c>
      <c r="AY393" s="1073"/>
      <c r="AZ393" s="1071"/>
      <c r="BB393" s="1072"/>
      <c r="BC393" s="890">
        <f t="shared" si="1042"/>
        <v>0</v>
      </c>
      <c r="BD393" s="890">
        <f t="shared" si="1042"/>
        <v>0</v>
      </c>
      <c r="BE393" s="890">
        <f t="shared" si="1042"/>
        <v>0</v>
      </c>
      <c r="BF393" s="890">
        <f t="shared" si="1042"/>
        <v>0</v>
      </c>
      <c r="BG393" s="1073"/>
      <c r="BH393" s="1071"/>
      <c r="BJ393" s="1072"/>
      <c r="BK393" s="890">
        <f t="shared" si="1043"/>
        <v>0</v>
      </c>
      <c r="BL393" s="890">
        <f t="shared" si="1043"/>
        <v>0</v>
      </c>
      <c r="BM393" s="890">
        <f t="shared" si="1043"/>
        <v>0</v>
      </c>
      <c r="BN393" s="890">
        <f t="shared" si="1043"/>
        <v>0</v>
      </c>
      <c r="BO393" s="1073"/>
      <c r="BP393" s="1071"/>
      <c r="BR393" s="1072"/>
      <c r="BS393" s="890">
        <f t="shared" si="1044"/>
        <v>0</v>
      </c>
      <c r="BT393" s="890">
        <f t="shared" si="1044"/>
        <v>0</v>
      </c>
      <c r="BU393" s="890">
        <f t="shared" si="1044"/>
        <v>0</v>
      </c>
      <c r="BV393" s="890">
        <f t="shared" si="1044"/>
        <v>0</v>
      </c>
      <c r="BW393" s="1073"/>
      <c r="BX393" s="1071"/>
      <c r="BZ393" s="1072"/>
      <c r="CA393" s="890">
        <f t="shared" si="1045"/>
        <v>0</v>
      </c>
      <c r="CB393" s="890">
        <f t="shared" si="1045"/>
        <v>0</v>
      </c>
      <c r="CC393" s="890">
        <f t="shared" si="1045"/>
        <v>0</v>
      </c>
      <c r="CD393" s="890">
        <f t="shared" si="1045"/>
        <v>0</v>
      </c>
      <c r="CE393" s="1073"/>
      <c r="CF393" s="1071"/>
      <c r="CH393" s="1072"/>
      <c r="CI393" s="890">
        <f t="shared" si="1046"/>
        <v>0</v>
      </c>
      <c r="CJ393" s="890">
        <f t="shared" si="1046"/>
        <v>0</v>
      </c>
      <c r="CK393" s="890">
        <f t="shared" si="1046"/>
        <v>0</v>
      </c>
      <c r="CL393" s="890">
        <f t="shared" si="1046"/>
        <v>0</v>
      </c>
      <c r="CM393" s="1073"/>
      <c r="CN393" s="1071"/>
      <c r="CP393" s="1072"/>
      <c r="CQ393" s="890">
        <f t="shared" si="1047"/>
        <v>0</v>
      </c>
      <c r="CR393" s="890">
        <f t="shared" si="1047"/>
        <v>0</v>
      </c>
      <c r="CS393" s="890">
        <f t="shared" si="1047"/>
        <v>0</v>
      </c>
      <c r="CT393" s="890">
        <f t="shared" si="1047"/>
        <v>0</v>
      </c>
      <c r="CU393" s="1073"/>
      <c r="CV393" s="1071"/>
      <c r="CX393" s="1072"/>
      <c r="CY393" s="890">
        <f t="shared" si="1048"/>
        <v>0</v>
      </c>
      <c r="CZ393" s="890">
        <f t="shared" si="1048"/>
        <v>0</v>
      </c>
      <c r="DA393" s="890">
        <f t="shared" si="1048"/>
        <v>0</v>
      </c>
      <c r="DB393" s="890">
        <f t="shared" si="1048"/>
        <v>0</v>
      </c>
      <c r="DC393" s="1073"/>
      <c r="DD393" s="1071"/>
      <c r="DF393" s="1072"/>
      <c r="DG393" s="890">
        <f t="shared" si="1049"/>
        <v>0</v>
      </c>
      <c r="DH393" s="890">
        <f t="shared" si="1049"/>
        <v>0</v>
      </c>
      <c r="DI393" s="890">
        <f t="shared" si="1049"/>
        <v>0</v>
      </c>
      <c r="DJ393" s="890">
        <f t="shared" si="1049"/>
        <v>0</v>
      </c>
      <c r="DK393" s="1073"/>
      <c r="DL393" s="1071"/>
      <c r="DN393" s="1072"/>
      <c r="DO393" s="890">
        <f t="shared" si="1050"/>
        <v>0</v>
      </c>
      <c r="DP393" s="890">
        <f t="shared" si="1050"/>
        <v>0</v>
      </c>
      <c r="DQ393" s="890">
        <f t="shared" si="1050"/>
        <v>0</v>
      </c>
      <c r="DR393" s="890">
        <f t="shared" si="1050"/>
        <v>0</v>
      </c>
      <c r="DS393" s="1073"/>
      <c r="DT393" s="1071"/>
      <c r="DV393" s="1072"/>
      <c r="DW393" s="890">
        <f t="shared" si="1051"/>
        <v>0</v>
      </c>
      <c r="DX393" s="890">
        <f t="shared" si="1051"/>
        <v>0</v>
      </c>
      <c r="DY393" s="890">
        <f t="shared" si="1051"/>
        <v>0</v>
      </c>
      <c r="DZ393" s="890">
        <f t="shared" si="1051"/>
        <v>0</v>
      </c>
      <c r="EA393" s="1073"/>
      <c r="EB393" s="1071"/>
      <c r="ED393" s="1072"/>
      <c r="EE393" s="890">
        <f t="shared" si="1052"/>
        <v>0</v>
      </c>
      <c r="EF393" s="890">
        <f t="shared" si="1052"/>
        <v>0</v>
      </c>
      <c r="EG393" s="890">
        <f t="shared" si="1052"/>
        <v>0</v>
      </c>
      <c r="EH393" s="890">
        <f t="shared" si="1052"/>
        <v>0</v>
      </c>
      <c r="EI393" s="1073"/>
      <c r="EJ393" s="1071"/>
      <c r="EL393" s="1072"/>
      <c r="EM393" s="890">
        <f t="shared" si="1053"/>
        <v>0</v>
      </c>
      <c r="EN393" s="890">
        <f t="shared" si="1053"/>
        <v>0</v>
      </c>
      <c r="EO393" s="890">
        <f t="shared" si="1053"/>
        <v>0</v>
      </c>
      <c r="EP393" s="890">
        <f t="shared" si="1053"/>
        <v>0</v>
      </c>
      <c r="EQ393" s="1073"/>
      <c r="ER393" s="1071"/>
      <c r="ET393" s="1072"/>
      <c r="EU393" s="890">
        <f t="shared" si="1054"/>
        <v>0</v>
      </c>
      <c r="EV393" s="890">
        <f t="shared" si="1054"/>
        <v>0</v>
      </c>
      <c r="EW393" s="890">
        <f t="shared" si="1054"/>
        <v>0</v>
      </c>
      <c r="EX393" s="890">
        <f t="shared" si="1054"/>
        <v>0</v>
      </c>
      <c r="EY393" s="1073"/>
      <c r="EZ393" s="1071"/>
      <c r="FB393" s="1072"/>
      <c r="FC393" s="890">
        <f t="shared" si="1055"/>
        <v>0</v>
      </c>
      <c r="FD393" s="890">
        <f t="shared" si="1055"/>
        <v>0</v>
      </c>
      <c r="FE393" s="890">
        <f t="shared" si="1055"/>
        <v>0</v>
      </c>
      <c r="FF393" s="890">
        <f t="shared" si="1055"/>
        <v>0</v>
      </c>
      <c r="FG393" s="1073"/>
      <c r="FH393" s="1071"/>
      <c r="FJ393" s="1072"/>
      <c r="FK393" s="890">
        <f t="shared" si="1056"/>
        <v>0</v>
      </c>
      <c r="FL393" s="890">
        <f t="shared" si="1056"/>
        <v>0</v>
      </c>
      <c r="FM393" s="890">
        <f t="shared" si="1056"/>
        <v>0</v>
      </c>
      <c r="FN393" s="890">
        <f t="shared" si="1056"/>
        <v>0</v>
      </c>
      <c r="FO393" s="1073"/>
    </row>
    <row r="394" spans="2:171">
      <c r="B394" s="108"/>
      <c r="C394" s="108" t="s">
        <v>527</v>
      </c>
      <c r="D394" s="1071"/>
      <c r="E394" s="1072"/>
      <c r="F394" s="1072"/>
      <c r="G394" s="1648">
        <f>SUM(G382:G393)</f>
        <v>169217153</v>
      </c>
      <c r="H394" s="1648">
        <f>SUM(H382:H393)</f>
        <v>26066353.350879814</v>
      </c>
      <c r="I394" s="1648">
        <f>SUM(I382:I393)</f>
        <v>0</v>
      </c>
      <c r="J394" s="1648">
        <f>SUM(J382:J393)</f>
        <v>143150799.64912018</v>
      </c>
      <c r="K394" s="1073"/>
      <c r="L394" s="1071"/>
      <c r="M394" s="1072"/>
      <c r="N394" s="1072"/>
      <c r="O394" s="1648">
        <f>SUM(O382:O393)</f>
        <v>169217153</v>
      </c>
      <c r="P394" s="1648">
        <f>SUM(P382:P393)</f>
        <v>26066353.350879814</v>
      </c>
      <c r="Q394" s="1648">
        <f>SUM(Q382:Q393)</f>
        <v>43233146.624210842</v>
      </c>
      <c r="R394" s="1648">
        <f>SUM(R382:R393)</f>
        <v>99917653.024909347</v>
      </c>
      <c r="S394" s="1073"/>
      <c r="T394" s="1071"/>
      <c r="U394" s="1072"/>
      <c r="V394" s="1072"/>
      <c r="W394" s="1648">
        <f>SUM(W382:W393)</f>
        <v>169217153</v>
      </c>
      <c r="X394" s="1648">
        <f>SUM(X382:X393)</f>
        <v>26066353.350879814</v>
      </c>
      <c r="Y394" s="1648">
        <f>SUM(Y382:Y393)</f>
        <v>43233146.624210842</v>
      </c>
      <c r="Z394" s="1648">
        <f>SUM(Z382:Z393)</f>
        <v>99917653.024909347</v>
      </c>
      <c r="AA394" s="1073"/>
      <c r="AB394" s="1071"/>
      <c r="AC394" s="1072"/>
      <c r="AD394" s="1072"/>
      <c r="AE394" s="1648">
        <f>SUM(AE382:AE393)</f>
        <v>169217153</v>
      </c>
      <c r="AF394" s="1648">
        <f>SUM(AF382:AF393)</f>
        <v>26066353.350879814</v>
      </c>
      <c r="AG394" s="1648">
        <f>SUM(AG382:AG393)</f>
        <v>43233146.624210842</v>
      </c>
      <c r="AH394" s="1648">
        <f>SUM(AH382:AH393)</f>
        <v>99917653.024909347</v>
      </c>
      <c r="AI394" s="1073"/>
      <c r="AJ394" s="1071"/>
      <c r="AK394" s="1072"/>
      <c r="AL394" s="1072"/>
      <c r="AM394" s="1648">
        <f>SUM(AM382:AM393)</f>
        <v>169217153</v>
      </c>
      <c r="AN394" s="1648">
        <f>SUM(AN382:AN393)</f>
        <v>26066353.350879814</v>
      </c>
      <c r="AO394" s="1648">
        <f>SUM(AO382:AO393)</f>
        <v>43233146.624210842</v>
      </c>
      <c r="AP394" s="1648">
        <f>SUM(AP382:AP393)</f>
        <v>99917653.024909347</v>
      </c>
      <c r="AQ394" s="1073"/>
      <c r="AR394" s="1071"/>
      <c r="AS394" s="1072"/>
      <c r="AT394" s="1072"/>
      <c r="AU394" s="1648">
        <f>SUM(AU382:AU393)</f>
        <v>169217153</v>
      </c>
      <c r="AV394" s="1648">
        <f>SUM(AV382:AV393)</f>
        <v>26066353.350879814</v>
      </c>
      <c r="AW394" s="1648">
        <f>SUM(AW382:AW393)</f>
        <v>43233146.624210842</v>
      </c>
      <c r="AX394" s="1648">
        <f>SUM(AX382:AX393)</f>
        <v>99917653.024909347</v>
      </c>
      <c r="AY394" s="1073"/>
      <c r="AZ394" s="1071"/>
      <c r="BA394" s="1072"/>
      <c r="BB394" s="1072"/>
      <c r="BC394" s="1648">
        <f>SUM(BC382:BC393)</f>
        <v>169217153</v>
      </c>
      <c r="BD394" s="1648">
        <f>SUM(BD382:BD393)</f>
        <v>26066353.350879814</v>
      </c>
      <c r="BE394" s="1648">
        <f>SUM(BE382:BE393)</f>
        <v>43233146.624210842</v>
      </c>
      <c r="BF394" s="1648">
        <f>SUM(BF382:BF393)</f>
        <v>99917653.024909347</v>
      </c>
      <c r="BG394" s="1073"/>
      <c r="BH394" s="1071"/>
      <c r="BI394" s="1072"/>
      <c r="BJ394" s="1072"/>
      <c r="BK394" s="1648">
        <f>SUM(BK382:BK393)</f>
        <v>169217153</v>
      </c>
      <c r="BL394" s="1648">
        <f>SUM(BL382:BL393)</f>
        <v>26066353.350879814</v>
      </c>
      <c r="BM394" s="1648">
        <f>SUM(BM382:BM393)</f>
        <v>43233146.624210842</v>
      </c>
      <c r="BN394" s="1648">
        <f>SUM(BN382:BN393)</f>
        <v>99917653.024909347</v>
      </c>
      <c r="BO394" s="1073"/>
      <c r="BP394" s="1071"/>
      <c r="BQ394" s="1072"/>
      <c r="BR394" s="1072"/>
      <c r="BS394" s="1648">
        <f>SUM(BS382:BS393)</f>
        <v>169217153</v>
      </c>
      <c r="BT394" s="1648">
        <f>SUM(BT382:BT393)</f>
        <v>26066353.350879814</v>
      </c>
      <c r="BU394" s="1648">
        <f>SUM(BU382:BU393)</f>
        <v>43233146.624210842</v>
      </c>
      <c r="BV394" s="1648">
        <f>SUM(BV382:BV393)</f>
        <v>99917653.024909347</v>
      </c>
      <c r="BW394" s="1073"/>
      <c r="BX394" s="1071"/>
      <c r="BY394" s="1072"/>
      <c r="BZ394" s="1072"/>
      <c r="CA394" s="1648">
        <f>SUM(CA382:CA393)</f>
        <v>169217153</v>
      </c>
      <c r="CB394" s="1648">
        <f>SUM(CB382:CB393)</f>
        <v>26066353.350879814</v>
      </c>
      <c r="CC394" s="1648">
        <f>SUM(CC382:CC393)</f>
        <v>43233146.624210842</v>
      </c>
      <c r="CD394" s="1648">
        <f>SUM(CD382:CD393)</f>
        <v>99917653.024909347</v>
      </c>
      <c r="CE394" s="1073"/>
      <c r="CF394" s="1071"/>
      <c r="CG394" s="1072"/>
      <c r="CH394" s="1072"/>
      <c r="CI394" s="1648">
        <f>SUM(CI382:CI393)</f>
        <v>169217153</v>
      </c>
      <c r="CJ394" s="1648">
        <f>SUM(CJ382:CJ393)</f>
        <v>26066353.350879814</v>
      </c>
      <c r="CK394" s="1648">
        <f>SUM(CK382:CK393)</f>
        <v>43233146.624210842</v>
      </c>
      <c r="CL394" s="1648">
        <f>SUM(CL382:CL393)</f>
        <v>99917653.024909347</v>
      </c>
      <c r="CM394" s="1073"/>
      <c r="CN394" s="1071"/>
      <c r="CO394" s="1072"/>
      <c r="CP394" s="1072"/>
      <c r="CQ394" s="1648">
        <f>SUM(CQ382:CQ393)</f>
        <v>169217153</v>
      </c>
      <c r="CR394" s="1648">
        <f>SUM(CR382:CR393)</f>
        <v>26066353.350879814</v>
      </c>
      <c r="CS394" s="1648">
        <f>SUM(CS382:CS393)</f>
        <v>43233146.624210842</v>
      </c>
      <c r="CT394" s="1648">
        <f>SUM(CT382:CT393)</f>
        <v>99917653.024909347</v>
      </c>
      <c r="CU394" s="1073"/>
      <c r="CV394" s="1071"/>
      <c r="CW394" s="1072"/>
      <c r="CX394" s="1072"/>
      <c r="CY394" s="1648">
        <f>SUM(CY382:CY393)</f>
        <v>169217153</v>
      </c>
      <c r="CZ394" s="1648">
        <f>SUM(CZ382:CZ393)</f>
        <v>26066353.350879814</v>
      </c>
      <c r="DA394" s="1648">
        <f>SUM(DA382:DA393)</f>
        <v>43233146.624210842</v>
      </c>
      <c r="DB394" s="1648">
        <f>SUM(DB382:DB393)</f>
        <v>99917653.024909347</v>
      </c>
      <c r="DC394" s="1073"/>
      <c r="DD394" s="1071"/>
      <c r="DE394" s="1072"/>
      <c r="DF394" s="1072"/>
      <c r="DG394" s="1648">
        <f>SUM(DG382:DG393)</f>
        <v>169217153</v>
      </c>
      <c r="DH394" s="1648">
        <f>SUM(DH382:DH393)</f>
        <v>26066353.350879814</v>
      </c>
      <c r="DI394" s="1648">
        <f>SUM(DI382:DI393)</f>
        <v>43233146.624210842</v>
      </c>
      <c r="DJ394" s="1648">
        <f>SUM(DJ382:DJ393)</f>
        <v>99917653.024909347</v>
      </c>
      <c r="DK394" s="1073"/>
      <c r="DL394" s="1071"/>
      <c r="DM394" s="1072"/>
      <c r="DN394" s="1072"/>
      <c r="DO394" s="1648">
        <f>SUM(DO382:DO393)</f>
        <v>169217153</v>
      </c>
      <c r="DP394" s="1648">
        <f>SUM(DP382:DP393)</f>
        <v>26066353.350879814</v>
      </c>
      <c r="DQ394" s="1648">
        <f>SUM(DQ382:DQ393)</f>
        <v>43233146.624210842</v>
      </c>
      <c r="DR394" s="1648">
        <f>SUM(DR382:DR393)</f>
        <v>99917653.024909347</v>
      </c>
      <c r="DS394" s="1073"/>
      <c r="DT394" s="1071"/>
      <c r="DU394" s="1072"/>
      <c r="DV394" s="1072"/>
      <c r="DW394" s="1648">
        <f>SUM(DW382:DW393)</f>
        <v>169217153</v>
      </c>
      <c r="DX394" s="1648">
        <f>SUM(DX382:DX393)</f>
        <v>26066353.350879814</v>
      </c>
      <c r="DY394" s="1648">
        <f>SUM(DY382:DY393)</f>
        <v>43233146.624210842</v>
      </c>
      <c r="DZ394" s="1648">
        <f>SUM(DZ382:DZ393)</f>
        <v>99917653.024909347</v>
      </c>
      <c r="EA394" s="1073"/>
      <c r="EB394" s="1071"/>
      <c r="EC394" s="1072"/>
      <c r="ED394" s="1072"/>
      <c r="EE394" s="1648">
        <f>SUM(EE382:EE393)</f>
        <v>169217153</v>
      </c>
      <c r="EF394" s="1648">
        <f>SUM(EF382:EF393)</f>
        <v>26066353.350879814</v>
      </c>
      <c r="EG394" s="1648">
        <f>SUM(EG382:EG393)</f>
        <v>43233146.624210842</v>
      </c>
      <c r="EH394" s="1648">
        <f>SUM(EH382:EH393)</f>
        <v>99917653.024909347</v>
      </c>
      <c r="EI394" s="1073"/>
      <c r="EJ394" s="1071"/>
      <c r="EK394" s="1072"/>
      <c r="EL394" s="1072"/>
      <c r="EM394" s="1648">
        <f>SUM(EM382:EM393)</f>
        <v>169217153</v>
      </c>
      <c r="EN394" s="1648">
        <f>SUM(EN382:EN393)</f>
        <v>26066353.350879814</v>
      </c>
      <c r="EO394" s="1648">
        <f>SUM(EO382:EO393)</f>
        <v>43233146.624210842</v>
      </c>
      <c r="EP394" s="1648">
        <f>SUM(EP382:EP393)</f>
        <v>99917653.024909347</v>
      </c>
      <c r="EQ394" s="1073"/>
      <c r="ER394" s="1071"/>
      <c r="ES394" s="1072"/>
      <c r="ET394" s="1072"/>
      <c r="EU394" s="1648">
        <f>SUM(EU382:EU393)</f>
        <v>169217153</v>
      </c>
      <c r="EV394" s="1648">
        <f>SUM(EV382:EV393)</f>
        <v>26066353.350879814</v>
      </c>
      <c r="EW394" s="1648">
        <f>SUM(EW382:EW393)</f>
        <v>43233146.624210842</v>
      </c>
      <c r="EX394" s="1648">
        <f>SUM(EX382:EX393)</f>
        <v>99917653.024909347</v>
      </c>
      <c r="EY394" s="1073"/>
      <c r="EZ394" s="1071"/>
      <c r="FA394" s="1072"/>
      <c r="FB394" s="1072"/>
      <c r="FC394" s="1648">
        <f>SUM(FC382:FC393)</f>
        <v>169217153</v>
      </c>
      <c r="FD394" s="1648">
        <f>SUM(FD382:FD393)</f>
        <v>26066353.350879814</v>
      </c>
      <c r="FE394" s="1648">
        <f>SUM(FE382:FE393)</f>
        <v>43233146.624210842</v>
      </c>
      <c r="FF394" s="1648">
        <f>SUM(FF382:FF393)</f>
        <v>99917653.024909347</v>
      </c>
      <c r="FG394" s="1073"/>
      <c r="FH394" s="1071"/>
      <c r="FI394" s="1072"/>
      <c r="FJ394" s="1072"/>
      <c r="FK394" s="1648">
        <f>SUM(FK382:FK393)</f>
        <v>169217153</v>
      </c>
      <c r="FL394" s="1648">
        <f>SUM(FL382:FL393)</f>
        <v>26066353.350879814</v>
      </c>
      <c r="FM394" s="1648">
        <f>SUM(FM382:FM393)</f>
        <v>43233146.624210842</v>
      </c>
      <c r="FN394" s="1648">
        <f>SUM(FN382:FN393)</f>
        <v>99917653.024909347</v>
      </c>
      <c r="FO394" s="1073"/>
    </row>
    <row r="395" spans="2:171">
      <c r="B395" s="123"/>
      <c r="C395" s="123" t="s">
        <v>528</v>
      </c>
      <c r="D395" s="1296" t="s">
        <v>644</v>
      </c>
      <c r="E395" s="1094"/>
      <c r="F395" s="1094"/>
      <c r="G395" s="1649">
        <f>H395+I395+J395</f>
        <v>1</v>
      </c>
      <c r="H395" s="1649">
        <f>H394/G394</f>
        <v>0.15404084567525972</v>
      </c>
      <c r="I395" s="1649">
        <f>I394/G394</f>
        <v>0</v>
      </c>
      <c r="J395" s="1649">
        <f>J394/G394</f>
        <v>0.84595915432474023</v>
      </c>
      <c r="K395" s="1095"/>
      <c r="L395" s="1074" t="s">
        <v>644</v>
      </c>
      <c r="M395" s="1094"/>
      <c r="N395" s="1094"/>
      <c r="O395" s="1649">
        <f>P395+Q395+R395</f>
        <v>1</v>
      </c>
      <c r="P395" s="1649">
        <f>P394/O394</f>
        <v>0.15404084567525972</v>
      </c>
      <c r="Q395" s="1649">
        <f>Q394/O394</f>
        <v>0.25548915022941465</v>
      </c>
      <c r="R395" s="1649">
        <f>R394/O394</f>
        <v>0.59047000409532568</v>
      </c>
      <c r="S395" s="1095"/>
      <c r="T395" s="1074" t="s">
        <v>644</v>
      </c>
      <c r="U395" s="1094"/>
      <c r="V395" s="1094"/>
      <c r="W395" s="1649">
        <f>X395+Y395+Z395</f>
        <v>1</v>
      </c>
      <c r="X395" s="1649">
        <f>X394/W394</f>
        <v>0.15404084567525972</v>
      </c>
      <c r="Y395" s="1649">
        <f>Y394/W394</f>
        <v>0.25548915022941465</v>
      </c>
      <c r="Z395" s="1649">
        <f>Z394/W394</f>
        <v>0.59047000409532568</v>
      </c>
      <c r="AA395" s="1095"/>
      <c r="AB395" s="1074" t="s">
        <v>644</v>
      </c>
      <c r="AC395" s="1094"/>
      <c r="AD395" s="1094"/>
      <c r="AE395" s="1649">
        <f>AF395+AG395+AH395</f>
        <v>1</v>
      </c>
      <c r="AF395" s="1649">
        <f>AF394/AE394</f>
        <v>0.15404084567525972</v>
      </c>
      <c r="AG395" s="1649">
        <f>AG394/AE394</f>
        <v>0.25548915022941465</v>
      </c>
      <c r="AH395" s="1649">
        <f>AH394/AE394</f>
        <v>0.59047000409532568</v>
      </c>
      <c r="AI395" s="1095"/>
      <c r="AJ395" s="1074" t="s">
        <v>644</v>
      </c>
      <c r="AK395" s="1094"/>
      <c r="AL395" s="1094"/>
      <c r="AM395" s="1649">
        <f>AN395+AO395+AP395</f>
        <v>1</v>
      </c>
      <c r="AN395" s="1649">
        <f>AN394/AM394</f>
        <v>0.15404084567525972</v>
      </c>
      <c r="AO395" s="1649">
        <f>AO394/AM394</f>
        <v>0.25548915022941465</v>
      </c>
      <c r="AP395" s="1649">
        <f>AP394/AM394</f>
        <v>0.59047000409532568</v>
      </c>
      <c r="AQ395" s="1095"/>
      <c r="AR395" s="1074" t="s">
        <v>644</v>
      </c>
      <c r="AS395" s="1094"/>
      <c r="AT395" s="1094"/>
      <c r="AU395" s="1649">
        <f>AV395+AW395+AX395</f>
        <v>1</v>
      </c>
      <c r="AV395" s="1649">
        <f>AV394/AU394</f>
        <v>0.15404084567525972</v>
      </c>
      <c r="AW395" s="1649">
        <f>AW394/AU394</f>
        <v>0.25548915022941465</v>
      </c>
      <c r="AX395" s="1649">
        <f>AX394/AU394</f>
        <v>0.59047000409532568</v>
      </c>
      <c r="AY395" s="1095"/>
      <c r="AZ395" s="1074" t="s">
        <v>644</v>
      </c>
      <c r="BA395" s="1094"/>
      <c r="BB395" s="1094"/>
      <c r="BC395" s="1649">
        <f>BD395+BE395+BF395</f>
        <v>1</v>
      </c>
      <c r="BD395" s="1649">
        <f>BD394/BC394</f>
        <v>0.15404084567525972</v>
      </c>
      <c r="BE395" s="1649">
        <f>BE394/BC394</f>
        <v>0.25548915022941465</v>
      </c>
      <c r="BF395" s="1649">
        <f>BF394/BC394</f>
        <v>0.59047000409532568</v>
      </c>
      <c r="BG395" s="1095"/>
      <c r="BH395" s="1074" t="s">
        <v>644</v>
      </c>
      <c r="BI395" s="1094"/>
      <c r="BJ395" s="1094"/>
      <c r="BK395" s="1649">
        <f>BL395+BM395+BN395</f>
        <v>1</v>
      </c>
      <c r="BL395" s="1649">
        <f>BL394/BK394</f>
        <v>0.15404084567525972</v>
      </c>
      <c r="BM395" s="1649">
        <f>BM394/BK394</f>
        <v>0.25548915022941465</v>
      </c>
      <c r="BN395" s="1649">
        <f>BN394/BK394</f>
        <v>0.59047000409532568</v>
      </c>
      <c r="BO395" s="1095"/>
      <c r="BP395" s="1074" t="s">
        <v>644</v>
      </c>
      <c r="BQ395" s="1094"/>
      <c r="BR395" s="1094"/>
      <c r="BS395" s="1649">
        <f>BT395+BU395+BV395</f>
        <v>1</v>
      </c>
      <c r="BT395" s="1649">
        <f>BT394/BS394</f>
        <v>0.15404084567525972</v>
      </c>
      <c r="BU395" s="1649">
        <f>BU394/BS394</f>
        <v>0.25548915022941465</v>
      </c>
      <c r="BV395" s="1649">
        <f>BV394/BS394</f>
        <v>0.59047000409532568</v>
      </c>
      <c r="BW395" s="1095"/>
      <c r="BX395" s="1074" t="s">
        <v>644</v>
      </c>
      <c r="BY395" s="1094"/>
      <c r="BZ395" s="1094"/>
      <c r="CA395" s="1649">
        <f>CB395+CC395+CD395</f>
        <v>1</v>
      </c>
      <c r="CB395" s="1649">
        <f>CB394/CA394</f>
        <v>0.15404084567525972</v>
      </c>
      <c r="CC395" s="1649">
        <f>CC394/CA394</f>
        <v>0.25548915022941465</v>
      </c>
      <c r="CD395" s="1649">
        <f>CD394/CA394</f>
        <v>0.59047000409532568</v>
      </c>
      <c r="CE395" s="1095"/>
      <c r="CF395" s="1074" t="s">
        <v>644</v>
      </c>
      <c r="CG395" s="1094"/>
      <c r="CH395" s="1094"/>
      <c r="CI395" s="1649">
        <f>CJ395+CK395+CL395</f>
        <v>1</v>
      </c>
      <c r="CJ395" s="1649">
        <f>CJ394/CI394</f>
        <v>0.15404084567525972</v>
      </c>
      <c r="CK395" s="1649">
        <f>CK394/CI394</f>
        <v>0.25548915022941465</v>
      </c>
      <c r="CL395" s="1649">
        <f>CL394/CI394</f>
        <v>0.59047000409532568</v>
      </c>
      <c r="CM395" s="1095"/>
      <c r="CN395" s="1074" t="s">
        <v>644</v>
      </c>
      <c r="CO395" s="1094"/>
      <c r="CP395" s="1094"/>
      <c r="CQ395" s="1649">
        <f>CR395+CS395+CT395</f>
        <v>1</v>
      </c>
      <c r="CR395" s="1649">
        <f>CR394/CQ394</f>
        <v>0.15404084567525972</v>
      </c>
      <c r="CS395" s="1649">
        <f>CS394/CQ394</f>
        <v>0.25548915022941465</v>
      </c>
      <c r="CT395" s="1649">
        <f>CT394/CQ394</f>
        <v>0.59047000409532568</v>
      </c>
      <c r="CU395" s="1095"/>
      <c r="CV395" s="1074" t="s">
        <v>644</v>
      </c>
      <c r="CW395" s="1094"/>
      <c r="CX395" s="1094"/>
      <c r="CY395" s="1649">
        <f>CZ395+DA395+DB395</f>
        <v>1</v>
      </c>
      <c r="CZ395" s="1649">
        <f>CZ394/CY394</f>
        <v>0.15404084567525972</v>
      </c>
      <c r="DA395" s="1649">
        <f>DA394/CY394</f>
        <v>0.25548915022941465</v>
      </c>
      <c r="DB395" s="1649">
        <f>DB394/CY394</f>
        <v>0.59047000409532568</v>
      </c>
      <c r="DC395" s="1095"/>
      <c r="DD395" s="1074" t="s">
        <v>644</v>
      </c>
      <c r="DE395" s="1094"/>
      <c r="DF395" s="1094"/>
      <c r="DG395" s="1649">
        <f>DH395+DI395+DJ395</f>
        <v>1</v>
      </c>
      <c r="DH395" s="1649">
        <f>DH394/DG394</f>
        <v>0.15404084567525972</v>
      </c>
      <c r="DI395" s="1649">
        <f>DI394/DG394</f>
        <v>0.25548915022941465</v>
      </c>
      <c r="DJ395" s="1649">
        <f>DJ394/DG394</f>
        <v>0.59047000409532568</v>
      </c>
      <c r="DK395" s="1095"/>
      <c r="DL395" s="1074" t="s">
        <v>644</v>
      </c>
      <c r="DM395" s="1094"/>
      <c r="DN395" s="1094"/>
      <c r="DO395" s="1649">
        <f>DP395+DQ395+DR395</f>
        <v>1</v>
      </c>
      <c r="DP395" s="1649">
        <f>DP394/DO394</f>
        <v>0.15404084567525972</v>
      </c>
      <c r="DQ395" s="1649">
        <f>DQ394/DO394</f>
        <v>0.25548915022941465</v>
      </c>
      <c r="DR395" s="1649">
        <f>DR394/DO394</f>
        <v>0.59047000409532568</v>
      </c>
      <c r="DS395" s="1095"/>
      <c r="DT395" s="1074" t="s">
        <v>644</v>
      </c>
      <c r="DU395" s="1094"/>
      <c r="DV395" s="1094"/>
      <c r="DW395" s="1649">
        <f>DX395+DY395+DZ395</f>
        <v>1</v>
      </c>
      <c r="DX395" s="1649">
        <f>DX394/DW394</f>
        <v>0.15404084567525972</v>
      </c>
      <c r="DY395" s="1649">
        <f>DY394/DW394</f>
        <v>0.25548915022941465</v>
      </c>
      <c r="DZ395" s="1649">
        <f>DZ394/DW394</f>
        <v>0.59047000409532568</v>
      </c>
      <c r="EA395" s="1095"/>
      <c r="EB395" s="1074" t="s">
        <v>644</v>
      </c>
      <c r="EC395" s="1094"/>
      <c r="ED395" s="1094"/>
      <c r="EE395" s="1649">
        <f>EF395+EG395+EH395</f>
        <v>1</v>
      </c>
      <c r="EF395" s="1649">
        <f>EF394/EE394</f>
        <v>0.15404084567525972</v>
      </c>
      <c r="EG395" s="1649">
        <f>EG394/EE394</f>
        <v>0.25548915022941465</v>
      </c>
      <c r="EH395" s="1649">
        <f>EH394/EE394</f>
        <v>0.59047000409532568</v>
      </c>
      <c r="EI395" s="1095"/>
      <c r="EJ395" s="1074" t="s">
        <v>644</v>
      </c>
      <c r="EK395" s="1094"/>
      <c r="EL395" s="1094"/>
      <c r="EM395" s="1649">
        <f>EN395+EO395+EP395</f>
        <v>1</v>
      </c>
      <c r="EN395" s="1649">
        <f>EN394/EM394</f>
        <v>0.15404084567525972</v>
      </c>
      <c r="EO395" s="1649">
        <f>EO394/EM394</f>
        <v>0.25548915022941465</v>
      </c>
      <c r="EP395" s="1649">
        <f>EP394/EM394</f>
        <v>0.59047000409532568</v>
      </c>
      <c r="EQ395" s="1095"/>
      <c r="ER395" s="1074" t="s">
        <v>644</v>
      </c>
      <c r="ES395" s="1094"/>
      <c r="ET395" s="1094"/>
      <c r="EU395" s="1649">
        <f>EV395+EW395+EX395</f>
        <v>1</v>
      </c>
      <c r="EV395" s="1649">
        <f>EV394/EU394</f>
        <v>0.15404084567525972</v>
      </c>
      <c r="EW395" s="1649">
        <f>EW394/EU394</f>
        <v>0.25548915022941465</v>
      </c>
      <c r="EX395" s="1649">
        <f>EX394/EU394</f>
        <v>0.59047000409532568</v>
      </c>
      <c r="EY395" s="1095"/>
      <c r="EZ395" s="1074" t="s">
        <v>644</v>
      </c>
      <c r="FA395" s="1094"/>
      <c r="FB395" s="1094"/>
      <c r="FC395" s="1649">
        <f>FD395+FE395+FF395</f>
        <v>1</v>
      </c>
      <c r="FD395" s="1649">
        <f>FD394/FC394</f>
        <v>0.15404084567525972</v>
      </c>
      <c r="FE395" s="1649">
        <f>FE394/FC394</f>
        <v>0.25548915022941465</v>
      </c>
      <c r="FF395" s="1649">
        <f>FF394/FC394</f>
        <v>0.59047000409532568</v>
      </c>
      <c r="FG395" s="1095"/>
      <c r="FH395" s="1074" t="s">
        <v>644</v>
      </c>
      <c r="FI395" s="1094"/>
      <c r="FJ395" s="1094"/>
      <c r="FK395" s="1649">
        <f>FL395+FM395+FN395</f>
        <v>1</v>
      </c>
      <c r="FL395" s="1649">
        <f>FL394/FK394</f>
        <v>0.15404084567525972</v>
      </c>
      <c r="FM395" s="1649">
        <f>FM394/FK394</f>
        <v>0.25548915022941465</v>
      </c>
      <c r="FN395" s="1649">
        <f>FN394/FK394</f>
        <v>0.59047000409532568</v>
      </c>
      <c r="FO395" s="1095"/>
    </row>
    <row r="396" spans="2:171">
      <c r="K396" s="1073"/>
      <c r="S396" s="1095"/>
      <c r="AA396" s="1095"/>
      <c r="AI396" s="1095"/>
      <c r="AQ396" s="1095"/>
      <c r="AY396" s="1095"/>
      <c r="BG396" s="1095"/>
      <c r="BO396" s="1095"/>
      <c r="BW396" s="1095"/>
      <c r="CE396" s="1095"/>
      <c r="CM396" s="1095"/>
      <c r="CU396" s="1095"/>
      <c r="DC396" s="1095"/>
      <c r="DK396" s="1095"/>
      <c r="DS396" s="1095"/>
      <c r="EA396" s="1095"/>
      <c r="EI396" s="1095"/>
      <c r="EQ396" s="1095"/>
      <c r="EY396" s="1095"/>
      <c r="FG396" s="1095"/>
      <c r="FO396" s="1095"/>
    </row>
    <row r="397" spans="2:171">
      <c r="E397" s="302" t="s">
        <v>525</v>
      </c>
      <c r="G397" s="303" t="s">
        <v>104</v>
      </c>
      <c r="H397" s="303" t="s">
        <v>105</v>
      </c>
      <c r="I397" s="303" t="s">
        <v>106</v>
      </c>
      <c r="J397" s="304" t="s">
        <v>516</v>
      </c>
      <c r="K397" s="1073"/>
      <c r="O397" s="303" t="s">
        <v>104</v>
      </c>
      <c r="P397" s="303" t="s">
        <v>105</v>
      </c>
      <c r="Q397" s="303" t="s">
        <v>106</v>
      </c>
      <c r="R397" s="304" t="s">
        <v>516</v>
      </c>
      <c r="S397" s="1095"/>
      <c r="W397" s="303" t="s">
        <v>104</v>
      </c>
      <c r="X397" s="303" t="s">
        <v>105</v>
      </c>
      <c r="Y397" s="303" t="s">
        <v>106</v>
      </c>
      <c r="Z397" s="304" t="s">
        <v>516</v>
      </c>
      <c r="AA397" s="1095"/>
      <c r="AE397" s="303" t="s">
        <v>104</v>
      </c>
      <c r="AF397" s="303" t="s">
        <v>105</v>
      </c>
      <c r="AG397" s="303" t="s">
        <v>106</v>
      </c>
      <c r="AH397" s="304" t="s">
        <v>516</v>
      </c>
      <c r="AI397" s="1095"/>
      <c r="AM397" s="303" t="s">
        <v>104</v>
      </c>
      <c r="AN397" s="303" t="s">
        <v>105</v>
      </c>
      <c r="AO397" s="303" t="s">
        <v>106</v>
      </c>
      <c r="AP397" s="304" t="s">
        <v>516</v>
      </c>
      <c r="AQ397" s="1095"/>
      <c r="AU397" s="303" t="s">
        <v>104</v>
      </c>
      <c r="AV397" s="303" t="s">
        <v>105</v>
      </c>
      <c r="AW397" s="303" t="s">
        <v>106</v>
      </c>
      <c r="AX397" s="304" t="s">
        <v>516</v>
      </c>
      <c r="AY397" s="1095"/>
      <c r="BC397" s="303" t="s">
        <v>104</v>
      </c>
      <c r="BD397" s="303" t="s">
        <v>105</v>
      </c>
      <c r="BE397" s="303" t="s">
        <v>106</v>
      </c>
      <c r="BF397" s="304" t="s">
        <v>516</v>
      </c>
      <c r="BG397" s="1095"/>
      <c r="BK397" s="303" t="s">
        <v>104</v>
      </c>
      <c r="BL397" s="303" t="s">
        <v>105</v>
      </c>
      <c r="BM397" s="303" t="s">
        <v>106</v>
      </c>
      <c r="BN397" s="304" t="s">
        <v>516</v>
      </c>
      <c r="BO397" s="1095"/>
      <c r="BS397" s="303" t="s">
        <v>104</v>
      </c>
      <c r="BT397" s="303" t="s">
        <v>105</v>
      </c>
      <c r="BU397" s="303" t="s">
        <v>106</v>
      </c>
      <c r="BV397" s="304" t="s">
        <v>516</v>
      </c>
      <c r="BW397" s="1095"/>
      <c r="CA397" s="303" t="s">
        <v>104</v>
      </c>
      <c r="CB397" s="303" t="s">
        <v>105</v>
      </c>
      <c r="CC397" s="303" t="s">
        <v>106</v>
      </c>
      <c r="CD397" s="304" t="s">
        <v>516</v>
      </c>
      <c r="CE397" s="1095"/>
      <c r="CI397" s="303" t="s">
        <v>104</v>
      </c>
      <c r="CJ397" s="303" t="s">
        <v>105</v>
      </c>
      <c r="CK397" s="303" t="s">
        <v>106</v>
      </c>
      <c r="CL397" s="304" t="s">
        <v>516</v>
      </c>
      <c r="CM397" s="1095"/>
      <c r="CQ397" s="303" t="s">
        <v>104</v>
      </c>
      <c r="CR397" s="303" t="s">
        <v>105</v>
      </c>
      <c r="CS397" s="303" t="s">
        <v>106</v>
      </c>
      <c r="CT397" s="304" t="s">
        <v>516</v>
      </c>
      <c r="CU397" s="1095"/>
      <c r="CY397" s="303" t="s">
        <v>104</v>
      </c>
      <c r="CZ397" s="303" t="s">
        <v>105</v>
      </c>
      <c r="DA397" s="303" t="s">
        <v>106</v>
      </c>
      <c r="DB397" s="304" t="s">
        <v>516</v>
      </c>
      <c r="DC397" s="1095"/>
      <c r="DG397" s="303" t="s">
        <v>104</v>
      </c>
      <c r="DH397" s="303" t="s">
        <v>105</v>
      </c>
      <c r="DI397" s="303" t="s">
        <v>106</v>
      </c>
      <c r="DJ397" s="304" t="s">
        <v>516</v>
      </c>
      <c r="DK397" s="1095"/>
      <c r="DO397" s="303" t="s">
        <v>104</v>
      </c>
      <c r="DP397" s="303" t="s">
        <v>105</v>
      </c>
      <c r="DQ397" s="303" t="s">
        <v>106</v>
      </c>
      <c r="DR397" s="304" t="s">
        <v>516</v>
      </c>
      <c r="DS397" s="1095"/>
      <c r="DW397" s="303" t="s">
        <v>104</v>
      </c>
      <c r="DX397" s="303" t="s">
        <v>105</v>
      </c>
      <c r="DY397" s="303" t="s">
        <v>106</v>
      </c>
      <c r="DZ397" s="304" t="s">
        <v>516</v>
      </c>
      <c r="EA397" s="1095"/>
      <c r="EE397" s="303" t="s">
        <v>104</v>
      </c>
      <c r="EF397" s="303" t="s">
        <v>105</v>
      </c>
      <c r="EG397" s="303" t="s">
        <v>106</v>
      </c>
      <c r="EH397" s="304" t="s">
        <v>516</v>
      </c>
      <c r="EI397" s="1095"/>
      <c r="EM397" s="303" t="s">
        <v>104</v>
      </c>
      <c r="EN397" s="303" t="s">
        <v>105</v>
      </c>
      <c r="EO397" s="303" t="s">
        <v>106</v>
      </c>
      <c r="EP397" s="304" t="s">
        <v>516</v>
      </c>
      <c r="EQ397" s="1095"/>
      <c r="EU397" s="303" t="s">
        <v>104</v>
      </c>
      <c r="EV397" s="303" t="s">
        <v>105</v>
      </c>
      <c r="EW397" s="303" t="s">
        <v>106</v>
      </c>
      <c r="EX397" s="304" t="s">
        <v>516</v>
      </c>
      <c r="EY397" s="1095"/>
      <c r="FC397" s="303" t="s">
        <v>104</v>
      </c>
      <c r="FD397" s="303" t="s">
        <v>105</v>
      </c>
      <c r="FE397" s="303" t="s">
        <v>106</v>
      </c>
      <c r="FF397" s="304" t="s">
        <v>516</v>
      </c>
      <c r="FG397" s="1095"/>
      <c r="FK397" s="303" t="s">
        <v>104</v>
      </c>
      <c r="FL397" s="303" t="s">
        <v>105</v>
      </c>
      <c r="FM397" s="303" t="s">
        <v>106</v>
      </c>
      <c r="FN397" s="304" t="s">
        <v>516</v>
      </c>
      <c r="FO397" s="1095"/>
    </row>
    <row r="398" spans="2:171">
      <c r="B398" s="108"/>
      <c r="C398" s="108" t="s">
        <v>111</v>
      </c>
      <c r="D398" s="1071"/>
      <c r="E398" s="904" t="s">
        <v>397</v>
      </c>
      <c r="G398" s="890">
        <f t="shared" ref="G398:J401" si="1057">G22</f>
        <v>494693042</v>
      </c>
      <c r="H398" s="890">
        <f t="shared" si="1057"/>
        <v>494693042</v>
      </c>
      <c r="I398" s="890">
        <f t="shared" si="1057"/>
        <v>0</v>
      </c>
      <c r="J398" s="890">
        <f t="shared" si="1057"/>
        <v>0</v>
      </c>
      <c r="K398" s="1073"/>
      <c r="L398" s="1071"/>
      <c r="M398" s="1072"/>
      <c r="N398" s="1072"/>
      <c r="O398" s="890">
        <f t="shared" ref="O398:R401" si="1058">O22</f>
        <v>494693042</v>
      </c>
      <c r="P398" s="890">
        <f t="shared" si="1058"/>
        <v>494693042</v>
      </c>
      <c r="Q398" s="890">
        <f t="shared" si="1058"/>
        <v>0</v>
      </c>
      <c r="R398" s="890">
        <f t="shared" si="1058"/>
        <v>0</v>
      </c>
      <c r="S398" s="1095"/>
      <c r="T398" s="1071"/>
      <c r="U398" s="1072"/>
      <c r="V398" s="1072"/>
      <c r="W398" s="890">
        <f t="shared" ref="W398:Z401" si="1059">W22</f>
        <v>494693042</v>
      </c>
      <c r="X398" s="890">
        <f t="shared" si="1059"/>
        <v>494693042</v>
      </c>
      <c r="Y398" s="890">
        <f t="shared" si="1059"/>
        <v>0</v>
      </c>
      <c r="Z398" s="890">
        <f t="shared" si="1059"/>
        <v>0</v>
      </c>
      <c r="AA398" s="1095"/>
      <c r="AB398" s="1071"/>
      <c r="AC398" s="1072"/>
      <c r="AD398" s="1072"/>
      <c r="AE398" s="890">
        <f t="shared" ref="AE398:AH401" si="1060">AE22</f>
        <v>494693042</v>
      </c>
      <c r="AF398" s="890">
        <f t="shared" si="1060"/>
        <v>494693042</v>
      </c>
      <c r="AG398" s="890">
        <f t="shared" si="1060"/>
        <v>0</v>
      </c>
      <c r="AH398" s="890">
        <f t="shared" si="1060"/>
        <v>0</v>
      </c>
      <c r="AI398" s="1095"/>
      <c r="AJ398" s="1071"/>
      <c r="AK398" s="1072"/>
      <c r="AL398" s="1072"/>
      <c r="AM398" s="890">
        <f t="shared" ref="AM398:AP401" si="1061">AM22</f>
        <v>494693042</v>
      </c>
      <c r="AN398" s="890">
        <f t="shared" si="1061"/>
        <v>494693042</v>
      </c>
      <c r="AO398" s="890">
        <f t="shared" si="1061"/>
        <v>0</v>
      </c>
      <c r="AP398" s="890">
        <f t="shared" si="1061"/>
        <v>0</v>
      </c>
      <c r="AQ398" s="1095"/>
      <c r="AR398" s="1071"/>
      <c r="AS398" s="1072"/>
      <c r="AT398" s="1072"/>
      <c r="AU398" s="890">
        <f t="shared" ref="AU398:AX401" si="1062">AU22</f>
        <v>494693042</v>
      </c>
      <c r="AV398" s="890">
        <f t="shared" si="1062"/>
        <v>494693042</v>
      </c>
      <c r="AW398" s="890">
        <f t="shared" si="1062"/>
        <v>0</v>
      </c>
      <c r="AX398" s="890">
        <f t="shared" si="1062"/>
        <v>0</v>
      </c>
      <c r="AY398" s="1095"/>
      <c r="AZ398" s="1071"/>
      <c r="BA398" s="1072"/>
      <c r="BB398" s="1072"/>
      <c r="BC398" s="890">
        <f t="shared" ref="BC398:BF401" si="1063">BC22</f>
        <v>494693042</v>
      </c>
      <c r="BD398" s="890">
        <f t="shared" si="1063"/>
        <v>494693042</v>
      </c>
      <c r="BE398" s="890">
        <f t="shared" si="1063"/>
        <v>0</v>
      </c>
      <c r="BF398" s="890">
        <f t="shared" si="1063"/>
        <v>0</v>
      </c>
      <c r="BG398" s="1095"/>
      <c r="BH398" s="1071"/>
      <c r="BI398" s="1072"/>
      <c r="BJ398" s="1072"/>
      <c r="BK398" s="890">
        <f t="shared" ref="BK398:BN401" si="1064">BK22</f>
        <v>494693042</v>
      </c>
      <c r="BL398" s="890">
        <f t="shared" si="1064"/>
        <v>494693042</v>
      </c>
      <c r="BM398" s="890">
        <f t="shared" si="1064"/>
        <v>0</v>
      </c>
      <c r="BN398" s="890">
        <f t="shared" si="1064"/>
        <v>0</v>
      </c>
      <c r="BO398" s="1095"/>
      <c r="BP398" s="1071"/>
      <c r="BQ398" s="1072"/>
      <c r="BR398" s="1072"/>
      <c r="BS398" s="890">
        <f t="shared" ref="BS398:BV401" si="1065">BS22</f>
        <v>494693042</v>
      </c>
      <c r="BT398" s="890">
        <f t="shared" si="1065"/>
        <v>494693042</v>
      </c>
      <c r="BU398" s="890">
        <f t="shared" si="1065"/>
        <v>0</v>
      </c>
      <c r="BV398" s="890">
        <f t="shared" si="1065"/>
        <v>0</v>
      </c>
      <c r="BW398" s="1095"/>
      <c r="BX398" s="1071"/>
      <c r="BY398" s="1072"/>
      <c r="BZ398" s="1072"/>
      <c r="CA398" s="890">
        <f t="shared" ref="CA398:CD401" si="1066">CA22</f>
        <v>494693042</v>
      </c>
      <c r="CB398" s="890">
        <f t="shared" si="1066"/>
        <v>494693042</v>
      </c>
      <c r="CC398" s="890">
        <f t="shared" si="1066"/>
        <v>0</v>
      </c>
      <c r="CD398" s="890">
        <f t="shared" si="1066"/>
        <v>0</v>
      </c>
      <c r="CE398" s="1095"/>
      <c r="CF398" s="1071"/>
      <c r="CG398" s="1072"/>
      <c r="CH398" s="1072"/>
      <c r="CI398" s="890">
        <f t="shared" ref="CI398:CL401" si="1067">CI22</f>
        <v>494693042</v>
      </c>
      <c r="CJ398" s="890">
        <f t="shared" si="1067"/>
        <v>494693042</v>
      </c>
      <c r="CK398" s="890">
        <f t="shared" si="1067"/>
        <v>0</v>
      </c>
      <c r="CL398" s="890">
        <f t="shared" si="1067"/>
        <v>0</v>
      </c>
      <c r="CM398" s="1095"/>
      <c r="CN398" s="1071"/>
      <c r="CO398" s="1072"/>
      <c r="CP398" s="1072"/>
      <c r="CQ398" s="890">
        <f t="shared" ref="CQ398:CT401" si="1068">CQ22</f>
        <v>494693042</v>
      </c>
      <c r="CR398" s="890">
        <f t="shared" si="1068"/>
        <v>494693042</v>
      </c>
      <c r="CS398" s="890">
        <f t="shared" si="1068"/>
        <v>0</v>
      </c>
      <c r="CT398" s="890">
        <f t="shared" si="1068"/>
        <v>0</v>
      </c>
      <c r="CU398" s="1095"/>
      <c r="CV398" s="1071"/>
      <c r="CW398" s="1072"/>
      <c r="CX398" s="1072"/>
      <c r="CY398" s="890">
        <f t="shared" ref="CY398:DB401" si="1069">CY22</f>
        <v>494693042</v>
      </c>
      <c r="CZ398" s="890">
        <f t="shared" si="1069"/>
        <v>494693042</v>
      </c>
      <c r="DA398" s="890">
        <f t="shared" si="1069"/>
        <v>0</v>
      </c>
      <c r="DB398" s="890">
        <f t="shared" si="1069"/>
        <v>0</v>
      </c>
      <c r="DC398" s="1095"/>
      <c r="DD398" s="1071"/>
      <c r="DE398" s="1072"/>
      <c r="DF398" s="1072"/>
      <c r="DG398" s="890">
        <f t="shared" ref="DG398:DJ401" si="1070">DG22</f>
        <v>494693042</v>
      </c>
      <c r="DH398" s="890">
        <f t="shared" si="1070"/>
        <v>494693042</v>
      </c>
      <c r="DI398" s="890">
        <f t="shared" si="1070"/>
        <v>0</v>
      </c>
      <c r="DJ398" s="890">
        <f t="shared" si="1070"/>
        <v>0</v>
      </c>
      <c r="DK398" s="1095"/>
      <c r="DL398" s="1071"/>
      <c r="DM398" s="1072"/>
      <c r="DN398" s="1072"/>
      <c r="DO398" s="890">
        <f t="shared" ref="DO398:DR401" si="1071">DO22</f>
        <v>494693042</v>
      </c>
      <c r="DP398" s="890">
        <f t="shared" si="1071"/>
        <v>494693042</v>
      </c>
      <c r="DQ398" s="890">
        <f t="shared" si="1071"/>
        <v>0</v>
      </c>
      <c r="DR398" s="890">
        <f t="shared" si="1071"/>
        <v>0</v>
      </c>
      <c r="DS398" s="1095"/>
      <c r="DT398" s="1071"/>
      <c r="DU398" s="1072"/>
      <c r="DV398" s="1072"/>
      <c r="DW398" s="890">
        <f t="shared" ref="DW398:DZ401" si="1072">DW22</f>
        <v>494693042</v>
      </c>
      <c r="DX398" s="890">
        <f t="shared" si="1072"/>
        <v>494693042</v>
      </c>
      <c r="DY398" s="890">
        <f t="shared" si="1072"/>
        <v>0</v>
      </c>
      <c r="DZ398" s="890">
        <f t="shared" si="1072"/>
        <v>0</v>
      </c>
      <c r="EA398" s="1095"/>
      <c r="EB398" s="1071"/>
      <c r="EC398" s="1072"/>
      <c r="ED398" s="1072"/>
      <c r="EE398" s="890">
        <f t="shared" ref="EE398:EH401" si="1073">EE22</f>
        <v>494693042</v>
      </c>
      <c r="EF398" s="890">
        <f t="shared" si="1073"/>
        <v>494693042</v>
      </c>
      <c r="EG398" s="890">
        <f t="shared" si="1073"/>
        <v>0</v>
      </c>
      <c r="EH398" s="890">
        <f t="shared" si="1073"/>
        <v>0</v>
      </c>
      <c r="EI398" s="1095"/>
      <c r="EJ398" s="1071"/>
      <c r="EK398" s="1072"/>
      <c r="EL398" s="1072"/>
      <c r="EM398" s="890">
        <f t="shared" ref="EM398:EP401" si="1074">EM22</f>
        <v>494693042</v>
      </c>
      <c r="EN398" s="890">
        <f t="shared" si="1074"/>
        <v>494693042</v>
      </c>
      <c r="EO398" s="890">
        <f t="shared" si="1074"/>
        <v>0</v>
      </c>
      <c r="EP398" s="890">
        <f t="shared" si="1074"/>
        <v>0</v>
      </c>
      <c r="EQ398" s="1095"/>
      <c r="ER398" s="1071"/>
      <c r="ES398" s="1072"/>
      <c r="ET398" s="1072"/>
      <c r="EU398" s="890">
        <f t="shared" ref="EU398:EX401" si="1075">EU22</f>
        <v>494693042</v>
      </c>
      <c r="EV398" s="890">
        <f t="shared" si="1075"/>
        <v>494693042</v>
      </c>
      <c r="EW398" s="890">
        <f t="shared" si="1075"/>
        <v>0</v>
      </c>
      <c r="EX398" s="890">
        <f t="shared" si="1075"/>
        <v>0</v>
      </c>
      <c r="EY398" s="1095"/>
      <c r="EZ398" s="1071"/>
      <c r="FA398" s="1072"/>
      <c r="FB398" s="1072"/>
      <c r="FC398" s="890">
        <f t="shared" ref="FC398:FF401" si="1076">FC22</f>
        <v>494693042</v>
      </c>
      <c r="FD398" s="890">
        <f t="shared" si="1076"/>
        <v>494693042</v>
      </c>
      <c r="FE398" s="890">
        <f t="shared" si="1076"/>
        <v>0</v>
      </c>
      <c r="FF398" s="890">
        <f t="shared" si="1076"/>
        <v>0</v>
      </c>
      <c r="FG398" s="1095"/>
      <c r="FH398" s="1071"/>
      <c r="FI398" s="1072"/>
      <c r="FJ398" s="1072"/>
      <c r="FK398" s="890">
        <f t="shared" ref="FK398:FN401" si="1077">FK22</f>
        <v>494693042</v>
      </c>
      <c r="FL398" s="890">
        <f t="shared" si="1077"/>
        <v>494693042</v>
      </c>
      <c r="FM398" s="890">
        <f t="shared" si="1077"/>
        <v>0</v>
      </c>
      <c r="FN398" s="890">
        <f t="shared" si="1077"/>
        <v>0</v>
      </c>
      <c r="FO398" s="1095"/>
    </row>
    <row r="399" spans="2:171">
      <c r="B399" s="108"/>
      <c r="C399" s="108" t="s">
        <v>113</v>
      </c>
      <c r="D399" s="1071"/>
      <c r="E399" s="904" t="s">
        <v>397</v>
      </c>
      <c r="G399" s="890">
        <f t="shared" si="1057"/>
        <v>0</v>
      </c>
      <c r="H399" s="890">
        <f t="shared" si="1057"/>
        <v>0</v>
      </c>
      <c r="I399" s="890">
        <f t="shared" si="1057"/>
        <v>0</v>
      </c>
      <c r="J399" s="890">
        <f t="shared" si="1057"/>
        <v>0</v>
      </c>
      <c r="K399" s="1073"/>
      <c r="L399" s="1071"/>
      <c r="M399" s="1072"/>
      <c r="N399" s="1072"/>
      <c r="O399" s="890">
        <f t="shared" si="1058"/>
        <v>0</v>
      </c>
      <c r="P399" s="890">
        <f t="shared" si="1058"/>
        <v>0</v>
      </c>
      <c r="Q399" s="890">
        <f t="shared" si="1058"/>
        <v>0</v>
      </c>
      <c r="R399" s="890">
        <f t="shared" si="1058"/>
        <v>0</v>
      </c>
      <c r="S399" s="1073"/>
      <c r="T399" s="1071"/>
      <c r="U399" s="1072"/>
      <c r="V399" s="1072"/>
      <c r="W399" s="890">
        <f t="shared" si="1059"/>
        <v>0</v>
      </c>
      <c r="X399" s="890">
        <f t="shared" si="1059"/>
        <v>0</v>
      </c>
      <c r="Y399" s="890">
        <f t="shared" si="1059"/>
        <v>0</v>
      </c>
      <c r="Z399" s="890">
        <f t="shared" si="1059"/>
        <v>0</v>
      </c>
      <c r="AA399" s="1073"/>
      <c r="AB399" s="1071"/>
      <c r="AC399" s="1072"/>
      <c r="AD399" s="1072"/>
      <c r="AE399" s="890">
        <f t="shared" si="1060"/>
        <v>0</v>
      </c>
      <c r="AF399" s="890">
        <f t="shared" si="1060"/>
        <v>0</v>
      </c>
      <c r="AG399" s="890">
        <f t="shared" si="1060"/>
        <v>0</v>
      </c>
      <c r="AH399" s="890">
        <f t="shared" si="1060"/>
        <v>0</v>
      </c>
      <c r="AI399" s="1073"/>
      <c r="AJ399" s="1071"/>
      <c r="AK399" s="1072"/>
      <c r="AL399" s="1072"/>
      <c r="AM399" s="890">
        <f t="shared" si="1061"/>
        <v>0</v>
      </c>
      <c r="AN399" s="890">
        <f t="shared" si="1061"/>
        <v>0</v>
      </c>
      <c r="AO399" s="890">
        <f t="shared" si="1061"/>
        <v>0</v>
      </c>
      <c r="AP399" s="890">
        <f t="shared" si="1061"/>
        <v>0</v>
      </c>
      <c r="AQ399" s="1073"/>
      <c r="AR399" s="1071"/>
      <c r="AS399" s="1072"/>
      <c r="AT399" s="1072"/>
      <c r="AU399" s="890">
        <f t="shared" si="1062"/>
        <v>0</v>
      </c>
      <c r="AV399" s="890">
        <f t="shared" si="1062"/>
        <v>0</v>
      </c>
      <c r="AW399" s="890">
        <f t="shared" si="1062"/>
        <v>0</v>
      </c>
      <c r="AX399" s="890">
        <f t="shared" si="1062"/>
        <v>0</v>
      </c>
      <c r="AY399" s="1073"/>
      <c r="AZ399" s="1071"/>
      <c r="BA399" s="1072"/>
      <c r="BB399" s="1072"/>
      <c r="BC399" s="890">
        <f t="shared" si="1063"/>
        <v>0</v>
      </c>
      <c r="BD399" s="890">
        <f t="shared" si="1063"/>
        <v>0</v>
      </c>
      <c r="BE399" s="890">
        <f t="shared" si="1063"/>
        <v>0</v>
      </c>
      <c r="BF399" s="890">
        <f t="shared" si="1063"/>
        <v>0</v>
      </c>
      <c r="BG399" s="1073"/>
      <c r="BH399" s="1071"/>
      <c r="BI399" s="1072"/>
      <c r="BJ399" s="1072"/>
      <c r="BK399" s="890">
        <f t="shared" si="1064"/>
        <v>0</v>
      </c>
      <c r="BL399" s="890">
        <f t="shared" si="1064"/>
        <v>0</v>
      </c>
      <c r="BM399" s="890">
        <f t="shared" si="1064"/>
        <v>0</v>
      </c>
      <c r="BN399" s="890">
        <f t="shared" si="1064"/>
        <v>0</v>
      </c>
      <c r="BO399" s="1073"/>
      <c r="BP399" s="1071"/>
      <c r="BQ399" s="1072"/>
      <c r="BR399" s="1072"/>
      <c r="BS399" s="890">
        <f t="shared" si="1065"/>
        <v>0</v>
      </c>
      <c r="BT399" s="890">
        <f t="shared" si="1065"/>
        <v>0</v>
      </c>
      <c r="BU399" s="890">
        <f t="shared" si="1065"/>
        <v>0</v>
      </c>
      <c r="BV399" s="890">
        <f t="shared" si="1065"/>
        <v>0</v>
      </c>
      <c r="BW399" s="1073"/>
      <c r="BX399" s="1071"/>
      <c r="BY399" s="1072"/>
      <c r="BZ399" s="1072"/>
      <c r="CA399" s="890">
        <f t="shared" si="1066"/>
        <v>0</v>
      </c>
      <c r="CB399" s="890">
        <f t="shared" si="1066"/>
        <v>0</v>
      </c>
      <c r="CC399" s="890">
        <f t="shared" si="1066"/>
        <v>0</v>
      </c>
      <c r="CD399" s="890">
        <f t="shared" si="1066"/>
        <v>0</v>
      </c>
      <c r="CE399" s="1073"/>
      <c r="CF399" s="1071"/>
      <c r="CG399" s="1072"/>
      <c r="CH399" s="1072"/>
      <c r="CI399" s="890">
        <f t="shared" si="1067"/>
        <v>0</v>
      </c>
      <c r="CJ399" s="890">
        <f t="shared" si="1067"/>
        <v>0</v>
      </c>
      <c r="CK399" s="890">
        <f t="shared" si="1067"/>
        <v>0</v>
      </c>
      <c r="CL399" s="890">
        <f t="shared" si="1067"/>
        <v>0</v>
      </c>
      <c r="CM399" s="1073"/>
      <c r="CN399" s="1071"/>
      <c r="CO399" s="1072"/>
      <c r="CP399" s="1072"/>
      <c r="CQ399" s="890">
        <f t="shared" si="1068"/>
        <v>0</v>
      </c>
      <c r="CR399" s="890">
        <f t="shared" si="1068"/>
        <v>0</v>
      </c>
      <c r="CS399" s="890">
        <f t="shared" si="1068"/>
        <v>0</v>
      </c>
      <c r="CT399" s="890">
        <f t="shared" si="1068"/>
        <v>0</v>
      </c>
      <c r="CU399" s="1073"/>
      <c r="CV399" s="1071"/>
      <c r="CW399" s="1072"/>
      <c r="CX399" s="1072"/>
      <c r="CY399" s="890">
        <f t="shared" si="1069"/>
        <v>0</v>
      </c>
      <c r="CZ399" s="890">
        <f t="shared" si="1069"/>
        <v>0</v>
      </c>
      <c r="DA399" s="890">
        <f t="shared" si="1069"/>
        <v>0</v>
      </c>
      <c r="DB399" s="890">
        <f t="shared" si="1069"/>
        <v>0</v>
      </c>
      <c r="DC399" s="1073"/>
      <c r="DD399" s="1071"/>
      <c r="DE399" s="1072"/>
      <c r="DF399" s="1072"/>
      <c r="DG399" s="890">
        <f t="shared" si="1070"/>
        <v>0</v>
      </c>
      <c r="DH399" s="890">
        <f t="shared" si="1070"/>
        <v>0</v>
      </c>
      <c r="DI399" s="890">
        <f t="shared" si="1070"/>
        <v>0</v>
      </c>
      <c r="DJ399" s="890">
        <f t="shared" si="1070"/>
        <v>0</v>
      </c>
      <c r="DK399" s="1073"/>
      <c r="DL399" s="1071"/>
      <c r="DM399" s="1072"/>
      <c r="DN399" s="1072"/>
      <c r="DO399" s="890">
        <f t="shared" si="1071"/>
        <v>0</v>
      </c>
      <c r="DP399" s="890">
        <f t="shared" si="1071"/>
        <v>0</v>
      </c>
      <c r="DQ399" s="890">
        <f t="shared" si="1071"/>
        <v>0</v>
      </c>
      <c r="DR399" s="890">
        <f t="shared" si="1071"/>
        <v>0</v>
      </c>
      <c r="DS399" s="1073"/>
      <c r="DT399" s="1071"/>
      <c r="DU399" s="1072"/>
      <c r="DV399" s="1072"/>
      <c r="DW399" s="890">
        <f t="shared" si="1072"/>
        <v>0</v>
      </c>
      <c r="DX399" s="890">
        <f t="shared" si="1072"/>
        <v>0</v>
      </c>
      <c r="DY399" s="890">
        <f t="shared" si="1072"/>
        <v>0</v>
      </c>
      <c r="DZ399" s="890">
        <f t="shared" si="1072"/>
        <v>0</v>
      </c>
      <c r="EA399" s="1073"/>
      <c r="EB399" s="1071"/>
      <c r="EC399" s="1072"/>
      <c r="ED399" s="1072"/>
      <c r="EE399" s="890">
        <f t="shared" si="1073"/>
        <v>0</v>
      </c>
      <c r="EF399" s="890">
        <f t="shared" si="1073"/>
        <v>0</v>
      </c>
      <c r="EG399" s="890">
        <f t="shared" si="1073"/>
        <v>0</v>
      </c>
      <c r="EH399" s="890">
        <f t="shared" si="1073"/>
        <v>0</v>
      </c>
      <c r="EI399" s="1073"/>
      <c r="EJ399" s="1071"/>
      <c r="EK399" s="1072"/>
      <c r="EL399" s="1072"/>
      <c r="EM399" s="890">
        <f t="shared" si="1074"/>
        <v>0</v>
      </c>
      <c r="EN399" s="890">
        <f t="shared" si="1074"/>
        <v>0</v>
      </c>
      <c r="EO399" s="890">
        <f t="shared" si="1074"/>
        <v>0</v>
      </c>
      <c r="EP399" s="890">
        <f t="shared" si="1074"/>
        <v>0</v>
      </c>
      <c r="EQ399" s="1073"/>
      <c r="ER399" s="1071"/>
      <c r="ES399" s="1072"/>
      <c r="ET399" s="1072"/>
      <c r="EU399" s="890">
        <f t="shared" si="1075"/>
        <v>0</v>
      </c>
      <c r="EV399" s="890">
        <f t="shared" si="1075"/>
        <v>0</v>
      </c>
      <c r="EW399" s="890">
        <f t="shared" si="1075"/>
        <v>0</v>
      </c>
      <c r="EX399" s="890">
        <f t="shared" si="1075"/>
        <v>0</v>
      </c>
      <c r="EY399" s="1073"/>
      <c r="EZ399" s="1071"/>
      <c r="FA399" s="1072"/>
      <c r="FB399" s="1072"/>
      <c r="FC399" s="890">
        <f t="shared" si="1076"/>
        <v>0</v>
      </c>
      <c r="FD399" s="890">
        <f t="shared" si="1076"/>
        <v>0</v>
      </c>
      <c r="FE399" s="890">
        <f t="shared" si="1076"/>
        <v>0</v>
      </c>
      <c r="FF399" s="890">
        <f t="shared" si="1076"/>
        <v>0</v>
      </c>
      <c r="FG399" s="1073"/>
      <c r="FH399" s="1071"/>
      <c r="FI399" s="1072"/>
      <c r="FJ399" s="1072"/>
      <c r="FK399" s="890">
        <f t="shared" si="1077"/>
        <v>0</v>
      </c>
      <c r="FL399" s="890">
        <f t="shared" si="1077"/>
        <v>0</v>
      </c>
      <c r="FM399" s="890">
        <f t="shared" si="1077"/>
        <v>0</v>
      </c>
      <c r="FN399" s="890">
        <f t="shared" si="1077"/>
        <v>0</v>
      </c>
      <c r="FO399" s="1073"/>
    </row>
    <row r="400" spans="2:171">
      <c r="B400" s="108"/>
      <c r="C400" s="108" t="s">
        <v>115</v>
      </c>
      <c r="D400" s="1071"/>
      <c r="E400" s="904" t="s">
        <v>397</v>
      </c>
      <c r="G400" s="890">
        <f t="shared" si="1057"/>
        <v>791656686</v>
      </c>
      <c r="H400" s="890">
        <f t="shared" si="1057"/>
        <v>791656686</v>
      </c>
      <c r="I400" s="890">
        <f t="shared" si="1057"/>
        <v>0</v>
      </c>
      <c r="J400" s="890">
        <f t="shared" si="1057"/>
        <v>0</v>
      </c>
      <c r="K400" s="1073"/>
      <c r="L400" s="1071"/>
      <c r="M400" s="1072"/>
      <c r="N400" s="1072"/>
      <c r="O400" s="890">
        <f t="shared" si="1058"/>
        <v>791656686</v>
      </c>
      <c r="P400" s="890">
        <f t="shared" si="1058"/>
        <v>791656686</v>
      </c>
      <c r="Q400" s="890">
        <f t="shared" si="1058"/>
        <v>0</v>
      </c>
      <c r="R400" s="890">
        <f t="shared" si="1058"/>
        <v>0</v>
      </c>
      <c r="S400" s="1073"/>
      <c r="T400" s="1071"/>
      <c r="U400" s="1072"/>
      <c r="V400" s="1072"/>
      <c r="W400" s="890">
        <f t="shared" si="1059"/>
        <v>791656686</v>
      </c>
      <c r="X400" s="890">
        <f t="shared" si="1059"/>
        <v>791656686</v>
      </c>
      <c r="Y400" s="890">
        <f t="shared" si="1059"/>
        <v>0</v>
      </c>
      <c r="Z400" s="890">
        <f t="shared" si="1059"/>
        <v>0</v>
      </c>
      <c r="AA400" s="1073"/>
      <c r="AB400" s="1071"/>
      <c r="AC400" s="1072"/>
      <c r="AD400" s="1072"/>
      <c r="AE400" s="890">
        <f t="shared" si="1060"/>
        <v>791656686</v>
      </c>
      <c r="AF400" s="890">
        <f t="shared" si="1060"/>
        <v>791656686</v>
      </c>
      <c r="AG400" s="890">
        <f t="shared" si="1060"/>
        <v>0</v>
      </c>
      <c r="AH400" s="890">
        <f t="shared" si="1060"/>
        <v>0</v>
      </c>
      <c r="AI400" s="1073"/>
      <c r="AJ400" s="1071"/>
      <c r="AK400" s="1072"/>
      <c r="AL400" s="1072"/>
      <c r="AM400" s="890">
        <f t="shared" si="1061"/>
        <v>791656686</v>
      </c>
      <c r="AN400" s="890">
        <f t="shared" si="1061"/>
        <v>791656686</v>
      </c>
      <c r="AO400" s="890">
        <f t="shared" si="1061"/>
        <v>0</v>
      </c>
      <c r="AP400" s="890">
        <f t="shared" si="1061"/>
        <v>0</v>
      </c>
      <c r="AQ400" s="1073"/>
      <c r="AR400" s="1071"/>
      <c r="AS400" s="1072"/>
      <c r="AT400" s="1072"/>
      <c r="AU400" s="890">
        <f t="shared" si="1062"/>
        <v>791656686</v>
      </c>
      <c r="AV400" s="890">
        <f t="shared" si="1062"/>
        <v>791656686</v>
      </c>
      <c r="AW400" s="890">
        <f t="shared" si="1062"/>
        <v>0</v>
      </c>
      <c r="AX400" s="890">
        <f t="shared" si="1062"/>
        <v>0</v>
      </c>
      <c r="AY400" s="1073"/>
      <c r="AZ400" s="1071"/>
      <c r="BA400" s="1072"/>
      <c r="BB400" s="1072"/>
      <c r="BC400" s="890">
        <f t="shared" si="1063"/>
        <v>791656686</v>
      </c>
      <c r="BD400" s="890">
        <f t="shared" si="1063"/>
        <v>791656686</v>
      </c>
      <c r="BE400" s="890">
        <f t="shared" si="1063"/>
        <v>0</v>
      </c>
      <c r="BF400" s="890">
        <f t="shared" si="1063"/>
        <v>0</v>
      </c>
      <c r="BG400" s="1073"/>
      <c r="BH400" s="1071"/>
      <c r="BI400" s="1072"/>
      <c r="BJ400" s="1072"/>
      <c r="BK400" s="890">
        <f t="shared" si="1064"/>
        <v>791656686</v>
      </c>
      <c r="BL400" s="890">
        <f t="shared" si="1064"/>
        <v>791656686</v>
      </c>
      <c r="BM400" s="890">
        <f t="shared" si="1064"/>
        <v>0</v>
      </c>
      <c r="BN400" s="890">
        <f t="shared" si="1064"/>
        <v>0</v>
      </c>
      <c r="BO400" s="1073"/>
      <c r="BP400" s="1071"/>
      <c r="BQ400" s="1072"/>
      <c r="BR400" s="1072"/>
      <c r="BS400" s="890">
        <f t="shared" si="1065"/>
        <v>791656686</v>
      </c>
      <c r="BT400" s="890">
        <f t="shared" si="1065"/>
        <v>791656686</v>
      </c>
      <c r="BU400" s="890">
        <f t="shared" si="1065"/>
        <v>0</v>
      </c>
      <c r="BV400" s="890">
        <f t="shared" si="1065"/>
        <v>0</v>
      </c>
      <c r="BW400" s="1073"/>
      <c r="BX400" s="1071"/>
      <c r="BY400" s="1072"/>
      <c r="BZ400" s="1072"/>
      <c r="CA400" s="890">
        <f t="shared" si="1066"/>
        <v>791656686</v>
      </c>
      <c r="CB400" s="890">
        <f t="shared" si="1066"/>
        <v>791656686</v>
      </c>
      <c r="CC400" s="890">
        <f t="shared" si="1066"/>
        <v>0</v>
      </c>
      <c r="CD400" s="890">
        <f t="shared" si="1066"/>
        <v>0</v>
      </c>
      <c r="CE400" s="1073"/>
      <c r="CF400" s="1071"/>
      <c r="CG400" s="1072"/>
      <c r="CH400" s="1072"/>
      <c r="CI400" s="890">
        <f t="shared" si="1067"/>
        <v>791656686</v>
      </c>
      <c r="CJ400" s="890">
        <f t="shared" si="1067"/>
        <v>791656686</v>
      </c>
      <c r="CK400" s="890">
        <f t="shared" si="1067"/>
        <v>0</v>
      </c>
      <c r="CL400" s="890">
        <f t="shared" si="1067"/>
        <v>0</v>
      </c>
      <c r="CM400" s="1073"/>
      <c r="CN400" s="1071"/>
      <c r="CO400" s="1072"/>
      <c r="CP400" s="1072"/>
      <c r="CQ400" s="890">
        <f t="shared" si="1068"/>
        <v>791656686</v>
      </c>
      <c r="CR400" s="890">
        <f t="shared" si="1068"/>
        <v>791656686</v>
      </c>
      <c r="CS400" s="890">
        <f t="shared" si="1068"/>
        <v>0</v>
      </c>
      <c r="CT400" s="890">
        <f t="shared" si="1068"/>
        <v>0</v>
      </c>
      <c r="CU400" s="1073"/>
      <c r="CV400" s="1071"/>
      <c r="CW400" s="1072"/>
      <c r="CX400" s="1072"/>
      <c r="CY400" s="890">
        <f t="shared" si="1069"/>
        <v>791656686</v>
      </c>
      <c r="CZ400" s="890">
        <f t="shared" si="1069"/>
        <v>791656686</v>
      </c>
      <c r="DA400" s="890">
        <f t="shared" si="1069"/>
        <v>0</v>
      </c>
      <c r="DB400" s="890">
        <f t="shared" si="1069"/>
        <v>0</v>
      </c>
      <c r="DC400" s="1073"/>
      <c r="DD400" s="1071"/>
      <c r="DE400" s="1072"/>
      <c r="DF400" s="1072"/>
      <c r="DG400" s="890">
        <f t="shared" si="1070"/>
        <v>791656686</v>
      </c>
      <c r="DH400" s="890">
        <f t="shared" si="1070"/>
        <v>791656686</v>
      </c>
      <c r="DI400" s="890">
        <f t="shared" si="1070"/>
        <v>0</v>
      </c>
      <c r="DJ400" s="890">
        <f t="shared" si="1070"/>
        <v>0</v>
      </c>
      <c r="DK400" s="1073"/>
      <c r="DL400" s="1071"/>
      <c r="DM400" s="1072"/>
      <c r="DN400" s="1072"/>
      <c r="DO400" s="890">
        <f t="shared" si="1071"/>
        <v>791656686</v>
      </c>
      <c r="DP400" s="890">
        <f t="shared" si="1071"/>
        <v>791656686</v>
      </c>
      <c r="DQ400" s="890">
        <f t="shared" si="1071"/>
        <v>0</v>
      </c>
      <c r="DR400" s="890">
        <f t="shared" si="1071"/>
        <v>0</v>
      </c>
      <c r="DS400" s="1073"/>
      <c r="DT400" s="1071"/>
      <c r="DU400" s="1072"/>
      <c r="DV400" s="1072"/>
      <c r="DW400" s="890">
        <f t="shared" si="1072"/>
        <v>791656686</v>
      </c>
      <c r="DX400" s="890">
        <f t="shared" si="1072"/>
        <v>791656686</v>
      </c>
      <c r="DY400" s="890">
        <f t="shared" si="1072"/>
        <v>0</v>
      </c>
      <c r="DZ400" s="890">
        <f t="shared" si="1072"/>
        <v>0</v>
      </c>
      <c r="EA400" s="1073"/>
      <c r="EB400" s="1071"/>
      <c r="EC400" s="1072"/>
      <c r="ED400" s="1072"/>
      <c r="EE400" s="890">
        <f t="shared" si="1073"/>
        <v>791656686</v>
      </c>
      <c r="EF400" s="890">
        <f t="shared" si="1073"/>
        <v>791656686</v>
      </c>
      <c r="EG400" s="890">
        <f t="shared" si="1073"/>
        <v>0</v>
      </c>
      <c r="EH400" s="890">
        <f t="shared" si="1073"/>
        <v>0</v>
      </c>
      <c r="EI400" s="1073"/>
      <c r="EJ400" s="1071"/>
      <c r="EK400" s="1072"/>
      <c r="EL400" s="1072"/>
      <c r="EM400" s="890">
        <f t="shared" si="1074"/>
        <v>791656686</v>
      </c>
      <c r="EN400" s="890">
        <f t="shared" si="1074"/>
        <v>791656686</v>
      </c>
      <c r="EO400" s="890">
        <f t="shared" si="1074"/>
        <v>0</v>
      </c>
      <c r="EP400" s="890">
        <f t="shared" si="1074"/>
        <v>0</v>
      </c>
      <c r="EQ400" s="1073"/>
      <c r="ER400" s="1071"/>
      <c r="ES400" s="1072"/>
      <c r="ET400" s="1072"/>
      <c r="EU400" s="890">
        <f t="shared" si="1075"/>
        <v>791656686</v>
      </c>
      <c r="EV400" s="890">
        <f t="shared" si="1075"/>
        <v>791656686</v>
      </c>
      <c r="EW400" s="890">
        <f t="shared" si="1075"/>
        <v>0</v>
      </c>
      <c r="EX400" s="890">
        <f t="shared" si="1075"/>
        <v>0</v>
      </c>
      <c r="EY400" s="1073"/>
      <c r="EZ400" s="1071"/>
      <c r="FA400" s="1072"/>
      <c r="FB400" s="1072"/>
      <c r="FC400" s="890">
        <f t="shared" si="1076"/>
        <v>791656686</v>
      </c>
      <c r="FD400" s="890">
        <f t="shared" si="1076"/>
        <v>791656686</v>
      </c>
      <c r="FE400" s="890">
        <f t="shared" si="1076"/>
        <v>0</v>
      </c>
      <c r="FF400" s="890">
        <f t="shared" si="1076"/>
        <v>0</v>
      </c>
      <c r="FG400" s="1073"/>
      <c r="FH400" s="1071"/>
      <c r="FI400" s="1072"/>
      <c r="FJ400" s="1072"/>
      <c r="FK400" s="890">
        <f t="shared" si="1077"/>
        <v>791656686</v>
      </c>
      <c r="FL400" s="890">
        <f t="shared" si="1077"/>
        <v>791656686</v>
      </c>
      <c r="FM400" s="890">
        <f t="shared" si="1077"/>
        <v>0</v>
      </c>
      <c r="FN400" s="890">
        <f t="shared" si="1077"/>
        <v>0</v>
      </c>
      <c r="FO400" s="1073"/>
    </row>
    <row r="401" spans="2:171">
      <c r="B401" s="108"/>
      <c r="C401" s="108" t="s">
        <v>117</v>
      </c>
      <c r="D401" s="1071"/>
      <c r="E401" s="904" t="s">
        <v>397</v>
      </c>
      <c r="G401" s="890">
        <f t="shared" si="1057"/>
        <v>327526210</v>
      </c>
      <c r="H401" s="890">
        <f t="shared" si="1057"/>
        <v>327526210</v>
      </c>
      <c r="I401" s="890">
        <f t="shared" si="1057"/>
        <v>0</v>
      </c>
      <c r="J401" s="890">
        <f t="shared" si="1057"/>
        <v>0</v>
      </c>
      <c r="K401" s="1073"/>
      <c r="L401" s="1071"/>
      <c r="M401" s="1072"/>
      <c r="N401" s="1072"/>
      <c r="O401" s="890">
        <f t="shared" si="1058"/>
        <v>327526210</v>
      </c>
      <c r="P401" s="890">
        <f t="shared" si="1058"/>
        <v>327526210</v>
      </c>
      <c r="Q401" s="890">
        <f t="shared" si="1058"/>
        <v>0</v>
      </c>
      <c r="R401" s="890">
        <f t="shared" si="1058"/>
        <v>0</v>
      </c>
      <c r="S401" s="1073"/>
      <c r="T401" s="1071"/>
      <c r="U401" s="1072"/>
      <c r="V401" s="1072"/>
      <c r="W401" s="890">
        <f t="shared" si="1059"/>
        <v>327526210</v>
      </c>
      <c r="X401" s="890">
        <f t="shared" si="1059"/>
        <v>327526210</v>
      </c>
      <c r="Y401" s="890">
        <f t="shared" si="1059"/>
        <v>0</v>
      </c>
      <c r="Z401" s="890">
        <f t="shared" si="1059"/>
        <v>0</v>
      </c>
      <c r="AA401" s="1073"/>
      <c r="AB401" s="1071"/>
      <c r="AC401" s="1072"/>
      <c r="AD401" s="1072"/>
      <c r="AE401" s="890">
        <f t="shared" si="1060"/>
        <v>327526210</v>
      </c>
      <c r="AF401" s="890">
        <f t="shared" si="1060"/>
        <v>327526210</v>
      </c>
      <c r="AG401" s="890">
        <f t="shared" si="1060"/>
        <v>0</v>
      </c>
      <c r="AH401" s="890">
        <f t="shared" si="1060"/>
        <v>0</v>
      </c>
      <c r="AI401" s="1073"/>
      <c r="AJ401" s="1071"/>
      <c r="AK401" s="1072"/>
      <c r="AL401" s="1072"/>
      <c r="AM401" s="890">
        <f t="shared" si="1061"/>
        <v>327526210</v>
      </c>
      <c r="AN401" s="890">
        <f t="shared" si="1061"/>
        <v>327526210</v>
      </c>
      <c r="AO401" s="890">
        <f t="shared" si="1061"/>
        <v>0</v>
      </c>
      <c r="AP401" s="890">
        <f t="shared" si="1061"/>
        <v>0</v>
      </c>
      <c r="AQ401" s="1073"/>
      <c r="AR401" s="1071"/>
      <c r="AS401" s="1072"/>
      <c r="AT401" s="1072"/>
      <c r="AU401" s="890">
        <f t="shared" si="1062"/>
        <v>327526210</v>
      </c>
      <c r="AV401" s="890">
        <f t="shared" si="1062"/>
        <v>327526210</v>
      </c>
      <c r="AW401" s="890">
        <f t="shared" si="1062"/>
        <v>0</v>
      </c>
      <c r="AX401" s="890">
        <f t="shared" si="1062"/>
        <v>0</v>
      </c>
      <c r="AY401" s="1073"/>
      <c r="AZ401" s="1071"/>
      <c r="BA401" s="1072"/>
      <c r="BB401" s="1072"/>
      <c r="BC401" s="890">
        <f t="shared" si="1063"/>
        <v>327526210</v>
      </c>
      <c r="BD401" s="890">
        <f t="shared" si="1063"/>
        <v>327526210</v>
      </c>
      <c r="BE401" s="890">
        <f t="shared" si="1063"/>
        <v>0</v>
      </c>
      <c r="BF401" s="890">
        <f t="shared" si="1063"/>
        <v>0</v>
      </c>
      <c r="BG401" s="1073"/>
      <c r="BH401" s="1071"/>
      <c r="BI401" s="1072"/>
      <c r="BJ401" s="1072"/>
      <c r="BK401" s="890">
        <f t="shared" si="1064"/>
        <v>327526210</v>
      </c>
      <c r="BL401" s="890">
        <f t="shared" si="1064"/>
        <v>327526210</v>
      </c>
      <c r="BM401" s="890">
        <f t="shared" si="1064"/>
        <v>0</v>
      </c>
      <c r="BN401" s="890">
        <f t="shared" si="1064"/>
        <v>0</v>
      </c>
      <c r="BO401" s="1073"/>
      <c r="BP401" s="1071"/>
      <c r="BQ401" s="1072"/>
      <c r="BR401" s="1072"/>
      <c r="BS401" s="890">
        <f t="shared" si="1065"/>
        <v>327526210</v>
      </c>
      <c r="BT401" s="890">
        <f t="shared" si="1065"/>
        <v>327526210</v>
      </c>
      <c r="BU401" s="890">
        <f t="shared" si="1065"/>
        <v>0</v>
      </c>
      <c r="BV401" s="890">
        <f t="shared" si="1065"/>
        <v>0</v>
      </c>
      <c r="BW401" s="1073"/>
      <c r="BX401" s="1071"/>
      <c r="BY401" s="1072"/>
      <c r="BZ401" s="1072"/>
      <c r="CA401" s="890">
        <f t="shared" si="1066"/>
        <v>327526210</v>
      </c>
      <c r="CB401" s="890">
        <f t="shared" si="1066"/>
        <v>327526210</v>
      </c>
      <c r="CC401" s="890">
        <f t="shared" si="1066"/>
        <v>0</v>
      </c>
      <c r="CD401" s="890">
        <f t="shared" si="1066"/>
        <v>0</v>
      </c>
      <c r="CE401" s="1073"/>
      <c r="CF401" s="1071"/>
      <c r="CG401" s="1072"/>
      <c r="CH401" s="1072"/>
      <c r="CI401" s="890">
        <f t="shared" si="1067"/>
        <v>327526210</v>
      </c>
      <c r="CJ401" s="890">
        <f t="shared" si="1067"/>
        <v>327526210</v>
      </c>
      <c r="CK401" s="890">
        <f t="shared" si="1067"/>
        <v>0</v>
      </c>
      <c r="CL401" s="890">
        <f t="shared" si="1067"/>
        <v>0</v>
      </c>
      <c r="CM401" s="1073"/>
      <c r="CN401" s="1071"/>
      <c r="CO401" s="1072"/>
      <c r="CP401" s="1072"/>
      <c r="CQ401" s="890">
        <f t="shared" si="1068"/>
        <v>327526210</v>
      </c>
      <c r="CR401" s="890">
        <f t="shared" si="1068"/>
        <v>327526210</v>
      </c>
      <c r="CS401" s="890">
        <f t="shared" si="1068"/>
        <v>0</v>
      </c>
      <c r="CT401" s="890">
        <f t="shared" si="1068"/>
        <v>0</v>
      </c>
      <c r="CU401" s="1073"/>
      <c r="CV401" s="1071"/>
      <c r="CW401" s="1072"/>
      <c r="CX401" s="1072"/>
      <c r="CY401" s="890">
        <f t="shared" si="1069"/>
        <v>327526210</v>
      </c>
      <c r="CZ401" s="890">
        <f t="shared" si="1069"/>
        <v>327526210</v>
      </c>
      <c r="DA401" s="890">
        <f t="shared" si="1069"/>
        <v>0</v>
      </c>
      <c r="DB401" s="890">
        <f t="shared" si="1069"/>
        <v>0</v>
      </c>
      <c r="DC401" s="1073"/>
      <c r="DD401" s="1071"/>
      <c r="DE401" s="1072"/>
      <c r="DF401" s="1072"/>
      <c r="DG401" s="890">
        <f t="shared" si="1070"/>
        <v>327526210</v>
      </c>
      <c r="DH401" s="890">
        <f t="shared" si="1070"/>
        <v>327526210</v>
      </c>
      <c r="DI401" s="890">
        <f t="shared" si="1070"/>
        <v>0</v>
      </c>
      <c r="DJ401" s="890">
        <f t="shared" si="1070"/>
        <v>0</v>
      </c>
      <c r="DK401" s="1073"/>
      <c r="DL401" s="1071"/>
      <c r="DM401" s="1072"/>
      <c r="DN401" s="1072"/>
      <c r="DO401" s="890">
        <f t="shared" si="1071"/>
        <v>327526210</v>
      </c>
      <c r="DP401" s="890">
        <f t="shared" si="1071"/>
        <v>327526210</v>
      </c>
      <c r="DQ401" s="890">
        <f t="shared" si="1071"/>
        <v>0</v>
      </c>
      <c r="DR401" s="890">
        <f t="shared" si="1071"/>
        <v>0</v>
      </c>
      <c r="DS401" s="1073"/>
      <c r="DT401" s="1071"/>
      <c r="DU401" s="1072"/>
      <c r="DV401" s="1072"/>
      <c r="DW401" s="890">
        <f t="shared" si="1072"/>
        <v>327526210</v>
      </c>
      <c r="DX401" s="890">
        <f t="shared" si="1072"/>
        <v>327526210</v>
      </c>
      <c r="DY401" s="890">
        <f t="shared" si="1072"/>
        <v>0</v>
      </c>
      <c r="DZ401" s="890">
        <f t="shared" si="1072"/>
        <v>0</v>
      </c>
      <c r="EA401" s="1073"/>
      <c r="EB401" s="1071"/>
      <c r="EC401" s="1072"/>
      <c r="ED401" s="1072"/>
      <c r="EE401" s="890">
        <f t="shared" si="1073"/>
        <v>327526210</v>
      </c>
      <c r="EF401" s="890">
        <f t="shared" si="1073"/>
        <v>327526210</v>
      </c>
      <c r="EG401" s="890">
        <f t="shared" si="1073"/>
        <v>0</v>
      </c>
      <c r="EH401" s="890">
        <f t="shared" si="1073"/>
        <v>0</v>
      </c>
      <c r="EI401" s="1073"/>
      <c r="EJ401" s="1071"/>
      <c r="EK401" s="1072"/>
      <c r="EL401" s="1072"/>
      <c r="EM401" s="890">
        <f t="shared" si="1074"/>
        <v>327526210</v>
      </c>
      <c r="EN401" s="890">
        <f t="shared" si="1074"/>
        <v>327526210</v>
      </c>
      <c r="EO401" s="890">
        <f t="shared" si="1074"/>
        <v>0</v>
      </c>
      <c r="EP401" s="890">
        <f t="shared" si="1074"/>
        <v>0</v>
      </c>
      <c r="EQ401" s="1073"/>
      <c r="ER401" s="1071"/>
      <c r="ES401" s="1072"/>
      <c r="ET401" s="1072"/>
      <c r="EU401" s="890">
        <f t="shared" si="1075"/>
        <v>327526210</v>
      </c>
      <c r="EV401" s="890">
        <f t="shared" si="1075"/>
        <v>327526210</v>
      </c>
      <c r="EW401" s="890">
        <f t="shared" si="1075"/>
        <v>0</v>
      </c>
      <c r="EX401" s="890">
        <f t="shared" si="1075"/>
        <v>0</v>
      </c>
      <c r="EY401" s="1073"/>
      <c r="EZ401" s="1071"/>
      <c r="FA401" s="1072"/>
      <c r="FB401" s="1072"/>
      <c r="FC401" s="890">
        <f t="shared" si="1076"/>
        <v>327526210</v>
      </c>
      <c r="FD401" s="890">
        <f t="shared" si="1076"/>
        <v>327526210</v>
      </c>
      <c r="FE401" s="890">
        <f t="shared" si="1076"/>
        <v>0</v>
      </c>
      <c r="FF401" s="890">
        <f t="shared" si="1076"/>
        <v>0</v>
      </c>
      <c r="FG401" s="1073"/>
      <c r="FH401" s="1071"/>
      <c r="FI401" s="1072"/>
      <c r="FJ401" s="1072"/>
      <c r="FK401" s="890">
        <f t="shared" si="1077"/>
        <v>327526210</v>
      </c>
      <c r="FL401" s="890">
        <f t="shared" si="1077"/>
        <v>327526210</v>
      </c>
      <c r="FM401" s="890">
        <f t="shared" si="1077"/>
        <v>0</v>
      </c>
      <c r="FN401" s="890">
        <f t="shared" si="1077"/>
        <v>0</v>
      </c>
      <c r="FO401" s="1073"/>
    </row>
    <row r="402" spans="2:171">
      <c r="B402" s="108"/>
      <c r="C402" s="108" t="s">
        <v>119</v>
      </c>
      <c r="D402" s="1071"/>
      <c r="E402" s="904"/>
      <c r="G402" s="890">
        <f>SUM(G398:G401)</f>
        <v>1613875938</v>
      </c>
      <c r="H402" s="890">
        <f>SUM(H398:H401)</f>
        <v>1613875938</v>
      </c>
      <c r="I402" s="890">
        <f>SUM(I398:I401)</f>
        <v>0</v>
      </c>
      <c r="J402" s="890">
        <f>SUM(J398:J401)</f>
        <v>0</v>
      </c>
      <c r="K402" s="1073"/>
      <c r="L402" s="1071"/>
      <c r="M402" s="1072"/>
      <c r="N402" s="1072"/>
      <c r="O402" s="890">
        <f>SUM(O398:O401)</f>
        <v>1613875938</v>
      </c>
      <c r="P402" s="890">
        <f>SUM(P398:P401)</f>
        <v>1613875938</v>
      </c>
      <c r="Q402" s="890">
        <f>SUM(Q398:Q401)</f>
        <v>0</v>
      </c>
      <c r="R402" s="890">
        <f>SUM(R398:R401)</f>
        <v>0</v>
      </c>
      <c r="S402" s="1073"/>
      <c r="T402" s="1071"/>
      <c r="U402" s="1072"/>
      <c r="V402" s="1072"/>
      <c r="W402" s="890">
        <f>SUM(W398:W401)</f>
        <v>1613875938</v>
      </c>
      <c r="X402" s="890">
        <f>SUM(X398:X401)</f>
        <v>1613875938</v>
      </c>
      <c r="Y402" s="890">
        <f>SUM(Y398:Y401)</f>
        <v>0</v>
      </c>
      <c r="Z402" s="890">
        <f>SUM(Z398:Z401)</f>
        <v>0</v>
      </c>
      <c r="AA402" s="1073"/>
      <c r="AB402" s="1071"/>
      <c r="AC402" s="1072"/>
      <c r="AD402" s="1072"/>
      <c r="AE402" s="890">
        <f>SUM(AE398:AE401)</f>
        <v>1613875938</v>
      </c>
      <c r="AF402" s="890">
        <f>SUM(AF398:AF401)</f>
        <v>1613875938</v>
      </c>
      <c r="AG402" s="890">
        <f>SUM(AG398:AG401)</f>
        <v>0</v>
      </c>
      <c r="AH402" s="890">
        <f>SUM(AH398:AH401)</f>
        <v>0</v>
      </c>
      <c r="AI402" s="1073"/>
      <c r="AJ402" s="1071"/>
      <c r="AK402" s="1072"/>
      <c r="AL402" s="1072"/>
      <c r="AM402" s="890">
        <f>SUM(AM398:AM401)</f>
        <v>1613875938</v>
      </c>
      <c r="AN402" s="890">
        <f>SUM(AN398:AN401)</f>
        <v>1613875938</v>
      </c>
      <c r="AO402" s="890">
        <f>SUM(AO398:AO401)</f>
        <v>0</v>
      </c>
      <c r="AP402" s="890">
        <f>SUM(AP398:AP401)</f>
        <v>0</v>
      </c>
      <c r="AQ402" s="1073"/>
      <c r="AR402" s="1071"/>
      <c r="AS402" s="1072"/>
      <c r="AT402" s="1072"/>
      <c r="AU402" s="890">
        <f>SUM(AU398:AU401)</f>
        <v>1613875938</v>
      </c>
      <c r="AV402" s="890">
        <f>SUM(AV398:AV401)</f>
        <v>1613875938</v>
      </c>
      <c r="AW402" s="890">
        <f>SUM(AW398:AW401)</f>
        <v>0</v>
      </c>
      <c r="AX402" s="890">
        <f>SUM(AX398:AX401)</f>
        <v>0</v>
      </c>
      <c r="AY402" s="1073"/>
      <c r="AZ402" s="1071"/>
      <c r="BA402" s="1072"/>
      <c r="BB402" s="1072"/>
      <c r="BC402" s="890">
        <f>SUM(BC398:BC401)</f>
        <v>1613875938</v>
      </c>
      <c r="BD402" s="890">
        <f>SUM(BD398:BD401)</f>
        <v>1613875938</v>
      </c>
      <c r="BE402" s="890">
        <f>SUM(BE398:BE401)</f>
        <v>0</v>
      </c>
      <c r="BF402" s="890">
        <f>SUM(BF398:BF401)</f>
        <v>0</v>
      </c>
      <c r="BG402" s="1073"/>
      <c r="BH402" s="1071"/>
      <c r="BI402" s="1072"/>
      <c r="BJ402" s="1072"/>
      <c r="BK402" s="890">
        <f>SUM(BK398:BK401)</f>
        <v>1613875938</v>
      </c>
      <c r="BL402" s="890">
        <f>SUM(BL398:BL401)</f>
        <v>1613875938</v>
      </c>
      <c r="BM402" s="890">
        <f>SUM(BM398:BM401)</f>
        <v>0</v>
      </c>
      <c r="BN402" s="890">
        <f>SUM(BN398:BN401)</f>
        <v>0</v>
      </c>
      <c r="BO402" s="1073"/>
      <c r="BP402" s="1071"/>
      <c r="BQ402" s="1072"/>
      <c r="BR402" s="1072"/>
      <c r="BS402" s="890">
        <f>SUM(BS398:BS401)</f>
        <v>1613875938</v>
      </c>
      <c r="BT402" s="890">
        <f>SUM(BT398:BT401)</f>
        <v>1613875938</v>
      </c>
      <c r="BU402" s="890">
        <f>SUM(BU398:BU401)</f>
        <v>0</v>
      </c>
      <c r="BV402" s="890">
        <f>SUM(BV398:BV401)</f>
        <v>0</v>
      </c>
      <c r="BW402" s="1073"/>
      <c r="BX402" s="1071"/>
      <c r="BY402" s="1072"/>
      <c r="BZ402" s="1072"/>
      <c r="CA402" s="890">
        <f>SUM(CA398:CA401)</f>
        <v>1613875938</v>
      </c>
      <c r="CB402" s="890">
        <f>SUM(CB398:CB401)</f>
        <v>1613875938</v>
      </c>
      <c r="CC402" s="890">
        <f>SUM(CC398:CC401)</f>
        <v>0</v>
      </c>
      <c r="CD402" s="890">
        <f>SUM(CD398:CD401)</f>
        <v>0</v>
      </c>
      <c r="CE402" s="1073"/>
      <c r="CF402" s="1071"/>
      <c r="CG402" s="1072"/>
      <c r="CH402" s="1072"/>
      <c r="CI402" s="890">
        <f>SUM(CI398:CI401)</f>
        <v>1613875938</v>
      </c>
      <c r="CJ402" s="890">
        <f>SUM(CJ398:CJ401)</f>
        <v>1613875938</v>
      </c>
      <c r="CK402" s="890">
        <f>SUM(CK398:CK401)</f>
        <v>0</v>
      </c>
      <c r="CL402" s="890">
        <f>SUM(CL398:CL401)</f>
        <v>0</v>
      </c>
      <c r="CM402" s="1073"/>
      <c r="CN402" s="1071"/>
      <c r="CO402" s="1072"/>
      <c r="CP402" s="1072"/>
      <c r="CQ402" s="890">
        <f>SUM(CQ398:CQ401)</f>
        <v>1613875938</v>
      </c>
      <c r="CR402" s="890">
        <f>SUM(CR398:CR401)</f>
        <v>1613875938</v>
      </c>
      <c r="CS402" s="890">
        <f>SUM(CS398:CS401)</f>
        <v>0</v>
      </c>
      <c r="CT402" s="890">
        <f>SUM(CT398:CT401)</f>
        <v>0</v>
      </c>
      <c r="CU402" s="1073"/>
      <c r="CV402" s="1071"/>
      <c r="CW402" s="1072"/>
      <c r="CX402" s="1072"/>
      <c r="CY402" s="890">
        <f>SUM(CY398:CY401)</f>
        <v>1613875938</v>
      </c>
      <c r="CZ402" s="890">
        <f>SUM(CZ398:CZ401)</f>
        <v>1613875938</v>
      </c>
      <c r="DA402" s="890">
        <f>SUM(DA398:DA401)</f>
        <v>0</v>
      </c>
      <c r="DB402" s="890">
        <f>SUM(DB398:DB401)</f>
        <v>0</v>
      </c>
      <c r="DC402" s="1073"/>
      <c r="DD402" s="1071"/>
      <c r="DE402" s="1072"/>
      <c r="DF402" s="1072"/>
      <c r="DG402" s="890">
        <f>SUM(DG398:DG401)</f>
        <v>1613875938</v>
      </c>
      <c r="DH402" s="890">
        <f>SUM(DH398:DH401)</f>
        <v>1613875938</v>
      </c>
      <c r="DI402" s="890">
        <f>SUM(DI398:DI401)</f>
        <v>0</v>
      </c>
      <c r="DJ402" s="890">
        <f>SUM(DJ398:DJ401)</f>
        <v>0</v>
      </c>
      <c r="DK402" s="1073"/>
      <c r="DL402" s="1071"/>
      <c r="DM402" s="1072"/>
      <c r="DN402" s="1072"/>
      <c r="DO402" s="890">
        <f>SUM(DO398:DO401)</f>
        <v>1613875938</v>
      </c>
      <c r="DP402" s="890">
        <f>SUM(DP398:DP401)</f>
        <v>1613875938</v>
      </c>
      <c r="DQ402" s="890">
        <f>SUM(DQ398:DQ401)</f>
        <v>0</v>
      </c>
      <c r="DR402" s="890">
        <f>SUM(DR398:DR401)</f>
        <v>0</v>
      </c>
      <c r="DS402" s="1073"/>
      <c r="DT402" s="1071"/>
      <c r="DU402" s="1072"/>
      <c r="DV402" s="1072"/>
      <c r="DW402" s="890">
        <f>SUM(DW398:DW401)</f>
        <v>1613875938</v>
      </c>
      <c r="DX402" s="890">
        <f>SUM(DX398:DX401)</f>
        <v>1613875938</v>
      </c>
      <c r="DY402" s="890">
        <f>SUM(DY398:DY401)</f>
        <v>0</v>
      </c>
      <c r="DZ402" s="890">
        <f>SUM(DZ398:DZ401)</f>
        <v>0</v>
      </c>
      <c r="EA402" s="1073"/>
      <c r="EB402" s="1071"/>
      <c r="EC402" s="1072"/>
      <c r="ED402" s="1072"/>
      <c r="EE402" s="890">
        <f>SUM(EE398:EE401)</f>
        <v>1613875938</v>
      </c>
      <c r="EF402" s="890">
        <f>SUM(EF398:EF401)</f>
        <v>1613875938</v>
      </c>
      <c r="EG402" s="890">
        <f>SUM(EG398:EG401)</f>
        <v>0</v>
      </c>
      <c r="EH402" s="890">
        <f>SUM(EH398:EH401)</f>
        <v>0</v>
      </c>
      <c r="EI402" s="1073"/>
      <c r="EJ402" s="1071"/>
      <c r="EK402" s="1072"/>
      <c r="EL402" s="1072"/>
      <c r="EM402" s="890">
        <f>SUM(EM398:EM401)</f>
        <v>1613875938</v>
      </c>
      <c r="EN402" s="890">
        <f>SUM(EN398:EN401)</f>
        <v>1613875938</v>
      </c>
      <c r="EO402" s="890">
        <f>SUM(EO398:EO401)</f>
        <v>0</v>
      </c>
      <c r="EP402" s="890">
        <f>SUM(EP398:EP401)</f>
        <v>0</v>
      </c>
      <c r="EQ402" s="1073"/>
      <c r="ER402" s="1071"/>
      <c r="ES402" s="1072"/>
      <c r="ET402" s="1072"/>
      <c r="EU402" s="890">
        <f>SUM(EU398:EU401)</f>
        <v>1613875938</v>
      </c>
      <c r="EV402" s="890">
        <f>SUM(EV398:EV401)</f>
        <v>1613875938</v>
      </c>
      <c r="EW402" s="890">
        <f>SUM(EW398:EW401)</f>
        <v>0</v>
      </c>
      <c r="EX402" s="890">
        <f>SUM(EX398:EX401)</f>
        <v>0</v>
      </c>
      <c r="EY402" s="1073"/>
      <c r="EZ402" s="1071"/>
      <c r="FA402" s="1072"/>
      <c r="FB402" s="1072"/>
      <c r="FC402" s="890">
        <f>SUM(FC398:FC401)</f>
        <v>1613875938</v>
      </c>
      <c r="FD402" s="890">
        <f>SUM(FD398:FD401)</f>
        <v>1613875938</v>
      </c>
      <c r="FE402" s="890">
        <f>SUM(FE398:FE401)</f>
        <v>0</v>
      </c>
      <c r="FF402" s="890">
        <f>SUM(FF398:FF401)</f>
        <v>0</v>
      </c>
      <c r="FG402" s="1073"/>
      <c r="FH402" s="1071"/>
      <c r="FI402" s="1072"/>
      <c r="FJ402" s="1072"/>
      <c r="FK402" s="890">
        <f>SUM(FK398:FK401)</f>
        <v>1613875938</v>
      </c>
      <c r="FL402" s="890">
        <f>SUM(FL398:FL401)</f>
        <v>1613875938</v>
      </c>
      <c r="FM402" s="890">
        <f>SUM(FM398:FM401)</f>
        <v>0</v>
      </c>
      <c r="FN402" s="890">
        <f>SUM(FN398:FN401)</f>
        <v>0</v>
      </c>
      <c r="FO402" s="1073"/>
    </row>
    <row r="403" spans="2:171">
      <c r="B403" s="108"/>
      <c r="C403" s="108" t="s">
        <v>530</v>
      </c>
      <c r="D403" s="1071"/>
      <c r="E403" s="904" t="s">
        <v>396</v>
      </c>
      <c r="G403" s="890">
        <f>G30</f>
        <v>1057719030</v>
      </c>
      <c r="H403" s="890">
        <f>H30</f>
        <v>0</v>
      </c>
      <c r="I403" s="890">
        <f>I30</f>
        <v>0</v>
      </c>
      <c r="J403" s="890">
        <f>J30</f>
        <v>1057719030</v>
      </c>
      <c r="K403" s="1073"/>
      <c r="L403" s="1071"/>
      <c r="M403" s="1072"/>
      <c r="N403" s="1072"/>
      <c r="O403" s="890">
        <f>O30</f>
        <v>1057719030</v>
      </c>
      <c r="P403" s="890">
        <f>P30</f>
        <v>0</v>
      </c>
      <c r="Q403" s="890">
        <f>Q30</f>
        <v>1057719030</v>
      </c>
      <c r="R403" s="890">
        <f>R30</f>
        <v>0</v>
      </c>
      <c r="S403" s="1073"/>
      <c r="T403" s="1071"/>
      <c r="U403" s="1072"/>
      <c r="V403" s="1072"/>
      <c r="W403" s="890">
        <f>W30</f>
        <v>1057719030</v>
      </c>
      <c r="X403" s="890">
        <f>X30</f>
        <v>0</v>
      </c>
      <c r="Y403" s="890">
        <f>Y30</f>
        <v>1057719030</v>
      </c>
      <c r="Z403" s="890">
        <f>Z30</f>
        <v>0</v>
      </c>
      <c r="AA403" s="1073"/>
      <c r="AB403" s="1071"/>
      <c r="AC403" s="1072"/>
      <c r="AD403" s="1072"/>
      <c r="AE403" s="890">
        <f>AE30</f>
        <v>1057719030</v>
      </c>
      <c r="AF403" s="890">
        <f>AF30</f>
        <v>0</v>
      </c>
      <c r="AG403" s="890">
        <f>AG30</f>
        <v>1057719030</v>
      </c>
      <c r="AH403" s="890">
        <f>AH30</f>
        <v>0</v>
      </c>
      <c r="AI403" s="1073"/>
      <c r="AJ403" s="1071"/>
      <c r="AK403" s="1072"/>
      <c r="AL403" s="1072"/>
      <c r="AM403" s="890">
        <f>AM30</f>
        <v>1057719030</v>
      </c>
      <c r="AN403" s="890">
        <f>AN30</f>
        <v>0</v>
      </c>
      <c r="AO403" s="890">
        <f>AO30</f>
        <v>1057719030</v>
      </c>
      <c r="AP403" s="890">
        <f>AP30</f>
        <v>0</v>
      </c>
      <c r="AQ403" s="1073"/>
      <c r="AR403" s="1071"/>
      <c r="AS403" s="1072"/>
      <c r="AT403" s="1072"/>
      <c r="AU403" s="890">
        <f>AU30</f>
        <v>1057719030</v>
      </c>
      <c r="AV403" s="890">
        <f>AV30</f>
        <v>0</v>
      </c>
      <c r="AW403" s="890">
        <f>AW30</f>
        <v>1057719030</v>
      </c>
      <c r="AX403" s="890">
        <f>AX30</f>
        <v>0</v>
      </c>
      <c r="AY403" s="1073"/>
      <c r="AZ403" s="1071"/>
      <c r="BA403" s="1072"/>
      <c r="BB403" s="1072"/>
      <c r="BC403" s="890">
        <f>BC30</f>
        <v>1057719030</v>
      </c>
      <c r="BD403" s="890">
        <f>BD30</f>
        <v>0</v>
      </c>
      <c r="BE403" s="890">
        <f>BE30</f>
        <v>1057719030</v>
      </c>
      <c r="BF403" s="890">
        <f>BF30</f>
        <v>0</v>
      </c>
      <c r="BG403" s="1073"/>
      <c r="BH403" s="1071"/>
      <c r="BI403" s="1072"/>
      <c r="BJ403" s="1072"/>
      <c r="BK403" s="890">
        <f>BK30</f>
        <v>1057719030</v>
      </c>
      <c r="BL403" s="890">
        <f>BL30</f>
        <v>0</v>
      </c>
      <c r="BM403" s="890">
        <f>BM30</f>
        <v>1057719030</v>
      </c>
      <c r="BN403" s="890">
        <f>BN30</f>
        <v>0</v>
      </c>
      <c r="BO403" s="1073"/>
      <c r="BP403" s="1071"/>
      <c r="BQ403" s="1072"/>
      <c r="BR403" s="1072"/>
      <c r="BS403" s="890">
        <f>BS30</f>
        <v>1057719030</v>
      </c>
      <c r="BT403" s="890">
        <f>BT30</f>
        <v>0</v>
      </c>
      <c r="BU403" s="890">
        <f>BU30</f>
        <v>1057719030</v>
      </c>
      <c r="BV403" s="890">
        <f>BV30</f>
        <v>0</v>
      </c>
      <c r="BW403" s="1073"/>
      <c r="BX403" s="1071"/>
      <c r="BY403" s="1072"/>
      <c r="BZ403" s="1072"/>
      <c r="CA403" s="890">
        <f>CA30</f>
        <v>1057719030</v>
      </c>
      <c r="CB403" s="890">
        <f>CB30</f>
        <v>0</v>
      </c>
      <c r="CC403" s="890">
        <f>CC30</f>
        <v>1057719030</v>
      </c>
      <c r="CD403" s="890">
        <f>CD30</f>
        <v>0</v>
      </c>
      <c r="CE403" s="1073"/>
      <c r="CF403" s="1071"/>
      <c r="CG403" s="1072"/>
      <c r="CH403" s="1072"/>
      <c r="CI403" s="890">
        <f>CI30</f>
        <v>1057719030</v>
      </c>
      <c r="CJ403" s="890">
        <f>CJ30</f>
        <v>0</v>
      </c>
      <c r="CK403" s="890">
        <f>CK30</f>
        <v>1057719030</v>
      </c>
      <c r="CL403" s="890">
        <f>CL30</f>
        <v>0</v>
      </c>
      <c r="CM403" s="1073"/>
      <c r="CN403" s="1071"/>
      <c r="CO403" s="1072"/>
      <c r="CP403" s="1072"/>
      <c r="CQ403" s="890">
        <f>CQ30</f>
        <v>1057719030</v>
      </c>
      <c r="CR403" s="890">
        <f>CR30</f>
        <v>0</v>
      </c>
      <c r="CS403" s="890">
        <f>CS30</f>
        <v>1057719030</v>
      </c>
      <c r="CT403" s="890">
        <f>CT30</f>
        <v>0</v>
      </c>
      <c r="CU403" s="1073"/>
      <c r="CV403" s="1071"/>
      <c r="CW403" s="1072"/>
      <c r="CX403" s="1072"/>
      <c r="CY403" s="890">
        <f>CY30</f>
        <v>1057719030</v>
      </c>
      <c r="CZ403" s="890">
        <f>CZ30</f>
        <v>0</v>
      </c>
      <c r="DA403" s="890">
        <f>DA30</f>
        <v>1057719030</v>
      </c>
      <c r="DB403" s="890">
        <f>DB30</f>
        <v>0</v>
      </c>
      <c r="DC403" s="1073"/>
      <c r="DD403" s="1071"/>
      <c r="DE403" s="1072"/>
      <c r="DF403" s="1072"/>
      <c r="DG403" s="890">
        <f>DG30</f>
        <v>1057719030</v>
      </c>
      <c r="DH403" s="890">
        <f>DH30</f>
        <v>0</v>
      </c>
      <c r="DI403" s="890">
        <f>DI30</f>
        <v>1057719030</v>
      </c>
      <c r="DJ403" s="890">
        <f>DJ30</f>
        <v>0</v>
      </c>
      <c r="DK403" s="1073"/>
      <c r="DL403" s="1071"/>
      <c r="DM403" s="1072"/>
      <c r="DN403" s="1072"/>
      <c r="DO403" s="890">
        <f>DO30</f>
        <v>1057719030</v>
      </c>
      <c r="DP403" s="890">
        <f>DP30</f>
        <v>0</v>
      </c>
      <c r="DQ403" s="890">
        <f>DQ30</f>
        <v>1057719030</v>
      </c>
      <c r="DR403" s="890">
        <f>DR30</f>
        <v>0</v>
      </c>
      <c r="DS403" s="1073"/>
      <c r="DT403" s="1071"/>
      <c r="DU403" s="1072"/>
      <c r="DV403" s="1072"/>
      <c r="DW403" s="890">
        <f>DW30</f>
        <v>1057719030</v>
      </c>
      <c r="DX403" s="890">
        <f>DX30</f>
        <v>0</v>
      </c>
      <c r="DY403" s="890">
        <f>DY30</f>
        <v>1057719030</v>
      </c>
      <c r="DZ403" s="890">
        <f>DZ30</f>
        <v>0</v>
      </c>
      <c r="EA403" s="1073"/>
      <c r="EB403" s="1071"/>
      <c r="EC403" s="1072"/>
      <c r="ED403" s="1072"/>
      <c r="EE403" s="890">
        <f>EE30</f>
        <v>1057719030</v>
      </c>
      <c r="EF403" s="890">
        <f>EF30</f>
        <v>0</v>
      </c>
      <c r="EG403" s="890">
        <f>EG30</f>
        <v>1057719030</v>
      </c>
      <c r="EH403" s="890">
        <f>EH30</f>
        <v>0</v>
      </c>
      <c r="EI403" s="1073"/>
      <c r="EJ403" s="1071"/>
      <c r="EK403" s="1072"/>
      <c r="EL403" s="1072"/>
      <c r="EM403" s="890">
        <f>EM30</f>
        <v>1057719030</v>
      </c>
      <c r="EN403" s="890">
        <f>EN30</f>
        <v>0</v>
      </c>
      <c r="EO403" s="890">
        <f>EO30</f>
        <v>1057719030</v>
      </c>
      <c r="EP403" s="890">
        <f>EP30</f>
        <v>0</v>
      </c>
      <c r="EQ403" s="1073"/>
      <c r="ER403" s="1071"/>
      <c r="ES403" s="1072"/>
      <c r="ET403" s="1072"/>
      <c r="EU403" s="890">
        <f>EU30</f>
        <v>1057719030</v>
      </c>
      <c r="EV403" s="890">
        <f>EV30</f>
        <v>0</v>
      </c>
      <c r="EW403" s="890">
        <f>EW30</f>
        <v>1057719030</v>
      </c>
      <c r="EX403" s="890">
        <f>EX30</f>
        <v>0</v>
      </c>
      <c r="EY403" s="1073"/>
      <c r="EZ403" s="1071"/>
      <c r="FA403" s="1072"/>
      <c r="FB403" s="1072"/>
      <c r="FC403" s="890">
        <f>FC30</f>
        <v>1057719030</v>
      </c>
      <c r="FD403" s="890">
        <f>FD30</f>
        <v>0</v>
      </c>
      <c r="FE403" s="890">
        <f>FE30</f>
        <v>1057719030</v>
      </c>
      <c r="FF403" s="890">
        <f>FF30</f>
        <v>0</v>
      </c>
      <c r="FG403" s="1073"/>
      <c r="FH403" s="1071"/>
      <c r="FI403" s="1072"/>
      <c r="FJ403" s="1072"/>
      <c r="FK403" s="890">
        <f>FK30</f>
        <v>1057719030</v>
      </c>
      <c r="FL403" s="890">
        <f>FL30</f>
        <v>0</v>
      </c>
      <c r="FM403" s="890">
        <f>FM30</f>
        <v>1057719030</v>
      </c>
      <c r="FN403" s="890">
        <f>FN30</f>
        <v>0</v>
      </c>
      <c r="FO403" s="1073"/>
    </row>
    <row r="404" spans="2:171">
      <c r="B404" s="108"/>
      <c r="C404" s="108" t="s">
        <v>122</v>
      </c>
      <c r="D404" s="1071"/>
      <c r="E404" s="904" t="s">
        <v>395</v>
      </c>
      <c r="G404" s="890">
        <f>G33</f>
        <v>2407306658</v>
      </c>
      <c r="H404" s="890">
        <f>H33</f>
        <v>0</v>
      </c>
      <c r="I404" s="890">
        <f>I33</f>
        <v>0</v>
      </c>
      <c r="J404" s="890">
        <f>J33</f>
        <v>2407306658</v>
      </c>
      <c r="K404" s="1073"/>
      <c r="L404" s="1071"/>
      <c r="M404" s="1072"/>
      <c r="N404" s="1072"/>
      <c r="O404" s="890">
        <f>O33</f>
        <v>2407306658</v>
      </c>
      <c r="P404" s="890">
        <f>P33</f>
        <v>0</v>
      </c>
      <c r="Q404" s="890">
        <f>Q33</f>
        <v>0</v>
      </c>
      <c r="R404" s="890">
        <f>R33</f>
        <v>2407306658</v>
      </c>
      <c r="S404" s="1073"/>
      <c r="T404" s="1071"/>
      <c r="U404" s="1072"/>
      <c r="V404" s="1072"/>
      <c r="W404" s="890">
        <f>W33</f>
        <v>2407306658</v>
      </c>
      <c r="X404" s="890">
        <f>X33</f>
        <v>0</v>
      </c>
      <c r="Y404" s="890">
        <f>Y33</f>
        <v>0</v>
      </c>
      <c r="Z404" s="890">
        <f>Z33</f>
        <v>2407306658</v>
      </c>
      <c r="AA404" s="1073"/>
      <c r="AB404" s="1071"/>
      <c r="AC404" s="1072"/>
      <c r="AD404" s="1072"/>
      <c r="AE404" s="890">
        <f>AE33</f>
        <v>2407306658</v>
      </c>
      <c r="AF404" s="890">
        <f>AF33</f>
        <v>0</v>
      </c>
      <c r="AG404" s="890">
        <f>AG33</f>
        <v>0</v>
      </c>
      <c r="AH404" s="890">
        <f>AH33</f>
        <v>2407306658</v>
      </c>
      <c r="AI404" s="1073"/>
      <c r="AJ404" s="1071"/>
      <c r="AK404" s="1072"/>
      <c r="AL404" s="1072"/>
      <c r="AM404" s="890">
        <f>AM33</f>
        <v>2407306658</v>
      </c>
      <c r="AN404" s="890">
        <f>AN33</f>
        <v>0</v>
      </c>
      <c r="AO404" s="890">
        <f>AO33</f>
        <v>0</v>
      </c>
      <c r="AP404" s="890">
        <f>AP33</f>
        <v>2407306658</v>
      </c>
      <c r="AQ404" s="1073"/>
      <c r="AR404" s="1071"/>
      <c r="AS404" s="1072"/>
      <c r="AT404" s="1072"/>
      <c r="AU404" s="890">
        <f>AU33</f>
        <v>2407306658</v>
      </c>
      <c r="AV404" s="890">
        <f>AV33</f>
        <v>0</v>
      </c>
      <c r="AW404" s="890">
        <f>AW33</f>
        <v>0</v>
      </c>
      <c r="AX404" s="890">
        <f>AX33</f>
        <v>2407306658</v>
      </c>
      <c r="AY404" s="1073"/>
      <c r="AZ404" s="1071"/>
      <c r="BA404" s="1072"/>
      <c r="BB404" s="1072"/>
      <c r="BC404" s="890">
        <f>BC33</f>
        <v>2407306658</v>
      </c>
      <c r="BD404" s="890">
        <f>BD33</f>
        <v>0</v>
      </c>
      <c r="BE404" s="890">
        <f>BE33</f>
        <v>0</v>
      </c>
      <c r="BF404" s="890">
        <f>BF33</f>
        <v>2407306658</v>
      </c>
      <c r="BG404" s="1073"/>
      <c r="BH404" s="1071"/>
      <c r="BI404" s="1072"/>
      <c r="BJ404" s="1072"/>
      <c r="BK404" s="890">
        <f>BK33</f>
        <v>2407306658</v>
      </c>
      <c r="BL404" s="890">
        <f>BL33</f>
        <v>0</v>
      </c>
      <c r="BM404" s="890">
        <f>BM33</f>
        <v>0</v>
      </c>
      <c r="BN404" s="890">
        <f>BN33</f>
        <v>2407306658</v>
      </c>
      <c r="BO404" s="1073"/>
      <c r="BP404" s="1071"/>
      <c r="BQ404" s="1072"/>
      <c r="BR404" s="1072"/>
      <c r="BS404" s="890">
        <f>BS33</f>
        <v>2407306658</v>
      </c>
      <c r="BT404" s="890">
        <f>BT33</f>
        <v>0</v>
      </c>
      <c r="BU404" s="890">
        <f>BU33</f>
        <v>0</v>
      </c>
      <c r="BV404" s="890">
        <f>BV33</f>
        <v>2407306658</v>
      </c>
      <c r="BW404" s="1073"/>
      <c r="BX404" s="1071"/>
      <c r="BY404" s="1072"/>
      <c r="BZ404" s="1072"/>
      <c r="CA404" s="890">
        <f>CA33</f>
        <v>2407306658</v>
      </c>
      <c r="CB404" s="890">
        <f>CB33</f>
        <v>0</v>
      </c>
      <c r="CC404" s="890">
        <f>CC33</f>
        <v>0</v>
      </c>
      <c r="CD404" s="890">
        <f>CD33</f>
        <v>2407306658</v>
      </c>
      <c r="CE404" s="1073"/>
      <c r="CF404" s="1071"/>
      <c r="CG404" s="1072"/>
      <c r="CH404" s="1072"/>
      <c r="CI404" s="890">
        <f>CI33</f>
        <v>2407306658</v>
      </c>
      <c r="CJ404" s="890">
        <f>CJ33</f>
        <v>0</v>
      </c>
      <c r="CK404" s="890">
        <f>CK33</f>
        <v>0</v>
      </c>
      <c r="CL404" s="890">
        <f>CL33</f>
        <v>2407306658</v>
      </c>
      <c r="CM404" s="1073"/>
      <c r="CN404" s="1071"/>
      <c r="CO404" s="1072"/>
      <c r="CP404" s="1072"/>
      <c r="CQ404" s="890">
        <f>CQ33</f>
        <v>2407306658</v>
      </c>
      <c r="CR404" s="890">
        <f>CR33</f>
        <v>0</v>
      </c>
      <c r="CS404" s="890">
        <f>CS33</f>
        <v>0</v>
      </c>
      <c r="CT404" s="890">
        <f>CT33</f>
        <v>2407306658</v>
      </c>
      <c r="CU404" s="1073"/>
      <c r="CV404" s="1071"/>
      <c r="CW404" s="1072"/>
      <c r="CX404" s="1072"/>
      <c r="CY404" s="890">
        <f>CY33</f>
        <v>2407306658</v>
      </c>
      <c r="CZ404" s="890">
        <f>CZ33</f>
        <v>0</v>
      </c>
      <c r="DA404" s="890">
        <f>DA33</f>
        <v>0</v>
      </c>
      <c r="DB404" s="890">
        <f>DB33</f>
        <v>2407306658</v>
      </c>
      <c r="DC404" s="1073"/>
      <c r="DD404" s="1071"/>
      <c r="DE404" s="1072"/>
      <c r="DF404" s="1072"/>
      <c r="DG404" s="890">
        <f>DG33</f>
        <v>2407306658</v>
      </c>
      <c r="DH404" s="890">
        <f>DH33</f>
        <v>0</v>
      </c>
      <c r="DI404" s="890">
        <f>DI33</f>
        <v>0</v>
      </c>
      <c r="DJ404" s="890">
        <f>DJ33</f>
        <v>2407306658</v>
      </c>
      <c r="DK404" s="1073"/>
      <c r="DL404" s="1071"/>
      <c r="DM404" s="1072"/>
      <c r="DN404" s="1072"/>
      <c r="DO404" s="890">
        <f>DO33</f>
        <v>2407306658</v>
      </c>
      <c r="DP404" s="890">
        <f>DP33</f>
        <v>0</v>
      </c>
      <c r="DQ404" s="890">
        <f>DQ33</f>
        <v>0</v>
      </c>
      <c r="DR404" s="890">
        <f>DR33</f>
        <v>2407306658</v>
      </c>
      <c r="DS404" s="1073"/>
      <c r="DT404" s="1071"/>
      <c r="DU404" s="1072"/>
      <c r="DV404" s="1072"/>
      <c r="DW404" s="890">
        <f>DW33</f>
        <v>2407306658</v>
      </c>
      <c r="DX404" s="890">
        <f>DX33</f>
        <v>0</v>
      </c>
      <c r="DY404" s="890">
        <f>DY33</f>
        <v>0</v>
      </c>
      <c r="DZ404" s="890">
        <f>DZ33</f>
        <v>2407306658</v>
      </c>
      <c r="EA404" s="1073"/>
      <c r="EB404" s="1071"/>
      <c r="EC404" s="1072"/>
      <c r="ED404" s="1072"/>
      <c r="EE404" s="890">
        <f>EE33</f>
        <v>2407306658</v>
      </c>
      <c r="EF404" s="890">
        <f>EF33</f>
        <v>0</v>
      </c>
      <c r="EG404" s="890">
        <f>EG33</f>
        <v>0</v>
      </c>
      <c r="EH404" s="890">
        <f>EH33</f>
        <v>2407306658</v>
      </c>
      <c r="EI404" s="1073"/>
      <c r="EJ404" s="1071"/>
      <c r="EK404" s="1072"/>
      <c r="EL404" s="1072"/>
      <c r="EM404" s="890">
        <f>EM33</f>
        <v>2407306658</v>
      </c>
      <c r="EN404" s="890">
        <f>EN33</f>
        <v>0</v>
      </c>
      <c r="EO404" s="890">
        <f>EO33</f>
        <v>0</v>
      </c>
      <c r="EP404" s="890">
        <f>EP33</f>
        <v>2407306658</v>
      </c>
      <c r="EQ404" s="1073"/>
      <c r="ER404" s="1071"/>
      <c r="ES404" s="1072"/>
      <c r="ET404" s="1072"/>
      <c r="EU404" s="890">
        <f>EU33</f>
        <v>2407306658</v>
      </c>
      <c r="EV404" s="890">
        <f>EV33</f>
        <v>0</v>
      </c>
      <c r="EW404" s="890">
        <f>EW33</f>
        <v>0</v>
      </c>
      <c r="EX404" s="890">
        <f>EX33</f>
        <v>2407306658</v>
      </c>
      <c r="EY404" s="1073"/>
      <c r="EZ404" s="1071"/>
      <c r="FA404" s="1072"/>
      <c r="FB404" s="1072"/>
      <c r="FC404" s="890">
        <f>FC33</f>
        <v>2407306658</v>
      </c>
      <c r="FD404" s="890">
        <f>FD33</f>
        <v>0</v>
      </c>
      <c r="FE404" s="890">
        <f>FE33</f>
        <v>0</v>
      </c>
      <c r="FF404" s="890">
        <f>FF33</f>
        <v>2407306658</v>
      </c>
      <c r="FG404" s="1073"/>
      <c r="FH404" s="1071"/>
      <c r="FI404" s="1072"/>
      <c r="FJ404" s="1072"/>
      <c r="FK404" s="890">
        <f>FK33</f>
        <v>2407306658</v>
      </c>
      <c r="FL404" s="890">
        <f>FL33</f>
        <v>0</v>
      </c>
      <c r="FM404" s="890">
        <f>FM33</f>
        <v>0</v>
      </c>
      <c r="FN404" s="890">
        <f>FN33</f>
        <v>2407306658</v>
      </c>
      <c r="FO404" s="1073"/>
    </row>
    <row r="405" spans="2:171">
      <c r="B405" s="108"/>
      <c r="C405" s="108" t="s">
        <v>527</v>
      </c>
      <c r="D405" s="1071"/>
      <c r="E405" s="124"/>
      <c r="F405" s="1072"/>
      <c r="G405" s="1648">
        <f>G402+G403+G404</f>
        <v>5078901626</v>
      </c>
      <c r="H405" s="1648">
        <f>H402+H403+H404</f>
        <v>1613875938</v>
      </c>
      <c r="I405" s="1648">
        <f>I402+I403+I404</f>
        <v>0</v>
      </c>
      <c r="J405" s="1648">
        <f>J402+J403+J404</f>
        <v>3465025688</v>
      </c>
      <c r="K405" s="1073"/>
      <c r="L405" s="1071"/>
      <c r="M405" s="1072"/>
      <c r="N405" s="1072"/>
      <c r="O405" s="1648">
        <f>O402+O403+O404</f>
        <v>5078901626</v>
      </c>
      <c r="P405" s="1648">
        <f>P402+P403+P404</f>
        <v>1613875938</v>
      </c>
      <c r="Q405" s="1648">
        <f>Q402+Q403+Q404</f>
        <v>1057719030</v>
      </c>
      <c r="R405" s="1648">
        <f>R402+R403+R404</f>
        <v>2407306658</v>
      </c>
      <c r="S405" s="1073"/>
      <c r="T405" s="1071"/>
      <c r="U405" s="1072"/>
      <c r="V405" s="1072"/>
      <c r="W405" s="1648">
        <f>W402+W403+W404</f>
        <v>5078901626</v>
      </c>
      <c r="X405" s="1648">
        <f>X402+X403+X404</f>
        <v>1613875938</v>
      </c>
      <c r="Y405" s="1648">
        <f>Y402+Y403+Y404</f>
        <v>1057719030</v>
      </c>
      <c r="Z405" s="1648">
        <f>Z402+Z403+Z404</f>
        <v>2407306658</v>
      </c>
      <c r="AA405" s="1073"/>
      <c r="AB405" s="1071"/>
      <c r="AC405" s="1072"/>
      <c r="AD405" s="1072"/>
      <c r="AE405" s="1648">
        <f>AE402+AE403+AE404</f>
        <v>5078901626</v>
      </c>
      <c r="AF405" s="1648">
        <f>AF402+AF403+AF404</f>
        <v>1613875938</v>
      </c>
      <c r="AG405" s="1648">
        <f>AG402+AG403+AG404</f>
        <v>1057719030</v>
      </c>
      <c r="AH405" s="1648">
        <f>AH402+AH403+AH404</f>
        <v>2407306658</v>
      </c>
      <c r="AI405" s="1073"/>
      <c r="AJ405" s="1071"/>
      <c r="AK405" s="1072"/>
      <c r="AL405" s="1072"/>
      <c r="AM405" s="1648">
        <f>AM402+AM403+AM404</f>
        <v>5078901626</v>
      </c>
      <c r="AN405" s="1648">
        <f>AN402+AN403+AN404</f>
        <v>1613875938</v>
      </c>
      <c r="AO405" s="1648">
        <f>AO402+AO403+AO404</f>
        <v>1057719030</v>
      </c>
      <c r="AP405" s="1648">
        <f>AP402+AP403+AP404</f>
        <v>2407306658</v>
      </c>
      <c r="AQ405" s="1073"/>
      <c r="AR405" s="1071"/>
      <c r="AS405" s="1072"/>
      <c r="AT405" s="1072"/>
      <c r="AU405" s="1648">
        <f>AU402+AU403+AU404</f>
        <v>5078901626</v>
      </c>
      <c r="AV405" s="1648">
        <f>AV402+AV403+AV404</f>
        <v>1613875938</v>
      </c>
      <c r="AW405" s="1648">
        <f>AW402+AW403+AW404</f>
        <v>1057719030</v>
      </c>
      <c r="AX405" s="1648">
        <f>AX402+AX403+AX404</f>
        <v>2407306658</v>
      </c>
      <c r="AY405" s="1073"/>
      <c r="AZ405" s="1071"/>
      <c r="BA405" s="1072"/>
      <c r="BB405" s="1072"/>
      <c r="BC405" s="1648">
        <f>BC402+BC403+BC404</f>
        <v>5078901626</v>
      </c>
      <c r="BD405" s="1648">
        <f>BD402+BD403+BD404</f>
        <v>1613875938</v>
      </c>
      <c r="BE405" s="1648">
        <f>BE402+BE403+BE404</f>
        <v>1057719030</v>
      </c>
      <c r="BF405" s="1648">
        <f>BF402+BF403+BF404</f>
        <v>2407306658</v>
      </c>
      <c r="BG405" s="1073"/>
      <c r="BH405" s="1071"/>
      <c r="BI405" s="1072"/>
      <c r="BJ405" s="1072"/>
      <c r="BK405" s="1648">
        <f>BK402+BK403+BK404</f>
        <v>5078901626</v>
      </c>
      <c r="BL405" s="1648">
        <f>BL402+BL403+BL404</f>
        <v>1613875938</v>
      </c>
      <c r="BM405" s="1648">
        <f>BM402+BM403+BM404</f>
        <v>1057719030</v>
      </c>
      <c r="BN405" s="1648">
        <f>BN402+BN403+BN404</f>
        <v>2407306658</v>
      </c>
      <c r="BO405" s="1073"/>
      <c r="BP405" s="1071"/>
      <c r="BQ405" s="1072"/>
      <c r="BR405" s="1072"/>
      <c r="BS405" s="1648">
        <f>BS402+BS403+BS404</f>
        <v>5078901626</v>
      </c>
      <c r="BT405" s="1648">
        <f>BT402+BT403+BT404</f>
        <v>1613875938</v>
      </c>
      <c r="BU405" s="1648">
        <f>BU402+BU403+BU404</f>
        <v>1057719030</v>
      </c>
      <c r="BV405" s="1648">
        <f>BV402+BV403+BV404</f>
        <v>2407306658</v>
      </c>
      <c r="BW405" s="1073"/>
      <c r="BX405" s="1071"/>
      <c r="BY405" s="1072"/>
      <c r="BZ405" s="1072"/>
      <c r="CA405" s="1648">
        <f>CA402+CA403+CA404</f>
        <v>5078901626</v>
      </c>
      <c r="CB405" s="1648">
        <f>CB402+CB403+CB404</f>
        <v>1613875938</v>
      </c>
      <c r="CC405" s="1648">
        <f>CC402+CC403+CC404</f>
        <v>1057719030</v>
      </c>
      <c r="CD405" s="1648">
        <f>CD402+CD403+CD404</f>
        <v>2407306658</v>
      </c>
      <c r="CE405" s="1073"/>
      <c r="CF405" s="1071"/>
      <c r="CG405" s="1072"/>
      <c r="CH405" s="1072"/>
      <c r="CI405" s="1648">
        <f>CI402+CI403+CI404</f>
        <v>5078901626</v>
      </c>
      <c r="CJ405" s="1648">
        <f>CJ402+CJ403+CJ404</f>
        <v>1613875938</v>
      </c>
      <c r="CK405" s="1648">
        <f>CK402+CK403+CK404</f>
        <v>1057719030</v>
      </c>
      <c r="CL405" s="1648">
        <f>CL402+CL403+CL404</f>
        <v>2407306658</v>
      </c>
      <c r="CM405" s="1073"/>
      <c r="CN405" s="1071"/>
      <c r="CO405" s="1072"/>
      <c r="CP405" s="1072"/>
      <c r="CQ405" s="1648">
        <f>CQ402+CQ403+CQ404</f>
        <v>5078901626</v>
      </c>
      <c r="CR405" s="1648">
        <f>CR402+CR403+CR404</f>
        <v>1613875938</v>
      </c>
      <c r="CS405" s="1648">
        <f>CS402+CS403+CS404</f>
        <v>1057719030</v>
      </c>
      <c r="CT405" s="1648">
        <f>CT402+CT403+CT404</f>
        <v>2407306658</v>
      </c>
      <c r="CU405" s="1073"/>
      <c r="CV405" s="1071"/>
      <c r="CW405" s="1072"/>
      <c r="CX405" s="1072"/>
      <c r="CY405" s="1648">
        <f>CY402+CY403+CY404</f>
        <v>5078901626</v>
      </c>
      <c r="CZ405" s="1648">
        <f>CZ402+CZ403+CZ404</f>
        <v>1613875938</v>
      </c>
      <c r="DA405" s="1648">
        <f>DA402+DA403+DA404</f>
        <v>1057719030</v>
      </c>
      <c r="DB405" s="1648">
        <f>DB402+DB403+DB404</f>
        <v>2407306658</v>
      </c>
      <c r="DC405" s="1073"/>
      <c r="DD405" s="1071"/>
      <c r="DE405" s="1072"/>
      <c r="DF405" s="1072"/>
      <c r="DG405" s="1648">
        <f>DG402+DG403+DG404</f>
        <v>5078901626</v>
      </c>
      <c r="DH405" s="1648">
        <f>DH402+DH403+DH404</f>
        <v>1613875938</v>
      </c>
      <c r="DI405" s="1648">
        <f>DI402+DI403+DI404</f>
        <v>1057719030</v>
      </c>
      <c r="DJ405" s="1648">
        <f>DJ402+DJ403+DJ404</f>
        <v>2407306658</v>
      </c>
      <c r="DK405" s="1073"/>
      <c r="DL405" s="1071"/>
      <c r="DM405" s="1072"/>
      <c r="DN405" s="1072"/>
      <c r="DO405" s="1648">
        <f>DO402+DO403+DO404</f>
        <v>5078901626</v>
      </c>
      <c r="DP405" s="1648">
        <f>DP402+DP403+DP404</f>
        <v>1613875938</v>
      </c>
      <c r="DQ405" s="1648">
        <f>DQ402+DQ403+DQ404</f>
        <v>1057719030</v>
      </c>
      <c r="DR405" s="1648">
        <f>DR402+DR403+DR404</f>
        <v>2407306658</v>
      </c>
      <c r="DS405" s="1073"/>
      <c r="DT405" s="1071"/>
      <c r="DU405" s="1072"/>
      <c r="DV405" s="1072"/>
      <c r="DW405" s="1648">
        <f>DW402+DW403+DW404</f>
        <v>5078901626</v>
      </c>
      <c r="DX405" s="1648">
        <f>DX402+DX403+DX404</f>
        <v>1613875938</v>
      </c>
      <c r="DY405" s="1648">
        <f>DY402+DY403+DY404</f>
        <v>1057719030</v>
      </c>
      <c r="DZ405" s="1648">
        <f>DZ402+DZ403+DZ404</f>
        <v>2407306658</v>
      </c>
      <c r="EA405" s="1073"/>
      <c r="EB405" s="1071"/>
      <c r="EC405" s="1072"/>
      <c r="ED405" s="1072"/>
      <c r="EE405" s="1648">
        <f>EE402+EE403+EE404</f>
        <v>5078901626</v>
      </c>
      <c r="EF405" s="1648">
        <f>EF402+EF403+EF404</f>
        <v>1613875938</v>
      </c>
      <c r="EG405" s="1648">
        <f>EG402+EG403+EG404</f>
        <v>1057719030</v>
      </c>
      <c r="EH405" s="1648">
        <f>EH402+EH403+EH404</f>
        <v>2407306658</v>
      </c>
      <c r="EI405" s="1073"/>
      <c r="EJ405" s="1071"/>
      <c r="EK405" s="1072"/>
      <c r="EL405" s="1072"/>
      <c r="EM405" s="1648">
        <f>EM402+EM403+EM404</f>
        <v>5078901626</v>
      </c>
      <c r="EN405" s="1648">
        <f>EN402+EN403+EN404</f>
        <v>1613875938</v>
      </c>
      <c r="EO405" s="1648">
        <f>EO402+EO403+EO404</f>
        <v>1057719030</v>
      </c>
      <c r="EP405" s="1648">
        <f>EP402+EP403+EP404</f>
        <v>2407306658</v>
      </c>
      <c r="EQ405" s="1073"/>
      <c r="ER405" s="1071"/>
      <c r="ES405" s="1072"/>
      <c r="ET405" s="1072"/>
      <c r="EU405" s="1648">
        <f>EU402+EU403+EU404</f>
        <v>5078901626</v>
      </c>
      <c r="EV405" s="1648">
        <f>EV402+EV403+EV404</f>
        <v>1613875938</v>
      </c>
      <c r="EW405" s="1648">
        <f>EW402+EW403+EW404</f>
        <v>1057719030</v>
      </c>
      <c r="EX405" s="1648">
        <f>EX402+EX403+EX404</f>
        <v>2407306658</v>
      </c>
      <c r="EY405" s="1073"/>
      <c r="EZ405" s="1071"/>
      <c r="FA405" s="1072"/>
      <c r="FB405" s="1072"/>
      <c r="FC405" s="1648">
        <f>FC402+FC403+FC404</f>
        <v>5078901626</v>
      </c>
      <c r="FD405" s="1648">
        <f>FD402+FD403+FD404</f>
        <v>1613875938</v>
      </c>
      <c r="FE405" s="1648">
        <f>FE402+FE403+FE404</f>
        <v>1057719030</v>
      </c>
      <c r="FF405" s="1648">
        <f>FF402+FF403+FF404</f>
        <v>2407306658</v>
      </c>
      <c r="FG405" s="1073"/>
      <c r="FH405" s="1071"/>
      <c r="FI405" s="1072"/>
      <c r="FJ405" s="1072"/>
      <c r="FK405" s="1648">
        <f>FK402+FK403+FK404</f>
        <v>5078901626</v>
      </c>
      <c r="FL405" s="1648">
        <f>FL402+FL403+FL404</f>
        <v>1613875938</v>
      </c>
      <c r="FM405" s="1648">
        <f>FM402+FM403+FM404</f>
        <v>1057719030</v>
      </c>
      <c r="FN405" s="1648">
        <f>FN402+FN403+FN404</f>
        <v>2407306658</v>
      </c>
      <c r="FO405" s="1073"/>
    </row>
    <row r="406" spans="2:171">
      <c r="B406" s="123"/>
      <c r="C406" s="123" t="s">
        <v>339</v>
      </c>
      <c r="D406" s="1296" t="s">
        <v>639</v>
      </c>
      <c r="E406" s="561"/>
      <c r="F406" s="1076"/>
      <c r="G406" s="1649">
        <f>H406+I406+J406</f>
        <v>1</v>
      </c>
      <c r="H406" s="1649">
        <f>IF($G405=0,0,H405/G405)</f>
        <v>0.31776081854750221</v>
      </c>
      <c r="I406" s="1649">
        <f>IF($G405=0,0,I405/G405)</f>
        <v>0</v>
      </c>
      <c r="J406" s="1649">
        <f>IF($G405=0,0,J405/G405)</f>
        <v>0.68223918145249773</v>
      </c>
      <c r="K406" s="1078"/>
      <c r="L406" s="1074" t="s">
        <v>639</v>
      </c>
      <c r="M406" s="1075"/>
      <c r="N406" s="1076"/>
      <c r="O406" s="1649">
        <f>P406+Q406+R406</f>
        <v>1</v>
      </c>
      <c r="P406" s="1649">
        <f>IF($G405=0,0,P405/O405)</f>
        <v>0.31776081854750221</v>
      </c>
      <c r="Q406" s="1649">
        <f>IF($G405=0,0,Q405/O405)</f>
        <v>0.2082574359356178</v>
      </c>
      <c r="R406" s="1649">
        <f>IF($G405=0,0,R405/O405)</f>
        <v>0.47398174551687999</v>
      </c>
      <c r="S406" s="1078"/>
      <c r="T406" s="1074" t="s">
        <v>639</v>
      </c>
      <c r="U406" s="1075"/>
      <c r="V406" s="1076"/>
      <c r="W406" s="1649">
        <f>X406+Y406+Z406</f>
        <v>1</v>
      </c>
      <c r="X406" s="1649">
        <f>IF($G405=0,0,X405/W405)</f>
        <v>0.31776081854750221</v>
      </c>
      <c r="Y406" s="1649">
        <f>IF($G405=0,0,Y405/W405)</f>
        <v>0.2082574359356178</v>
      </c>
      <c r="Z406" s="1649">
        <f>IF($G405=0,0,Z405/W405)</f>
        <v>0.47398174551687999</v>
      </c>
      <c r="AA406" s="1078"/>
      <c r="AB406" s="1074" t="s">
        <v>639</v>
      </c>
      <c r="AC406" s="1075"/>
      <c r="AD406" s="1076"/>
      <c r="AE406" s="1649">
        <f>AF406+AG406+AH406</f>
        <v>1</v>
      </c>
      <c r="AF406" s="1649">
        <f>IF($G405=0,0,AF405/AE405)</f>
        <v>0.31776081854750221</v>
      </c>
      <c r="AG406" s="1649">
        <f>IF($G405=0,0,AG405/AE405)</f>
        <v>0.2082574359356178</v>
      </c>
      <c r="AH406" s="1649">
        <f>IF($G405=0,0,AH405/AE405)</f>
        <v>0.47398174551687999</v>
      </c>
      <c r="AI406" s="1078"/>
      <c r="AJ406" s="1074" t="s">
        <v>639</v>
      </c>
      <c r="AK406" s="1075"/>
      <c r="AL406" s="1076"/>
      <c r="AM406" s="1649">
        <f>AN406+AO406+AP406</f>
        <v>1</v>
      </c>
      <c r="AN406" s="1649">
        <f>IF($G405=0,0,AN405/AM405)</f>
        <v>0.31776081854750221</v>
      </c>
      <c r="AO406" s="1649">
        <f>IF($G405=0,0,AO405/AM405)</f>
        <v>0.2082574359356178</v>
      </c>
      <c r="AP406" s="1649">
        <f>IF($G405=0,0,AP405/AM405)</f>
        <v>0.47398174551687999</v>
      </c>
      <c r="AQ406" s="1078"/>
      <c r="AR406" s="1074" t="s">
        <v>639</v>
      </c>
      <c r="AS406" s="1075"/>
      <c r="AT406" s="1076"/>
      <c r="AU406" s="1649">
        <f>AV406+AW406+AX406</f>
        <v>1</v>
      </c>
      <c r="AV406" s="1649">
        <f>IF($G405=0,0,AV405/AU405)</f>
        <v>0.31776081854750221</v>
      </c>
      <c r="AW406" s="1649">
        <f>IF($G405=0,0,AW405/AU405)</f>
        <v>0.2082574359356178</v>
      </c>
      <c r="AX406" s="1649">
        <f>IF($G405=0,0,AX405/AU405)</f>
        <v>0.47398174551687999</v>
      </c>
      <c r="AY406" s="1078"/>
      <c r="AZ406" s="1074" t="s">
        <v>639</v>
      </c>
      <c r="BA406" s="1075"/>
      <c r="BB406" s="1076"/>
      <c r="BC406" s="1649">
        <f>BD406+BE406+BF406</f>
        <v>1</v>
      </c>
      <c r="BD406" s="1649">
        <f>IF($G405=0,0,BD405/BC405)</f>
        <v>0.31776081854750221</v>
      </c>
      <c r="BE406" s="1649">
        <f>IF($G405=0,0,BE405/BC405)</f>
        <v>0.2082574359356178</v>
      </c>
      <c r="BF406" s="1649">
        <f>IF($G405=0,0,BF405/BC405)</f>
        <v>0.47398174551687999</v>
      </c>
      <c r="BG406" s="1078"/>
      <c r="BH406" s="1074" t="s">
        <v>639</v>
      </c>
      <c r="BI406" s="1075"/>
      <c r="BJ406" s="1076"/>
      <c r="BK406" s="1649">
        <f>BL406+BM406+BN406</f>
        <v>1</v>
      </c>
      <c r="BL406" s="1649">
        <f>IF($G405=0,0,BL405/BK405)</f>
        <v>0.31776081854750221</v>
      </c>
      <c r="BM406" s="1649">
        <f>IF($G405=0,0,BM405/BK405)</f>
        <v>0.2082574359356178</v>
      </c>
      <c r="BN406" s="1649">
        <f>IF($G405=0,0,BN405/BK405)</f>
        <v>0.47398174551687999</v>
      </c>
      <c r="BO406" s="1078"/>
      <c r="BP406" s="1074" t="s">
        <v>639</v>
      </c>
      <c r="BQ406" s="1075"/>
      <c r="BR406" s="1076"/>
      <c r="BS406" s="1649">
        <f>BT406+BU406+BV406</f>
        <v>1</v>
      </c>
      <c r="BT406" s="1649">
        <f>IF($G405=0,0,BT405/BS405)</f>
        <v>0.31776081854750221</v>
      </c>
      <c r="BU406" s="1649">
        <f>IF($G405=0,0,BU405/BS405)</f>
        <v>0.2082574359356178</v>
      </c>
      <c r="BV406" s="1649">
        <f>IF($G405=0,0,BV405/BS405)</f>
        <v>0.47398174551687999</v>
      </c>
      <c r="BW406" s="1078"/>
      <c r="BX406" s="1074" t="s">
        <v>639</v>
      </c>
      <c r="BY406" s="1075"/>
      <c r="BZ406" s="1076"/>
      <c r="CA406" s="1649">
        <f>CB406+CC406+CD406</f>
        <v>1</v>
      </c>
      <c r="CB406" s="1649">
        <f>IF($G405=0,0,CB405/CA405)</f>
        <v>0.31776081854750221</v>
      </c>
      <c r="CC406" s="1649">
        <f>IF($G405=0,0,CC405/CA405)</f>
        <v>0.2082574359356178</v>
      </c>
      <c r="CD406" s="1649">
        <f>IF($G405=0,0,CD405/CA405)</f>
        <v>0.47398174551687999</v>
      </c>
      <c r="CE406" s="1078"/>
      <c r="CF406" s="1074" t="s">
        <v>639</v>
      </c>
      <c r="CG406" s="1075"/>
      <c r="CH406" s="1076"/>
      <c r="CI406" s="1649">
        <f>CJ406+CK406+CL406</f>
        <v>1</v>
      </c>
      <c r="CJ406" s="1649">
        <f>IF($G405=0,0,CJ405/CI405)</f>
        <v>0.31776081854750221</v>
      </c>
      <c r="CK406" s="1649">
        <f>IF($G405=0,0,CK405/CI405)</f>
        <v>0.2082574359356178</v>
      </c>
      <c r="CL406" s="1649">
        <f>IF($G405=0,0,CL405/CI405)</f>
        <v>0.47398174551687999</v>
      </c>
      <c r="CM406" s="1078"/>
      <c r="CN406" s="1074" t="s">
        <v>639</v>
      </c>
      <c r="CO406" s="1075"/>
      <c r="CP406" s="1076"/>
      <c r="CQ406" s="1649">
        <f>CR406+CS406+CT406</f>
        <v>1</v>
      </c>
      <c r="CR406" s="1649">
        <f>IF($G405=0,0,CR405/CQ405)</f>
        <v>0.31776081854750221</v>
      </c>
      <c r="CS406" s="1649">
        <f>IF($G405=0,0,CS405/CQ405)</f>
        <v>0.2082574359356178</v>
      </c>
      <c r="CT406" s="1649">
        <f>IF($G405=0,0,CT405/CQ405)</f>
        <v>0.47398174551687999</v>
      </c>
      <c r="CU406" s="1078"/>
      <c r="CV406" s="1074" t="s">
        <v>639</v>
      </c>
      <c r="CW406" s="1075"/>
      <c r="CX406" s="1076"/>
      <c r="CY406" s="1649">
        <f>CZ406+DA406+DB406</f>
        <v>1</v>
      </c>
      <c r="CZ406" s="1649">
        <f>IF($G405=0,0,CZ405/CY405)</f>
        <v>0.31776081854750221</v>
      </c>
      <c r="DA406" s="1649">
        <f>IF($G405=0,0,DA405/CY405)</f>
        <v>0.2082574359356178</v>
      </c>
      <c r="DB406" s="1649">
        <f>IF($G405=0,0,DB405/CY405)</f>
        <v>0.47398174551687999</v>
      </c>
      <c r="DC406" s="1078"/>
      <c r="DD406" s="1074" t="s">
        <v>639</v>
      </c>
      <c r="DE406" s="1075"/>
      <c r="DF406" s="1076"/>
      <c r="DG406" s="1649">
        <f>DH406+DI406+DJ406</f>
        <v>1</v>
      </c>
      <c r="DH406" s="1649">
        <f>IF($G405=0,0,DH405/DG405)</f>
        <v>0.31776081854750221</v>
      </c>
      <c r="DI406" s="1649">
        <f>IF($G405=0,0,DI405/DG405)</f>
        <v>0.2082574359356178</v>
      </c>
      <c r="DJ406" s="1649">
        <f>IF($G405=0,0,DJ405/DG405)</f>
        <v>0.47398174551687999</v>
      </c>
      <c r="DK406" s="1078"/>
      <c r="DL406" s="1074" t="s">
        <v>639</v>
      </c>
      <c r="DM406" s="1075"/>
      <c r="DN406" s="1076"/>
      <c r="DO406" s="1649">
        <f>DP406+DQ406+DR406</f>
        <v>1</v>
      </c>
      <c r="DP406" s="1649">
        <f>IF($G405=0,0,DP405/DO405)</f>
        <v>0.31776081854750221</v>
      </c>
      <c r="DQ406" s="1649">
        <f>IF($G405=0,0,DQ405/DO405)</f>
        <v>0.2082574359356178</v>
      </c>
      <c r="DR406" s="1649">
        <f>IF($G405=0,0,DR405/DO405)</f>
        <v>0.47398174551687999</v>
      </c>
      <c r="DS406" s="1078"/>
      <c r="DT406" s="1074" t="s">
        <v>639</v>
      </c>
      <c r="DU406" s="1075"/>
      <c r="DV406" s="1076"/>
      <c r="DW406" s="1649">
        <f>DX406+DY406+DZ406</f>
        <v>1</v>
      </c>
      <c r="DX406" s="1649">
        <f>IF($G405=0,0,DX405/DW405)</f>
        <v>0.31776081854750221</v>
      </c>
      <c r="DY406" s="1649">
        <f>IF($G405=0,0,DY405/DW405)</f>
        <v>0.2082574359356178</v>
      </c>
      <c r="DZ406" s="1649">
        <f>IF($G405=0,0,DZ405/DW405)</f>
        <v>0.47398174551687999</v>
      </c>
      <c r="EA406" s="1078"/>
      <c r="EB406" s="1074" t="s">
        <v>639</v>
      </c>
      <c r="EC406" s="1075"/>
      <c r="ED406" s="1076"/>
      <c r="EE406" s="1649">
        <f>EF406+EG406+EH406</f>
        <v>1</v>
      </c>
      <c r="EF406" s="1649">
        <f>IF($G405=0,0,EF405/EE405)</f>
        <v>0.31776081854750221</v>
      </c>
      <c r="EG406" s="1649">
        <f>IF($G405=0,0,EG405/EE405)</f>
        <v>0.2082574359356178</v>
      </c>
      <c r="EH406" s="1649">
        <f>IF($G405=0,0,EH405/EE405)</f>
        <v>0.47398174551687999</v>
      </c>
      <c r="EI406" s="1078"/>
      <c r="EJ406" s="1074" t="s">
        <v>639</v>
      </c>
      <c r="EK406" s="1075"/>
      <c r="EL406" s="1076"/>
      <c r="EM406" s="1649">
        <f>EN406+EO406+EP406</f>
        <v>1</v>
      </c>
      <c r="EN406" s="1649">
        <f>IF($G405=0,0,EN405/EM405)</f>
        <v>0.31776081854750221</v>
      </c>
      <c r="EO406" s="1649">
        <f>IF($G405=0,0,EO405/EM405)</f>
        <v>0.2082574359356178</v>
      </c>
      <c r="EP406" s="1649">
        <f>IF($G405=0,0,EP405/EM405)</f>
        <v>0.47398174551687999</v>
      </c>
      <c r="EQ406" s="1078"/>
      <c r="ER406" s="1074" t="s">
        <v>639</v>
      </c>
      <c r="ES406" s="1075"/>
      <c r="ET406" s="1076"/>
      <c r="EU406" s="1649">
        <f>EV406+EW406+EX406</f>
        <v>1</v>
      </c>
      <c r="EV406" s="1649">
        <f>IF($G405=0,0,EV405/EU405)</f>
        <v>0.31776081854750221</v>
      </c>
      <c r="EW406" s="1649">
        <f>IF($G405=0,0,EW405/EU405)</f>
        <v>0.2082574359356178</v>
      </c>
      <c r="EX406" s="1649">
        <f>IF($G405=0,0,EX405/EU405)</f>
        <v>0.47398174551687999</v>
      </c>
      <c r="EY406" s="1078"/>
      <c r="EZ406" s="1074" t="s">
        <v>639</v>
      </c>
      <c r="FA406" s="1075"/>
      <c r="FB406" s="1076"/>
      <c r="FC406" s="1649">
        <f>FD406+FE406+FF406</f>
        <v>1</v>
      </c>
      <c r="FD406" s="1649">
        <f>IF($G405=0,0,FD405/FC405)</f>
        <v>0.31776081854750221</v>
      </c>
      <c r="FE406" s="1649">
        <f>IF($G405=0,0,FE405/FC405)</f>
        <v>0.2082574359356178</v>
      </c>
      <c r="FF406" s="1649">
        <f>IF($G405=0,0,FF405/FC405)</f>
        <v>0.47398174551687999</v>
      </c>
      <c r="FG406" s="1078"/>
      <c r="FH406" s="1074" t="s">
        <v>639</v>
      </c>
      <c r="FI406" s="1075"/>
      <c r="FJ406" s="1076"/>
      <c r="FK406" s="1649">
        <f>FL406+FM406+FN406</f>
        <v>1</v>
      </c>
      <c r="FL406" s="1649">
        <f>IF($G405=0,0,FL405/FK405)</f>
        <v>0.31776081854750221</v>
      </c>
      <c r="FM406" s="1649">
        <f>IF($G405=0,0,FM405/FK405)</f>
        <v>0.2082574359356178</v>
      </c>
      <c r="FN406" s="1649">
        <f>IF($G405=0,0,FN405/FK405)</f>
        <v>0.47398174551687999</v>
      </c>
      <c r="FO406" s="1078"/>
    </row>
    <row r="407" spans="2:171">
      <c r="K407" s="1073"/>
      <c r="S407" s="1078"/>
      <c r="AA407" s="1078"/>
      <c r="AI407" s="1078"/>
      <c r="AQ407" s="1078"/>
      <c r="AY407" s="1078"/>
      <c r="BG407" s="1078"/>
      <c r="BO407" s="1078"/>
      <c r="BW407" s="1078"/>
      <c r="CE407" s="1078"/>
      <c r="CM407" s="1078"/>
      <c r="CU407" s="1078"/>
      <c r="DC407" s="1078"/>
      <c r="DK407" s="1078"/>
      <c r="DS407" s="1078"/>
      <c r="EA407" s="1078"/>
      <c r="EI407" s="1078"/>
      <c r="EQ407" s="1078"/>
      <c r="EY407" s="1078"/>
      <c r="FG407" s="1078"/>
      <c r="FO407" s="1078"/>
    </row>
    <row r="408" spans="2:171">
      <c r="E408" s="302" t="s">
        <v>525</v>
      </c>
      <c r="G408" s="303" t="s">
        <v>104</v>
      </c>
      <c r="H408" s="303" t="s">
        <v>105</v>
      </c>
      <c r="I408" s="303" t="s">
        <v>106</v>
      </c>
      <c r="J408" s="304" t="s">
        <v>516</v>
      </c>
      <c r="K408" s="1073"/>
      <c r="O408" s="303" t="s">
        <v>104</v>
      </c>
      <c r="P408" s="303" t="s">
        <v>105</v>
      </c>
      <c r="Q408" s="303" t="s">
        <v>106</v>
      </c>
      <c r="R408" s="304" t="s">
        <v>516</v>
      </c>
      <c r="S408" s="1078"/>
      <c r="W408" s="303" t="s">
        <v>104</v>
      </c>
      <c r="X408" s="303" t="s">
        <v>105</v>
      </c>
      <c r="Y408" s="303" t="s">
        <v>106</v>
      </c>
      <c r="Z408" s="304" t="s">
        <v>516</v>
      </c>
      <c r="AA408" s="1078"/>
      <c r="AE408" s="303" t="s">
        <v>104</v>
      </c>
      <c r="AF408" s="303" t="s">
        <v>105</v>
      </c>
      <c r="AG408" s="303" t="s">
        <v>106</v>
      </c>
      <c r="AH408" s="304" t="s">
        <v>516</v>
      </c>
      <c r="AI408" s="1078"/>
      <c r="AM408" s="303" t="s">
        <v>104</v>
      </c>
      <c r="AN408" s="303" t="s">
        <v>105</v>
      </c>
      <c r="AO408" s="303" t="s">
        <v>106</v>
      </c>
      <c r="AP408" s="304" t="s">
        <v>516</v>
      </c>
      <c r="AQ408" s="1078"/>
      <c r="AU408" s="303" t="s">
        <v>104</v>
      </c>
      <c r="AV408" s="303" t="s">
        <v>105</v>
      </c>
      <c r="AW408" s="303" t="s">
        <v>106</v>
      </c>
      <c r="AX408" s="304" t="s">
        <v>516</v>
      </c>
      <c r="AY408" s="1078"/>
      <c r="BC408" s="303" t="s">
        <v>104</v>
      </c>
      <c r="BD408" s="303" t="s">
        <v>105</v>
      </c>
      <c r="BE408" s="303" t="s">
        <v>106</v>
      </c>
      <c r="BF408" s="304" t="s">
        <v>516</v>
      </c>
      <c r="BG408" s="1078"/>
      <c r="BK408" s="303" t="s">
        <v>104</v>
      </c>
      <c r="BL408" s="303" t="s">
        <v>105</v>
      </c>
      <c r="BM408" s="303" t="s">
        <v>106</v>
      </c>
      <c r="BN408" s="304" t="s">
        <v>516</v>
      </c>
      <c r="BO408" s="1078"/>
      <c r="BS408" s="303" t="s">
        <v>104</v>
      </c>
      <c r="BT408" s="303" t="s">
        <v>105</v>
      </c>
      <c r="BU408" s="303" t="s">
        <v>106</v>
      </c>
      <c r="BV408" s="304" t="s">
        <v>516</v>
      </c>
      <c r="BW408" s="1078"/>
      <c r="CA408" s="303" t="s">
        <v>104</v>
      </c>
      <c r="CB408" s="303" t="s">
        <v>105</v>
      </c>
      <c r="CC408" s="303" t="s">
        <v>106</v>
      </c>
      <c r="CD408" s="304" t="s">
        <v>516</v>
      </c>
      <c r="CE408" s="1078"/>
      <c r="CI408" s="303" t="s">
        <v>104</v>
      </c>
      <c r="CJ408" s="303" t="s">
        <v>105</v>
      </c>
      <c r="CK408" s="303" t="s">
        <v>106</v>
      </c>
      <c r="CL408" s="304" t="s">
        <v>516</v>
      </c>
      <c r="CM408" s="1078"/>
      <c r="CQ408" s="303" t="s">
        <v>104</v>
      </c>
      <c r="CR408" s="303" t="s">
        <v>105</v>
      </c>
      <c r="CS408" s="303" t="s">
        <v>106</v>
      </c>
      <c r="CT408" s="304" t="s">
        <v>516</v>
      </c>
      <c r="CU408" s="1078"/>
      <c r="CY408" s="303" t="s">
        <v>104</v>
      </c>
      <c r="CZ408" s="303" t="s">
        <v>105</v>
      </c>
      <c r="DA408" s="303" t="s">
        <v>106</v>
      </c>
      <c r="DB408" s="304" t="s">
        <v>516</v>
      </c>
      <c r="DC408" s="1078"/>
      <c r="DG408" s="303" t="s">
        <v>104</v>
      </c>
      <c r="DH408" s="303" t="s">
        <v>105</v>
      </c>
      <c r="DI408" s="303" t="s">
        <v>106</v>
      </c>
      <c r="DJ408" s="304" t="s">
        <v>516</v>
      </c>
      <c r="DK408" s="1078"/>
      <c r="DO408" s="303" t="s">
        <v>104</v>
      </c>
      <c r="DP408" s="303" t="s">
        <v>105</v>
      </c>
      <c r="DQ408" s="303" t="s">
        <v>106</v>
      </c>
      <c r="DR408" s="304" t="s">
        <v>516</v>
      </c>
      <c r="DS408" s="1078"/>
      <c r="DW408" s="303" t="s">
        <v>104</v>
      </c>
      <c r="DX408" s="303" t="s">
        <v>105</v>
      </c>
      <c r="DY408" s="303" t="s">
        <v>106</v>
      </c>
      <c r="DZ408" s="304" t="s">
        <v>516</v>
      </c>
      <c r="EA408" s="1078"/>
      <c r="EE408" s="303" t="s">
        <v>104</v>
      </c>
      <c r="EF408" s="303" t="s">
        <v>105</v>
      </c>
      <c r="EG408" s="303" t="s">
        <v>106</v>
      </c>
      <c r="EH408" s="304" t="s">
        <v>516</v>
      </c>
      <c r="EI408" s="1078"/>
      <c r="EM408" s="303" t="s">
        <v>104</v>
      </c>
      <c r="EN408" s="303" t="s">
        <v>105</v>
      </c>
      <c r="EO408" s="303" t="s">
        <v>106</v>
      </c>
      <c r="EP408" s="304" t="s">
        <v>516</v>
      </c>
      <c r="EQ408" s="1078"/>
      <c r="EU408" s="303" t="s">
        <v>104</v>
      </c>
      <c r="EV408" s="303" t="s">
        <v>105</v>
      </c>
      <c r="EW408" s="303" t="s">
        <v>106</v>
      </c>
      <c r="EX408" s="304" t="s">
        <v>516</v>
      </c>
      <c r="EY408" s="1078"/>
      <c r="FC408" s="303" t="s">
        <v>104</v>
      </c>
      <c r="FD408" s="303" t="s">
        <v>105</v>
      </c>
      <c r="FE408" s="303" t="s">
        <v>106</v>
      </c>
      <c r="FF408" s="304" t="s">
        <v>516</v>
      </c>
      <c r="FG408" s="1078"/>
      <c r="FK408" s="303" t="s">
        <v>104</v>
      </c>
      <c r="FL408" s="303" t="s">
        <v>105</v>
      </c>
      <c r="FM408" s="303" t="s">
        <v>106</v>
      </c>
      <c r="FN408" s="304" t="s">
        <v>516</v>
      </c>
      <c r="FO408" s="1078"/>
    </row>
    <row r="409" spans="2:171">
      <c r="B409" s="108"/>
      <c r="C409" s="108" t="s">
        <v>531</v>
      </c>
      <c r="D409" s="1071"/>
      <c r="E409" s="904"/>
      <c r="G409" s="890">
        <f>G405</f>
        <v>5078901626</v>
      </c>
      <c r="H409" s="890">
        <f>H405</f>
        <v>1613875938</v>
      </c>
      <c r="I409" s="890">
        <f>I405</f>
        <v>0</v>
      </c>
      <c r="J409" s="890">
        <f>J405</f>
        <v>3465025688</v>
      </c>
      <c r="K409" s="1078"/>
      <c r="L409" s="1071"/>
      <c r="M409" s="1072"/>
      <c r="N409" s="1072"/>
      <c r="O409" s="890">
        <f>O405</f>
        <v>5078901626</v>
      </c>
      <c r="P409" s="890">
        <f>P405</f>
        <v>1613875938</v>
      </c>
      <c r="Q409" s="890">
        <f>Q405</f>
        <v>1057719030</v>
      </c>
      <c r="R409" s="890">
        <f>R405</f>
        <v>2407306658</v>
      </c>
      <c r="S409" s="1078"/>
      <c r="T409" s="1071"/>
      <c r="U409" s="1072"/>
      <c r="V409" s="1072"/>
      <c r="W409" s="890">
        <f>W405</f>
        <v>5078901626</v>
      </c>
      <c r="X409" s="890">
        <f>X405</f>
        <v>1613875938</v>
      </c>
      <c r="Y409" s="890">
        <f>Y405</f>
        <v>1057719030</v>
      </c>
      <c r="Z409" s="890">
        <f>Z405</f>
        <v>2407306658</v>
      </c>
      <c r="AA409" s="1078"/>
      <c r="AB409" s="1071"/>
      <c r="AC409" s="1072"/>
      <c r="AD409" s="1072"/>
      <c r="AE409" s="890">
        <f>AE405</f>
        <v>5078901626</v>
      </c>
      <c r="AF409" s="890">
        <f>AF405</f>
        <v>1613875938</v>
      </c>
      <c r="AG409" s="890">
        <f>AG405</f>
        <v>1057719030</v>
      </c>
      <c r="AH409" s="890">
        <f>AH405</f>
        <v>2407306658</v>
      </c>
      <c r="AI409" s="1078"/>
      <c r="AJ409" s="1071"/>
      <c r="AK409" s="1072"/>
      <c r="AL409" s="1072"/>
      <c r="AM409" s="890">
        <f>AM405</f>
        <v>5078901626</v>
      </c>
      <c r="AN409" s="890">
        <f>AN405</f>
        <v>1613875938</v>
      </c>
      <c r="AO409" s="890">
        <f>AO405</f>
        <v>1057719030</v>
      </c>
      <c r="AP409" s="890">
        <f>AP405</f>
        <v>2407306658</v>
      </c>
      <c r="AQ409" s="1078"/>
      <c r="AR409" s="1071"/>
      <c r="AS409" s="1072"/>
      <c r="AT409" s="1072"/>
      <c r="AU409" s="890">
        <f>AU405</f>
        <v>5078901626</v>
      </c>
      <c r="AV409" s="890">
        <f>AV405</f>
        <v>1613875938</v>
      </c>
      <c r="AW409" s="890">
        <f>AW405</f>
        <v>1057719030</v>
      </c>
      <c r="AX409" s="890">
        <f>AX405</f>
        <v>2407306658</v>
      </c>
      <c r="AY409" s="1078"/>
      <c r="AZ409" s="1071"/>
      <c r="BA409" s="1072"/>
      <c r="BB409" s="1072"/>
      <c r="BC409" s="890">
        <f>BC405</f>
        <v>5078901626</v>
      </c>
      <c r="BD409" s="890">
        <f>BD405</f>
        <v>1613875938</v>
      </c>
      <c r="BE409" s="890">
        <f>BE405</f>
        <v>1057719030</v>
      </c>
      <c r="BF409" s="890">
        <f>BF405</f>
        <v>2407306658</v>
      </c>
      <c r="BG409" s="1078"/>
      <c r="BH409" s="1071"/>
      <c r="BI409" s="1072"/>
      <c r="BJ409" s="1072"/>
      <c r="BK409" s="890">
        <f>BK405</f>
        <v>5078901626</v>
      </c>
      <c r="BL409" s="890">
        <f>BL405</f>
        <v>1613875938</v>
      </c>
      <c r="BM409" s="890">
        <f>BM405</f>
        <v>1057719030</v>
      </c>
      <c r="BN409" s="890">
        <f>BN405</f>
        <v>2407306658</v>
      </c>
      <c r="BO409" s="1078"/>
      <c r="BP409" s="1071"/>
      <c r="BQ409" s="1072"/>
      <c r="BR409" s="1072"/>
      <c r="BS409" s="890">
        <f>BS405</f>
        <v>5078901626</v>
      </c>
      <c r="BT409" s="890">
        <f>BT405</f>
        <v>1613875938</v>
      </c>
      <c r="BU409" s="890">
        <f>BU405</f>
        <v>1057719030</v>
      </c>
      <c r="BV409" s="890">
        <f>BV405</f>
        <v>2407306658</v>
      </c>
      <c r="BW409" s="1078"/>
      <c r="BX409" s="1071"/>
      <c r="BY409" s="1072"/>
      <c r="BZ409" s="1072"/>
      <c r="CA409" s="890">
        <f>CA405</f>
        <v>5078901626</v>
      </c>
      <c r="CB409" s="890">
        <f>CB405</f>
        <v>1613875938</v>
      </c>
      <c r="CC409" s="890">
        <f>CC405</f>
        <v>1057719030</v>
      </c>
      <c r="CD409" s="890">
        <f>CD405</f>
        <v>2407306658</v>
      </c>
      <c r="CE409" s="1078"/>
      <c r="CF409" s="1071"/>
      <c r="CG409" s="1072"/>
      <c r="CH409" s="1072"/>
      <c r="CI409" s="890">
        <f>CI405</f>
        <v>5078901626</v>
      </c>
      <c r="CJ409" s="890">
        <f>CJ405</f>
        <v>1613875938</v>
      </c>
      <c r="CK409" s="890">
        <f>CK405</f>
        <v>1057719030</v>
      </c>
      <c r="CL409" s="890">
        <f>CL405</f>
        <v>2407306658</v>
      </c>
      <c r="CM409" s="1078"/>
      <c r="CN409" s="1071"/>
      <c r="CO409" s="1072"/>
      <c r="CP409" s="1072"/>
      <c r="CQ409" s="890">
        <f>CQ405</f>
        <v>5078901626</v>
      </c>
      <c r="CR409" s="890">
        <f>CR405</f>
        <v>1613875938</v>
      </c>
      <c r="CS409" s="890">
        <f>CS405</f>
        <v>1057719030</v>
      </c>
      <c r="CT409" s="890">
        <f>CT405</f>
        <v>2407306658</v>
      </c>
      <c r="CU409" s="1078"/>
      <c r="CV409" s="1071"/>
      <c r="CW409" s="1072"/>
      <c r="CX409" s="1072"/>
      <c r="CY409" s="890">
        <f>CY405</f>
        <v>5078901626</v>
      </c>
      <c r="CZ409" s="890">
        <f>CZ405</f>
        <v>1613875938</v>
      </c>
      <c r="DA409" s="890">
        <f>DA405</f>
        <v>1057719030</v>
      </c>
      <c r="DB409" s="890">
        <f>DB405</f>
        <v>2407306658</v>
      </c>
      <c r="DC409" s="1078"/>
      <c r="DD409" s="1071"/>
      <c r="DE409" s="1072"/>
      <c r="DF409" s="1072"/>
      <c r="DG409" s="890">
        <f>DG405</f>
        <v>5078901626</v>
      </c>
      <c r="DH409" s="890">
        <f>DH405</f>
        <v>1613875938</v>
      </c>
      <c r="DI409" s="890">
        <f>DI405</f>
        <v>1057719030</v>
      </c>
      <c r="DJ409" s="890">
        <f>DJ405</f>
        <v>2407306658</v>
      </c>
      <c r="DK409" s="1078"/>
      <c r="DL409" s="1071"/>
      <c r="DM409" s="1072"/>
      <c r="DN409" s="1072"/>
      <c r="DO409" s="890">
        <f>DO405</f>
        <v>5078901626</v>
      </c>
      <c r="DP409" s="890">
        <f>DP405</f>
        <v>1613875938</v>
      </c>
      <c r="DQ409" s="890">
        <f>DQ405</f>
        <v>1057719030</v>
      </c>
      <c r="DR409" s="890">
        <f>DR405</f>
        <v>2407306658</v>
      </c>
      <c r="DS409" s="1078"/>
      <c r="DT409" s="1071"/>
      <c r="DU409" s="1072"/>
      <c r="DV409" s="1072"/>
      <c r="DW409" s="890">
        <f>DW405</f>
        <v>5078901626</v>
      </c>
      <c r="DX409" s="890">
        <f>DX405</f>
        <v>1613875938</v>
      </c>
      <c r="DY409" s="890">
        <f>DY405</f>
        <v>1057719030</v>
      </c>
      <c r="DZ409" s="890">
        <f>DZ405</f>
        <v>2407306658</v>
      </c>
      <c r="EA409" s="1078"/>
      <c r="EB409" s="1071"/>
      <c r="EC409" s="1072"/>
      <c r="ED409" s="1072"/>
      <c r="EE409" s="890">
        <f>EE405</f>
        <v>5078901626</v>
      </c>
      <c r="EF409" s="890">
        <f>EF405</f>
        <v>1613875938</v>
      </c>
      <c r="EG409" s="890">
        <f>EG405</f>
        <v>1057719030</v>
      </c>
      <c r="EH409" s="890">
        <f>EH405</f>
        <v>2407306658</v>
      </c>
      <c r="EI409" s="1078"/>
      <c r="EJ409" s="1071"/>
      <c r="EK409" s="1072"/>
      <c r="EL409" s="1072"/>
      <c r="EM409" s="890">
        <f>EM405</f>
        <v>5078901626</v>
      </c>
      <c r="EN409" s="890">
        <f>EN405</f>
        <v>1613875938</v>
      </c>
      <c r="EO409" s="890">
        <f>EO405</f>
        <v>1057719030</v>
      </c>
      <c r="EP409" s="890">
        <f>EP405</f>
        <v>2407306658</v>
      </c>
      <c r="EQ409" s="1078"/>
      <c r="ER409" s="1071"/>
      <c r="ES409" s="1072"/>
      <c r="ET409" s="1072"/>
      <c r="EU409" s="890">
        <f>EU405</f>
        <v>5078901626</v>
      </c>
      <c r="EV409" s="890">
        <f>EV405</f>
        <v>1613875938</v>
      </c>
      <c r="EW409" s="890">
        <f>EW405</f>
        <v>1057719030</v>
      </c>
      <c r="EX409" s="890">
        <f>EX405</f>
        <v>2407306658</v>
      </c>
      <c r="EY409" s="1078"/>
      <c r="EZ409" s="1071"/>
      <c r="FA409" s="1072"/>
      <c r="FB409" s="1072"/>
      <c r="FC409" s="890">
        <f>FC405</f>
        <v>5078901626</v>
      </c>
      <c r="FD409" s="890">
        <f>FD405</f>
        <v>1613875938</v>
      </c>
      <c r="FE409" s="890">
        <f>FE405</f>
        <v>1057719030</v>
      </c>
      <c r="FF409" s="890">
        <f>FF405</f>
        <v>2407306658</v>
      </c>
      <c r="FG409" s="1078"/>
      <c r="FH409" s="1071"/>
      <c r="FI409" s="1072"/>
      <c r="FJ409" s="1072"/>
      <c r="FK409" s="890">
        <f>FK405</f>
        <v>5078901626</v>
      </c>
      <c r="FL409" s="890">
        <f>FL405</f>
        <v>1613875938</v>
      </c>
      <c r="FM409" s="890">
        <f>FM405</f>
        <v>1057719030</v>
      </c>
      <c r="FN409" s="890">
        <f>FN405</f>
        <v>2407306658</v>
      </c>
      <c r="FO409" s="1078"/>
    </row>
    <row r="410" spans="2:171">
      <c r="B410" s="108"/>
      <c r="C410" s="108" t="s">
        <v>532</v>
      </c>
      <c r="D410" s="1071"/>
      <c r="E410" s="904" t="str">
        <f>E16</f>
        <v>DIST</v>
      </c>
      <c r="G410" s="890">
        <f t="shared" ref="G410:J412" si="1078">G16</f>
        <v>0</v>
      </c>
      <c r="H410" s="890">
        <f t="shared" si="1078"/>
        <v>0</v>
      </c>
      <c r="I410" s="890">
        <f t="shared" si="1078"/>
        <v>0</v>
      </c>
      <c r="J410" s="890">
        <f t="shared" si="1078"/>
        <v>0</v>
      </c>
      <c r="K410" s="1073"/>
      <c r="L410" s="1071"/>
      <c r="M410" s="1072"/>
      <c r="N410" s="1072"/>
      <c r="O410" s="890">
        <f t="shared" ref="O410:R412" si="1079">O16</f>
        <v>0</v>
      </c>
      <c r="P410" s="890">
        <f t="shared" si="1079"/>
        <v>0</v>
      </c>
      <c r="Q410" s="890">
        <f t="shared" si="1079"/>
        <v>0</v>
      </c>
      <c r="R410" s="890">
        <f t="shared" si="1079"/>
        <v>0</v>
      </c>
      <c r="S410" s="1073"/>
      <c r="T410" s="1071"/>
      <c r="U410" s="1072"/>
      <c r="V410" s="1072"/>
      <c r="W410" s="890">
        <f t="shared" ref="W410:Z412" si="1080">W16</f>
        <v>0</v>
      </c>
      <c r="X410" s="890">
        <f t="shared" si="1080"/>
        <v>0</v>
      </c>
      <c r="Y410" s="890">
        <f t="shared" si="1080"/>
        <v>0</v>
      </c>
      <c r="Z410" s="890">
        <f t="shared" si="1080"/>
        <v>0</v>
      </c>
      <c r="AA410" s="1073"/>
      <c r="AB410" s="1071"/>
      <c r="AC410" s="1072"/>
      <c r="AD410" s="1072"/>
      <c r="AE410" s="890">
        <f t="shared" ref="AE410:AH412" si="1081">AE16</f>
        <v>0</v>
      </c>
      <c r="AF410" s="890">
        <f t="shared" si="1081"/>
        <v>0</v>
      </c>
      <c r="AG410" s="890">
        <f t="shared" si="1081"/>
        <v>0</v>
      </c>
      <c r="AH410" s="890">
        <f t="shared" si="1081"/>
        <v>0</v>
      </c>
      <c r="AI410" s="1073"/>
      <c r="AJ410" s="1071"/>
      <c r="AK410" s="1072"/>
      <c r="AL410" s="1072"/>
      <c r="AM410" s="890">
        <f t="shared" ref="AM410:AP412" si="1082">AM16</f>
        <v>0</v>
      </c>
      <c r="AN410" s="890">
        <f t="shared" si="1082"/>
        <v>0</v>
      </c>
      <c r="AO410" s="890">
        <f t="shared" si="1082"/>
        <v>0</v>
      </c>
      <c r="AP410" s="890">
        <f t="shared" si="1082"/>
        <v>0</v>
      </c>
      <c r="AQ410" s="1073"/>
      <c r="AR410" s="1071"/>
      <c r="AS410" s="1072"/>
      <c r="AT410" s="1072"/>
      <c r="AU410" s="890">
        <f t="shared" ref="AU410:AX412" si="1083">AU16</f>
        <v>0</v>
      </c>
      <c r="AV410" s="890">
        <f t="shared" si="1083"/>
        <v>0</v>
      </c>
      <c r="AW410" s="890">
        <f t="shared" si="1083"/>
        <v>0</v>
      </c>
      <c r="AX410" s="890">
        <f t="shared" si="1083"/>
        <v>0</v>
      </c>
      <c r="AY410" s="1073"/>
      <c r="AZ410" s="1071"/>
      <c r="BA410" s="1072"/>
      <c r="BB410" s="1072"/>
      <c r="BC410" s="890">
        <f t="shared" ref="BC410:BF412" si="1084">BC16</f>
        <v>0</v>
      </c>
      <c r="BD410" s="890">
        <f t="shared" si="1084"/>
        <v>0</v>
      </c>
      <c r="BE410" s="890">
        <f t="shared" si="1084"/>
        <v>0</v>
      </c>
      <c r="BF410" s="890">
        <f t="shared" si="1084"/>
        <v>0</v>
      </c>
      <c r="BG410" s="1073"/>
      <c r="BH410" s="1071"/>
      <c r="BI410" s="1072"/>
      <c r="BJ410" s="1072"/>
      <c r="BK410" s="890">
        <f t="shared" ref="BK410:BN412" si="1085">BK16</f>
        <v>0</v>
      </c>
      <c r="BL410" s="890">
        <f t="shared" si="1085"/>
        <v>0</v>
      </c>
      <c r="BM410" s="890">
        <f t="shared" si="1085"/>
        <v>0</v>
      </c>
      <c r="BN410" s="890">
        <f t="shared" si="1085"/>
        <v>0</v>
      </c>
      <c r="BO410" s="1073"/>
      <c r="BP410" s="1071"/>
      <c r="BQ410" s="1072"/>
      <c r="BR410" s="1072"/>
      <c r="BS410" s="890">
        <f t="shared" ref="BS410:BV412" si="1086">BS16</f>
        <v>0</v>
      </c>
      <c r="BT410" s="890">
        <f t="shared" si="1086"/>
        <v>0</v>
      </c>
      <c r="BU410" s="890">
        <f t="shared" si="1086"/>
        <v>0</v>
      </c>
      <c r="BV410" s="890">
        <f t="shared" si="1086"/>
        <v>0</v>
      </c>
      <c r="BW410" s="1073"/>
      <c r="BX410" s="1071"/>
      <c r="BY410" s="1072"/>
      <c r="BZ410" s="1072"/>
      <c r="CA410" s="890">
        <f t="shared" ref="CA410:CD412" si="1087">CA16</f>
        <v>0</v>
      </c>
      <c r="CB410" s="890">
        <f t="shared" si="1087"/>
        <v>0</v>
      </c>
      <c r="CC410" s="890">
        <f t="shared" si="1087"/>
        <v>0</v>
      </c>
      <c r="CD410" s="890">
        <f t="shared" si="1087"/>
        <v>0</v>
      </c>
      <c r="CE410" s="1073"/>
      <c r="CF410" s="1071"/>
      <c r="CG410" s="1072"/>
      <c r="CH410" s="1072"/>
      <c r="CI410" s="890">
        <f t="shared" ref="CI410:CL412" si="1088">CI16</f>
        <v>0</v>
      </c>
      <c r="CJ410" s="890">
        <f t="shared" si="1088"/>
        <v>0</v>
      </c>
      <c r="CK410" s="890">
        <f t="shared" si="1088"/>
        <v>0</v>
      </c>
      <c r="CL410" s="890">
        <f t="shared" si="1088"/>
        <v>0</v>
      </c>
      <c r="CM410" s="1073"/>
      <c r="CN410" s="1071"/>
      <c r="CO410" s="1072"/>
      <c r="CP410" s="1072"/>
      <c r="CQ410" s="890">
        <f t="shared" ref="CQ410:CT412" si="1089">CQ16</f>
        <v>0</v>
      </c>
      <c r="CR410" s="890">
        <f t="shared" si="1089"/>
        <v>0</v>
      </c>
      <c r="CS410" s="890">
        <f t="shared" si="1089"/>
        <v>0</v>
      </c>
      <c r="CT410" s="890">
        <f t="shared" si="1089"/>
        <v>0</v>
      </c>
      <c r="CU410" s="1073"/>
      <c r="CV410" s="1071"/>
      <c r="CW410" s="1072"/>
      <c r="CX410" s="1072"/>
      <c r="CY410" s="890">
        <f t="shared" ref="CY410:DB412" si="1090">CY16</f>
        <v>0</v>
      </c>
      <c r="CZ410" s="890">
        <f t="shared" si="1090"/>
        <v>0</v>
      </c>
      <c r="DA410" s="890">
        <f t="shared" si="1090"/>
        <v>0</v>
      </c>
      <c r="DB410" s="890">
        <f t="shared" si="1090"/>
        <v>0</v>
      </c>
      <c r="DC410" s="1073"/>
      <c r="DD410" s="1071"/>
      <c r="DE410" s="1072"/>
      <c r="DF410" s="1072"/>
      <c r="DG410" s="890">
        <f t="shared" ref="DG410:DJ412" si="1091">DG16</f>
        <v>0</v>
      </c>
      <c r="DH410" s="890">
        <f t="shared" si="1091"/>
        <v>0</v>
      </c>
      <c r="DI410" s="890">
        <f t="shared" si="1091"/>
        <v>0</v>
      </c>
      <c r="DJ410" s="890">
        <f t="shared" si="1091"/>
        <v>0</v>
      </c>
      <c r="DK410" s="1073"/>
      <c r="DL410" s="1071"/>
      <c r="DM410" s="1072"/>
      <c r="DN410" s="1072"/>
      <c r="DO410" s="890">
        <f t="shared" ref="DO410:DR412" si="1092">DO16</f>
        <v>0</v>
      </c>
      <c r="DP410" s="890">
        <f t="shared" si="1092"/>
        <v>0</v>
      </c>
      <c r="DQ410" s="890">
        <f t="shared" si="1092"/>
        <v>0</v>
      </c>
      <c r="DR410" s="890">
        <f t="shared" si="1092"/>
        <v>0</v>
      </c>
      <c r="DS410" s="1073"/>
      <c r="DT410" s="1071"/>
      <c r="DU410" s="1072"/>
      <c r="DV410" s="1072"/>
      <c r="DW410" s="890">
        <f t="shared" ref="DW410:DZ412" si="1093">DW16</f>
        <v>0</v>
      </c>
      <c r="DX410" s="890">
        <f t="shared" si="1093"/>
        <v>0</v>
      </c>
      <c r="DY410" s="890">
        <f t="shared" si="1093"/>
        <v>0</v>
      </c>
      <c r="DZ410" s="890">
        <f t="shared" si="1093"/>
        <v>0</v>
      </c>
      <c r="EA410" s="1073"/>
      <c r="EB410" s="1071"/>
      <c r="EC410" s="1072"/>
      <c r="ED410" s="1072"/>
      <c r="EE410" s="890">
        <f t="shared" ref="EE410:EH412" si="1094">EE16</f>
        <v>0</v>
      </c>
      <c r="EF410" s="890">
        <f t="shared" si="1094"/>
        <v>0</v>
      </c>
      <c r="EG410" s="890">
        <f t="shared" si="1094"/>
        <v>0</v>
      </c>
      <c r="EH410" s="890">
        <f t="shared" si="1094"/>
        <v>0</v>
      </c>
      <c r="EI410" s="1073"/>
      <c r="EJ410" s="1071"/>
      <c r="EK410" s="1072"/>
      <c r="EL410" s="1072"/>
      <c r="EM410" s="890">
        <f t="shared" ref="EM410:EP412" si="1095">EM16</f>
        <v>0</v>
      </c>
      <c r="EN410" s="890">
        <f t="shared" si="1095"/>
        <v>0</v>
      </c>
      <c r="EO410" s="890">
        <f t="shared" si="1095"/>
        <v>0</v>
      </c>
      <c r="EP410" s="890">
        <f t="shared" si="1095"/>
        <v>0</v>
      </c>
      <c r="EQ410" s="1073"/>
      <c r="ER410" s="1071"/>
      <c r="ES410" s="1072"/>
      <c r="ET410" s="1072"/>
      <c r="EU410" s="890">
        <f t="shared" ref="EU410:EX412" si="1096">EU16</f>
        <v>0</v>
      </c>
      <c r="EV410" s="890">
        <f t="shared" si="1096"/>
        <v>0</v>
      </c>
      <c r="EW410" s="890">
        <f t="shared" si="1096"/>
        <v>0</v>
      </c>
      <c r="EX410" s="890">
        <f t="shared" si="1096"/>
        <v>0</v>
      </c>
      <c r="EY410" s="1073"/>
      <c r="EZ410" s="1071"/>
      <c r="FA410" s="1072"/>
      <c r="FB410" s="1072"/>
      <c r="FC410" s="890">
        <f t="shared" ref="FC410:FF412" si="1097">FC16</f>
        <v>0</v>
      </c>
      <c r="FD410" s="890">
        <f t="shared" si="1097"/>
        <v>0</v>
      </c>
      <c r="FE410" s="890">
        <f t="shared" si="1097"/>
        <v>0</v>
      </c>
      <c r="FF410" s="890">
        <f t="shared" si="1097"/>
        <v>0</v>
      </c>
      <c r="FG410" s="1073"/>
      <c r="FH410" s="1071"/>
      <c r="FI410" s="1072"/>
      <c r="FJ410" s="1072"/>
      <c r="FK410" s="890">
        <f t="shared" ref="FK410:FN412" si="1098">FK16</f>
        <v>0</v>
      </c>
      <c r="FL410" s="890">
        <f t="shared" si="1098"/>
        <v>0</v>
      </c>
      <c r="FM410" s="890">
        <f t="shared" si="1098"/>
        <v>0</v>
      </c>
      <c r="FN410" s="890">
        <f t="shared" si="1098"/>
        <v>0</v>
      </c>
      <c r="FO410" s="1073"/>
    </row>
    <row r="411" spans="2:171">
      <c r="B411" s="108"/>
      <c r="C411" s="108" t="s">
        <v>533</v>
      </c>
      <c r="D411" s="1071"/>
      <c r="E411" s="904" t="str">
        <f>E17</f>
        <v>DIRECT</v>
      </c>
      <c r="G411" s="890">
        <f t="shared" si="1078"/>
        <v>46804271</v>
      </c>
      <c r="H411" s="890">
        <f t="shared" si="1078"/>
        <v>42107007.580000006</v>
      </c>
      <c r="I411" s="890">
        <f t="shared" si="1078"/>
        <v>0</v>
      </c>
      <c r="J411" s="890">
        <f t="shared" si="1078"/>
        <v>4697263.32</v>
      </c>
      <c r="K411" s="1073"/>
      <c r="L411" s="1071"/>
      <c r="M411" s="1072"/>
      <c r="N411" s="1072"/>
      <c r="O411" s="890">
        <f t="shared" si="1079"/>
        <v>46804271</v>
      </c>
      <c r="P411" s="890">
        <f t="shared" si="1079"/>
        <v>42107007.580000006</v>
      </c>
      <c r="Q411" s="890">
        <f t="shared" si="1079"/>
        <v>0</v>
      </c>
      <c r="R411" s="890">
        <f t="shared" si="1079"/>
        <v>4697263.4199999943</v>
      </c>
      <c r="S411" s="1073"/>
      <c r="T411" s="1071"/>
      <c r="U411" s="1072"/>
      <c r="V411" s="1072"/>
      <c r="W411" s="890">
        <f t="shared" si="1080"/>
        <v>46804271</v>
      </c>
      <c r="X411" s="890">
        <f t="shared" si="1080"/>
        <v>42107007.580000006</v>
      </c>
      <c r="Y411" s="890">
        <f t="shared" si="1080"/>
        <v>0</v>
      </c>
      <c r="Z411" s="890">
        <f t="shared" si="1080"/>
        <v>4697263.4199999943</v>
      </c>
      <c r="AA411" s="1073"/>
      <c r="AB411" s="1071"/>
      <c r="AC411" s="1072"/>
      <c r="AD411" s="1072"/>
      <c r="AE411" s="890">
        <f t="shared" si="1081"/>
        <v>46804271</v>
      </c>
      <c r="AF411" s="890">
        <f t="shared" si="1081"/>
        <v>42107007.580000006</v>
      </c>
      <c r="AG411" s="890">
        <f t="shared" si="1081"/>
        <v>0</v>
      </c>
      <c r="AH411" s="890">
        <f t="shared" si="1081"/>
        <v>4697263.4199999943</v>
      </c>
      <c r="AI411" s="1073"/>
      <c r="AJ411" s="1071"/>
      <c r="AK411" s="1072"/>
      <c r="AL411" s="1072"/>
      <c r="AM411" s="890">
        <f t="shared" si="1082"/>
        <v>46804271</v>
      </c>
      <c r="AN411" s="890">
        <f t="shared" si="1082"/>
        <v>42107007.580000006</v>
      </c>
      <c r="AO411" s="890">
        <f t="shared" si="1082"/>
        <v>0</v>
      </c>
      <c r="AP411" s="890">
        <f t="shared" si="1082"/>
        <v>4697263.4199999943</v>
      </c>
      <c r="AQ411" s="1073"/>
      <c r="AR411" s="1071"/>
      <c r="AS411" s="1072"/>
      <c r="AT411" s="1072"/>
      <c r="AU411" s="890">
        <f t="shared" si="1083"/>
        <v>46804271</v>
      </c>
      <c r="AV411" s="890">
        <f t="shared" si="1083"/>
        <v>42107007.580000006</v>
      </c>
      <c r="AW411" s="890">
        <f t="shared" si="1083"/>
        <v>0</v>
      </c>
      <c r="AX411" s="890">
        <f t="shared" si="1083"/>
        <v>4697263.4199999943</v>
      </c>
      <c r="AY411" s="1073"/>
      <c r="AZ411" s="1071"/>
      <c r="BA411" s="1072"/>
      <c r="BB411" s="1072"/>
      <c r="BC411" s="890">
        <f t="shared" si="1084"/>
        <v>46804271</v>
      </c>
      <c r="BD411" s="890">
        <f t="shared" si="1084"/>
        <v>42107007.580000006</v>
      </c>
      <c r="BE411" s="890">
        <f t="shared" si="1084"/>
        <v>0</v>
      </c>
      <c r="BF411" s="890">
        <f t="shared" si="1084"/>
        <v>4697263.4199999943</v>
      </c>
      <c r="BG411" s="1073"/>
      <c r="BH411" s="1071"/>
      <c r="BI411" s="1072"/>
      <c r="BJ411" s="1072"/>
      <c r="BK411" s="890">
        <f t="shared" si="1085"/>
        <v>46804271</v>
      </c>
      <c r="BL411" s="890">
        <f t="shared" si="1085"/>
        <v>42107007.580000006</v>
      </c>
      <c r="BM411" s="890">
        <f t="shared" si="1085"/>
        <v>0</v>
      </c>
      <c r="BN411" s="890">
        <f t="shared" si="1085"/>
        <v>4697263.4199999943</v>
      </c>
      <c r="BO411" s="1073"/>
      <c r="BP411" s="1071"/>
      <c r="BQ411" s="1072"/>
      <c r="BR411" s="1072"/>
      <c r="BS411" s="890">
        <f t="shared" si="1086"/>
        <v>46804271</v>
      </c>
      <c r="BT411" s="890">
        <f t="shared" si="1086"/>
        <v>42107007.580000006</v>
      </c>
      <c r="BU411" s="890">
        <f t="shared" si="1086"/>
        <v>0</v>
      </c>
      <c r="BV411" s="890">
        <f t="shared" si="1086"/>
        <v>4697263.4199999943</v>
      </c>
      <c r="BW411" s="1073"/>
      <c r="BX411" s="1071"/>
      <c r="BY411" s="1072"/>
      <c r="BZ411" s="1072"/>
      <c r="CA411" s="890">
        <f t="shared" si="1087"/>
        <v>46804271</v>
      </c>
      <c r="CB411" s="890">
        <f t="shared" si="1087"/>
        <v>42107007.580000006</v>
      </c>
      <c r="CC411" s="890">
        <f t="shared" si="1087"/>
        <v>0</v>
      </c>
      <c r="CD411" s="890">
        <f t="shared" si="1087"/>
        <v>4697263.4199999943</v>
      </c>
      <c r="CE411" s="1073"/>
      <c r="CF411" s="1071"/>
      <c r="CG411" s="1072"/>
      <c r="CH411" s="1072"/>
      <c r="CI411" s="890">
        <f t="shared" si="1088"/>
        <v>46804271</v>
      </c>
      <c r="CJ411" s="890">
        <f t="shared" si="1088"/>
        <v>42107007.580000006</v>
      </c>
      <c r="CK411" s="890">
        <f t="shared" si="1088"/>
        <v>0</v>
      </c>
      <c r="CL411" s="890">
        <f t="shared" si="1088"/>
        <v>4697263.4199999943</v>
      </c>
      <c r="CM411" s="1073"/>
      <c r="CN411" s="1071"/>
      <c r="CO411" s="1072"/>
      <c r="CP411" s="1072"/>
      <c r="CQ411" s="890">
        <f t="shared" si="1089"/>
        <v>46804271</v>
      </c>
      <c r="CR411" s="890">
        <f t="shared" si="1089"/>
        <v>42107007.580000006</v>
      </c>
      <c r="CS411" s="890">
        <f t="shared" si="1089"/>
        <v>0</v>
      </c>
      <c r="CT411" s="890">
        <f t="shared" si="1089"/>
        <v>4697263.4199999943</v>
      </c>
      <c r="CU411" s="1073"/>
      <c r="CV411" s="1071"/>
      <c r="CW411" s="1072"/>
      <c r="CX411" s="1072"/>
      <c r="CY411" s="890">
        <f t="shared" si="1090"/>
        <v>46804271</v>
      </c>
      <c r="CZ411" s="890">
        <f t="shared" si="1090"/>
        <v>42107007.580000006</v>
      </c>
      <c r="DA411" s="890">
        <f t="shared" si="1090"/>
        <v>0</v>
      </c>
      <c r="DB411" s="890">
        <f t="shared" si="1090"/>
        <v>4697263.4199999943</v>
      </c>
      <c r="DC411" s="1073"/>
      <c r="DD411" s="1071"/>
      <c r="DE411" s="1072"/>
      <c r="DF411" s="1072"/>
      <c r="DG411" s="890">
        <f t="shared" si="1091"/>
        <v>46804271</v>
      </c>
      <c r="DH411" s="890">
        <f t="shared" si="1091"/>
        <v>42107007.580000006</v>
      </c>
      <c r="DI411" s="890">
        <f t="shared" si="1091"/>
        <v>0</v>
      </c>
      <c r="DJ411" s="890">
        <f t="shared" si="1091"/>
        <v>4697263.4199999943</v>
      </c>
      <c r="DK411" s="1073"/>
      <c r="DL411" s="1071"/>
      <c r="DM411" s="1072"/>
      <c r="DN411" s="1072"/>
      <c r="DO411" s="890">
        <f t="shared" si="1092"/>
        <v>46804271</v>
      </c>
      <c r="DP411" s="890">
        <f t="shared" si="1092"/>
        <v>42107007.580000006</v>
      </c>
      <c r="DQ411" s="890">
        <f t="shared" si="1092"/>
        <v>0</v>
      </c>
      <c r="DR411" s="890">
        <f t="shared" si="1092"/>
        <v>4697263.4199999943</v>
      </c>
      <c r="DS411" s="1073"/>
      <c r="DT411" s="1071"/>
      <c r="DU411" s="1072"/>
      <c r="DV411" s="1072"/>
      <c r="DW411" s="890">
        <f t="shared" si="1093"/>
        <v>46804271</v>
      </c>
      <c r="DX411" s="890">
        <f t="shared" si="1093"/>
        <v>42107007.580000006</v>
      </c>
      <c r="DY411" s="890">
        <f t="shared" si="1093"/>
        <v>0</v>
      </c>
      <c r="DZ411" s="890">
        <f t="shared" si="1093"/>
        <v>4697263.4199999943</v>
      </c>
      <c r="EA411" s="1073"/>
      <c r="EB411" s="1071"/>
      <c r="EC411" s="1072"/>
      <c r="ED411" s="1072"/>
      <c r="EE411" s="890">
        <f t="shared" si="1094"/>
        <v>46804271</v>
      </c>
      <c r="EF411" s="890">
        <f t="shared" si="1094"/>
        <v>42107007.580000006</v>
      </c>
      <c r="EG411" s="890">
        <f t="shared" si="1094"/>
        <v>0</v>
      </c>
      <c r="EH411" s="890">
        <f t="shared" si="1094"/>
        <v>4697263.4199999943</v>
      </c>
      <c r="EI411" s="1073"/>
      <c r="EJ411" s="1071"/>
      <c r="EK411" s="1072"/>
      <c r="EL411" s="1072"/>
      <c r="EM411" s="890">
        <f t="shared" si="1095"/>
        <v>46804271</v>
      </c>
      <c r="EN411" s="890">
        <f t="shared" si="1095"/>
        <v>42107007.580000006</v>
      </c>
      <c r="EO411" s="890">
        <f t="shared" si="1095"/>
        <v>0</v>
      </c>
      <c r="EP411" s="890">
        <f t="shared" si="1095"/>
        <v>4697263.4199999943</v>
      </c>
      <c r="EQ411" s="1073"/>
      <c r="ER411" s="1071"/>
      <c r="ES411" s="1072"/>
      <c r="ET411" s="1072"/>
      <c r="EU411" s="890">
        <f t="shared" si="1096"/>
        <v>46804271</v>
      </c>
      <c r="EV411" s="890">
        <f t="shared" si="1096"/>
        <v>42107007.580000006</v>
      </c>
      <c r="EW411" s="890">
        <f t="shared" si="1096"/>
        <v>0</v>
      </c>
      <c r="EX411" s="890">
        <f t="shared" si="1096"/>
        <v>4697263.4199999943</v>
      </c>
      <c r="EY411" s="1073"/>
      <c r="EZ411" s="1071"/>
      <c r="FA411" s="1072"/>
      <c r="FB411" s="1072"/>
      <c r="FC411" s="890">
        <f t="shared" si="1097"/>
        <v>46804271</v>
      </c>
      <c r="FD411" s="890">
        <f t="shared" si="1097"/>
        <v>42107007.580000006</v>
      </c>
      <c r="FE411" s="890">
        <f t="shared" si="1097"/>
        <v>0</v>
      </c>
      <c r="FF411" s="890">
        <f t="shared" si="1097"/>
        <v>4697263.4199999943</v>
      </c>
      <c r="FG411" s="1073"/>
      <c r="FH411" s="1071"/>
      <c r="FI411" s="1072"/>
      <c r="FJ411" s="1072"/>
      <c r="FK411" s="890">
        <f t="shared" si="1098"/>
        <v>46804271</v>
      </c>
      <c r="FL411" s="890">
        <f t="shared" si="1098"/>
        <v>42107007.580000006</v>
      </c>
      <c r="FM411" s="890">
        <f t="shared" si="1098"/>
        <v>0</v>
      </c>
      <c r="FN411" s="890">
        <f t="shared" si="1098"/>
        <v>4697263.4199999943</v>
      </c>
      <c r="FO411" s="1073"/>
    </row>
    <row r="412" spans="2:171">
      <c r="B412" s="108"/>
      <c r="C412" s="108" t="s">
        <v>547</v>
      </c>
      <c r="D412" s="1071"/>
      <c r="E412" s="904" t="str">
        <f>E18</f>
        <v>DIRECT</v>
      </c>
      <c r="G412" s="890">
        <f t="shared" si="1078"/>
        <v>57840902</v>
      </c>
      <c r="H412" s="890">
        <f t="shared" si="1078"/>
        <v>21321712.686072055</v>
      </c>
      <c r="I412" s="890">
        <f t="shared" si="1078"/>
        <v>0</v>
      </c>
      <c r="J412" s="890">
        <f t="shared" si="1078"/>
        <v>36519188.863927945</v>
      </c>
      <c r="K412" s="1073"/>
      <c r="L412" s="1071"/>
      <c r="M412" s="1072"/>
      <c r="N412" s="1072"/>
      <c r="O412" s="890">
        <f t="shared" si="1079"/>
        <v>57840902</v>
      </c>
      <c r="P412" s="890">
        <f t="shared" si="1079"/>
        <v>21321712.686072055</v>
      </c>
      <c r="Q412" s="890">
        <f t="shared" si="1079"/>
        <v>0</v>
      </c>
      <c r="R412" s="890">
        <f t="shared" si="1079"/>
        <v>36519189.313927948</v>
      </c>
      <c r="S412" s="1073"/>
      <c r="T412" s="1071"/>
      <c r="U412" s="1072"/>
      <c r="V412" s="1072"/>
      <c r="W412" s="890">
        <f t="shared" si="1080"/>
        <v>57840902</v>
      </c>
      <c r="X412" s="890">
        <f t="shared" si="1080"/>
        <v>21321712.686072055</v>
      </c>
      <c r="Y412" s="890">
        <f t="shared" si="1080"/>
        <v>0</v>
      </c>
      <c r="Z412" s="890">
        <f t="shared" si="1080"/>
        <v>36519189.313927948</v>
      </c>
      <c r="AA412" s="1073"/>
      <c r="AB412" s="1071"/>
      <c r="AC412" s="1072"/>
      <c r="AD412" s="1072"/>
      <c r="AE412" s="890">
        <f t="shared" si="1081"/>
        <v>57840902</v>
      </c>
      <c r="AF412" s="890">
        <f t="shared" si="1081"/>
        <v>21321712.686072055</v>
      </c>
      <c r="AG412" s="890">
        <f t="shared" si="1081"/>
        <v>0</v>
      </c>
      <c r="AH412" s="890">
        <f t="shared" si="1081"/>
        <v>36519189.313927948</v>
      </c>
      <c r="AI412" s="1073"/>
      <c r="AJ412" s="1071"/>
      <c r="AK412" s="1072"/>
      <c r="AL412" s="1072"/>
      <c r="AM412" s="890">
        <f t="shared" si="1082"/>
        <v>57840902</v>
      </c>
      <c r="AN412" s="890">
        <f t="shared" si="1082"/>
        <v>21321712.686072055</v>
      </c>
      <c r="AO412" s="890">
        <f t="shared" si="1082"/>
        <v>0</v>
      </c>
      <c r="AP412" s="890">
        <f t="shared" si="1082"/>
        <v>36519189.313927948</v>
      </c>
      <c r="AQ412" s="1073"/>
      <c r="AR412" s="1071"/>
      <c r="AS412" s="1072"/>
      <c r="AT412" s="1072"/>
      <c r="AU412" s="890">
        <f t="shared" si="1083"/>
        <v>57840902</v>
      </c>
      <c r="AV412" s="890">
        <f t="shared" si="1083"/>
        <v>21321712.686072055</v>
      </c>
      <c r="AW412" s="890">
        <f t="shared" si="1083"/>
        <v>0</v>
      </c>
      <c r="AX412" s="890">
        <f t="shared" si="1083"/>
        <v>36519189.313927948</v>
      </c>
      <c r="AY412" s="1073"/>
      <c r="AZ412" s="1071"/>
      <c r="BA412" s="1072"/>
      <c r="BB412" s="1072"/>
      <c r="BC412" s="890">
        <f t="shared" si="1084"/>
        <v>57840902</v>
      </c>
      <c r="BD412" s="890">
        <f t="shared" si="1084"/>
        <v>21321712.686072055</v>
      </c>
      <c r="BE412" s="890">
        <f t="shared" si="1084"/>
        <v>0</v>
      </c>
      <c r="BF412" s="890">
        <f t="shared" si="1084"/>
        <v>36519189.313927948</v>
      </c>
      <c r="BG412" s="1073"/>
      <c r="BH412" s="1071"/>
      <c r="BI412" s="1072"/>
      <c r="BJ412" s="1072"/>
      <c r="BK412" s="890">
        <f t="shared" si="1085"/>
        <v>57840902</v>
      </c>
      <c r="BL412" s="890">
        <f t="shared" si="1085"/>
        <v>21321712.686072055</v>
      </c>
      <c r="BM412" s="890">
        <f t="shared" si="1085"/>
        <v>0</v>
      </c>
      <c r="BN412" s="890">
        <f t="shared" si="1085"/>
        <v>36519189.313927948</v>
      </c>
      <c r="BO412" s="1073"/>
      <c r="BP412" s="1071"/>
      <c r="BQ412" s="1072"/>
      <c r="BR412" s="1072"/>
      <c r="BS412" s="890">
        <f t="shared" si="1086"/>
        <v>57840902</v>
      </c>
      <c r="BT412" s="890">
        <f t="shared" si="1086"/>
        <v>21321712.686072055</v>
      </c>
      <c r="BU412" s="890">
        <f t="shared" si="1086"/>
        <v>0</v>
      </c>
      <c r="BV412" s="890">
        <f t="shared" si="1086"/>
        <v>36519189.313927948</v>
      </c>
      <c r="BW412" s="1073"/>
      <c r="BX412" s="1071"/>
      <c r="BY412" s="1072"/>
      <c r="BZ412" s="1072"/>
      <c r="CA412" s="890">
        <f t="shared" si="1087"/>
        <v>57840902</v>
      </c>
      <c r="CB412" s="890">
        <f t="shared" si="1087"/>
        <v>21321712.686072055</v>
      </c>
      <c r="CC412" s="890">
        <f t="shared" si="1087"/>
        <v>0</v>
      </c>
      <c r="CD412" s="890">
        <f t="shared" si="1087"/>
        <v>36519189.313927948</v>
      </c>
      <c r="CE412" s="1073"/>
      <c r="CF412" s="1071"/>
      <c r="CG412" s="1072"/>
      <c r="CH412" s="1072"/>
      <c r="CI412" s="890">
        <f t="shared" si="1088"/>
        <v>57840902</v>
      </c>
      <c r="CJ412" s="890">
        <f t="shared" si="1088"/>
        <v>21321712.686072055</v>
      </c>
      <c r="CK412" s="890">
        <f t="shared" si="1088"/>
        <v>0</v>
      </c>
      <c r="CL412" s="890">
        <f t="shared" si="1088"/>
        <v>36519189.313927948</v>
      </c>
      <c r="CM412" s="1073"/>
      <c r="CN412" s="1071"/>
      <c r="CO412" s="1072"/>
      <c r="CP412" s="1072"/>
      <c r="CQ412" s="890">
        <f t="shared" si="1089"/>
        <v>57840902</v>
      </c>
      <c r="CR412" s="890">
        <f t="shared" si="1089"/>
        <v>21321712.686072055</v>
      </c>
      <c r="CS412" s="890">
        <f t="shared" si="1089"/>
        <v>0</v>
      </c>
      <c r="CT412" s="890">
        <f t="shared" si="1089"/>
        <v>36519189.313927948</v>
      </c>
      <c r="CU412" s="1073"/>
      <c r="CV412" s="1071"/>
      <c r="CW412" s="1072"/>
      <c r="CX412" s="1072"/>
      <c r="CY412" s="890">
        <f t="shared" si="1090"/>
        <v>57840902</v>
      </c>
      <c r="CZ412" s="890">
        <f t="shared" si="1090"/>
        <v>21321712.686072055</v>
      </c>
      <c r="DA412" s="890">
        <f t="shared" si="1090"/>
        <v>0</v>
      </c>
      <c r="DB412" s="890">
        <f t="shared" si="1090"/>
        <v>36519189.313927948</v>
      </c>
      <c r="DC412" s="1073"/>
      <c r="DD412" s="1071"/>
      <c r="DE412" s="1072"/>
      <c r="DF412" s="1072"/>
      <c r="DG412" s="890">
        <f t="shared" si="1091"/>
        <v>57840902</v>
      </c>
      <c r="DH412" s="890">
        <f t="shared" si="1091"/>
        <v>21321712.686072055</v>
      </c>
      <c r="DI412" s="890">
        <f t="shared" si="1091"/>
        <v>0</v>
      </c>
      <c r="DJ412" s="890">
        <f t="shared" si="1091"/>
        <v>36519189.313927948</v>
      </c>
      <c r="DK412" s="1073"/>
      <c r="DL412" s="1071"/>
      <c r="DM412" s="1072"/>
      <c r="DN412" s="1072"/>
      <c r="DO412" s="890">
        <f t="shared" si="1092"/>
        <v>57840902</v>
      </c>
      <c r="DP412" s="890">
        <f t="shared" si="1092"/>
        <v>21321712.686072055</v>
      </c>
      <c r="DQ412" s="890">
        <f t="shared" si="1092"/>
        <v>0</v>
      </c>
      <c r="DR412" s="890">
        <f t="shared" si="1092"/>
        <v>36519189.313927948</v>
      </c>
      <c r="DS412" s="1073"/>
      <c r="DT412" s="1071"/>
      <c r="DU412" s="1072"/>
      <c r="DV412" s="1072"/>
      <c r="DW412" s="890">
        <f t="shared" si="1093"/>
        <v>57840902</v>
      </c>
      <c r="DX412" s="890">
        <f t="shared" si="1093"/>
        <v>21321712.686072055</v>
      </c>
      <c r="DY412" s="890">
        <f t="shared" si="1093"/>
        <v>0</v>
      </c>
      <c r="DZ412" s="890">
        <f t="shared" si="1093"/>
        <v>36519189.313927948</v>
      </c>
      <c r="EA412" s="1073"/>
      <c r="EB412" s="1071"/>
      <c r="EC412" s="1072"/>
      <c r="ED412" s="1072"/>
      <c r="EE412" s="890">
        <f t="shared" si="1094"/>
        <v>57840902</v>
      </c>
      <c r="EF412" s="890">
        <f t="shared" si="1094"/>
        <v>21321712.686072055</v>
      </c>
      <c r="EG412" s="890">
        <f t="shared" si="1094"/>
        <v>0</v>
      </c>
      <c r="EH412" s="890">
        <f t="shared" si="1094"/>
        <v>36519189.313927948</v>
      </c>
      <c r="EI412" s="1073"/>
      <c r="EJ412" s="1071"/>
      <c r="EK412" s="1072"/>
      <c r="EL412" s="1072"/>
      <c r="EM412" s="890">
        <f t="shared" si="1095"/>
        <v>57840902</v>
      </c>
      <c r="EN412" s="890">
        <f t="shared" si="1095"/>
        <v>21321712.686072055</v>
      </c>
      <c r="EO412" s="890">
        <f t="shared" si="1095"/>
        <v>0</v>
      </c>
      <c r="EP412" s="890">
        <f t="shared" si="1095"/>
        <v>36519189.313927948</v>
      </c>
      <c r="EQ412" s="1073"/>
      <c r="ER412" s="1071"/>
      <c r="ES412" s="1072"/>
      <c r="ET412" s="1072"/>
      <c r="EU412" s="890">
        <f t="shared" si="1096"/>
        <v>57840902</v>
      </c>
      <c r="EV412" s="890">
        <f t="shared" si="1096"/>
        <v>21321712.686072055</v>
      </c>
      <c r="EW412" s="890">
        <f t="shared" si="1096"/>
        <v>0</v>
      </c>
      <c r="EX412" s="890">
        <f t="shared" si="1096"/>
        <v>36519189.313927948</v>
      </c>
      <c r="EY412" s="1073"/>
      <c r="EZ412" s="1071"/>
      <c r="FA412" s="1072"/>
      <c r="FB412" s="1072"/>
      <c r="FC412" s="890">
        <f t="shared" si="1097"/>
        <v>57840902</v>
      </c>
      <c r="FD412" s="890">
        <f t="shared" si="1097"/>
        <v>21321712.686072055</v>
      </c>
      <c r="FE412" s="890">
        <f t="shared" si="1097"/>
        <v>0</v>
      </c>
      <c r="FF412" s="890">
        <f t="shared" si="1097"/>
        <v>36519189.313927948</v>
      </c>
      <c r="FG412" s="1073"/>
      <c r="FH412" s="1071"/>
      <c r="FI412" s="1072"/>
      <c r="FJ412" s="1072"/>
      <c r="FK412" s="890">
        <f t="shared" si="1098"/>
        <v>57840902</v>
      </c>
      <c r="FL412" s="890">
        <f t="shared" si="1098"/>
        <v>21321712.686072055</v>
      </c>
      <c r="FM412" s="890">
        <f t="shared" si="1098"/>
        <v>0</v>
      </c>
      <c r="FN412" s="890">
        <f t="shared" si="1098"/>
        <v>36519189.313927948</v>
      </c>
      <c r="FO412" s="1073"/>
    </row>
    <row r="413" spans="2:171">
      <c r="B413" s="108"/>
      <c r="C413" s="108" t="s">
        <v>341</v>
      </c>
      <c r="D413" s="1071"/>
      <c r="E413" s="904"/>
      <c r="G413" s="890">
        <f>G50</f>
        <v>169217153</v>
      </c>
      <c r="H413" s="890">
        <f>H50</f>
        <v>26066353.350879814</v>
      </c>
      <c r="I413" s="890">
        <f>I50</f>
        <v>0</v>
      </c>
      <c r="J413" s="890">
        <f>J50</f>
        <v>143150799.64912018</v>
      </c>
      <c r="K413" s="1073"/>
      <c r="L413" s="1071"/>
      <c r="M413" s="1072"/>
      <c r="N413" s="1072"/>
      <c r="O413" s="890">
        <f>O50</f>
        <v>169217153</v>
      </c>
      <c r="P413" s="890">
        <f>P50</f>
        <v>26066353.350879814</v>
      </c>
      <c r="Q413" s="890">
        <f>Q50</f>
        <v>43233146.624210842</v>
      </c>
      <c r="R413" s="890">
        <f>R50</f>
        <v>99917653.024909347</v>
      </c>
      <c r="S413" s="1073"/>
      <c r="T413" s="1071"/>
      <c r="U413" s="1072"/>
      <c r="V413" s="1072"/>
      <c r="W413" s="890">
        <f>W50</f>
        <v>169217153</v>
      </c>
      <c r="X413" s="890">
        <f>X50</f>
        <v>26066353.350879814</v>
      </c>
      <c r="Y413" s="890">
        <f>Y50</f>
        <v>43233146.624210842</v>
      </c>
      <c r="Z413" s="890">
        <f>Z50</f>
        <v>99917653.024909347</v>
      </c>
      <c r="AA413" s="1073"/>
      <c r="AB413" s="1071"/>
      <c r="AC413" s="1072"/>
      <c r="AD413" s="1072"/>
      <c r="AE413" s="890">
        <f>AE50</f>
        <v>169217153</v>
      </c>
      <c r="AF413" s="890">
        <f>AF50</f>
        <v>26066353.350879814</v>
      </c>
      <c r="AG413" s="890">
        <f>AG50</f>
        <v>43233146.624210842</v>
      </c>
      <c r="AH413" s="890">
        <f>AH50</f>
        <v>99917653.024909347</v>
      </c>
      <c r="AI413" s="1073"/>
      <c r="AJ413" s="1071"/>
      <c r="AK413" s="1072"/>
      <c r="AL413" s="1072"/>
      <c r="AM413" s="890">
        <f>AM50</f>
        <v>169217153</v>
      </c>
      <c r="AN413" s="890">
        <f>AN50</f>
        <v>26066353.350879814</v>
      </c>
      <c r="AO413" s="890">
        <f>AO50</f>
        <v>43233146.624210842</v>
      </c>
      <c r="AP413" s="890">
        <f>AP50</f>
        <v>99917653.024909347</v>
      </c>
      <c r="AQ413" s="1073"/>
      <c r="AR413" s="1071"/>
      <c r="AS413" s="1072"/>
      <c r="AT413" s="1072"/>
      <c r="AU413" s="890">
        <f>AU50</f>
        <v>169217153</v>
      </c>
      <c r="AV413" s="890">
        <f>AV50</f>
        <v>26066353.350879814</v>
      </c>
      <c r="AW413" s="890">
        <f>AW50</f>
        <v>43233146.624210842</v>
      </c>
      <c r="AX413" s="890">
        <f>AX50</f>
        <v>99917653.024909347</v>
      </c>
      <c r="AY413" s="1073"/>
      <c r="AZ413" s="1071"/>
      <c r="BA413" s="1072"/>
      <c r="BB413" s="1072"/>
      <c r="BC413" s="890">
        <f>BC50</f>
        <v>169217153</v>
      </c>
      <c r="BD413" s="890">
        <f>BD50</f>
        <v>26066353.350879814</v>
      </c>
      <c r="BE413" s="890">
        <f>BE50</f>
        <v>43233146.624210842</v>
      </c>
      <c r="BF413" s="890">
        <f>BF50</f>
        <v>99917653.024909347</v>
      </c>
      <c r="BG413" s="1073"/>
      <c r="BH413" s="1071"/>
      <c r="BI413" s="1072"/>
      <c r="BJ413" s="1072"/>
      <c r="BK413" s="890">
        <f>BK50</f>
        <v>169217153</v>
      </c>
      <c r="BL413" s="890">
        <f>BL50</f>
        <v>26066353.350879814</v>
      </c>
      <c r="BM413" s="890">
        <f>BM50</f>
        <v>43233146.624210842</v>
      </c>
      <c r="BN413" s="890">
        <f>BN50</f>
        <v>99917653.024909347</v>
      </c>
      <c r="BO413" s="1073"/>
      <c r="BP413" s="1071"/>
      <c r="BQ413" s="1072"/>
      <c r="BR413" s="1072"/>
      <c r="BS413" s="890">
        <f>BS50</f>
        <v>169217153</v>
      </c>
      <c r="BT413" s="890">
        <f>BT50</f>
        <v>26066353.350879814</v>
      </c>
      <c r="BU413" s="890">
        <f>BU50</f>
        <v>43233146.624210842</v>
      </c>
      <c r="BV413" s="890">
        <f>BV50</f>
        <v>99917653.024909347</v>
      </c>
      <c r="BW413" s="1073"/>
      <c r="BX413" s="1071"/>
      <c r="BY413" s="1072"/>
      <c r="BZ413" s="1072"/>
      <c r="CA413" s="890">
        <f>CA50</f>
        <v>169217153</v>
      </c>
      <c r="CB413" s="890">
        <f>CB50</f>
        <v>26066353.350879814</v>
      </c>
      <c r="CC413" s="890">
        <f>CC50</f>
        <v>43233146.624210842</v>
      </c>
      <c r="CD413" s="890">
        <f>CD50</f>
        <v>99917653.024909347</v>
      </c>
      <c r="CE413" s="1073"/>
      <c r="CF413" s="1071"/>
      <c r="CG413" s="1072"/>
      <c r="CH413" s="1072"/>
      <c r="CI413" s="890">
        <f>CI50</f>
        <v>169217153</v>
      </c>
      <c r="CJ413" s="890">
        <f>CJ50</f>
        <v>26066353.350879814</v>
      </c>
      <c r="CK413" s="890">
        <f>CK50</f>
        <v>43233146.624210842</v>
      </c>
      <c r="CL413" s="890">
        <f>CL50</f>
        <v>99917653.024909347</v>
      </c>
      <c r="CM413" s="1073"/>
      <c r="CN413" s="1071"/>
      <c r="CO413" s="1072"/>
      <c r="CP413" s="1072"/>
      <c r="CQ413" s="890">
        <f>CQ50</f>
        <v>169217153</v>
      </c>
      <c r="CR413" s="890">
        <f>CR50</f>
        <v>26066353.350879814</v>
      </c>
      <c r="CS413" s="890">
        <f>CS50</f>
        <v>43233146.624210842</v>
      </c>
      <c r="CT413" s="890">
        <f>CT50</f>
        <v>99917653.024909347</v>
      </c>
      <c r="CU413" s="1073"/>
      <c r="CV413" s="1071"/>
      <c r="CW413" s="1072"/>
      <c r="CX413" s="1072"/>
      <c r="CY413" s="890">
        <f>CY50</f>
        <v>169217153</v>
      </c>
      <c r="CZ413" s="890">
        <f>CZ50</f>
        <v>26066353.350879814</v>
      </c>
      <c r="DA413" s="890">
        <f>DA50</f>
        <v>43233146.624210842</v>
      </c>
      <c r="DB413" s="890">
        <f>DB50</f>
        <v>99917653.024909347</v>
      </c>
      <c r="DC413" s="1073"/>
      <c r="DD413" s="1071"/>
      <c r="DE413" s="1072"/>
      <c r="DF413" s="1072"/>
      <c r="DG413" s="890">
        <f>DG50</f>
        <v>169217153</v>
      </c>
      <c r="DH413" s="890">
        <f>DH50</f>
        <v>26066353.350879814</v>
      </c>
      <c r="DI413" s="890">
        <f>DI50</f>
        <v>43233146.624210842</v>
      </c>
      <c r="DJ413" s="890">
        <f>DJ50</f>
        <v>99917653.024909347</v>
      </c>
      <c r="DK413" s="1073"/>
      <c r="DL413" s="1071"/>
      <c r="DM413" s="1072"/>
      <c r="DN413" s="1072"/>
      <c r="DO413" s="890">
        <f>DO50</f>
        <v>169217153</v>
      </c>
      <c r="DP413" s="890">
        <f>DP50</f>
        <v>26066353.350879814</v>
      </c>
      <c r="DQ413" s="890">
        <f>DQ50</f>
        <v>43233146.624210842</v>
      </c>
      <c r="DR413" s="890">
        <f>DR50</f>
        <v>99917653.024909347</v>
      </c>
      <c r="DS413" s="1073"/>
      <c r="DT413" s="1071"/>
      <c r="DU413" s="1072"/>
      <c r="DV413" s="1072"/>
      <c r="DW413" s="890">
        <f>DW50</f>
        <v>169217153</v>
      </c>
      <c r="DX413" s="890">
        <f>DX50</f>
        <v>26066353.350879814</v>
      </c>
      <c r="DY413" s="890">
        <f>DY50</f>
        <v>43233146.624210842</v>
      </c>
      <c r="DZ413" s="890">
        <f>DZ50</f>
        <v>99917653.024909347</v>
      </c>
      <c r="EA413" s="1073"/>
      <c r="EB413" s="1071"/>
      <c r="EC413" s="1072"/>
      <c r="ED413" s="1072"/>
      <c r="EE413" s="890">
        <f>EE50</f>
        <v>169217153</v>
      </c>
      <c r="EF413" s="890">
        <f>EF50</f>
        <v>26066353.350879814</v>
      </c>
      <c r="EG413" s="890">
        <f>EG50</f>
        <v>43233146.624210842</v>
      </c>
      <c r="EH413" s="890">
        <f>EH50</f>
        <v>99917653.024909347</v>
      </c>
      <c r="EI413" s="1073"/>
      <c r="EJ413" s="1071"/>
      <c r="EK413" s="1072"/>
      <c r="EL413" s="1072"/>
      <c r="EM413" s="890">
        <f>EM50</f>
        <v>169217153</v>
      </c>
      <c r="EN413" s="890">
        <f>EN50</f>
        <v>26066353.350879814</v>
      </c>
      <c r="EO413" s="890">
        <f>EO50</f>
        <v>43233146.624210842</v>
      </c>
      <c r="EP413" s="890">
        <f>EP50</f>
        <v>99917653.024909347</v>
      </c>
      <c r="EQ413" s="1073"/>
      <c r="ER413" s="1071"/>
      <c r="ES413" s="1072"/>
      <c r="ET413" s="1072"/>
      <c r="EU413" s="890">
        <f>EU50</f>
        <v>169217153</v>
      </c>
      <c r="EV413" s="890">
        <f>EV50</f>
        <v>26066353.350879814</v>
      </c>
      <c r="EW413" s="890">
        <f>EW50</f>
        <v>43233146.624210842</v>
      </c>
      <c r="EX413" s="890">
        <f>EX50</f>
        <v>99917653.024909347</v>
      </c>
      <c r="EY413" s="1073"/>
      <c r="EZ413" s="1071"/>
      <c r="FA413" s="1072"/>
      <c r="FB413" s="1072"/>
      <c r="FC413" s="890">
        <f>FC50</f>
        <v>169217153</v>
      </c>
      <c r="FD413" s="890">
        <f>FD50</f>
        <v>26066353.350879814</v>
      </c>
      <c r="FE413" s="890">
        <f>FE50</f>
        <v>43233146.624210842</v>
      </c>
      <c r="FF413" s="890">
        <f>FF50</f>
        <v>99917653.024909347</v>
      </c>
      <c r="FG413" s="1073"/>
      <c r="FH413" s="1071"/>
      <c r="FI413" s="1072"/>
      <c r="FJ413" s="1072"/>
      <c r="FK413" s="890">
        <f>FK50</f>
        <v>169217153</v>
      </c>
      <c r="FL413" s="890">
        <f>FL50</f>
        <v>26066353.350879814</v>
      </c>
      <c r="FM413" s="890">
        <f>FM50</f>
        <v>43233146.624210842</v>
      </c>
      <c r="FN413" s="890">
        <f>FN50</f>
        <v>99917653.024909347</v>
      </c>
      <c r="FO413" s="1073"/>
    </row>
    <row r="414" spans="2:171">
      <c r="B414" s="108"/>
      <c r="C414" s="108" t="s">
        <v>527</v>
      </c>
      <c r="D414" s="1071"/>
      <c r="E414" s="124"/>
      <c r="F414" s="1072"/>
      <c r="G414" s="1648">
        <f>SUM(G409:G413)</f>
        <v>5352763952</v>
      </c>
      <c r="H414" s="1648">
        <f>SUM(H409:H413)</f>
        <v>1703371011.6169519</v>
      </c>
      <c r="I414" s="1648">
        <f>SUM(I409:I413)</f>
        <v>0</v>
      </c>
      <c r="J414" s="1648">
        <f>SUM(J409:J413)</f>
        <v>3649392939.8330483</v>
      </c>
      <c r="K414" s="1073"/>
      <c r="L414" s="1071"/>
      <c r="M414" s="1072"/>
      <c r="N414" s="1072"/>
      <c r="O414" s="1648">
        <f>SUM(O409:O413)</f>
        <v>5352763952</v>
      </c>
      <c r="P414" s="1648">
        <f>SUM(P409:P413)</f>
        <v>1703371011.6169519</v>
      </c>
      <c r="Q414" s="1648">
        <f>SUM(Q409:Q413)</f>
        <v>1100952176.6242108</v>
      </c>
      <c r="R414" s="1648">
        <f>SUM(R409:R413)</f>
        <v>2548440763.7588377</v>
      </c>
      <c r="S414" s="1073"/>
      <c r="T414" s="1071"/>
      <c r="U414" s="1072"/>
      <c r="V414" s="1072"/>
      <c r="W414" s="1648">
        <f>SUM(W409:W413)</f>
        <v>5352763952</v>
      </c>
      <c r="X414" s="1648">
        <f>SUM(X409:X413)</f>
        <v>1703371011.6169519</v>
      </c>
      <c r="Y414" s="1648">
        <f>SUM(Y409:Y413)</f>
        <v>1100952176.6242108</v>
      </c>
      <c r="Z414" s="1648">
        <f>SUM(Z409:Z413)</f>
        <v>2548440763.7588377</v>
      </c>
      <c r="AA414" s="1073"/>
      <c r="AB414" s="1071"/>
      <c r="AC414" s="1072"/>
      <c r="AD414" s="1072"/>
      <c r="AE414" s="1648">
        <f>SUM(AE409:AE413)</f>
        <v>5352763952</v>
      </c>
      <c r="AF414" s="1648">
        <f>SUM(AF409:AF413)</f>
        <v>1703371011.6169519</v>
      </c>
      <c r="AG414" s="1648">
        <f>SUM(AG409:AG413)</f>
        <v>1100952176.6242108</v>
      </c>
      <c r="AH414" s="1648">
        <f>SUM(AH409:AH413)</f>
        <v>2548440763.7588377</v>
      </c>
      <c r="AI414" s="1073"/>
      <c r="AJ414" s="1071"/>
      <c r="AK414" s="1072"/>
      <c r="AL414" s="1072"/>
      <c r="AM414" s="1648">
        <f>SUM(AM409:AM413)</f>
        <v>5352763952</v>
      </c>
      <c r="AN414" s="1648">
        <f>SUM(AN409:AN413)</f>
        <v>1703371011.6169519</v>
      </c>
      <c r="AO414" s="1648">
        <f>SUM(AO409:AO413)</f>
        <v>1100952176.6242108</v>
      </c>
      <c r="AP414" s="1648">
        <f>SUM(AP409:AP413)</f>
        <v>2548440763.7588377</v>
      </c>
      <c r="AQ414" s="1073"/>
      <c r="AR414" s="1071"/>
      <c r="AS414" s="1072"/>
      <c r="AT414" s="1072"/>
      <c r="AU414" s="1648">
        <f>SUM(AU409:AU413)</f>
        <v>5352763952</v>
      </c>
      <c r="AV414" s="1648">
        <f>SUM(AV409:AV413)</f>
        <v>1703371011.6169519</v>
      </c>
      <c r="AW414" s="1648">
        <f>SUM(AW409:AW413)</f>
        <v>1100952176.6242108</v>
      </c>
      <c r="AX414" s="1648">
        <f>SUM(AX409:AX413)</f>
        <v>2548440763.7588377</v>
      </c>
      <c r="AY414" s="1073"/>
      <c r="AZ414" s="1071"/>
      <c r="BA414" s="1072"/>
      <c r="BB414" s="1072"/>
      <c r="BC414" s="1648">
        <f>SUM(BC409:BC413)</f>
        <v>5352763952</v>
      </c>
      <c r="BD414" s="1648">
        <f>SUM(BD409:BD413)</f>
        <v>1703371011.6169519</v>
      </c>
      <c r="BE414" s="1648">
        <f>SUM(BE409:BE413)</f>
        <v>1100952176.6242108</v>
      </c>
      <c r="BF414" s="1648">
        <f>SUM(BF409:BF413)</f>
        <v>2548440763.7588377</v>
      </c>
      <c r="BG414" s="1073"/>
      <c r="BH414" s="1071"/>
      <c r="BI414" s="1072"/>
      <c r="BJ414" s="1072"/>
      <c r="BK414" s="1648">
        <f>SUM(BK409:BK413)</f>
        <v>5352763952</v>
      </c>
      <c r="BL414" s="1648">
        <f>SUM(BL409:BL413)</f>
        <v>1703371011.6169519</v>
      </c>
      <c r="BM414" s="1648">
        <f>SUM(BM409:BM413)</f>
        <v>1100952176.6242108</v>
      </c>
      <c r="BN414" s="1648">
        <f>SUM(BN409:BN413)</f>
        <v>2548440763.7588377</v>
      </c>
      <c r="BO414" s="1073"/>
      <c r="BP414" s="1071"/>
      <c r="BQ414" s="1072"/>
      <c r="BR414" s="1072"/>
      <c r="BS414" s="1648">
        <f>SUM(BS409:BS413)</f>
        <v>5352763952</v>
      </c>
      <c r="BT414" s="1648">
        <f>SUM(BT409:BT413)</f>
        <v>1703371011.6169519</v>
      </c>
      <c r="BU414" s="1648">
        <f>SUM(BU409:BU413)</f>
        <v>1100952176.6242108</v>
      </c>
      <c r="BV414" s="1648">
        <f>SUM(BV409:BV413)</f>
        <v>2548440763.7588377</v>
      </c>
      <c r="BW414" s="1073"/>
      <c r="BX414" s="1071"/>
      <c r="BY414" s="1072"/>
      <c r="BZ414" s="1072"/>
      <c r="CA414" s="1648">
        <f>SUM(CA409:CA413)</f>
        <v>5352763952</v>
      </c>
      <c r="CB414" s="1648">
        <f>SUM(CB409:CB413)</f>
        <v>1703371011.6169519</v>
      </c>
      <c r="CC414" s="1648">
        <f>SUM(CC409:CC413)</f>
        <v>1100952176.6242108</v>
      </c>
      <c r="CD414" s="1648">
        <f>SUM(CD409:CD413)</f>
        <v>2548440763.7588377</v>
      </c>
      <c r="CE414" s="1073"/>
      <c r="CF414" s="1071"/>
      <c r="CG414" s="1072"/>
      <c r="CH414" s="1072"/>
      <c r="CI414" s="1648">
        <f>SUM(CI409:CI413)</f>
        <v>5352763952</v>
      </c>
      <c r="CJ414" s="1648">
        <f>SUM(CJ409:CJ413)</f>
        <v>1703371011.6169519</v>
      </c>
      <c r="CK414" s="1648">
        <f>SUM(CK409:CK413)</f>
        <v>1100952176.6242108</v>
      </c>
      <c r="CL414" s="1648">
        <f>SUM(CL409:CL413)</f>
        <v>2548440763.7588377</v>
      </c>
      <c r="CM414" s="1073"/>
      <c r="CN414" s="1071"/>
      <c r="CO414" s="1072"/>
      <c r="CP414" s="1072"/>
      <c r="CQ414" s="1648">
        <f>SUM(CQ409:CQ413)</f>
        <v>5352763952</v>
      </c>
      <c r="CR414" s="1648">
        <f>SUM(CR409:CR413)</f>
        <v>1703371011.6169519</v>
      </c>
      <c r="CS414" s="1648">
        <f>SUM(CS409:CS413)</f>
        <v>1100952176.6242108</v>
      </c>
      <c r="CT414" s="1648">
        <f>SUM(CT409:CT413)</f>
        <v>2548440763.7588377</v>
      </c>
      <c r="CU414" s="1073"/>
      <c r="CV414" s="1071"/>
      <c r="CW414" s="1072"/>
      <c r="CX414" s="1072"/>
      <c r="CY414" s="1648">
        <f>SUM(CY409:CY413)</f>
        <v>5352763952</v>
      </c>
      <c r="CZ414" s="1648">
        <f>SUM(CZ409:CZ413)</f>
        <v>1703371011.6169519</v>
      </c>
      <c r="DA414" s="1648">
        <f>SUM(DA409:DA413)</f>
        <v>1100952176.6242108</v>
      </c>
      <c r="DB414" s="1648">
        <f>SUM(DB409:DB413)</f>
        <v>2548440763.7588377</v>
      </c>
      <c r="DC414" s="1073"/>
      <c r="DD414" s="1071"/>
      <c r="DE414" s="1072"/>
      <c r="DF414" s="1072"/>
      <c r="DG414" s="1648">
        <f>SUM(DG409:DG413)</f>
        <v>5352763952</v>
      </c>
      <c r="DH414" s="1648">
        <f>SUM(DH409:DH413)</f>
        <v>1703371011.6169519</v>
      </c>
      <c r="DI414" s="1648">
        <f>SUM(DI409:DI413)</f>
        <v>1100952176.6242108</v>
      </c>
      <c r="DJ414" s="1648">
        <f>SUM(DJ409:DJ413)</f>
        <v>2548440763.7588377</v>
      </c>
      <c r="DK414" s="1073"/>
      <c r="DL414" s="1071"/>
      <c r="DM414" s="1072"/>
      <c r="DN414" s="1072"/>
      <c r="DO414" s="1648">
        <f>SUM(DO409:DO413)</f>
        <v>5352763952</v>
      </c>
      <c r="DP414" s="1648">
        <f>SUM(DP409:DP413)</f>
        <v>1703371011.6169519</v>
      </c>
      <c r="DQ414" s="1648">
        <f>SUM(DQ409:DQ413)</f>
        <v>1100952176.6242108</v>
      </c>
      <c r="DR414" s="1648">
        <f>SUM(DR409:DR413)</f>
        <v>2548440763.7588377</v>
      </c>
      <c r="DS414" s="1073"/>
      <c r="DT414" s="1071"/>
      <c r="DU414" s="1072"/>
      <c r="DV414" s="1072"/>
      <c r="DW414" s="1648">
        <f>SUM(DW409:DW413)</f>
        <v>5352763952</v>
      </c>
      <c r="DX414" s="1648">
        <f>SUM(DX409:DX413)</f>
        <v>1703371011.6169519</v>
      </c>
      <c r="DY414" s="1648">
        <f>SUM(DY409:DY413)</f>
        <v>1100952176.6242108</v>
      </c>
      <c r="DZ414" s="1648">
        <f>SUM(DZ409:DZ413)</f>
        <v>2548440763.7588377</v>
      </c>
      <c r="EA414" s="1073"/>
      <c r="EB414" s="1071"/>
      <c r="EC414" s="1072"/>
      <c r="ED414" s="1072"/>
      <c r="EE414" s="1648">
        <f>SUM(EE409:EE413)</f>
        <v>5352763952</v>
      </c>
      <c r="EF414" s="1648">
        <f>SUM(EF409:EF413)</f>
        <v>1703371011.6169519</v>
      </c>
      <c r="EG414" s="1648">
        <f>SUM(EG409:EG413)</f>
        <v>1100952176.6242108</v>
      </c>
      <c r="EH414" s="1648">
        <f>SUM(EH409:EH413)</f>
        <v>2548440763.7588377</v>
      </c>
      <c r="EI414" s="1073"/>
      <c r="EJ414" s="1071"/>
      <c r="EK414" s="1072"/>
      <c r="EL414" s="1072"/>
      <c r="EM414" s="1648">
        <f>SUM(EM409:EM413)</f>
        <v>5352763952</v>
      </c>
      <c r="EN414" s="1648">
        <f>SUM(EN409:EN413)</f>
        <v>1703371011.6169519</v>
      </c>
      <c r="EO414" s="1648">
        <f>SUM(EO409:EO413)</f>
        <v>1100952176.6242108</v>
      </c>
      <c r="EP414" s="1648">
        <f>SUM(EP409:EP413)</f>
        <v>2548440763.7588377</v>
      </c>
      <c r="EQ414" s="1073"/>
      <c r="ER414" s="1071"/>
      <c r="ES414" s="1072"/>
      <c r="ET414" s="1072"/>
      <c r="EU414" s="1648">
        <f>SUM(EU409:EU413)</f>
        <v>5352763952</v>
      </c>
      <c r="EV414" s="1648">
        <f>SUM(EV409:EV413)</f>
        <v>1703371011.6169519</v>
      </c>
      <c r="EW414" s="1648">
        <f>SUM(EW409:EW413)</f>
        <v>1100952176.6242108</v>
      </c>
      <c r="EX414" s="1648">
        <f>SUM(EX409:EX413)</f>
        <v>2548440763.7588377</v>
      </c>
      <c r="EY414" s="1073"/>
      <c r="EZ414" s="1071"/>
      <c r="FA414" s="1072"/>
      <c r="FB414" s="1072"/>
      <c r="FC414" s="1648">
        <f>SUM(FC409:FC413)</f>
        <v>5352763952</v>
      </c>
      <c r="FD414" s="1648">
        <f>SUM(FD409:FD413)</f>
        <v>1703371011.6169519</v>
      </c>
      <c r="FE414" s="1648">
        <f>SUM(FE409:FE413)</f>
        <v>1100952176.6242108</v>
      </c>
      <c r="FF414" s="1648">
        <f>SUM(FF409:FF413)</f>
        <v>2548440763.7588377</v>
      </c>
      <c r="FG414" s="1073"/>
      <c r="FH414" s="1071"/>
      <c r="FI414" s="1072"/>
      <c r="FJ414" s="1072"/>
      <c r="FK414" s="1648">
        <f>SUM(FK409:FK413)</f>
        <v>5352763952</v>
      </c>
      <c r="FL414" s="1648">
        <f>SUM(FL409:FL413)</f>
        <v>1703371011.6169519</v>
      </c>
      <c r="FM414" s="1648">
        <f>SUM(FM409:FM413)</f>
        <v>1100952176.6242108</v>
      </c>
      <c r="FN414" s="1648">
        <f>SUM(FN409:FN413)</f>
        <v>2548440763.7588377</v>
      </c>
      <c r="FO414" s="1073"/>
    </row>
    <row r="415" spans="2:171">
      <c r="B415" s="123"/>
      <c r="C415" s="123" t="s">
        <v>342</v>
      </c>
      <c r="D415" s="1296" t="s">
        <v>640</v>
      </c>
      <c r="E415" s="561"/>
      <c r="F415" s="1075"/>
      <c r="G415" s="1649">
        <f>H415+I415+J415</f>
        <v>0.99999999989724941</v>
      </c>
      <c r="H415" s="1649">
        <f>IF($G414=0,0,H414/G414)</f>
        <v>0.31822270268064157</v>
      </c>
      <c r="I415" s="1649">
        <f>IF($G414=0,0,I414/G414)</f>
        <v>0</v>
      </c>
      <c r="J415" s="1649">
        <f>IF($G414=0,0,J414/G414)</f>
        <v>0.68177729721660785</v>
      </c>
      <c r="K415" s="1078"/>
      <c r="L415" s="1074" t="s">
        <v>640</v>
      </c>
      <c r="M415" s="1075"/>
      <c r="N415" s="1075"/>
      <c r="O415" s="1649">
        <f>P415+Q415+R415</f>
        <v>1</v>
      </c>
      <c r="P415" s="1649">
        <f>IF($G414=0,0,P414/O414)</f>
        <v>0.31822270268064157</v>
      </c>
      <c r="Q415" s="1649">
        <f>IF($G414=0,0,Q414/O414)</f>
        <v>0.20567919424372383</v>
      </c>
      <c r="R415" s="1649">
        <f>IF($G414=0,0,R414/O414)</f>
        <v>0.47609810307563472</v>
      </c>
      <c r="S415" s="1078"/>
      <c r="T415" s="1074" t="s">
        <v>640</v>
      </c>
      <c r="U415" s="1075"/>
      <c r="V415" s="1075"/>
      <c r="W415" s="1649">
        <f>X415+Y415+Z415</f>
        <v>1</v>
      </c>
      <c r="X415" s="1649">
        <f>IF($G414=0,0,X414/W414)</f>
        <v>0.31822270268064157</v>
      </c>
      <c r="Y415" s="1649">
        <f>IF($G414=0,0,Y414/W414)</f>
        <v>0.20567919424372383</v>
      </c>
      <c r="Z415" s="1649">
        <f>IF($G414=0,0,Z414/W414)</f>
        <v>0.47609810307563472</v>
      </c>
      <c r="AA415" s="1078"/>
      <c r="AB415" s="1074" t="s">
        <v>640</v>
      </c>
      <c r="AC415" s="1075"/>
      <c r="AD415" s="1075"/>
      <c r="AE415" s="1649">
        <f>AF415+AG415+AH415</f>
        <v>1</v>
      </c>
      <c r="AF415" s="1649">
        <f>IF($G414=0,0,AF414/AE414)</f>
        <v>0.31822270268064157</v>
      </c>
      <c r="AG415" s="1649">
        <f>IF($G414=0,0,AG414/AE414)</f>
        <v>0.20567919424372383</v>
      </c>
      <c r="AH415" s="1649">
        <f>IF($G414=0,0,AH414/AE414)</f>
        <v>0.47609810307563472</v>
      </c>
      <c r="AI415" s="1078"/>
      <c r="AJ415" s="1074" t="s">
        <v>640</v>
      </c>
      <c r="AK415" s="1075"/>
      <c r="AL415" s="1075"/>
      <c r="AM415" s="1649">
        <f>AN415+AO415+AP415</f>
        <v>1</v>
      </c>
      <c r="AN415" s="1649">
        <f>IF($G414=0,0,AN414/AM414)</f>
        <v>0.31822270268064157</v>
      </c>
      <c r="AO415" s="1649">
        <f>IF($G414=0,0,AO414/AM414)</f>
        <v>0.20567919424372383</v>
      </c>
      <c r="AP415" s="1649">
        <f>IF($G414=0,0,AP414/AM414)</f>
        <v>0.47609810307563472</v>
      </c>
      <c r="AQ415" s="1078"/>
      <c r="AR415" s="1074" t="s">
        <v>640</v>
      </c>
      <c r="AS415" s="1075"/>
      <c r="AT415" s="1075"/>
      <c r="AU415" s="1649">
        <f>AV415+AW415+AX415</f>
        <v>1</v>
      </c>
      <c r="AV415" s="1649">
        <f>IF($G414=0,0,AV414/AU414)</f>
        <v>0.31822270268064157</v>
      </c>
      <c r="AW415" s="1649">
        <f>IF($G414=0,0,AW414/AU414)</f>
        <v>0.20567919424372383</v>
      </c>
      <c r="AX415" s="1649">
        <f>IF($G414=0,0,AX414/AU414)</f>
        <v>0.47609810307563472</v>
      </c>
      <c r="AY415" s="1078"/>
      <c r="AZ415" s="1074" t="s">
        <v>640</v>
      </c>
      <c r="BA415" s="1075"/>
      <c r="BB415" s="1075"/>
      <c r="BC415" s="1649">
        <f>BD415+BE415+BF415</f>
        <v>1</v>
      </c>
      <c r="BD415" s="1649">
        <f>IF($G414=0,0,BD414/BC414)</f>
        <v>0.31822270268064157</v>
      </c>
      <c r="BE415" s="1649">
        <f>IF($G414=0,0,BE414/BC414)</f>
        <v>0.20567919424372383</v>
      </c>
      <c r="BF415" s="1649">
        <f>IF($G414=0,0,BF414/BC414)</f>
        <v>0.47609810307563472</v>
      </c>
      <c r="BG415" s="1078"/>
      <c r="BH415" s="1074" t="s">
        <v>640</v>
      </c>
      <c r="BI415" s="1075"/>
      <c r="BJ415" s="1075"/>
      <c r="BK415" s="1649">
        <f>BL415+BM415+BN415</f>
        <v>1</v>
      </c>
      <c r="BL415" s="1649">
        <f>IF($G414=0,0,BL414/BK414)</f>
        <v>0.31822270268064157</v>
      </c>
      <c r="BM415" s="1649">
        <f>IF($G414=0,0,BM414/BK414)</f>
        <v>0.20567919424372383</v>
      </c>
      <c r="BN415" s="1649">
        <f>IF($G414=0,0,BN414/BK414)</f>
        <v>0.47609810307563472</v>
      </c>
      <c r="BO415" s="1078"/>
      <c r="BP415" s="1074" t="s">
        <v>640</v>
      </c>
      <c r="BQ415" s="1075"/>
      <c r="BR415" s="1075"/>
      <c r="BS415" s="1649">
        <f>BT415+BU415+BV415</f>
        <v>1</v>
      </c>
      <c r="BT415" s="1649">
        <f>IF($G414=0,0,BT414/BS414)</f>
        <v>0.31822270268064157</v>
      </c>
      <c r="BU415" s="1649">
        <f>IF($G414=0,0,BU414/BS414)</f>
        <v>0.20567919424372383</v>
      </c>
      <c r="BV415" s="1649">
        <f>IF($G414=0,0,BV414/BS414)</f>
        <v>0.47609810307563472</v>
      </c>
      <c r="BW415" s="1078"/>
      <c r="BX415" s="1074" t="s">
        <v>640</v>
      </c>
      <c r="BY415" s="1075"/>
      <c r="BZ415" s="1075"/>
      <c r="CA415" s="1649">
        <f>CB415+CC415+CD415</f>
        <v>1</v>
      </c>
      <c r="CB415" s="1649">
        <f>IF($G414=0,0,CB414/CA414)</f>
        <v>0.31822270268064157</v>
      </c>
      <c r="CC415" s="1649">
        <f>IF($G414=0,0,CC414/CA414)</f>
        <v>0.20567919424372383</v>
      </c>
      <c r="CD415" s="1649">
        <f>IF($G414=0,0,CD414/CA414)</f>
        <v>0.47609810307563472</v>
      </c>
      <c r="CE415" s="1078"/>
      <c r="CF415" s="1074" t="s">
        <v>640</v>
      </c>
      <c r="CG415" s="1075"/>
      <c r="CH415" s="1075"/>
      <c r="CI415" s="1649">
        <f>CJ415+CK415+CL415</f>
        <v>1</v>
      </c>
      <c r="CJ415" s="1649">
        <f>IF($G414=0,0,CJ414/CI414)</f>
        <v>0.31822270268064157</v>
      </c>
      <c r="CK415" s="1649">
        <f>IF($G414=0,0,CK414/CI414)</f>
        <v>0.20567919424372383</v>
      </c>
      <c r="CL415" s="1649">
        <f>IF($G414=0,0,CL414/CI414)</f>
        <v>0.47609810307563472</v>
      </c>
      <c r="CM415" s="1078"/>
      <c r="CN415" s="1074" t="s">
        <v>640</v>
      </c>
      <c r="CO415" s="1075"/>
      <c r="CP415" s="1075"/>
      <c r="CQ415" s="1649">
        <f>CR415+CS415+CT415</f>
        <v>1</v>
      </c>
      <c r="CR415" s="1649">
        <f>IF($G414=0,0,CR414/CQ414)</f>
        <v>0.31822270268064157</v>
      </c>
      <c r="CS415" s="1649">
        <f>IF($G414=0,0,CS414/CQ414)</f>
        <v>0.20567919424372383</v>
      </c>
      <c r="CT415" s="1649">
        <f>IF($G414=0,0,CT414/CQ414)</f>
        <v>0.47609810307563472</v>
      </c>
      <c r="CU415" s="1078"/>
      <c r="CV415" s="1074" t="s">
        <v>640</v>
      </c>
      <c r="CW415" s="1075"/>
      <c r="CX415" s="1075"/>
      <c r="CY415" s="1649">
        <f>CZ415+DA415+DB415</f>
        <v>1</v>
      </c>
      <c r="CZ415" s="1649">
        <f>IF($G414=0,0,CZ414/CY414)</f>
        <v>0.31822270268064157</v>
      </c>
      <c r="DA415" s="1649">
        <f>IF($G414=0,0,DA414/CY414)</f>
        <v>0.20567919424372383</v>
      </c>
      <c r="DB415" s="1649">
        <f>IF($G414=0,0,DB414/CY414)</f>
        <v>0.47609810307563472</v>
      </c>
      <c r="DC415" s="1078"/>
      <c r="DD415" s="1074" t="s">
        <v>640</v>
      </c>
      <c r="DE415" s="1075"/>
      <c r="DF415" s="1075"/>
      <c r="DG415" s="1649">
        <f>DH415+DI415+DJ415</f>
        <v>1</v>
      </c>
      <c r="DH415" s="1649">
        <f>IF($G414=0,0,DH414/DG414)</f>
        <v>0.31822270268064157</v>
      </c>
      <c r="DI415" s="1649">
        <f>IF($G414=0,0,DI414/DG414)</f>
        <v>0.20567919424372383</v>
      </c>
      <c r="DJ415" s="1649">
        <f>IF($G414=0,0,DJ414/DG414)</f>
        <v>0.47609810307563472</v>
      </c>
      <c r="DK415" s="1078"/>
      <c r="DL415" s="1074" t="s">
        <v>640</v>
      </c>
      <c r="DM415" s="1075"/>
      <c r="DN415" s="1075"/>
      <c r="DO415" s="1649">
        <f>DP415+DQ415+DR415</f>
        <v>1</v>
      </c>
      <c r="DP415" s="1649">
        <f>IF($G414=0,0,DP414/DO414)</f>
        <v>0.31822270268064157</v>
      </c>
      <c r="DQ415" s="1649">
        <f>IF($G414=0,0,DQ414/DO414)</f>
        <v>0.20567919424372383</v>
      </c>
      <c r="DR415" s="1649">
        <f>IF($G414=0,0,DR414/DO414)</f>
        <v>0.47609810307563472</v>
      </c>
      <c r="DS415" s="1078"/>
      <c r="DT415" s="1074" t="s">
        <v>640</v>
      </c>
      <c r="DU415" s="1075"/>
      <c r="DV415" s="1075"/>
      <c r="DW415" s="1649">
        <f>DX415+DY415+DZ415</f>
        <v>1</v>
      </c>
      <c r="DX415" s="1649">
        <f>IF($G414=0,0,DX414/DW414)</f>
        <v>0.31822270268064157</v>
      </c>
      <c r="DY415" s="1649">
        <f>IF($G414=0,0,DY414/DW414)</f>
        <v>0.20567919424372383</v>
      </c>
      <c r="DZ415" s="1649">
        <f>IF($G414=0,0,DZ414/DW414)</f>
        <v>0.47609810307563472</v>
      </c>
      <c r="EA415" s="1078"/>
      <c r="EB415" s="1074" t="s">
        <v>640</v>
      </c>
      <c r="EC415" s="1075"/>
      <c r="ED415" s="1075"/>
      <c r="EE415" s="1649">
        <f>EF415+EG415+EH415</f>
        <v>1</v>
      </c>
      <c r="EF415" s="1649">
        <f>IF($G414=0,0,EF414/EE414)</f>
        <v>0.31822270268064157</v>
      </c>
      <c r="EG415" s="1649">
        <f>IF($G414=0,0,EG414/EE414)</f>
        <v>0.20567919424372383</v>
      </c>
      <c r="EH415" s="1649">
        <f>IF($G414=0,0,EH414/EE414)</f>
        <v>0.47609810307563472</v>
      </c>
      <c r="EI415" s="1078"/>
      <c r="EJ415" s="1074" t="s">
        <v>640</v>
      </c>
      <c r="EK415" s="1075"/>
      <c r="EL415" s="1075"/>
      <c r="EM415" s="1649">
        <f>EN415+EO415+EP415</f>
        <v>1</v>
      </c>
      <c r="EN415" s="1649">
        <f>IF($G414=0,0,EN414/EM414)</f>
        <v>0.31822270268064157</v>
      </c>
      <c r="EO415" s="1649">
        <f>IF($G414=0,0,EO414/EM414)</f>
        <v>0.20567919424372383</v>
      </c>
      <c r="EP415" s="1649">
        <f>IF($G414=0,0,EP414/EM414)</f>
        <v>0.47609810307563472</v>
      </c>
      <c r="EQ415" s="1078"/>
      <c r="ER415" s="1074" t="s">
        <v>640</v>
      </c>
      <c r="ES415" s="1075"/>
      <c r="ET415" s="1075"/>
      <c r="EU415" s="1649">
        <f>EV415+EW415+EX415</f>
        <v>1</v>
      </c>
      <c r="EV415" s="1649">
        <f>IF($G414=0,0,EV414/EU414)</f>
        <v>0.31822270268064157</v>
      </c>
      <c r="EW415" s="1649">
        <f>IF($G414=0,0,EW414/EU414)</f>
        <v>0.20567919424372383</v>
      </c>
      <c r="EX415" s="1649">
        <f>IF($G414=0,0,EX414/EU414)</f>
        <v>0.47609810307563472</v>
      </c>
      <c r="EY415" s="1078"/>
      <c r="EZ415" s="1074" t="s">
        <v>640</v>
      </c>
      <c r="FA415" s="1075"/>
      <c r="FB415" s="1075"/>
      <c r="FC415" s="1649">
        <f>FD415+FE415+FF415</f>
        <v>1</v>
      </c>
      <c r="FD415" s="1649">
        <f>IF($G414=0,0,FD414/FC414)</f>
        <v>0.31822270268064157</v>
      </c>
      <c r="FE415" s="1649">
        <f>IF($G414=0,0,FE414/FC414)</f>
        <v>0.20567919424372383</v>
      </c>
      <c r="FF415" s="1649">
        <f>IF($G414=0,0,FF414/FC414)</f>
        <v>0.47609810307563472</v>
      </c>
      <c r="FG415" s="1078"/>
      <c r="FH415" s="1074" t="s">
        <v>640</v>
      </c>
      <c r="FI415" s="1075"/>
      <c r="FJ415" s="1075"/>
      <c r="FK415" s="1649">
        <f>FL415+FM415+FN415</f>
        <v>1</v>
      </c>
      <c r="FL415" s="1649">
        <f>IF($G414=0,0,FL414/FK414)</f>
        <v>0.31822270268064157</v>
      </c>
      <c r="FM415" s="1649">
        <f>IF($G414=0,0,FM414/FK414)</f>
        <v>0.20567919424372383</v>
      </c>
      <c r="FN415" s="1649">
        <f>IF($G414=0,0,FN414/FK414)</f>
        <v>0.47609810307563472</v>
      </c>
      <c r="FO415" s="1078"/>
    </row>
    <row r="416" spans="2:171">
      <c r="K416" s="1073"/>
      <c r="S416" s="1073"/>
      <c r="AA416" s="1073"/>
      <c r="AI416" s="1073"/>
      <c r="AQ416" s="1073"/>
      <c r="AY416" s="1073"/>
      <c r="BG416" s="1073"/>
      <c r="BO416" s="1073"/>
      <c r="BW416" s="1073"/>
      <c r="CE416" s="1073"/>
      <c r="CM416" s="1073"/>
      <c r="CU416" s="1073"/>
      <c r="DC416" s="1073"/>
      <c r="DK416" s="1073"/>
      <c r="DS416" s="1073"/>
      <c r="EA416" s="1073"/>
      <c r="EI416" s="1073"/>
      <c r="EQ416" s="1073"/>
      <c r="EY416" s="1073"/>
      <c r="FG416" s="1073"/>
      <c r="FO416" s="1073"/>
    </row>
    <row r="417" spans="2:171">
      <c r="E417" s="302" t="s">
        <v>525</v>
      </c>
      <c r="G417" s="303" t="s">
        <v>104</v>
      </c>
      <c r="H417" s="303" t="s">
        <v>105</v>
      </c>
      <c r="I417" s="303" t="s">
        <v>106</v>
      </c>
      <c r="J417" s="304" t="s">
        <v>516</v>
      </c>
      <c r="K417" s="1078"/>
      <c r="O417" s="303" t="s">
        <v>104</v>
      </c>
      <c r="P417" s="303" t="s">
        <v>105</v>
      </c>
      <c r="Q417" s="303" t="s">
        <v>106</v>
      </c>
      <c r="R417" s="304" t="s">
        <v>516</v>
      </c>
      <c r="S417" s="1078"/>
      <c r="W417" s="303" t="s">
        <v>104</v>
      </c>
      <c r="X417" s="303" t="s">
        <v>105</v>
      </c>
      <c r="Y417" s="303" t="s">
        <v>106</v>
      </c>
      <c r="Z417" s="304" t="s">
        <v>516</v>
      </c>
      <c r="AA417" s="1078"/>
      <c r="AE417" s="303" t="s">
        <v>104</v>
      </c>
      <c r="AF417" s="303" t="s">
        <v>105</v>
      </c>
      <c r="AG417" s="303" t="s">
        <v>106</v>
      </c>
      <c r="AH417" s="304" t="s">
        <v>516</v>
      </c>
      <c r="AI417" s="1078"/>
      <c r="AM417" s="303" t="s">
        <v>104</v>
      </c>
      <c r="AN417" s="303" t="s">
        <v>105</v>
      </c>
      <c r="AO417" s="303" t="s">
        <v>106</v>
      </c>
      <c r="AP417" s="304" t="s">
        <v>516</v>
      </c>
      <c r="AQ417" s="1078"/>
      <c r="AU417" s="303" t="s">
        <v>104</v>
      </c>
      <c r="AV417" s="303" t="s">
        <v>105</v>
      </c>
      <c r="AW417" s="303" t="s">
        <v>106</v>
      </c>
      <c r="AX417" s="304" t="s">
        <v>516</v>
      </c>
      <c r="AY417" s="1078"/>
      <c r="BC417" s="303" t="s">
        <v>104</v>
      </c>
      <c r="BD417" s="303" t="s">
        <v>105</v>
      </c>
      <c r="BE417" s="303" t="s">
        <v>106</v>
      </c>
      <c r="BF417" s="304" t="s">
        <v>516</v>
      </c>
      <c r="BG417" s="1078"/>
      <c r="BK417" s="303" t="s">
        <v>104</v>
      </c>
      <c r="BL417" s="303" t="s">
        <v>105</v>
      </c>
      <c r="BM417" s="303" t="s">
        <v>106</v>
      </c>
      <c r="BN417" s="304" t="s">
        <v>516</v>
      </c>
      <c r="BO417" s="1078"/>
      <c r="BS417" s="303" t="s">
        <v>104</v>
      </c>
      <c r="BT417" s="303" t="s">
        <v>105</v>
      </c>
      <c r="BU417" s="303" t="s">
        <v>106</v>
      </c>
      <c r="BV417" s="304" t="s">
        <v>516</v>
      </c>
      <c r="BW417" s="1078"/>
      <c r="CA417" s="303" t="s">
        <v>104</v>
      </c>
      <c r="CB417" s="303" t="s">
        <v>105</v>
      </c>
      <c r="CC417" s="303" t="s">
        <v>106</v>
      </c>
      <c r="CD417" s="304" t="s">
        <v>516</v>
      </c>
      <c r="CE417" s="1078"/>
      <c r="CI417" s="303" t="s">
        <v>104</v>
      </c>
      <c r="CJ417" s="303" t="s">
        <v>105</v>
      </c>
      <c r="CK417" s="303" t="s">
        <v>106</v>
      </c>
      <c r="CL417" s="304" t="s">
        <v>516</v>
      </c>
      <c r="CM417" s="1078"/>
      <c r="CQ417" s="303" t="s">
        <v>104</v>
      </c>
      <c r="CR417" s="303" t="s">
        <v>105</v>
      </c>
      <c r="CS417" s="303" t="s">
        <v>106</v>
      </c>
      <c r="CT417" s="304" t="s">
        <v>516</v>
      </c>
      <c r="CU417" s="1078"/>
      <c r="CY417" s="303" t="s">
        <v>104</v>
      </c>
      <c r="CZ417" s="303" t="s">
        <v>105</v>
      </c>
      <c r="DA417" s="303" t="s">
        <v>106</v>
      </c>
      <c r="DB417" s="304" t="s">
        <v>516</v>
      </c>
      <c r="DC417" s="1078"/>
      <c r="DG417" s="303" t="s">
        <v>104</v>
      </c>
      <c r="DH417" s="303" t="s">
        <v>105</v>
      </c>
      <c r="DI417" s="303" t="s">
        <v>106</v>
      </c>
      <c r="DJ417" s="304" t="s">
        <v>516</v>
      </c>
      <c r="DK417" s="1078"/>
      <c r="DO417" s="303" t="s">
        <v>104</v>
      </c>
      <c r="DP417" s="303" t="s">
        <v>105</v>
      </c>
      <c r="DQ417" s="303" t="s">
        <v>106</v>
      </c>
      <c r="DR417" s="304" t="s">
        <v>516</v>
      </c>
      <c r="DS417" s="1078"/>
      <c r="DW417" s="303" t="s">
        <v>104</v>
      </c>
      <c r="DX417" s="303" t="s">
        <v>105</v>
      </c>
      <c r="DY417" s="303" t="s">
        <v>106</v>
      </c>
      <c r="DZ417" s="304" t="s">
        <v>516</v>
      </c>
      <c r="EA417" s="1078"/>
      <c r="EE417" s="303" t="s">
        <v>104</v>
      </c>
      <c r="EF417" s="303" t="s">
        <v>105</v>
      </c>
      <c r="EG417" s="303" t="s">
        <v>106</v>
      </c>
      <c r="EH417" s="304" t="s">
        <v>516</v>
      </c>
      <c r="EI417" s="1078"/>
      <c r="EM417" s="303" t="s">
        <v>104</v>
      </c>
      <c r="EN417" s="303" t="s">
        <v>105</v>
      </c>
      <c r="EO417" s="303" t="s">
        <v>106</v>
      </c>
      <c r="EP417" s="304" t="s">
        <v>516</v>
      </c>
      <c r="EQ417" s="1078"/>
      <c r="EU417" s="303" t="s">
        <v>104</v>
      </c>
      <c r="EV417" s="303" t="s">
        <v>105</v>
      </c>
      <c r="EW417" s="303" t="s">
        <v>106</v>
      </c>
      <c r="EX417" s="304" t="s">
        <v>516</v>
      </c>
      <c r="EY417" s="1078"/>
      <c r="FC417" s="303" t="s">
        <v>104</v>
      </c>
      <c r="FD417" s="303" t="s">
        <v>105</v>
      </c>
      <c r="FE417" s="303" t="s">
        <v>106</v>
      </c>
      <c r="FF417" s="304" t="s">
        <v>516</v>
      </c>
      <c r="FG417" s="1078"/>
      <c r="FK417" s="303" t="s">
        <v>104</v>
      </c>
      <c r="FL417" s="303" t="s">
        <v>105</v>
      </c>
      <c r="FM417" s="303" t="s">
        <v>106</v>
      </c>
      <c r="FN417" s="304" t="s">
        <v>516</v>
      </c>
      <c r="FO417" s="1078"/>
    </row>
    <row r="418" spans="2:171">
      <c r="B418" s="108"/>
      <c r="C418" s="108" t="s">
        <v>121</v>
      </c>
      <c r="D418" s="1071"/>
      <c r="E418" s="904" t="s">
        <v>396</v>
      </c>
      <c r="G418" s="890">
        <f>G30</f>
        <v>1057719030</v>
      </c>
      <c r="H418" s="890">
        <f>H30</f>
        <v>0</v>
      </c>
      <c r="I418" s="890">
        <f>I30</f>
        <v>0</v>
      </c>
      <c r="J418" s="890">
        <f>J30</f>
        <v>1057719030</v>
      </c>
      <c r="K418" s="1073"/>
      <c r="L418" s="1071"/>
      <c r="M418" s="1072"/>
      <c r="N418" s="1072"/>
      <c r="O418" s="890">
        <f>O30</f>
        <v>1057719030</v>
      </c>
      <c r="P418" s="890">
        <f>P30</f>
        <v>0</v>
      </c>
      <c r="Q418" s="890">
        <f>Q30</f>
        <v>1057719030</v>
      </c>
      <c r="R418" s="890">
        <f>R30</f>
        <v>0</v>
      </c>
      <c r="S418" s="1073"/>
      <c r="T418" s="1071"/>
      <c r="U418" s="1072"/>
      <c r="V418" s="1072"/>
      <c r="W418" s="890">
        <f>W30</f>
        <v>1057719030</v>
      </c>
      <c r="X418" s="890">
        <f>X30</f>
        <v>0</v>
      </c>
      <c r="Y418" s="890">
        <f>Y30</f>
        <v>1057719030</v>
      </c>
      <c r="Z418" s="890">
        <f>Z30</f>
        <v>0</v>
      </c>
      <c r="AA418" s="1073"/>
      <c r="AB418" s="1071"/>
      <c r="AC418" s="1072"/>
      <c r="AD418" s="1072"/>
      <c r="AE418" s="890">
        <f>AE30</f>
        <v>1057719030</v>
      </c>
      <c r="AF418" s="890">
        <f>AF30</f>
        <v>0</v>
      </c>
      <c r="AG418" s="890">
        <f>AG30</f>
        <v>1057719030</v>
      </c>
      <c r="AH418" s="890">
        <f>AH30</f>
        <v>0</v>
      </c>
      <c r="AI418" s="1073"/>
      <c r="AJ418" s="1071"/>
      <c r="AK418" s="1072"/>
      <c r="AL418" s="1072"/>
      <c r="AM418" s="890">
        <f>AM30</f>
        <v>1057719030</v>
      </c>
      <c r="AN418" s="890">
        <f>AN30</f>
        <v>0</v>
      </c>
      <c r="AO418" s="890">
        <f>AO30</f>
        <v>1057719030</v>
      </c>
      <c r="AP418" s="890">
        <f>AP30</f>
        <v>0</v>
      </c>
      <c r="AQ418" s="1073"/>
      <c r="AR418" s="1071"/>
      <c r="AS418" s="1072"/>
      <c r="AT418" s="1072"/>
      <c r="AU418" s="890">
        <f>AU30</f>
        <v>1057719030</v>
      </c>
      <c r="AV418" s="890">
        <f>AV30</f>
        <v>0</v>
      </c>
      <c r="AW418" s="890">
        <f>AW30</f>
        <v>1057719030</v>
      </c>
      <c r="AX418" s="890">
        <f>AX30</f>
        <v>0</v>
      </c>
      <c r="AY418" s="1073"/>
      <c r="AZ418" s="1071"/>
      <c r="BA418" s="1072"/>
      <c r="BB418" s="1072"/>
      <c r="BC418" s="890">
        <f>BC30</f>
        <v>1057719030</v>
      </c>
      <c r="BD418" s="890">
        <f>BD30</f>
        <v>0</v>
      </c>
      <c r="BE418" s="890">
        <f>BE30</f>
        <v>1057719030</v>
      </c>
      <c r="BF418" s="890">
        <f>BF30</f>
        <v>0</v>
      </c>
      <c r="BG418" s="1073"/>
      <c r="BH418" s="1071"/>
      <c r="BI418" s="1072"/>
      <c r="BJ418" s="1072"/>
      <c r="BK418" s="890">
        <f>BK30</f>
        <v>1057719030</v>
      </c>
      <c r="BL418" s="890">
        <f>BL30</f>
        <v>0</v>
      </c>
      <c r="BM418" s="890">
        <f>BM30</f>
        <v>1057719030</v>
      </c>
      <c r="BN418" s="890">
        <f>BN30</f>
        <v>0</v>
      </c>
      <c r="BO418" s="1073"/>
      <c r="BP418" s="1071"/>
      <c r="BQ418" s="1072"/>
      <c r="BR418" s="1072"/>
      <c r="BS418" s="890">
        <f>BS30</f>
        <v>1057719030</v>
      </c>
      <c r="BT418" s="890">
        <f>BT30</f>
        <v>0</v>
      </c>
      <c r="BU418" s="890">
        <f>BU30</f>
        <v>1057719030</v>
      </c>
      <c r="BV418" s="890">
        <f>BV30</f>
        <v>0</v>
      </c>
      <c r="BW418" s="1073"/>
      <c r="BX418" s="1071"/>
      <c r="BY418" s="1072"/>
      <c r="BZ418" s="1072"/>
      <c r="CA418" s="890">
        <f>CA30</f>
        <v>1057719030</v>
      </c>
      <c r="CB418" s="890">
        <f>CB30</f>
        <v>0</v>
      </c>
      <c r="CC418" s="890">
        <f>CC30</f>
        <v>1057719030</v>
      </c>
      <c r="CD418" s="890">
        <f>CD30</f>
        <v>0</v>
      </c>
      <c r="CE418" s="1073"/>
      <c r="CF418" s="1071"/>
      <c r="CG418" s="1072"/>
      <c r="CH418" s="1072"/>
      <c r="CI418" s="890">
        <f>CI30</f>
        <v>1057719030</v>
      </c>
      <c r="CJ418" s="890">
        <f>CJ30</f>
        <v>0</v>
      </c>
      <c r="CK418" s="890">
        <f>CK30</f>
        <v>1057719030</v>
      </c>
      <c r="CL418" s="890">
        <f>CL30</f>
        <v>0</v>
      </c>
      <c r="CM418" s="1073"/>
      <c r="CN418" s="1071"/>
      <c r="CO418" s="1072"/>
      <c r="CP418" s="1072"/>
      <c r="CQ418" s="890">
        <f>CQ30</f>
        <v>1057719030</v>
      </c>
      <c r="CR418" s="890">
        <f>CR30</f>
        <v>0</v>
      </c>
      <c r="CS418" s="890">
        <f>CS30</f>
        <v>1057719030</v>
      </c>
      <c r="CT418" s="890">
        <f>CT30</f>
        <v>0</v>
      </c>
      <c r="CU418" s="1073"/>
      <c r="CV418" s="1071"/>
      <c r="CW418" s="1072"/>
      <c r="CX418" s="1072"/>
      <c r="CY418" s="890">
        <f>CY30</f>
        <v>1057719030</v>
      </c>
      <c r="CZ418" s="890">
        <f>CZ30</f>
        <v>0</v>
      </c>
      <c r="DA418" s="890">
        <f>DA30</f>
        <v>1057719030</v>
      </c>
      <c r="DB418" s="890">
        <f>DB30</f>
        <v>0</v>
      </c>
      <c r="DC418" s="1073"/>
      <c r="DD418" s="1071"/>
      <c r="DE418" s="1072"/>
      <c r="DF418" s="1072"/>
      <c r="DG418" s="890">
        <f>DG30</f>
        <v>1057719030</v>
      </c>
      <c r="DH418" s="890">
        <f>DH30</f>
        <v>0</v>
      </c>
      <c r="DI418" s="890">
        <f>DI30</f>
        <v>1057719030</v>
      </c>
      <c r="DJ418" s="890">
        <f>DJ30</f>
        <v>0</v>
      </c>
      <c r="DK418" s="1073"/>
      <c r="DL418" s="1071"/>
      <c r="DM418" s="1072"/>
      <c r="DN418" s="1072"/>
      <c r="DO418" s="890">
        <f>DO30</f>
        <v>1057719030</v>
      </c>
      <c r="DP418" s="890">
        <f>DP30</f>
        <v>0</v>
      </c>
      <c r="DQ418" s="890">
        <f>DQ30</f>
        <v>1057719030</v>
      </c>
      <c r="DR418" s="890">
        <f>DR30</f>
        <v>0</v>
      </c>
      <c r="DS418" s="1073"/>
      <c r="DT418" s="1071"/>
      <c r="DU418" s="1072"/>
      <c r="DV418" s="1072"/>
      <c r="DW418" s="890">
        <f>DW30</f>
        <v>1057719030</v>
      </c>
      <c r="DX418" s="890">
        <f>DX30</f>
        <v>0</v>
      </c>
      <c r="DY418" s="890">
        <f>DY30</f>
        <v>1057719030</v>
      </c>
      <c r="DZ418" s="890">
        <f>DZ30</f>
        <v>0</v>
      </c>
      <c r="EA418" s="1073"/>
      <c r="EB418" s="1071"/>
      <c r="EC418" s="1072"/>
      <c r="ED418" s="1072"/>
      <c r="EE418" s="890">
        <f>EE30</f>
        <v>1057719030</v>
      </c>
      <c r="EF418" s="890">
        <f>EF30</f>
        <v>0</v>
      </c>
      <c r="EG418" s="890">
        <f>EG30</f>
        <v>1057719030</v>
      </c>
      <c r="EH418" s="890">
        <f>EH30</f>
        <v>0</v>
      </c>
      <c r="EI418" s="1073"/>
      <c r="EJ418" s="1071"/>
      <c r="EK418" s="1072"/>
      <c r="EL418" s="1072"/>
      <c r="EM418" s="890">
        <f>EM30</f>
        <v>1057719030</v>
      </c>
      <c r="EN418" s="890">
        <f>EN30</f>
        <v>0</v>
      </c>
      <c r="EO418" s="890">
        <f>EO30</f>
        <v>1057719030</v>
      </c>
      <c r="EP418" s="890">
        <f>EP30</f>
        <v>0</v>
      </c>
      <c r="EQ418" s="1073"/>
      <c r="ER418" s="1071"/>
      <c r="ES418" s="1072"/>
      <c r="ET418" s="1072"/>
      <c r="EU418" s="890">
        <f>EU30</f>
        <v>1057719030</v>
      </c>
      <c r="EV418" s="890">
        <f>EV30</f>
        <v>0</v>
      </c>
      <c r="EW418" s="890">
        <f>EW30</f>
        <v>1057719030</v>
      </c>
      <c r="EX418" s="890">
        <f>EX30</f>
        <v>0</v>
      </c>
      <c r="EY418" s="1073"/>
      <c r="EZ418" s="1071"/>
      <c r="FA418" s="1072"/>
      <c r="FB418" s="1072"/>
      <c r="FC418" s="890">
        <f>FC30</f>
        <v>1057719030</v>
      </c>
      <c r="FD418" s="890">
        <f>FD30</f>
        <v>0</v>
      </c>
      <c r="FE418" s="890">
        <f>FE30</f>
        <v>1057719030</v>
      </c>
      <c r="FF418" s="890">
        <f>FF30</f>
        <v>0</v>
      </c>
      <c r="FG418" s="1073"/>
      <c r="FH418" s="1071"/>
      <c r="FI418" s="1072"/>
      <c r="FJ418" s="1072"/>
      <c r="FK418" s="890">
        <f>FK30</f>
        <v>1057719030</v>
      </c>
      <c r="FL418" s="890">
        <f>FL30</f>
        <v>0</v>
      </c>
      <c r="FM418" s="890">
        <f>FM30</f>
        <v>1057719030</v>
      </c>
      <c r="FN418" s="890">
        <f>FN30</f>
        <v>0</v>
      </c>
      <c r="FO418" s="1073"/>
    </row>
    <row r="419" spans="2:171">
      <c r="B419" s="108"/>
      <c r="C419" s="108" t="s">
        <v>122</v>
      </c>
      <c r="D419" s="1071"/>
      <c r="E419" s="904" t="s">
        <v>395</v>
      </c>
      <c r="G419" s="890">
        <f>G33</f>
        <v>2407306658</v>
      </c>
      <c r="H419" s="890">
        <f>H33</f>
        <v>0</v>
      </c>
      <c r="I419" s="890">
        <f>I33</f>
        <v>0</v>
      </c>
      <c r="J419" s="890">
        <f>J33</f>
        <v>2407306658</v>
      </c>
      <c r="K419" s="1078"/>
      <c r="L419" s="1071"/>
      <c r="M419" s="1072"/>
      <c r="N419" s="1072"/>
      <c r="O419" s="890">
        <f>O33</f>
        <v>2407306658</v>
      </c>
      <c r="P419" s="890">
        <f>P33</f>
        <v>0</v>
      </c>
      <c r="Q419" s="890">
        <f>Q33</f>
        <v>0</v>
      </c>
      <c r="R419" s="890">
        <f>R33</f>
        <v>2407306658</v>
      </c>
      <c r="S419" s="1078"/>
      <c r="T419" s="1071"/>
      <c r="U419" s="1072"/>
      <c r="V419" s="1072"/>
      <c r="W419" s="890">
        <f>W33</f>
        <v>2407306658</v>
      </c>
      <c r="X419" s="890">
        <f>X33</f>
        <v>0</v>
      </c>
      <c r="Y419" s="890">
        <f>Y33</f>
        <v>0</v>
      </c>
      <c r="Z419" s="890">
        <f>Z33</f>
        <v>2407306658</v>
      </c>
      <c r="AA419" s="1078"/>
      <c r="AB419" s="1071"/>
      <c r="AC419" s="1072"/>
      <c r="AD419" s="1072"/>
      <c r="AE419" s="890">
        <f>AE33</f>
        <v>2407306658</v>
      </c>
      <c r="AF419" s="890">
        <f>AF33</f>
        <v>0</v>
      </c>
      <c r="AG419" s="890">
        <f>AG33</f>
        <v>0</v>
      </c>
      <c r="AH419" s="890">
        <f>AH33</f>
        <v>2407306658</v>
      </c>
      <c r="AI419" s="1078"/>
      <c r="AJ419" s="1071"/>
      <c r="AK419" s="1072"/>
      <c r="AL419" s="1072"/>
      <c r="AM419" s="890">
        <f>AM33</f>
        <v>2407306658</v>
      </c>
      <c r="AN419" s="890">
        <f>AN33</f>
        <v>0</v>
      </c>
      <c r="AO419" s="890">
        <f>AO33</f>
        <v>0</v>
      </c>
      <c r="AP419" s="890">
        <f>AP33</f>
        <v>2407306658</v>
      </c>
      <c r="AQ419" s="1078"/>
      <c r="AR419" s="1071"/>
      <c r="AS419" s="1072"/>
      <c r="AT419" s="1072"/>
      <c r="AU419" s="890">
        <f>AU33</f>
        <v>2407306658</v>
      </c>
      <c r="AV419" s="890">
        <f>AV33</f>
        <v>0</v>
      </c>
      <c r="AW419" s="890">
        <f>AW33</f>
        <v>0</v>
      </c>
      <c r="AX419" s="890">
        <f>AX33</f>
        <v>2407306658</v>
      </c>
      <c r="AY419" s="1078"/>
      <c r="AZ419" s="1071"/>
      <c r="BA419" s="1072"/>
      <c r="BB419" s="1072"/>
      <c r="BC419" s="890">
        <f>BC33</f>
        <v>2407306658</v>
      </c>
      <c r="BD419" s="890">
        <f>BD33</f>
        <v>0</v>
      </c>
      <c r="BE419" s="890">
        <f>BE33</f>
        <v>0</v>
      </c>
      <c r="BF419" s="890">
        <f>BF33</f>
        <v>2407306658</v>
      </c>
      <c r="BG419" s="1078"/>
      <c r="BH419" s="1071"/>
      <c r="BI419" s="1072"/>
      <c r="BJ419" s="1072"/>
      <c r="BK419" s="890">
        <f>BK33</f>
        <v>2407306658</v>
      </c>
      <c r="BL419" s="890">
        <f>BL33</f>
        <v>0</v>
      </c>
      <c r="BM419" s="890">
        <f>BM33</f>
        <v>0</v>
      </c>
      <c r="BN419" s="890">
        <f>BN33</f>
        <v>2407306658</v>
      </c>
      <c r="BO419" s="1078"/>
      <c r="BP419" s="1071"/>
      <c r="BQ419" s="1072"/>
      <c r="BR419" s="1072"/>
      <c r="BS419" s="890">
        <f>BS33</f>
        <v>2407306658</v>
      </c>
      <c r="BT419" s="890">
        <f>BT33</f>
        <v>0</v>
      </c>
      <c r="BU419" s="890">
        <f>BU33</f>
        <v>0</v>
      </c>
      <c r="BV419" s="890">
        <f>BV33</f>
        <v>2407306658</v>
      </c>
      <c r="BW419" s="1078"/>
      <c r="BX419" s="1071"/>
      <c r="BY419" s="1072"/>
      <c r="BZ419" s="1072"/>
      <c r="CA419" s="890">
        <f>CA33</f>
        <v>2407306658</v>
      </c>
      <c r="CB419" s="890">
        <f>CB33</f>
        <v>0</v>
      </c>
      <c r="CC419" s="890">
        <f>CC33</f>
        <v>0</v>
      </c>
      <c r="CD419" s="890">
        <f>CD33</f>
        <v>2407306658</v>
      </c>
      <c r="CE419" s="1078"/>
      <c r="CF419" s="1071"/>
      <c r="CG419" s="1072"/>
      <c r="CH419" s="1072"/>
      <c r="CI419" s="890">
        <f>CI33</f>
        <v>2407306658</v>
      </c>
      <c r="CJ419" s="890">
        <f>CJ33</f>
        <v>0</v>
      </c>
      <c r="CK419" s="890">
        <f>CK33</f>
        <v>0</v>
      </c>
      <c r="CL419" s="890">
        <f>CL33</f>
        <v>2407306658</v>
      </c>
      <c r="CM419" s="1078"/>
      <c r="CN419" s="1071"/>
      <c r="CO419" s="1072"/>
      <c r="CP419" s="1072"/>
      <c r="CQ419" s="890">
        <f>CQ33</f>
        <v>2407306658</v>
      </c>
      <c r="CR419" s="890">
        <f>CR33</f>
        <v>0</v>
      </c>
      <c r="CS419" s="890">
        <f>CS33</f>
        <v>0</v>
      </c>
      <c r="CT419" s="890">
        <f>CT33</f>
        <v>2407306658</v>
      </c>
      <c r="CU419" s="1078"/>
      <c r="CV419" s="1071"/>
      <c r="CW419" s="1072"/>
      <c r="CX419" s="1072"/>
      <c r="CY419" s="890">
        <f>CY33</f>
        <v>2407306658</v>
      </c>
      <c r="CZ419" s="890">
        <f>CZ33</f>
        <v>0</v>
      </c>
      <c r="DA419" s="890">
        <f>DA33</f>
        <v>0</v>
      </c>
      <c r="DB419" s="890">
        <f>DB33</f>
        <v>2407306658</v>
      </c>
      <c r="DC419" s="1078"/>
      <c r="DD419" s="1071"/>
      <c r="DE419" s="1072"/>
      <c r="DF419" s="1072"/>
      <c r="DG419" s="890">
        <f>DG33</f>
        <v>2407306658</v>
      </c>
      <c r="DH419" s="890">
        <f>DH33</f>
        <v>0</v>
      </c>
      <c r="DI419" s="890">
        <f>DI33</f>
        <v>0</v>
      </c>
      <c r="DJ419" s="890">
        <f>DJ33</f>
        <v>2407306658</v>
      </c>
      <c r="DK419" s="1078"/>
      <c r="DL419" s="1071"/>
      <c r="DM419" s="1072"/>
      <c r="DN419" s="1072"/>
      <c r="DO419" s="890">
        <f>DO33</f>
        <v>2407306658</v>
      </c>
      <c r="DP419" s="890">
        <f>DP33</f>
        <v>0</v>
      </c>
      <c r="DQ419" s="890">
        <f>DQ33</f>
        <v>0</v>
      </c>
      <c r="DR419" s="890">
        <f>DR33</f>
        <v>2407306658</v>
      </c>
      <c r="DS419" s="1078"/>
      <c r="DT419" s="1071"/>
      <c r="DU419" s="1072"/>
      <c r="DV419" s="1072"/>
      <c r="DW419" s="890">
        <f>DW33</f>
        <v>2407306658</v>
      </c>
      <c r="DX419" s="890">
        <f>DX33</f>
        <v>0</v>
      </c>
      <c r="DY419" s="890">
        <f>DY33</f>
        <v>0</v>
      </c>
      <c r="DZ419" s="890">
        <f>DZ33</f>
        <v>2407306658</v>
      </c>
      <c r="EA419" s="1078"/>
      <c r="EB419" s="1071"/>
      <c r="EC419" s="1072"/>
      <c r="ED419" s="1072"/>
      <c r="EE419" s="890">
        <f>EE33</f>
        <v>2407306658</v>
      </c>
      <c r="EF419" s="890">
        <f>EF33</f>
        <v>0</v>
      </c>
      <c r="EG419" s="890">
        <f>EG33</f>
        <v>0</v>
      </c>
      <c r="EH419" s="890">
        <f>EH33</f>
        <v>2407306658</v>
      </c>
      <c r="EI419" s="1078"/>
      <c r="EJ419" s="1071"/>
      <c r="EK419" s="1072"/>
      <c r="EL419" s="1072"/>
      <c r="EM419" s="890">
        <f>EM33</f>
        <v>2407306658</v>
      </c>
      <c r="EN419" s="890">
        <f>EN33</f>
        <v>0</v>
      </c>
      <c r="EO419" s="890">
        <f>EO33</f>
        <v>0</v>
      </c>
      <c r="EP419" s="890">
        <f>EP33</f>
        <v>2407306658</v>
      </c>
      <c r="EQ419" s="1078"/>
      <c r="ER419" s="1071"/>
      <c r="ES419" s="1072"/>
      <c r="ET419" s="1072"/>
      <c r="EU419" s="890">
        <f>EU33</f>
        <v>2407306658</v>
      </c>
      <c r="EV419" s="890">
        <f>EV33</f>
        <v>0</v>
      </c>
      <c r="EW419" s="890">
        <f>EW33</f>
        <v>0</v>
      </c>
      <c r="EX419" s="890">
        <f>EX33</f>
        <v>2407306658</v>
      </c>
      <c r="EY419" s="1078"/>
      <c r="EZ419" s="1071"/>
      <c r="FA419" s="1072"/>
      <c r="FB419" s="1072"/>
      <c r="FC419" s="890">
        <f>FC33</f>
        <v>2407306658</v>
      </c>
      <c r="FD419" s="890">
        <f>FD33</f>
        <v>0</v>
      </c>
      <c r="FE419" s="890">
        <f>FE33</f>
        <v>0</v>
      </c>
      <c r="FF419" s="890">
        <f>FF33</f>
        <v>2407306658</v>
      </c>
      <c r="FG419" s="1078"/>
      <c r="FH419" s="1071"/>
      <c r="FI419" s="1072"/>
      <c r="FJ419" s="1072"/>
      <c r="FK419" s="890">
        <f>FK33</f>
        <v>2407306658</v>
      </c>
      <c r="FL419" s="890">
        <f>FL33</f>
        <v>0</v>
      </c>
      <c r="FM419" s="890">
        <f>FM33</f>
        <v>0</v>
      </c>
      <c r="FN419" s="890">
        <f>FN33</f>
        <v>2407306658</v>
      </c>
      <c r="FO419" s="1078"/>
    </row>
    <row r="420" spans="2:171">
      <c r="B420" s="108"/>
      <c r="C420" s="108" t="s">
        <v>527</v>
      </c>
      <c r="D420" s="1071"/>
      <c r="E420" s="124"/>
      <c r="F420" s="1072"/>
      <c r="G420" s="1648">
        <f>SUM(G418:G419)</f>
        <v>3465025688</v>
      </c>
      <c r="H420" s="1648">
        <f>SUM(H418:H419)</f>
        <v>0</v>
      </c>
      <c r="I420" s="1648">
        <f>SUM(I418:I419)</f>
        <v>0</v>
      </c>
      <c r="J420" s="1648">
        <f>SUM(J418:J419)</f>
        <v>3465025688</v>
      </c>
      <c r="K420" s="1073"/>
      <c r="L420" s="1071"/>
      <c r="M420" s="1072"/>
      <c r="N420" s="1072"/>
      <c r="O420" s="1648">
        <f>SUM(O418:O419)</f>
        <v>3465025688</v>
      </c>
      <c r="P420" s="1648">
        <f>SUM(P418:P419)</f>
        <v>0</v>
      </c>
      <c r="Q420" s="1648">
        <f>SUM(Q418:Q419)</f>
        <v>1057719030</v>
      </c>
      <c r="R420" s="1648">
        <f>SUM(R418:R419)</f>
        <v>2407306658</v>
      </c>
      <c r="S420" s="1073"/>
      <c r="T420" s="1071"/>
      <c r="U420" s="1072"/>
      <c r="V420" s="1072"/>
      <c r="W420" s="1648">
        <f>SUM(W418:W419)</f>
        <v>3465025688</v>
      </c>
      <c r="X420" s="1648">
        <f>SUM(X418:X419)</f>
        <v>0</v>
      </c>
      <c r="Y420" s="1648">
        <f>SUM(Y418:Y419)</f>
        <v>1057719030</v>
      </c>
      <c r="Z420" s="1648">
        <f>SUM(Z418:Z419)</f>
        <v>2407306658</v>
      </c>
      <c r="AA420" s="1073"/>
      <c r="AB420" s="1071"/>
      <c r="AC420" s="1072"/>
      <c r="AD420" s="1072"/>
      <c r="AE420" s="1648">
        <f>SUM(AE418:AE419)</f>
        <v>3465025688</v>
      </c>
      <c r="AF420" s="1648">
        <f>SUM(AF418:AF419)</f>
        <v>0</v>
      </c>
      <c r="AG420" s="1648">
        <f>SUM(AG418:AG419)</f>
        <v>1057719030</v>
      </c>
      <c r="AH420" s="1648">
        <f>SUM(AH418:AH419)</f>
        <v>2407306658</v>
      </c>
      <c r="AI420" s="1073"/>
      <c r="AJ420" s="1071"/>
      <c r="AK420" s="1072"/>
      <c r="AL420" s="1072"/>
      <c r="AM420" s="1648">
        <f>SUM(AM418:AM419)</f>
        <v>3465025688</v>
      </c>
      <c r="AN420" s="1648">
        <f>SUM(AN418:AN419)</f>
        <v>0</v>
      </c>
      <c r="AO420" s="1648">
        <f>SUM(AO418:AO419)</f>
        <v>1057719030</v>
      </c>
      <c r="AP420" s="1648">
        <f>SUM(AP418:AP419)</f>
        <v>2407306658</v>
      </c>
      <c r="AQ420" s="1073"/>
      <c r="AR420" s="1071"/>
      <c r="AS420" s="1072"/>
      <c r="AT420" s="1072"/>
      <c r="AU420" s="1648">
        <f>SUM(AU418:AU419)</f>
        <v>3465025688</v>
      </c>
      <c r="AV420" s="1648">
        <f>SUM(AV418:AV419)</f>
        <v>0</v>
      </c>
      <c r="AW420" s="1648">
        <f>SUM(AW418:AW419)</f>
        <v>1057719030</v>
      </c>
      <c r="AX420" s="1648">
        <f>SUM(AX418:AX419)</f>
        <v>2407306658</v>
      </c>
      <c r="AY420" s="1073"/>
      <c r="AZ420" s="1071"/>
      <c r="BA420" s="1072"/>
      <c r="BB420" s="1072"/>
      <c r="BC420" s="1648">
        <f>SUM(BC418:BC419)</f>
        <v>3465025688</v>
      </c>
      <c r="BD420" s="1648">
        <f>SUM(BD418:BD419)</f>
        <v>0</v>
      </c>
      <c r="BE420" s="1648">
        <f>SUM(BE418:BE419)</f>
        <v>1057719030</v>
      </c>
      <c r="BF420" s="1648">
        <f>SUM(BF418:BF419)</f>
        <v>2407306658</v>
      </c>
      <c r="BG420" s="1073"/>
      <c r="BH420" s="1071"/>
      <c r="BI420" s="1072"/>
      <c r="BJ420" s="1072"/>
      <c r="BK420" s="1648">
        <f>SUM(BK418:BK419)</f>
        <v>3465025688</v>
      </c>
      <c r="BL420" s="1648">
        <f>SUM(BL418:BL419)</f>
        <v>0</v>
      </c>
      <c r="BM420" s="1648">
        <f>SUM(BM418:BM419)</f>
        <v>1057719030</v>
      </c>
      <c r="BN420" s="1648">
        <f>SUM(BN418:BN419)</f>
        <v>2407306658</v>
      </c>
      <c r="BO420" s="1073"/>
      <c r="BP420" s="1071"/>
      <c r="BQ420" s="1072"/>
      <c r="BR420" s="1072"/>
      <c r="BS420" s="1648">
        <f>SUM(BS418:BS419)</f>
        <v>3465025688</v>
      </c>
      <c r="BT420" s="1648">
        <f>SUM(BT418:BT419)</f>
        <v>0</v>
      </c>
      <c r="BU420" s="1648">
        <f>SUM(BU418:BU419)</f>
        <v>1057719030</v>
      </c>
      <c r="BV420" s="1648">
        <f>SUM(BV418:BV419)</f>
        <v>2407306658</v>
      </c>
      <c r="BW420" s="1073"/>
      <c r="BX420" s="1071"/>
      <c r="BY420" s="1072"/>
      <c r="BZ420" s="1072"/>
      <c r="CA420" s="1648">
        <f>SUM(CA418:CA419)</f>
        <v>3465025688</v>
      </c>
      <c r="CB420" s="1648">
        <f>SUM(CB418:CB419)</f>
        <v>0</v>
      </c>
      <c r="CC420" s="1648">
        <f>SUM(CC418:CC419)</f>
        <v>1057719030</v>
      </c>
      <c r="CD420" s="1648">
        <f>SUM(CD418:CD419)</f>
        <v>2407306658</v>
      </c>
      <c r="CE420" s="1073"/>
      <c r="CF420" s="1071"/>
      <c r="CG420" s="1072"/>
      <c r="CH420" s="1072"/>
      <c r="CI420" s="1648">
        <f>SUM(CI418:CI419)</f>
        <v>3465025688</v>
      </c>
      <c r="CJ420" s="1648">
        <f>SUM(CJ418:CJ419)</f>
        <v>0</v>
      </c>
      <c r="CK420" s="1648">
        <f>SUM(CK418:CK419)</f>
        <v>1057719030</v>
      </c>
      <c r="CL420" s="1648">
        <f>SUM(CL418:CL419)</f>
        <v>2407306658</v>
      </c>
      <c r="CM420" s="1073"/>
      <c r="CN420" s="1071"/>
      <c r="CO420" s="1072"/>
      <c r="CP420" s="1072"/>
      <c r="CQ420" s="1648">
        <f>SUM(CQ418:CQ419)</f>
        <v>3465025688</v>
      </c>
      <c r="CR420" s="1648">
        <f>SUM(CR418:CR419)</f>
        <v>0</v>
      </c>
      <c r="CS420" s="1648">
        <f>SUM(CS418:CS419)</f>
        <v>1057719030</v>
      </c>
      <c r="CT420" s="1648">
        <f>SUM(CT418:CT419)</f>
        <v>2407306658</v>
      </c>
      <c r="CU420" s="1073"/>
      <c r="CV420" s="1071"/>
      <c r="CW420" s="1072"/>
      <c r="CX420" s="1072"/>
      <c r="CY420" s="1648">
        <f>SUM(CY418:CY419)</f>
        <v>3465025688</v>
      </c>
      <c r="CZ420" s="1648">
        <f>SUM(CZ418:CZ419)</f>
        <v>0</v>
      </c>
      <c r="DA420" s="1648">
        <f>SUM(DA418:DA419)</f>
        <v>1057719030</v>
      </c>
      <c r="DB420" s="1648">
        <f>SUM(DB418:DB419)</f>
        <v>2407306658</v>
      </c>
      <c r="DC420" s="1073"/>
      <c r="DD420" s="1071"/>
      <c r="DE420" s="1072"/>
      <c r="DF420" s="1072"/>
      <c r="DG420" s="1648">
        <f>SUM(DG418:DG419)</f>
        <v>3465025688</v>
      </c>
      <c r="DH420" s="1648">
        <f>SUM(DH418:DH419)</f>
        <v>0</v>
      </c>
      <c r="DI420" s="1648">
        <f>SUM(DI418:DI419)</f>
        <v>1057719030</v>
      </c>
      <c r="DJ420" s="1648">
        <f>SUM(DJ418:DJ419)</f>
        <v>2407306658</v>
      </c>
      <c r="DK420" s="1073"/>
      <c r="DL420" s="1071"/>
      <c r="DM420" s="1072"/>
      <c r="DN420" s="1072"/>
      <c r="DO420" s="1648">
        <f>SUM(DO418:DO419)</f>
        <v>3465025688</v>
      </c>
      <c r="DP420" s="1648">
        <f>SUM(DP418:DP419)</f>
        <v>0</v>
      </c>
      <c r="DQ420" s="1648">
        <f>SUM(DQ418:DQ419)</f>
        <v>1057719030</v>
      </c>
      <c r="DR420" s="1648">
        <f>SUM(DR418:DR419)</f>
        <v>2407306658</v>
      </c>
      <c r="DS420" s="1073"/>
      <c r="DT420" s="1071"/>
      <c r="DU420" s="1072"/>
      <c r="DV420" s="1072"/>
      <c r="DW420" s="1648">
        <f>SUM(DW418:DW419)</f>
        <v>3465025688</v>
      </c>
      <c r="DX420" s="1648">
        <f>SUM(DX418:DX419)</f>
        <v>0</v>
      </c>
      <c r="DY420" s="1648">
        <f>SUM(DY418:DY419)</f>
        <v>1057719030</v>
      </c>
      <c r="DZ420" s="1648">
        <f>SUM(DZ418:DZ419)</f>
        <v>2407306658</v>
      </c>
      <c r="EA420" s="1073"/>
      <c r="EB420" s="1071"/>
      <c r="EC420" s="1072"/>
      <c r="ED420" s="1072"/>
      <c r="EE420" s="1648">
        <f>SUM(EE418:EE419)</f>
        <v>3465025688</v>
      </c>
      <c r="EF420" s="1648">
        <f>SUM(EF418:EF419)</f>
        <v>0</v>
      </c>
      <c r="EG420" s="1648">
        <f>SUM(EG418:EG419)</f>
        <v>1057719030</v>
      </c>
      <c r="EH420" s="1648">
        <f>SUM(EH418:EH419)</f>
        <v>2407306658</v>
      </c>
      <c r="EI420" s="1073"/>
      <c r="EJ420" s="1071"/>
      <c r="EK420" s="1072"/>
      <c r="EL420" s="1072"/>
      <c r="EM420" s="1648">
        <f>SUM(EM418:EM419)</f>
        <v>3465025688</v>
      </c>
      <c r="EN420" s="1648">
        <f>SUM(EN418:EN419)</f>
        <v>0</v>
      </c>
      <c r="EO420" s="1648">
        <f>SUM(EO418:EO419)</f>
        <v>1057719030</v>
      </c>
      <c r="EP420" s="1648">
        <f>SUM(EP418:EP419)</f>
        <v>2407306658</v>
      </c>
      <c r="EQ420" s="1073"/>
      <c r="ER420" s="1071"/>
      <c r="ES420" s="1072"/>
      <c r="ET420" s="1072"/>
      <c r="EU420" s="1648">
        <f>SUM(EU418:EU419)</f>
        <v>3465025688</v>
      </c>
      <c r="EV420" s="1648">
        <f>SUM(EV418:EV419)</f>
        <v>0</v>
      </c>
      <c r="EW420" s="1648">
        <f>SUM(EW418:EW419)</f>
        <v>1057719030</v>
      </c>
      <c r="EX420" s="1648">
        <f>SUM(EX418:EX419)</f>
        <v>2407306658</v>
      </c>
      <c r="EY420" s="1073"/>
      <c r="EZ420" s="1071"/>
      <c r="FA420" s="1072"/>
      <c r="FB420" s="1072"/>
      <c r="FC420" s="1648">
        <f>SUM(FC418:FC419)</f>
        <v>3465025688</v>
      </c>
      <c r="FD420" s="1648">
        <f>SUM(FD418:FD419)</f>
        <v>0</v>
      </c>
      <c r="FE420" s="1648">
        <f>SUM(FE418:FE419)</f>
        <v>1057719030</v>
      </c>
      <c r="FF420" s="1648">
        <f>SUM(FF418:FF419)</f>
        <v>2407306658</v>
      </c>
      <c r="FG420" s="1073"/>
      <c r="FH420" s="1071"/>
      <c r="FI420" s="1072"/>
      <c r="FJ420" s="1072"/>
      <c r="FK420" s="1648">
        <f>SUM(FK418:FK419)</f>
        <v>3465025688</v>
      </c>
      <c r="FL420" s="1648">
        <f>SUM(FL418:FL419)</f>
        <v>0</v>
      </c>
      <c r="FM420" s="1648">
        <f>SUM(FM418:FM419)</f>
        <v>1057719030</v>
      </c>
      <c r="FN420" s="1648">
        <f>SUM(FN418:FN419)</f>
        <v>2407306658</v>
      </c>
      <c r="FO420" s="1073"/>
    </row>
    <row r="421" spans="2:171">
      <c r="B421" s="123"/>
      <c r="C421" s="123" t="s">
        <v>344</v>
      </c>
      <c r="D421" s="1296" t="s">
        <v>641</v>
      </c>
      <c r="E421" s="616"/>
      <c r="F421" s="1075"/>
      <c r="G421" s="1649">
        <f>H421+I421+J421</f>
        <v>1</v>
      </c>
      <c r="H421" s="1649">
        <f>IF($G420=0,0,H420/G420)</f>
        <v>0</v>
      </c>
      <c r="I421" s="1649">
        <f>IF($G420=0,0,I420/G420)</f>
        <v>0</v>
      </c>
      <c r="J421" s="1649">
        <f>IF($G420=0,0,J420/G420)</f>
        <v>1</v>
      </c>
      <c r="K421" s="1078"/>
      <c r="L421" s="1074" t="s">
        <v>641</v>
      </c>
      <c r="M421" s="1075"/>
      <c r="N421" s="1075"/>
      <c r="O421" s="1649">
        <f>P421+Q421+R421</f>
        <v>1</v>
      </c>
      <c r="P421" s="1649">
        <f>IF($G420=0,0,P420/O420)</f>
        <v>0</v>
      </c>
      <c r="Q421" s="1649">
        <f>IF($G420=0,0,Q420/O420)</f>
        <v>0.30525575428288138</v>
      </c>
      <c r="R421" s="1649">
        <f>IF($G420=0,0,R420/O420)</f>
        <v>0.69474424571711857</v>
      </c>
      <c r="S421" s="1078"/>
      <c r="T421" s="1074" t="s">
        <v>641</v>
      </c>
      <c r="U421" s="1075"/>
      <c r="V421" s="1075"/>
      <c r="W421" s="1649">
        <f>X421+Y421+Z421</f>
        <v>1</v>
      </c>
      <c r="X421" s="1649">
        <f>IF($G420=0,0,X420/W420)</f>
        <v>0</v>
      </c>
      <c r="Y421" s="1649">
        <f>IF($G420=0,0,Y420/W420)</f>
        <v>0.30525575428288138</v>
      </c>
      <c r="Z421" s="1649">
        <f>IF($G420=0,0,Z420/W420)</f>
        <v>0.69474424571711857</v>
      </c>
      <c r="AA421" s="1078"/>
      <c r="AB421" s="1074" t="s">
        <v>641</v>
      </c>
      <c r="AC421" s="1075"/>
      <c r="AD421" s="1075"/>
      <c r="AE421" s="1649">
        <f>AF421+AG421+AH421</f>
        <v>1</v>
      </c>
      <c r="AF421" s="1649">
        <f>IF($G420=0,0,AF420/AE420)</f>
        <v>0</v>
      </c>
      <c r="AG421" s="1649">
        <f>IF($G420=0,0,AG420/AE420)</f>
        <v>0.30525575428288138</v>
      </c>
      <c r="AH421" s="1649">
        <f>IF($G420=0,0,AH420/AE420)</f>
        <v>0.69474424571711857</v>
      </c>
      <c r="AI421" s="1078"/>
      <c r="AJ421" s="1074" t="s">
        <v>641</v>
      </c>
      <c r="AK421" s="1075"/>
      <c r="AL421" s="1075"/>
      <c r="AM421" s="1649">
        <f>AN421+AO421+AP421</f>
        <v>1</v>
      </c>
      <c r="AN421" s="1649">
        <f>IF($G420=0,0,AN420/AM420)</f>
        <v>0</v>
      </c>
      <c r="AO421" s="1649">
        <f>IF($G420=0,0,AO420/AM420)</f>
        <v>0.30525575428288138</v>
      </c>
      <c r="AP421" s="1649">
        <f>IF($G420=0,0,AP420/AM420)</f>
        <v>0.69474424571711857</v>
      </c>
      <c r="AQ421" s="1078"/>
      <c r="AR421" s="1074" t="s">
        <v>641</v>
      </c>
      <c r="AS421" s="1075"/>
      <c r="AT421" s="1075"/>
      <c r="AU421" s="1649">
        <f>AV421+AW421+AX421</f>
        <v>1</v>
      </c>
      <c r="AV421" s="1649">
        <f>IF($G420=0,0,AV420/AU420)</f>
        <v>0</v>
      </c>
      <c r="AW421" s="1649">
        <f>IF($G420=0,0,AW420/AU420)</f>
        <v>0.30525575428288138</v>
      </c>
      <c r="AX421" s="1649">
        <f>IF($G420=0,0,AX420/AU420)</f>
        <v>0.69474424571711857</v>
      </c>
      <c r="AY421" s="1078"/>
      <c r="AZ421" s="1074" t="s">
        <v>641</v>
      </c>
      <c r="BA421" s="1075"/>
      <c r="BB421" s="1075"/>
      <c r="BC421" s="1649">
        <f>BD421+BE421+BF421</f>
        <v>1</v>
      </c>
      <c r="BD421" s="1649">
        <f>IF($G420=0,0,BD420/BC420)</f>
        <v>0</v>
      </c>
      <c r="BE421" s="1649">
        <f>IF($G420=0,0,BE420/BC420)</f>
        <v>0.30525575428288138</v>
      </c>
      <c r="BF421" s="1649">
        <f>IF($G420=0,0,BF420/BC420)</f>
        <v>0.69474424571711857</v>
      </c>
      <c r="BG421" s="1078"/>
      <c r="BH421" s="1074" t="s">
        <v>641</v>
      </c>
      <c r="BI421" s="1075"/>
      <c r="BJ421" s="1075"/>
      <c r="BK421" s="1649">
        <f>BL421+BM421+BN421</f>
        <v>1</v>
      </c>
      <c r="BL421" s="1649">
        <f>IF($G420=0,0,BL420/BK420)</f>
        <v>0</v>
      </c>
      <c r="BM421" s="1649">
        <f>IF($G420=0,0,BM420/BK420)</f>
        <v>0.30525575428288138</v>
      </c>
      <c r="BN421" s="1649">
        <f>IF($G420=0,0,BN420/BK420)</f>
        <v>0.69474424571711857</v>
      </c>
      <c r="BO421" s="1078"/>
      <c r="BP421" s="1074" t="s">
        <v>641</v>
      </c>
      <c r="BQ421" s="1075"/>
      <c r="BR421" s="1075"/>
      <c r="BS421" s="1649">
        <f>BT421+BU421+BV421</f>
        <v>1</v>
      </c>
      <c r="BT421" s="1649">
        <f>IF($G420=0,0,BT420/BS420)</f>
        <v>0</v>
      </c>
      <c r="BU421" s="1649">
        <f>IF($G420=0,0,BU420/BS420)</f>
        <v>0.30525575428288138</v>
      </c>
      <c r="BV421" s="1649">
        <f>IF($G420=0,0,BV420/BS420)</f>
        <v>0.69474424571711857</v>
      </c>
      <c r="BW421" s="1078"/>
      <c r="BX421" s="1074" t="s">
        <v>641</v>
      </c>
      <c r="BY421" s="1075"/>
      <c r="BZ421" s="1075"/>
      <c r="CA421" s="1649">
        <f>CB421+CC421+CD421</f>
        <v>1</v>
      </c>
      <c r="CB421" s="1649">
        <f>IF($G420=0,0,CB420/CA420)</f>
        <v>0</v>
      </c>
      <c r="CC421" s="1649">
        <f>IF($G420=0,0,CC420/CA420)</f>
        <v>0.30525575428288138</v>
      </c>
      <c r="CD421" s="1649">
        <f>IF($G420=0,0,CD420/CA420)</f>
        <v>0.69474424571711857</v>
      </c>
      <c r="CE421" s="1078"/>
      <c r="CF421" s="1074" t="s">
        <v>641</v>
      </c>
      <c r="CG421" s="1075"/>
      <c r="CH421" s="1075"/>
      <c r="CI421" s="1649">
        <f>CJ421+CK421+CL421</f>
        <v>1</v>
      </c>
      <c r="CJ421" s="1649">
        <f>IF($G420=0,0,CJ420/CI420)</f>
        <v>0</v>
      </c>
      <c r="CK421" s="1649">
        <f>IF($G420=0,0,CK420/CI420)</f>
        <v>0.30525575428288138</v>
      </c>
      <c r="CL421" s="1649">
        <f>IF($G420=0,0,CL420/CI420)</f>
        <v>0.69474424571711857</v>
      </c>
      <c r="CM421" s="1078"/>
      <c r="CN421" s="1074" t="s">
        <v>641</v>
      </c>
      <c r="CO421" s="1075"/>
      <c r="CP421" s="1075"/>
      <c r="CQ421" s="1649">
        <f>CR421+CS421+CT421</f>
        <v>1</v>
      </c>
      <c r="CR421" s="1649">
        <f>IF($G420=0,0,CR420/CQ420)</f>
        <v>0</v>
      </c>
      <c r="CS421" s="1649">
        <f>IF($G420=0,0,CS420/CQ420)</f>
        <v>0.30525575428288138</v>
      </c>
      <c r="CT421" s="1649">
        <f>IF($G420=0,0,CT420/CQ420)</f>
        <v>0.69474424571711857</v>
      </c>
      <c r="CU421" s="1078"/>
      <c r="CV421" s="1074" t="s">
        <v>641</v>
      </c>
      <c r="CW421" s="1075"/>
      <c r="CX421" s="1075"/>
      <c r="CY421" s="1649">
        <f>CZ421+DA421+DB421</f>
        <v>1</v>
      </c>
      <c r="CZ421" s="1649">
        <f>IF($G420=0,0,CZ420/CY420)</f>
        <v>0</v>
      </c>
      <c r="DA421" s="1649">
        <f>IF($G420=0,0,DA420/CY420)</f>
        <v>0.30525575428288138</v>
      </c>
      <c r="DB421" s="1649">
        <f>IF($G420=0,0,DB420/CY420)</f>
        <v>0.69474424571711857</v>
      </c>
      <c r="DC421" s="1078"/>
      <c r="DD421" s="1074" t="s">
        <v>641</v>
      </c>
      <c r="DE421" s="1075"/>
      <c r="DF421" s="1075"/>
      <c r="DG421" s="1649">
        <f>DH421+DI421+DJ421</f>
        <v>1</v>
      </c>
      <c r="DH421" s="1649">
        <f>IF($G420=0,0,DH420/DG420)</f>
        <v>0</v>
      </c>
      <c r="DI421" s="1649">
        <f>IF($G420=0,0,DI420/DG420)</f>
        <v>0.30525575428288138</v>
      </c>
      <c r="DJ421" s="1649">
        <f>IF($G420=0,0,DJ420/DG420)</f>
        <v>0.69474424571711857</v>
      </c>
      <c r="DK421" s="1078"/>
      <c r="DL421" s="1074" t="s">
        <v>641</v>
      </c>
      <c r="DM421" s="1075"/>
      <c r="DN421" s="1075"/>
      <c r="DO421" s="1649">
        <f>DP421+DQ421+DR421</f>
        <v>1</v>
      </c>
      <c r="DP421" s="1649">
        <f>IF($G420=0,0,DP420/DO420)</f>
        <v>0</v>
      </c>
      <c r="DQ421" s="1649">
        <f>IF($G420=0,0,DQ420/DO420)</f>
        <v>0.30525575428288138</v>
      </c>
      <c r="DR421" s="1649">
        <f>IF($G420=0,0,DR420/DO420)</f>
        <v>0.69474424571711857</v>
      </c>
      <c r="DS421" s="1078"/>
      <c r="DT421" s="1074" t="s">
        <v>641</v>
      </c>
      <c r="DU421" s="1075"/>
      <c r="DV421" s="1075"/>
      <c r="DW421" s="1649">
        <f>DX421+DY421+DZ421</f>
        <v>1</v>
      </c>
      <c r="DX421" s="1649">
        <f>IF($G420=0,0,DX420/DW420)</f>
        <v>0</v>
      </c>
      <c r="DY421" s="1649">
        <f>IF($G420=0,0,DY420/DW420)</f>
        <v>0.30525575428288138</v>
      </c>
      <c r="DZ421" s="1649">
        <f>IF($G420=0,0,DZ420/DW420)</f>
        <v>0.69474424571711857</v>
      </c>
      <c r="EA421" s="1078"/>
      <c r="EB421" s="1074" t="s">
        <v>641</v>
      </c>
      <c r="EC421" s="1075"/>
      <c r="ED421" s="1075"/>
      <c r="EE421" s="1649">
        <f>EF421+EG421+EH421</f>
        <v>1</v>
      </c>
      <c r="EF421" s="1649">
        <f>IF($G420=0,0,EF420/EE420)</f>
        <v>0</v>
      </c>
      <c r="EG421" s="1649">
        <f>IF($G420=0,0,EG420/EE420)</f>
        <v>0.30525575428288138</v>
      </c>
      <c r="EH421" s="1649">
        <f>IF($G420=0,0,EH420/EE420)</f>
        <v>0.69474424571711857</v>
      </c>
      <c r="EI421" s="1078"/>
      <c r="EJ421" s="1074" t="s">
        <v>641</v>
      </c>
      <c r="EK421" s="1075"/>
      <c r="EL421" s="1075"/>
      <c r="EM421" s="1649">
        <f>EN421+EO421+EP421</f>
        <v>1</v>
      </c>
      <c r="EN421" s="1649">
        <f>IF($G420=0,0,EN420/EM420)</f>
        <v>0</v>
      </c>
      <c r="EO421" s="1649">
        <f>IF($G420=0,0,EO420/EM420)</f>
        <v>0.30525575428288138</v>
      </c>
      <c r="EP421" s="1649">
        <f>IF($G420=0,0,EP420/EM420)</f>
        <v>0.69474424571711857</v>
      </c>
      <c r="EQ421" s="1078"/>
      <c r="ER421" s="1074" t="s">
        <v>641</v>
      </c>
      <c r="ES421" s="1075"/>
      <c r="ET421" s="1075"/>
      <c r="EU421" s="1649">
        <f>EV421+EW421+EX421</f>
        <v>1</v>
      </c>
      <c r="EV421" s="1649">
        <f>IF($G420=0,0,EV420/EU420)</f>
        <v>0</v>
      </c>
      <c r="EW421" s="1649">
        <f>IF($G420=0,0,EW420/EU420)</f>
        <v>0.30525575428288138</v>
      </c>
      <c r="EX421" s="1649">
        <f>IF($G420=0,0,EX420/EU420)</f>
        <v>0.69474424571711857</v>
      </c>
      <c r="EY421" s="1078"/>
      <c r="EZ421" s="1074" t="s">
        <v>641</v>
      </c>
      <c r="FA421" s="1075"/>
      <c r="FB421" s="1075"/>
      <c r="FC421" s="1649">
        <f>FD421+FE421+FF421</f>
        <v>1</v>
      </c>
      <c r="FD421" s="1649">
        <f>IF($G420=0,0,FD420/FC420)</f>
        <v>0</v>
      </c>
      <c r="FE421" s="1649">
        <f>IF($G420=0,0,FE420/FC420)</f>
        <v>0.30525575428288138</v>
      </c>
      <c r="FF421" s="1649">
        <f>IF($G420=0,0,FF420/FC420)</f>
        <v>0.69474424571711857</v>
      </c>
      <c r="FG421" s="1078"/>
      <c r="FH421" s="1074" t="s">
        <v>641</v>
      </c>
      <c r="FI421" s="1075"/>
      <c r="FJ421" s="1075"/>
      <c r="FK421" s="1649">
        <f>FL421+FM421+FN421</f>
        <v>1</v>
      </c>
      <c r="FL421" s="1649">
        <f>IF($G420=0,0,FL420/FK420)</f>
        <v>0</v>
      </c>
      <c r="FM421" s="1649">
        <f>IF($G420=0,0,FM420/FK420)</f>
        <v>0.30525575428288138</v>
      </c>
      <c r="FN421" s="1649">
        <f>IF($G420=0,0,FN420/FK420)</f>
        <v>0.69474424571711857</v>
      </c>
      <c r="FO421" s="1078"/>
    </row>
    <row r="422" spans="2:171">
      <c r="K422" s="1073"/>
      <c r="S422" s="1073"/>
      <c r="AA422" s="1073"/>
      <c r="AI422" s="1073"/>
      <c r="AQ422" s="1073"/>
      <c r="AY422" s="1073"/>
      <c r="BG422" s="1073"/>
      <c r="BO422" s="1073"/>
      <c r="BW422" s="1073"/>
      <c r="CE422" s="1073"/>
      <c r="CM422" s="1073"/>
      <c r="CU422" s="1073"/>
      <c r="DC422" s="1073"/>
      <c r="DK422" s="1073"/>
      <c r="DS422" s="1073"/>
      <c r="EA422" s="1073"/>
      <c r="EI422" s="1073"/>
      <c r="EQ422" s="1073"/>
      <c r="EY422" s="1073"/>
      <c r="FG422" s="1073"/>
      <c r="FO422" s="1073"/>
    </row>
    <row r="423" spans="2:171">
      <c r="E423" s="302" t="s">
        <v>525</v>
      </c>
      <c r="G423" s="303" t="s">
        <v>104</v>
      </c>
      <c r="H423" s="303" t="s">
        <v>105</v>
      </c>
      <c r="I423" s="303" t="s">
        <v>106</v>
      </c>
      <c r="J423" s="304" t="s">
        <v>516</v>
      </c>
      <c r="K423" s="1078"/>
      <c r="O423" s="303" t="s">
        <v>104</v>
      </c>
      <c r="P423" s="303" t="s">
        <v>105</v>
      </c>
      <c r="Q423" s="303" t="s">
        <v>106</v>
      </c>
      <c r="R423" s="304" t="s">
        <v>516</v>
      </c>
      <c r="S423" s="1078"/>
      <c r="W423" s="303" t="s">
        <v>104</v>
      </c>
      <c r="X423" s="303" t="s">
        <v>105</v>
      </c>
      <c r="Y423" s="303" t="s">
        <v>106</v>
      </c>
      <c r="Z423" s="304" t="s">
        <v>516</v>
      </c>
      <c r="AA423" s="1078"/>
      <c r="AE423" s="303" t="s">
        <v>104</v>
      </c>
      <c r="AF423" s="303" t="s">
        <v>105</v>
      </c>
      <c r="AG423" s="303" t="s">
        <v>106</v>
      </c>
      <c r="AH423" s="304" t="s">
        <v>516</v>
      </c>
      <c r="AI423" s="1078"/>
      <c r="AM423" s="303" t="s">
        <v>104</v>
      </c>
      <c r="AN423" s="303" t="s">
        <v>105</v>
      </c>
      <c r="AO423" s="303" t="s">
        <v>106</v>
      </c>
      <c r="AP423" s="304" t="s">
        <v>516</v>
      </c>
      <c r="AQ423" s="1078"/>
      <c r="AU423" s="303" t="s">
        <v>104</v>
      </c>
      <c r="AV423" s="303" t="s">
        <v>105</v>
      </c>
      <c r="AW423" s="303" t="s">
        <v>106</v>
      </c>
      <c r="AX423" s="304" t="s">
        <v>516</v>
      </c>
      <c r="AY423" s="1078"/>
      <c r="BC423" s="303" t="s">
        <v>104</v>
      </c>
      <c r="BD423" s="303" t="s">
        <v>105</v>
      </c>
      <c r="BE423" s="303" t="s">
        <v>106</v>
      </c>
      <c r="BF423" s="304" t="s">
        <v>516</v>
      </c>
      <c r="BG423" s="1078"/>
      <c r="BK423" s="303" t="s">
        <v>104</v>
      </c>
      <c r="BL423" s="303" t="s">
        <v>105</v>
      </c>
      <c r="BM423" s="303" t="s">
        <v>106</v>
      </c>
      <c r="BN423" s="304" t="s">
        <v>516</v>
      </c>
      <c r="BO423" s="1078"/>
      <c r="BS423" s="303" t="s">
        <v>104</v>
      </c>
      <c r="BT423" s="303" t="s">
        <v>105</v>
      </c>
      <c r="BU423" s="303" t="s">
        <v>106</v>
      </c>
      <c r="BV423" s="304" t="s">
        <v>516</v>
      </c>
      <c r="BW423" s="1078"/>
      <c r="CA423" s="303" t="s">
        <v>104</v>
      </c>
      <c r="CB423" s="303" t="s">
        <v>105</v>
      </c>
      <c r="CC423" s="303" t="s">
        <v>106</v>
      </c>
      <c r="CD423" s="304" t="s">
        <v>516</v>
      </c>
      <c r="CE423" s="1078"/>
      <c r="CI423" s="303" t="s">
        <v>104</v>
      </c>
      <c r="CJ423" s="303" t="s">
        <v>105</v>
      </c>
      <c r="CK423" s="303" t="s">
        <v>106</v>
      </c>
      <c r="CL423" s="304" t="s">
        <v>516</v>
      </c>
      <c r="CM423" s="1078"/>
      <c r="CQ423" s="303" t="s">
        <v>104</v>
      </c>
      <c r="CR423" s="303" t="s">
        <v>105</v>
      </c>
      <c r="CS423" s="303" t="s">
        <v>106</v>
      </c>
      <c r="CT423" s="304" t="s">
        <v>516</v>
      </c>
      <c r="CU423" s="1078"/>
      <c r="CY423" s="303" t="s">
        <v>104</v>
      </c>
      <c r="CZ423" s="303" t="s">
        <v>105</v>
      </c>
      <c r="DA423" s="303" t="s">
        <v>106</v>
      </c>
      <c r="DB423" s="304" t="s">
        <v>516</v>
      </c>
      <c r="DC423" s="1078"/>
      <c r="DG423" s="303" t="s">
        <v>104</v>
      </c>
      <c r="DH423" s="303" t="s">
        <v>105</v>
      </c>
      <c r="DI423" s="303" t="s">
        <v>106</v>
      </c>
      <c r="DJ423" s="304" t="s">
        <v>516</v>
      </c>
      <c r="DK423" s="1078"/>
      <c r="DO423" s="303" t="s">
        <v>104</v>
      </c>
      <c r="DP423" s="303" t="s">
        <v>105</v>
      </c>
      <c r="DQ423" s="303" t="s">
        <v>106</v>
      </c>
      <c r="DR423" s="304" t="s">
        <v>516</v>
      </c>
      <c r="DS423" s="1078"/>
      <c r="DW423" s="303" t="s">
        <v>104</v>
      </c>
      <c r="DX423" s="303" t="s">
        <v>105</v>
      </c>
      <c r="DY423" s="303" t="s">
        <v>106</v>
      </c>
      <c r="DZ423" s="304" t="s">
        <v>516</v>
      </c>
      <c r="EA423" s="1078"/>
      <c r="EE423" s="303" t="s">
        <v>104</v>
      </c>
      <c r="EF423" s="303" t="s">
        <v>105</v>
      </c>
      <c r="EG423" s="303" t="s">
        <v>106</v>
      </c>
      <c r="EH423" s="304" t="s">
        <v>516</v>
      </c>
      <c r="EI423" s="1078"/>
      <c r="EM423" s="303" t="s">
        <v>104</v>
      </c>
      <c r="EN423" s="303" t="s">
        <v>105</v>
      </c>
      <c r="EO423" s="303" t="s">
        <v>106</v>
      </c>
      <c r="EP423" s="304" t="s">
        <v>516</v>
      </c>
      <c r="EQ423" s="1078"/>
      <c r="EU423" s="303" t="s">
        <v>104</v>
      </c>
      <c r="EV423" s="303" t="s">
        <v>105</v>
      </c>
      <c r="EW423" s="303" t="s">
        <v>106</v>
      </c>
      <c r="EX423" s="304" t="s">
        <v>516</v>
      </c>
      <c r="EY423" s="1078"/>
      <c r="FC423" s="303" t="s">
        <v>104</v>
      </c>
      <c r="FD423" s="303" t="s">
        <v>105</v>
      </c>
      <c r="FE423" s="303" t="s">
        <v>106</v>
      </c>
      <c r="FF423" s="304" t="s">
        <v>516</v>
      </c>
      <c r="FG423" s="1078"/>
      <c r="FK423" s="303" t="s">
        <v>104</v>
      </c>
      <c r="FL423" s="303" t="s">
        <v>105</v>
      </c>
      <c r="FM423" s="303" t="s">
        <v>106</v>
      </c>
      <c r="FN423" s="304" t="s">
        <v>516</v>
      </c>
      <c r="FO423" s="1078"/>
    </row>
    <row r="424" spans="2:171">
      <c r="C424" s="108" t="s">
        <v>121</v>
      </c>
      <c r="D424" s="1071"/>
      <c r="E424" s="904" t="s">
        <v>396</v>
      </c>
      <c r="G424" s="890">
        <f t="shared" ref="G424:J425" si="1099">G403</f>
        <v>1057719030</v>
      </c>
      <c r="H424" s="890">
        <f t="shared" si="1099"/>
        <v>0</v>
      </c>
      <c r="I424" s="890">
        <f t="shared" si="1099"/>
        <v>0</v>
      </c>
      <c r="J424" s="890">
        <f t="shared" si="1099"/>
        <v>1057719030</v>
      </c>
      <c r="K424" s="903">
        <f t="shared" ref="K424:K429" si="1100">IF($E424="DIRECT",0,1)</f>
        <v>1</v>
      </c>
      <c r="L424" s="1071"/>
      <c r="N424" s="1072"/>
      <c r="O424" s="890">
        <f t="shared" ref="O424:R425" si="1101">O403</f>
        <v>1057719030</v>
      </c>
      <c r="P424" s="890">
        <f t="shared" si="1101"/>
        <v>0</v>
      </c>
      <c r="Q424" s="890">
        <f t="shared" si="1101"/>
        <v>1057719030</v>
      </c>
      <c r="R424" s="890">
        <f t="shared" si="1101"/>
        <v>0</v>
      </c>
      <c r="S424" s="1073"/>
      <c r="T424" s="1071"/>
      <c r="V424" s="1072"/>
      <c r="W424" s="890">
        <f t="shared" ref="W424:Z425" si="1102">W403</f>
        <v>1057719030</v>
      </c>
      <c r="X424" s="890">
        <f t="shared" si="1102"/>
        <v>0</v>
      </c>
      <c r="Y424" s="890">
        <f t="shared" si="1102"/>
        <v>1057719030</v>
      </c>
      <c r="Z424" s="890">
        <f t="shared" si="1102"/>
        <v>0</v>
      </c>
      <c r="AA424" s="1073"/>
      <c r="AB424" s="1071"/>
      <c r="AD424" s="1072"/>
      <c r="AE424" s="890">
        <f t="shared" ref="AE424:AH425" si="1103">AE403</f>
        <v>1057719030</v>
      </c>
      <c r="AF424" s="890">
        <f t="shared" si="1103"/>
        <v>0</v>
      </c>
      <c r="AG424" s="890">
        <f t="shared" si="1103"/>
        <v>1057719030</v>
      </c>
      <c r="AH424" s="890">
        <f t="shared" si="1103"/>
        <v>0</v>
      </c>
      <c r="AI424" s="1073"/>
      <c r="AJ424" s="1071"/>
      <c r="AL424" s="1072"/>
      <c r="AM424" s="890">
        <f t="shared" ref="AM424:AP425" si="1104">AM403</f>
        <v>1057719030</v>
      </c>
      <c r="AN424" s="890">
        <f t="shared" si="1104"/>
        <v>0</v>
      </c>
      <c r="AO424" s="890">
        <f t="shared" si="1104"/>
        <v>1057719030</v>
      </c>
      <c r="AP424" s="890">
        <f t="shared" si="1104"/>
        <v>0</v>
      </c>
      <c r="AQ424" s="1073"/>
      <c r="AR424" s="1071"/>
      <c r="AT424" s="1072"/>
      <c r="AU424" s="890">
        <f t="shared" ref="AU424:AX425" si="1105">AU403</f>
        <v>1057719030</v>
      </c>
      <c r="AV424" s="890">
        <f t="shared" si="1105"/>
        <v>0</v>
      </c>
      <c r="AW424" s="890">
        <f t="shared" si="1105"/>
        <v>1057719030</v>
      </c>
      <c r="AX424" s="890">
        <f t="shared" si="1105"/>
        <v>0</v>
      </c>
      <c r="AY424" s="1073"/>
      <c r="AZ424" s="1071"/>
      <c r="BB424" s="1072"/>
      <c r="BC424" s="890">
        <f t="shared" ref="BC424:BF425" si="1106">BC403</f>
        <v>1057719030</v>
      </c>
      <c r="BD424" s="890">
        <f t="shared" si="1106"/>
        <v>0</v>
      </c>
      <c r="BE424" s="890">
        <f t="shared" si="1106"/>
        <v>1057719030</v>
      </c>
      <c r="BF424" s="890">
        <f t="shared" si="1106"/>
        <v>0</v>
      </c>
      <c r="BG424" s="1073"/>
      <c r="BH424" s="1071"/>
      <c r="BJ424" s="1072"/>
      <c r="BK424" s="890">
        <f t="shared" ref="BK424:BN425" si="1107">BK403</f>
        <v>1057719030</v>
      </c>
      <c r="BL424" s="890">
        <f t="shared" si="1107"/>
        <v>0</v>
      </c>
      <c r="BM424" s="890">
        <f t="shared" si="1107"/>
        <v>1057719030</v>
      </c>
      <c r="BN424" s="890">
        <f t="shared" si="1107"/>
        <v>0</v>
      </c>
      <c r="BO424" s="1073"/>
      <c r="BP424" s="1071"/>
      <c r="BR424" s="1072"/>
      <c r="BS424" s="890">
        <f t="shared" ref="BS424:BV425" si="1108">BS403</f>
        <v>1057719030</v>
      </c>
      <c r="BT424" s="890">
        <f t="shared" si="1108"/>
        <v>0</v>
      </c>
      <c r="BU424" s="890">
        <f t="shared" si="1108"/>
        <v>1057719030</v>
      </c>
      <c r="BV424" s="890">
        <f t="shared" si="1108"/>
        <v>0</v>
      </c>
      <c r="BW424" s="1073"/>
      <c r="BX424" s="1071"/>
      <c r="BZ424" s="1072"/>
      <c r="CA424" s="890">
        <f t="shared" ref="CA424:CD425" si="1109">CA403</f>
        <v>1057719030</v>
      </c>
      <c r="CB424" s="890">
        <f t="shared" si="1109"/>
        <v>0</v>
      </c>
      <c r="CC424" s="890">
        <f t="shared" si="1109"/>
        <v>1057719030</v>
      </c>
      <c r="CD424" s="890">
        <f t="shared" si="1109"/>
        <v>0</v>
      </c>
      <c r="CE424" s="1073"/>
      <c r="CF424" s="1071"/>
      <c r="CH424" s="1072"/>
      <c r="CI424" s="890">
        <f t="shared" ref="CI424:CL425" si="1110">CI403</f>
        <v>1057719030</v>
      </c>
      <c r="CJ424" s="890">
        <f t="shared" si="1110"/>
        <v>0</v>
      </c>
      <c r="CK424" s="890">
        <f t="shared" si="1110"/>
        <v>1057719030</v>
      </c>
      <c r="CL424" s="890">
        <f t="shared" si="1110"/>
        <v>0</v>
      </c>
      <c r="CM424" s="1073"/>
      <c r="CN424" s="1071"/>
      <c r="CP424" s="1072"/>
      <c r="CQ424" s="890">
        <f t="shared" ref="CQ424:CT425" si="1111">CQ403</f>
        <v>1057719030</v>
      </c>
      <c r="CR424" s="890">
        <f t="shared" si="1111"/>
        <v>0</v>
      </c>
      <c r="CS424" s="890">
        <f t="shared" si="1111"/>
        <v>1057719030</v>
      </c>
      <c r="CT424" s="890">
        <f t="shared" si="1111"/>
        <v>0</v>
      </c>
      <c r="CU424" s="1073"/>
      <c r="CV424" s="1071"/>
      <c r="CX424" s="1072"/>
      <c r="CY424" s="890">
        <f t="shared" ref="CY424:DB425" si="1112">CY403</f>
        <v>1057719030</v>
      </c>
      <c r="CZ424" s="890">
        <f t="shared" si="1112"/>
        <v>0</v>
      </c>
      <c r="DA424" s="890">
        <f t="shared" si="1112"/>
        <v>1057719030</v>
      </c>
      <c r="DB424" s="890">
        <f t="shared" si="1112"/>
        <v>0</v>
      </c>
      <c r="DC424" s="1073"/>
      <c r="DD424" s="1071"/>
      <c r="DF424" s="1072"/>
      <c r="DG424" s="890">
        <f t="shared" ref="DG424:DJ425" si="1113">DG403</f>
        <v>1057719030</v>
      </c>
      <c r="DH424" s="890">
        <f t="shared" si="1113"/>
        <v>0</v>
      </c>
      <c r="DI424" s="890">
        <f t="shared" si="1113"/>
        <v>1057719030</v>
      </c>
      <c r="DJ424" s="890">
        <f t="shared" si="1113"/>
        <v>0</v>
      </c>
      <c r="DK424" s="1073"/>
      <c r="DL424" s="1071"/>
      <c r="DN424" s="1072"/>
      <c r="DO424" s="890">
        <f t="shared" ref="DO424:DR425" si="1114">DO403</f>
        <v>1057719030</v>
      </c>
      <c r="DP424" s="890">
        <f t="shared" si="1114"/>
        <v>0</v>
      </c>
      <c r="DQ424" s="890">
        <f t="shared" si="1114"/>
        <v>1057719030</v>
      </c>
      <c r="DR424" s="890">
        <f t="shared" si="1114"/>
        <v>0</v>
      </c>
      <c r="DS424" s="1073"/>
      <c r="DT424" s="1071"/>
      <c r="DV424" s="1072"/>
      <c r="DW424" s="890">
        <f t="shared" ref="DW424:DZ425" si="1115">DW403</f>
        <v>1057719030</v>
      </c>
      <c r="DX424" s="890">
        <f t="shared" si="1115"/>
        <v>0</v>
      </c>
      <c r="DY424" s="890">
        <f t="shared" si="1115"/>
        <v>1057719030</v>
      </c>
      <c r="DZ424" s="890">
        <f t="shared" si="1115"/>
        <v>0</v>
      </c>
      <c r="EA424" s="1073"/>
      <c r="EB424" s="1071"/>
      <c r="ED424" s="1072"/>
      <c r="EE424" s="890">
        <f t="shared" ref="EE424:EH425" si="1116">EE403</f>
        <v>1057719030</v>
      </c>
      <c r="EF424" s="890">
        <f t="shared" si="1116"/>
        <v>0</v>
      </c>
      <c r="EG424" s="890">
        <f t="shared" si="1116"/>
        <v>1057719030</v>
      </c>
      <c r="EH424" s="890">
        <f t="shared" si="1116"/>
        <v>0</v>
      </c>
      <c r="EI424" s="1073"/>
      <c r="EJ424" s="1071"/>
      <c r="EL424" s="1072"/>
      <c r="EM424" s="890">
        <f t="shared" ref="EM424:EP425" si="1117">EM403</f>
        <v>1057719030</v>
      </c>
      <c r="EN424" s="890">
        <f t="shared" si="1117"/>
        <v>0</v>
      </c>
      <c r="EO424" s="890">
        <f t="shared" si="1117"/>
        <v>1057719030</v>
      </c>
      <c r="EP424" s="890">
        <f t="shared" si="1117"/>
        <v>0</v>
      </c>
      <c r="EQ424" s="1073"/>
      <c r="ER424" s="1071"/>
      <c r="ET424" s="1072"/>
      <c r="EU424" s="890">
        <f t="shared" ref="EU424:EX425" si="1118">EU403</f>
        <v>1057719030</v>
      </c>
      <c r="EV424" s="890">
        <f t="shared" si="1118"/>
        <v>0</v>
      </c>
      <c r="EW424" s="890">
        <f t="shared" si="1118"/>
        <v>1057719030</v>
      </c>
      <c r="EX424" s="890">
        <f t="shared" si="1118"/>
        <v>0</v>
      </c>
      <c r="EY424" s="1073"/>
      <c r="EZ424" s="1071"/>
      <c r="FB424" s="1072"/>
      <c r="FC424" s="890">
        <f t="shared" ref="FC424:FF425" si="1119">FC403</f>
        <v>1057719030</v>
      </c>
      <c r="FD424" s="890">
        <f t="shared" si="1119"/>
        <v>0</v>
      </c>
      <c r="FE424" s="890">
        <f t="shared" si="1119"/>
        <v>1057719030</v>
      </c>
      <c r="FF424" s="890">
        <f t="shared" si="1119"/>
        <v>0</v>
      </c>
      <c r="FG424" s="1073"/>
      <c r="FH424" s="1071"/>
      <c r="FJ424" s="1072"/>
      <c r="FK424" s="890">
        <f t="shared" ref="FK424:FN425" si="1120">FK403</f>
        <v>1057719030</v>
      </c>
      <c r="FL424" s="890">
        <f t="shared" si="1120"/>
        <v>0</v>
      </c>
      <c r="FM424" s="890">
        <f t="shared" si="1120"/>
        <v>1057719030</v>
      </c>
      <c r="FN424" s="890">
        <f t="shared" si="1120"/>
        <v>0</v>
      </c>
      <c r="FO424" s="1073"/>
    </row>
    <row r="425" spans="2:171">
      <c r="C425" s="108" t="s">
        <v>122</v>
      </c>
      <c r="D425" s="1071"/>
      <c r="E425" s="904" t="s">
        <v>395</v>
      </c>
      <c r="G425" s="890">
        <f t="shared" si="1099"/>
        <v>2407306658</v>
      </c>
      <c r="H425" s="890">
        <f t="shared" si="1099"/>
        <v>0</v>
      </c>
      <c r="I425" s="890">
        <f t="shared" si="1099"/>
        <v>0</v>
      </c>
      <c r="J425" s="890">
        <f t="shared" si="1099"/>
        <v>2407306658</v>
      </c>
      <c r="K425" s="903">
        <f t="shared" si="1100"/>
        <v>1</v>
      </c>
      <c r="L425" s="1071"/>
      <c r="N425" s="1072"/>
      <c r="O425" s="890">
        <f t="shared" si="1101"/>
        <v>2407306658</v>
      </c>
      <c r="P425" s="890">
        <f t="shared" si="1101"/>
        <v>0</v>
      </c>
      <c r="Q425" s="890">
        <f t="shared" si="1101"/>
        <v>0</v>
      </c>
      <c r="R425" s="890">
        <f t="shared" si="1101"/>
        <v>2407306658</v>
      </c>
      <c r="S425" s="1073"/>
      <c r="T425" s="1071"/>
      <c r="V425" s="1072"/>
      <c r="W425" s="890">
        <f t="shared" si="1102"/>
        <v>2407306658</v>
      </c>
      <c r="X425" s="890">
        <f t="shared" si="1102"/>
        <v>0</v>
      </c>
      <c r="Y425" s="890">
        <f t="shared" si="1102"/>
        <v>0</v>
      </c>
      <c r="Z425" s="890">
        <f t="shared" si="1102"/>
        <v>2407306658</v>
      </c>
      <c r="AA425" s="1073"/>
      <c r="AB425" s="1071"/>
      <c r="AD425" s="1072"/>
      <c r="AE425" s="890">
        <f t="shared" si="1103"/>
        <v>2407306658</v>
      </c>
      <c r="AF425" s="890">
        <f t="shared" si="1103"/>
        <v>0</v>
      </c>
      <c r="AG425" s="890">
        <f t="shared" si="1103"/>
        <v>0</v>
      </c>
      <c r="AH425" s="890">
        <f t="shared" si="1103"/>
        <v>2407306658</v>
      </c>
      <c r="AI425" s="1073"/>
      <c r="AJ425" s="1071"/>
      <c r="AL425" s="1072"/>
      <c r="AM425" s="890">
        <f t="shared" si="1104"/>
        <v>2407306658</v>
      </c>
      <c r="AN425" s="890">
        <f t="shared" si="1104"/>
        <v>0</v>
      </c>
      <c r="AO425" s="890">
        <f t="shared" si="1104"/>
        <v>0</v>
      </c>
      <c r="AP425" s="890">
        <f t="shared" si="1104"/>
        <v>2407306658</v>
      </c>
      <c r="AQ425" s="1073"/>
      <c r="AR425" s="1071"/>
      <c r="AT425" s="1072"/>
      <c r="AU425" s="890">
        <f t="shared" si="1105"/>
        <v>2407306658</v>
      </c>
      <c r="AV425" s="890">
        <f t="shared" si="1105"/>
        <v>0</v>
      </c>
      <c r="AW425" s="890">
        <f t="shared" si="1105"/>
        <v>0</v>
      </c>
      <c r="AX425" s="890">
        <f t="shared" si="1105"/>
        <v>2407306658</v>
      </c>
      <c r="AY425" s="1073"/>
      <c r="AZ425" s="1071"/>
      <c r="BB425" s="1072"/>
      <c r="BC425" s="890">
        <f t="shared" si="1106"/>
        <v>2407306658</v>
      </c>
      <c r="BD425" s="890">
        <f t="shared" si="1106"/>
        <v>0</v>
      </c>
      <c r="BE425" s="890">
        <f t="shared" si="1106"/>
        <v>0</v>
      </c>
      <c r="BF425" s="890">
        <f t="shared" si="1106"/>
        <v>2407306658</v>
      </c>
      <c r="BG425" s="1073"/>
      <c r="BH425" s="1071"/>
      <c r="BJ425" s="1072"/>
      <c r="BK425" s="890">
        <f t="shared" si="1107"/>
        <v>2407306658</v>
      </c>
      <c r="BL425" s="890">
        <f t="shared" si="1107"/>
        <v>0</v>
      </c>
      <c r="BM425" s="890">
        <f t="shared" si="1107"/>
        <v>0</v>
      </c>
      <c r="BN425" s="890">
        <f t="shared" si="1107"/>
        <v>2407306658</v>
      </c>
      <c r="BO425" s="1073"/>
      <c r="BP425" s="1071"/>
      <c r="BR425" s="1072"/>
      <c r="BS425" s="890">
        <f t="shared" si="1108"/>
        <v>2407306658</v>
      </c>
      <c r="BT425" s="890">
        <f t="shared" si="1108"/>
        <v>0</v>
      </c>
      <c r="BU425" s="890">
        <f t="shared" si="1108"/>
        <v>0</v>
      </c>
      <c r="BV425" s="890">
        <f t="shared" si="1108"/>
        <v>2407306658</v>
      </c>
      <c r="BW425" s="1073"/>
      <c r="BX425" s="1071"/>
      <c r="BZ425" s="1072"/>
      <c r="CA425" s="890">
        <f t="shared" si="1109"/>
        <v>2407306658</v>
      </c>
      <c r="CB425" s="890">
        <f t="shared" si="1109"/>
        <v>0</v>
      </c>
      <c r="CC425" s="890">
        <f t="shared" si="1109"/>
        <v>0</v>
      </c>
      <c r="CD425" s="890">
        <f t="shared" si="1109"/>
        <v>2407306658</v>
      </c>
      <c r="CE425" s="1073"/>
      <c r="CF425" s="1071"/>
      <c r="CH425" s="1072"/>
      <c r="CI425" s="890">
        <f t="shared" si="1110"/>
        <v>2407306658</v>
      </c>
      <c r="CJ425" s="890">
        <f t="shared" si="1110"/>
        <v>0</v>
      </c>
      <c r="CK425" s="890">
        <f t="shared" si="1110"/>
        <v>0</v>
      </c>
      <c r="CL425" s="890">
        <f t="shared" si="1110"/>
        <v>2407306658</v>
      </c>
      <c r="CM425" s="1073"/>
      <c r="CN425" s="1071"/>
      <c r="CP425" s="1072"/>
      <c r="CQ425" s="890">
        <f t="shared" si="1111"/>
        <v>2407306658</v>
      </c>
      <c r="CR425" s="890">
        <f t="shared" si="1111"/>
        <v>0</v>
      </c>
      <c r="CS425" s="890">
        <f t="shared" si="1111"/>
        <v>0</v>
      </c>
      <c r="CT425" s="890">
        <f t="shared" si="1111"/>
        <v>2407306658</v>
      </c>
      <c r="CU425" s="1073"/>
      <c r="CV425" s="1071"/>
      <c r="CX425" s="1072"/>
      <c r="CY425" s="890">
        <f t="shared" si="1112"/>
        <v>2407306658</v>
      </c>
      <c r="CZ425" s="890">
        <f t="shared" si="1112"/>
        <v>0</v>
      </c>
      <c r="DA425" s="890">
        <f t="shared" si="1112"/>
        <v>0</v>
      </c>
      <c r="DB425" s="890">
        <f t="shared" si="1112"/>
        <v>2407306658</v>
      </c>
      <c r="DC425" s="1073"/>
      <c r="DD425" s="1071"/>
      <c r="DF425" s="1072"/>
      <c r="DG425" s="890">
        <f t="shared" si="1113"/>
        <v>2407306658</v>
      </c>
      <c r="DH425" s="890">
        <f t="shared" si="1113"/>
        <v>0</v>
      </c>
      <c r="DI425" s="890">
        <f t="shared" si="1113"/>
        <v>0</v>
      </c>
      <c r="DJ425" s="890">
        <f t="shared" si="1113"/>
        <v>2407306658</v>
      </c>
      <c r="DK425" s="1073"/>
      <c r="DL425" s="1071"/>
      <c r="DN425" s="1072"/>
      <c r="DO425" s="890">
        <f t="shared" si="1114"/>
        <v>2407306658</v>
      </c>
      <c r="DP425" s="890">
        <f t="shared" si="1114"/>
        <v>0</v>
      </c>
      <c r="DQ425" s="890">
        <f t="shared" si="1114"/>
        <v>0</v>
      </c>
      <c r="DR425" s="890">
        <f t="shared" si="1114"/>
        <v>2407306658</v>
      </c>
      <c r="DS425" s="1073"/>
      <c r="DT425" s="1071"/>
      <c r="DV425" s="1072"/>
      <c r="DW425" s="890">
        <f t="shared" si="1115"/>
        <v>2407306658</v>
      </c>
      <c r="DX425" s="890">
        <f t="shared" si="1115"/>
        <v>0</v>
      </c>
      <c r="DY425" s="890">
        <f t="shared" si="1115"/>
        <v>0</v>
      </c>
      <c r="DZ425" s="890">
        <f t="shared" si="1115"/>
        <v>2407306658</v>
      </c>
      <c r="EA425" s="1073"/>
      <c r="EB425" s="1071"/>
      <c r="ED425" s="1072"/>
      <c r="EE425" s="890">
        <f t="shared" si="1116"/>
        <v>2407306658</v>
      </c>
      <c r="EF425" s="890">
        <f t="shared" si="1116"/>
        <v>0</v>
      </c>
      <c r="EG425" s="890">
        <f t="shared" si="1116"/>
        <v>0</v>
      </c>
      <c r="EH425" s="890">
        <f t="shared" si="1116"/>
        <v>2407306658</v>
      </c>
      <c r="EI425" s="1073"/>
      <c r="EJ425" s="1071"/>
      <c r="EL425" s="1072"/>
      <c r="EM425" s="890">
        <f t="shared" si="1117"/>
        <v>2407306658</v>
      </c>
      <c r="EN425" s="890">
        <f t="shared" si="1117"/>
        <v>0</v>
      </c>
      <c r="EO425" s="890">
        <f t="shared" si="1117"/>
        <v>0</v>
      </c>
      <c r="EP425" s="890">
        <f t="shared" si="1117"/>
        <v>2407306658</v>
      </c>
      <c r="EQ425" s="1073"/>
      <c r="ER425" s="1071"/>
      <c r="ET425" s="1072"/>
      <c r="EU425" s="890">
        <f t="shared" si="1118"/>
        <v>2407306658</v>
      </c>
      <c r="EV425" s="890">
        <f t="shared" si="1118"/>
        <v>0</v>
      </c>
      <c r="EW425" s="890">
        <f t="shared" si="1118"/>
        <v>0</v>
      </c>
      <c r="EX425" s="890">
        <f t="shared" si="1118"/>
        <v>2407306658</v>
      </c>
      <c r="EY425" s="1073"/>
      <c r="EZ425" s="1071"/>
      <c r="FB425" s="1072"/>
      <c r="FC425" s="890">
        <f t="shared" si="1119"/>
        <v>2407306658</v>
      </c>
      <c r="FD425" s="890">
        <f t="shared" si="1119"/>
        <v>0</v>
      </c>
      <c r="FE425" s="890">
        <f t="shared" si="1119"/>
        <v>0</v>
      </c>
      <c r="FF425" s="890">
        <f t="shared" si="1119"/>
        <v>2407306658</v>
      </c>
      <c r="FG425" s="1073"/>
      <c r="FH425" s="1071"/>
      <c r="FJ425" s="1072"/>
      <c r="FK425" s="890">
        <f t="shared" si="1120"/>
        <v>2407306658</v>
      </c>
      <c r="FL425" s="890">
        <f t="shared" si="1120"/>
        <v>0</v>
      </c>
      <c r="FM425" s="890">
        <f t="shared" si="1120"/>
        <v>0</v>
      </c>
      <c r="FN425" s="890">
        <f t="shared" si="1120"/>
        <v>2407306658</v>
      </c>
      <c r="FO425" s="1073"/>
    </row>
    <row r="426" spans="2:171">
      <c r="C426" s="108" t="s">
        <v>532</v>
      </c>
      <c r="D426" s="1071"/>
      <c r="E426" s="904" t="str">
        <f>E16</f>
        <v>DIST</v>
      </c>
      <c r="G426" s="890">
        <f>I410+J410</f>
        <v>0</v>
      </c>
      <c r="H426" s="890">
        <v>0</v>
      </c>
      <c r="I426" s="890">
        <f t="shared" ref="I426:J428" si="1121">I410</f>
        <v>0</v>
      </c>
      <c r="J426" s="890">
        <f t="shared" si="1121"/>
        <v>0</v>
      </c>
      <c r="K426" s="903">
        <f t="shared" si="1100"/>
        <v>1</v>
      </c>
      <c r="L426" s="1071"/>
      <c r="N426" s="1072"/>
      <c r="O426" s="890">
        <f>Q410+R410</f>
        <v>0</v>
      </c>
      <c r="P426" s="890">
        <v>0</v>
      </c>
      <c r="Q426" s="890">
        <f t="shared" ref="Q426:R428" si="1122">Q410</f>
        <v>0</v>
      </c>
      <c r="R426" s="890">
        <f t="shared" si="1122"/>
        <v>0</v>
      </c>
      <c r="S426" s="1073"/>
      <c r="T426" s="1071"/>
      <c r="V426" s="1072"/>
      <c r="W426" s="890">
        <f>Y410+Z410</f>
        <v>0</v>
      </c>
      <c r="X426" s="890">
        <v>0</v>
      </c>
      <c r="Y426" s="890">
        <f t="shared" ref="Y426:Z428" si="1123">Y410</f>
        <v>0</v>
      </c>
      <c r="Z426" s="890">
        <f t="shared" si="1123"/>
        <v>0</v>
      </c>
      <c r="AA426" s="1073"/>
      <c r="AB426" s="1071"/>
      <c r="AD426" s="1072"/>
      <c r="AE426" s="890">
        <f>AG410+AH410</f>
        <v>0</v>
      </c>
      <c r="AF426" s="890">
        <v>0</v>
      </c>
      <c r="AG426" s="890">
        <f t="shared" ref="AG426:AH428" si="1124">AG410</f>
        <v>0</v>
      </c>
      <c r="AH426" s="890">
        <f t="shared" si="1124"/>
        <v>0</v>
      </c>
      <c r="AI426" s="1073"/>
      <c r="AJ426" s="1071"/>
      <c r="AL426" s="1072"/>
      <c r="AM426" s="890">
        <f>AO410+AP410</f>
        <v>0</v>
      </c>
      <c r="AN426" s="890">
        <v>0</v>
      </c>
      <c r="AO426" s="890">
        <f t="shared" ref="AO426:AP428" si="1125">AO410</f>
        <v>0</v>
      </c>
      <c r="AP426" s="890">
        <f t="shared" si="1125"/>
        <v>0</v>
      </c>
      <c r="AQ426" s="1073"/>
      <c r="AR426" s="1071"/>
      <c r="AT426" s="1072"/>
      <c r="AU426" s="890">
        <f>AW410+AX410</f>
        <v>0</v>
      </c>
      <c r="AV426" s="890">
        <v>0</v>
      </c>
      <c r="AW426" s="890">
        <f t="shared" ref="AW426:AX428" si="1126">AW410</f>
        <v>0</v>
      </c>
      <c r="AX426" s="890">
        <f t="shared" si="1126"/>
        <v>0</v>
      </c>
      <c r="AY426" s="1073"/>
      <c r="AZ426" s="1071"/>
      <c r="BB426" s="1072"/>
      <c r="BC426" s="890">
        <f>BE410+BF410</f>
        <v>0</v>
      </c>
      <c r="BD426" s="890">
        <v>0</v>
      </c>
      <c r="BE426" s="890">
        <f t="shared" ref="BE426:BF428" si="1127">BE410</f>
        <v>0</v>
      </c>
      <c r="BF426" s="890">
        <f t="shared" si="1127"/>
        <v>0</v>
      </c>
      <c r="BG426" s="1073"/>
      <c r="BH426" s="1071"/>
      <c r="BJ426" s="1072"/>
      <c r="BK426" s="890">
        <f>BM410+BN410</f>
        <v>0</v>
      </c>
      <c r="BL426" s="890">
        <v>0</v>
      </c>
      <c r="BM426" s="890">
        <f t="shared" ref="BM426:BN428" si="1128">BM410</f>
        <v>0</v>
      </c>
      <c r="BN426" s="890">
        <f t="shared" si="1128"/>
        <v>0</v>
      </c>
      <c r="BO426" s="1073"/>
      <c r="BP426" s="1071"/>
      <c r="BR426" s="1072"/>
      <c r="BS426" s="890">
        <f>BU410+BV410</f>
        <v>0</v>
      </c>
      <c r="BT426" s="890">
        <v>0</v>
      </c>
      <c r="BU426" s="890">
        <f t="shared" ref="BU426:BV428" si="1129">BU410</f>
        <v>0</v>
      </c>
      <c r="BV426" s="890">
        <f t="shared" si="1129"/>
        <v>0</v>
      </c>
      <c r="BW426" s="1073"/>
      <c r="BX426" s="1071"/>
      <c r="BZ426" s="1072"/>
      <c r="CA426" s="890">
        <f>CC410+CD410</f>
        <v>0</v>
      </c>
      <c r="CB426" s="890">
        <v>0</v>
      </c>
      <c r="CC426" s="890">
        <f t="shared" ref="CC426:CD428" si="1130">CC410</f>
        <v>0</v>
      </c>
      <c r="CD426" s="890">
        <f t="shared" si="1130"/>
        <v>0</v>
      </c>
      <c r="CE426" s="1073"/>
      <c r="CF426" s="1071"/>
      <c r="CH426" s="1072"/>
      <c r="CI426" s="890">
        <f>CK410+CL410</f>
        <v>0</v>
      </c>
      <c r="CJ426" s="890">
        <v>0</v>
      </c>
      <c r="CK426" s="890">
        <f t="shared" ref="CK426:CL428" si="1131">CK410</f>
        <v>0</v>
      </c>
      <c r="CL426" s="890">
        <f t="shared" si="1131"/>
        <v>0</v>
      </c>
      <c r="CM426" s="1073"/>
      <c r="CN426" s="1071"/>
      <c r="CP426" s="1072"/>
      <c r="CQ426" s="890">
        <f>CS410+CT410</f>
        <v>0</v>
      </c>
      <c r="CR426" s="890">
        <v>0</v>
      </c>
      <c r="CS426" s="890">
        <f t="shared" ref="CS426:CT428" si="1132">CS410</f>
        <v>0</v>
      </c>
      <c r="CT426" s="890">
        <f t="shared" si="1132"/>
        <v>0</v>
      </c>
      <c r="CU426" s="1073"/>
      <c r="CV426" s="1071"/>
      <c r="CX426" s="1072"/>
      <c r="CY426" s="890">
        <f>DA410+DB410</f>
        <v>0</v>
      </c>
      <c r="CZ426" s="890">
        <v>0</v>
      </c>
      <c r="DA426" s="890">
        <f t="shared" ref="DA426:DB428" si="1133">DA410</f>
        <v>0</v>
      </c>
      <c r="DB426" s="890">
        <f t="shared" si="1133"/>
        <v>0</v>
      </c>
      <c r="DC426" s="1073"/>
      <c r="DD426" s="1071"/>
      <c r="DF426" s="1072"/>
      <c r="DG426" s="890">
        <f>DI410+DJ410</f>
        <v>0</v>
      </c>
      <c r="DH426" s="890">
        <v>0</v>
      </c>
      <c r="DI426" s="890">
        <f t="shared" ref="DI426:DJ428" si="1134">DI410</f>
        <v>0</v>
      </c>
      <c r="DJ426" s="890">
        <f t="shared" si="1134"/>
        <v>0</v>
      </c>
      <c r="DK426" s="1073"/>
      <c r="DL426" s="1071"/>
      <c r="DN426" s="1072"/>
      <c r="DO426" s="890">
        <f>DQ410+DR410</f>
        <v>0</v>
      </c>
      <c r="DP426" s="890">
        <v>0</v>
      </c>
      <c r="DQ426" s="890">
        <f t="shared" ref="DQ426:DR428" si="1135">DQ410</f>
        <v>0</v>
      </c>
      <c r="DR426" s="890">
        <f t="shared" si="1135"/>
        <v>0</v>
      </c>
      <c r="DS426" s="1073"/>
      <c r="DT426" s="1071"/>
      <c r="DV426" s="1072"/>
      <c r="DW426" s="890">
        <f>DY410+DZ410</f>
        <v>0</v>
      </c>
      <c r="DX426" s="890">
        <v>0</v>
      </c>
      <c r="DY426" s="890">
        <f t="shared" ref="DY426:DZ428" si="1136">DY410</f>
        <v>0</v>
      </c>
      <c r="DZ426" s="890">
        <f t="shared" si="1136"/>
        <v>0</v>
      </c>
      <c r="EA426" s="1073"/>
      <c r="EB426" s="1071"/>
      <c r="ED426" s="1072"/>
      <c r="EE426" s="890">
        <f>EG410+EH410</f>
        <v>0</v>
      </c>
      <c r="EF426" s="890">
        <v>0</v>
      </c>
      <c r="EG426" s="890">
        <f t="shared" ref="EG426:EH428" si="1137">EG410</f>
        <v>0</v>
      </c>
      <c r="EH426" s="890">
        <f t="shared" si="1137"/>
        <v>0</v>
      </c>
      <c r="EI426" s="1073"/>
      <c r="EJ426" s="1071"/>
      <c r="EL426" s="1072"/>
      <c r="EM426" s="890">
        <f>EO410+EP410</f>
        <v>0</v>
      </c>
      <c r="EN426" s="890">
        <v>0</v>
      </c>
      <c r="EO426" s="890">
        <f t="shared" ref="EO426:EP428" si="1138">EO410</f>
        <v>0</v>
      </c>
      <c r="EP426" s="890">
        <f t="shared" si="1138"/>
        <v>0</v>
      </c>
      <c r="EQ426" s="1073"/>
      <c r="ER426" s="1071"/>
      <c r="ET426" s="1072"/>
      <c r="EU426" s="890">
        <f>EW410+EX410</f>
        <v>0</v>
      </c>
      <c r="EV426" s="890">
        <v>0</v>
      </c>
      <c r="EW426" s="890">
        <f t="shared" ref="EW426:EX428" si="1139">EW410</f>
        <v>0</v>
      </c>
      <c r="EX426" s="890">
        <f t="shared" si="1139"/>
        <v>0</v>
      </c>
      <c r="EY426" s="1073"/>
      <c r="EZ426" s="1071"/>
      <c r="FB426" s="1072"/>
      <c r="FC426" s="890">
        <f>FE410+FF410</f>
        <v>0</v>
      </c>
      <c r="FD426" s="890">
        <v>0</v>
      </c>
      <c r="FE426" s="890">
        <f t="shared" ref="FE426:FF428" si="1140">FE410</f>
        <v>0</v>
      </c>
      <c r="FF426" s="890">
        <f t="shared" si="1140"/>
        <v>0</v>
      </c>
      <c r="FG426" s="1073"/>
      <c r="FH426" s="1071"/>
      <c r="FJ426" s="1072"/>
      <c r="FK426" s="890">
        <f>FM410+FN410</f>
        <v>0</v>
      </c>
      <c r="FL426" s="890">
        <v>0</v>
      </c>
      <c r="FM426" s="890">
        <f t="shared" ref="FM426:FN428" si="1141">FM410</f>
        <v>0</v>
      </c>
      <c r="FN426" s="890">
        <f t="shared" si="1141"/>
        <v>0</v>
      </c>
      <c r="FO426" s="1073"/>
    </row>
    <row r="427" spans="2:171">
      <c r="C427" s="108" t="s">
        <v>533</v>
      </c>
      <c r="D427" s="1071"/>
      <c r="E427" s="904" t="str">
        <f>E17</f>
        <v>DIRECT</v>
      </c>
      <c r="G427" s="890">
        <f>I411+J411</f>
        <v>4697263.32</v>
      </c>
      <c r="H427" s="890">
        <v>0</v>
      </c>
      <c r="I427" s="890">
        <f t="shared" si="1121"/>
        <v>0</v>
      </c>
      <c r="J427" s="890">
        <f t="shared" si="1121"/>
        <v>4697263.32</v>
      </c>
      <c r="K427" s="903">
        <f t="shared" si="1100"/>
        <v>0</v>
      </c>
      <c r="L427" s="1071"/>
      <c r="N427" s="1072"/>
      <c r="O427" s="890">
        <f>Q411+R411</f>
        <v>4697263.4199999943</v>
      </c>
      <c r="P427" s="890">
        <v>0</v>
      </c>
      <c r="Q427" s="890">
        <f t="shared" si="1122"/>
        <v>0</v>
      </c>
      <c r="R427" s="890">
        <f t="shared" si="1122"/>
        <v>4697263.4199999943</v>
      </c>
      <c r="S427" s="1073"/>
      <c r="T427" s="1071"/>
      <c r="V427" s="1072"/>
      <c r="W427" s="890">
        <f>Y411+Z411</f>
        <v>4697263.4199999943</v>
      </c>
      <c r="X427" s="890">
        <v>0</v>
      </c>
      <c r="Y427" s="890">
        <f t="shared" si="1123"/>
        <v>0</v>
      </c>
      <c r="Z427" s="890">
        <f t="shared" si="1123"/>
        <v>4697263.4199999943</v>
      </c>
      <c r="AA427" s="1073"/>
      <c r="AB427" s="1071"/>
      <c r="AD427" s="1072"/>
      <c r="AE427" s="890">
        <f>AG411+AH411</f>
        <v>4697263.4199999943</v>
      </c>
      <c r="AF427" s="890">
        <v>0</v>
      </c>
      <c r="AG427" s="890">
        <f t="shared" si="1124"/>
        <v>0</v>
      </c>
      <c r="AH427" s="890">
        <f t="shared" si="1124"/>
        <v>4697263.4199999943</v>
      </c>
      <c r="AI427" s="1073"/>
      <c r="AJ427" s="1071"/>
      <c r="AL427" s="1072"/>
      <c r="AM427" s="890">
        <f>AO411+AP411</f>
        <v>4697263.4199999943</v>
      </c>
      <c r="AN427" s="890">
        <v>0</v>
      </c>
      <c r="AO427" s="890">
        <f t="shared" si="1125"/>
        <v>0</v>
      </c>
      <c r="AP427" s="890">
        <f t="shared" si="1125"/>
        <v>4697263.4199999943</v>
      </c>
      <c r="AQ427" s="1073"/>
      <c r="AR427" s="1071"/>
      <c r="AT427" s="1072"/>
      <c r="AU427" s="890">
        <f>AW411+AX411</f>
        <v>4697263.4199999943</v>
      </c>
      <c r="AV427" s="890">
        <v>0</v>
      </c>
      <c r="AW427" s="890">
        <f t="shared" si="1126"/>
        <v>0</v>
      </c>
      <c r="AX427" s="890">
        <f t="shared" si="1126"/>
        <v>4697263.4199999943</v>
      </c>
      <c r="AY427" s="1073"/>
      <c r="AZ427" s="1071"/>
      <c r="BB427" s="1072"/>
      <c r="BC427" s="890">
        <f>BE411+BF411</f>
        <v>4697263.4199999943</v>
      </c>
      <c r="BD427" s="890">
        <v>0</v>
      </c>
      <c r="BE427" s="890">
        <f t="shared" si="1127"/>
        <v>0</v>
      </c>
      <c r="BF427" s="890">
        <f t="shared" si="1127"/>
        <v>4697263.4199999943</v>
      </c>
      <c r="BG427" s="1073"/>
      <c r="BH427" s="1071"/>
      <c r="BJ427" s="1072"/>
      <c r="BK427" s="890">
        <f>BM411+BN411</f>
        <v>4697263.4199999943</v>
      </c>
      <c r="BL427" s="890">
        <v>0</v>
      </c>
      <c r="BM427" s="890">
        <f t="shared" si="1128"/>
        <v>0</v>
      </c>
      <c r="BN427" s="890">
        <f t="shared" si="1128"/>
        <v>4697263.4199999943</v>
      </c>
      <c r="BO427" s="1073"/>
      <c r="BP427" s="1071"/>
      <c r="BR427" s="1072"/>
      <c r="BS427" s="890">
        <f>BU411+BV411</f>
        <v>4697263.4199999943</v>
      </c>
      <c r="BT427" s="890">
        <v>0</v>
      </c>
      <c r="BU427" s="890">
        <f t="shared" si="1129"/>
        <v>0</v>
      </c>
      <c r="BV427" s="890">
        <f t="shared" si="1129"/>
        <v>4697263.4199999943</v>
      </c>
      <c r="BW427" s="1073"/>
      <c r="BX427" s="1071"/>
      <c r="BZ427" s="1072"/>
      <c r="CA427" s="890">
        <f>CC411+CD411</f>
        <v>4697263.4199999943</v>
      </c>
      <c r="CB427" s="890">
        <v>0</v>
      </c>
      <c r="CC427" s="890">
        <f t="shared" si="1130"/>
        <v>0</v>
      </c>
      <c r="CD427" s="890">
        <f t="shared" si="1130"/>
        <v>4697263.4199999943</v>
      </c>
      <c r="CE427" s="1073"/>
      <c r="CF427" s="1071"/>
      <c r="CH427" s="1072"/>
      <c r="CI427" s="890">
        <f>CK411+CL411</f>
        <v>4697263.4199999943</v>
      </c>
      <c r="CJ427" s="890">
        <v>0</v>
      </c>
      <c r="CK427" s="890">
        <f t="shared" si="1131"/>
        <v>0</v>
      </c>
      <c r="CL427" s="890">
        <f t="shared" si="1131"/>
        <v>4697263.4199999943</v>
      </c>
      <c r="CM427" s="1073"/>
      <c r="CN427" s="1071"/>
      <c r="CP427" s="1072"/>
      <c r="CQ427" s="890">
        <f>CS411+CT411</f>
        <v>4697263.4199999943</v>
      </c>
      <c r="CR427" s="890">
        <v>0</v>
      </c>
      <c r="CS427" s="890">
        <f t="shared" si="1132"/>
        <v>0</v>
      </c>
      <c r="CT427" s="890">
        <f t="shared" si="1132"/>
        <v>4697263.4199999943</v>
      </c>
      <c r="CU427" s="1073"/>
      <c r="CV427" s="1071"/>
      <c r="CX427" s="1072"/>
      <c r="CY427" s="890">
        <f>DA411+DB411</f>
        <v>4697263.4199999943</v>
      </c>
      <c r="CZ427" s="890">
        <v>0</v>
      </c>
      <c r="DA427" s="890">
        <f t="shared" si="1133"/>
        <v>0</v>
      </c>
      <c r="DB427" s="890">
        <f t="shared" si="1133"/>
        <v>4697263.4199999943</v>
      </c>
      <c r="DC427" s="1073"/>
      <c r="DD427" s="1071"/>
      <c r="DF427" s="1072"/>
      <c r="DG427" s="890">
        <f>DI411+DJ411</f>
        <v>4697263.4199999943</v>
      </c>
      <c r="DH427" s="890">
        <v>0</v>
      </c>
      <c r="DI427" s="890">
        <f t="shared" si="1134"/>
        <v>0</v>
      </c>
      <c r="DJ427" s="890">
        <f t="shared" si="1134"/>
        <v>4697263.4199999943</v>
      </c>
      <c r="DK427" s="1073"/>
      <c r="DL427" s="1071"/>
      <c r="DN427" s="1072"/>
      <c r="DO427" s="890">
        <f>DQ411+DR411</f>
        <v>4697263.4199999943</v>
      </c>
      <c r="DP427" s="890">
        <v>0</v>
      </c>
      <c r="DQ427" s="890">
        <f t="shared" si="1135"/>
        <v>0</v>
      </c>
      <c r="DR427" s="890">
        <f t="shared" si="1135"/>
        <v>4697263.4199999943</v>
      </c>
      <c r="DS427" s="1073"/>
      <c r="DT427" s="1071"/>
      <c r="DV427" s="1072"/>
      <c r="DW427" s="890">
        <f>DY411+DZ411</f>
        <v>4697263.4199999943</v>
      </c>
      <c r="DX427" s="890">
        <v>0</v>
      </c>
      <c r="DY427" s="890">
        <f t="shared" si="1136"/>
        <v>0</v>
      </c>
      <c r="DZ427" s="890">
        <f t="shared" si="1136"/>
        <v>4697263.4199999943</v>
      </c>
      <c r="EA427" s="1073"/>
      <c r="EB427" s="1071"/>
      <c r="ED427" s="1072"/>
      <c r="EE427" s="890">
        <f>EG411+EH411</f>
        <v>4697263.4199999943</v>
      </c>
      <c r="EF427" s="890">
        <v>0</v>
      </c>
      <c r="EG427" s="890">
        <f t="shared" si="1137"/>
        <v>0</v>
      </c>
      <c r="EH427" s="890">
        <f t="shared" si="1137"/>
        <v>4697263.4199999943</v>
      </c>
      <c r="EI427" s="1073"/>
      <c r="EJ427" s="1071"/>
      <c r="EL427" s="1072"/>
      <c r="EM427" s="890">
        <f>EO411+EP411</f>
        <v>4697263.4199999943</v>
      </c>
      <c r="EN427" s="890">
        <v>0</v>
      </c>
      <c r="EO427" s="890">
        <f t="shared" si="1138"/>
        <v>0</v>
      </c>
      <c r="EP427" s="890">
        <f t="shared" si="1138"/>
        <v>4697263.4199999943</v>
      </c>
      <c r="EQ427" s="1073"/>
      <c r="ER427" s="1071"/>
      <c r="ET427" s="1072"/>
      <c r="EU427" s="890">
        <f>EW411+EX411</f>
        <v>4697263.4199999943</v>
      </c>
      <c r="EV427" s="890">
        <v>0</v>
      </c>
      <c r="EW427" s="890">
        <f t="shared" si="1139"/>
        <v>0</v>
      </c>
      <c r="EX427" s="890">
        <f t="shared" si="1139"/>
        <v>4697263.4199999943</v>
      </c>
      <c r="EY427" s="1073"/>
      <c r="EZ427" s="1071"/>
      <c r="FB427" s="1072"/>
      <c r="FC427" s="890">
        <f>FE411+FF411</f>
        <v>4697263.4199999943</v>
      </c>
      <c r="FD427" s="890">
        <v>0</v>
      </c>
      <c r="FE427" s="890">
        <f t="shared" si="1140"/>
        <v>0</v>
      </c>
      <c r="FF427" s="890">
        <f t="shared" si="1140"/>
        <v>4697263.4199999943</v>
      </c>
      <c r="FG427" s="1073"/>
      <c r="FH427" s="1071"/>
      <c r="FJ427" s="1072"/>
      <c r="FK427" s="890">
        <f>FM411+FN411</f>
        <v>4697263.4199999943</v>
      </c>
      <c r="FL427" s="890">
        <v>0</v>
      </c>
      <c r="FM427" s="890">
        <f t="shared" si="1141"/>
        <v>0</v>
      </c>
      <c r="FN427" s="890">
        <f t="shared" si="1141"/>
        <v>4697263.4199999943</v>
      </c>
      <c r="FO427" s="1073"/>
    </row>
    <row r="428" spans="2:171">
      <c r="C428" s="108" t="s">
        <v>547</v>
      </c>
      <c r="D428" s="1071"/>
      <c r="E428" s="904" t="str">
        <f>E18</f>
        <v>DIRECT</v>
      </c>
      <c r="G428" s="890">
        <f>I412+J412</f>
        <v>36519188.863927945</v>
      </c>
      <c r="H428" s="890">
        <v>0</v>
      </c>
      <c r="I428" s="890">
        <f t="shared" si="1121"/>
        <v>0</v>
      </c>
      <c r="J428" s="890">
        <f t="shared" si="1121"/>
        <v>36519188.863927945</v>
      </c>
      <c r="K428" s="903">
        <f t="shared" si="1100"/>
        <v>0</v>
      </c>
      <c r="L428" s="1071"/>
      <c r="N428" s="1072"/>
      <c r="O428" s="890">
        <f>Q412+R412</f>
        <v>36519189.313927948</v>
      </c>
      <c r="P428" s="890">
        <v>0</v>
      </c>
      <c r="Q428" s="890">
        <f t="shared" si="1122"/>
        <v>0</v>
      </c>
      <c r="R428" s="890">
        <f t="shared" si="1122"/>
        <v>36519189.313927948</v>
      </c>
      <c r="S428" s="1073"/>
      <c r="T428" s="1071"/>
      <c r="V428" s="1072"/>
      <c r="W428" s="890">
        <f>Y412+Z412</f>
        <v>36519189.313927948</v>
      </c>
      <c r="X428" s="890">
        <v>0</v>
      </c>
      <c r="Y428" s="890">
        <f t="shared" si="1123"/>
        <v>0</v>
      </c>
      <c r="Z428" s="890">
        <f t="shared" si="1123"/>
        <v>36519189.313927948</v>
      </c>
      <c r="AA428" s="1073"/>
      <c r="AB428" s="1071"/>
      <c r="AD428" s="1072"/>
      <c r="AE428" s="890">
        <f>AG412+AH412</f>
        <v>36519189.313927948</v>
      </c>
      <c r="AF428" s="890">
        <v>0</v>
      </c>
      <c r="AG428" s="890">
        <f t="shared" si="1124"/>
        <v>0</v>
      </c>
      <c r="AH428" s="890">
        <f t="shared" si="1124"/>
        <v>36519189.313927948</v>
      </c>
      <c r="AI428" s="1073"/>
      <c r="AJ428" s="1071"/>
      <c r="AL428" s="1072"/>
      <c r="AM428" s="890">
        <f>AO412+AP412</f>
        <v>36519189.313927948</v>
      </c>
      <c r="AN428" s="890">
        <v>0</v>
      </c>
      <c r="AO428" s="890">
        <f t="shared" si="1125"/>
        <v>0</v>
      </c>
      <c r="AP428" s="890">
        <f t="shared" si="1125"/>
        <v>36519189.313927948</v>
      </c>
      <c r="AQ428" s="1073"/>
      <c r="AR428" s="1071"/>
      <c r="AT428" s="1072"/>
      <c r="AU428" s="890">
        <f>AW412+AX412</f>
        <v>36519189.313927948</v>
      </c>
      <c r="AV428" s="890">
        <v>0</v>
      </c>
      <c r="AW428" s="890">
        <f t="shared" si="1126"/>
        <v>0</v>
      </c>
      <c r="AX428" s="890">
        <f t="shared" si="1126"/>
        <v>36519189.313927948</v>
      </c>
      <c r="AY428" s="1073"/>
      <c r="AZ428" s="1071"/>
      <c r="BB428" s="1072"/>
      <c r="BC428" s="890">
        <f>BE412+BF412</f>
        <v>36519189.313927948</v>
      </c>
      <c r="BD428" s="890">
        <v>0</v>
      </c>
      <c r="BE428" s="890">
        <f t="shared" si="1127"/>
        <v>0</v>
      </c>
      <c r="BF428" s="890">
        <f t="shared" si="1127"/>
        <v>36519189.313927948</v>
      </c>
      <c r="BG428" s="1073"/>
      <c r="BH428" s="1071"/>
      <c r="BJ428" s="1072"/>
      <c r="BK428" s="890">
        <f>BM412+BN412</f>
        <v>36519189.313927948</v>
      </c>
      <c r="BL428" s="890">
        <v>0</v>
      </c>
      <c r="BM428" s="890">
        <f t="shared" si="1128"/>
        <v>0</v>
      </c>
      <c r="BN428" s="890">
        <f t="shared" si="1128"/>
        <v>36519189.313927948</v>
      </c>
      <c r="BO428" s="1073"/>
      <c r="BP428" s="1071"/>
      <c r="BR428" s="1072"/>
      <c r="BS428" s="890">
        <f>BU412+BV412</f>
        <v>36519189.313927948</v>
      </c>
      <c r="BT428" s="890">
        <v>0</v>
      </c>
      <c r="BU428" s="890">
        <f t="shared" si="1129"/>
        <v>0</v>
      </c>
      <c r="BV428" s="890">
        <f t="shared" si="1129"/>
        <v>36519189.313927948</v>
      </c>
      <c r="BW428" s="1073"/>
      <c r="BX428" s="1071"/>
      <c r="BZ428" s="1072"/>
      <c r="CA428" s="890">
        <f>CC412+CD412</f>
        <v>36519189.313927948</v>
      </c>
      <c r="CB428" s="890">
        <v>0</v>
      </c>
      <c r="CC428" s="890">
        <f t="shared" si="1130"/>
        <v>0</v>
      </c>
      <c r="CD428" s="890">
        <f t="shared" si="1130"/>
        <v>36519189.313927948</v>
      </c>
      <c r="CE428" s="1073"/>
      <c r="CF428" s="1071"/>
      <c r="CH428" s="1072"/>
      <c r="CI428" s="890">
        <f>CK412+CL412</f>
        <v>36519189.313927948</v>
      </c>
      <c r="CJ428" s="890">
        <v>0</v>
      </c>
      <c r="CK428" s="890">
        <f t="shared" si="1131"/>
        <v>0</v>
      </c>
      <c r="CL428" s="890">
        <f t="shared" si="1131"/>
        <v>36519189.313927948</v>
      </c>
      <c r="CM428" s="1073"/>
      <c r="CN428" s="1071"/>
      <c r="CP428" s="1072"/>
      <c r="CQ428" s="890">
        <f>CS412+CT412</f>
        <v>36519189.313927948</v>
      </c>
      <c r="CR428" s="890">
        <v>0</v>
      </c>
      <c r="CS428" s="890">
        <f t="shared" si="1132"/>
        <v>0</v>
      </c>
      <c r="CT428" s="890">
        <f t="shared" si="1132"/>
        <v>36519189.313927948</v>
      </c>
      <c r="CU428" s="1073"/>
      <c r="CV428" s="1071"/>
      <c r="CX428" s="1072"/>
      <c r="CY428" s="890">
        <f>DA412+DB412</f>
        <v>36519189.313927948</v>
      </c>
      <c r="CZ428" s="890">
        <v>0</v>
      </c>
      <c r="DA428" s="890">
        <f t="shared" si="1133"/>
        <v>0</v>
      </c>
      <c r="DB428" s="890">
        <f t="shared" si="1133"/>
        <v>36519189.313927948</v>
      </c>
      <c r="DC428" s="1073"/>
      <c r="DD428" s="1071"/>
      <c r="DF428" s="1072"/>
      <c r="DG428" s="890">
        <f>DI412+DJ412</f>
        <v>36519189.313927948</v>
      </c>
      <c r="DH428" s="890">
        <v>0</v>
      </c>
      <c r="DI428" s="890">
        <f t="shared" si="1134"/>
        <v>0</v>
      </c>
      <c r="DJ428" s="890">
        <f t="shared" si="1134"/>
        <v>36519189.313927948</v>
      </c>
      <c r="DK428" s="1073"/>
      <c r="DL428" s="1071"/>
      <c r="DN428" s="1072"/>
      <c r="DO428" s="890">
        <f>DQ412+DR412</f>
        <v>36519189.313927948</v>
      </c>
      <c r="DP428" s="890">
        <v>0</v>
      </c>
      <c r="DQ428" s="890">
        <f t="shared" si="1135"/>
        <v>0</v>
      </c>
      <c r="DR428" s="890">
        <f t="shared" si="1135"/>
        <v>36519189.313927948</v>
      </c>
      <c r="DS428" s="1073"/>
      <c r="DT428" s="1071"/>
      <c r="DV428" s="1072"/>
      <c r="DW428" s="890">
        <f>DY412+DZ412</f>
        <v>36519189.313927948</v>
      </c>
      <c r="DX428" s="890">
        <v>0</v>
      </c>
      <c r="DY428" s="890">
        <f t="shared" si="1136"/>
        <v>0</v>
      </c>
      <c r="DZ428" s="890">
        <f t="shared" si="1136"/>
        <v>36519189.313927948</v>
      </c>
      <c r="EA428" s="1073"/>
      <c r="EB428" s="1071"/>
      <c r="ED428" s="1072"/>
      <c r="EE428" s="890">
        <f>EG412+EH412</f>
        <v>36519189.313927948</v>
      </c>
      <c r="EF428" s="890">
        <v>0</v>
      </c>
      <c r="EG428" s="890">
        <f t="shared" si="1137"/>
        <v>0</v>
      </c>
      <c r="EH428" s="890">
        <f t="shared" si="1137"/>
        <v>36519189.313927948</v>
      </c>
      <c r="EI428" s="1073"/>
      <c r="EJ428" s="1071"/>
      <c r="EL428" s="1072"/>
      <c r="EM428" s="890">
        <f>EO412+EP412</f>
        <v>36519189.313927948</v>
      </c>
      <c r="EN428" s="890">
        <v>0</v>
      </c>
      <c r="EO428" s="890">
        <f t="shared" si="1138"/>
        <v>0</v>
      </c>
      <c r="EP428" s="890">
        <f t="shared" si="1138"/>
        <v>36519189.313927948</v>
      </c>
      <c r="EQ428" s="1073"/>
      <c r="ER428" s="1071"/>
      <c r="ET428" s="1072"/>
      <c r="EU428" s="890">
        <f>EW412+EX412</f>
        <v>36519189.313927948</v>
      </c>
      <c r="EV428" s="890">
        <v>0</v>
      </c>
      <c r="EW428" s="890">
        <f t="shared" si="1139"/>
        <v>0</v>
      </c>
      <c r="EX428" s="890">
        <f t="shared" si="1139"/>
        <v>36519189.313927948</v>
      </c>
      <c r="EY428" s="1073"/>
      <c r="EZ428" s="1071"/>
      <c r="FB428" s="1072"/>
      <c r="FC428" s="890">
        <f>FE412+FF412</f>
        <v>36519189.313927948</v>
      </c>
      <c r="FD428" s="890">
        <v>0</v>
      </c>
      <c r="FE428" s="890">
        <f t="shared" si="1140"/>
        <v>0</v>
      </c>
      <c r="FF428" s="890">
        <f t="shared" si="1140"/>
        <v>36519189.313927948</v>
      </c>
      <c r="FG428" s="1073"/>
      <c r="FH428" s="1071"/>
      <c r="FJ428" s="1072"/>
      <c r="FK428" s="890">
        <f>FM412+FN412</f>
        <v>36519189.313927948</v>
      </c>
      <c r="FL428" s="890">
        <v>0</v>
      </c>
      <c r="FM428" s="890">
        <f t="shared" si="1141"/>
        <v>0</v>
      </c>
      <c r="FN428" s="890">
        <f t="shared" si="1141"/>
        <v>36519189.313927948</v>
      </c>
      <c r="FO428" s="1073"/>
    </row>
    <row r="429" spans="2:171">
      <c r="C429" s="108" t="s">
        <v>811</v>
      </c>
      <c r="D429" s="1071"/>
      <c r="E429" s="904" t="s">
        <v>109</v>
      </c>
      <c r="G429" s="890">
        <f>I394+J394</f>
        <v>143150799.64912018</v>
      </c>
      <c r="H429" s="890">
        <v>0</v>
      </c>
      <c r="I429" s="890">
        <f>I394</f>
        <v>0</v>
      </c>
      <c r="J429" s="890">
        <f>J394</f>
        <v>143150799.64912018</v>
      </c>
      <c r="K429" s="903">
        <f t="shared" si="1100"/>
        <v>1</v>
      </c>
      <c r="L429" s="1071"/>
      <c r="N429" s="1072"/>
      <c r="O429" s="890">
        <f>Q394+R394</f>
        <v>143150799.64912018</v>
      </c>
      <c r="P429" s="890">
        <v>0</v>
      </c>
      <c r="Q429" s="890">
        <f>Q394</f>
        <v>43233146.624210842</v>
      </c>
      <c r="R429" s="890">
        <f>R394</f>
        <v>99917653.024909347</v>
      </c>
      <c r="S429" s="1073"/>
      <c r="T429" s="1071"/>
      <c r="V429" s="1072"/>
      <c r="W429" s="890">
        <f>Y394+Z394</f>
        <v>143150799.64912018</v>
      </c>
      <c r="X429" s="890">
        <v>0</v>
      </c>
      <c r="Y429" s="890">
        <f>Y394</f>
        <v>43233146.624210842</v>
      </c>
      <c r="Z429" s="890">
        <f>Z394</f>
        <v>99917653.024909347</v>
      </c>
      <c r="AA429" s="1073"/>
      <c r="AB429" s="1071"/>
      <c r="AD429" s="1072"/>
      <c r="AE429" s="890">
        <f>AG394+AH394</f>
        <v>143150799.64912018</v>
      </c>
      <c r="AF429" s="890">
        <v>0</v>
      </c>
      <c r="AG429" s="890">
        <f>AG394</f>
        <v>43233146.624210842</v>
      </c>
      <c r="AH429" s="890">
        <f>AH394</f>
        <v>99917653.024909347</v>
      </c>
      <c r="AI429" s="1073"/>
      <c r="AJ429" s="1071"/>
      <c r="AL429" s="1072"/>
      <c r="AM429" s="890">
        <f>AO394+AP394</f>
        <v>143150799.64912018</v>
      </c>
      <c r="AN429" s="890">
        <v>0</v>
      </c>
      <c r="AO429" s="890">
        <f>AO394</f>
        <v>43233146.624210842</v>
      </c>
      <c r="AP429" s="890">
        <f>AP394</f>
        <v>99917653.024909347</v>
      </c>
      <c r="AQ429" s="1073"/>
      <c r="AR429" s="1071"/>
      <c r="AT429" s="1072"/>
      <c r="AU429" s="890">
        <f>AW394+AX394</f>
        <v>143150799.64912018</v>
      </c>
      <c r="AV429" s="890">
        <v>0</v>
      </c>
      <c r="AW429" s="890">
        <f>AW394</f>
        <v>43233146.624210842</v>
      </c>
      <c r="AX429" s="890">
        <f>AX394</f>
        <v>99917653.024909347</v>
      </c>
      <c r="AY429" s="1073"/>
      <c r="AZ429" s="1071"/>
      <c r="BB429" s="1072"/>
      <c r="BC429" s="890">
        <f>BE394+BF394</f>
        <v>143150799.64912018</v>
      </c>
      <c r="BD429" s="890">
        <v>0</v>
      </c>
      <c r="BE429" s="890">
        <f>BE394</f>
        <v>43233146.624210842</v>
      </c>
      <c r="BF429" s="890">
        <f>BF394</f>
        <v>99917653.024909347</v>
      </c>
      <c r="BG429" s="1073"/>
      <c r="BH429" s="1071"/>
      <c r="BJ429" s="1072"/>
      <c r="BK429" s="890">
        <f>BM394+BN394</f>
        <v>143150799.64912018</v>
      </c>
      <c r="BL429" s="890">
        <v>0</v>
      </c>
      <c r="BM429" s="890">
        <f>BM394</f>
        <v>43233146.624210842</v>
      </c>
      <c r="BN429" s="890">
        <f>BN394</f>
        <v>99917653.024909347</v>
      </c>
      <c r="BO429" s="1073"/>
      <c r="BP429" s="1071"/>
      <c r="BR429" s="1072"/>
      <c r="BS429" s="890">
        <f>BU394+BV394</f>
        <v>143150799.64912018</v>
      </c>
      <c r="BT429" s="890">
        <v>0</v>
      </c>
      <c r="BU429" s="890">
        <f>BU394</f>
        <v>43233146.624210842</v>
      </c>
      <c r="BV429" s="890">
        <f>BV394</f>
        <v>99917653.024909347</v>
      </c>
      <c r="BW429" s="1073"/>
      <c r="BX429" s="1071"/>
      <c r="BZ429" s="1072"/>
      <c r="CA429" s="890">
        <f>CC394+CD394</f>
        <v>143150799.64912018</v>
      </c>
      <c r="CB429" s="890">
        <v>0</v>
      </c>
      <c r="CC429" s="890">
        <f>CC394</f>
        <v>43233146.624210842</v>
      </c>
      <c r="CD429" s="890">
        <f>CD394</f>
        <v>99917653.024909347</v>
      </c>
      <c r="CE429" s="1073"/>
      <c r="CF429" s="1071"/>
      <c r="CH429" s="1072"/>
      <c r="CI429" s="890">
        <f>CK394+CL394</f>
        <v>143150799.64912018</v>
      </c>
      <c r="CJ429" s="890">
        <v>0</v>
      </c>
      <c r="CK429" s="890">
        <f>CK394</f>
        <v>43233146.624210842</v>
      </c>
      <c r="CL429" s="890">
        <f>CL394</f>
        <v>99917653.024909347</v>
      </c>
      <c r="CM429" s="1073"/>
      <c r="CN429" s="1071"/>
      <c r="CP429" s="1072"/>
      <c r="CQ429" s="890">
        <f>CS394+CT394</f>
        <v>143150799.64912018</v>
      </c>
      <c r="CR429" s="890">
        <v>0</v>
      </c>
      <c r="CS429" s="890">
        <f>CS394</f>
        <v>43233146.624210842</v>
      </c>
      <c r="CT429" s="890">
        <f>CT394</f>
        <v>99917653.024909347</v>
      </c>
      <c r="CU429" s="1073"/>
      <c r="CV429" s="1071"/>
      <c r="CX429" s="1072"/>
      <c r="CY429" s="890">
        <f>DA394+DB394</f>
        <v>143150799.64912018</v>
      </c>
      <c r="CZ429" s="890">
        <v>0</v>
      </c>
      <c r="DA429" s="890">
        <f>DA394</f>
        <v>43233146.624210842</v>
      </c>
      <c r="DB429" s="890">
        <f>DB394</f>
        <v>99917653.024909347</v>
      </c>
      <c r="DC429" s="1073"/>
      <c r="DD429" s="1071"/>
      <c r="DF429" s="1072"/>
      <c r="DG429" s="890">
        <f>DI394+DJ394</f>
        <v>143150799.64912018</v>
      </c>
      <c r="DH429" s="890">
        <v>0</v>
      </c>
      <c r="DI429" s="890">
        <f>DI394</f>
        <v>43233146.624210842</v>
      </c>
      <c r="DJ429" s="890">
        <f>DJ394</f>
        <v>99917653.024909347</v>
      </c>
      <c r="DK429" s="1073"/>
      <c r="DL429" s="1071"/>
      <c r="DN429" s="1072"/>
      <c r="DO429" s="890">
        <f>DQ394+DR394</f>
        <v>143150799.64912018</v>
      </c>
      <c r="DP429" s="890">
        <v>0</v>
      </c>
      <c r="DQ429" s="890">
        <f>DQ394</f>
        <v>43233146.624210842</v>
      </c>
      <c r="DR429" s="890">
        <f>DR394</f>
        <v>99917653.024909347</v>
      </c>
      <c r="DS429" s="1073"/>
      <c r="DT429" s="1071"/>
      <c r="DV429" s="1072"/>
      <c r="DW429" s="890">
        <f>DY394+DZ394</f>
        <v>143150799.64912018</v>
      </c>
      <c r="DX429" s="890">
        <v>0</v>
      </c>
      <c r="DY429" s="890">
        <f>DY394</f>
        <v>43233146.624210842</v>
      </c>
      <c r="DZ429" s="890">
        <f>DZ394</f>
        <v>99917653.024909347</v>
      </c>
      <c r="EA429" s="1073"/>
      <c r="EB429" s="1071"/>
      <c r="ED429" s="1072"/>
      <c r="EE429" s="890">
        <f>EG394+EH394</f>
        <v>143150799.64912018</v>
      </c>
      <c r="EF429" s="890">
        <v>0</v>
      </c>
      <c r="EG429" s="890">
        <f>EG394</f>
        <v>43233146.624210842</v>
      </c>
      <c r="EH429" s="890">
        <f>EH394</f>
        <v>99917653.024909347</v>
      </c>
      <c r="EI429" s="1073"/>
      <c r="EJ429" s="1071"/>
      <c r="EL429" s="1072"/>
      <c r="EM429" s="890">
        <f>EO394+EP394</f>
        <v>143150799.64912018</v>
      </c>
      <c r="EN429" s="890">
        <v>0</v>
      </c>
      <c r="EO429" s="890">
        <f>EO394</f>
        <v>43233146.624210842</v>
      </c>
      <c r="EP429" s="890">
        <f>EP394</f>
        <v>99917653.024909347</v>
      </c>
      <c r="EQ429" s="1073"/>
      <c r="ER429" s="1071"/>
      <c r="ET429" s="1072"/>
      <c r="EU429" s="890">
        <f>EW394+EX394</f>
        <v>143150799.64912018</v>
      </c>
      <c r="EV429" s="890">
        <v>0</v>
      </c>
      <c r="EW429" s="890">
        <f>EW394</f>
        <v>43233146.624210842</v>
      </c>
      <c r="EX429" s="890">
        <f>EX394</f>
        <v>99917653.024909347</v>
      </c>
      <c r="EY429" s="1073"/>
      <c r="EZ429" s="1071"/>
      <c r="FB429" s="1072"/>
      <c r="FC429" s="890">
        <f>FE394+FF394</f>
        <v>143150799.64912018</v>
      </c>
      <c r="FD429" s="890">
        <v>0</v>
      </c>
      <c r="FE429" s="890">
        <f>FE394</f>
        <v>43233146.624210842</v>
      </c>
      <c r="FF429" s="890">
        <f>FF394</f>
        <v>99917653.024909347</v>
      </c>
      <c r="FG429" s="1073"/>
      <c r="FH429" s="1071"/>
      <c r="FJ429" s="1072"/>
      <c r="FK429" s="890">
        <f>FM394+FN394</f>
        <v>143150799.64912018</v>
      </c>
      <c r="FL429" s="890">
        <v>0</v>
      </c>
      <c r="FM429" s="890">
        <f>FM394</f>
        <v>43233146.624210842</v>
      </c>
      <c r="FN429" s="890">
        <f>FN394</f>
        <v>99917653.024909347</v>
      </c>
      <c r="FO429" s="1073"/>
    </row>
    <row r="430" spans="2:171">
      <c r="C430" s="108" t="s">
        <v>527</v>
      </c>
      <c r="D430" s="1071"/>
      <c r="E430" s="1093"/>
      <c r="F430" s="1072"/>
      <c r="G430" s="1648">
        <f>SUM(G424:G429)</f>
        <v>3649392939.8330483</v>
      </c>
      <c r="H430" s="1648">
        <f>SUM(H424:H429)</f>
        <v>0</v>
      </c>
      <c r="I430" s="1648">
        <f>SUM(I424:I429)</f>
        <v>0</v>
      </c>
      <c r="J430" s="1648">
        <f>SUM(J424:J429)</f>
        <v>3649392939.8330483</v>
      </c>
      <c r="K430" s="903"/>
      <c r="L430" s="1071"/>
      <c r="N430" s="1072"/>
      <c r="O430" s="1648">
        <f>SUM(O424:O429)</f>
        <v>3649392940.3830485</v>
      </c>
      <c r="P430" s="1648">
        <f>SUM(P424:P429)</f>
        <v>0</v>
      </c>
      <c r="Q430" s="1648">
        <f>SUM(Q424:Q429)</f>
        <v>1100952176.6242108</v>
      </c>
      <c r="R430" s="1648">
        <f>SUM(R424:R429)</f>
        <v>2548440763.7588377</v>
      </c>
      <c r="S430" s="1073"/>
      <c r="T430" s="1071"/>
      <c r="V430" s="1072"/>
      <c r="W430" s="1648">
        <f>SUM(W424:W429)</f>
        <v>3649392940.3830485</v>
      </c>
      <c r="X430" s="1648">
        <f>SUM(X424:X429)</f>
        <v>0</v>
      </c>
      <c r="Y430" s="1648">
        <f>SUM(Y424:Y429)</f>
        <v>1100952176.6242108</v>
      </c>
      <c r="Z430" s="1648">
        <f>SUM(Z424:Z429)</f>
        <v>2548440763.7588377</v>
      </c>
      <c r="AA430" s="1073"/>
      <c r="AB430" s="1071"/>
      <c r="AD430" s="1072"/>
      <c r="AE430" s="1648">
        <f>SUM(AE424:AE429)</f>
        <v>3649392940.3830485</v>
      </c>
      <c r="AF430" s="1648">
        <f>SUM(AF424:AF429)</f>
        <v>0</v>
      </c>
      <c r="AG430" s="1648">
        <f>SUM(AG424:AG429)</f>
        <v>1100952176.6242108</v>
      </c>
      <c r="AH430" s="1648">
        <f>SUM(AH424:AH429)</f>
        <v>2548440763.7588377</v>
      </c>
      <c r="AI430" s="1073"/>
      <c r="AJ430" s="1071"/>
      <c r="AL430" s="1072"/>
      <c r="AM430" s="1648">
        <f>SUM(AM424:AM429)</f>
        <v>3649392940.3830485</v>
      </c>
      <c r="AN430" s="1648">
        <f>SUM(AN424:AN429)</f>
        <v>0</v>
      </c>
      <c r="AO430" s="1648">
        <f>SUM(AO424:AO429)</f>
        <v>1100952176.6242108</v>
      </c>
      <c r="AP430" s="1648">
        <f>SUM(AP424:AP429)</f>
        <v>2548440763.7588377</v>
      </c>
      <c r="AQ430" s="1073"/>
      <c r="AR430" s="1071"/>
      <c r="AT430" s="1072"/>
      <c r="AU430" s="1648">
        <f>SUM(AU424:AU429)</f>
        <v>3649392940.3830485</v>
      </c>
      <c r="AV430" s="1648">
        <f>SUM(AV424:AV429)</f>
        <v>0</v>
      </c>
      <c r="AW430" s="1648">
        <f>SUM(AW424:AW429)</f>
        <v>1100952176.6242108</v>
      </c>
      <c r="AX430" s="1648">
        <f>SUM(AX424:AX429)</f>
        <v>2548440763.7588377</v>
      </c>
      <c r="AY430" s="1073"/>
      <c r="AZ430" s="1071"/>
      <c r="BB430" s="1072"/>
      <c r="BC430" s="1648">
        <f>SUM(BC424:BC429)</f>
        <v>3649392940.3830485</v>
      </c>
      <c r="BD430" s="1648">
        <f>SUM(BD424:BD429)</f>
        <v>0</v>
      </c>
      <c r="BE430" s="1648">
        <f>SUM(BE424:BE429)</f>
        <v>1100952176.6242108</v>
      </c>
      <c r="BF430" s="1648">
        <f>SUM(BF424:BF429)</f>
        <v>2548440763.7588377</v>
      </c>
      <c r="BG430" s="1073"/>
      <c r="BH430" s="1071"/>
      <c r="BJ430" s="1072"/>
      <c r="BK430" s="1648">
        <f>SUM(BK424:BK429)</f>
        <v>3649392940.3830485</v>
      </c>
      <c r="BL430" s="1648">
        <f>SUM(BL424:BL429)</f>
        <v>0</v>
      </c>
      <c r="BM430" s="1648">
        <f>SUM(BM424:BM429)</f>
        <v>1100952176.6242108</v>
      </c>
      <c r="BN430" s="1648">
        <f>SUM(BN424:BN429)</f>
        <v>2548440763.7588377</v>
      </c>
      <c r="BO430" s="1073"/>
      <c r="BP430" s="1071"/>
      <c r="BR430" s="1072"/>
      <c r="BS430" s="1648">
        <f>SUM(BS424:BS429)</f>
        <v>3649392940.3830485</v>
      </c>
      <c r="BT430" s="1648">
        <f>SUM(BT424:BT429)</f>
        <v>0</v>
      </c>
      <c r="BU430" s="1648">
        <f>SUM(BU424:BU429)</f>
        <v>1100952176.6242108</v>
      </c>
      <c r="BV430" s="1648">
        <f>SUM(BV424:BV429)</f>
        <v>2548440763.7588377</v>
      </c>
      <c r="BW430" s="1073"/>
      <c r="BX430" s="1071"/>
      <c r="BZ430" s="1072"/>
      <c r="CA430" s="1648">
        <f>SUM(CA424:CA429)</f>
        <v>3649392940.3830485</v>
      </c>
      <c r="CB430" s="1648">
        <f>SUM(CB424:CB429)</f>
        <v>0</v>
      </c>
      <c r="CC430" s="1648">
        <f>SUM(CC424:CC429)</f>
        <v>1100952176.6242108</v>
      </c>
      <c r="CD430" s="1648">
        <f>SUM(CD424:CD429)</f>
        <v>2548440763.7588377</v>
      </c>
      <c r="CE430" s="1073"/>
      <c r="CF430" s="1071"/>
      <c r="CH430" s="1072"/>
      <c r="CI430" s="1648">
        <f>SUM(CI424:CI429)</f>
        <v>3649392940.3830485</v>
      </c>
      <c r="CJ430" s="1648">
        <f>SUM(CJ424:CJ429)</f>
        <v>0</v>
      </c>
      <c r="CK430" s="1648">
        <f>SUM(CK424:CK429)</f>
        <v>1100952176.6242108</v>
      </c>
      <c r="CL430" s="1648">
        <f>SUM(CL424:CL429)</f>
        <v>2548440763.7588377</v>
      </c>
      <c r="CM430" s="1073"/>
      <c r="CN430" s="1071"/>
      <c r="CP430" s="1072"/>
      <c r="CQ430" s="1648">
        <f>SUM(CQ424:CQ429)</f>
        <v>3649392940.3830485</v>
      </c>
      <c r="CR430" s="1648">
        <f>SUM(CR424:CR429)</f>
        <v>0</v>
      </c>
      <c r="CS430" s="1648">
        <f>SUM(CS424:CS429)</f>
        <v>1100952176.6242108</v>
      </c>
      <c r="CT430" s="1648">
        <f>SUM(CT424:CT429)</f>
        <v>2548440763.7588377</v>
      </c>
      <c r="CU430" s="1073"/>
      <c r="CV430" s="1071"/>
      <c r="CX430" s="1072"/>
      <c r="CY430" s="1648">
        <f>SUM(CY424:CY429)</f>
        <v>3649392940.3830485</v>
      </c>
      <c r="CZ430" s="1648">
        <f>SUM(CZ424:CZ429)</f>
        <v>0</v>
      </c>
      <c r="DA430" s="1648">
        <f>SUM(DA424:DA429)</f>
        <v>1100952176.6242108</v>
      </c>
      <c r="DB430" s="1648">
        <f>SUM(DB424:DB429)</f>
        <v>2548440763.7588377</v>
      </c>
      <c r="DC430" s="1073"/>
      <c r="DD430" s="1071"/>
      <c r="DF430" s="1072"/>
      <c r="DG430" s="1648">
        <f>SUM(DG424:DG429)</f>
        <v>3649392940.3830485</v>
      </c>
      <c r="DH430" s="1648">
        <f>SUM(DH424:DH429)</f>
        <v>0</v>
      </c>
      <c r="DI430" s="1648">
        <f>SUM(DI424:DI429)</f>
        <v>1100952176.6242108</v>
      </c>
      <c r="DJ430" s="1648">
        <f>SUM(DJ424:DJ429)</f>
        <v>2548440763.7588377</v>
      </c>
      <c r="DK430" s="1073"/>
      <c r="DL430" s="1071"/>
      <c r="DN430" s="1072"/>
      <c r="DO430" s="1648">
        <f>SUM(DO424:DO429)</f>
        <v>3649392940.3830485</v>
      </c>
      <c r="DP430" s="1648">
        <f>SUM(DP424:DP429)</f>
        <v>0</v>
      </c>
      <c r="DQ430" s="1648">
        <f>SUM(DQ424:DQ429)</f>
        <v>1100952176.6242108</v>
      </c>
      <c r="DR430" s="1648">
        <f>SUM(DR424:DR429)</f>
        <v>2548440763.7588377</v>
      </c>
      <c r="DS430" s="1073"/>
      <c r="DT430" s="1071"/>
      <c r="DV430" s="1072"/>
      <c r="DW430" s="1648">
        <f>SUM(DW424:DW429)</f>
        <v>3649392940.3830485</v>
      </c>
      <c r="DX430" s="1648">
        <f>SUM(DX424:DX429)</f>
        <v>0</v>
      </c>
      <c r="DY430" s="1648">
        <f>SUM(DY424:DY429)</f>
        <v>1100952176.6242108</v>
      </c>
      <c r="DZ430" s="1648">
        <f>SUM(DZ424:DZ429)</f>
        <v>2548440763.7588377</v>
      </c>
      <c r="EA430" s="1073"/>
      <c r="EB430" s="1071"/>
      <c r="ED430" s="1072"/>
      <c r="EE430" s="1648">
        <f>SUM(EE424:EE429)</f>
        <v>3649392940.3830485</v>
      </c>
      <c r="EF430" s="1648">
        <f>SUM(EF424:EF429)</f>
        <v>0</v>
      </c>
      <c r="EG430" s="1648">
        <f>SUM(EG424:EG429)</f>
        <v>1100952176.6242108</v>
      </c>
      <c r="EH430" s="1648">
        <f>SUM(EH424:EH429)</f>
        <v>2548440763.7588377</v>
      </c>
      <c r="EI430" s="1073"/>
      <c r="EJ430" s="1071"/>
      <c r="EL430" s="1072"/>
      <c r="EM430" s="1648">
        <f>SUM(EM424:EM429)</f>
        <v>3649392940.3830485</v>
      </c>
      <c r="EN430" s="1648">
        <f>SUM(EN424:EN429)</f>
        <v>0</v>
      </c>
      <c r="EO430" s="1648">
        <f>SUM(EO424:EO429)</f>
        <v>1100952176.6242108</v>
      </c>
      <c r="EP430" s="1648">
        <f>SUM(EP424:EP429)</f>
        <v>2548440763.7588377</v>
      </c>
      <c r="EQ430" s="1073"/>
      <c r="ER430" s="1071"/>
      <c r="ET430" s="1072"/>
      <c r="EU430" s="1648">
        <f>SUM(EU424:EU429)</f>
        <v>3649392940.3830485</v>
      </c>
      <c r="EV430" s="1648">
        <f>SUM(EV424:EV429)</f>
        <v>0</v>
      </c>
      <c r="EW430" s="1648">
        <f>SUM(EW424:EW429)</f>
        <v>1100952176.6242108</v>
      </c>
      <c r="EX430" s="1648">
        <f>SUM(EX424:EX429)</f>
        <v>2548440763.7588377</v>
      </c>
      <c r="EY430" s="1073"/>
      <c r="EZ430" s="1071"/>
      <c r="FB430" s="1072"/>
      <c r="FC430" s="1648">
        <f>SUM(FC424:FC429)</f>
        <v>3649392940.3830485</v>
      </c>
      <c r="FD430" s="1648">
        <f>SUM(FD424:FD429)</f>
        <v>0</v>
      </c>
      <c r="FE430" s="1648">
        <f>SUM(FE424:FE429)</f>
        <v>1100952176.6242108</v>
      </c>
      <c r="FF430" s="1648">
        <f>SUM(FF424:FF429)</f>
        <v>2548440763.7588377</v>
      </c>
      <c r="FG430" s="1073"/>
      <c r="FH430" s="1071"/>
      <c r="FJ430" s="1072"/>
      <c r="FK430" s="1648">
        <f>SUM(FK424:FK429)</f>
        <v>3649392940.3830485</v>
      </c>
      <c r="FL430" s="1648">
        <f>SUM(FL424:FL429)</f>
        <v>0</v>
      </c>
      <c r="FM430" s="1648">
        <f>SUM(FM424:FM429)</f>
        <v>1100952176.6242108</v>
      </c>
      <c r="FN430" s="1648">
        <f>SUM(FN424:FN429)</f>
        <v>2548440763.7588377</v>
      </c>
      <c r="FO430" s="1073"/>
    </row>
    <row r="431" spans="2:171">
      <c r="C431" s="123" t="s">
        <v>812</v>
      </c>
      <c r="D431" s="1296" t="s">
        <v>642</v>
      </c>
      <c r="E431" s="1075"/>
      <c r="F431" s="1075"/>
      <c r="G431" s="1649">
        <f>H431+I431+J431</f>
        <v>1</v>
      </c>
      <c r="H431" s="1649">
        <f>H430/G430</f>
        <v>0</v>
      </c>
      <c r="I431" s="1649">
        <f>I430/G430</f>
        <v>0</v>
      </c>
      <c r="J431" s="1649">
        <f>J430/G430</f>
        <v>1</v>
      </c>
      <c r="K431" s="1078"/>
      <c r="L431" s="1074" t="s">
        <v>642</v>
      </c>
      <c r="M431" s="1075"/>
      <c r="N431" s="1075"/>
      <c r="O431" s="1649">
        <f>P431+Q431+R431</f>
        <v>1</v>
      </c>
      <c r="P431" s="1649">
        <f>P430/O430</f>
        <v>0</v>
      </c>
      <c r="Q431" s="1649">
        <f>Q430/O430</f>
        <v>0.30168090819747473</v>
      </c>
      <c r="R431" s="1649">
        <f>R430/O430</f>
        <v>0.69831909180252527</v>
      </c>
      <c r="S431" s="1078"/>
      <c r="T431" s="1074" t="s">
        <v>642</v>
      </c>
      <c r="U431" s="1075"/>
      <c r="V431" s="1075"/>
      <c r="W431" s="1649">
        <f>X431+Y431+Z431</f>
        <v>1</v>
      </c>
      <c r="X431" s="1649">
        <f>X430/W430</f>
        <v>0</v>
      </c>
      <c r="Y431" s="1649">
        <f>Y430/W430</f>
        <v>0.30168090819747473</v>
      </c>
      <c r="Z431" s="1649">
        <f>Z430/W430</f>
        <v>0.69831909180252527</v>
      </c>
      <c r="AA431" s="1078"/>
      <c r="AB431" s="1074" t="s">
        <v>642</v>
      </c>
      <c r="AC431" s="1075"/>
      <c r="AD431" s="1075"/>
      <c r="AE431" s="1649">
        <f>AF431+AG431+AH431</f>
        <v>1</v>
      </c>
      <c r="AF431" s="1649">
        <f>AF430/AE430</f>
        <v>0</v>
      </c>
      <c r="AG431" s="1649">
        <f>AG430/AE430</f>
        <v>0.30168090819747473</v>
      </c>
      <c r="AH431" s="1649">
        <f>AH430/AE430</f>
        <v>0.69831909180252527</v>
      </c>
      <c r="AI431" s="1078"/>
      <c r="AJ431" s="1074" t="s">
        <v>642</v>
      </c>
      <c r="AK431" s="1075"/>
      <c r="AL431" s="1075"/>
      <c r="AM431" s="1649">
        <f>AN431+AO431+AP431</f>
        <v>1</v>
      </c>
      <c r="AN431" s="1649">
        <f>AN430/AM430</f>
        <v>0</v>
      </c>
      <c r="AO431" s="1649">
        <f>AO430/AM430</f>
        <v>0.30168090819747473</v>
      </c>
      <c r="AP431" s="1649">
        <f>AP430/AM430</f>
        <v>0.69831909180252527</v>
      </c>
      <c r="AQ431" s="1078"/>
      <c r="AR431" s="1074" t="s">
        <v>642</v>
      </c>
      <c r="AS431" s="1075"/>
      <c r="AT431" s="1075"/>
      <c r="AU431" s="1649">
        <f>AV431+AW431+AX431</f>
        <v>1</v>
      </c>
      <c r="AV431" s="1649">
        <f>AV430/AU430</f>
        <v>0</v>
      </c>
      <c r="AW431" s="1649">
        <f>AW430/AU430</f>
        <v>0.30168090819747473</v>
      </c>
      <c r="AX431" s="1649">
        <f>AX430/AU430</f>
        <v>0.69831909180252527</v>
      </c>
      <c r="AY431" s="1078"/>
      <c r="AZ431" s="1074" t="s">
        <v>642</v>
      </c>
      <c r="BA431" s="1075"/>
      <c r="BB431" s="1075"/>
      <c r="BC431" s="1649">
        <f>BD431+BE431+BF431</f>
        <v>1</v>
      </c>
      <c r="BD431" s="1649">
        <f>BD430/BC430</f>
        <v>0</v>
      </c>
      <c r="BE431" s="1649">
        <f>BE430/BC430</f>
        <v>0.30168090819747473</v>
      </c>
      <c r="BF431" s="1649">
        <f>BF430/BC430</f>
        <v>0.69831909180252527</v>
      </c>
      <c r="BG431" s="1078"/>
      <c r="BH431" s="1074" t="s">
        <v>642</v>
      </c>
      <c r="BI431" s="1075"/>
      <c r="BJ431" s="1075"/>
      <c r="BK431" s="1649">
        <f>BL431+BM431+BN431</f>
        <v>1</v>
      </c>
      <c r="BL431" s="1649">
        <f>BL430/BK430</f>
        <v>0</v>
      </c>
      <c r="BM431" s="1649">
        <f>BM430/BK430</f>
        <v>0.30168090819747473</v>
      </c>
      <c r="BN431" s="1649">
        <f>BN430/BK430</f>
        <v>0.69831909180252527</v>
      </c>
      <c r="BO431" s="1078"/>
      <c r="BP431" s="1074" t="s">
        <v>642</v>
      </c>
      <c r="BQ431" s="1075"/>
      <c r="BR431" s="1075"/>
      <c r="BS431" s="1649">
        <f>BT431+BU431+BV431</f>
        <v>1</v>
      </c>
      <c r="BT431" s="1649">
        <f>BT430/BS430</f>
        <v>0</v>
      </c>
      <c r="BU431" s="1649">
        <f>BU430/BS430</f>
        <v>0.30168090819747473</v>
      </c>
      <c r="BV431" s="1649">
        <f>BV430/BS430</f>
        <v>0.69831909180252527</v>
      </c>
      <c r="BW431" s="1078"/>
      <c r="BX431" s="1074" t="s">
        <v>642</v>
      </c>
      <c r="BY431" s="1075"/>
      <c r="BZ431" s="1075"/>
      <c r="CA431" s="1649">
        <f>CB431+CC431+CD431</f>
        <v>1</v>
      </c>
      <c r="CB431" s="1649">
        <f>CB430/CA430</f>
        <v>0</v>
      </c>
      <c r="CC431" s="1649">
        <f>CC430/CA430</f>
        <v>0.30168090819747473</v>
      </c>
      <c r="CD431" s="1649">
        <f>CD430/CA430</f>
        <v>0.69831909180252527</v>
      </c>
      <c r="CE431" s="1078"/>
      <c r="CF431" s="1074" t="s">
        <v>642</v>
      </c>
      <c r="CG431" s="1075"/>
      <c r="CH431" s="1075"/>
      <c r="CI431" s="1649">
        <f>CJ431+CK431+CL431</f>
        <v>1</v>
      </c>
      <c r="CJ431" s="1649">
        <f>CJ430/CI430</f>
        <v>0</v>
      </c>
      <c r="CK431" s="1649">
        <f>CK430/CI430</f>
        <v>0.30168090819747473</v>
      </c>
      <c r="CL431" s="1649">
        <f>CL430/CI430</f>
        <v>0.69831909180252527</v>
      </c>
      <c r="CM431" s="1078"/>
      <c r="CN431" s="1074" t="s">
        <v>642</v>
      </c>
      <c r="CO431" s="1075"/>
      <c r="CP431" s="1075"/>
      <c r="CQ431" s="1649">
        <f>CR431+CS431+CT431</f>
        <v>1</v>
      </c>
      <c r="CR431" s="1649">
        <f>CR430/CQ430</f>
        <v>0</v>
      </c>
      <c r="CS431" s="1649">
        <f>CS430/CQ430</f>
        <v>0.30168090819747473</v>
      </c>
      <c r="CT431" s="1649">
        <f>CT430/CQ430</f>
        <v>0.69831909180252527</v>
      </c>
      <c r="CU431" s="1078"/>
      <c r="CV431" s="1074" t="s">
        <v>642</v>
      </c>
      <c r="CW431" s="1075"/>
      <c r="CX431" s="1075"/>
      <c r="CY431" s="1649">
        <f>CZ431+DA431+DB431</f>
        <v>1</v>
      </c>
      <c r="CZ431" s="1649">
        <f>CZ430/CY430</f>
        <v>0</v>
      </c>
      <c r="DA431" s="1649">
        <f>DA430/CY430</f>
        <v>0.30168090819747473</v>
      </c>
      <c r="DB431" s="1649">
        <f>DB430/CY430</f>
        <v>0.69831909180252527</v>
      </c>
      <c r="DC431" s="1078"/>
      <c r="DD431" s="1074" t="s">
        <v>642</v>
      </c>
      <c r="DE431" s="1075"/>
      <c r="DF431" s="1075"/>
      <c r="DG431" s="1649">
        <f>DH431+DI431+DJ431</f>
        <v>1</v>
      </c>
      <c r="DH431" s="1649">
        <f>DH430/DG430</f>
        <v>0</v>
      </c>
      <c r="DI431" s="1649">
        <f>DI430/DG430</f>
        <v>0.30168090819747473</v>
      </c>
      <c r="DJ431" s="1649">
        <f>DJ430/DG430</f>
        <v>0.69831909180252527</v>
      </c>
      <c r="DK431" s="1078"/>
      <c r="DL431" s="1074" t="s">
        <v>642</v>
      </c>
      <c r="DM431" s="1075"/>
      <c r="DN431" s="1075"/>
      <c r="DO431" s="1649">
        <f>DP431+DQ431+DR431</f>
        <v>1</v>
      </c>
      <c r="DP431" s="1649">
        <f>DP430/DO430</f>
        <v>0</v>
      </c>
      <c r="DQ431" s="1649">
        <f>DQ430/DO430</f>
        <v>0.30168090819747473</v>
      </c>
      <c r="DR431" s="1649">
        <f>DR430/DO430</f>
        <v>0.69831909180252527</v>
      </c>
      <c r="DS431" s="1078"/>
      <c r="DT431" s="1074" t="s">
        <v>642</v>
      </c>
      <c r="DU431" s="1075"/>
      <c r="DV431" s="1075"/>
      <c r="DW431" s="1649">
        <f>DX431+DY431+DZ431</f>
        <v>1</v>
      </c>
      <c r="DX431" s="1649">
        <f>DX430/DW430</f>
        <v>0</v>
      </c>
      <c r="DY431" s="1649">
        <f>DY430/DW430</f>
        <v>0.30168090819747473</v>
      </c>
      <c r="DZ431" s="1649">
        <f>DZ430/DW430</f>
        <v>0.69831909180252527</v>
      </c>
      <c r="EA431" s="1078"/>
      <c r="EB431" s="1074" t="s">
        <v>642</v>
      </c>
      <c r="EC431" s="1075"/>
      <c r="ED431" s="1075"/>
      <c r="EE431" s="1649">
        <f>EF431+EG431+EH431</f>
        <v>1</v>
      </c>
      <c r="EF431" s="1649">
        <f>EF430/EE430</f>
        <v>0</v>
      </c>
      <c r="EG431" s="1649">
        <f>EG430/EE430</f>
        <v>0.30168090819747473</v>
      </c>
      <c r="EH431" s="1649">
        <f>EH430/EE430</f>
        <v>0.69831909180252527</v>
      </c>
      <c r="EI431" s="1078"/>
      <c r="EJ431" s="1074" t="s">
        <v>642</v>
      </c>
      <c r="EK431" s="1075"/>
      <c r="EL431" s="1075"/>
      <c r="EM431" s="1649">
        <f>EN431+EO431+EP431</f>
        <v>1</v>
      </c>
      <c r="EN431" s="1649">
        <f>EN430/EM430</f>
        <v>0</v>
      </c>
      <c r="EO431" s="1649">
        <f>EO430/EM430</f>
        <v>0.30168090819747473</v>
      </c>
      <c r="EP431" s="1649">
        <f>EP430/EM430</f>
        <v>0.69831909180252527</v>
      </c>
      <c r="EQ431" s="1078"/>
      <c r="ER431" s="1074" t="s">
        <v>642</v>
      </c>
      <c r="ES431" s="1075"/>
      <c r="ET431" s="1075"/>
      <c r="EU431" s="1649">
        <f>EV431+EW431+EX431</f>
        <v>1</v>
      </c>
      <c r="EV431" s="1649">
        <f>EV430/EU430</f>
        <v>0</v>
      </c>
      <c r="EW431" s="1649">
        <f>EW430/EU430</f>
        <v>0.30168090819747473</v>
      </c>
      <c r="EX431" s="1649">
        <f>EX430/EU430</f>
        <v>0.69831909180252527</v>
      </c>
      <c r="EY431" s="1078"/>
      <c r="EZ431" s="1074" t="s">
        <v>642</v>
      </c>
      <c r="FA431" s="1075"/>
      <c r="FB431" s="1075"/>
      <c r="FC431" s="1649">
        <f>FD431+FE431+FF431</f>
        <v>1</v>
      </c>
      <c r="FD431" s="1649">
        <f>FD430/FC430</f>
        <v>0</v>
      </c>
      <c r="FE431" s="1649">
        <f>FE430/FC430</f>
        <v>0.30168090819747473</v>
      </c>
      <c r="FF431" s="1649">
        <f>FF430/FC430</f>
        <v>0.69831909180252527</v>
      </c>
      <c r="FG431" s="1078"/>
      <c r="FH431" s="1074" t="s">
        <v>642</v>
      </c>
      <c r="FI431" s="1075"/>
      <c r="FJ431" s="1075"/>
      <c r="FK431" s="1649">
        <f>FL431+FM431+FN431</f>
        <v>1</v>
      </c>
      <c r="FL431" s="1649">
        <f>FL430/FK430</f>
        <v>0</v>
      </c>
      <c r="FM431" s="1649">
        <f>FM430/FK430</f>
        <v>0.30168090819747473</v>
      </c>
      <c r="FN431" s="1649">
        <f>FN430/FK430</f>
        <v>0.69831909180252527</v>
      </c>
      <c r="FO431" s="1078"/>
    </row>
    <row r="432" spans="2:171">
      <c r="K432" s="1073"/>
      <c r="S432" s="1073"/>
      <c r="AA432" s="1073"/>
      <c r="AI432" s="1073"/>
      <c r="AQ432" s="1073"/>
      <c r="AY432" s="1073"/>
      <c r="BG432" s="1073"/>
      <c r="BO432" s="1073"/>
      <c r="BW432" s="1073"/>
      <c r="CE432" s="1073"/>
      <c r="CM432" s="1073"/>
      <c r="CU432" s="1073"/>
      <c r="DC432" s="1073"/>
      <c r="DK432" s="1073"/>
      <c r="DS432" s="1073"/>
      <c r="EA432" s="1073"/>
      <c r="EI432" s="1073"/>
      <c r="EQ432" s="1073"/>
      <c r="EY432" s="1073"/>
      <c r="FG432" s="1073"/>
      <c r="FO432" s="1073"/>
    </row>
    <row r="433" spans="2:171">
      <c r="E433" s="302" t="s">
        <v>525</v>
      </c>
      <c r="G433" s="303" t="s">
        <v>104</v>
      </c>
      <c r="H433" s="303" t="s">
        <v>105</v>
      </c>
      <c r="I433" s="303" t="s">
        <v>106</v>
      </c>
      <c r="J433" s="304" t="s">
        <v>516</v>
      </c>
      <c r="K433" s="1073"/>
      <c r="O433" s="303" t="s">
        <v>104</v>
      </c>
      <c r="P433" s="303" t="s">
        <v>105</v>
      </c>
      <c r="Q433" s="303" t="s">
        <v>106</v>
      </c>
      <c r="R433" s="304" t="s">
        <v>516</v>
      </c>
      <c r="S433" s="1073"/>
      <c r="W433" s="303" t="s">
        <v>104</v>
      </c>
      <c r="X433" s="303" t="s">
        <v>105</v>
      </c>
      <c r="Y433" s="303" t="s">
        <v>106</v>
      </c>
      <c r="Z433" s="304" t="s">
        <v>516</v>
      </c>
      <c r="AA433" s="1073"/>
      <c r="AE433" s="303" t="s">
        <v>104</v>
      </c>
      <c r="AF433" s="303" t="s">
        <v>105</v>
      </c>
      <c r="AG433" s="303" t="s">
        <v>106</v>
      </c>
      <c r="AH433" s="304" t="s">
        <v>516</v>
      </c>
      <c r="AI433" s="1073"/>
      <c r="AM433" s="303" t="s">
        <v>104</v>
      </c>
      <c r="AN433" s="303" t="s">
        <v>105</v>
      </c>
      <c r="AO433" s="303" t="s">
        <v>106</v>
      </c>
      <c r="AP433" s="304" t="s">
        <v>516</v>
      </c>
      <c r="AQ433" s="1073"/>
      <c r="AU433" s="303" t="s">
        <v>104</v>
      </c>
      <c r="AV433" s="303" t="s">
        <v>105</v>
      </c>
      <c r="AW433" s="303" t="s">
        <v>106</v>
      </c>
      <c r="AX433" s="304" t="s">
        <v>516</v>
      </c>
      <c r="AY433" s="1073"/>
      <c r="BC433" s="303" t="s">
        <v>104</v>
      </c>
      <c r="BD433" s="303" t="s">
        <v>105</v>
      </c>
      <c r="BE433" s="303" t="s">
        <v>106</v>
      </c>
      <c r="BF433" s="304" t="s">
        <v>516</v>
      </c>
      <c r="BG433" s="1073"/>
      <c r="BK433" s="303" t="s">
        <v>104</v>
      </c>
      <c r="BL433" s="303" t="s">
        <v>105</v>
      </c>
      <c r="BM433" s="303" t="s">
        <v>106</v>
      </c>
      <c r="BN433" s="304" t="s">
        <v>516</v>
      </c>
      <c r="BO433" s="1073"/>
      <c r="BS433" s="303" t="s">
        <v>104</v>
      </c>
      <c r="BT433" s="303" t="s">
        <v>105</v>
      </c>
      <c r="BU433" s="303" t="s">
        <v>106</v>
      </c>
      <c r="BV433" s="304" t="s">
        <v>516</v>
      </c>
      <c r="BW433" s="1073"/>
      <c r="CA433" s="303" t="s">
        <v>104</v>
      </c>
      <c r="CB433" s="303" t="s">
        <v>105</v>
      </c>
      <c r="CC433" s="303" t="s">
        <v>106</v>
      </c>
      <c r="CD433" s="304" t="s">
        <v>516</v>
      </c>
      <c r="CE433" s="1073"/>
      <c r="CI433" s="303" t="s">
        <v>104</v>
      </c>
      <c r="CJ433" s="303" t="s">
        <v>105</v>
      </c>
      <c r="CK433" s="303" t="s">
        <v>106</v>
      </c>
      <c r="CL433" s="304" t="s">
        <v>516</v>
      </c>
      <c r="CM433" s="1073"/>
      <c r="CQ433" s="303" t="s">
        <v>104</v>
      </c>
      <c r="CR433" s="303" t="s">
        <v>105</v>
      </c>
      <c r="CS433" s="303" t="s">
        <v>106</v>
      </c>
      <c r="CT433" s="304" t="s">
        <v>516</v>
      </c>
      <c r="CU433" s="1073"/>
      <c r="CY433" s="303" t="s">
        <v>104</v>
      </c>
      <c r="CZ433" s="303" t="s">
        <v>105</v>
      </c>
      <c r="DA433" s="303" t="s">
        <v>106</v>
      </c>
      <c r="DB433" s="304" t="s">
        <v>516</v>
      </c>
      <c r="DC433" s="1073"/>
      <c r="DG433" s="303" t="s">
        <v>104</v>
      </c>
      <c r="DH433" s="303" t="s">
        <v>105</v>
      </c>
      <c r="DI433" s="303" t="s">
        <v>106</v>
      </c>
      <c r="DJ433" s="304" t="s">
        <v>516</v>
      </c>
      <c r="DK433" s="1073"/>
      <c r="DO433" s="303" t="s">
        <v>104</v>
      </c>
      <c r="DP433" s="303" t="s">
        <v>105</v>
      </c>
      <c r="DQ433" s="303" t="s">
        <v>106</v>
      </c>
      <c r="DR433" s="304" t="s">
        <v>516</v>
      </c>
      <c r="DS433" s="1073"/>
      <c r="DW433" s="303" t="s">
        <v>104</v>
      </c>
      <c r="DX433" s="303" t="s">
        <v>105</v>
      </c>
      <c r="DY433" s="303" t="s">
        <v>106</v>
      </c>
      <c r="DZ433" s="304" t="s">
        <v>516</v>
      </c>
      <c r="EA433" s="1073"/>
      <c r="EE433" s="303" t="s">
        <v>104</v>
      </c>
      <c r="EF433" s="303" t="s">
        <v>105</v>
      </c>
      <c r="EG433" s="303" t="s">
        <v>106</v>
      </c>
      <c r="EH433" s="304" t="s">
        <v>516</v>
      </c>
      <c r="EI433" s="1073"/>
      <c r="EM433" s="303" t="s">
        <v>104</v>
      </c>
      <c r="EN433" s="303" t="s">
        <v>105</v>
      </c>
      <c r="EO433" s="303" t="s">
        <v>106</v>
      </c>
      <c r="EP433" s="304" t="s">
        <v>516</v>
      </c>
      <c r="EQ433" s="1073"/>
      <c r="EU433" s="303" t="s">
        <v>104</v>
      </c>
      <c r="EV433" s="303" t="s">
        <v>105</v>
      </c>
      <c r="EW433" s="303" t="s">
        <v>106</v>
      </c>
      <c r="EX433" s="304" t="s">
        <v>516</v>
      </c>
      <c r="EY433" s="1073"/>
      <c r="FC433" s="303" t="s">
        <v>104</v>
      </c>
      <c r="FD433" s="303" t="s">
        <v>105</v>
      </c>
      <c r="FE433" s="303" t="s">
        <v>106</v>
      </c>
      <c r="FF433" s="304" t="s">
        <v>516</v>
      </c>
      <c r="FG433" s="1073"/>
      <c r="FK433" s="303" t="s">
        <v>104</v>
      </c>
      <c r="FL433" s="303" t="s">
        <v>105</v>
      </c>
      <c r="FM433" s="303" t="s">
        <v>106</v>
      </c>
      <c r="FN433" s="304" t="s">
        <v>516</v>
      </c>
      <c r="FO433" s="1073"/>
    </row>
    <row r="434" spans="2:171">
      <c r="B434" s="108"/>
      <c r="C434" s="108" t="s">
        <v>126</v>
      </c>
      <c r="D434" s="1071"/>
      <c r="E434" s="904" t="str">
        <f>E38</f>
        <v>PTD</v>
      </c>
      <c r="G434" s="890">
        <f t="shared" ref="G434:J435" si="1142">G38</f>
        <v>21045508</v>
      </c>
      <c r="H434" s="890">
        <f t="shared" si="1142"/>
        <v>6687437.8488280065</v>
      </c>
      <c r="I434" s="890">
        <f t="shared" si="1142"/>
        <v>0</v>
      </c>
      <c r="J434" s="890">
        <f t="shared" si="1142"/>
        <v>14358070.151171993</v>
      </c>
      <c r="K434" s="1078"/>
      <c r="L434" s="1071"/>
      <c r="M434" s="1072"/>
      <c r="N434" s="1072"/>
      <c r="O434" s="890">
        <f t="shared" ref="O434:R435" si="1143">O38</f>
        <v>21045508</v>
      </c>
      <c r="P434" s="890">
        <f t="shared" si="1143"/>
        <v>6687437.8488280065</v>
      </c>
      <c r="Q434" s="890">
        <f t="shared" si="1143"/>
        <v>4382883.5340425316</v>
      </c>
      <c r="R434" s="890">
        <f t="shared" si="1143"/>
        <v>9975186.6171294618</v>
      </c>
      <c r="S434" s="1078"/>
      <c r="T434" s="1071"/>
      <c r="U434" s="1072"/>
      <c r="V434" s="1072"/>
      <c r="W434" s="890">
        <f t="shared" ref="W434:Z435" si="1144">W38</f>
        <v>21045508</v>
      </c>
      <c r="X434" s="890">
        <f t="shared" si="1144"/>
        <v>6687437.8488280065</v>
      </c>
      <c r="Y434" s="890">
        <f t="shared" si="1144"/>
        <v>4382883.5340425316</v>
      </c>
      <c r="Z434" s="890">
        <f t="shared" si="1144"/>
        <v>9975186.6171294618</v>
      </c>
      <c r="AA434" s="1078"/>
      <c r="AB434" s="1071"/>
      <c r="AC434" s="1072"/>
      <c r="AD434" s="1072"/>
      <c r="AE434" s="890">
        <f t="shared" ref="AE434:AH435" si="1145">AE38</f>
        <v>21045508</v>
      </c>
      <c r="AF434" s="890">
        <f t="shared" si="1145"/>
        <v>6687437.8488280065</v>
      </c>
      <c r="AG434" s="890">
        <f t="shared" si="1145"/>
        <v>4382883.5340425316</v>
      </c>
      <c r="AH434" s="890">
        <f t="shared" si="1145"/>
        <v>9975186.6171294618</v>
      </c>
      <c r="AI434" s="1078"/>
      <c r="AJ434" s="1071"/>
      <c r="AK434" s="1072"/>
      <c r="AL434" s="1072"/>
      <c r="AM434" s="890">
        <f t="shared" ref="AM434:AP435" si="1146">AM38</f>
        <v>21045508</v>
      </c>
      <c r="AN434" s="890">
        <f t="shared" si="1146"/>
        <v>6687437.8488280065</v>
      </c>
      <c r="AO434" s="890">
        <f t="shared" si="1146"/>
        <v>4382883.5340425316</v>
      </c>
      <c r="AP434" s="890">
        <f t="shared" si="1146"/>
        <v>9975186.6171294618</v>
      </c>
      <c r="AQ434" s="1078"/>
      <c r="AR434" s="1071"/>
      <c r="AS434" s="1072"/>
      <c r="AT434" s="1072"/>
      <c r="AU434" s="890">
        <f t="shared" ref="AU434:AX435" si="1147">AU38</f>
        <v>21045508</v>
      </c>
      <c r="AV434" s="890">
        <f t="shared" si="1147"/>
        <v>6687437.8488280065</v>
      </c>
      <c r="AW434" s="890">
        <f t="shared" si="1147"/>
        <v>4382883.5340425316</v>
      </c>
      <c r="AX434" s="890">
        <f t="shared" si="1147"/>
        <v>9975186.6171294618</v>
      </c>
      <c r="AY434" s="1078"/>
      <c r="AZ434" s="1071"/>
      <c r="BA434" s="1072"/>
      <c r="BB434" s="1072"/>
      <c r="BC434" s="890">
        <f t="shared" ref="BC434:BF435" si="1148">BC38</f>
        <v>21045508</v>
      </c>
      <c r="BD434" s="890">
        <f t="shared" si="1148"/>
        <v>6687437.8488280065</v>
      </c>
      <c r="BE434" s="890">
        <f t="shared" si="1148"/>
        <v>4382883.5340425316</v>
      </c>
      <c r="BF434" s="890">
        <f t="shared" si="1148"/>
        <v>9975186.6171294618</v>
      </c>
      <c r="BG434" s="1078"/>
      <c r="BH434" s="1071"/>
      <c r="BI434" s="1072"/>
      <c r="BJ434" s="1072"/>
      <c r="BK434" s="890">
        <f t="shared" ref="BK434:BN435" si="1149">BK38</f>
        <v>21045508</v>
      </c>
      <c r="BL434" s="890">
        <f t="shared" si="1149"/>
        <v>6687437.8488280065</v>
      </c>
      <c r="BM434" s="890">
        <f t="shared" si="1149"/>
        <v>4382883.5340425316</v>
      </c>
      <c r="BN434" s="890">
        <f t="shared" si="1149"/>
        <v>9975186.6171294618</v>
      </c>
      <c r="BO434" s="1078"/>
      <c r="BP434" s="1071"/>
      <c r="BQ434" s="1072"/>
      <c r="BR434" s="1072"/>
      <c r="BS434" s="890">
        <f t="shared" ref="BS434:BV435" si="1150">BS38</f>
        <v>21045508</v>
      </c>
      <c r="BT434" s="890">
        <f t="shared" si="1150"/>
        <v>6687437.8488280065</v>
      </c>
      <c r="BU434" s="890">
        <f t="shared" si="1150"/>
        <v>4382883.5340425316</v>
      </c>
      <c r="BV434" s="890">
        <f t="shared" si="1150"/>
        <v>9975186.6171294618</v>
      </c>
      <c r="BW434" s="1078"/>
      <c r="BX434" s="1071"/>
      <c r="BY434" s="1072"/>
      <c r="BZ434" s="1072"/>
      <c r="CA434" s="890">
        <f t="shared" ref="CA434:CD435" si="1151">CA38</f>
        <v>21045508</v>
      </c>
      <c r="CB434" s="890">
        <f t="shared" si="1151"/>
        <v>6687437.8488280065</v>
      </c>
      <c r="CC434" s="890">
        <f t="shared" si="1151"/>
        <v>4382883.5340425316</v>
      </c>
      <c r="CD434" s="890">
        <f t="shared" si="1151"/>
        <v>9975186.6171294618</v>
      </c>
      <c r="CE434" s="1078"/>
      <c r="CF434" s="1071"/>
      <c r="CG434" s="1072"/>
      <c r="CH434" s="1072"/>
      <c r="CI434" s="890">
        <f t="shared" ref="CI434:CL435" si="1152">CI38</f>
        <v>21045508</v>
      </c>
      <c r="CJ434" s="890">
        <f t="shared" si="1152"/>
        <v>6687437.8488280065</v>
      </c>
      <c r="CK434" s="890">
        <f t="shared" si="1152"/>
        <v>4382883.5340425316</v>
      </c>
      <c r="CL434" s="890">
        <f t="shared" si="1152"/>
        <v>9975186.6171294618</v>
      </c>
      <c r="CM434" s="1078"/>
      <c r="CN434" s="1071"/>
      <c r="CO434" s="1072"/>
      <c r="CP434" s="1072"/>
      <c r="CQ434" s="890">
        <f t="shared" ref="CQ434:CT435" si="1153">CQ38</f>
        <v>21045508</v>
      </c>
      <c r="CR434" s="890">
        <f t="shared" si="1153"/>
        <v>6687437.8488280065</v>
      </c>
      <c r="CS434" s="890">
        <f t="shared" si="1153"/>
        <v>4382883.5340425316</v>
      </c>
      <c r="CT434" s="890">
        <f t="shared" si="1153"/>
        <v>9975186.6171294618</v>
      </c>
      <c r="CU434" s="1078"/>
      <c r="CV434" s="1071"/>
      <c r="CW434" s="1072"/>
      <c r="CX434" s="1072"/>
      <c r="CY434" s="890">
        <f t="shared" ref="CY434:DB435" si="1154">CY38</f>
        <v>21045508</v>
      </c>
      <c r="CZ434" s="890">
        <f t="shared" si="1154"/>
        <v>6687437.8488280065</v>
      </c>
      <c r="DA434" s="890">
        <f t="shared" si="1154"/>
        <v>4382883.5340425316</v>
      </c>
      <c r="DB434" s="890">
        <f t="shared" si="1154"/>
        <v>9975186.6171294618</v>
      </c>
      <c r="DC434" s="1078"/>
      <c r="DD434" s="1071"/>
      <c r="DE434" s="1072"/>
      <c r="DF434" s="1072"/>
      <c r="DG434" s="890">
        <f t="shared" ref="DG434:DJ435" si="1155">DG38</f>
        <v>21045508</v>
      </c>
      <c r="DH434" s="890">
        <f t="shared" si="1155"/>
        <v>6687437.8488280065</v>
      </c>
      <c r="DI434" s="890">
        <f t="shared" si="1155"/>
        <v>4382883.5340425316</v>
      </c>
      <c r="DJ434" s="890">
        <f t="shared" si="1155"/>
        <v>9975186.6171294618</v>
      </c>
      <c r="DK434" s="1078"/>
      <c r="DL434" s="1071"/>
      <c r="DM434" s="1072"/>
      <c r="DN434" s="1072"/>
      <c r="DO434" s="890">
        <f t="shared" ref="DO434:DR435" si="1156">DO38</f>
        <v>21045508</v>
      </c>
      <c r="DP434" s="890">
        <f t="shared" si="1156"/>
        <v>6687437.8488280065</v>
      </c>
      <c r="DQ434" s="890">
        <f t="shared" si="1156"/>
        <v>4382883.5340425316</v>
      </c>
      <c r="DR434" s="890">
        <f t="shared" si="1156"/>
        <v>9975186.6171294618</v>
      </c>
      <c r="DS434" s="1078"/>
      <c r="DT434" s="1071"/>
      <c r="DU434" s="1072"/>
      <c r="DV434" s="1072"/>
      <c r="DW434" s="890">
        <f t="shared" ref="DW434:DZ435" si="1157">DW38</f>
        <v>21045508</v>
      </c>
      <c r="DX434" s="890">
        <f t="shared" si="1157"/>
        <v>6687437.8488280065</v>
      </c>
      <c r="DY434" s="890">
        <f t="shared" si="1157"/>
        <v>4382883.5340425316</v>
      </c>
      <c r="DZ434" s="890">
        <f t="shared" si="1157"/>
        <v>9975186.6171294618</v>
      </c>
      <c r="EA434" s="1078"/>
      <c r="EB434" s="1071"/>
      <c r="EC434" s="1072"/>
      <c r="ED434" s="1072"/>
      <c r="EE434" s="890">
        <f t="shared" ref="EE434:EH435" si="1158">EE38</f>
        <v>21045508</v>
      </c>
      <c r="EF434" s="890">
        <f t="shared" si="1158"/>
        <v>6687437.8488280065</v>
      </c>
      <c r="EG434" s="890">
        <f t="shared" si="1158"/>
        <v>4382883.5340425316</v>
      </c>
      <c r="EH434" s="890">
        <f t="shared" si="1158"/>
        <v>9975186.6171294618</v>
      </c>
      <c r="EI434" s="1078"/>
      <c r="EJ434" s="1071"/>
      <c r="EK434" s="1072"/>
      <c r="EL434" s="1072"/>
      <c r="EM434" s="890">
        <f t="shared" ref="EM434:EP435" si="1159">EM38</f>
        <v>21045508</v>
      </c>
      <c r="EN434" s="890">
        <f t="shared" si="1159"/>
        <v>6687437.8488280065</v>
      </c>
      <c r="EO434" s="890">
        <f t="shared" si="1159"/>
        <v>4382883.5340425316</v>
      </c>
      <c r="EP434" s="890">
        <f t="shared" si="1159"/>
        <v>9975186.6171294618</v>
      </c>
      <c r="EQ434" s="1078"/>
      <c r="ER434" s="1071"/>
      <c r="ES434" s="1072"/>
      <c r="ET434" s="1072"/>
      <c r="EU434" s="890">
        <f t="shared" ref="EU434:EX435" si="1160">EU38</f>
        <v>21045508</v>
      </c>
      <c r="EV434" s="890">
        <f t="shared" si="1160"/>
        <v>6687437.8488280065</v>
      </c>
      <c r="EW434" s="890">
        <f t="shared" si="1160"/>
        <v>4382883.5340425316</v>
      </c>
      <c r="EX434" s="890">
        <f t="shared" si="1160"/>
        <v>9975186.6171294618</v>
      </c>
      <c r="EY434" s="1078"/>
      <c r="EZ434" s="1071"/>
      <c r="FA434" s="1072"/>
      <c r="FB434" s="1072"/>
      <c r="FC434" s="890">
        <f t="shared" ref="FC434:FF435" si="1161">FC38</f>
        <v>21045508</v>
      </c>
      <c r="FD434" s="890">
        <f t="shared" si="1161"/>
        <v>6687437.8488280065</v>
      </c>
      <c r="FE434" s="890">
        <f t="shared" si="1161"/>
        <v>4382883.5340425316</v>
      </c>
      <c r="FF434" s="890">
        <f t="shared" si="1161"/>
        <v>9975186.6171294618</v>
      </c>
      <c r="FG434" s="1078"/>
      <c r="FH434" s="1071"/>
      <c r="FI434" s="1072"/>
      <c r="FJ434" s="1072"/>
      <c r="FK434" s="890">
        <f t="shared" ref="FK434:FN435" si="1162">FK38</f>
        <v>21045508</v>
      </c>
      <c r="FL434" s="890">
        <f t="shared" si="1162"/>
        <v>6687437.8488280065</v>
      </c>
      <c r="FM434" s="890">
        <f t="shared" si="1162"/>
        <v>4382883.5340425316</v>
      </c>
      <c r="FN434" s="890">
        <f t="shared" si="1162"/>
        <v>9975186.6171294618</v>
      </c>
      <c r="FO434" s="1078"/>
    </row>
    <row r="435" spans="2:171">
      <c r="B435" s="108"/>
      <c r="C435" s="108" t="s">
        <v>127</v>
      </c>
      <c r="D435" s="1071"/>
      <c r="E435" s="904" t="str">
        <f>E39</f>
        <v>LABOR</v>
      </c>
      <c r="G435" s="890">
        <f t="shared" si="1142"/>
        <v>3976622</v>
      </c>
      <c r="H435" s="890">
        <f t="shared" si="1142"/>
        <v>1455724.5705582532</v>
      </c>
      <c r="I435" s="890">
        <f t="shared" si="1142"/>
        <v>0</v>
      </c>
      <c r="J435" s="890">
        <f t="shared" si="1142"/>
        <v>2520897.4294417468</v>
      </c>
      <c r="K435" s="1073"/>
      <c r="L435" s="1071"/>
      <c r="M435" s="1072"/>
      <c r="N435" s="1072"/>
      <c r="O435" s="890">
        <f t="shared" si="1143"/>
        <v>3976622</v>
      </c>
      <c r="P435" s="890">
        <f t="shared" si="1143"/>
        <v>1455724.5705582532</v>
      </c>
      <c r="Q435" s="890">
        <f t="shared" si="1143"/>
        <v>305059.74741504656</v>
      </c>
      <c r="R435" s="890">
        <f t="shared" si="1143"/>
        <v>2215837.6820267001</v>
      </c>
      <c r="S435" s="1073"/>
      <c r="T435" s="1071"/>
      <c r="U435" s="1072"/>
      <c r="V435" s="1072"/>
      <c r="W435" s="890">
        <f t="shared" si="1144"/>
        <v>3976622</v>
      </c>
      <c r="X435" s="890">
        <f t="shared" si="1144"/>
        <v>1455724.5705582532</v>
      </c>
      <c r="Y435" s="890">
        <f t="shared" si="1144"/>
        <v>305059.74741504656</v>
      </c>
      <c r="Z435" s="890">
        <f t="shared" si="1144"/>
        <v>2215837.6820267001</v>
      </c>
      <c r="AA435" s="1073"/>
      <c r="AB435" s="1071"/>
      <c r="AC435" s="1072"/>
      <c r="AD435" s="1072"/>
      <c r="AE435" s="890">
        <f t="shared" si="1145"/>
        <v>3976622</v>
      </c>
      <c r="AF435" s="890">
        <f t="shared" si="1145"/>
        <v>1455724.5705582532</v>
      </c>
      <c r="AG435" s="890">
        <f t="shared" si="1145"/>
        <v>305059.74741504656</v>
      </c>
      <c r="AH435" s="890">
        <f t="shared" si="1145"/>
        <v>2215837.6820267001</v>
      </c>
      <c r="AI435" s="1073"/>
      <c r="AJ435" s="1071"/>
      <c r="AK435" s="1072"/>
      <c r="AL435" s="1072"/>
      <c r="AM435" s="890">
        <f t="shared" si="1146"/>
        <v>3976622</v>
      </c>
      <c r="AN435" s="890">
        <f t="shared" si="1146"/>
        <v>1455724.5705582532</v>
      </c>
      <c r="AO435" s="890">
        <f t="shared" si="1146"/>
        <v>305059.74741504656</v>
      </c>
      <c r="AP435" s="890">
        <f t="shared" si="1146"/>
        <v>2215837.6820267001</v>
      </c>
      <c r="AQ435" s="1073"/>
      <c r="AR435" s="1071"/>
      <c r="AS435" s="1072"/>
      <c r="AT435" s="1072"/>
      <c r="AU435" s="890">
        <f t="shared" si="1147"/>
        <v>3976622</v>
      </c>
      <c r="AV435" s="890">
        <f t="shared" si="1147"/>
        <v>1455724.5705582532</v>
      </c>
      <c r="AW435" s="890">
        <f t="shared" si="1147"/>
        <v>305059.74741504656</v>
      </c>
      <c r="AX435" s="890">
        <f t="shared" si="1147"/>
        <v>2215837.6820267001</v>
      </c>
      <c r="AY435" s="1073"/>
      <c r="AZ435" s="1071"/>
      <c r="BA435" s="1072"/>
      <c r="BB435" s="1072"/>
      <c r="BC435" s="890">
        <f t="shared" si="1148"/>
        <v>3976622</v>
      </c>
      <c r="BD435" s="890">
        <f t="shared" si="1148"/>
        <v>1455724.5705582532</v>
      </c>
      <c r="BE435" s="890">
        <f t="shared" si="1148"/>
        <v>305059.74741504656</v>
      </c>
      <c r="BF435" s="890">
        <f t="shared" si="1148"/>
        <v>2215837.6820267001</v>
      </c>
      <c r="BG435" s="1073"/>
      <c r="BH435" s="1071"/>
      <c r="BI435" s="1072"/>
      <c r="BJ435" s="1072"/>
      <c r="BK435" s="890">
        <f t="shared" si="1149"/>
        <v>3976622</v>
      </c>
      <c r="BL435" s="890">
        <f t="shared" si="1149"/>
        <v>1455724.5705582532</v>
      </c>
      <c r="BM435" s="890">
        <f t="shared" si="1149"/>
        <v>305059.74741504656</v>
      </c>
      <c r="BN435" s="890">
        <f t="shared" si="1149"/>
        <v>2215837.6820267001</v>
      </c>
      <c r="BO435" s="1073"/>
      <c r="BP435" s="1071"/>
      <c r="BQ435" s="1072"/>
      <c r="BR435" s="1072"/>
      <c r="BS435" s="890">
        <f t="shared" si="1150"/>
        <v>3976622</v>
      </c>
      <c r="BT435" s="890">
        <f t="shared" si="1150"/>
        <v>1455724.5705582532</v>
      </c>
      <c r="BU435" s="890">
        <f t="shared" si="1150"/>
        <v>305059.74741504656</v>
      </c>
      <c r="BV435" s="890">
        <f t="shared" si="1150"/>
        <v>2215837.6820267001</v>
      </c>
      <c r="BW435" s="1073"/>
      <c r="BX435" s="1071"/>
      <c r="BY435" s="1072"/>
      <c r="BZ435" s="1072"/>
      <c r="CA435" s="890">
        <f t="shared" si="1151"/>
        <v>3976622</v>
      </c>
      <c r="CB435" s="890">
        <f t="shared" si="1151"/>
        <v>1455724.5705582532</v>
      </c>
      <c r="CC435" s="890">
        <f t="shared" si="1151"/>
        <v>305059.74741504656</v>
      </c>
      <c r="CD435" s="890">
        <f t="shared" si="1151"/>
        <v>2215837.6820267001</v>
      </c>
      <c r="CE435" s="1073"/>
      <c r="CF435" s="1071"/>
      <c r="CG435" s="1072"/>
      <c r="CH435" s="1072"/>
      <c r="CI435" s="890">
        <f t="shared" si="1152"/>
        <v>3976622</v>
      </c>
      <c r="CJ435" s="890">
        <f t="shared" si="1152"/>
        <v>1455724.5705582532</v>
      </c>
      <c r="CK435" s="890">
        <f t="shared" si="1152"/>
        <v>305059.74741504656</v>
      </c>
      <c r="CL435" s="890">
        <f t="shared" si="1152"/>
        <v>2215837.6820267001</v>
      </c>
      <c r="CM435" s="1073"/>
      <c r="CN435" s="1071"/>
      <c r="CO435" s="1072"/>
      <c r="CP435" s="1072"/>
      <c r="CQ435" s="890">
        <f t="shared" si="1153"/>
        <v>3976622</v>
      </c>
      <c r="CR435" s="890">
        <f t="shared" si="1153"/>
        <v>1455724.5705582532</v>
      </c>
      <c r="CS435" s="890">
        <f t="shared" si="1153"/>
        <v>305059.74741504656</v>
      </c>
      <c r="CT435" s="890">
        <f t="shared" si="1153"/>
        <v>2215837.6820267001</v>
      </c>
      <c r="CU435" s="1073"/>
      <c r="CV435" s="1071"/>
      <c r="CW435" s="1072"/>
      <c r="CX435" s="1072"/>
      <c r="CY435" s="890">
        <f t="shared" si="1154"/>
        <v>3976622</v>
      </c>
      <c r="CZ435" s="890">
        <f t="shared" si="1154"/>
        <v>1455724.5705582532</v>
      </c>
      <c r="DA435" s="890">
        <f t="shared" si="1154"/>
        <v>305059.74741504656</v>
      </c>
      <c r="DB435" s="890">
        <f t="shared" si="1154"/>
        <v>2215837.6820267001</v>
      </c>
      <c r="DC435" s="1073"/>
      <c r="DD435" s="1071"/>
      <c r="DE435" s="1072"/>
      <c r="DF435" s="1072"/>
      <c r="DG435" s="890">
        <f t="shared" si="1155"/>
        <v>3976622</v>
      </c>
      <c r="DH435" s="890">
        <f t="shared" si="1155"/>
        <v>1455724.5705582532</v>
      </c>
      <c r="DI435" s="890">
        <f t="shared" si="1155"/>
        <v>305059.74741504656</v>
      </c>
      <c r="DJ435" s="890">
        <f t="shared" si="1155"/>
        <v>2215837.6820267001</v>
      </c>
      <c r="DK435" s="1073"/>
      <c r="DL435" s="1071"/>
      <c r="DM435" s="1072"/>
      <c r="DN435" s="1072"/>
      <c r="DO435" s="890">
        <f t="shared" si="1156"/>
        <v>3976622</v>
      </c>
      <c r="DP435" s="890">
        <f t="shared" si="1156"/>
        <v>1455724.5705582532</v>
      </c>
      <c r="DQ435" s="890">
        <f t="shared" si="1156"/>
        <v>305059.74741504656</v>
      </c>
      <c r="DR435" s="890">
        <f t="shared" si="1156"/>
        <v>2215837.6820267001</v>
      </c>
      <c r="DS435" s="1073"/>
      <c r="DT435" s="1071"/>
      <c r="DU435" s="1072"/>
      <c r="DV435" s="1072"/>
      <c r="DW435" s="890">
        <f t="shared" si="1157"/>
        <v>3976622</v>
      </c>
      <c r="DX435" s="890">
        <f t="shared" si="1157"/>
        <v>1455724.5705582532</v>
      </c>
      <c r="DY435" s="890">
        <f t="shared" si="1157"/>
        <v>305059.74741504656</v>
      </c>
      <c r="DZ435" s="890">
        <f t="shared" si="1157"/>
        <v>2215837.6820267001</v>
      </c>
      <c r="EA435" s="1073"/>
      <c r="EB435" s="1071"/>
      <c r="EC435" s="1072"/>
      <c r="ED435" s="1072"/>
      <c r="EE435" s="890">
        <f t="shared" si="1158"/>
        <v>3976622</v>
      </c>
      <c r="EF435" s="890">
        <f t="shared" si="1158"/>
        <v>1455724.5705582532</v>
      </c>
      <c r="EG435" s="890">
        <f t="shared" si="1158"/>
        <v>305059.74741504656</v>
      </c>
      <c r="EH435" s="890">
        <f t="shared" si="1158"/>
        <v>2215837.6820267001</v>
      </c>
      <c r="EI435" s="1073"/>
      <c r="EJ435" s="1071"/>
      <c r="EK435" s="1072"/>
      <c r="EL435" s="1072"/>
      <c r="EM435" s="890">
        <f t="shared" si="1159"/>
        <v>3976622</v>
      </c>
      <c r="EN435" s="890">
        <f t="shared" si="1159"/>
        <v>1455724.5705582532</v>
      </c>
      <c r="EO435" s="890">
        <f t="shared" si="1159"/>
        <v>305059.74741504656</v>
      </c>
      <c r="EP435" s="890">
        <f t="shared" si="1159"/>
        <v>2215837.6820267001</v>
      </c>
      <c r="EQ435" s="1073"/>
      <c r="ER435" s="1071"/>
      <c r="ES435" s="1072"/>
      <c r="ET435" s="1072"/>
      <c r="EU435" s="890">
        <f t="shared" si="1160"/>
        <v>3976622</v>
      </c>
      <c r="EV435" s="890">
        <f t="shared" si="1160"/>
        <v>1455724.5705582532</v>
      </c>
      <c r="EW435" s="890">
        <f t="shared" si="1160"/>
        <v>305059.74741504656</v>
      </c>
      <c r="EX435" s="890">
        <f t="shared" si="1160"/>
        <v>2215837.6820267001</v>
      </c>
      <c r="EY435" s="1073"/>
      <c r="EZ435" s="1071"/>
      <c r="FA435" s="1072"/>
      <c r="FB435" s="1072"/>
      <c r="FC435" s="890">
        <f t="shared" si="1161"/>
        <v>3976622</v>
      </c>
      <c r="FD435" s="890">
        <f t="shared" si="1161"/>
        <v>1455724.5705582532</v>
      </c>
      <c r="FE435" s="890">
        <f t="shared" si="1161"/>
        <v>305059.74741504656</v>
      </c>
      <c r="FF435" s="890">
        <f t="shared" si="1161"/>
        <v>2215837.6820267001</v>
      </c>
      <c r="FG435" s="1073"/>
      <c r="FH435" s="1071"/>
      <c r="FI435" s="1072"/>
      <c r="FJ435" s="1072"/>
      <c r="FK435" s="890">
        <f t="shared" si="1162"/>
        <v>3976622</v>
      </c>
      <c r="FL435" s="890">
        <f t="shared" si="1162"/>
        <v>1455724.5705582532</v>
      </c>
      <c r="FM435" s="890">
        <f t="shared" si="1162"/>
        <v>305059.74741504656</v>
      </c>
      <c r="FN435" s="890">
        <f t="shared" si="1162"/>
        <v>2215837.6820267001</v>
      </c>
      <c r="FO435" s="1073"/>
    </row>
    <row r="436" spans="2:171">
      <c r="B436" s="108"/>
      <c r="C436" s="108" t="s">
        <v>133</v>
      </c>
      <c r="D436" s="1071"/>
      <c r="E436" s="904" t="str">
        <f>E45</f>
        <v>PTD</v>
      </c>
      <c r="G436" s="890">
        <f t="shared" ref="G436:J437" si="1163">G45</f>
        <v>42279271</v>
      </c>
      <c r="H436" s="890">
        <f t="shared" si="1163"/>
        <v>13434695.760551672</v>
      </c>
      <c r="I436" s="890">
        <f t="shared" si="1163"/>
        <v>0</v>
      </c>
      <c r="J436" s="890">
        <f t="shared" si="1163"/>
        <v>28844575.239448324</v>
      </c>
      <c r="K436" s="1073"/>
      <c r="L436" s="1071"/>
      <c r="M436" s="1072"/>
      <c r="N436" s="1072"/>
      <c r="O436" s="890">
        <f t="shared" ref="O436:R437" si="1164">O45</f>
        <v>42279271</v>
      </c>
      <c r="P436" s="890">
        <f t="shared" si="1164"/>
        <v>13434695.760551672</v>
      </c>
      <c r="Q436" s="890">
        <f t="shared" si="1164"/>
        <v>8804972.5716871228</v>
      </c>
      <c r="R436" s="890">
        <f t="shared" si="1164"/>
        <v>20039602.667761203</v>
      </c>
      <c r="S436" s="1073"/>
      <c r="T436" s="1071"/>
      <c r="U436" s="1072"/>
      <c r="V436" s="1072"/>
      <c r="W436" s="890">
        <f t="shared" ref="W436:Z437" si="1165">W45</f>
        <v>42279271</v>
      </c>
      <c r="X436" s="890">
        <f t="shared" si="1165"/>
        <v>13434695.760551672</v>
      </c>
      <c r="Y436" s="890">
        <f t="shared" si="1165"/>
        <v>8804972.5716871228</v>
      </c>
      <c r="Z436" s="890">
        <f t="shared" si="1165"/>
        <v>20039602.667761203</v>
      </c>
      <c r="AA436" s="1073"/>
      <c r="AB436" s="1071"/>
      <c r="AC436" s="1072"/>
      <c r="AD436" s="1072"/>
      <c r="AE436" s="890">
        <f t="shared" ref="AE436:AH437" si="1166">AE45</f>
        <v>42279271</v>
      </c>
      <c r="AF436" s="890">
        <f t="shared" si="1166"/>
        <v>13434695.760551672</v>
      </c>
      <c r="AG436" s="890">
        <f t="shared" si="1166"/>
        <v>8804972.5716871228</v>
      </c>
      <c r="AH436" s="890">
        <f t="shared" si="1166"/>
        <v>20039602.667761203</v>
      </c>
      <c r="AI436" s="1073"/>
      <c r="AJ436" s="1071"/>
      <c r="AK436" s="1072"/>
      <c r="AL436" s="1072"/>
      <c r="AM436" s="890">
        <f t="shared" ref="AM436:AP437" si="1167">AM45</f>
        <v>42279271</v>
      </c>
      <c r="AN436" s="890">
        <f t="shared" si="1167"/>
        <v>13434695.760551672</v>
      </c>
      <c r="AO436" s="890">
        <f t="shared" si="1167"/>
        <v>8804972.5716871228</v>
      </c>
      <c r="AP436" s="890">
        <f t="shared" si="1167"/>
        <v>20039602.667761203</v>
      </c>
      <c r="AQ436" s="1073"/>
      <c r="AR436" s="1071"/>
      <c r="AS436" s="1072"/>
      <c r="AT436" s="1072"/>
      <c r="AU436" s="890">
        <f t="shared" ref="AU436:AX437" si="1168">AU45</f>
        <v>42279271</v>
      </c>
      <c r="AV436" s="890">
        <f t="shared" si="1168"/>
        <v>13434695.760551672</v>
      </c>
      <c r="AW436" s="890">
        <f t="shared" si="1168"/>
        <v>8804972.5716871228</v>
      </c>
      <c r="AX436" s="890">
        <f t="shared" si="1168"/>
        <v>20039602.667761203</v>
      </c>
      <c r="AY436" s="1073"/>
      <c r="AZ436" s="1071"/>
      <c r="BA436" s="1072"/>
      <c r="BB436" s="1072"/>
      <c r="BC436" s="890">
        <f t="shared" ref="BC436:BF437" si="1169">BC45</f>
        <v>42279271</v>
      </c>
      <c r="BD436" s="890">
        <f t="shared" si="1169"/>
        <v>13434695.760551672</v>
      </c>
      <c r="BE436" s="890">
        <f t="shared" si="1169"/>
        <v>8804972.5716871228</v>
      </c>
      <c r="BF436" s="890">
        <f t="shared" si="1169"/>
        <v>20039602.667761203</v>
      </c>
      <c r="BG436" s="1073"/>
      <c r="BH436" s="1071"/>
      <c r="BI436" s="1072"/>
      <c r="BJ436" s="1072"/>
      <c r="BK436" s="890">
        <f t="shared" ref="BK436:BN437" si="1170">BK45</f>
        <v>42279271</v>
      </c>
      <c r="BL436" s="890">
        <f t="shared" si="1170"/>
        <v>13434695.760551672</v>
      </c>
      <c r="BM436" s="890">
        <f t="shared" si="1170"/>
        <v>8804972.5716871228</v>
      </c>
      <c r="BN436" s="890">
        <f t="shared" si="1170"/>
        <v>20039602.667761203</v>
      </c>
      <c r="BO436" s="1073"/>
      <c r="BP436" s="1071"/>
      <c r="BQ436" s="1072"/>
      <c r="BR436" s="1072"/>
      <c r="BS436" s="890">
        <f t="shared" ref="BS436:BV437" si="1171">BS45</f>
        <v>42279271</v>
      </c>
      <c r="BT436" s="890">
        <f t="shared" si="1171"/>
        <v>13434695.760551672</v>
      </c>
      <c r="BU436" s="890">
        <f t="shared" si="1171"/>
        <v>8804972.5716871228</v>
      </c>
      <c r="BV436" s="890">
        <f t="shared" si="1171"/>
        <v>20039602.667761203</v>
      </c>
      <c r="BW436" s="1073"/>
      <c r="BX436" s="1071"/>
      <c r="BY436" s="1072"/>
      <c r="BZ436" s="1072"/>
      <c r="CA436" s="890">
        <f t="shared" ref="CA436:CD437" si="1172">CA45</f>
        <v>42279271</v>
      </c>
      <c r="CB436" s="890">
        <f t="shared" si="1172"/>
        <v>13434695.760551672</v>
      </c>
      <c r="CC436" s="890">
        <f t="shared" si="1172"/>
        <v>8804972.5716871228</v>
      </c>
      <c r="CD436" s="890">
        <f t="shared" si="1172"/>
        <v>20039602.667761203</v>
      </c>
      <c r="CE436" s="1073"/>
      <c r="CF436" s="1071"/>
      <c r="CG436" s="1072"/>
      <c r="CH436" s="1072"/>
      <c r="CI436" s="890">
        <f t="shared" ref="CI436:CL437" si="1173">CI45</f>
        <v>42279271</v>
      </c>
      <c r="CJ436" s="890">
        <f t="shared" si="1173"/>
        <v>13434695.760551672</v>
      </c>
      <c r="CK436" s="890">
        <f t="shared" si="1173"/>
        <v>8804972.5716871228</v>
      </c>
      <c r="CL436" s="890">
        <f t="shared" si="1173"/>
        <v>20039602.667761203</v>
      </c>
      <c r="CM436" s="1073"/>
      <c r="CN436" s="1071"/>
      <c r="CO436" s="1072"/>
      <c r="CP436" s="1072"/>
      <c r="CQ436" s="890">
        <f t="shared" ref="CQ436:CT437" si="1174">CQ45</f>
        <v>42279271</v>
      </c>
      <c r="CR436" s="890">
        <f t="shared" si="1174"/>
        <v>13434695.760551672</v>
      </c>
      <c r="CS436" s="890">
        <f t="shared" si="1174"/>
        <v>8804972.5716871228</v>
      </c>
      <c r="CT436" s="890">
        <f t="shared" si="1174"/>
        <v>20039602.667761203</v>
      </c>
      <c r="CU436" s="1073"/>
      <c r="CV436" s="1071"/>
      <c r="CW436" s="1072"/>
      <c r="CX436" s="1072"/>
      <c r="CY436" s="890">
        <f t="shared" ref="CY436:DB437" si="1175">CY45</f>
        <v>42279271</v>
      </c>
      <c r="CZ436" s="890">
        <f t="shared" si="1175"/>
        <v>13434695.760551672</v>
      </c>
      <c r="DA436" s="890">
        <f t="shared" si="1175"/>
        <v>8804972.5716871228</v>
      </c>
      <c r="DB436" s="890">
        <f t="shared" si="1175"/>
        <v>20039602.667761203</v>
      </c>
      <c r="DC436" s="1073"/>
      <c r="DD436" s="1071"/>
      <c r="DE436" s="1072"/>
      <c r="DF436" s="1072"/>
      <c r="DG436" s="890">
        <f t="shared" ref="DG436:DJ437" si="1176">DG45</f>
        <v>42279271</v>
      </c>
      <c r="DH436" s="890">
        <f t="shared" si="1176"/>
        <v>13434695.760551672</v>
      </c>
      <c r="DI436" s="890">
        <f t="shared" si="1176"/>
        <v>8804972.5716871228</v>
      </c>
      <c r="DJ436" s="890">
        <f t="shared" si="1176"/>
        <v>20039602.667761203</v>
      </c>
      <c r="DK436" s="1073"/>
      <c r="DL436" s="1071"/>
      <c r="DM436" s="1072"/>
      <c r="DN436" s="1072"/>
      <c r="DO436" s="890">
        <f t="shared" ref="DO436:DR437" si="1177">DO45</f>
        <v>42279271</v>
      </c>
      <c r="DP436" s="890">
        <f t="shared" si="1177"/>
        <v>13434695.760551672</v>
      </c>
      <c r="DQ436" s="890">
        <f t="shared" si="1177"/>
        <v>8804972.5716871228</v>
      </c>
      <c r="DR436" s="890">
        <f t="shared" si="1177"/>
        <v>20039602.667761203</v>
      </c>
      <c r="DS436" s="1073"/>
      <c r="DT436" s="1071"/>
      <c r="DU436" s="1072"/>
      <c r="DV436" s="1072"/>
      <c r="DW436" s="890">
        <f t="shared" ref="DW436:DZ437" si="1178">DW45</f>
        <v>42279271</v>
      </c>
      <c r="DX436" s="890">
        <f t="shared" si="1178"/>
        <v>13434695.760551672</v>
      </c>
      <c r="DY436" s="890">
        <f t="shared" si="1178"/>
        <v>8804972.5716871228</v>
      </c>
      <c r="DZ436" s="890">
        <f t="shared" si="1178"/>
        <v>20039602.667761203</v>
      </c>
      <c r="EA436" s="1073"/>
      <c r="EB436" s="1071"/>
      <c r="EC436" s="1072"/>
      <c r="ED436" s="1072"/>
      <c r="EE436" s="890">
        <f t="shared" ref="EE436:EH437" si="1179">EE45</f>
        <v>42279271</v>
      </c>
      <c r="EF436" s="890">
        <f t="shared" si="1179"/>
        <v>13434695.760551672</v>
      </c>
      <c r="EG436" s="890">
        <f t="shared" si="1179"/>
        <v>8804972.5716871228</v>
      </c>
      <c r="EH436" s="890">
        <f t="shared" si="1179"/>
        <v>20039602.667761203</v>
      </c>
      <c r="EI436" s="1073"/>
      <c r="EJ436" s="1071"/>
      <c r="EK436" s="1072"/>
      <c r="EL436" s="1072"/>
      <c r="EM436" s="890">
        <f t="shared" ref="EM436:EP437" si="1180">EM45</f>
        <v>42279271</v>
      </c>
      <c r="EN436" s="890">
        <f t="shared" si="1180"/>
        <v>13434695.760551672</v>
      </c>
      <c r="EO436" s="890">
        <f t="shared" si="1180"/>
        <v>8804972.5716871228</v>
      </c>
      <c r="EP436" s="890">
        <f t="shared" si="1180"/>
        <v>20039602.667761203</v>
      </c>
      <c r="EQ436" s="1073"/>
      <c r="ER436" s="1071"/>
      <c r="ES436" s="1072"/>
      <c r="ET436" s="1072"/>
      <c r="EU436" s="890">
        <f t="shared" ref="EU436:EX437" si="1181">EU45</f>
        <v>42279271</v>
      </c>
      <c r="EV436" s="890">
        <f t="shared" si="1181"/>
        <v>13434695.760551672</v>
      </c>
      <c r="EW436" s="890">
        <f t="shared" si="1181"/>
        <v>8804972.5716871228</v>
      </c>
      <c r="EX436" s="890">
        <f t="shared" si="1181"/>
        <v>20039602.667761203</v>
      </c>
      <c r="EY436" s="1073"/>
      <c r="EZ436" s="1071"/>
      <c r="FA436" s="1072"/>
      <c r="FB436" s="1072"/>
      <c r="FC436" s="890">
        <f t="shared" ref="FC436:FF437" si="1182">FC45</f>
        <v>42279271</v>
      </c>
      <c r="FD436" s="890">
        <f t="shared" si="1182"/>
        <v>13434695.760551672</v>
      </c>
      <c r="FE436" s="890">
        <f t="shared" si="1182"/>
        <v>8804972.5716871228</v>
      </c>
      <c r="FF436" s="890">
        <f t="shared" si="1182"/>
        <v>20039602.667761203</v>
      </c>
      <c r="FG436" s="1073"/>
      <c r="FH436" s="1071"/>
      <c r="FI436" s="1072"/>
      <c r="FJ436" s="1072"/>
      <c r="FK436" s="890">
        <f t="shared" ref="FK436:FN437" si="1183">FK45</f>
        <v>42279271</v>
      </c>
      <c r="FL436" s="890">
        <f t="shared" si="1183"/>
        <v>13434695.760551672</v>
      </c>
      <c r="FM436" s="890">
        <f t="shared" si="1183"/>
        <v>8804972.5716871228</v>
      </c>
      <c r="FN436" s="890">
        <f t="shared" si="1183"/>
        <v>20039602.667761203</v>
      </c>
      <c r="FO436" s="1073"/>
    </row>
    <row r="437" spans="2:171">
      <c r="B437" s="108"/>
      <c r="C437" s="108" t="s">
        <v>134</v>
      </c>
      <c r="D437" s="1071"/>
      <c r="E437" s="904" t="str">
        <f>E46</f>
        <v>PTD</v>
      </c>
      <c r="G437" s="890">
        <f t="shared" si="1163"/>
        <v>258773</v>
      </c>
      <c r="H437" s="890">
        <f t="shared" si="1163"/>
        <v>82227.920297992794</v>
      </c>
      <c r="I437" s="890">
        <f t="shared" si="1163"/>
        <v>0</v>
      </c>
      <c r="J437" s="890">
        <f t="shared" si="1163"/>
        <v>176545.07970200721</v>
      </c>
      <c r="K437" s="1078"/>
      <c r="L437" s="1071"/>
      <c r="M437" s="1072"/>
      <c r="N437" s="1072"/>
      <c r="O437" s="890">
        <f t="shared" si="1164"/>
        <v>258773</v>
      </c>
      <c r="P437" s="890">
        <f t="shared" si="1164"/>
        <v>82227.920297992794</v>
      </c>
      <c r="Q437" s="890">
        <f t="shared" si="1164"/>
        <v>53891.401469367622</v>
      </c>
      <c r="R437" s="890">
        <f t="shared" si="1164"/>
        <v>122653.67823263959</v>
      </c>
      <c r="S437" s="1078"/>
      <c r="T437" s="1071"/>
      <c r="U437" s="1072"/>
      <c r="V437" s="1072"/>
      <c r="W437" s="890">
        <f t="shared" si="1165"/>
        <v>258773</v>
      </c>
      <c r="X437" s="890">
        <f t="shared" si="1165"/>
        <v>82227.920297992794</v>
      </c>
      <c r="Y437" s="890">
        <f t="shared" si="1165"/>
        <v>53891.401469367622</v>
      </c>
      <c r="Z437" s="890">
        <f t="shared" si="1165"/>
        <v>122653.67823263959</v>
      </c>
      <c r="AA437" s="1078"/>
      <c r="AB437" s="1071"/>
      <c r="AC437" s="1072"/>
      <c r="AD437" s="1072"/>
      <c r="AE437" s="890">
        <f t="shared" si="1166"/>
        <v>258773</v>
      </c>
      <c r="AF437" s="890">
        <f t="shared" si="1166"/>
        <v>82227.920297992794</v>
      </c>
      <c r="AG437" s="890">
        <f t="shared" si="1166"/>
        <v>53891.401469367622</v>
      </c>
      <c r="AH437" s="890">
        <f t="shared" si="1166"/>
        <v>122653.67823263959</v>
      </c>
      <c r="AI437" s="1078"/>
      <c r="AJ437" s="1071"/>
      <c r="AK437" s="1072"/>
      <c r="AL437" s="1072"/>
      <c r="AM437" s="890">
        <f t="shared" si="1167"/>
        <v>258773</v>
      </c>
      <c r="AN437" s="890">
        <f t="shared" si="1167"/>
        <v>82227.920297992794</v>
      </c>
      <c r="AO437" s="890">
        <f t="shared" si="1167"/>
        <v>53891.401469367622</v>
      </c>
      <c r="AP437" s="890">
        <f t="shared" si="1167"/>
        <v>122653.67823263959</v>
      </c>
      <c r="AQ437" s="1078"/>
      <c r="AR437" s="1071"/>
      <c r="AS437" s="1072"/>
      <c r="AT437" s="1072"/>
      <c r="AU437" s="890">
        <f t="shared" si="1168"/>
        <v>258773</v>
      </c>
      <c r="AV437" s="890">
        <f t="shared" si="1168"/>
        <v>82227.920297992794</v>
      </c>
      <c r="AW437" s="890">
        <f t="shared" si="1168"/>
        <v>53891.401469367622</v>
      </c>
      <c r="AX437" s="890">
        <f t="shared" si="1168"/>
        <v>122653.67823263959</v>
      </c>
      <c r="AY437" s="1078"/>
      <c r="AZ437" s="1071"/>
      <c r="BA437" s="1072"/>
      <c r="BB437" s="1072"/>
      <c r="BC437" s="890">
        <f t="shared" si="1169"/>
        <v>258773</v>
      </c>
      <c r="BD437" s="890">
        <f t="shared" si="1169"/>
        <v>82227.920297992794</v>
      </c>
      <c r="BE437" s="890">
        <f t="shared" si="1169"/>
        <v>53891.401469367622</v>
      </c>
      <c r="BF437" s="890">
        <f t="shared" si="1169"/>
        <v>122653.67823263959</v>
      </c>
      <c r="BG437" s="1078"/>
      <c r="BH437" s="1071"/>
      <c r="BI437" s="1072"/>
      <c r="BJ437" s="1072"/>
      <c r="BK437" s="890">
        <f t="shared" si="1170"/>
        <v>258773</v>
      </c>
      <c r="BL437" s="890">
        <f t="shared" si="1170"/>
        <v>82227.920297992794</v>
      </c>
      <c r="BM437" s="890">
        <f t="shared" si="1170"/>
        <v>53891.401469367622</v>
      </c>
      <c r="BN437" s="890">
        <f t="shared" si="1170"/>
        <v>122653.67823263959</v>
      </c>
      <c r="BO437" s="1078"/>
      <c r="BP437" s="1071"/>
      <c r="BQ437" s="1072"/>
      <c r="BR437" s="1072"/>
      <c r="BS437" s="890">
        <f t="shared" si="1171"/>
        <v>258773</v>
      </c>
      <c r="BT437" s="890">
        <f t="shared" si="1171"/>
        <v>82227.920297992794</v>
      </c>
      <c r="BU437" s="890">
        <f t="shared" si="1171"/>
        <v>53891.401469367622</v>
      </c>
      <c r="BV437" s="890">
        <f t="shared" si="1171"/>
        <v>122653.67823263959</v>
      </c>
      <c r="BW437" s="1078"/>
      <c r="BX437" s="1071"/>
      <c r="BY437" s="1072"/>
      <c r="BZ437" s="1072"/>
      <c r="CA437" s="890">
        <f t="shared" si="1172"/>
        <v>258773</v>
      </c>
      <c r="CB437" s="890">
        <f t="shared" si="1172"/>
        <v>82227.920297992794</v>
      </c>
      <c r="CC437" s="890">
        <f t="shared" si="1172"/>
        <v>53891.401469367622</v>
      </c>
      <c r="CD437" s="890">
        <f t="shared" si="1172"/>
        <v>122653.67823263959</v>
      </c>
      <c r="CE437" s="1078"/>
      <c r="CF437" s="1071"/>
      <c r="CG437" s="1072"/>
      <c r="CH437" s="1072"/>
      <c r="CI437" s="890">
        <f t="shared" si="1173"/>
        <v>258773</v>
      </c>
      <c r="CJ437" s="890">
        <f t="shared" si="1173"/>
        <v>82227.920297992794</v>
      </c>
      <c r="CK437" s="890">
        <f t="shared" si="1173"/>
        <v>53891.401469367622</v>
      </c>
      <c r="CL437" s="890">
        <f t="shared" si="1173"/>
        <v>122653.67823263959</v>
      </c>
      <c r="CM437" s="1078"/>
      <c r="CN437" s="1071"/>
      <c r="CO437" s="1072"/>
      <c r="CP437" s="1072"/>
      <c r="CQ437" s="890">
        <f t="shared" si="1174"/>
        <v>258773</v>
      </c>
      <c r="CR437" s="890">
        <f t="shared" si="1174"/>
        <v>82227.920297992794</v>
      </c>
      <c r="CS437" s="890">
        <f t="shared" si="1174"/>
        <v>53891.401469367622</v>
      </c>
      <c r="CT437" s="890">
        <f t="shared" si="1174"/>
        <v>122653.67823263959</v>
      </c>
      <c r="CU437" s="1078"/>
      <c r="CV437" s="1071"/>
      <c r="CW437" s="1072"/>
      <c r="CX437" s="1072"/>
      <c r="CY437" s="890">
        <f t="shared" si="1175"/>
        <v>258773</v>
      </c>
      <c r="CZ437" s="890">
        <f t="shared" si="1175"/>
        <v>82227.920297992794</v>
      </c>
      <c r="DA437" s="890">
        <f t="shared" si="1175"/>
        <v>53891.401469367622</v>
      </c>
      <c r="DB437" s="890">
        <f t="shared" si="1175"/>
        <v>122653.67823263959</v>
      </c>
      <c r="DC437" s="1078"/>
      <c r="DD437" s="1071"/>
      <c r="DE437" s="1072"/>
      <c r="DF437" s="1072"/>
      <c r="DG437" s="890">
        <f t="shared" si="1176"/>
        <v>258773</v>
      </c>
      <c r="DH437" s="890">
        <f t="shared" si="1176"/>
        <v>82227.920297992794</v>
      </c>
      <c r="DI437" s="890">
        <f t="shared" si="1176"/>
        <v>53891.401469367622</v>
      </c>
      <c r="DJ437" s="890">
        <f t="shared" si="1176"/>
        <v>122653.67823263959</v>
      </c>
      <c r="DK437" s="1078"/>
      <c r="DL437" s="1071"/>
      <c r="DM437" s="1072"/>
      <c r="DN437" s="1072"/>
      <c r="DO437" s="890">
        <f t="shared" si="1177"/>
        <v>258773</v>
      </c>
      <c r="DP437" s="890">
        <f t="shared" si="1177"/>
        <v>82227.920297992794</v>
      </c>
      <c r="DQ437" s="890">
        <f t="shared" si="1177"/>
        <v>53891.401469367622</v>
      </c>
      <c r="DR437" s="890">
        <f t="shared" si="1177"/>
        <v>122653.67823263959</v>
      </c>
      <c r="DS437" s="1078"/>
      <c r="DT437" s="1071"/>
      <c r="DU437" s="1072"/>
      <c r="DV437" s="1072"/>
      <c r="DW437" s="890">
        <f t="shared" si="1178"/>
        <v>258773</v>
      </c>
      <c r="DX437" s="890">
        <f t="shared" si="1178"/>
        <v>82227.920297992794</v>
      </c>
      <c r="DY437" s="890">
        <f t="shared" si="1178"/>
        <v>53891.401469367622</v>
      </c>
      <c r="DZ437" s="890">
        <f t="shared" si="1178"/>
        <v>122653.67823263959</v>
      </c>
      <c r="EA437" s="1078"/>
      <c r="EB437" s="1071"/>
      <c r="EC437" s="1072"/>
      <c r="ED437" s="1072"/>
      <c r="EE437" s="890">
        <f t="shared" si="1179"/>
        <v>258773</v>
      </c>
      <c r="EF437" s="890">
        <f t="shared" si="1179"/>
        <v>82227.920297992794</v>
      </c>
      <c r="EG437" s="890">
        <f t="shared" si="1179"/>
        <v>53891.401469367622</v>
      </c>
      <c r="EH437" s="890">
        <f t="shared" si="1179"/>
        <v>122653.67823263959</v>
      </c>
      <c r="EI437" s="1078"/>
      <c r="EJ437" s="1071"/>
      <c r="EK437" s="1072"/>
      <c r="EL437" s="1072"/>
      <c r="EM437" s="890">
        <f t="shared" si="1180"/>
        <v>258773</v>
      </c>
      <c r="EN437" s="890">
        <f t="shared" si="1180"/>
        <v>82227.920297992794</v>
      </c>
      <c r="EO437" s="890">
        <f t="shared" si="1180"/>
        <v>53891.401469367622</v>
      </c>
      <c r="EP437" s="890">
        <f t="shared" si="1180"/>
        <v>122653.67823263959</v>
      </c>
      <c r="EQ437" s="1078"/>
      <c r="ER437" s="1071"/>
      <c r="ES437" s="1072"/>
      <c r="ET437" s="1072"/>
      <c r="EU437" s="890">
        <f t="shared" si="1181"/>
        <v>258773</v>
      </c>
      <c r="EV437" s="890">
        <f t="shared" si="1181"/>
        <v>82227.920297992794</v>
      </c>
      <c r="EW437" s="890">
        <f t="shared" si="1181"/>
        <v>53891.401469367622</v>
      </c>
      <c r="EX437" s="890">
        <f t="shared" si="1181"/>
        <v>122653.67823263959</v>
      </c>
      <c r="EY437" s="1078"/>
      <c r="EZ437" s="1071"/>
      <c r="FA437" s="1072"/>
      <c r="FB437" s="1072"/>
      <c r="FC437" s="890">
        <f t="shared" si="1182"/>
        <v>258773</v>
      </c>
      <c r="FD437" s="890">
        <f t="shared" si="1182"/>
        <v>82227.920297992794</v>
      </c>
      <c r="FE437" s="890">
        <f t="shared" si="1182"/>
        <v>53891.401469367622</v>
      </c>
      <c r="FF437" s="890">
        <f t="shared" si="1182"/>
        <v>122653.67823263959</v>
      </c>
      <c r="FG437" s="1078"/>
      <c r="FH437" s="1071"/>
      <c r="FI437" s="1072"/>
      <c r="FJ437" s="1072"/>
      <c r="FK437" s="890">
        <f t="shared" si="1183"/>
        <v>258773</v>
      </c>
      <c r="FL437" s="890">
        <f t="shared" si="1183"/>
        <v>82227.920297992794</v>
      </c>
      <c r="FM437" s="890">
        <f t="shared" si="1183"/>
        <v>53891.401469367622</v>
      </c>
      <c r="FN437" s="890">
        <f t="shared" si="1183"/>
        <v>122653.67823263959</v>
      </c>
      <c r="FO437" s="1078"/>
    </row>
    <row r="438" spans="2:171">
      <c r="B438" s="108"/>
      <c r="C438" s="108" t="s">
        <v>527</v>
      </c>
      <c r="D438" s="1071"/>
      <c r="E438" s="124"/>
      <c r="F438" s="1072"/>
      <c r="G438" s="1648">
        <f>SUM(G434:G437)</f>
        <v>67560174</v>
      </c>
      <c r="H438" s="1648">
        <f>SUM(H434:H437)</f>
        <v>21660086.100235924</v>
      </c>
      <c r="I438" s="1648">
        <f>SUM(I434:I437)</f>
        <v>0</v>
      </c>
      <c r="J438" s="1648">
        <f>SUM(J434:J437)</f>
        <v>45900087.899764068</v>
      </c>
      <c r="K438" s="1073"/>
      <c r="L438" s="1071"/>
      <c r="M438" s="1072"/>
      <c r="N438" s="1072"/>
      <c r="O438" s="1648">
        <f>SUM(O434:O437)</f>
        <v>67560174</v>
      </c>
      <c r="P438" s="1648">
        <f>SUM(P434:P437)</f>
        <v>21660086.100235924</v>
      </c>
      <c r="Q438" s="1648">
        <f>SUM(Q434:Q437)</f>
        <v>13546807.25461407</v>
      </c>
      <c r="R438" s="1648">
        <f>SUM(R434:R437)</f>
        <v>32353280.645150006</v>
      </c>
      <c r="S438" s="1073"/>
      <c r="T438" s="1071"/>
      <c r="U438" s="1072"/>
      <c r="V438" s="1072"/>
      <c r="W438" s="1648">
        <f>SUM(W434:W437)</f>
        <v>67560174</v>
      </c>
      <c r="X438" s="1648">
        <f>SUM(X434:X437)</f>
        <v>21660086.100235924</v>
      </c>
      <c r="Y438" s="1648">
        <f>SUM(Y434:Y437)</f>
        <v>13546807.25461407</v>
      </c>
      <c r="Z438" s="1648">
        <f>SUM(Z434:Z437)</f>
        <v>32353280.645150006</v>
      </c>
      <c r="AA438" s="1073"/>
      <c r="AB438" s="1071"/>
      <c r="AC438" s="1072"/>
      <c r="AD438" s="1072"/>
      <c r="AE438" s="1648">
        <f>SUM(AE434:AE437)</f>
        <v>67560174</v>
      </c>
      <c r="AF438" s="1648">
        <f>SUM(AF434:AF437)</f>
        <v>21660086.100235924</v>
      </c>
      <c r="AG438" s="1648">
        <f>SUM(AG434:AG437)</f>
        <v>13546807.25461407</v>
      </c>
      <c r="AH438" s="1648">
        <f>SUM(AH434:AH437)</f>
        <v>32353280.645150006</v>
      </c>
      <c r="AI438" s="1073"/>
      <c r="AJ438" s="1071"/>
      <c r="AK438" s="1072"/>
      <c r="AL438" s="1072"/>
      <c r="AM438" s="1648">
        <f>SUM(AM434:AM437)</f>
        <v>67560174</v>
      </c>
      <c r="AN438" s="1648">
        <f>SUM(AN434:AN437)</f>
        <v>21660086.100235924</v>
      </c>
      <c r="AO438" s="1648">
        <f>SUM(AO434:AO437)</f>
        <v>13546807.25461407</v>
      </c>
      <c r="AP438" s="1648">
        <f>SUM(AP434:AP437)</f>
        <v>32353280.645150006</v>
      </c>
      <c r="AQ438" s="1073"/>
      <c r="AR438" s="1071"/>
      <c r="AS438" s="1072"/>
      <c r="AT438" s="1072"/>
      <c r="AU438" s="1648">
        <f>SUM(AU434:AU437)</f>
        <v>67560174</v>
      </c>
      <c r="AV438" s="1648">
        <f>SUM(AV434:AV437)</f>
        <v>21660086.100235924</v>
      </c>
      <c r="AW438" s="1648">
        <f>SUM(AW434:AW437)</f>
        <v>13546807.25461407</v>
      </c>
      <c r="AX438" s="1648">
        <f>SUM(AX434:AX437)</f>
        <v>32353280.645150006</v>
      </c>
      <c r="AY438" s="1073"/>
      <c r="AZ438" s="1071"/>
      <c r="BA438" s="1072"/>
      <c r="BB438" s="1072"/>
      <c r="BC438" s="1648">
        <f>SUM(BC434:BC437)</f>
        <v>67560174</v>
      </c>
      <c r="BD438" s="1648">
        <f>SUM(BD434:BD437)</f>
        <v>21660086.100235924</v>
      </c>
      <c r="BE438" s="1648">
        <f>SUM(BE434:BE437)</f>
        <v>13546807.25461407</v>
      </c>
      <c r="BF438" s="1648">
        <f>SUM(BF434:BF437)</f>
        <v>32353280.645150006</v>
      </c>
      <c r="BG438" s="1073"/>
      <c r="BH438" s="1071"/>
      <c r="BI438" s="1072"/>
      <c r="BJ438" s="1072"/>
      <c r="BK438" s="1648">
        <f>SUM(BK434:BK437)</f>
        <v>67560174</v>
      </c>
      <c r="BL438" s="1648">
        <f>SUM(BL434:BL437)</f>
        <v>21660086.100235924</v>
      </c>
      <c r="BM438" s="1648">
        <f>SUM(BM434:BM437)</f>
        <v>13546807.25461407</v>
      </c>
      <c r="BN438" s="1648">
        <f>SUM(BN434:BN437)</f>
        <v>32353280.645150006</v>
      </c>
      <c r="BO438" s="1073"/>
      <c r="BP438" s="1071"/>
      <c r="BQ438" s="1072"/>
      <c r="BR438" s="1072"/>
      <c r="BS438" s="1648">
        <f>SUM(BS434:BS437)</f>
        <v>67560174</v>
      </c>
      <c r="BT438" s="1648">
        <f>SUM(BT434:BT437)</f>
        <v>21660086.100235924</v>
      </c>
      <c r="BU438" s="1648">
        <f>SUM(BU434:BU437)</f>
        <v>13546807.25461407</v>
      </c>
      <c r="BV438" s="1648">
        <f>SUM(BV434:BV437)</f>
        <v>32353280.645150006</v>
      </c>
      <c r="BW438" s="1073"/>
      <c r="BX438" s="1071"/>
      <c r="BY438" s="1072"/>
      <c r="BZ438" s="1072"/>
      <c r="CA438" s="1648">
        <f>SUM(CA434:CA437)</f>
        <v>67560174</v>
      </c>
      <c r="CB438" s="1648">
        <f>SUM(CB434:CB437)</f>
        <v>21660086.100235924</v>
      </c>
      <c r="CC438" s="1648">
        <f>SUM(CC434:CC437)</f>
        <v>13546807.25461407</v>
      </c>
      <c r="CD438" s="1648">
        <f>SUM(CD434:CD437)</f>
        <v>32353280.645150006</v>
      </c>
      <c r="CE438" s="1073"/>
      <c r="CF438" s="1071"/>
      <c r="CG438" s="1072"/>
      <c r="CH438" s="1072"/>
      <c r="CI438" s="1648">
        <f>SUM(CI434:CI437)</f>
        <v>67560174</v>
      </c>
      <c r="CJ438" s="1648">
        <f>SUM(CJ434:CJ437)</f>
        <v>21660086.100235924</v>
      </c>
      <c r="CK438" s="1648">
        <f>SUM(CK434:CK437)</f>
        <v>13546807.25461407</v>
      </c>
      <c r="CL438" s="1648">
        <f>SUM(CL434:CL437)</f>
        <v>32353280.645150006</v>
      </c>
      <c r="CM438" s="1073"/>
      <c r="CN438" s="1071"/>
      <c r="CO438" s="1072"/>
      <c r="CP438" s="1072"/>
      <c r="CQ438" s="1648">
        <f>SUM(CQ434:CQ437)</f>
        <v>67560174</v>
      </c>
      <c r="CR438" s="1648">
        <f>SUM(CR434:CR437)</f>
        <v>21660086.100235924</v>
      </c>
      <c r="CS438" s="1648">
        <f>SUM(CS434:CS437)</f>
        <v>13546807.25461407</v>
      </c>
      <c r="CT438" s="1648">
        <f>SUM(CT434:CT437)</f>
        <v>32353280.645150006</v>
      </c>
      <c r="CU438" s="1073"/>
      <c r="CV438" s="1071"/>
      <c r="CW438" s="1072"/>
      <c r="CX438" s="1072"/>
      <c r="CY438" s="1648">
        <f>SUM(CY434:CY437)</f>
        <v>67560174</v>
      </c>
      <c r="CZ438" s="1648">
        <f>SUM(CZ434:CZ437)</f>
        <v>21660086.100235924</v>
      </c>
      <c r="DA438" s="1648">
        <f>SUM(DA434:DA437)</f>
        <v>13546807.25461407</v>
      </c>
      <c r="DB438" s="1648">
        <f>SUM(DB434:DB437)</f>
        <v>32353280.645150006</v>
      </c>
      <c r="DC438" s="1073"/>
      <c r="DD438" s="1071"/>
      <c r="DE438" s="1072"/>
      <c r="DF438" s="1072"/>
      <c r="DG438" s="1648">
        <f>SUM(DG434:DG437)</f>
        <v>67560174</v>
      </c>
      <c r="DH438" s="1648">
        <f>SUM(DH434:DH437)</f>
        <v>21660086.100235924</v>
      </c>
      <c r="DI438" s="1648">
        <f>SUM(DI434:DI437)</f>
        <v>13546807.25461407</v>
      </c>
      <c r="DJ438" s="1648">
        <f>SUM(DJ434:DJ437)</f>
        <v>32353280.645150006</v>
      </c>
      <c r="DK438" s="1073"/>
      <c r="DL438" s="1071"/>
      <c r="DM438" s="1072"/>
      <c r="DN438" s="1072"/>
      <c r="DO438" s="1648">
        <f>SUM(DO434:DO437)</f>
        <v>67560174</v>
      </c>
      <c r="DP438" s="1648">
        <f>SUM(DP434:DP437)</f>
        <v>21660086.100235924</v>
      </c>
      <c r="DQ438" s="1648">
        <f>SUM(DQ434:DQ437)</f>
        <v>13546807.25461407</v>
      </c>
      <c r="DR438" s="1648">
        <f>SUM(DR434:DR437)</f>
        <v>32353280.645150006</v>
      </c>
      <c r="DS438" s="1073"/>
      <c r="DT438" s="1071"/>
      <c r="DU438" s="1072"/>
      <c r="DV438" s="1072"/>
      <c r="DW438" s="1648">
        <f>SUM(DW434:DW437)</f>
        <v>67560174</v>
      </c>
      <c r="DX438" s="1648">
        <f>SUM(DX434:DX437)</f>
        <v>21660086.100235924</v>
      </c>
      <c r="DY438" s="1648">
        <f>SUM(DY434:DY437)</f>
        <v>13546807.25461407</v>
      </c>
      <c r="DZ438" s="1648">
        <f>SUM(DZ434:DZ437)</f>
        <v>32353280.645150006</v>
      </c>
      <c r="EA438" s="1073"/>
      <c r="EB438" s="1071"/>
      <c r="EC438" s="1072"/>
      <c r="ED438" s="1072"/>
      <c r="EE438" s="1648">
        <f>SUM(EE434:EE437)</f>
        <v>67560174</v>
      </c>
      <c r="EF438" s="1648">
        <f>SUM(EF434:EF437)</f>
        <v>21660086.100235924</v>
      </c>
      <c r="EG438" s="1648">
        <f>SUM(EG434:EG437)</f>
        <v>13546807.25461407</v>
      </c>
      <c r="EH438" s="1648">
        <f>SUM(EH434:EH437)</f>
        <v>32353280.645150006</v>
      </c>
      <c r="EI438" s="1073"/>
      <c r="EJ438" s="1071"/>
      <c r="EK438" s="1072"/>
      <c r="EL438" s="1072"/>
      <c r="EM438" s="1648">
        <f>SUM(EM434:EM437)</f>
        <v>67560174</v>
      </c>
      <c r="EN438" s="1648">
        <f>SUM(EN434:EN437)</f>
        <v>21660086.100235924</v>
      </c>
      <c r="EO438" s="1648">
        <f>SUM(EO434:EO437)</f>
        <v>13546807.25461407</v>
      </c>
      <c r="EP438" s="1648">
        <f>SUM(EP434:EP437)</f>
        <v>32353280.645150006</v>
      </c>
      <c r="EQ438" s="1073"/>
      <c r="ER438" s="1071"/>
      <c r="ES438" s="1072"/>
      <c r="ET438" s="1072"/>
      <c r="EU438" s="1648">
        <f>SUM(EU434:EU437)</f>
        <v>67560174</v>
      </c>
      <c r="EV438" s="1648">
        <f>SUM(EV434:EV437)</f>
        <v>21660086.100235924</v>
      </c>
      <c r="EW438" s="1648">
        <f>SUM(EW434:EW437)</f>
        <v>13546807.25461407</v>
      </c>
      <c r="EX438" s="1648">
        <f>SUM(EX434:EX437)</f>
        <v>32353280.645150006</v>
      </c>
      <c r="EY438" s="1073"/>
      <c r="EZ438" s="1071"/>
      <c r="FA438" s="1072"/>
      <c r="FB438" s="1072"/>
      <c r="FC438" s="1648">
        <f>SUM(FC434:FC437)</f>
        <v>67560174</v>
      </c>
      <c r="FD438" s="1648">
        <f>SUM(FD434:FD437)</f>
        <v>21660086.100235924</v>
      </c>
      <c r="FE438" s="1648">
        <f>SUM(FE434:FE437)</f>
        <v>13546807.25461407</v>
      </c>
      <c r="FF438" s="1648">
        <f>SUM(FF434:FF437)</f>
        <v>32353280.645150006</v>
      </c>
      <c r="FG438" s="1073"/>
      <c r="FH438" s="1071"/>
      <c r="FI438" s="1072"/>
      <c r="FJ438" s="1072"/>
      <c r="FK438" s="1648">
        <f>SUM(FK434:FK437)</f>
        <v>67560174</v>
      </c>
      <c r="FL438" s="1648">
        <f>SUM(FL434:FL437)</f>
        <v>21660086.100235924</v>
      </c>
      <c r="FM438" s="1648">
        <f>SUM(FM434:FM437)</f>
        <v>13546807.25461407</v>
      </c>
      <c r="FN438" s="1648">
        <f>SUM(FN434:FN437)</f>
        <v>32353280.645150006</v>
      </c>
      <c r="FO438" s="1073"/>
    </row>
    <row r="439" spans="2:171">
      <c r="B439" s="123"/>
      <c r="C439" s="123" t="s">
        <v>346</v>
      </c>
      <c r="D439" s="1296" t="s">
        <v>645</v>
      </c>
      <c r="E439" s="561"/>
      <c r="F439" s="1075"/>
      <c r="G439" s="1649">
        <f>SUM(H439:J439)</f>
        <v>0.99999999999999989</v>
      </c>
      <c r="H439" s="1649">
        <f>H438/G438</f>
        <v>0.32060435635106455</v>
      </c>
      <c r="I439" s="1649">
        <f>I438/G438</f>
        <v>0</v>
      </c>
      <c r="J439" s="1649">
        <f>J438/G438</f>
        <v>0.67939564364893534</v>
      </c>
      <c r="K439" s="1073"/>
      <c r="L439" s="1074" t="s">
        <v>645</v>
      </c>
      <c r="M439" s="1075"/>
      <c r="N439" s="1075"/>
      <c r="O439" s="1649">
        <f>SUM(P439:R439)</f>
        <v>1</v>
      </c>
      <c r="P439" s="1649">
        <f>P438/O438</f>
        <v>0.32060435635106455</v>
      </c>
      <c r="Q439" s="1649">
        <f>Q438/O438</f>
        <v>0.2005146886479906</v>
      </c>
      <c r="R439" s="1649">
        <f>R438/O438</f>
        <v>0.47888095500094485</v>
      </c>
      <c r="S439" s="1073"/>
      <c r="T439" s="1074" t="s">
        <v>645</v>
      </c>
      <c r="U439" s="1075"/>
      <c r="V439" s="1075"/>
      <c r="W439" s="1649">
        <f>SUM(X439:Z439)</f>
        <v>1</v>
      </c>
      <c r="X439" s="1649">
        <f>X438/W438</f>
        <v>0.32060435635106455</v>
      </c>
      <c r="Y439" s="1649">
        <f>Y438/W438</f>
        <v>0.2005146886479906</v>
      </c>
      <c r="Z439" s="1649">
        <f>Z438/W438</f>
        <v>0.47888095500094485</v>
      </c>
      <c r="AA439" s="1073"/>
      <c r="AB439" s="1074" t="s">
        <v>645</v>
      </c>
      <c r="AC439" s="1075"/>
      <c r="AD439" s="1075"/>
      <c r="AE439" s="1649">
        <f>SUM(AF439:AH439)</f>
        <v>1</v>
      </c>
      <c r="AF439" s="1649">
        <f>AF438/AE438</f>
        <v>0.32060435635106455</v>
      </c>
      <c r="AG439" s="1649">
        <f>AG438/AE438</f>
        <v>0.2005146886479906</v>
      </c>
      <c r="AH439" s="1649">
        <f>AH438/AE438</f>
        <v>0.47888095500094485</v>
      </c>
      <c r="AI439" s="1073"/>
      <c r="AJ439" s="1074" t="s">
        <v>645</v>
      </c>
      <c r="AK439" s="1075"/>
      <c r="AL439" s="1075"/>
      <c r="AM439" s="1649">
        <f>SUM(AN439:AP439)</f>
        <v>1</v>
      </c>
      <c r="AN439" s="1649">
        <f>AN438/AM438</f>
        <v>0.32060435635106455</v>
      </c>
      <c r="AO439" s="1649">
        <f>AO438/AM438</f>
        <v>0.2005146886479906</v>
      </c>
      <c r="AP439" s="1649">
        <f>AP438/AM438</f>
        <v>0.47888095500094485</v>
      </c>
      <c r="AQ439" s="1073"/>
      <c r="AR439" s="1074" t="s">
        <v>645</v>
      </c>
      <c r="AS439" s="1075"/>
      <c r="AT439" s="1075"/>
      <c r="AU439" s="1649">
        <f>SUM(AV439:AX439)</f>
        <v>1</v>
      </c>
      <c r="AV439" s="1649">
        <f>AV438/AU438</f>
        <v>0.32060435635106455</v>
      </c>
      <c r="AW439" s="1649">
        <f>AW438/AU438</f>
        <v>0.2005146886479906</v>
      </c>
      <c r="AX439" s="1649">
        <f>AX438/AU438</f>
        <v>0.47888095500094485</v>
      </c>
      <c r="AY439" s="1073"/>
      <c r="AZ439" s="1074" t="s">
        <v>645</v>
      </c>
      <c r="BA439" s="1075"/>
      <c r="BB439" s="1075"/>
      <c r="BC439" s="1649">
        <f>SUM(BD439:BF439)</f>
        <v>1</v>
      </c>
      <c r="BD439" s="1649">
        <f>BD438/BC438</f>
        <v>0.32060435635106455</v>
      </c>
      <c r="BE439" s="1649">
        <f>BE438/BC438</f>
        <v>0.2005146886479906</v>
      </c>
      <c r="BF439" s="1649">
        <f>BF438/BC438</f>
        <v>0.47888095500094485</v>
      </c>
      <c r="BG439" s="1073"/>
      <c r="BH439" s="1074" t="s">
        <v>645</v>
      </c>
      <c r="BI439" s="1075"/>
      <c r="BJ439" s="1075"/>
      <c r="BK439" s="1649">
        <f>SUM(BL439:BN439)</f>
        <v>1</v>
      </c>
      <c r="BL439" s="1649">
        <f>BL438/BK438</f>
        <v>0.32060435635106455</v>
      </c>
      <c r="BM439" s="1649">
        <f>BM438/BK438</f>
        <v>0.2005146886479906</v>
      </c>
      <c r="BN439" s="1649">
        <f>BN438/BK438</f>
        <v>0.47888095500094485</v>
      </c>
      <c r="BO439" s="1073"/>
      <c r="BP439" s="1074" t="s">
        <v>645</v>
      </c>
      <c r="BQ439" s="1075"/>
      <c r="BR439" s="1075"/>
      <c r="BS439" s="1649">
        <f>SUM(BT439:BV439)</f>
        <v>1</v>
      </c>
      <c r="BT439" s="1649">
        <f>BT438/BS438</f>
        <v>0.32060435635106455</v>
      </c>
      <c r="BU439" s="1649">
        <f>BU438/BS438</f>
        <v>0.2005146886479906</v>
      </c>
      <c r="BV439" s="1649">
        <f>BV438/BS438</f>
        <v>0.47888095500094485</v>
      </c>
      <c r="BW439" s="1073"/>
      <c r="BX439" s="1074" t="s">
        <v>645</v>
      </c>
      <c r="BY439" s="1075"/>
      <c r="BZ439" s="1075"/>
      <c r="CA439" s="1649">
        <f>SUM(CB439:CD439)</f>
        <v>1</v>
      </c>
      <c r="CB439" s="1649">
        <f>CB438/CA438</f>
        <v>0.32060435635106455</v>
      </c>
      <c r="CC439" s="1649">
        <f>CC438/CA438</f>
        <v>0.2005146886479906</v>
      </c>
      <c r="CD439" s="1649">
        <f>CD438/CA438</f>
        <v>0.47888095500094485</v>
      </c>
      <c r="CE439" s="1073"/>
      <c r="CF439" s="1074" t="s">
        <v>645</v>
      </c>
      <c r="CG439" s="1075"/>
      <c r="CH439" s="1075"/>
      <c r="CI439" s="1649">
        <f>SUM(CJ439:CL439)</f>
        <v>1</v>
      </c>
      <c r="CJ439" s="1649">
        <f>CJ438/CI438</f>
        <v>0.32060435635106455</v>
      </c>
      <c r="CK439" s="1649">
        <f>CK438/CI438</f>
        <v>0.2005146886479906</v>
      </c>
      <c r="CL439" s="1649">
        <f>CL438/CI438</f>
        <v>0.47888095500094485</v>
      </c>
      <c r="CM439" s="1073"/>
      <c r="CN439" s="1074" t="s">
        <v>645</v>
      </c>
      <c r="CO439" s="1075"/>
      <c r="CP439" s="1075"/>
      <c r="CQ439" s="1649">
        <f>SUM(CR439:CT439)</f>
        <v>1</v>
      </c>
      <c r="CR439" s="1649">
        <f>CR438/CQ438</f>
        <v>0.32060435635106455</v>
      </c>
      <c r="CS439" s="1649">
        <f>CS438/CQ438</f>
        <v>0.2005146886479906</v>
      </c>
      <c r="CT439" s="1649">
        <f>CT438/CQ438</f>
        <v>0.47888095500094485</v>
      </c>
      <c r="CU439" s="1073"/>
      <c r="CV439" s="1074" t="s">
        <v>645</v>
      </c>
      <c r="CW439" s="1075"/>
      <c r="CX439" s="1075"/>
      <c r="CY439" s="1649">
        <f>SUM(CZ439:DB439)</f>
        <v>1</v>
      </c>
      <c r="CZ439" s="1649">
        <f>CZ438/CY438</f>
        <v>0.32060435635106455</v>
      </c>
      <c r="DA439" s="1649">
        <f>DA438/CY438</f>
        <v>0.2005146886479906</v>
      </c>
      <c r="DB439" s="1649">
        <f>DB438/CY438</f>
        <v>0.47888095500094485</v>
      </c>
      <c r="DC439" s="1073"/>
      <c r="DD439" s="1074" t="s">
        <v>645</v>
      </c>
      <c r="DE439" s="1075"/>
      <c r="DF439" s="1075"/>
      <c r="DG439" s="1649">
        <f>SUM(DH439:DJ439)</f>
        <v>1</v>
      </c>
      <c r="DH439" s="1649">
        <f>DH438/DG438</f>
        <v>0.32060435635106455</v>
      </c>
      <c r="DI439" s="1649">
        <f>DI438/DG438</f>
        <v>0.2005146886479906</v>
      </c>
      <c r="DJ439" s="1649">
        <f>DJ438/DG438</f>
        <v>0.47888095500094485</v>
      </c>
      <c r="DK439" s="1073"/>
      <c r="DL439" s="1074" t="s">
        <v>645</v>
      </c>
      <c r="DM439" s="1075"/>
      <c r="DN439" s="1075"/>
      <c r="DO439" s="1649">
        <f>SUM(DP439:DR439)</f>
        <v>1</v>
      </c>
      <c r="DP439" s="1649">
        <f>DP438/DO438</f>
        <v>0.32060435635106455</v>
      </c>
      <c r="DQ439" s="1649">
        <f>DQ438/DO438</f>
        <v>0.2005146886479906</v>
      </c>
      <c r="DR439" s="1649">
        <f>DR438/DO438</f>
        <v>0.47888095500094485</v>
      </c>
      <c r="DS439" s="1073"/>
      <c r="DT439" s="1074" t="s">
        <v>645</v>
      </c>
      <c r="DU439" s="1075"/>
      <c r="DV439" s="1075"/>
      <c r="DW439" s="1649">
        <f>SUM(DX439:DZ439)</f>
        <v>1</v>
      </c>
      <c r="DX439" s="1649">
        <f>DX438/DW438</f>
        <v>0.32060435635106455</v>
      </c>
      <c r="DY439" s="1649">
        <f>DY438/DW438</f>
        <v>0.2005146886479906</v>
      </c>
      <c r="DZ439" s="1649">
        <f>DZ438/DW438</f>
        <v>0.47888095500094485</v>
      </c>
      <c r="EA439" s="1073"/>
      <c r="EB439" s="1074" t="s">
        <v>645</v>
      </c>
      <c r="EC439" s="1075"/>
      <c r="ED439" s="1075"/>
      <c r="EE439" s="1649">
        <f>SUM(EF439:EH439)</f>
        <v>1</v>
      </c>
      <c r="EF439" s="1649">
        <f>EF438/EE438</f>
        <v>0.32060435635106455</v>
      </c>
      <c r="EG439" s="1649">
        <f>EG438/EE438</f>
        <v>0.2005146886479906</v>
      </c>
      <c r="EH439" s="1649">
        <f>EH438/EE438</f>
        <v>0.47888095500094485</v>
      </c>
      <c r="EI439" s="1073"/>
      <c r="EJ439" s="1074" t="s">
        <v>645</v>
      </c>
      <c r="EK439" s="1075"/>
      <c r="EL439" s="1075"/>
      <c r="EM439" s="1649">
        <f>SUM(EN439:EP439)</f>
        <v>1</v>
      </c>
      <c r="EN439" s="1649">
        <f>EN438/EM438</f>
        <v>0.32060435635106455</v>
      </c>
      <c r="EO439" s="1649">
        <f>EO438/EM438</f>
        <v>0.2005146886479906</v>
      </c>
      <c r="EP439" s="1649">
        <f>EP438/EM438</f>
        <v>0.47888095500094485</v>
      </c>
      <c r="EQ439" s="1073"/>
      <c r="ER439" s="1074" t="s">
        <v>645</v>
      </c>
      <c r="ES439" s="1075"/>
      <c r="ET439" s="1075"/>
      <c r="EU439" s="1649">
        <f>SUM(EV439:EX439)</f>
        <v>1</v>
      </c>
      <c r="EV439" s="1649">
        <f>EV438/EU438</f>
        <v>0.32060435635106455</v>
      </c>
      <c r="EW439" s="1649">
        <f>EW438/EU438</f>
        <v>0.2005146886479906</v>
      </c>
      <c r="EX439" s="1649">
        <f>EX438/EU438</f>
        <v>0.47888095500094485</v>
      </c>
      <c r="EY439" s="1073"/>
      <c r="EZ439" s="1074" t="s">
        <v>645</v>
      </c>
      <c r="FA439" s="1075"/>
      <c r="FB439" s="1075"/>
      <c r="FC439" s="1649">
        <f>SUM(FD439:FF439)</f>
        <v>1</v>
      </c>
      <c r="FD439" s="1649">
        <f>FD438/FC438</f>
        <v>0.32060435635106455</v>
      </c>
      <c r="FE439" s="1649">
        <f>FE438/FC438</f>
        <v>0.2005146886479906</v>
      </c>
      <c r="FF439" s="1649">
        <f>FF438/FC438</f>
        <v>0.47888095500094485</v>
      </c>
      <c r="FG439" s="1073"/>
      <c r="FH439" s="1074" t="s">
        <v>645</v>
      </c>
      <c r="FI439" s="1075"/>
      <c r="FJ439" s="1075"/>
      <c r="FK439" s="1649">
        <f>SUM(FL439:FN439)</f>
        <v>1</v>
      </c>
      <c r="FL439" s="1649">
        <f>FL438/FK438</f>
        <v>0.32060435635106455</v>
      </c>
      <c r="FM439" s="1649">
        <f>FM438/FK438</f>
        <v>0.2005146886479906</v>
      </c>
      <c r="FN439" s="1649">
        <f>FN438/FK438</f>
        <v>0.47888095500094485</v>
      </c>
      <c r="FO439" s="1073"/>
    </row>
    <row r="440" spans="2:171" ht="16.5" thickBot="1">
      <c r="K440" s="1078"/>
      <c r="S440" s="1073"/>
      <c r="AA440" s="1073"/>
      <c r="AI440" s="1073"/>
      <c r="AQ440" s="1073"/>
      <c r="AY440" s="1073"/>
      <c r="BG440" s="1073"/>
      <c r="BO440" s="1073"/>
      <c r="BW440" s="1073"/>
      <c r="CE440" s="1073"/>
      <c r="CM440" s="1073"/>
      <c r="CU440" s="1073"/>
      <c r="DC440" s="1073"/>
      <c r="DK440" s="1073"/>
      <c r="DS440" s="1073"/>
      <c r="EA440" s="1073"/>
      <c r="EI440" s="1073"/>
      <c r="EQ440" s="1073"/>
      <c r="EY440" s="1073"/>
      <c r="FG440" s="1073"/>
      <c r="FO440" s="1073"/>
    </row>
    <row r="441" spans="2:171" ht="17.25" thickTop="1" thickBot="1">
      <c r="D441" s="1071"/>
      <c r="E441" s="1079"/>
      <c r="F441" s="1079"/>
      <c r="G441" s="1080"/>
      <c r="H441" s="1081"/>
      <c r="I441" s="1081"/>
      <c r="J441" s="1082"/>
      <c r="K441" s="1073"/>
      <c r="O441" s="1080"/>
      <c r="P441" s="1081"/>
      <c r="Q441" s="1081"/>
      <c r="R441" s="1082"/>
      <c r="S441" s="1073"/>
      <c r="W441" s="1080"/>
      <c r="X441" s="1081"/>
      <c r="Y441" s="1081"/>
      <c r="Z441" s="1082"/>
      <c r="AA441" s="1073"/>
      <c r="AE441" s="1080"/>
      <c r="AF441" s="1081"/>
      <c r="AG441" s="1081"/>
      <c r="AH441" s="1082"/>
      <c r="AI441" s="1073"/>
      <c r="AM441" s="1080"/>
      <c r="AN441" s="1081"/>
      <c r="AO441" s="1081"/>
      <c r="AP441" s="1082"/>
      <c r="AQ441" s="1073"/>
      <c r="AU441" s="1080"/>
      <c r="AV441" s="1081"/>
      <c r="AW441" s="1081"/>
      <c r="AX441" s="1082"/>
      <c r="AY441" s="1073"/>
      <c r="BC441" s="1080"/>
      <c r="BD441" s="1081"/>
      <c r="BE441" s="1081"/>
      <c r="BF441" s="1082"/>
      <c r="BG441" s="1073"/>
      <c r="BK441" s="1080"/>
      <c r="BL441" s="1081"/>
      <c r="BM441" s="1081"/>
      <c r="BN441" s="1082"/>
      <c r="BO441" s="1073"/>
      <c r="BS441" s="1080"/>
      <c r="BT441" s="1081"/>
      <c r="BU441" s="1081"/>
      <c r="BV441" s="1082"/>
      <c r="BW441" s="1073"/>
      <c r="CA441" s="1080"/>
      <c r="CB441" s="1081"/>
      <c r="CC441" s="1081"/>
      <c r="CD441" s="1082"/>
      <c r="CE441" s="1073"/>
      <c r="CI441" s="1080"/>
      <c r="CJ441" s="1081"/>
      <c r="CK441" s="1081"/>
      <c r="CL441" s="1082"/>
      <c r="CM441" s="1073"/>
      <c r="CQ441" s="1080"/>
      <c r="CR441" s="1081"/>
      <c r="CS441" s="1081"/>
      <c r="CT441" s="1082"/>
      <c r="CU441" s="1073"/>
      <c r="CY441" s="1080"/>
      <c r="CZ441" s="1081"/>
      <c r="DA441" s="1081"/>
      <c r="DB441" s="1082"/>
      <c r="DC441" s="1073"/>
      <c r="DG441" s="1080"/>
      <c r="DH441" s="1081"/>
      <c r="DI441" s="1081"/>
      <c r="DJ441" s="1082"/>
      <c r="DK441" s="1073"/>
      <c r="DO441" s="1080"/>
      <c r="DP441" s="1081"/>
      <c r="DQ441" s="1081"/>
      <c r="DR441" s="1082"/>
      <c r="DS441" s="1073"/>
      <c r="DW441" s="1080"/>
      <c r="DX441" s="1081"/>
      <c r="DY441" s="1081"/>
      <c r="DZ441" s="1082"/>
      <c r="EA441" s="1073"/>
      <c r="EE441" s="1080"/>
      <c r="EF441" s="1081"/>
      <c r="EG441" s="1081"/>
      <c r="EH441" s="1082"/>
      <c r="EI441" s="1073"/>
      <c r="EM441" s="1080"/>
      <c r="EN441" s="1081"/>
      <c r="EO441" s="1081"/>
      <c r="EP441" s="1082"/>
      <c r="EQ441" s="1073"/>
      <c r="EU441" s="1080"/>
      <c r="EV441" s="1081"/>
      <c r="EW441" s="1081"/>
      <c r="EX441" s="1082"/>
      <c r="EY441" s="1073"/>
      <c r="FC441" s="1080"/>
      <c r="FD441" s="1081"/>
      <c r="FE441" s="1081"/>
      <c r="FF441" s="1082"/>
      <c r="FG441" s="1073"/>
      <c r="FK441" s="1080"/>
      <c r="FL441" s="1081"/>
      <c r="FM441" s="1081"/>
      <c r="FN441" s="1082"/>
      <c r="FO441" s="1073"/>
    </row>
    <row r="442" spans="2:171">
      <c r="D442" s="1083"/>
      <c r="E442" s="1084"/>
      <c r="F442" s="1079"/>
      <c r="G442" s="1085"/>
      <c r="H442" s="1086"/>
      <c r="I442" s="1086"/>
      <c r="J442" s="1087"/>
      <c r="K442" s="1073"/>
      <c r="O442" s="1085"/>
      <c r="P442" s="1086"/>
      <c r="Q442" s="1086"/>
      <c r="R442" s="1087"/>
      <c r="S442" s="1073"/>
      <c r="W442" s="1085"/>
      <c r="X442" s="1086"/>
      <c r="Y442" s="1086"/>
      <c r="Z442" s="1087"/>
      <c r="AA442" s="1073"/>
      <c r="AE442" s="1085"/>
      <c r="AF442" s="1086"/>
      <c r="AG442" s="1086"/>
      <c r="AH442" s="1087"/>
      <c r="AI442" s="1073"/>
      <c r="AM442" s="1085"/>
      <c r="AN442" s="1086"/>
      <c r="AO442" s="1086"/>
      <c r="AP442" s="1087"/>
      <c r="AQ442" s="1073"/>
      <c r="AU442" s="1085"/>
      <c r="AV442" s="1086"/>
      <c r="AW442" s="1086"/>
      <c r="AX442" s="1087"/>
      <c r="AY442" s="1073"/>
      <c r="BC442" s="1085"/>
      <c r="BD442" s="1086"/>
      <c r="BE442" s="1086"/>
      <c r="BF442" s="1087"/>
      <c r="BG442" s="1073"/>
      <c r="BK442" s="1085"/>
      <c r="BL442" s="1086"/>
      <c r="BM442" s="1086"/>
      <c r="BN442" s="1087"/>
      <c r="BO442" s="1073"/>
      <c r="BS442" s="1085"/>
      <c r="BT442" s="1086"/>
      <c r="BU442" s="1086"/>
      <c r="BV442" s="1087"/>
      <c r="BW442" s="1073"/>
      <c r="CA442" s="1085"/>
      <c r="CB442" s="1086"/>
      <c r="CC442" s="1086"/>
      <c r="CD442" s="1087"/>
      <c r="CE442" s="1073"/>
      <c r="CI442" s="1085"/>
      <c r="CJ442" s="1086"/>
      <c r="CK442" s="1086"/>
      <c r="CL442" s="1087"/>
      <c r="CM442" s="1073"/>
      <c r="CQ442" s="1085"/>
      <c r="CR442" s="1086"/>
      <c r="CS442" s="1086"/>
      <c r="CT442" s="1087"/>
      <c r="CU442" s="1073"/>
      <c r="CY442" s="1085"/>
      <c r="CZ442" s="1086"/>
      <c r="DA442" s="1086"/>
      <c r="DB442" s="1087"/>
      <c r="DC442" s="1073"/>
      <c r="DG442" s="1085"/>
      <c r="DH442" s="1086"/>
      <c r="DI442" s="1086"/>
      <c r="DJ442" s="1087"/>
      <c r="DK442" s="1073"/>
      <c r="DO442" s="1085"/>
      <c r="DP442" s="1086"/>
      <c r="DQ442" s="1086"/>
      <c r="DR442" s="1087"/>
      <c r="DS442" s="1073"/>
      <c r="DW442" s="1085"/>
      <c r="DX442" s="1086"/>
      <c r="DY442" s="1086"/>
      <c r="DZ442" s="1087"/>
      <c r="EA442" s="1073"/>
      <c r="EE442" s="1085"/>
      <c r="EF442" s="1086"/>
      <c r="EG442" s="1086"/>
      <c r="EH442" s="1087"/>
      <c r="EI442" s="1073"/>
      <c r="EM442" s="1085"/>
      <c r="EN442" s="1086"/>
      <c r="EO442" s="1086"/>
      <c r="EP442" s="1087"/>
      <c r="EQ442" s="1073"/>
      <c r="EU442" s="1085"/>
      <c r="EV442" s="1086"/>
      <c r="EW442" s="1086"/>
      <c r="EX442" s="1087"/>
      <c r="EY442" s="1073"/>
      <c r="FC442" s="1085"/>
      <c r="FD442" s="1086"/>
      <c r="FE442" s="1086"/>
      <c r="FF442" s="1087"/>
      <c r="FG442" s="1073"/>
      <c r="FK442" s="1085"/>
      <c r="FL442" s="1086"/>
      <c r="FM442" s="1086"/>
      <c r="FN442" s="1087"/>
      <c r="FO442" s="1073"/>
    </row>
    <row r="443" spans="2:171">
      <c r="D443" s="1083"/>
      <c r="E443" s="1084"/>
      <c r="F443" s="1079"/>
      <c r="G443" s="1085" t="s">
        <v>395</v>
      </c>
      <c r="H443" s="1088">
        <v>0</v>
      </c>
      <c r="I443" s="1088">
        <v>0</v>
      </c>
      <c r="J443" s="1089">
        <v>1</v>
      </c>
      <c r="K443" s="1078"/>
      <c r="O443" s="1085" t="s">
        <v>395</v>
      </c>
      <c r="P443" s="1088">
        <v>0</v>
      </c>
      <c r="Q443" s="1088">
        <v>0</v>
      </c>
      <c r="R443" s="1089">
        <v>1</v>
      </c>
      <c r="S443" s="1078"/>
      <c r="W443" s="1085" t="s">
        <v>395</v>
      </c>
      <c r="X443" s="1088">
        <v>0</v>
      </c>
      <c r="Y443" s="1088">
        <v>0</v>
      </c>
      <c r="Z443" s="1089">
        <v>1</v>
      </c>
      <c r="AA443" s="1078"/>
      <c r="AE443" s="1085" t="s">
        <v>395</v>
      </c>
      <c r="AF443" s="1088">
        <v>0</v>
      </c>
      <c r="AG443" s="1088">
        <v>0</v>
      </c>
      <c r="AH443" s="1089">
        <v>1</v>
      </c>
      <c r="AI443" s="1078"/>
      <c r="AM443" s="1085" t="s">
        <v>395</v>
      </c>
      <c r="AN443" s="1088">
        <v>0</v>
      </c>
      <c r="AO443" s="1088">
        <v>0</v>
      </c>
      <c r="AP443" s="1089">
        <v>1</v>
      </c>
      <c r="AQ443" s="1078"/>
      <c r="AU443" s="1085" t="s">
        <v>395</v>
      </c>
      <c r="AV443" s="1088">
        <v>0</v>
      </c>
      <c r="AW443" s="1088">
        <v>0</v>
      </c>
      <c r="AX443" s="1089">
        <v>1</v>
      </c>
      <c r="AY443" s="1078"/>
      <c r="BC443" s="1085" t="s">
        <v>395</v>
      </c>
      <c r="BD443" s="1088">
        <v>0</v>
      </c>
      <c r="BE443" s="1088">
        <v>0</v>
      </c>
      <c r="BF443" s="1089">
        <v>1</v>
      </c>
      <c r="BG443" s="1078"/>
      <c r="BK443" s="1085" t="s">
        <v>395</v>
      </c>
      <c r="BL443" s="1088">
        <v>0</v>
      </c>
      <c r="BM443" s="1088">
        <v>0</v>
      </c>
      <c r="BN443" s="1089">
        <v>1</v>
      </c>
      <c r="BO443" s="1078"/>
      <c r="BS443" s="1085" t="s">
        <v>395</v>
      </c>
      <c r="BT443" s="1088">
        <v>0</v>
      </c>
      <c r="BU443" s="1088">
        <v>0</v>
      </c>
      <c r="BV443" s="1089">
        <v>1</v>
      </c>
      <c r="BW443" s="1078"/>
      <c r="CA443" s="1085" t="s">
        <v>395</v>
      </c>
      <c r="CB443" s="1088">
        <v>0</v>
      </c>
      <c r="CC443" s="1088">
        <v>0</v>
      </c>
      <c r="CD443" s="1089">
        <v>1</v>
      </c>
      <c r="CE443" s="1078"/>
      <c r="CI443" s="1085" t="s">
        <v>395</v>
      </c>
      <c r="CJ443" s="1088">
        <v>0</v>
      </c>
      <c r="CK443" s="1088">
        <v>0</v>
      </c>
      <c r="CL443" s="1089">
        <v>1</v>
      </c>
      <c r="CM443" s="1078"/>
      <c r="CQ443" s="1085" t="s">
        <v>395</v>
      </c>
      <c r="CR443" s="1088">
        <v>0</v>
      </c>
      <c r="CS443" s="1088">
        <v>0</v>
      </c>
      <c r="CT443" s="1089">
        <v>1</v>
      </c>
      <c r="CU443" s="1078"/>
      <c r="CY443" s="1085" t="s">
        <v>395</v>
      </c>
      <c r="CZ443" s="1088">
        <v>0</v>
      </c>
      <c r="DA443" s="1088">
        <v>0</v>
      </c>
      <c r="DB443" s="1089">
        <v>1</v>
      </c>
      <c r="DC443" s="1078"/>
      <c r="DG443" s="1085" t="s">
        <v>395</v>
      </c>
      <c r="DH443" s="1088">
        <v>0</v>
      </c>
      <c r="DI443" s="1088">
        <v>0</v>
      </c>
      <c r="DJ443" s="1089">
        <v>1</v>
      </c>
      <c r="DK443" s="1078"/>
      <c r="DO443" s="1085" t="s">
        <v>395</v>
      </c>
      <c r="DP443" s="1088">
        <v>0</v>
      </c>
      <c r="DQ443" s="1088">
        <v>0</v>
      </c>
      <c r="DR443" s="1089">
        <v>1</v>
      </c>
      <c r="DS443" s="1078"/>
      <c r="DW443" s="1085" t="s">
        <v>395</v>
      </c>
      <c r="DX443" s="1088">
        <v>0</v>
      </c>
      <c r="DY443" s="1088">
        <v>0</v>
      </c>
      <c r="DZ443" s="1089">
        <v>1</v>
      </c>
      <c r="EA443" s="1078"/>
      <c r="EE443" s="1085" t="s">
        <v>395</v>
      </c>
      <c r="EF443" s="1088">
        <v>0</v>
      </c>
      <c r="EG443" s="1088">
        <v>0</v>
      </c>
      <c r="EH443" s="1089">
        <v>1</v>
      </c>
      <c r="EI443" s="1078"/>
      <c r="EM443" s="1085" t="s">
        <v>395</v>
      </c>
      <c r="EN443" s="1088">
        <v>0</v>
      </c>
      <c r="EO443" s="1088">
        <v>0</v>
      </c>
      <c r="EP443" s="1089">
        <v>1</v>
      </c>
      <c r="EQ443" s="1078"/>
      <c r="EU443" s="1085" t="s">
        <v>395</v>
      </c>
      <c r="EV443" s="1088">
        <v>0</v>
      </c>
      <c r="EW443" s="1088">
        <v>0</v>
      </c>
      <c r="EX443" s="1089">
        <v>1</v>
      </c>
      <c r="EY443" s="1078"/>
      <c r="FC443" s="1085" t="s">
        <v>395</v>
      </c>
      <c r="FD443" s="1088">
        <v>0</v>
      </c>
      <c r="FE443" s="1088">
        <v>0</v>
      </c>
      <c r="FF443" s="1089">
        <v>1</v>
      </c>
      <c r="FG443" s="1078"/>
      <c r="FK443" s="1085" t="s">
        <v>395</v>
      </c>
      <c r="FL443" s="1088">
        <v>0</v>
      </c>
      <c r="FM443" s="1088">
        <v>0</v>
      </c>
      <c r="FN443" s="1089">
        <v>1</v>
      </c>
      <c r="FO443" s="1078"/>
    </row>
    <row r="444" spans="2:171">
      <c r="D444" s="1083"/>
      <c r="E444" s="1084"/>
      <c r="F444" s="1079"/>
      <c r="G444" s="1085" t="s">
        <v>397</v>
      </c>
      <c r="H444" s="1088">
        <v>1</v>
      </c>
      <c r="I444" s="1088">
        <v>0</v>
      </c>
      <c r="J444" s="1089">
        <v>0</v>
      </c>
      <c r="K444" s="1073"/>
      <c r="O444" s="1085" t="s">
        <v>397</v>
      </c>
      <c r="P444" s="1088">
        <v>1</v>
      </c>
      <c r="Q444" s="1088">
        <v>0</v>
      </c>
      <c r="R444" s="1089">
        <v>0</v>
      </c>
      <c r="S444" s="1073"/>
      <c r="W444" s="1085" t="s">
        <v>397</v>
      </c>
      <c r="X444" s="1088">
        <v>1</v>
      </c>
      <c r="Y444" s="1088">
        <v>0</v>
      </c>
      <c r="Z444" s="1089">
        <v>0</v>
      </c>
      <c r="AA444" s="1073"/>
      <c r="AE444" s="1085" t="s">
        <v>397</v>
      </c>
      <c r="AF444" s="1088">
        <v>1</v>
      </c>
      <c r="AG444" s="1088">
        <v>0</v>
      </c>
      <c r="AH444" s="1089">
        <v>0</v>
      </c>
      <c r="AI444" s="1073"/>
      <c r="AM444" s="1085" t="s">
        <v>397</v>
      </c>
      <c r="AN444" s="1088">
        <v>1</v>
      </c>
      <c r="AO444" s="1088">
        <v>0</v>
      </c>
      <c r="AP444" s="1089">
        <v>0</v>
      </c>
      <c r="AQ444" s="1073"/>
      <c r="AU444" s="1085" t="s">
        <v>397</v>
      </c>
      <c r="AV444" s="1088">
        <v>1</v>
      </c>
      <c r="AW444" s="1088">
        <v>0</v>
      </c>
      <c r="AX444" s="1089">
        <v>0</v>
      </c>
      <c r="AY444" s="1073"/>
      <c r="BC444" s="1085" t="s">
        <v>397</v>
      </c>
      <c r="BD444" s="1088">
        <v>1</v>
      </c>
      <c r="BE444" s="1088">
        <v>0</v>
      </c>
      <c r="BF444" s="1089">
        <v>0</v>
      </c>
      <c r="BG444" s="1073"/>
      <c r="BK444" s="1085" t="s">
        <v>397</v>
      </c>
      <c r="BL444" s="1088">
        <v>1</v>
      </c>
      <c r="BM444" s="1088">
        <v>0</v>
      </c>
      <c r="BN444" s="1089">
        <v>0</v>
      </c>
      <c r="BO444" s="1073"/>
      <c r="BS444" s="1085" t="s">
        <v>397</v>
      </c>
      <c r="BT444" s="1088">
        <v>1</v>
      </c>
      <c r="BU444" s="1088">
        <v>0</v>
      </c>
      <c r="BV444" s="1089">
        <v>0</v>
      </c>
      <c r="BW444" s="1073"/>
      <c r="CA444" s="1085" t="s">
        <v>397</v>
      </c>
      <c r="CB444" s="1088">
        <v>1</v>
      </c>
      <c r="CC444" s="1088">
        <v>0</v>
      </c>
      <c r="CD444" s="1089">
        <v>0</v>
      </c>
      <c r="CE444" s="1073"/>
      <c r="CI444" s="1085" t="s">
        <v>397</v>
      </c>
      <c r="CJ444" s="1088">
        <v>1</v>
      </c>
      <c r="CK444" s="1088">
        <v>0</v>
      </c>
      <c r="CL444" s="1089">
        <v>0</v>
      </c>
      <c r="CM444" s="1073"/>
      <c r="CQ444" s="1085" t="s">
        <v>397</v>
      </c>
      <c r="CR444" s="1088">
        <v>1</v>
      </c>
      <c r="CS444" s="1088">
        <v>0</v>
      </c>
      <c r="CT444" s="1089">
        <v>0</v>
      </c>
      <c r="CU444" s="1073"/>
      <c r="CY444" s="1085" t="s">
        <v>397</v>
      </c>
      <c r="CZ444" s="1088">
        <v>1</v>
      </c>
      <c r="DA444" s="1088">
        <v>0</v>
      </c>
      <c r="DB444" s="1089">
        <v>0</v>
      </c>
      <c r="DC444" s="1073"/>
      <c r="DG444" s="1085" t="s">
        <v>397</v>
      </c>
      <c r="DH444" s="1088">
        <v>1</v>
      </c>
      <c r="DI444" s="1088">
        <v>0</v>
      </c>
      <c r="DJ444" s="1089">
        <v>0</v>
      </c>
      <c r="DK444" s="1073"/>
      <c r="DO444" s="1085" t="s">
        <v>397</v>
      </c>
      <c r="DP444" s="1088">
        <v>1</v>
      </c>
      <c r="DQ444" s="1088">
        <v>0</v>
      </c>
      <c r="DR444" s="1089">
        <v>0</v>
      </c>
      <c r="DS444" s="1073"/>
      <c r="DW444" s="1085" t="s">
        <v>397</v>
      </c>
      <c r="DX444" s="1088">
        <v>1</v>
      </c>
      <c r="DY444" s="1088">
        <v>0</v>
      </c>
      <c r="DZ444" s="1089">
        <v>0</v>
      </c>
      <c r="EA444" s="1073"/>
      <c r="EE444" s="1085" t="s">
        <v>397</v>
      </c>
      <c r="EF444" s="1088">
        <v>1</v>
      </c>
      <c r="EG444" s="1088">
        <v>0</v>
      </c>
      <c r="EH444" s="1089">
        <v>0</v>
      </c>
      <c r="EI444" s="1073"/>
      <c r="EM444" s="1085" t="s">
        <v>397</v>
      </c>
      <c r="EN444" s="1088">
        <v>1</v>
      </c>
      <c r="EO444" s="1088">
        <v>0</v>
      </c>
      <c r="EP444" s="1089">
        <v>0</v>
      </c>
      <c r="EQ444" s="1073"/>
      <c r="EU444" s="1085" t="s">
        <v>397</v>
      </c>
      <c r="EV444" s="1088">
        <v>1</v>
      </c>
      <c r="EW444" s="1088">
        <v>0</v>
      </c>
      <c r="EX444" s="1089">
        <v>0</v>
      </c>
      <c r="EY444" s="1073"/>
      <c r="FC444" s="1085" t="s">
        <v>397</v>
      </c>
      <c r="FD444" s="1088">
        <v>1</v>
      </c>
      <c r="FE444" s="1088">
        <v>0</v>
      </c>
      <c r="FF444" s="1089">
        <v>0</v>
      </c>
      <c r="FG444" s="1073"/>
      <c r="FK444" s="1085" t="s">
        <v>397</v>
      </c>
      <c r="FL444" s="1088">
        <v>1</v>
      </c>
      <c r="FM444" s="1088">
        <v>0</v>
      </c>
      <c r="FN444" s="1089">
        <v>0</v>
      </c>
      <c r="FO444" s="1073"/>
    </row>
    <row r="445" spans="2:171">
      <c r="D445" s="1083"/>
      <c r="E445" s="1084"/>
      <c r="F445" s="1079"/>
      <c r="G445" s="1085" t="s">
        <v>396</v>
      </c>
      <c r="H445" s="1088">
        <v>0</v>
      </c>
      <c r="I445" s="1088">
        <v>1</v>
      </c>
      <c r="J445" s="1089">
        <v>0</v>
      </c>
      <c r="K445" s="1073"/>
      <c r="O445" s="1085" t="s">
        <v>396</v>
      </c>
      <c r="P445" s="1088">
        <v>0</v>
      </c>
      <c r="Q445" s="1088">
        <v>1</v>
      </c>
      <c r="R445" s="1089">
        <v>0</v>
      </c>
      <c r="S445" s="1073"/>
      <c r="W445" s="1085" t="s">
        <v>396</v>
      </c>
      <c r="X445" s="1088">
        <v>0</v>
      </c>
      <c r="Y445" s="1088">
        <v>1</v>
      </c>
      <c r="Z445" s="1089">
        <v>0</v>
      </c>
      <c r="AA445" s="1073"/>
      <c r="AE445" s="1085" t="s">
        <v>396</v>
      </c>
      <c r="AF445" s="1088">
        <v>0</v>
      </c>
      <c r="AG445" s="1088">
        <v>1</v>
      </c>
      <c r="AH445" s="1089">
        <v>0</v>
      </c>
      <c r="AI445" s="1073"/>
      <c r="AM445" s="1085" t="s">
        <v>396</v>
      </c>
      <c r="AN445" s="1088">
        <v>0</v>
      </c>
      <c r="AO445" s="1088">
        <v>1</v>
      </c>
      <c r="AP445" s="1089">
        <v>0</v>
      </c>
      <c r="AQ445" s="1073"/>
      <c r="AU445" s="1085" t="s">
        <v>396</v>
      </c>
      <c r="AV445" s="1088">
        <v>0</v>
      </c>
      <c r="AW445" s="1088">
        <v>1</v>
      </c>
      <c r="AX445" s="1089">
        <v>0</v>
      </c>
      <c r="AY445" s="1073"/>
      <c r="BC445" s="1085" t="s">
        <v>396</v>
      </c>
      <c r="BD445" s="1088">
        <v>0</v>
      </c>
      <c r="BE445" s="1088">
        <v>1</v>
      </c>
      <c r="BF445" s="1089">
        <v>0</v>
      </c>
      <c r="BG445" s="1073"/>
      <c r="BK445" s="1085" t="s">
        <v>396</v>
      </c>
      <c r="BL445" s="1088">
        <v>0</v>
      </c>
      <c r="BM445" s="1088">
        <v>1</v>
      </c>
      <c r="BN445" s="1089">
        <v>0</v>
      </c>
      <c r="BO445" s="1073"/>
      <c r="BS445" s="1085" t="s">
        <v>396</v>
      </c>
      <c r="BT445" s="1088">
        <v>0</v>
      </c>
      <c r="BU445" s="1088">
        <v>1</v>
      </c>
      <c r="BV445" s="1089">
        <v>0</v>
      </c>
      <c r="BW445" s="1073"/>
      <c r="CA445" s="1085" t="s">
        <v>396</v>
      </c>
      <c r="CB445" s="1088">
        <v>0</v>
      </c>
      <c r="CC445" s="1088">
        <v>1</v>
      </c>
      <c r="CD445" s="1089">
        <v>0</v>
      </c>
      <c r="CE445" s="1073"/>
      <c r="CI445" s="1085" t="s">
        <v>396</v>
      </c>
      <c r="CJ445" s="1088">
        <v>0</v>
      </c>
      <c r="CK445" s="1088">
        <v>1</v>
      </c>
      <c r="CL445" s="1089">
        <v>0</v>
      </c>
      <c r="CM445" s="1073"/>
      <c r="CQ445" s="1085" t="s">
        <v>396</v>
      </c>
      <c r="CR445" s="1088">
        <v>0</v>
      </c>
      <c r="CS445" s="1088">
        <v>1</v>
      </c>
      <c r="CT445" s="1089">
        <v>0</v>
      </c>
      <c r="CU445" s="1073"/>
      <c r="CY445" s="1085" t="s">
        <v>396</v>
      </c>
      <c r="CZ445" s="1088">
        <v>0</v>
      </c>
      <c r="DA445" s="1088">
        <v>1</v>
      </c>
      <c r="DB445" s="1089">
        <v>0</v>
      </c>
      <c r="DC445" s="1073"/>
      <c r="DG445" s="1085" t="s">
        <v>396</v>
      </c>
      <c r="DH445" s="1088">
        <v>0</v>
      </c>
      <c r="DI445" s="1088">
        <v>1</v>
      </c>
      <c r="DJ445" s="1089">
        <v>0</v>
      </c>
      <c r="DK445" s="1073"/>
      <c r="DO445" s="1085" t="s">
        <v>396</v>
      </c>
      <c r="DP445" s="1088">
        <v>0</v>
      </c>
      <c r="DQ445" s="1088">
        <v>1</v>
      </c>
      <c r="DR445" s="1089">
        <v>0</v>
      </c>
      <c r="DS445" s="1073"/>
      <c r="DW445" s="1085" t="s">
        <v>396</v>
      </c>
      <c r="DX445" s="1088">
        <v>0</v>
      </c>
      <c r="DY445" s="1088">
        <v>1</v>
      </c>
      <c r="DZ445" s="1089">
        <v>0</v>
      </c>
      <c r="EA445" s="1073"/>
      <c r="EE445" s="1085" t="s">
        <v>396</v>
      </c>
      <c r="EF445" s="1088">
        <v>0</v>
      </c>
      <c r="EG445" s="1088">
        <v>1</v>
      </c>
      <c r="EH445" s="1089">
        <v>0</v>
      </c>
      <c r="EI445" s="1073"/>
      <c r="EM445" s="1085" t="s">
        <v>396</v>
      </c>
      <c r="EN445" s="1088">
        <v>0</v>
      </c>
      <c r="EO445" s="1088">
        <v>1</v>
      </c>
      <c r="EP445" s="1089">
        <v>0</v>
      </c>
      <c r="EQ445" s="1073"/>
      <c r="EU445" s="1085" t="s">
        <v>396</v>
      </c>
      <c r="EV445" s="1088">
        <v>0</v>
      </c>
      <c r="EW445" s="1088">
        <v>1</v>
      </c>
      <c r="EX445" s="1089">
        <v>0</v>
      </c>
      <c r="EY445" s="1073"/>
      <c r="FC445" s="1085" t="s">
        <v>396</v>
      </c>
      <c r="FD445" s="1088">
        <v>0</v>
      </c>
      <c r="FE445" s="1088">
        <v>1</v>
      </c>
      <c r="FF445" s="1089">
        <v>0</v>
      </c>
      <c r="FG445" s="1073"/>
      <c r="FK445" s="1085" t="s">
        <v>396</v>
      </c>
      <c r="FL445" s="1088">
        <v>0</v>
      </c>
      <c r="FM445" s="1088">
        <v>1</v>
      </c>
      <c r="FN445" s="1089">
        <v>0</v>
      </c>
      <c r="FO445" s="1073"/>
    </row>
    <row r="446" spans="2:171">
      <c r="D446" s="1083"/>
      <c r="E446" s="1084"/>
      <c r="F446" s="1079"/>
      <c r="G446" s="1085" t="s">
        <v>90</v>
      </c>
      <c r="H446" s="1088">
        <v>0</v>
      </c>
      <c r="I446" s="1088">
        <v>0</v>
      </c>
      <c r="J446" s="1089">
        <v>0</v>
      </c>
      <c r="K446" s="1078"/>
      <c r="O446" s="1085" t="s">
        <v>90</v>
      </c>
      <c r="P446" s="1088">
        <v>0</v>
      </c>
      <c r="Q446" s="1088">
        <v>0</v>
      </c>
      <c r="R446" s="1089">
        <v>0</v>
      </c>
      <c r="S446" s="1078"/>
      <c r="W446" s="1085" t="s">
        <v>90</v>
      </c>
      <c r="X446" s="1088">
        <v>0</v>
      </c>
      <c r="Y446" s="1088">
        <v>0</v>
      </c>
      <c r="Z446" s="1089">
        <v>0</v>
      </c>
      <c r="AA446" s="1078"/>
      <c r="AE446" s="1085" t="s">
        <v>90</v>
      </c>
      <c r="AF446" s="1088">
        <v>0</v>
      </c>
      <c r="AG446" s="1088">
        <v>0</v>
      </c>
      <c r="AH446" s="1089">
        <v>0</v>
      </c>
      <c r="AI446" s="1078"/>
      <c r="AM446" s="1085" t="s">
        <v>90</v>
      </c>
      <c r="AN446" s="1088">
        <v>0</v>
      </c>
      <c r="AO446" s="1088">
        <v>0</v>
      </c>
      <c r="AP446" s="1089">
        <v>0</v>
      </c>
      <c r="AQ446" s="1078"/>
      <c r="AU446" s="1085" t="s">
        <v>90</v>
      </c>
      <c r="AV446" s="1088">
        <v>0</v>
      </c>
      <c r="AW446" s="1088">
        <v>0</v>
      </c>
      <c r="AX446" s="1089">
        <v>0</v>
      </c>
      <c r="AY446" s="1078"/>
      <c r="BC446" s="1085" t="s">
        <v>90</v>
      </c>
      <c r="BD446" s="1088">
        <v>0</v>
      </c>
      <c r="BE446" s="1088">
        <v>0</v>
      </c>
      <c r="BF446" s="1089">
        <v>0</v>
      </c>
      <c r="BG446" s="1078"/>
      <c r="BK446" s="1085" t="s">
        <v>90</v>
      </c>
      <c r="BL446" s="1088">
        <v>0</v>
      </c>
      <c r="BM446" s="1088">
        <v>0</v>
      </c>
      <c r="BN446" s="1089">
        <v>0</v>
      </c>
      <c r="BO446" s="1078"/>
      <c r="BS446" s="1085" t="s">
        <v>90</v>
      </c>
      <c r="BT446" s="1088">
        <v>0</v>
      </c>
      <c r="BU446" s="1088">
        <v>0</v>
      </c>
      <c r="BV446" s="1089">
        <v>0</v>
      </c>
      <c r="BW446" s="1078"/>
      <c r="CA446" s="1085" t="s">
        <v>90</v>
      </c>
      <c r="CB446" s="1088">
        <v>0</v>
      </c>
      <c r="CC446" s="1088">
        <v>0</v>
      </c>
      <c r="CD446" s="1089">
        <v>0</v>
      </c>
      <c r="CE446" s="1078"/>
      <c r="CI446" s="1085" t="s">
        <v>90</v>
      </c>
      <c r="CJ446" s="1088">
        <v>0</v>
      </c>
      <c r="CK446" s="1088">
        <v>0</v>
      </c>
      <c r="CL446" s="1089">
        <v>0</v>
      </c>
      <c r="CM446" s="1078"/>
      <c r="CQ446" s="1085" t="s">
        <v>90</v>
      </c>
      <c r="CR446" s="1088">
        <v>0</v>
      </c>
      <c r="CS446" s="1088">
        <v>0</v>
      </c>
      <c r="CT446" s="1089">
        <v>0</v>
      </c>
      <c r="CU446" s="1078"/>
      <c r="CY446" s="1085" t="s">
        <v>90</v>
      </c>
      <c r="CZ446" s="1088">
        <v>0</v>
      </c>
      <c r="DA446" s="1088">
        <v>0</v>
      </c>
      <c r="DB446" s="1089">
        <v>0</v>
      </c>
      <c r="DC446" s="1078"/>
      <c r="DG446" s="1085" t="s">
        <v>90</v>
      </c>
      <c r="DH446" s="1088">
        <v>0</v>
      </c>
      <c r="DI446" s="1088">
        <v>0</v>
      </c>
      <c r="DJ446" s="1089">
        <v>0</v>
      </c>
      <c r="DK446" s="1078"/>
      <c r="DO446" s="1085" t="s">
        <v>90</v>
      </c>
      <c r="DP446" s="1088">
        <v>0</v>
      </c>
      <c r="DQ446" s="1088">
        <v>0</v>
      </c>
      <c r="DR446" s="1089">
        <v>0</v>
      </c>
      <c r="DS446" s="1078"/>
      <c r="DW446" s="1085" t="s">
        <v>90</v>
      </c>
      <c r="DX446" s="1088">
        <v>0</v>
      </c>
      <c r="DY446" s="1088">
        <v>0</v>
      </c>
      <c r="DZ446" s="1089">
        <v>0</v>
      </c>
      <c r="EA446" s="1078"/>
      <c r="EE446" s="1085" t="s">
        <v>90</v>
      </c>
      <c r="EF446" s="1088">
        <v>0</v>
      </c>
      <c r="EG446" s="1088">
        <v>0</v>
      </c>
      <c r="EH446" s="1089">
        <v>0</v>
      </c>
      <c r="EI446" s="1078"/>
      <c r="EM446" s="1085" t="s">
        <v>90</v>
      </c>
      <c r="EN446" s="1088">
        <v>0</v>
      </c>
      <c r="EO446" s="1088">
        <v>0</v>
      </c>
      <c r="EP446" s="1089">
        <v>0</v>
      </c>
      <c r="EQ446" s="1078"/>
      <c r="EU446" s="1085" t="s">
        <v>90</v>
      </c>
      <c r="EV446" s="1088">
        <v>0</v>
      </c>
      <c r="EW446" s="1088">
        <v>0</v>
      </c>
      <c r="EX446" s="1089">
        <v>0</v>
      </c>
      <c r="EY446" s="1078"/>
      <c r="FC446" s="1085" t="s">
        <v>90</v>
      </c>
      <c r="FD446" s="1088">
        <v>0</v>
      </c>
      <c r="FE446" s="1088">
        <v>0</v>
      </c>
      <c r="FF446" s="1089">
        <v>0</v>
      </c>
      <c r="FG446" s="1078"/>
      <c r="FK446" s="1085" t="s">
        <v>90</v>
      </c>
      <c r="FL446" s="1088">
        <v>0</v>
      </c>
      <c r="FM446" s="1088">
        <v>0</v>
      </c>
      <c r="FN446" s="1089">
        <v>0</v>
      </c>
      <c r="FO446" s="1078"/>
    </row>
    <row r="447" spans="2:171">
      <c r="D447" s="1083"/>
      <c r="E447" s="1084"/>
      <c r="F447" s="1079"/>
      <c r="G447" s="1085" t="s">
        <v>91</v>
      </c>
      <c r="H447" s="1088">
        <f>H395</f>
        <v>0.15404084567525972</v>
      </c>
      <c r="I447" s="1088">
        <f>I395</f>
        <v>0</v>
      </c>
      <c r="J447" s="1089">
        <f>J395</f>
        <v>0.84595915432474023</v>
      </c>
      <c r="K447" s="1073"/>
      <c r="O447" s="1085" t="s">
        <v>91</v>
      </c>
      <c r="P447" s="1088">
        <f>P395</f>
        <v>0.15404084567525972</v>
      </c>
      <c r="Q447" s="1088">
        <f>Q395</f>
        <v>0.25548915022941465</v>
      </c>
      <c r="R447" s="1089">
        <f>R395</f>
        <v>0.59047000409532568</v>
      </c>
      <c r="S447" s="1073"/>
      <c r="W447" s="1085" t="s">
        <v>91</v>
      </c>
      <c r="X447" s="1088">
        <f>X395</f>
        <v>0.15404084567525972</v>
      </c>
      <c r="Y447" s="1088">
        <f>Y395</f>
        <v>0.25548915022941465</v>
      </c>
      <c r="Z447" s="1089">
        <f>Z395</f>
        <v>0.59047000409532568</v>
      </c>
      <c r="AA447" s="1073"/>
      <c r="AE447" s="1085" t="s">
        <v>91</v>
      </c>
      <c r="AF447" s="1088">
        <f>AF395</f>
        <v>0.15404084567525972</v>
      </c>
      <c r="AG447" s="1088">
        <f>AG395</f>
        <v>0.25548915022941465</v>
      </c>
      <c r="AH447" s="1089">
        <f>AH395</f>
        <v>0.59047000409532568</v>
      </c>
      <c r="AI447" s="1073"/>
      <c r="AM447" s="1085" t="s">
        <v>91</v>
      </c>
      <c r="AN447" s="1088">
        <f>AN395</f>
        <v>0.15404084567525972</v>
      </c>
      <c r="AO447" s="1088">
        <f>AO395</f>
        <v>0.25548915022941465</v>
      </c>
      <c r="AP447" s="1089">
        <f>AP395</f>
        <v>0.59047000409532568</v>
      </c>
      <c r="AQ447" s="1073"/>
      <c r="AU447" s="1085" t="s">
        <v>91</v>
      </c>
      <c r="AV447" s="1088">
        <f>AV395</f>
        <v>0.15404084567525972</v>
      </c>
      <c r="AW447" s="1088">
        <f>AW395</f>
        <v>0.25548915022941465</v>
      </c>
      <c r="AX447" s="1089">
        <f>AX395</f>
        <v>0.59047000409532568</v>
      </c>
      <c r="AY447" s="1073"/>
      <c r="BC447" s="1085" t="s">
        <v>91</v>
      </c>
      <c r="BD447" s="1088">
        <f>BD395</f>
        <v>0.15404084567525972</v>
      </c>
      <c r="BE447" s="1088">
        <f>BE395</f>
        <v>0.25548915022941465</v>
      </c>
      <c r="BF447" s="1089">
        <f>BF395</f>
        <v>0.59047000409532568</v>
      </c>
      <c r="BG447" s="1073"/>
      <c r="BK447" s="1085" t="s">
        <v>91</v>
      </c>
      <c r="BL447" s="1088">
        <f>BL395</f>
        <v>0.15404084567525972</v>
      </c>
      <c r="BM447" s="1088">
        <f>BM395</f>
        <v>0.25548915022941465</v>
      </c>
      <c r="BN447" s="1089">
        <f>BN395</f>
        <v>0.59047000409532568</v>
      </c>
      <c r="BO447" s="1073"/>
      <c r="BS447" s="1085" t="s">
        <v>91</v>
      </c>
      <c r="BT447" s="1088">
        <f>BT395</f>
        <v>0.15404084567525972</v>
      </c>
      <c r="BU447" s="1088">
        <f>BU395</f>
        <v>0.25548915022941465</v>
      </c>
      <c r="BV447" s="1089">
        <f>BV395</f>
        <v>0.59047000409532568</v>
      </c>
      <c r="BW447" s="1073"/>
      <c r="CA447" s="1085" t="s">
        <v>91</v>
      </c>
      <c r="CB447" s="1088">
        <f>CB395</f>
        <v>0.15404084567525972</v>
      </c>
      <c r="CC447" s="1088">
        <f>CC395</f>
        <v>0.25548915022941465</v>
      </c>
      <c r="CD447" s="1089">
        <f>CD395</f>
        <v>0.59047000409532568</v>
      </c>
      <c r="CE447" s="1073"/>
      <c r="CI447" s="1085" t="s">
        <v>91</v>
      </c>
      <c r="CJ447" s="1088">
        <f>CJ395</f>
        <v>0.15404084567525972</v>
      </c>
      <c r="CK447" s="1088">
        <f>CK395</f>
        <v>0.25548915022941465</v>
      </c>
      <c r="CL447" s="1089">
        <f>CL395</f>
        <v>0.59047000409532568</v>
      </c>
      <c r="CM447" s="1073"/>
      <c r="CQ447" s="1085" t="s">
        <v>91</v>
      </c>
      <c r="CR447" s="1088">
        <f>CR395</f>
        <v>0.15404084567525972</v>
      </c>
      <c r="CS447" s="1088">
        <f>CS395</f>
        <v>0.25548915022941465</v>
      </c>
      <c r="CT447" s="1089">
        <f>CT395</f>
        <v>0.59047000409532568</v>
      </c>
      <c r="CU447" s="1073"/>
      <c r="CY447" s="1085" t="s">
        <v>91</v>
      </c>
      <c r="CZ447" s="1088">
        <f>CZ395</f>
        <v>0.15404084567525972</v>
      </c>
      <c r="DA447" s="1088">
        <f>DA395</f>
        <v>0.25548915022941465</v>
      </c>
      <c r="DB447" s="1089">
        <f>DB395</f>
        <v>0.59047000409532568</v>
      </c>
      <c r="DC447" s="1073"/>
      <c r="DG447" s="1085" t="s">
        <v>91</v>
      </c>
      <c r="DH447" s="1088">
        <f>DH395</f>
        <v>0.15404084567525972</v>
      </c>
      <c r="DI447" s="1088">
        <f>DI395</f>
        <v>0.25548915022941465</v>
      </c>
      <c r="DJ447" s="1089">
        <f>DJ395</f>
        <v>0.59047000409532568</v>
      </c>
      <c r="DK447" s="1073"/>
      <c r="DO447" s="1085" t="s">
        <v>91</v>
      </c>
      <c r="DP447" s="1088">
        <f>DP395</f>
        <v>0.15404084567525972</v>
      </c>
      <c r="DQ447" s="1088">
        <f>DQ395</f>
        <v>0.25548915022941465</v>
      </c>
      <c r="DR447" s="1089">
        <f>DR395</f>
        <v>0.59047000409532568</v>
      </c>
      <c r="DS447" s="1073"/>
      <c r="DW447" s="1085" t="s">
        <v>91</v>
      </c>
      <c r="DX447" s="1088">
        <f>DX395</f>
        <v>0.15404084567525972</v>
      </c>
      <c r="DY447" s="1088">
        <f>DY395</f>
        <v>0.25548915022941465</v>
      </c>
      <c r="DZ447" s="1089">
        <f>DZ395</f>
        <v>0.59047000409532568</v>
      </c>
      <c r="EA447" s="1073"/>
      <c r="EE447" s="1085" t="s">
        <v>91</v>
      </c>
      <c r="EF447" s="1088">
        <f>EF395</f>
        <v>0.15404084567525972</v>
      </c>
      <c r="EG447" s="1088">
        <f>EG395</f>
        <v>0.25548915022941465</v>
      </c>
      <c r="EH447" s="1089">
        <f>EH395</f>
        <v>0.59047000409532568</v>
      </c>
      <c r="EI447" s="1073"/>
      <c r="EM447" s="1085" t="s">
        <v>91</v>
      </c>
      <c r="EN447" s="1088">
        <f>EN395</f>
        <v>0.15404084567525972</v>
      </c>
      <c r="EO447" s="1088">
        <f>EO395</f>
        <v>0.25548915022941465</v>
      </c>
      <c r="EP447" s="1089">
        <f>EP395</f>
        <v>0.59047000409532568</v>
      </c>
      <c r="EQ447" s="1073"/>
      <c r="EU447" s="1085" t="s">
        <v>91</v>
      </c>
      <c r="EV447" s="1088">
        <f>EV395</f>
        <v>0.15404084567525972</v>
      </c>
      <c r="EW447" s="1088">
        <f>EW395</f>
        <v>0.25548915022941465</v>
      </c>
      <c r="EX447" s="1089">
        <f>EX395</f>
        <v>0.59047000409532568</v>
      </c>
      <c r="EY447" s="1073"/>
      <c r="FC447" s="1085" t="s">
        <v>91</v>
      </c>
      <c r="FD447" s="1088">
        <f>FD395</f>
        <v>0.15404084567525972</v>
      </c>
      <c r="FE447" s="1088">
        <f>FE395</f>
        <v>0.25548915022941465</v>
      </c>
      <c r="FF447" s="1089">
        <f>FF395</f>
        <v>0.59047000409532568</v>
      </c>
      <c r="FG447" s="1073"/>
      <c r="FK447" s="1085" t="s">
        <v>91</v>
      </c>
      <c r="FL447" s="1088">
        <f>FL395</f>
        <v>0.15404084567525972</v>
      </c>
      <c r="FM447" s="1088">
        <f>FM395</f>
        <v>0.25548915022941465</v>
      </c>
      <c r="FN447" s="1089">
        <f>FN395</f>
        <v>0.59047000409532568</v>
      </c>
      <c r="FO447" s="1073"/>
    </row>
    <row r="448" spans="2:171">
      <c r="D448" s="1083"/>
      <c r="E448" s="1084"/>
      <c r="F448" s="1079"/>
      <c r="G448" s="1085" t="s">
        <v>93</v>
      </c>
      <c r="H448" s="1088">
        <f>H439</f>
        <v>0.32060435635106455</v>
      </c>
      <c r="I448" s="1088">
        <f>I439</f>
        <v>0</v>
      </c>
      <c r="J448" s="1089">
        <f>J439</f>
        <v>0.67939564364893534</v>
      </c>
      <c r="K448" s="1073"/>
      <c r="O448" s="1085" t="s">
        <v>93</v>
      </c>
      <c r="P448" s="1088">
        <f>P439</f>
        <v>0.32060435635106455</v>
      </c>
      <c r="Q448" s="1088">
        <f>Q439</f>
        <v>0.2005146886479906</v>
      </c>
      <c r="R448" s="1089">
        <f>R439</f>
        <v>0.47888095500094485</v>
      </c>
      <c r="S448" s="1073"/>
      <c r="W448" s="1085" t="s">
        <v>93</v>
      </c>
      <c r="X448" s="1088">
        <f>X439</f>
        <v>0.32060435635106455</v>
      </c>
      <c r="Y448" s="1088">
        <f>Y439</f>
        <v>0.2005146886479906</v>
      </c>
      <c r="Z448" s="1089">
        <f>Z439</f>
        <v>0.47888095500094485</v>
      </c>
      <c r="AA448" s="1073"/>
      <c r="AE448" s="1085" t="s">
        <v>93</v>
      </c>
      <c r="AF448" s="1088">
        <f>AF439</f>
        <v>0.32060435635106455</v>
      </c>
      <c r="AG448" s="1088">
        <f>AG439</f>
        <v>0.2005146886479906</v>
      </c>
      <c r="AH448" s="1089">
        <f>AH439</f>
        <v>0.47888095500094485</v>
      </c>
      <c r="AI448" s="1073"/>
      <c r="AM448" s="1085" t="s">
        <v>93</v>
      </c>
      <c r="AN448" s="1088">
        <f>AN439</f>
        <v>0.32060435635106455</v>
      </c>
      <c r="AO448" s="1088">
        <f>AO439</f>
        <v>0.2005146886479906</v>
      </c>
      <c r="AP448" s="1089">
        <f>AP439</f>
        <v>0.47888095500094485</v>
      </c>
      <c r="AQ448" s="1073"/>
      <c r="AU448" s="1085" t="s">
        <v>93</v>
      </c>
      <c r="AV448" s="1088">
        <f>AV439</f>
        <v>0.32060435635106455</v>
      </c>
      <c r="AW448" s="1088">
        <f>AW439</f>
        <v>0.2005146886479906</v>
      </c>
      <c r="AX448" s="1089">
        <f>AX439</f>
        <v>0.47888095500094485</v>
      </c>
      <c r="AY448" s="1073"/>
      <c r="BC448" s="1085" t="s">
        <v>93</v>
      </c>
      <c r="BD448" s="1088">
        <f>BD439</f>
        <v>0.32060435635106455</v>
      </c>
      <c r="BE448" s="1088">
        <f>BE439</f>
        <v>0.2005146886479906</v>
      </c>
      <c r="BF448" s="1089">
        <f>BF439</f>
        <v>0.47888095500094485</v>
      </c>
      <c r="BG448" s="1073"/>
      <c r="BK448" s="1085" t="s">
        <v>93</v>
      </c>
      <c r="BL448" s="1088">
        <f>BL439</f>
        <v>0.32060435635106455</v>
      </c>
      <c r="BM448" s="1088">
        <f>BM439</f>
        <v>0.2005146886479906</v>
      </c>
      <c r="BN448" s="1089">
        <f>BN439</f>
        <v>0.47888095500094485</v>
      </c>
      <c r="BO448" s="1073"/>
      <c r="BS448" s="1085" t="s">
        <v>93</v>
      </c>
      <c r="BT448" s="1088">
        <f>BT439</f>
        <v>0.32060435635106455</v>
      </c>
      <c r="BU448" s="1088">
        <f>BU439</f>
        <v>0.2005146886479906</v>
      </c>
      <c r="BV448" s="1089">
        <f>BV439</f>
        <v>0.47888095500094485</v>
      </c>
      <c r="BW448" s="1073"/>
      <c r="CA448" s="1085" t="s">
        <v>93</v>
      </c>
      <c r="CB448" s="1088">
        <f>CB439</f>
        <v>0.32060435635106455</v>
      </c>
      <c r="CC448" s="1088">
        <f>CC439</f>
        <v>0.2005146886479906</v>
      </c>
      <c r="CD448" s="1089">
        <f>CD439</f>
        <v>0.47888095500094485</v>
      </c>
      <c r="CE448" s="1073"/>
      <c r="CI448" s="1085" t="s">
        <v>93</v>
      </c>
      <c r="CJ448" s="1088">
        <f>CJ439</f>
        <v>0.32060435635106455</v>
      </c>
      <c r="CK448" s="1088">
        <f>CK439</f>
        <v>0.2005146886479906</v>
      </c>
      <c r="CL448" s="1089">
        <f>CL439</f>
        <v>0.47888095500094485</v>
      </c>
      <c r="CM448" s="1073"/>
      <c r="CQ448" s="1085" t="s">
        <v>93</v>
      </c>
      <c r="CR448" s="1088">
        <f>CR439</f>
        <v>0.32060435635106455</v>
      </c>
      <c r="CS448" s="1088">
        <f>CS439</f>
        <v>0.2005146886479906</v>
      </c>
      <c r="CT448" s="1089">
        <f>CT439</f>
        <v>0.47888095500094485</v>
      </c>
      <c r="CU448" s="1073"/>
      <c r="CY448" s="1085" t="s">
        <v>93</v>
      </c>
      <c r="CZ448" s="1088">
        <f>CZ439</f>
        <v>0.32060435635106455</v>
      </c>
      <c r="DA448" s="1088">
        <f>DA439</f>
        <v>0.2005146886479906</v>
      </c>
      <c r="DB448" s="1089">
        <f>DB439</f>
        <v>0.47888095500094485</v>
      </c>
      <c r="DC448" s="1073"/>
      <c r="DG448" s="1085" t="s">
        <v>93</v>
      </c>
      <c r="DH448" s="1088">
        <f>DH439</f>
        <v>0.32060435635106455</v>
      </c>
      <c r="DI448" s="1088">
        <f>DI439</f>
        <v>0.2005146886479906</v>
      </c>
      <c r="DJ448" s="1089">
        <f>DJ439</f>
        <v>0.47888095500094485</v>
      </c>
      <c r="DK448" s="1073"/>
      <c r="DO448" s="1085" t="s">
        <v>93</v>
      </c>
      <c r="DP448" s="1088">
        <f>DP439</f>
        <v>0.32060435635106455</v>
      </c>
      <c r="DQ448" s="1088">
        <f>DQ439</f>
        <v>0.2005146886479906</v>
      </c>
      <c r="DR448" s="1089">
        <f>DR439</f>
        <v>0.47888095500094485</v>
      </c>
      <c r="DS448" s="1073"/>
      <c r="DW448" s="1085" t="s">
        <v>93</v>
      </c>
      <c r="DX448" s="1088">
        <f>DX439</f>
        <v>0.32060435635106455</v>
      </c>
      <c r="DY448" s="1088">
        <f>DY439</f>
        <v>0.2005146886479906</v>
      </c>
      <c r="DZ448" s="1089">
        <f>DZ439</f>
        <v>0.47888095500094485</v>
      </c>
      <c r="EA448" s="1073"/>
      <c r="EE448" s="1085" t="s">
        <v>93</v>
      </c>
      <c r="EF448" s="1088">
        <f>EF439</f>
        <v>0.32060435635106455</v>
      </c>
      <c r="EG448" s="1088">
        <f>EG439</f>
        <v>0.2005146886479906</v>
      </c>
      <c r="EH448" s="1089">
        <f>EH439</f>
        <v>0.47888095500094485</v>
      </c>
      <c r="EI448" s="1073"/>
      <c r="EM448" s="1085" t="s">
        <v>93</v>
      </c>
      <c r="EN448" s="1088">
        <f>EN439</f>
        <v>0.32060435635106455</v>
      </c>
      <c r="EO448" s="1088">
        <f>EO439</f>
        <v>0.2005146886479906</v>
      </c>
      <c r="EP448" s="1089">
        <f>EP439</f>
        <v>0.47888095500094485</v>
      </c>
      <c r="EQ448" s="1073"/>
      <c r="EU448" s="1085" t="s">
        <v>93</v>
      </c>
      <c r="EV448" s="1088">
        <f>EV439</f>
        <v>0.32060435635106455</v>
      </c>
      <c r="EW448" s="1088">
        <f>EW439</f>
        <v>0.2005146886479906</v>
      </c>
      <c r="EX448" s="1089">
        <f>EX439</f>
        <v>0.47888095500094485</v>
      </c>
      <c r="EY448" s="1073"/>
      <c r="FC448" s="1085" t="s">
        <v>93</v>
      </c>
      <c r="FD448" s="1088">
        <f>FD439</f>
        <v>0.32060435635106455</v>
      </c>
      <c r="FE448" s="1088">
        <f>FE439</f>
        <v>0.2005146886479906</v>
      </c>
      <c r="FF448" s="1089">
        <f>FF439</f>
        <v>0.47888095500094485</v>
      </c>
      <c r="FG448" s="1073"/>
      <c r="FK448" s="1085" t="s">
        <v>93</v>
      </c>
      <c r="FL448" s="1088">
        <f>FL439</f>
        <v>0.32060435635106455</v>
      </c>
      <c r="FM448" s="1088">
        <f>FM439</f>
        <v>0.2005146886479906</v>
      </c>
      <c r="FN448" s="1089">
        <f>FN439</f>
        <v>0.47888095500094485</v>
      </c>
      <c r="FO448" s="1073"/>
    </row>
    <row r="449" spans="1:171">
      <c r="D449" s="1083"/>
      <c r="E449" s="1084"/>
      <c r="F449" s="1079"/>
      <c r="G449" s="1085" t="s">
        <v>95</v>
      </c>
      <c r="H449" s="1088">
        <f>H379</f>
        <v>0.36607064250971133</v>
      </c>
      <c r="I449" s="1088">
        <f>I379</f>
        <v>0</v>
      </c>
      <c r="J449" s="1089">
        <f>J379</f>
        <v>0.63392935749028867</v>
      </c>
      <c r="K449" s="1078"/>
      <c r="O449" s="1085" t="s">
        <v>95</v>
      </c>
      <c r="P449" s="1088">
        <f>P379</f>
        <v>0.36607064250971133</v>
      </c>
      <c r="Q449" s="1088">
        <f>Q379</f>
        <v>7.6713287663511029E-2</v>
      </c>
      <c r="R449" s="1089">
        <f>R379</f>
        <v>0.55721606982677763</v>
      </c>
      <c r="S449" s="1078"/>
      <c r="W449" s="1085" t="s">
        <v>95</v>
      </c>
      <c r="X449" s="1088">
        <f>X379</f>
        <v>0.36607064250971133</v>
      </c>
      <c r="Y449" s="1088">
        <f>Y379</f>
        <v>7.6713287663511029E-2</v>
      </c>
      <c r="Z449" s="1089">
        <f>Z379</f>
        <v>0.55721606982677763</v>
      </c>
      <c r="AA449" s="1078"/>
      <c r="AE449" s="1085" t="s">
        <v>95</v>
      </c>
      <c r="AF449" s="1088">
        <f>AF379</f>
        <v>0.36607064250971133</v>
      </c>
      <c r="AG449" s="1088">
        <f>AG379</f>
        <v>7.6713287663511029E-2</v>
      </c>
      <c r="AH449" s="1089">
        <f>AH379</f>
        <v>0.55721606982677763</v>
      </c>
      <c r="AI449" s="1078"/>
      <c r="AM449" s="1085" t="s">
        <v>95</v>
      </c>
      <c r="AN449" s="1088">
        <f>AN379</f>
        <v>0.36607064250971133</v>
      </c>
      <c r="AO449" s="1088">
        <f>AO379</f>
        <v>7.6713287663511029E-2</v>
      </c>
      <c r="AP449" s="1089">
        <f>AP379</f>
        <v>0.55721606982677763</v>
      </c>
      <c r="AQ449" s="1078"/>
      <c r="AU449" s="1085" t="s">
        <v>95</v>
      </c>
      <c r="AV449" s="1088">
        <f>AV379</f>
        <v>0.36607064250971133</v>
      </c>
      <c r="AW449" s="1088">
        <f>AW379</f>
        <v>7.6713287663511029E-2</v>
      </c>
      <c r="AX449" s="1089">
        <f>AX379</f>
        <v>0.55721606982677763</v>
      </c>
      <c r="AY449" s="1078"/>
      <c r="BC449" s="1085" t="s">
        <v>95</v>
      </c>
      <c r="BD449" s="1088">
        <f>BD379</f>
        <v>0.36607064250971133</v>
      </c>
      <c r="BE449" s="1088">
        <f>BE379</f>
        <v>7.6713287663511029E-2</v>
      </c>
      <c r="BF449" s="1089">
        <f>BF379</f>
        <v>0.55721606982677763</v>
      </c>
      <c r="BG449" s="1078"/>
      <c r="BK449" s="1085" t="s">
        <v>95</v>
      </c>
      <c r="BL449" s="1088">
        <f>BL379</f>
        <v>0.36607064250971133</v>
      </c>
      <c r="BM449" s="1088">
        <f>BM379</f>
        <v>7.6713287663511029E-2</v>
      </c>
      <c r="BN449" s="1089">
        <f>BN379</f>
        <v>0.55721606982677763</v>
      </c>
      <c r="BO449" s="1078"/>
      <c r="BS449" s="1085" t="s">
        <v>95</v>
      </c>
      <c r="BT449" s="1088">
        <f>BT379</f>
        <v>0.36607064250971133</v>
      </c>
      <c r="BU449" s="1088">
        <f>BU379</f>
        <v>7.6713287663511029E-2</v>
      </c>
      <c r="BV449" s="1089">
        <f>BV379</f>
        <v>0.55721606982677763</v>
      </c>
      <c r="BW449" s="1078"/>
      <c r="CA449" s="1085" t="s">
        <v>95</v>
      </c>
      <c r="CB449" s="1088">
        <f>CB379</f>
        <v>0.36607064250971133</v>
      </c>
      <c r="CC449" s="1088">
        <f>CC379</f>
        <v>7.6713287663511029E-2</v>
      </c>
      <c r="CD449" s="1089">
        <f>CD379</f>
        <v>0.55721606982677763</v>
      </c>
      <c r="CE449" s="1078"/>
      <c r="CI449" s="1085" t="s">
        <v>95</v>
      </c>
      <c r="CJ449" s="1088">
        <f>CJ379</f>
        <v>0.36607064250971133</v>
      </c>
      <c r="CK449" s="1088">
        <f>CK379</f>
        <v>7.6713287663511029E-2</v>
      </c>
      <c r="CL449" s="1089">
        <f>CL379</f>
        <v>0.55721606982677763</v>
      </c>
      <c r="CM449" s="1078"/>
      <c r="CQ449" s="1085" t="s">
        <v>95</v>
      </c>
      <c r="CR449" s="1088">
        <f>CR379</f>
        <v>0.36607064250971133</v>
      </c>
      <c r="CS449" s="1088">
        <f>CS379</f>
        <v>7.6713287663511029E-2</v>
      </c>
      <c r="CT449" s="1089">
        <f>CT379</f>
        <v>0.55721606982677763</v>
      </c>
      <c r="CU449" s="1078"/>
      <c r="CY449" s="1085" t="s">
        <v>95</v>
      </c>
      <c r="CZ449" s="1088">
        <f>CZ379</f>
        <v>0.36607064250971133</v>
      </c>
      <c r="DA449" s="1088">
        <f>DA379</f>
        <v>7.6713287663511029E-2</v>
      </c>
      <c r="DB449" s="1089">
        <f>DB379</f>
        <v>0.55721606982677763</v>
      </c>
      <c r="DC449" s="1078"/>
      <c r="DG449" s="1085" t="s">
        <v>95</v>
      </c>
      <c r="DH449" s="1088">
        <f>DH379</f>
        <v>0.36607064250971133</v>
      </c>
      <c r="DI449" s="1088">
        <f>DI379</f>
        <v>7.6713287663511029E-2</v>
      </c>
      <c r="DJ449" s="1089">
        <f>DJ379</f>
        <v>0.55721606982677763</v>
      </c>
      <c r="DK449" s="1078"/>
      <c r="DO449" s="1085" t="s">
        <v>95</v>
      </c>
      <c r="DP449" s="1088">
        <f>DP379</f>
        <v>0.36607064250971133</v>
      </c>
      <c r="DQ449" s="1088">
        <f>DQ379</f>
        <v>7.6713287663511029E-2</v>
      </c>
      <c r="DR449" s="1089">
        <f>DR379</f>
        <v>0.55721606982677763</v>
      </c>
      <c r="DS449" s="1078"/>
      <c r="DW449" s="1085" t="s">
        <v>95</v>
      </c>
      <c r="DX449" s="1088">
        <f>DX379</f>
        <v>0.36607064250971133</v>
      </c>
      <c r="DY449" s="1088">
        <f>DY379</f>
        <v>7.6713287663511029E-2</v>
      </c>
      <c r="DZ449" s="1089">
        <f>DZ379</f>
        <v>0.55721606982677763</v>
      </c>
      <c r="EA449" s="1078"/>
      <c r="EE449" s="1085" t="s">
        <v>95</v>
      </c>
      <c r="EF449" s="1088">
        <f>EF379</f>
        <v>0.36607064250971133</v>
      </c>
      <c r="EG449" s="1088">
        <f>EG379</f>
        <v>7.6713287663511029E-2</v>
      </c>
      <c r="EH449" s="1089">
        <f>EH379</f>
        <v>0.55721606982677763</v>
      </c>
      <c r="EI449" s="1078"/>
      <c r="EM449" s="1085" t="s">
        <v>95</v>
      </c>
      <c r="EN449" s="1088">
        <f>EN379</f>
        <v>0.36607064250971133</v>
      </c>
      <c r="EO449" s="1088">
        <f>EO379</f>
        <v>7.6713287663511029E-2</v>
      </c>
      <c r="EP449" s="1089">
        <f>EP379</f>
        <v>0.55721606982677763</v>
      </c>
      <c r="EQ449" s="1078"/>
      <c r="EU449" s="1085" t="s">
        <v>95</v>
      </c>
      <c r="EV449" s="1088">
        <f>EV379</f>
        <v>0.36607064250971133</v>
      </c>
      <c r="EW449" s="1088">
        <f>EW379</f>
        <v>7.6713287663511029E-2</v>
      </c>
      <c r="EX449" s="1089">
        <f>EX379</f>
        <v>0.55721606982677763</v>
      </c>
      <c r="EY449" s="1078"/>
      <c r="FC449" s="1085" t="s">
        <v>95</v>
      </c>
      <c r="FD449" s="1088">
        <f>FD379</f>
        <v>0.36607064250971133</v>
      </c>
      <c r="FE449" s="1088">
        <f>FE379</f>
        <v>7.6713287663511029E-2</v>
      </c>
      <c r="FF449" s="1089">
        <f>FF379</f>
        <v>0.55721606982677763</v>
      </c>
      <c r="FG449" s="1078"/>
      <c r="FK449" s="1085" t="s">
        <v>95</v>
      </c>
      <c r="FL449" s="1088">
        <f>FL379</f>
        <v>0.36607064250971133</v>
      </c>
      <c r="FM449" s="1088">
        <f>FM379</f>
        <v>7.6713287663511029E-2</v>
      </c>
      <c r="FN449" s="1089">
        <f>FN379</f>
        <v>0.55721606982677763</v>
      </c>
      <c r="FO449" s="1078"/>
    </row>
    <row r="450" spans="1:171">
      <c r="D450" s="1083"/>
      <c r="E450" s="1084"/>
      <c r="F450" s="1079"/>
      <c r="G450" s="1085" t="s">
        <v>99</v>
      </c>
      <c r="H450" s="1088">
        <f>H406</f>
        <v>0.31776081854750221</v>
      </c>
      <c r="I450" s="1088">
        <f>I406</f>
        <v>0</v>
      </c>
      <c r="J450" s="1089">
        <f>J406</f>
        <v>0.68223918145249773</v>
      </c>
      <c r="K450" s="1073"/>
      <c r="O450" s="1085" t="s">
        <v>99</v>
      </c>
      <c r="P450" s="1088">
        <f>P406</f>
        <v>0.31776081854750221</v>
      </c>
      <c r="Q450" s="1088">
        <f>Q406</f>
        <v>0.2082574359356178</v>
      </c>
      <c r="R450" s="1089">
        <f>R406</f>
        <v>0.47398174551687999</v>
      </c>
      <c r="S450" s="1073"/>
      <c r="W450" s="1085" t="s">
        <v>99</v>
      </c>
      <c r="X450" s="1088">
        <f>X406</f>
        <v>0.31776081854750221</v>
      </c>
      <c r="Y450" s="1088">
        <f>Y406</f>
        <v>0.2082574359356178</v>
      </c>
      <c r="Z450" s="1089">
        <f>Z406</f>
        <v>0.47398174551687999</v>
      </c>
      <c r="AA450" s="1073"/>
      <c r="AE450" s="1085" t="s">
        <v>99</v>
      </c>
      <c r="AF450" s="1088">
        <f>AF406</f>
        <v>0.31776081854750221</v>
      </c>
      <c r="AG450" s="1088">
        <f>AG406</f>
        <v>0.2082574359356178</v>
      </c>
      <c r="AH450" s="1089">
        <f>AH406</f>
        <v>0.47398174551687999</v>
      </c>
      <c r="AI450" s="1073"/>
      <c r="AM450" s="1085" t="s">
        <v>99</v>
      </c>
      <c r="AN450" s="1088">
        <f>AN406</f>
        <v>0.31776081854750221</v>
      </c>
      <c r="AO450" s="1088">
        <f>AO406</f>
        <v>0.2082574359356178</v>
      </c>
      <c r="AP450" s="1089">
        <f>AP406</f>
        <v>0.47398174551687999</v>
      </c>
      <c r="AQ450" s="1073"/>
      <c r="AU450" s="1085" t="s">
        <v>99</v>
      </c>
      <c r="AV450" s="1088">
        <f>AV406</f>
        <v>0.31776081854750221</v>
      </c>
      <c r="AW450" s="1088">
        <f>AW406</f>
        <v>0.2082574359356178</v>
      </c>
      <c r="AX450" s="1089">
        <f>AX406</f>
        <v>0.47398174551687999</v>
      </c>
      <c r="AY450" s="1073"/>
      <c r="BC450" s="1085" t="s">
        <v>99</v>
      </c>
      <c r="BD450" s="1088">
        <f>BD406</f>
        <v>0.31776081854750221</v>
      </c>
      <c r="BE450" s="1088">
        <f>BE406</f>
        <v>0.2082574359356178</v>
      </c>
      <c r="BF450" s="1089">
        <f>BF406</f>
        <v>0.47398174551687999</v>
      </c>
      <c r="BG450" s="1073"/>
      <c r="BK450" s="1085" t="s">
        <v>99</v>
      </c>
      <c r="BL450" s="1088">
        <f>BL406</f>
        <v>0.31776081854750221</v>
      </c>
      <c r="BM450" s="1088">
        <f>BM406</f>
        <v>0.2082574359356178</v>
      </c>
      <c r="BN450" s="1089">
        <f>BN406</f>
        <v>0.47398174551687999</v>
      </c>
      <c r="BO450" s="1073"/>
      <c r="BS450" s="1085" t="s">
        <v>99</v>
      </c>
      <c r="BT450" s="1088">
        <f>BT406</f>
        <v>0.31776081854750221</v>
      </c>
      <c r="BU450" s="1088">
        <f>BU406</f>
        <v>0.2082574359356178</v>
      </c>
      <c r="BV450" s="1089">
        <f>BV406</f>
        <v>0.47398174551687999</v>
      </c>
      <c r="BW450" s="1073"/>
      <c r="CA450" s="1085" t="s">
        <v>99</v>
      </c>
      <c r="CB450" s="1088">
        <f>CB406</f>
        <v>0.31776081854750221</v>
      </c>
      <c r="CC450" s="1088">
        <f>CC406</f>
        <v>0.2082574359356178</v>
      </c>
      <c r="CD450" s="1089">
        <f>CD406</f>
        <v>0.47398174551687999</v>
      </c>
      <c r="CE450" s="1073"/>
      <c r="CI450" s="1085" t="s">
        <v>99</v>
      </c>
      <c r="CJ450" s="1088">
        <f>CJ406</f>
        <v>0.31776081854750221</v>
      </c>
      <c r="CK450" s="1088">
        <f>CK406</f>
        <v>0.2082574359356178</v>
      </c>
      <c r="CL450" s="1089">
        <f>CL406</f>
        <v>0.47398174551687999</v>
      </c>
      <c r="CM450" s="1073"/>
      <c r="CQ450" s="1085" t="s">
        <v>99</v>
      </c>
      <c r="CR450" s="1088">
        <f>CR406</f>
        <v>0.31776081854750221</v>
      </c>
      <c r="CS450" s="1088">
        <f>CS406</f>
        <v>0.2082574359356178</v>
      </c>
      <c r="CT450" s="1089">
        <f>CT406</f>
        <v>0.47398174551687999</v>
      </c>
      <c r="CU450" s="1073"/>
      <c r="CY450" s="1085" t="s">
        <v>99</v>
      </c>
      <c r="CZ450" s="1088">
        <f>CZ406</f>
        <v>0.31776081854750221</v>
      </c>
      <c r="DA450" s="1088">
        <f>DA406</f>
        <v>0.2082574359356178</v>
      </c>
      <c r="DB450" s="1089">
        <f>DB406</f>
        <v>0.47398174551687999</v>
      </c>
      <c r="DC450" s="1073"/>
      <c r="DG450" s="1085" t="s">
        <v>99</v>
      </c>
      <c r="DH450" s="1088">
        <f>DH406</f>
        <v>0.31776081854750221</v>
      </c>
      <c r="DI450" s="1088">
        <f>DI406</f>
        <v>0.2082574359356178</v>
      </c>
      <c r="DJ450" s="1089">
        <f>DJ406</f>
        <v>0.47398174551687999</v>
      </c>
      <c r="DK450" s="1073"/>
      <c r="DO450" s="1085" t="s">
        <v>99</v>
      </c>
      <c r="DP450" s="1088">
        <f>DP406</f>
        <v>0.31776081854750221</v>
      </c>
      <c r="DQ450" s="1088">
        <f>DQ406</f>
        <v>0.2082574359356178</v>
      </c>
      <c r="DR450" s="1089">
        <f>DR406</f>
        <v>0.47398174551687999</v>
      </c>
      <c r="DS450" s="1073"/>
      <c r="DW450" s="1085" t="s">
        <v>99</v>
      </c>
      <c r="DX450" s="1088">
        <f>DX406</f>
        <v>0.31776081854750221</v>
      </c>
      <c r="DY450" s="1088">
        <f>DY406</f>
        <v>0.2082574359356178</v>
      </c>
      <c r="DZ450" s="1089">
        <f>DZ406</f>
        <v>0.47398174551687999</v>
      </c>
      <c r="EA450" s="1073"/>
      <c r="EE450" s="1085" t="s">
        <v>99</v>
      </c>
      <c r="EF450" s="1088">
        <f>EF406</f>
        <v>0.31776081854750221</v>
      </c>
      <c r="EG450" s="1088">
        <f>EG406</f>
        <v>0.2082574359356178</v>
      </c>
      <c r="EH450" s="1089">
        <f>EH406</f>
        <v>0.47398174551687999</v>
      </c>
      <c r="EI450" s="1073"/>
      <c r="EM450" s="1085" t="s">
        <v>99</v>
      </c>
      <c r="EN450" s="1088">
        <f>EN406</f>
        <v>0.31776081854750221</v>
      </c>
      <c r="EO450" s="1088">
        <f>EO406</f>
        <v>0.2082574359356178</v>
      </c>
      <c r="EP450" s="1089">
        <f>EP406</f>
        <v>0.47398174551687999</v>
      </c>
      <c r="EQ450" s="1073"/>
      <c r="EU450" s="1085" t="s">
        <v>99</v>
      </c>
      <c r="EV450" s="1088">
        <f>EV406</f>
        <v>0.31776081854750221</v>
      </c>
      <c r="EW450" s="1088">
        <f>EW406</f>
        <v>0.2082574359356178</v>
      </c>
      <c r="EX450" s="1089">
        <f>EX406</f>
        <v>0.47398174551687999</v>
      </c>
      <c r="EY450" s="1073"/>
      <c r="FC450" s="1085" t="s">
        <v>99</v>
      </c>
      <c r="FD450" s="1088">
        <f>FD406</f>
        <v>0.31776081854750221</v>
      </c>
      <c r="FE450" s="1088">
        <f>FE406</f>
        <v>0.2082574359356178</v>
      </c>
      <c r="FF450" s="1089">
        <f>FF406</f>
        <v>0.47398174551687999</v>
      </c>
      <c r="FG450" s="1073"/>
      <c r="FK450" s="1085" t="s">
        <v>99</v>
      </c>
      <c r="FL450" s="1088">
        <f>FL406</f>
        <v>0.31776081854750221</v>
      </c>
      <c r="FM450" s="1088">
        <f>FM406</f>
        <v>0.2082574359356178</v>
      </c>
      <c r="FN450" s="1089">
        <f>FN406</f>
        <v>0.47398174551687999</v>
      </c>
      <c r="FO450" s="1073"/>
    </row>
    <row r="451" spans="1:171">
      <c r="D451" s="1083"/>
      <c r="E451" s="1084"/>
      <c r="F451" s="1079"/>
      <c r="G451" s="1085" t="s">
        <v>108</v>
      </c>
      <c r="H451" s="1088">
        <f>H415</f>
        <v>0.31822270268064157</v>
      </c>
      <c r="I451" s="1088">
        <f>I415</f>
        <v>0</v>
      </c>
      <c r="J451" s="1089">
        <f>J415</f>
        <v>0.68177729721660785</v>
      </c>
      <c r="K451" s="1073"/>
      <c r="O451" s="1085" t="s">
        <v>108</v>
      </c>
      <c r="P451" s="1088">
        <f>P415</f>
        <v>0.31822270268064157</v>
      </c>
      <c r="Q451" s="1088">
        <f>Q415</f>
        <v>0.20567919424372383</v>
      </c>
      <c r="R451" s="1089">
        <f>R415</f>
        <v>0.47609810307563472</v>
      </c>
      <c r="S451" s="1073"/>
      <c r="W451" s="1085" t="s">
        <v>108</v>
      </c>
      <c r="X451" s="1088">
        <f>X415</f>
        <v>0.31822270268064157</v>
      </c>
      <c r="Y451" s="1088">
        <f>Y415</f>
        <v>0.20567919424372383</v>
      </c>
      <c r="Z451" s="1089">
        <f>Z415</f>
        <v>0.47609810307563472</v>
      </c>
      <c r="AA451" s="1073"/>
      <c r="AE451" s="1085" t="s">
        <v>108</v>
      </c>
      <c r="AF451" s="1088">
        <f>AF415</f>
        <v>0.31822270268064157</v>
      </c>
      <c r="AG451" s="1088">
        <f>AG415</f>
        <v>0.20567919424372383</v>
      </c>
      <c r="AH451" s="1089">
        <f>AH415</f>
        <v>0.47609810307563472</v>
      </c>
      <c r="AI451" s="1073"/>
      <c r="AM451" s="1085" t="s">
        <v>108</v>
      </c>
      <c r="AN451" s="1088">
        <f>AN415</f>
        <v>0.31822270268064157</v>
      </c>
      <c r="AO451" s="1088">
        <f>AO415</f>
        <v>0.20567919424372383</v>
      </c>
      <c r="AP451" s="1089">
        <f>AP415</f>
        <v>0.47609810307563472</v>
      </c>
      <c r="AQ451" s="1073"/>
      <c r="AU451" s="1085" t="s">
        <v>108</v>
      </c>
      <c r="AV451" s="1088">
        <f>AV415</f>
        <v>0.31822270268064157</v>
      </c>
      <c r="AW451" s="1088">
        <f>AW415</f>
        <v>0.20567919424372383</v>
      </c>
      <c r="AX451" s="1089">
        <f>AX415</f>
        <v>0.47609810307563472</v>
      </c>
      <c r="AY451" s="1073"/>
      <c r="BC451" s="1085" t="s">
        <v>108</v>
      </c>
      <c r="BD451" s="1088">
        <f>BD415</f>
        <v>0.31822270268064157</v>
      </c>
      <c r="BE451" s="1088">
        <f>BE415</f>
        <v>0.20567919424372383</v>
      </c>
      <c r="BF451" s="1089">
        <f>BF415</f>
        <v>0.47609810307563472</v>
      </c>
      <c r="BG451" s="1073"/>
      <c r="BK451" s="1085" t="s">
        <v>108</v>
      </c>
      <c r="BL451" s="1088">
        <f>BL415</f>
        <v>0.31822270268064157</v>
      </c>
      <c r="BM451" s="1088">
        <f>BM415</f>
        <v>0.20567919424372383</v>
      </c>
      <c r="BN451" s="1089">
        <f>BN415</f>
        <v>0.47609810307563472</v>
      </c>
      <c r="BO451" s="1073"/>
      <c r="BS451" s="1085" t="s">
        <v>108</v>
      </c>
      <c r="BT451" s="1088">
        <f>BT415</f>
        <v>0.31822270268064157</v>
      </c>
      <c r="BU451" s="1088">
        <f>BU415</f>
        <v>0.20567919424372383</v>
      </c>
      <c r="BV451" s="1089">
        <f>BV415</f>
        <v>0.47609810307563472</v>
      </c>
      <c r="BW451" s="1073"/>
      <c r="CA451" s="1085" t="s">
        <v>108</v>
      </c>
      <c r="CB451" s="1088">
        <f>CB415</f>
        <v>0.31822270268064157</v>
      </c>
      <c r="CC451" s="1088">
        <f>CC415</f>
        <v>0.20567919424372383</v>
      </c>
      <c r="CD451" s="1089">
        <f>CD415</f>
        <v>0.47609810307563472</v>
      </c>
      <c r="CE451" s="1073"/>
      <c r="CI451" s="1085" t="s">
        <v>108</v>
      </c>
      <c r="CJ451" s="1088">
        <f>CJ415</f>
        <v>0.31822270268064157</v>
      </c>
      <c r="CK451" s="1088">
        <f>CK415</f>
        <v>0.20567919424372383</v>
      </c>
      <c r="CL451" s="1089">
        <f>CL415</f>
        <v>0.47609810307563472</v>
      </c>
      <c r="CM451" s="1073"/>
      <c r="CQ451" s="1085" t="s">
        <v>108</v>
      </c>
      <c r="CR451" s="1088">
        <f>CR415</f>
        <v>0.31822270268064157</v>
      </c>
      <c r="CS451" s="1088">
        <f>CS415</f>
        <v>0.20567919424372383</v>
      </c>
      <c r="CT451" s="1089">
        <f>CT415</f>
        <v>0.47609810307563472</v>
      </c>
      <c r="CU451" s="1073"/>
      <c r="CY451" s="1085" t="s">
        <v>108</v>
      </c>
      <c r="CZ451" s="1088">
        <f>CZ415</f>
        <v>0.31822270268064157</v>
      </c>
      <c r="DA451" s="1088">
        <f>DA415</f>
        <v>0.20567919424372383</v>
      </c>
      <c r="DB451" s="1089">
        <f>DB415</f>
        <v>0.47609810307563472</v>
      </c>
      <c r="DC451" s="1073"/>
      <c r="DG451" s="1085" t="s">
        <v>108</v>
      </c>
      <c r="DH451" s="1088">
        <f>DH415</f>
        <v>0.31822270268064157</v>
      </c>
      <c r="DI451" s="1088">
        <f>DI415</f>
        <v>0.20567919424372383</v>
      </c>
      <c r="DJ451" s="1089">
        <f>DJ415</f>
        <v>0.47609810307563472</v>
      </c>
      <c r="DK451" s="1073"/>
      <c r="DO451" s="1085" t="s">
        <v>108</v>
      </c>
      <c r="DP451" s="1088">
        <f>DP415</f>
        <v>0.31822270268064157</v>
      </c>
      <c r="DQ451" s="1088">
        <f>DQ415</f>
        <v>0.20567919424372383</v>
      </c>
      <c r="DR451" s="1089">
        <f>DR415</f>
        <v>0.47609810307563472</v>
      </c>
      <c r="DS451" s="1073"/>
      <c r="DW451" s="1085" t="s">
        <v>108</v>
      </c>
      <c r="DX451" s="1088">
        <f>DX415</f>
        <v>0.31822270268064157</v>
      </c>
      <c r="DY451" s="1088">
        <f>DY415</f>
        <v>0.20567919424372383</v>
      </c>
      <c r="DZ451" s="1089">
        <f>DZ415</f>
        <v>0.47609810307563472</v>
      </c>
      <c r="EA451" s="1073"/>
      <c r="EE451" s="1085" t="s">
        <v>108</v>
      </c>
      <c r="EF451" s="1088">
        <f>EF415</f>
        <v>0.31822270268064157</v>
      </c>
      <c r="EG451" s="1088">
        <f>EG415</f>
        <v>0.20567919424372383</v>
      </c>
      <c r="EH451" s="1089">
        <f>EH415</f>
        <v>0.47609810307563472</v>
      </c>
      <c r="EI451" s="1073"/>
      <c r="EM451" s="1085" t="s">
        <v>108</v>
      </c>
      <c r="EN451" s="1088">
        <f>EN415</f>
        <v>0.31822270268064157</v>
      </c>
      <c r="EO451" s="1088">
        <f>EO415</f>
        <v>0.20567919424372383</v>
      </c>
      <c r="EP451" s="1089">
        <f>EP415</f>
        <v>0.47609810307563472</v>
      </c>
      <c r="EQ451" s="1073"/>
      <c r="EU451" s="1085" t="s">
        <v>108</v>
      </c>
      <c r="EV451" s="1088">
        <f>EV415</f>
        <v>0.31822270268064157</v>
      </c>
      <c r="EW451" s="1088">
        <f>EW415</f>
        <v>0.20567919424372383</v>
      </c>
      <c r="EX451" s="1089">
        <f>EX415</f>
        <v>0.47609810307563472</v>
      </c>
      <c r="EY451" s="1073"/>
      <c r="FC451" s="1085" t="s">
        <v>108</v>
      </c>
      <c r="FD451" s="1088">
        <f>FD415</f>
        <v>0.31822270268064157</v>
      </c>
      <c r="FE451" s="1088">
        <f>FE415</f>
        <v>0.20567919424372383</v>
      </c>
      <c r="FF451" s="1089">
        <f>FF415</f>
        <v>0.47609810307563472</v>
      </c>
      <c r="FG451" s="1073"/>
      <c r="FK451" s="1085" t="s">
        <v>108</v>
      </c>
      <c r="FL451" s="1088">
        <f>FL415</f>
        <v>0.31822270268064157</v>
      </c>
      <c r="FM451" s="1088">
        <f>FM415</f>
        <v>0.20567919424372383</v>
      </c>
      <c r="FN451" s="1089">
        <f>FN415</f>
        <v>0.47609810307563472</v>
      </c>
      <c r="FO451" s="1073"/>
    </row>
    <row r="452" spans="1:171">
      <c r="D452" s="1083"/>
      <c r="E452" s="1084"/>
      <c r="F452" s="1079"/>
      <c r="G452" s="1090" t="s">
        <v>109</v>
      </c>
      <c r="H452" s="1088">
        <f>H421</f>
        <v>0</v>
      </c>
      <c r="I452" s="1088">
        <f>I421</f>
        <v>0</v>
      </c>
      <c r="J452" s="1089">
        <f>J421</f>
        <v>1</v>
      </c>
      <c r="K452" s="1078"/>
      <c r="O452" s="1090" t="s">
        <v>109</v>
      </c>
      <c r="P452" s="1088">
        <f>P421</f>
        <v>0</v>
      </c>
      <c r="Q452" s="1088">
        <f>Q421</f>
        <v>0.30525575428288138</v>
      </c>
      <c r="R452" s="1089">
        <f>R421</f>
        <v>0.69474424571711857</v>
      </c>
      <c r="S452" s="1078"/>
      <c r="W452" s="1090" t="s">
        <v>109</v>
      </c>
      <c r="X452" s="1088">
        <f>X421</f>
        <v>0</v>
      </c>
      <c r="Y452" s="1088">
        <f>Y421</f>
        <v>0.30525575428288138</v>
      </c>
      <c r="Z452" s="1089">
        <f>Z421</f>
        <v>0.69474424571711857</v>
      </c>
      <c r="AA452" s="1078"/>
      <c r="AE452" s="1090" t="s">
        <v>109</v>
      </c>
      <c r="AF452" s="1088">
        <f>AF421</f>
        <v>0</v>
      </c>
      <c r="AG452" s="1088">
        <f>AG421</f>
        <v>0.30525575428288138</v>
      </c>
      <c r="AH452" s="1089">
        <f>AH421</f>
        <v>0.69474424571711857</v>
      </c>
      <c r="AI452" s="1078"/>
      <c r="AM452" s="1090" t="s">
        <v>109</v>
      </c>
      <c r="AN452" s="1088">
        <f>AN421</f>
        <v>0</v>
      </c>
      <c r="AO452" s="1088">
        <f>AO421</f>
        <v>0.30525575428288138</v>
      </c>
      <c r="AP452" s="1089">
        <f>AP421</f>
        <v>0.69474424571711857</v>
      </c>
      <c r="AQ452" s="1078"/>
      <c r="AU452" s="1090" t="s">
        <v>109</v>
      </c>
      <c r="AV452" s="1088">
        <f>AV421</f>
        <v>0</v>
      </c>
      <c r="AW452" s="1088">
        <f>AW421</f>
        <v>0.30525575428288138</v>
      </c>
      <c r="AX452" s="1089">
        <f>AX421</f>
        <v>0.69474424571711857</v>
      </c>
      <c r="AY452" s="1078"/>
      <c r="BC452" s="1090" t="s">
        <v>109</v>
      </c>
      <c r="BD452" s="1088">
        <f>BD421</f>
        <v>0</v>
      </c>
      <c r="BE452" s="1088">
        <f>BE421</f>
        <v>0.30525575428288138</v>
      </c>
      <c r="BF452" s="1089">
        <f>BF421</f>
        <v>0.69474424571711857</v>
      </c>
      <c r="BG452" s="1078"/>
      <c r="BK452" s="1090" t="s">
        <v>109</v>
      </c>
      <c r="BL452" s="1088">
        <f>BL421</f>
        <v>0</v>
      </c>
      <c r="BM452" s="1088">
        <f>BM421</f>
        <v>0.30525575428288138</v>
      </c>
      <c r="BN452" s="1089">
        <f>BN421</f>
        <v>0.69474424571711857</v>
      </c>
      <c r="BO452" s="1078"/>
      <c r="BS452" s="1090" t="s">
        <v>109</v>
      </c>
      <c r="BT452" s="1088">
        <f>BT421</f>
        <v>0</v>
      </c>
      <c r="BU452" s="1088">
        <f>BU421</f>
        <v>0.30525575428288138</v>
      </c>
      <c r="BV452" s="1089">
        <f>BV421</f>
        <v>0.69474424571711857</v>
      </c>
      <c r="BW452" s="1078"/>
      <c r="CA452" s="1090" t="s">
        <v>109</v>
      </c>
      <c r="CB452" s="1088">
        <f>CB421</f>
        <v>0</v>
      </c>
      <c r="CC452" s="1088">
        <f>CC421</f>
        <v>0.30525575428288138</v>
      </c>
      <c r="CD452" s="1089">
        <f>CD421</f>
        <v>0.69474424571711857</v>
      </c>
      <c r="CE452" s="1078"/>
      <c r="CI452" s="1090" t="s">
        <v>109</v>
      </c>
      <c r="CJ452" s="1088">
        <f>CJ421</f>
        <v>0</v>
      </c>
      <c r="CK452" s="1088">
        <f>CK421</f>
        <v>0.30525575428288138</v>
      </c>
      <c r="CL452" s="1089">
        <f>CL421</f>
        <v>0.69474424571711857</v>
      </c>
      <c r="CM452" s="1078"/>
      <c r="CQ452" s="1090" t="s">
        <v>109</v>
      </c>
      <c r="CR452" s="1088">
        <f>CR421</f>
        <v>0</v>
      </c>
      <c r="CS452" s="1088">
        <f>CS421</f>
        <v>0.30525575428288138</v>
      </c>
      <c r="CT452" s="1089">
        <f>CT421</f>
        <v>0.69474424571711857</v>
      </c>
      <c r="CU452" s="1078"/>
      <c r="CY452" s="1090" t="s">
        <v>109</v>
      </c>
      <c r="CZ452" s="1088">
        <f>CZ421</f>
        <v>0</v>
      </c>
      <c r="DA452" s="1088">
        <f>DA421</f>
        <v>0.30525575428288138</v>
      </c>
      <c r="DB452" s="1089">
        <f>DB421</f>
        <v>0.69474424571711857</v>
      </c>
      <c r="DC452" s="1078"/>
      <c r="DG452" s="1090" t="s">
        <v>109</v>
      </c>
      <c r="DH452" s="1088">
        <f>DH421</f>
        <v>0</v>
      </c>
      <c r="DI452" s="1088">
        <f>DI421</f>
        <v>0.30525575428288138</v>
      </c>
      <c r="DJ452" s="1089">
        <f>DJ421</f>
        <v>0.69474424571711857</v>
      </c>
      <c r="DK452" s="1078"/>
      <c r="DO452" s="1090" t="s">
        <v>109</v>
      </c>
      <c r="DP452" s="1088">
        <f>DP421</f>
        <v>0</v>
      </c>
      <c r="DQ452" s="1088">
        <f>DQ421</f>
        <v>0.30525575428288138</v>
      </c>
      <c r="DR452" s="1089">
        <f>DR421</f>
        <v>0.69474424571711857</v>
      </c>
      <c r="DS452" s="1078"/>
      <c r="DW452" s="1090" t="s">
        <v>109</v>
      </c>
      <c r="DX452" s="1088">
        <f>DX421</f>
        <v>0</v>
      </c>
      <c r="DY452" s="1088">
        <f>DY421</f>
        <v>0.30525575428288138</v>
      </c>
      <c r="DZ452" s="1089">
        <f>DZ421</f>
        <v>0.69474424571711857</v>
      </c>
      <c r="EA452" s="1078"/>
      <c r="EE452" s="1090" t="s">
        <v>109</v>
      </c>
      <c r="EF452" s="1088">
        <f>EF421</f>
        <v>0</v>
      </c>
      <c r="EG452" s="1088">
        <f>EG421</f>
        <v>0.30525575428288138</v>
      </c>
      <c r="EH452" s="1089">
        <f>EH421</f>
        <v>0.69474424571711857</v>
      </c>
      <c r="EI452" s="1078"/>
      <c r="EM452" s="1090" t="s">
        <v>109</v>
      </c>
      <c r="EN452" s="1088">
        <f>EN421</f>
        <v>0</v>
      </c>
      <c r="EO452" s="1088">
        <f>EO421</f>
        <v>0.30525575428288138</v>
      </c>
      <c r="EP452" s="1089">
        <f>EP421</f>
        <v>0.69474424571711857</v>
      </c>
      <c r="EQ452" s="1078"/>
      <c r="EU452" s="1090" t="s">
        <v>109</v>
      </c>
      <c r="EV452" s="1088">
        <f>EV421</f>
        <v>0</v>
      </c>
      <c r="EW452" s="1088">
        <f>EW421</f>
        <v>0.30525575428288138</v>
      </c>
      <c r="EX452" s="1089">
        <f>EX421</f>
        <v>0.69474424571711857</v>
      </c>
      <c r="EY452" s="1078"/>
      <c r="FC452" s="1090" t="s">
        <v>109</v>
      </c>
      <c r="FD452" s="1088">
        <f>FD421</f>
        <v>0</v>
      </c>
      <c r="FE452" s="1088">
        <f>FE421</f>
        <v>0.30525575428288138</v>
      </c>
      <c r="FF452" s="1089">
        <f>FF421</f>
        <v>0.69474424571711857</v>
      </c>
      <c r="FG452" s="1078"/>
      <c r="FK452" s="1090" t="s">
        <v>109</v>
      </c>
      <c r="FL452" s="1088">
        <f>FL421</f>
        <v>0</v>
      </c>
      <c r="FM452" s="1088">
        <f>FM421</f>
        <v>0.30525575428288138</v>
      </c>
      <c r="FN452" s="1089">
        <f>FN421</f>
        <v>0.69474424571711857</v>
      </c>
      <c r="FO452" s="1078"/>
    </row>
    <row r="453" spans="1:171" ht="16.5" thickBot="1">
      <c r="D453" s="865"/>
      <c r="E453" s="1079"/>
      <c r="F453" s="1079"/>
      <c r="G453" s="114"/>
      <c r="H453" s="1091"/>
      <c r="I453" s="1091"/>
      <c r="J453" s="1092"/>
      <c r="K453" s="1073"/>
      <c r="O453" s="114"/>
      <c r="P453" s="1091"/>
      <c r="Q453" s="1091"/>
      <c r="R453" s="1092"/>
      <c r="S453" s="1073"/>
      <c r="W453" s="114"/>
      <c r="X453" s="1091"/>
      <c r="Y453" s="1091"/>
      <c r="Z453" s="1092"/>
      <c r="AA453" s="1073"/>
      <c r="AE453" s="114"/>
      <c r="AF453" s="1091"/>
      <c r="AG453" s="1091"/>
      <c r="AH453" s="1092"/>
      <c r="AI453" s="1073"/>
      <c r="AM453" s="114"/>
      <c r="AN453" s="1091"/>
      <c r="AO453" s="1091"/>
      <c r="AP453" s="1092"/>
      <c r="AQ453" s="1073"/>
      <c r="AU453" s="114"/>
      <c r="AV453" s="1091"/>
      <c r="AW453" s="1091"/>
      <c r="AX453" s="1092"/>
      <c r="AY453" s="1073"/>
      <c r="BC453" s="114"/>
      <c r="BD453" s="1091"/>
      <c r="BE453" s="1091"/>
      <c r="BF453" s="1092"/>
      <c r="BG453" s="1073"/>
      <c r="BK453" s="114"/>
      <c r="BL453" s="1091"/>
      <c r="BM453" s="1091"/>
      <c r="BN453" s="1092"/>
      <c r="BO453" s="1073"/>
      <c r="BS453" s="114"/>
      <c r="BT453" s="1091"/>
      <c r="BU453" s="1091"/>
      <c r="BV453" s="1092"/>
      <c r="BW453" s="1073"/>
      <c r="CA453" s="114"/>
      <c r="CB453" s="1091"/>
      <c r="CC453" s="1091"/>
      <c r="CD453" s="1092"/>
      <c r="CE453" s="1073"/>
      <c r="CI453" s="114"/>
      <c r="CJ453" s="1091"/>
      <c r="CK453" s="1091"/>
      <c r="CL453" s="1092"/>
      <c r="CM453" s="1073"/>
      <c r="CQ453" s="114"/>
      <c r="CR453" s="1091"/>
      <c r="CS453" s="1091"/>
      <c r="CT453" s="1092"/>
      <c r="CU453" s="1073"/>
      <c r="CY453" s="114"/>
      <c r="CZ453" s="1091"/>
      <c r="DA453" s="1091"/>
      <c r="DB453" s="1092"/>
      <c r="DC453" s="1073"/>
      <c r="DG453" s="114"/>
      <c r="DH453" s="1091"/>
      <c r="DI453" s="1091"/>
      <c r="DJ453" s="1092"/>
      <c r="DK453" s="1073"/>
      <c r="DO453" s="114"/>
      <c r="DP453" s="1091"/>
      <c r="DQ453" s="1091"/>
      <c r="DR453" s="1092"/>
      <c r="DS453" s="1073"/>
      <c r="DW453" s="114"/>
      <c r="DX453" s="1091"/>
      <c r="DY453" s="1091"/>
      <c r="DZ453" s="1092"/>
      <c r="EA453" s="1073"/>
      <c r="EE453" s="114"/>
      <c r="EF453" s="1091"/>
      <c r="EG453" s="1091"/>
      <c r="EH453" s="1092"/>
      <c r="EI453" s="1073"/>
      <c r="EM453" s="114"/>
      <c r="EN453" s="1091"/>
      <c r="EO453" s="1091"/>
      <c r="EP453" s="1092"/>
      <c r="EQ453" s="1073"/>
      <c r="EU453" s="114"/>
      <c r="EV453" s="1091"/>
      <c r="EW453" s="1091"/>
      <c r="EX453" s="1092"/>
      <c r="EY453" s="1073"/>
      <c r="FC453" s="114"/>
      <c r="FD453" s="1091"/>
      <c r="FE453" s="1091"/>
      <c r="FF453" s="1092"/>
      <c r="FG453" s="1073"/>
      <c r="FK453" s="114"/>
      <c r="FL453" s="1091"/>
      <c r="FM453" s="1091"/>
      <c r="FN453" s="1092"/>
      <c r="FO453" s="1073"/>
    </row>
    <row r="454" spans="1:171" ht="16.5" thickTop="1">
      <c r="K454" s="1073"/>
      <c r="S454" s="1073"/>
      <c r="AA454" s="1073"/>
      <c r="AI454" s="1073"/>
      <c r="AQ454" s="1073"/>
      <c r="AY454" s="1073"/>
      <c r="BG454" s="1073"/>
      <c r="BO454" s="1073"/>
      <c r="BW454" s="1073"/>
      <c r="CE454" s="1073"/>
      <c r="CM454" s="1073"/>
      <c r="CU454" s="1073"/>
      <c r="DC454" s="1073"/>
      <c r="DK454" s="1073"/>
      <c r="DS454" s="1073"/>
      <c r="EA454" s="1073"/>
      <c r="EI454" s="1073"/>
      <c r="EQ454" s="1073"/>
      <c r="EY454" s="1073"/>
      <c r="FG454" s="1073"/>
      <c r="FO454" s="1073"/>
    </row>
    <row r="455" spans="1:171">
      <c r="K455" s="1078"/>
      <c r="S455" s="1073"/>
      <c r="AA455" s="1073"/>
      <c r="AI455" s="1073"/>
      <c r="AQ455" s="1073"/>
      <c r="AY455" s="1073"/>
      <c r="BG455" s="1073"/>
      <c r="BO455" s="1073"/>
      <c r="BW455" s="1073"/>
      <c r="CE455" s="1073"/>
      <c r="CM455" s="1073"/>
      <c r="CU455" s="1073"/>
      <c r="DC455" s="1073"/>
      <c r="DK455" s="1073"/>
      <c r="DS455" s="1073"/>
      <c r="EA455" s="1073"/>
      <c r="EI455" s="1073"/>
      <c r="EQ455" s="1073"/>
      <c r="EY455" s="1073"/>
      <c r="FG455" s="1073"/>
      <c r="FO455" s="1073"/>
    </row>
    <row r="456" spans="1:171">
      <c r="K456" s="1073"/>
      <c r="S456" s="1073"/>
      <c r="AA456" s="1073"/>
      <c r="AI456" s="1073"/>
      <c r="AQ456" s="1073"/>
      <c r="AY456" s="1073"/>
      <c r="BG456" s="1073"/>
      <c r="BO456" s="1073"/>
      <c r="BW456" s="1073"/>
      <c r="CE456" s="1073"/>
      <c r="CM456" s="1073"/>
      <c r="CU456" s="1073"/>
      <c r="DC456" s="1073"/>
      <c r="DK456" s="1073"/>
      <c r="DS456" s="1073"/>
      <c r="EA456" s="1073"/>
      <c r="EI456" s="1073"/>
      <c r="EQ456" s="1073"/>
      <c r="EY456" s="1073"/>
      <c r="FG456" s="1073"/>
      <c r="FO456" s="1073"/>
    </row>
    <row r="457" spans="1:171">
      <c r="K457" s="1073"/>
      <c r="S457" s="1073"/>
      <c r="AA457" s="1073"/>
      <c r="AI457" s="1073"/>
      <c r="AQ457" s="1073"/>
      <c r="AY457" s="1073"/>
      <c r="BG457" s="1073"/>
      <c r="BO457" s="1073"/>
      <c r="BW457" s="1073"/>
      <c r="CE457" s="1073"/>
      <c r="CM457" s="1073"/>
      <c r="CU457" s="1073"/>
      <c r="DC457" s="1073"/>
      <c r="DK457" s="1073"/>
      <c r="DS457" s="1073"/>
      <c r="EA457" s="1073"/>
      <c r="EI457" s="1073"/>
      <c r="EQ457" s="1073"/>
      <c r="EY457" s="1073"/>
      <c r="FG457" s="1073"/>
      <c r="FO457" s="1073"/>
    </row>
    <row r="458" spans="1:171">
      <c r="K458" s="1073"/>
      <c r="S458" s="1073"/>
      <c r="AA458" s="1073"/>
      <c r="AI458" s="1073"/>
      <c r="AQ458" s="1073"/>
      <c r="AY458" s="1073"/>
      <c r="BG458" s="1073"/>
      <c r="BO458" s="1073"/>
      <c r="BW458" s="1073"/>
      <c r="CE458" s="1073"/>
      <c r="CM458" s="1073"/>
      <c r="CU458" s="1073"/>
      <c r="DC458" s="1073"/>
      <c r="DK458" s="1073"/>
      <c r="DS458" s="1073"/>
      <c r="EA458" s="1073"/>
      <c r="EI458" s="1073"/>
      <c r="EQ458" s="1073"/>
      <c r="EY458" s="1073"/>
      <c r="FG458" s="1073"/>
      <c r="FO458" s="1073"/>
    </row>
    <row r="459" spans="1:171">
      <c r="K459" s="1073"/>
      <c r="S459" s="1073"/>
      <c r="AA459" s="1073"/>
      <c r="AI459" s="1073"/>
      <c r="AQ459" s="1073"/>
      <c r="AY459" s="1073"/>
      <c r="BG459" s="1073"/>
      <c r="BO459" s="1073"/>
      <c r="BW459" s="1073"/>
      <c r="CE459" s="1073"/>
      <c r="CM459" s="1073"/>
      <c r="CU459" s="1073"/>
      <c r="DC459" s="1073"/>
      <c r="DK459" s="1073"/>
      <c r="DS459" s="1073"/>
      <c r="EA459" s="1073"/>
      <c r="EI459" s="1073"/>
      <c r="EQ459" s="1073"/>
      <c r="EY459" s="1073"/>
      <c r="FG459" s="1073"/>
      <c r="FO459" s="1073"/>
    </row>
    <row r="460" spans="1:171">
      <c r="K460" s="1073"/>
      <c r="S460" s="1073"/>
      <c r="AA460" s="1073"/>
      <c r="AI460" s="1073"/>
      <c r="AQ460" s="1073"/>
      <c r="AY460" s="1073"/>
      <c r="BG460" s="1073"/>
      <c r="BO460" s="1073"/>
      <c r="BW460" s="1073"/>
      <c r="CE460" s="1073"/>
      <c r="CM460" s="1073"/>
      <c r="CU460" s="1073"/>
      <c r="DC460" s="1073"/>
      <c r="DK460" s="1073"/>
      <c r="DS460" s="1073"/>
      <c r="EA460" s="1073"/>
      <c r="EI460" s="1073"/>
      <c r="EQ460" s="1073"/>
      <c r="EY460" s="1073"/>
      <c r="FG460" s="1073"/>
      <c r="FO460" s="1073"/>
    </row>
    <row r="461" spans="1:171">
      <c r="A461" s="903"/>
      <c r="B461" s="903"/>
      <c r="C461" s="903"/>
      <c r="D461" s="903"/>
      <c r="E461" s="903"/>
      <c r="F461" s="903"/>
      <c r="G461" s="903"/>
      <c r="H461" s="903"/>
      <c r="I461" s="903"/>
      <c r="J461" s="903"/>
      <c r="K461" s="903"/>
      <c r="L461" s="903"/>
      <c r="M461" s="903"/>
      <c r="N461" s="903"/>
      <c r="O461" s="903"/>
      <c r="P461" s="903"/>
      <c r="Q461" s="903"/>
      <c r="R461" s="903"/>
      <c r="S461" s="903"/>
      <c r="T461" s="903"/>
      <c r="U461" s="903"/>
      <c r="V461" s="903"/>
      <c r="W461" s="903"/>
      <c r="X461" s="903"/>
      <c r="Y461" s="903"/>
      <c r="Z461" s="903"/>
      <c r="AA461" s="903"/>
      <c r="AB461" s="903"/>
      <c r="AC461" s="903"/>
      <c r="AD461" s="903"/>
      <c r="AE461" s="903"/>
      <c r="AF461" s="903"/>
      <c r="AG461" s="903"/>
      <c r="AH461" s="903"/>
      <c r="AI461" s="903"/>
      <c r="AJ461" s="903"/>
      <c r="AK461" s="903"/>
      <c r="AL461" s="903"/>
      <c r="AM461" s="903"/>
      <c r="AN461" s="903"/>
      <c r="AO461" s="903"/>
      <c r="AP461" s="903"/>
      <c r="AQ461" s="903"/>
      <c r="AR461" s="903"/>
      <c r="AS461" s="903"/>
      <c r="AT461" s="903"/>
      <c r="AU461" s="903"/>
      <c r="AV461" s="903"/>
      <c r="AW461" s="903"/>
      <c r="AX461" s="903"/>
      <c r="AY461" s="903"/>
      <c r="AZ461" s="903"/>
      <c r="BA461" s="903"/>
      <c r="BB461" s="903"/>
      <c r="BC461" s="903"/>
      <c r="BD461" s="903"/>
      <c r="BE461" s="903"/>
      <c r="BF461" s="903"/>
      <c r="BG461" s="903"/>
      <c r="BH461" s="903"/>
      <c r="BI461" s="903"/>
      <c r="BJ461" s="903"/>
      <c r="BK461" s="903"/>
      <c r="BL461" s="903"/>
      <c r="BM461" s="903"/>
      <c r="BN461" s="903"/>
      <c r="BO461" s="903"/>
      <c r="BP461" s="903"/>
      <c r="BQ461" s="903"/>
      <c r="BR461" s="903"/>
      <c r="BS461" s="903"/>
      <c r="BT461" s="903"/>
      <c r="BU461" s="903"/>
      <c r="BV461" s="903"/>
      <c r="BW461" s="903"/>
      <c r="BX461" s="903"/>
      <c r="BY461" s="903"/>
      <c r="BZ461" s="903"/>
      <c r="CA461" s="903"/>
      <c r="CB461" s="903"/>
      <c r="CC461" s="903"/>
      <c r="CD461" s="903"/>
      <c r="CE461" s="903"/>
      <c r="CF461" s="903"/>
      <c r="CG461" s="903"/>
      <c r="CH461" s="903"/>
      <c r="CI461" s="903"/>
      <c r="CJ461" s="903"/>
      <c r="CK461" s="903"/>
      <c r="CL461" s="903"/>
      <c r="CM461" s="903"/>
      <c r="CN461" s="903"/>
      <c r="CO461" s="903"/>
      <c r="CP461" s="903"/>
      <c r="CQ461" s="903"/>
      <c r="CR461" s="903"/>
      <c r="CS461" s="903"/>
      <c r="CT461" s="903"/>
      <c r="CU461" s="903"/>
      <c r="CV461" s="903"/>
      <c r="CW461" s="903"/>
      <c r="CX461" s="903"/>
      <c r="CY461" s="903"/>
      <c r="CZ461" s="903"/>
      <c r="DA461" s="903"/>
      <c r="DB461" s="903"/>
      <c r="DC461" s="903"/>
      <c r="DD461" s="903"/>
      <c r="DE461" s="903"/>
      <c r="DF461" s="903"/>
      <c r="DG461" s="903"/>
      <c r="DH461" s="903"/>
      <c r="DI461" s="903"/>
      <c r="DJ461" s="903"/>
      <c r="DK461" s="903"/>
      <c r="DL461" s="903"/>
      <c r="DM461" s="903"/>
      <c r="DN461" s="903"/>
      <c r="DO461" s="903"/>
      <c r="DP461" s="903"/>
      <c r="DQ461" s="903"/>
      <c r="DR461" s="903"/>
      <c r="DS461" s="903"/>
      <c r="DT461" s="903"/>
      <c r="DU461" s="903"/>
      <c r="DV461" s="903"/>
      <c r="DW461" s="903"/>
      <c r="DX461" s="903"/>
      <c r="DY461" s="903"/>
      <c r="DZ461" s="903"/>
      <c r="EA461" s="903"/>
      <c r="EB461" s="903"/>
      <c r="EC461" s="903"/>
      <c r="ED461" s="903"/>
      <c r="EE461" s="903"/>
      <c r="EF461" s="903"/>
      <c r="EG461" s="903"/>
      <c r="EH461" s="903"/>
      <c r="EI461" s="903"/>
      <c r="EJ461" s="903"/>
      <c r="EK461" s="903"/>
      <c r="EL461" s="903"/>
      <c r="EM461" s="903"/>
      <c r="EN461" s="903"/>
      <c r="EO461" s="903"/>
      <c r="EP461" s="903"/>
      <c r="EQ461" s="903"/>
      <c r="ER461" s="903"/>
      <c r="ES461" s="903"/>
      <c r="ET461" s="903"/>
      <c r="EU461" s="903"/>
      <c r="EV461" s="903"/>
      <c r="EW461" s="903"/>
      <c r="EX461" s="903"/>
      <c r="EY461" s="903"/>
      <c r="EZ461" s="903"/>
      <c r="FA461" s="903"/>
      <c r="FB461" s="903"/>
      <c r="FC461" s="903"/>
      <c r="FD461" s="903"/>
      <c r="FE461" s="903"/>
      <c r="FF461" s="903"/>
      <c r="FG461" s="903"/>
      <c r="FH461" s="903"/>
      <c r="FI461" s="903"/>
      <c r="FJ461" s="903"/>
      <c r="FK461" s="903"/>
      <c r="FL461" s="903"/>
      <c r="FM461" s="903"/>
      <c r="FN461" s="903"/>
      <c r="FO461" s="903"/>
    </row>
    <row r="462" spans="1:171">
      <c r="K462" s="1073"/>
      <c r="S462" s="1073"/>
      <c r="AA462" s="1073"/>
      <c r="AI462" s="1073"/>
      <c r="AQ462" s="1073"/>
      <c r="AY462" s="1073"/>
      <c r="BG462" s="1073"/>
      <c r="BO462" s="1073"/>
      <c r="BW462" s="1073"/>
      <c r="CE462" s="1073"/>
      <c r="CM462" s="1073"/>
      <c r="CU462" s="1073"/>
      <c r="DC462" s="1073"/>
      <c r="DK462" s="1073"/>
      <c r="DS462" s="1073"/>
      <c r="EA462" s="1073"/>
      <c r="EI462" s="1073"/>
      <c r="EQ462" s="1073"/>
      <c r="EY462" s="1073"/>
      <c r="FG462" s="1073"/>
      <c r="FO462" s="1073"/>
    </row>
    <row r="463" spans="1:171">
      <c r="B463" s="1096" t="s">
        <v>646</v>
      </c>
      <c r="G463" s="1097" t="s">
        <v>647</v>
      </c>
      <c r="K463" s="1073"/>
      <c r="S463" s="1073"/>
      <c r="AA463" s="1073"/>
      <c r="AI463" s="1073"/>
      <c r="AQ463" s="1073"/>
      <c r="AY463" s="1073"/>
      <c r="BG463" s="1073"/>
      <c r="BO463" s="1073"/>
      <c r="BW463" s="1073"/>
      <c r="CE463" s="1073"/>
      <c r="CM463" s="1073"/>
      <c r="CU463" s="1073"/>
      <c r="DC463" s="1073"/>
      <c r="DK463" s="1073"/>
      <c r="DS463" s="1073"/>
      <c r="EA463" s="1073"/>
      <c r="EI463" s="1073"/>
      <c r="EQ463" s="1073"/>
      <c r="EY463" s="1073"/>
      <c r="FG463" s="1073"/>
      <c r="FO463" s="1073"/>
    </row>
    <row r="464" spans="1:171">
      <c r="K464" s="1073"/>
      <c r="S464" s="1073"/>
      <c r="AA464" s="1073"/>
      <c r="AI464" s="1073"/>
      <c r="AQ464" s="1073"/>
      <c r="AY464" s="1073"/>
      <c r="BG464" s="1073"/>
      <c r="BO464" s="1073"/>
      <c r="BW464" s="1073"/>
      <c r="CE464" s="1073"/>
      <c r="CM464" s="1073"/>
      <c r="CU464" s="1073"/>
      <c r="DC464" s="1073"/>
      <c r="DK464" s="1073"/>
      <c r="DS464" s="1073"/>
      <c r="EA464" s="1073"/>
      <c r="EI464" s="1073"/>
      <c r="EQ464" s="1073"/>
      <c r="EY464" s="1073"/>
      <c r="FG464" s="1073"/>
      <c r="FO464" s="1073"/>
    </row>
    <row r="465" spans="1:171">
      <c r="B465" s="2486" t="s">
        <v>671</v>
      </c>
      <c r="C465" s="2487"/>
      <c r="D465" s="2487"/>
      <c r="E465" s="2487"/>
      <c r="F465" s="1159"/>
      <c r="G465" s="522">
        <f>G470+G484</f>
        <v>216427715</v>
      </c>
      <c r="K465" s="1073"/>
      <c r="O465" s="522">
        <f>O470+O484</f>
        <v>216427715</v>
      </c>
      <c r="S465" s="1073"/>
      <c r="W465" s="522">
        <f>W470+W484</f>
        <v>216427715</v>
      </c>
      <c r="AA465" s="1073"/>
      <c r="AE465" s="522">
        <f>AE470+AE484</f>
        <v>216427715</v>
      </c>
      <c r="AI465" s="1073"/>
      <c r="AM465" s="522">
        <f>AM470+AM484</f>
        <v>216427715</v>
      </c>
      <c r="AQ465" s="1073"/>
      <c r="AU465" s="522">
        <f>AU470+AU484</f>
        <v>216427715</v>
      </c>
      <c r="AY465" s="1073"/>
      <c r="BC465" s="522">
        <f>BC470+BC484</f>
        <v>216427715</v>
      </c>
      <c r="BG465" s="1073"/>
      <c r="BK465" s="522">
        <f>BK470+BK484</f>
        <v>216427715</v>
      </c>
      <c r="BO465" s="1073"/>
      <c r="BS465" s="522">
        <f>BS470+BS484</f>
        <v>216427715</v>
      </c>
      <c r="BW465" s="1073"/>
      <c r="CA465" s="522">
        <f>CA470+CA484</f>
        <v>216427715</v>
      </c>
      <c r="CE465" s="1073"/>
      <c r="CI465" s="522">
        <f>CI470+CI484</f>
        <v>216427715</v>
      </c>
      <c r="CM465" s="1073"/>
      <c r="CQ465" s="522">
        <f>CQ470+CQ484</f>
        <v>216427715</v>
      </c>
      <c r="CU465" s="1073"/>
      <c r="CY465" s="522">
        <f>CY470+CY484</f>
        <v>216427715</v>
      </c>
      <c r="DC465" s="1073"/>
      <c r="DG465" s="522">
        <f>DG470+DG484</f>
        <v>216427715</v>
      </c>
      <c r="DK465" s="1073"/>
      <c r="DO465" s="522">
        <f>DO470+DO484</f>
        <v>216427715</v>
      </c>
      <c r="DS465" s="1073"/>
      <c r="DW465" s="522">
        <f>DW470+DW484</f>
        <v>216427715</v>
      </c>
      <c r="EA465" s="1073"/>
      <c r="EE465" s="522">
        <f>EE470+EE484</f>
        <v>216427715</v>
      </c>
      <c r="EI465" s="1073"/>
      <c r="EM465" s="522">
        <f>EM470+EM484</f>
        <v>216427715</v>
      </c>
      <c r="EQ465" s="1073"/>
      <c r="EU465" s="522">
        <f>EU470+EU484</f>
        <v>216427715</v>
      </c>
      <c r="EY465" s="1073"/>
      <c r="FC465" s="522">
        <f>FC470+FC484</f>
        <v>216427715</v>
      </c>
      <c r="FG465" s="1073"/>
      <c r="FK465" s="522">
        <f>FK470+FK484</f>
        <v>216427715</v>
      </c>
      <c r="FO465" s="1073"/>
    </row>
    <row r="466" spans="1:171">
      <c r="B466" s="2488" t="s">
        <v>672</v>
      </c>
      <c r="C466" s="2489"/>
      <c r="D466" s="2489"/>
      <c r="E466" s="2489"/>
      <c r="F466" s="1160"/>
      <c r="G466" s="522">
        <f>G489+G493</f>
        <v>253658001</v>
      </c>
      <c r="K466" s="1073"/>
      <c r="O466" s="522">
        <f>O489+O493</f>
        <v>253658001</v>
      </c>
      <c r="S466" s="1073"/>
      <c r="W466" s="522">
        <f>W489+W493</f>
        <v>253658001</v>
      </c>
      <c r="AA466" s="1073"/>
      <c r="AE466" s="522">
        <f>AE489+AE493</f>
        <v>253658001</v>
      </c>
      <c r="AI466" s="1073"/>
      <c r="AM466" s="522">
        <f>AM489+AM493</f>
        <v>253658001</v>
      </c>
      <c r="AQ466" s="1073"/>
      <c r="AU466" s="522">
        <f>AU489+AU493</f>
        <v>253658001</v>
      </c>
      <c r="AY466" s="1073"/>
      <c r="BC466" s="522">
        <f>BC489+BC493</f>
        <v>253658001</v>
      </c>
      <c r="BG466" s="1073"/>
      <c r="BK466" s="522">
        <f>BK489+BK493</f>
        <v>253658001</v>
      </c>
      <c r="BO466" s="1073"/>
      <c r="BS466" s="522">
        <f>BS489+BS493</f>
        <v>253658001</v>
      </c>
      <c r="BW466" s="1073"/>
      <c r="CA466" s="522">
        <f>CA489+CA493</f>
        <v>253658001</v>
      </c>
      <c r="CE466" s="1073"/>
      <c r="CI466" s="522">
        <f>CI489+CI493</f>
        <v>253658001</v>
      </c>
      <c r="CM466" s="1073"/>
      <c r="CQ466" s="522">
        <f>CQ489+CQ493</f>
        <v>253658001</v>
      </c>
      <c r="CU466" s="1073"/>
      <c r="CY466" s="522">
        <f>CY489+CY493</f>
        <v>253658001</v>
      </c>
      <c r="DC466" s="1073"/>
      <c r="DG466" s="522">
        <f>DG489+DG493</f>
        <v>253658001</v>
      </c>
      <c r="DK466" s="1073"/>
      <c r="DO466" s="522">
        <f>DO489+DO493</f>
        <v>253658001</v>
      </c>
      <c r="DS466" s="1073"/>
      <c r="DW466" s="522">
        <f>DW489+DW493</f>
        <v>253658001</v>
      </c>
      <c r="EA466" s="1073"/>
      <c r="EE466" s="522">
        <f>EE489+EE493</f>
        <v>253658001</v>
      </c>
      <c r="EI466" s="1073"/>
      <c r="EM466" s="522">
        <f>EM489+EM493</f>
        <v>253658001</v>
      </c>
      <c r="EQ466" s="1073"/>
      <c r="EU466" s="522">
        <f>EU489+EU493</f>
        <v>253658001</v>
      </c>
      <c r="EY466" s="1073"/>
      <c r="FC466" s="522">
        <f>FC489+FC493</f>
        <v>253658001</v>
      </c>
      <c r="FG466" s="1073"/>
      <c r="FK466" s="522">
        <f>FK489+FK493</f>
        <v>253658001</v>
      </c>
      <c r="FO466" s="1073"/>
    </row>
    <row r="467" spans="1:171">
      <c r="K467" s="1073"/>
      <c r="S467" s="1073"/>
      <c r="AA467" s="1073"/>
      <c r="AI467" s="1073"/>
      <c r="AQ467" s="1073"/>
      <c r="AY467" s="1073"/>
      <c r="BG467" s="1073"/>
      <c r="BO467" s="1073"/>
      <c r="BW467" s="1073"/>
      <c r="CE467" s="1073"/>
      <c r="CM467" s="1073"/>
      <c r="CU467" s="1073"/>
      <c r="DC467" s="1073"/>
      <c r="DK467" s="1073"/>
      <c r="DS467" s="1073"/>
      <c r="EA467" s="1073"/>
      <c r="EI467" s="1073"/>
      <c r="EQ467" s="1073"/>
      <c r="EY467" s="1073"/>
      <c r="FG467" s="1073"/>
      <c r="FO467" s="1073"/>
    </row>
    <row r="468" spans="1:171">
      <c r="K468" s="1073"/>
      <c r="S468" s="1073"/>
      <c r="AA468" s="1073"/>
      <c r="AI468" s="1073"/>
      <c r="AQ468" s="1073"/>
      <c r="AY468" s="1073"/>
      <c r="BG468" s="1073"/>
      <c r="BO468" s="1073"/>
      <c r="BW468" s="1073"/>
      <c r="CE468" s="1073"/>
      <c r="CM468" s="1073"/>
      <c r="CU468" s="1073"/>
      <c r="DC468" s="1073"/>
      <c r="DK468" s="1073"/>
      <c r="DS468" s="1073"/>
      <c r="EA468" s="1073"/>
      <c r="EI468" s="1073"/>
      <c r="EQ468" s="1073"/>
      <c r="EY468" s="1073"/>
      <c r="FG468" s="1073"/>
      <c r="FO468" s="1073"/>
    </row>
    <row r="469" spans="1:171">
      <c r="A469" s="1098"/>
      <c r="B469" s="1099" t="s">
        <v>648</v>
      </c>
      <c r="C469" s="1102"/>
      <c r="K469" s="1073"/>
      <c r="S469" s="1073"/>
      <c r="AA469" s="1073"/>
      <c r="AI469" s="1073"/>
      <c r="AQ469" s="1073"/>
      <c r="AY469" s="1073"/>
      <c r="BG469" s="1073"/>
      <c r="BO469" s="1073"/>
      <c r="BW469" s="1073"/>
      <c r="CE469" s="1073"/>
      <c r="CM469" s="1073"/>
      <c r="CU469" s="1073"/>
      <c r="DC469" s="1073"/>
      <c r="DK469" s="1073"/>
      <c r="DS469" s="1073"/>
      <c r="EA469" s="1073"/>
      <c r="EI469" s="1073"/>
      <c r="EQ469" s="1073"/>
      <c r="EY469" s="1073"/>
      <c r="FG469" s="1073"/>
      <c r="FO469" s="1073"/>
    </row>
    <row r="470" spans="1:171">
      <c r="A470" s="1128">
        <v>105000</v>
      </c>
      <c r="B470" s="1100"/>
      <c r="C470" s="1097" t="s">
        <v>652</v>
      </c>
      <c r="G470" s="1106">
        <f>'3-YEAR PP &amp; OSS Worksheet'!$D$11+'3-YEAR PP &amp; OSS Worksheet'!$D$12+'3-YEAR PP &amp; OSS Worksheet'!$D$13+'3-YEAR PP &amp; OSS Worksheet'!$D$15+'3-YEAR PP &amp; OSS Worksheet'!$D$16</f>
        <v>138498834</v>
      </c>
      <c r="K470" s="1073"/>
      <c r="N470" s="1161">
        <f>VLOOKUP($A470,'New Resources - Individual'!$A$4:$Y$133,N$2,FALSE)*N$1</f>
        <v>0</v>
      </c>
      <c r="O470" s="1141">
        <f>$G470+N470</f>
        <v>138498834</v>
      </c>
      <c r="S470" s="1073"/>
      <c r="V470" s="1161">
        <f>VLOOKUP($A470,'New Resources - Individual'!$A$4:$Y$133,V$2,FALSE)*V$1</f>
        <v>0</v>
      </c>
      <c r="W470" s="1141">
        <f>$G470+V470</f>
        <v>138498834</v>
      </c>
      <c r="AA470" s="1073"/>
      <c r="AD470" s="1161">
        <f>VLOOKUP($A470,'New Resources - Individual'!$A$4:$Y$133,AD$2,FALSE)*AD$1</f>
        <v>0</v>
      </c>
      <c r="AE470" s="1141">
        <f>$G470+AD470</f>
        <v>138498834</v>
      </c>
      <c r="AI470" s="1073"/>
      <c r="AL470" s="1161">
        <f>VLOOKUP($A470,'New Resources - Individual'!$A$4:$Y$133,AL$2,FALSE)*AL$1</f>
        <v>0</v>
      </c>
      <c r="AM470" s="1141">
        <f>$G470+AL470</f>
        <v>138498834</v>
      </c>
      <c r="AQ470" s="1073"/>
      <c r="AT470" s="1161">
        <f>VLOOKUP($A470,'New Resources - Individual'!$A$4:$Y$133,AT$2,FALSE)*AT$1</f>
        <v>0</v>
      </c>
      <c r="AU470" s="1141">
        <f>$G470+AT470</f>
        <v>138498834</v>
      </c>
      <c r="AY470" s="1073"/>
      <c r="BB470" s="1161">
        <f>VLOOKUP($A470,'New Resources - Individual'!$A$4:$Y$133,BB$2,FALSE)*BB$1</f>
        <v>0</v>
      </c>
      <c r="BC470" s="1141">
        <f>$G470+BB470</f>
        <v>138498834</v>
      </c>
      <c r="BG470" s="1073"/>
      <c r="BJ470" s="1161">
        <f>VLOOKUP($A470,'New Resources - Individual'!$A$4:$Y$133,BJ$2,FALSE)*BJ$1</f>
        <v>0</v>
      </c>
      <c r="BK470" s="1141">
        <f>$G470+BJ470</f>
        <v>138498834</v>
      </c>
      <c r="BO470" s="1073"/>
      <c r="BR470" s="1161">
        <f>VLOOKUP($A470,'New Resources - Individual'!$A$4:$Y$133,BR$2,FALSE)*BR$1</f>
        <v>0</v>
      </c>
      <c r="BS470" s="1141">
        <f>$G470+BR470</f>
        <v>138498834</v>
      </c>
      <c r="BW470" s="1073"/>
      <c r="BZ470" s="1161">
        <f>VLOOKUP($A470,'New Resources - Individual'!$A$4:$Y$133,BZ$2,FALSE)*BZ$1</f>
        <v>0</v>
      </c>
      <c r="CA470" s="1141">
        <f>$G470+BZ470</f>
        <v>138498834</v>
      </c>
      <c r="CE470" s="1073"/>
      <c r="CH470" s="1161">
        <f>VLOOKUP($A470,'New Resources - Individual'!$A$4:$Y$133,CH$2,FALSE)*CH$1</f>
        <v>0</v>
      </c>
      <c r="CI470" s="1141">
        <f>$G470+CH470</f>
        <v>138498834</v>
      </c>
      <c r="CM470" s="1073"/>
      <c r="CP470" s="1161">
        <f>VLOOKUP($A470,'New Resources - Individual'!$A$4:$Y$133,CP$2,FALSE)*CP$1</f>
        <v>0</v>
      </c>
      <c r="CQ470" s="1141">
        <f>$G470+CP470</f>
        <v>138498834</v>
      </c>
      <c r="CU470" s="1073"/>
      <c r="CX470" s="1161">
        <f>VLOOKUP($A470,'New Resources - Individual'!$A$4:$Y$133,CX$2,FALSE)*CX$1</f>
        <v>0</v>
      </c>
      <c r="CY470" s="1141">
        <f>$G470+CX470</f>
        <v>138498834</v>
      </c>
      <c r="DC470" s="1073"/>
      <c r="DF470" s="1161">
        <f>VLOOKUP($A470,'New Resources - Individual'!$A$4:$Y$133,DF$2,FALSE)*DF$1</f>
        <v>0</v>
      </c>
      <c r="DG470" s="1141">
        <f>$G470+DF470</f>
        <v>138498834</v>
      </c>
      <c r="DK470" s="1073"/>
      <c r="DN470" s="1161">
        <f>VLOOKUP($A470,'New Resources - Individual'!$A$4:$Y$133,DN$2,FALSE)*DN$1</f>
        <v>0</v>
      </c>
      <c r="DO470" s="1141">
        <f>$G470+DN470</f>
        <v>138498834</v>
      </c>
      <c r="DS470" s="1073"/>
      <c r="DV470" s="1161">
        <f>VLOOKUP($A470,'New Resources - Individual'!$A$4:$Y$133,DV$2,FALSE)*DV$1</f>
        <v>0</v>
      </c>
      <c r="DW470" s="1141">
        <f>$G470+DV470</f>
        <v>138498834</v>
      </c>
      <c r="EA470" s="1073"/>
      <c r="ED470" s="1161">
        <f>VLOOKUP($A470,'New Resources - Individual'!$A$4:$Y$133,ED$2,FALSE)*ED$1</f>
        <v>0</v>
      </c>
      <c r="EE470" s="1141">
        <f>$G470+ED470</f>
        <v>138498834</v>
      </c>
      <c r="EI470" s="1073"/>
      <c r="EL470" s="1161">
        <f>VLOOKUP($A470,'New Resources - Individual'!$A$4:$Y$133,EL$2,FALSE)*EL$1</f>
        <v>0</v>
      </c>
      <c r="EM470" s="1141">
        <f>$G470+EL470</f>
        <v>138498834</v>
      </c>
      <c r="EQ470" s="1073"/>
      <c r="ET470" s="1161">
        <f>VLOOKUP($A470,'New Resources - Individual'!$A$4:$Y$133,ET$2,FALSE)*ET$1</f>
        <v>0</v>
      </c>
      <c r="EU470" s="1141">
        <f>$G470+ET470</f>
        <v>138498834</v>
      </c>
      <c r="EY470" s="1073"/>
      <c r="FB470" s="1161">
        <f>VLOOKUP($A470,'New Resources - Individual'!$A$4:$Y$133,FB$2,FALSE)*FB$1</f>
        <v>0</v>
      </c>
      <c r="FC470" s="1141">
        <f>$G470+FB470</f>
        <v>138498834</v>
      </c>
      <c r="FG470" s="1073"/>
      <c r="FJ470" s="1161">
        <f>VLOOKUP($A470,'New Resources - Individual'!$A$4:$Y$133,FJ$2,FALSE)*FJ$1</f>
        <v>0</v>
      </c>
      <c r="FK470" s="1141">
        <f>$G470+FJ470</f>
        <v>138498834</v>
      </c>
      <c r="FO470" s="1073"/>
    </row>
    <row r="471" spans="1:171">
      <c r="B471" s="1100"/>
      <c r="K471" s="1073"/>
      <c r="S471" s="1073"/>
      <c r="AA471" s="1073"/>
      <c r="AI471" s="1073"/>
      <c r="AQ471" s="1073"/>
      <c r="AY471" s="1073"/>
      <c r="BG471" s="1073"/>
      <c r="BO471" s="1073"/>
      <c r="BW471" s="1073"/>
      <c r="CE471" s="1073"/>
      <c r="CM471" s="1073"/>
      <c r="CU471" s="1073"/>
      <c r="DC471" s="1073"/>
      <c r="DK471" s="1073"/>
      <c r="DS471" s="1073"/>
      <c r="EA471" s="1073"/>
      <c r="EI471" s="1073"/>
      <c r="EQ471" s="1073"/>
      <c r="EY471" s="1073"/>
      <c r="FG471" s="1073"/>
      <c r="FO471" s="1073"/>
    </row>
    <row r="472" spans="1:171">
      <c r="A472" s="1098"/>
      <c r="B472" s="1100"/>
      <c r="C472" s="1097"/>
      <c r="K472" s="1073"/>
      <c r="S472" s="1073"/>
      <c r="AA472" s="1073"/>
      <c r="AI472" s="1073"/>
      <c r="AQ472" s="1073"/>
      <c r="AY472" s="1073"/>
      <c r="BG472" s="1073"/>
      <c r="BO472" s="1073"/>
      <c r="BW472" s="1073"/>
      <c r="CE472" s="1073"/>
      <c r="CM472" s="1073"/>
      <c r="CU472" s="1073"/>
      <c r="DC472" s="1073"/>
      <c r="DK472" s="1073"/>
      <c r="DS472" s="1073"/>
      <c r="EA472" s="1073"/>
      <c r="EI472" s="1073"/>
      <c r="EQ472" s="1073"/>
      <c r="EY472" s="1073"/>
      <c r="FG472" s="1073"/>
      <c r="FO472" s="1073"/>
    </row>
    <row r="473" spans="1:171">
      <c r="A473" s="1128">
        <v>106000</v>
      </c>
      <c r="B473" s="1099"/>
      <c r="C473" s="1097" t="s">
        <v>653</v>
      </c>
      <c r="K473" s="1073"/>
      <c r="N473" s="1161">
        <f>VLOOKUP($A473,'New Resources - Individual'!$A$4:$Y$133,N$2,FALSE)*N$1</f>
        <v>0</v>
      </c>
      <c r="S473" s="1073"/>
      <c r="V473" s="1161">
        <f>VLOOKUP($A473,'New Resources - Individual'!$A$4:$Y$133,V$2,FALSE)*V$1</f>
        <v>0</v>
      </c>
      <c r="AA473" s="1073"/>
      <c r="AD473" s="1161">
        <f>VLOOKUP($A473,'New Resources - Individual'!$A$4:$Y$133,AD$2,FALSE)*AD$1</f>
        <v>0</v>
      </c>
      <c r="AI473" s="1073"/>
      <c r="AL473" s="1161">
        <f>VLOOKUP($A473,'New Resources - Individual'!$A$4:$Y$133,AL$2,FALSE)*AL$1</f>
        <v>0</v>
      </c>
      <c r="AQ473" s="1073"/>
      <c r="AT473" s="1161">
        <f>VLOOKUP($A473,'New Resources - Individual'!$A$4:$Y$133,AT$2,FALSE)*AT$1</f>
        <v>0</v>
      </c>
      <c r="AY473" s="1073"/>
      <c r="BB473" s="1161">
        <f>VLOOKUP($A473,'New Resources - Individual'!$A$4:$Y$133,BB$2,FALSE)*BB$1</f>
        <v>0</v>
      </c>
      <c r="BG473" s="1073"/>
      <c r="BJ473" s="1161">
        <f>VLOOKUP($A473,'New Resources - Individual'!$A$4:$Y$133,BJ$2,FALSE)*BJ$1</f>
        <v>0</v>
      </c>
      <c r="BO473" s="1073"/>
      <c r="BR473" s="1161">
        <f>VLOOKUP($A473,'New Resources - Individual'!$A$4:$Y$133,BR$2,FALSE)*BR$1</f>
        <v>0</v>
      </c>
      <c r="BW473" s="1073"/>
      <c r="BZ473" s="1161">
        <f>VLOOKUP($A473,'New Resources - Individual'!$A$4:$Y$133,BZ$2,FALSE)*BZ$1</f>
        <v>0</v>
      </c>
      <c r="CE473" s="1073"/>
      <c r="CH473" s="1161">
        <f>VLOOKUP($A473,'New Resources - Individual'!$A$4:$Y$133,CH$2,FALSE)*CH$1</f>
        <v>0</v>
      </c>
      <c r="CM473" s="1073"/>
      <c r="CP473" s="1161">
        <f>VLOOKUP($A473,'New Resources - Individual'!$A$4:$Y$133,CP$2,FALSE)*CP$1</f>
        <v>0</v>
      </c>
      <c r="CU473" s="1073"/>
      <c r="CX473" s="1161">
        <f>VLOOKUP($A473,'New Resources - Individual'!$A$4:$Y$133,CX$2,FALSE)*CX$1</f>
        <v>0</v>
      </c>
      <c r="DC473" s="1073"/>
      <c r="DF473" s="1161">
        <f>VLOOKUP($A473,'New Resources - Individual'!$A$4:$Y$133,DF$2,FALSE)*DF$1</f>
        <v>0</v>
      </c>
      <c r="DK473" s="1073"/>
      <c r="DN473" s="1161">
        <f>VLOOKUP($A473,'New Resources - Individual'!$A$4:$Y$133,DN$2,FALSE)*DN$1</f>
        <v>0</v>
      </c>
      <c r="DS473" s="1073"/>
      <c r="DV473" s="1161">
        <f>VLOOKUP($A473,'New Resources - Individual'!$A$4:$Y$133,DV$2,FALSE)*DV$1</f>
        <v>0</v>
      </c>
      <c r="EA473" s="1073"/>
      <c r="ED473" s="1161">
        <f>VLOOKUP($A473,'New Resources - Individual'!$A$4:$Y$133,ED$2,FALSE)*ED$1</f>
        <v>0</v>
      </c>
      <c r="EI473" s="1073"/>
      <c r="EL473" s="1161">
        <f>VLOOKUP($A473,'New Resources - Individual'!$A$4:$Y$133,EL$2,FALSE)*EL$1</f>
        <v>0</v>
      </c>
      <c r="EQ473" s="1073"/>
      <c r="ET473" s="1161">
        <f>VLOOKUP($A473,'New Resources - Individual'!$A$4:$Y$133,ET$2,FALSE)*ET$1</f>
        <v>0</v>
      </c>
      <c r="EY473" s="1073"/>
      <c r="FB473" s="1161">
        <f>VLOOKUP($A473,'New Resources - Individual'!$A$4:$Y$133,FB$2,FALSE)*FB$1</f>
        <v>0</v>
      </c>
      <c r="FG473" s="1073"/>
      <c r="FJ473" s="1161">
        <f>VLOOKUP($A473,'New Resources - Individual'!$A$4:$Y$133,FJ$2,FALSE)*FJ$1</f>
        <v>0</v>
      </c>
      <c r="FO473" s="1073"/>
    </row>
    <row r="474" spans="1:171">
      <c r="A474" s="1128">
        <v>107000</v>
      </c>
      <c r="B474" s="1099"/>
      <c r="C474" s="1097" t="s">
        <v>654</v>
      </c>
      <c r="K474" s="1073"/>
      <c r="N474" s="1161">
        <f>VLOOKUP($A474,'New Resources - Individual'!$A$4:$Y$133,N$2,FALSE)*N$1</f>
        <v>0</v>
      </c>
      <c r="S474" s="1073"/>
      <c r="V474" s="1161">
        <f>VLOOKUP($A474,'New Resources - Individual'!$A$4:$Y$133,V$2,FALSE)*V$1</f>
        <v>0</v>
      </c>
      <c r="AA474" s="1073"/>
      <c r="AD474" s="1161">
        <f>VLOOKUP($A474,'New Resources - Individual'!$A$4:$Y$133,AD$2,FALSE)*AD$1</f>
        <v>0</v>
      </c>
      <c r="AI474" s="1073"/>
      <c r="AL474" s="1161">
        <f>VLOOKUP($A474,'New Resources - Individual'!$A$4:$Y$133,AL$2,FALSE)*AL$1</f>
        <v>0</v>
      </c>
      <c r="AQ474" s="1073"/>
      <c r="AT474" s="1161">
        <f>VLOOKUP($A474,'New Resources - Individual'!$A$4:$Y$133,AT$2,FALSE)*AT$1</f>
        <v>0</v>
      </c>
      <c r="AY474" s="1073"/>
      <c r="BB474" s="1161">
        <f>VLOOKUP($A474,'New Resources - Individual'!$A$4:$Y$133,BB$2,FALSE)*BB$1</f>
        <v>0</v>
      </c>
      <c r="BG474" s="1073"/>
      <c r="BJ474" s="1161">
        <f>VLOOKUP($A474,'New Resources - Individual'!$A$4:$Y$133,BJ$2,FALSE)*BJ$1</f>
        <v>0</v>
      </c>
      <c r="BO474" s="1073"/>
      <c r="BR474" s="1161">
        <f>VLOOKUP($A474,'New Resources - Individual'!$A$4:$Y$133,BR$2,FALSE)*BR$1</f>
        <v>0</v>
      </c>
      <c r="BW474" s="1073"/>
      <c r="BZ474" s="1161">
        <f>VLOOKUP($A474,'New Resources - Individual'!$A$4:$Y$133,BZ$2,FALSE)*BZ$1</f>
        <v>0</v>
      </c>
      <c r="CE474" s="1073"/>
      <c r="CH474" s="1161">
        <f>VLOOKUP($A474,'New Resources - Individual'!$A$4:$Y$133,CH$2,FALSE)*CH$1</f>
        <v>0</v>
      </c>
      <c r="CM474" s="1073"/>
      <c r="CP474" s="1161">
        <f>VLOOKUP($A474,'New Resources - Individual'!$A$4:$Y$133,CP$2,FALSE)*CP$1</f>
        <v>0</v>
      </c>
      <c r="CU474" s="1073"/>
      <c r="CX474" s="1161">
        <f>VLOOKUP($A474,'New Resources - Individual'!$A$4:$Y$133,CX$2,FALSE)*CX$1</f>
        <v>0</v>
      </c>
      <c r="DC474" s="1073"/>
      <c r="DF474" s="1161">
        <f>VLOOKUP($A474,'New Resources - Individual'!$A$4:$Y$133,DF$2,FALSE)*DF$1</f>
        <v>0</v>
      </c>
      <c r="DK474" s="1073"/>
      <c r="DN474" s="1161">
        <f>VLOOKUP($A474,'New Resources - Individual'!$A$4:$Y$133,DN$2,FALSE)*DN$1</f>
        <v>0</v>
      </c>
      <c r="DS474" s="1073"/>
      <c r="DV474" s="1161">
        <f>VLOOKUP($A474,'New Resources - Individual'!$A$4:$Y$133,DV$2,FALSE)*DV$1</f>
        <v>0</v>
      </c>
      <c r="EA474" s="1073"/>
      <c r="ED474" s="1161">
        <f>VLOOKUP($A474,'New Resources - Individual'!$A$4:$Y$133,ED$2,FALSE)*ED$1</f>
        <v>0</v>
      </c>
      <c r="EI474" s="1073"/>
      <c r="EL474" s="1161">
        <f>VLOOKUP($A474,'New Resources - Individual'!$A$4:$Y$133,EL$2,FALSE)*EL$1</f>
        <v>0</v>
      </c>
      <c r="EQ474" s="1073"/>
      <c r="ET474" s="1161">
        <f>VLOOKUP($A474,'New Resources - Individual'!$A$4:$Y$133,ET$2,FALSE)*ET$1</f>
        <v>0</v>
      </c>
      <c r="EY474" s="1073"/>
      <c r="FB474" s="1161">
        <f>VLOOKUP($A474,'New Resources - Individual'!$A$4:$Y$133,FB$2,FALSE)*FB$1</f>
        <v>0</v>
      </c>
      <c r="FG474" s="1073"/>
      <c r="FJ474" s="1161">
        <f>VLOOKUP($A474,'New Resources - Individual'!$A$4:$Y$133,FJ$2,FALSE)*FJ$1</f>
        <v>0</v>
      </c>
      <c r="FO474" s="1073"/>
    </row>
    <row r="475" spans="1:171">
      <c r="A475" s="1128">
        <v>104000</v>
      </c>
      <c r="B475" s="1098"/>
      <c r="C475" s="1097" t="s">
        <v>655</v>
      </c>
      <c r="K475" s="1073"/>
      <c r="N475" s="1161">
        <f>VLOOKUP($A475,'New Resources - Individual'!$A$4:$Y$133,N$2,FALSE)*N$1</f>
        <v>0</v>
      </c>
      <c r="O475" s="1140"/>
      <c r="S475" s="1073"/>
      <c r="V475" s="1161">
        <f>VLOOKUP($A475,'New Resources - Individual'!$A$4:$Y$133,V$2,FALSE)*V$1</f>
        <v>0</v>
      </c>
      <c r="W475" s="1140"/>
      <c r="AA475" s="1073"/>
      <c r="AD475" s="1161">
        <f>VLOOKUP($A475,'New Resources - Individual'!$A$4:$Y$133,AD$2,FALSE)*AD$1</f>
        <v>0</v>
      </c>
      <c r="AE475" s="1140"/>
      <c r="AI475" s="1073"/>
      <c r="AL475" s="1161">
        <f>VLOOKUP($A475,'New Resources - Individual'!$A$4:$Y$133,AL$2,FALSE)*AL$1</f>
        <v>0</v>
      </c>
      <c r="AM475" s="1140"/>
      <c r="AQ475" s="1073"/>
      <c r="AT475" s="1161">
        <f>VLOOKUP($A475,'New Resources - Individual'!$A$4:$Y$133,AT$2,FALSE)*AT$1</f>
        <v>0</v>
      </c>
      <c r="AU475" s="1140"/>
      <c r="AY475" s="1073"/>
      <c r="BB475" s="1161">
        <f>VLOOKUP($A475,'New Resources - Individual'!$A$4:$Y$133,BB$2,FALSE)*BB$1</f>
        <v>0</v>
      </c>
      <c r="BC475" s="1140"/>
      <c r="BG475" s="1073"/>
      <c r="BJ475" s="1161">
        <f>VLOOKUP($A475,'New Resources - Individual'!$A$4:$Y$133,BJ$2,FALSE)*BJ$1</f>
        <v>0</v>
      </c>
      <c r="BK475" s="1140"/>
      <c r="BO475" s="1073"/>
      <c r="BR475" s="1161">
        <f>VLOOKUP($A475,'New Resources - Individual'!$A$4:$Y$133,BR$2,FALSE)*BR$1</f>
        <v>0</v>
      </c>
      <c r="BS475" s="1140"/>
      <c r="BW475" s="1073"/>
      <c r="BZ475" s="1161">
        <f>VLOOKUP($A475,'New Resources - Individual'!$A$4:$Y$133,BZ$2,FALSE)*BZ$1</f>
        <v>0</v>
      </c>
      <c r="CA475" s="1140"/>
      <c r="CE475" s="1073"/>
      <c r="CH475" s="1161">
        <f>VLOOKUP($A475,'New Resources - Individual'!$A$4:$Y$133,CH$2,FALSE)*CH$1</f>
        <v>0</v>
      </c>
      <c r="CI475" s="1140"/>
      <c r="CM475" s="1073"/>
      <c r="CP475" s="1161">
        <f>VLOOKUP($A475,'New Resources - Individual'!$A$4:$Y$133,CP$2,FALSE)*CP$1</f>
        <v>0</v>
      </c>
      <c r="CQ475" s="1140"/>
      <c r="CU475" s="1073"/>
      <c r="CX475" s="1161">
        <f>VLOOKUP($A475,'New Resources - Individual'!$A$4:$Y$133,CX$2,FALSE)*CX$1</f>
        <v>0</v>
      </c>
      <c r="CY475" s="1140"/>
      <c r="DC475" s="1073"/>
      <c r="DF475" s="1161">
        <f>VLOOKUP($A475,'New Resources - Individual'!$A$4:$Y$133,DF$2,FALSE)*DF$1</f>
        <v>0</v>
      </c>
      <c r="DG475" s="1140"/>
      <c r="DK475" s="1073"/>
      <c r="DN475" s="1161">
        <f>VLOOKUP($A475,'New Resources - Individual'!$A$4:$Y$133,DN$2,FALSE)*DN$1</f>
        <v>0</v>
      </c>
      <c r="DO475" s="1140"/>
      <c r="DS475" s="1073"/>
      <c r="DV475" s="1161">
        <f>VLOOKUP($A475,'New Resources - Individual'!$A$4:$Y$133,DV$2,FALSE)*DV$1</f>
        <v>0</v>
      </c>
      <c r="DW475" s="1140"/>
      <c r="EA475" s="1073"/>
      <c r="ED475" s="1161">
        <f>VLOOKUP($A475,'New Resources - Individual'!$A$4:$Y$133,ED$2,FALSE)*ED$1</f>
        <v>0</v>
      </c>
      <c r="EE475" s="1140"/>
      <c r="EI475" s="1073"/>
      <c r="EL475" s="1161">
        <f>VLOOKUP($A475,'New Resources - Individual'!$A$4:$Y$133,EL$2,FALSE)*EL$1</f>
        <v>0</v>
      </c>
      <c r="EM475" s="1140"/>
      <c r="EQ475" s="1073"/>
      <c r="ET475" s="1161">
        <f>VLOOKUP($A475,'New Resources - Individual'!$A$4:$Y$133,ET$2,FALSE)*ET$1</f>
        <v>0</v>
      </c>
      <c r="EU475" s="1140"/>
      <c r="EY475" s="1073"/>
      <c r="FB475" s="1161">
        <f>VLOOKUP($A475,'New Resources - Individual'!$A$4:$Y$133,FB$2,FALSE)*FB$1</f>
        <v>0</v>
      </c>
      <c r="FC475" s="1140"/>
      <c r="FG475" s="1073"/>
      <c r="FJ475" s="1161">
        <f>VLOOKUP($A475,'New Resources - Individual'!$A$4:$Y$133,FJ$2,FALSE)*FJ$1</f>
        <v>0</v>
      </c>
      <c r="FK475" s="1140"/>
      <c r="FO475" s="1073"/>
    </row>
    <row r="476" spans="1:171">
      <c r="A476" s="1098"/>
      <c r="B476" s="1098"/>
      <c r="C476" s="1097" t="s">
        <v>656</v>
      </c>
      <c r="K476" s="1073"/>
      <c r="N476" s="1142">
        <f>N473+N474-N475</f>
        <v>0</v>
      </c>
      <c r="O476" s="1142">
        <f>N476</f>
        <v>0</v>
      </c>
      <c r="S476" s="1073"/>
      <c r="V476" s="1142">
        <f>V473+V474-V475</f>
        <v>0</v>
      </c>
      <c r="W476" s="1142">
        <f>V476</f>
        <v>0</v>
      </c>
      <c r="AA476" s="1073"/>
      <c r="AD476" s="1142">
        <f>AD473+AD474-AD475</f>
        <v>0</v>
      </c>
      <c r="AE476" s="1142">
        <f>AD476</f>
        <v>0</v>
      </c>
      <c r="AI476" s="1073"/>
      <c r="AL476" s="1142">
        <f>AL473+AL474-AL475</f>
        <v>0</v>
      </c>
      <c r="AM476" s="1142">
        <f>AL476</f>
        <v>0</v>
      </c>
      <c r="AQ476" s="1073"/>
      <c r="AT476" s="1142">
        <f>AT473+AT474-AT475</f>
        <v>0</v>
      </c>
      <c r="AU476" s="1142">
        <f>AT476</f>
        <v>0</v>
      </c>
      <c r="AY476" s="1073"/>
      <c r="BB476" s="1142">
        <f>BB473+BB474-BB475</f>
        <v>0</v>
      </c>
      <c r="BC476" s="1142">
        <f>BB476</f>
        <v>0</v>
      </c>
      <c r="BG476" s="1073"/>
      <c r="BJ476" s="1142">
        <f>BJ473+BJ474-BJ475</f>
        <v>0</v>
      </c>
      <c r="BK476" s="1142">
        <f>BJ476</f>
        <v>0</v>
      </c>
      <c r="BO476" s="1073"/>
      <c r="BR476" s="1142">
        <f>BR473+BR474-BR475</f>
        <v>0</v>
      </c>
      <c r="BS476" s="1142">
        <f>BR476</f>
        <v>0</v>
      </c>
      <c r="BW476" s="1073"/>
      <c r="BZ476" s="1142">
        <f>BZ473+BZ474-BZ475</f>
        <v>0</v>
      </c>
      <c r="CA476" s="1142">
        <f>BZ476</f>
        <v>0</v>
      </c>
      <c r="CE476" s="1073"/>
      <c r="CH476" s="1142">
        <f>CH473+CH474-CH475</f>
        <v>0</v>
      </c>
      <c r="CI476" s="1142">
        <f>CH476</f>
        <v>0</v>
      </c>
      <c r="CM476" s="1073"/>
      <c r="CP476" s="1142">
        <f>CP473+CP474-CP475</f>
        <v>0</v>
      </c>
      <c r="CQ476" s="1142">
        <f>CP476</f>
        <v>0</v>
      </c>
      <c r="CU476" s="1073"/>
      <c r="CX476" s="1142">
        <f>CX473+CX474-CX475</f>
        <v>0</v>
      </c>
      <c r="CY476" s="1142">
        <f>CX476</f>
        <v>0</v>
      </c>
      <c r="DC476" s="1073"/>
      <c r="DF476" s="1142">
        <f>DF473+DF474-DF475</f>
        <v>0</v>
      </c>
      <c r="DG476" s="1142">
        <f>DF476</f>
        <v>0</v>
      </c>
      <c r="DK476" s="1073"/>
      <c r="DN476" s="1142">
        <f>DN473+DN474-DN475</f>
        <v>0</v>
      </c>
      <c r="DO476" s="1142">
        <f>DN476</f>
        <v>0</v>
      </c>
      <c r="DS476" s="1073"/>
      <c r="DV476" s="1142">
        <f>DV473+DV474-DV475</f>
        <v>0</v>
      </c>
      <c r="DW476" s="1142">
        <f>DV476</f>
        <v>0</v>
      </c>
      <c r="EA476" s="1073"/>
      <c r="ED476" s="1142">
        <f>ED473+ED474-ED475</f>
        <v>0</v>
      </c>
      <c r="EE476" s="1142">
        <f>ED476</f>
        <v>0</v>
      </c>
      <c r="EI476" s="1073"/>
      <c r="EL476" s="1142">
        <f>EL473+EL474-EL475</f>
        <v>0</v>
      </c>
      <c r="EM476" s="1142">
        <f>EL476</f>
        <v>0</v>
      </c>
      <c r="EQ476" s="1073"/>
      <c r="ET476" s="1142">
        <f>ET473+ET474-ET475</f>
        <v>0</v>
      </c>
      <c r="EU476" s="1142">
        <f>ET476</f>
        <v>0</v>
      </c>
      <c r="EY476" s="1073"/>
      <c r="FB476" s="1142">
        <f>FB473+FB474-FB475</f>
        <v>0</v>
      </c>
      <c r="FC476" s="1142">
        <f>FB476</f>
        <v>0</v>
      </c>
      <c r="FG476" s="1073"/>
      <c r="FJ476" s="1142">
        <f>FJ473+FJ474-FJ475</f>
        <v>0</v>
      </c>
      <c r="FK476" s="1142">
        <f>FJ476</f>
        <v>0</v>
      </c>
      <c r="FO476" s="1073"/>
    </row>
    <row r="477" spans="1:171">
      <c r="A477" s="1098"/>
      <c r="B477" s="1098"/>
      <c r="C477" s="1102"/>
      <c r="K477" s="1073"/>
      <c r="S477" s="1073"/>
      <c r="AA477" s="1073"/>
      <c r="AI477" s="1073"/>
      <c r="AQ477" s="1073"/>
      <c r="AY477" s="1073"/>
      <c r="BG477" s="1073"/>
      <c r="BO477" s="1073"/>
      <c r="BW477" s="1073"/>
      <c r="CE477" s="1073"/>
      <c r="CM477" s="1073"/>
      <c r="CU477" s="1073"/>
      <c r="DC477" s="1073"/>
      <c r="DK477" s="1073"/>
      <c r="DS477" s="1073"/>
      <c r="EA477" s="1073"/>
      <c r="EI477" s="1073"/>
      <c r="EQ477" s="1073"/>
      <c r="EY477" s="1073"/>
      <c r="FG477" s="1073"/>
      <c r="FO477" s="1073"/>
    </row>
    <row r="478" spans="1:171">
      <c r="A478" s="1098"/>
      <c r="B478" s="1098"/>
      <c r="C478" s="1103" t="s">
        <v>657</v>
      </c>
      <c r="G478" s="1106">
        <f>'3-YEAR PP &amp; OSS Worksheet'!$E$14+'3-YEAR PP &amp; OSS Worksheet'!$E$17+'3-YEAR PP &amp; OSS Worksheet'!$E$18+'3-YEAR PP &amp; OSS Worksheet'!$E$19+'3-YEAR PP &amp; OSS Worksheet'!$E$20</f>
        <v>674216</v>
      </c>
      <c r="K478" s="1073"/>
      <c r="O478" s="1143">
        <f>$G478</f>
        <v>674216</v>
      </c>
      <c r="S478" s="1073"/>
      <c r="W478" s="1143">
        <f>$G478</f>
        <v>674216</v>
      </c>
      <c r="AA478" s="1073"/>
      <c r="AE478" s="1143">
        <f>$G478</f>
        <v>674216</v>
      </c>
      <c r="AI478" s="1073"/>
      <c r="AM478" s="1143">
        <f>$G478</f>
        <v>674216</v>
      </c>
      <c r="AQ478" s="1073"/>
      <c r="AU478" s="1143">
        <f>$G478</f>
        <v>674216</v>
      </c>
      <c r="AY478" s="1073"/>
      <c r="BC478" s="1143">
        <f>$G478</f>
        <v>674216</v>
      </c>
      <c r="BG478" s="1073"/>
      <c r="BK478" s="1143">
        <f>$G478</f>
        <v>674216</v>
      </c>
      <c r="BO478" s="1073"/>
      <c r="BS478" s="1143">
        <f>$G478</f>
        <v>674216</v>
      </c>
      <c r="BW478" s="1073"/>
      <c r="CA478" s="1143">
        <f>$G478</f>
        <v>674216</v>
      </c>
      <c r="CE478" s="1073"/>
      <c r="CI478" s="1143">
        <f>$G478</f>
        <v>674216</v>
      </c>
      <c r="CM478" s="1073"/>
      <c r="CQ478" s="1143">
        <f>$G478</f>
        <v>674216</v>
      </c>
      <c r="CU478" s="1073"/>
      <c r="CY478" s="1143">
        <f>$G478</f>
        <v>674216</v>
      </c>
      <c r="DC478" s="1073"/>
      <c r="DG478" s="1143">
        <f>$G478</f>
        <v>674216</v>
      </c>
      <c r="DK478" s="1073"/>
      <c r="DO478" s="1143">
        <f>$G478</f>
        <v>674216</v>
      </c>
      <c r="DS478" s="1073"/>
      <c r="DW478" s="1143">
        <f>$G478</f>
        <v>674216</v>
      </c>
      <c r="EA478" s="1073"/>
      <c r="EE478" s="1143">
        <f>$G478</f>
        <v>674216</v>
      </c>
      <c r="EI478" s="1073"/>
      <c r="EM478" s="1143">
        <f>$G478</f>
        <v>674216</v>
      </c>
      <c r="EQ478" s="1073"/>
      <c r="EU478" s="1143">
        <f>$G478</f>
        <v>674216</v>
      </c>
      <c r="EY478" s="1073"/>
      <c r="FC478" s="1143">
        <f>$G478</f>
        <v>674216</v>
      </c>
      <c r="FG478" s="1073"/>
      <c r="FK478" s="1143">
        <f>$G478</f>
        <v>674216</v>
      </c>
      <c r="FO478" s="1073"/>
    </row>
    <row r="479" spans="1:171">
      <c r="A479" s="1098"/>
      <c r="B479" s="1098"/>
      <c r="C479" s="1102"/>
      <c r="K479" s="1073"/>
      <c r="S479" s="1073"/>
      <c r="AA479" s="1073"/>
      <c r="AI479" s="1073"/>
      <c r="AQ479" s="1073"/>
      <c r="AY479" s="1073"/>
      <c r="BG479" s="1073"/>
      <c r="BO479" s="1073"/>
      <c r="BW479" s="1073"/>
      <c r="CE479" s="1073"/>
      <c r="CM479" s="1073"/>
      <c r="CU479" s="1073"/>
      <c r="DC479" s="1073"/>
      <c r="DK479" s="1073"/>
      <c r="DS479" s="1073"/>
      <c r="EA479" s="1073"/>
      <c r="EI479" s="1073"/>
      <c r="EQ479" s="1073"/>
      <c r="EY479" s="1073"/>
      <c r="FG479" s="1073"/>
      <c r="FO479" s="1073"/>
    </row>
    <row r="480" spans="1:171">
      <c r="A480" s="1098"/>
      <c r="B480" s="1098"/>
      <c r="C480" s="1259" t="s">
        <v>658</v>
      </c>
      <c r="K480" s="1073"/>
      <c r="O480" s="1140">
        <f>O478-O476</f>
        <v>674216</v>
      </c>
      <c r="S480" s="1073"/>
      <c r="W480" s="1140">
        <f>W478-W476</f>
        <v>674216</v>
      </c>
      <c r="AA480" s="1073"/>
      <c r="AE480" s="1140">
        <f>AE478-AE476</f>
        <v>674216</v>
      </c>
      <c r="AI480" s="1073"/>
      <c r="AM480" s="1140">
        <f>AM478-AM476</f>
        <v>674216</v>
      </c>
      <c r="AQ480" s="1073"/>
      <c r="AU480" s="1140">
        <f>AU478-AU476</f>
        <v>674216</v>
      </c>
      <c r="AY480" s="1073"/>
      <c r="BC480" s="1140">
        <f>BC478-BC476</f>
        <v>674216</v>
      </c>
      <c r="BG480" s="1073"/>
      <c r="BK480" s="1140">
        <f>BK478-BK476</f>
        <v>674216</v>
      </c>
      <c r="BO480" s="1073"/>
      <c r="BS480" s="1140">
        <f>BS478-BS476</f>
        <v>674216</v>
      </c>
      <c r="BW480" s="1073"/>
      <c r="CA480" s="1140">
        <f>CA478-CA476</f>
        <v>674216</v>
      </c>
      <c r="CE480" s="1073"/>
      <c r="CI480" s="1140">
        <f>CI478-CI476</f>
        <v>674216</v>
      </c>
      <c r="CM480" s="1073"/>
      <c r="CQ480" s="1140">
        <f>CQ478-CQ476</f>
        <v>674216</v>
      </c>
      <c r="CU480" s="1073"/>
      <c r="CY480" s="1140">
        <f>CY478-CY476</f>
        <v>674216</v>
      </c>
      <c r="DC480" s="1073"/>
      <c r="DG480" s="1140">
        <f>DG478-DG476</f>
        <v>674216</v>
      </c>
      <c r="DK480" s="1073"/>
      <c r="DO480" s="1140">
        <f>DO478-DO476</f>
        <v>674216</v>
      </c>
      <c r="DS480" s="1073"/>
      <c r="DW480" s="1140">
        <f>DW478-DW476</f>
        <v>674216</v>
      </c>
      <c r="EA480" s="1073"/>
      <c r="EE480" s="1140">
        <f>EE478-EE476</f>
        <v>674216</v>
      </c>
      <c r="EI480" s="1073"/>
      <c r="EM480" s="1140">
        <f>EM478-EM476</f>
        <v>674216</v>
      </c>
      <c r="EQ480" s="1073"/>
      <c r="EU480" s="1140">
        <f>EU478-EU476</f>
        <v>674216</v>
      </c>
      <c r="EY480" s="1073"/>
      <c r="FC480" s="1140">
        <f>FC478-FC476</f>
        <v>674216</v>
      </c>
      <c r="FG480" s="1073"/>
      <c r="FK480" s="1140">
        <f>FK478-FK476</f>
        <v>674216</v>
      </c>
      <c r="FO480" s="1073"/>
    </row>
    <row r="481" spans="1:171">
      <c r="A481" s="1098"/>
      <c r="B481" s="1098"/>
      <c r="C481" s="1260" t="s">
        <v>659</v>
      </c>
      <c r="K481" s="1073"/>
      <c r="O481" s="1140">
        <f>IF(O480&gt;0,O480,0)</f>
        <v>674216</v>
      </c>
      <c r="S481" s="1073"/>
      <c r="W481" s="1140">
        <f>IF(W480&gt;0,W480,0)</f>
        <v>674216</v>
      </c>
      <c r="AA481" s="1073"/>
      <c r="AE481" s="1140">
        <f>IF(AE480&gt;0,AE480,0)</f>
        <v>674216</v>
      </c>
      <c r="AI481" s="1073"/>
      <c r="AM481" s="1140">
        <f>IF(AM480&gt;0,AM480,0)</f>
        <v>674216</v>
      </c>
      <c r="AQ481" s="1073"/>
      <c r="AU481" s="1140">
        <f>IF(AU480&gt;0,AU480,0)</f>
        <v>674216</v>
      </c>
      <c r="AY481" s="1073"/>
      <c r="BC481" s="1140">
        <f>IF(BC480&gt;0,BC480,0)</f>
        <v>674216</v>
      </c>
      <c r="BG481" s="1073"/>
      <c r="BK481" s="1140">
        <f>IF(BK480&gt;0,BK480,0)</f>
        <v>674216</v>
      </c>
      <c r="BO481" s="1073"/>
      <c r="BS481" s="1140">
        <f>IF(BS480&gt;0,BS480,0)</f>
        <v>674216</v>
      </c>
      <c r="BW481" s="1073"/>
      <c r="CA481" s="1140">
        <f>IF(CA480&gt;0,CA480,0)</f>
        <v>674216</v>
      </c>
      <c r="CE481" s="1073"/>
      <c r="CI481" s="1140">
        <f>IF(CI480&gt;0,CI480,0)</f>
        <v>674216</v>
      </c>
      <c r="CM481" s="1073"/>
      <c r="CQ481" s="1140">
        <f>IF(CQ480&gt;0,CQ480,0)</f>
        <v>674216</v>
      </c>
      <c r="CU481" s="1073"/>
      <c r="CY481" s="1140">
        <f>IF(CY480&gt;0,CY480,0)</f>
        <v>674216</v>
      </c>
      <c r="DC481" s="1073"/>
      <c r="DG481" s="1140">
        <f>IF(DG480&gt;0,DG480,0)</f>
        <v>674216</v>
      </c>
      <c r="DK481" s="1073"/>
      <c r="DO481" s="1140">
        <f>IF(DO480&gt;0,DO480,0)</f>
        <v>674216</v>
      </c>
      <c r="DS481" s="1073"/>
      <c r="DW481" s="1140">
        <f>IF(DW480&gt;0,DW480,0)</f>
        <v>674216</v>
      </c>
      <c r="EA481" s="1073"/>
      <c r="EE481" s="1140">
        <f>IF(EE480&gt;0,EE480,0)</f>
        <v>674216</v>
      </c>
      <c r="EI481" s="1073"/>
      <c r="EM481" s="1140">
        <f>IF(EM480&gt;0,EM480,0)</f>
        <v>674216</v>
      </c>
      <c r="EQ481" s="1073"/>
      <c r="EU481" s="1140">
        <f>IF(EU480&gt;0,EU480,0)</f>
        <v>674216</v>
      </c>
      <c r="EY481" s="1073"/>
      <c r="FC481" s="1140">
        <f>IF(FC480&gt;0,FC480,0)</f>
        <v>674216</v>
      </c>
      <c r="FG481" s="1073"/>
      <c r="FK481" s="1140">
        <f>IF(FK480&gt;0,FK480,0)</f>
        <v>674216</v>
      </c>
      <c r="FO481" s="1073"/>
    </row>
    <row r="482" spans="1:171">
      <c r="A482" s="1098"/>
      <c r="B482" s="1098"/>
      <c r="C482" s="1104"/>
      <c r="K482" s="1073"/>
      <c r="S482" s="1073"/>
      <c r="AA482" s="1073"/>
      <c r="AI482" s="1073"/>
      <c r="AQ482" s="1073"/>
      <c r="AY482" s="1073"/>
      <c r="BG482" s="1073"/>
      <c r="BO482" s="1073"/>
      <c r="BW482" s="1073"/>
      <c r="CE482" s="1073"/>
      <c r="CM482" s="1073"/>
      <c r="CU482" s="1073"/>
      <c r="DC482" s="1073"/>
      <c r="DK482" s="1073"/>
      <c r="DS482" s="1073"/>
      <c r="EA482" s="1073"/>
      <c r="EI482" s="1073"/>
      <c r="EQ482" s="1073"/>
      <c r="EY482" s="1073"/>
      <c r="FG482" s="1073"/>
      <c r="FO482" s="1073"/>
    </row>
    <row r="483" spans="1:171">
      <c r="A483" s="1098"/>
      <c r="B483" s="1098"/>
      <c r="C483" s="1259" t="s">
        <v>660</v>
      </c>
      <c r="G483" s="1105">
        <f>G484/G478</f>
        <v>115.58444326447311</v>
      </c>
      <c r="K483" s="1073"/>
      <c r="O483" s="1144">
        <f>$G483</f>
        <v>115.58444326447311</v>
      </c>
      <c r="S483" s="1073"/>
      <c r="W483" s="1144">
        <f>$G483</f>
        <v>115.58444326447311</v>
      </c>
      <c r="AA483" s="1073"/>
      <c r="AE483" s="1144">
        <f>$G483</f>
        <v>115.58444326447311</v>
      </c>
      <c r="AI483" s="1073"/>
      <c r="AM483" s="1144">
        <f>$G483</f>
        <v>115.58444326447311</v>
      </c>
      <c r="AQ483" s="1073"/>
      <c r="AU483" s="1144">
        <f>$G483</f>
        <v>115.58444326447311</v>
      </c>
      <c r="AY483" s="1073"/>
      <c r="BC483" s="1144">
        <f>$G483</f>
        <v>115.58444326447311</v>
      </c>
      <c r="BG483" s="1073"/>
      <c r="BK483" s="1144">
        <f>$G483</f>
        <v>115.58444326447311</v>
      </c>
      <c r="BO483" s="1073"/>
      <c r="BS483" s="1144">
        <f>$G483</f>
        <v>115.58444326447311</v>
      </c>
      <c r="BW483" s="1073"/>
      <c r="CA483" s="1144">
        <f>$G483</f>
        <v>115.58444326447311</v>
      </c>
      <c r="CE483" s="1073"/>
      <c r="CI483" s="1144">
        <f>$G483</f>
        <v>115.58444326447311</v>
      </c>
      <c r="CM483" s="1073"/>
      <c r="CQ483" s="1144">
        <f>$G483</f>
        <v>115.58444326447311</v>
      </c>
      <c r="CU483" s="1073"/>
      <c r="CY483" s="1144">
        <f>$G483</f>
        <v>115.58444326447311</v>
      </c>
      <c r="DC483" s="1073"/>
      <c r="DG483" s="1144">
        <f>$G483</f>
        <v>115.58444326447311</v>
      </c>
      <c r="DK483" s="1073"/>
      <c r="DO483" s="1144">
        <f>$G483</f>
        <v>115.58444326447311</v>
      </c>
      <c r="DS483" s="1073"/>
      <c r="DW483" s="1144">
        <f>$G483</f>
        <v>115.58444326447311</v>
      </c>
      <c r="EA483" s="1073"/>
      <c r="EE483" s="1144">
        <f>$G483</f>
        <v>115.58444326447311</v>
      </c>
      <c r="EI483" s="1073"/>
      <c r="EM483" s="1144">
        <f>$G483</f>
        <v>115.58444326447311</v>
      </c>
      <c r="EQ483" s="1073"/>
      <c r="EU483" s="1144">
        <f>$G483</f>
        <v>115.58444326447311</v>
      </c>
      <c r="EY483" s="1073"/>
      <c r="FC483" s="1144">
        <f>$G483</f>
        <v>115.58444326447311</v>
      </c>
      <c r="FG483" s="1073"/>
      <c r="FK483" s="1144">
        <f>$G483</f>
        <v>115.58444326447311</v>
      </c>
      <c r="FO483" s="1073"/>
    </row>
    <row r="484" spans="1:171">
      <c r="A484" s="1098"/>
      <c r="B484" s="1098"/>
      <c r="C484" s="1261" t="s">
        <v>661</v>
      </c>
      <c r="G484" s="1297">
        <f>'3-YEAR PP &amp; OSS Worksheet'!$D$14+'3-YEAR PP &amp; OSS Worksheet'!$D$17+'3-YEAR PP &amp; OSS Worksheet'!$D$18+'3-YEAR PP &amp; OSS Worksheet'!$D$19+'3-YEAR PP &amp; OSS Worksheet'!$D$20</f>
        <v>77928881</v>
      </c>
      <c r="K484" s="1073"/>
      <c r="O484" s="1141">
        <f>O481*O483</f>
        <v>77928881</v>
      </c>
      <c r="S484" s="1073"/>
      <c r="W484" s="1141">
        <f>W481*W483</f>
        <v>77928881</v>
      </c>
      <c r="AA484" s="1073"/>
      <c r="AE484" s="1141">
        <f>AE481*AE483</f>
        <v>77928881</v>
      </c>
      <c r="AI484" s="1073"/>
      <c r="AM484" s="1141">
        <f>AM481*AM483</f>
        <v>77928881</v>
      </c>
      <c r="AQ484" s="1073"/>
      <c r="AU484" s="1141">
        <f>AU481*AU483</f>
        <v>77928881</v>
      </c>
      <c r="AY484" s="1073"/>
      <c r="BC484" s="1141">
        <f>BC481*BC483</f>
        <v>77928881</v>
      </c>
      <c r="BG484" s="1073"/>
      <c r="BK484" s="1141">
        <f>BK481*BK483</f>
        <v>77928881</v>
      </c>
      <c r="BO484" s="1073"/>
      <c r="BS484" s="1141">
        <f>BS481*BS483</f>
        <v>77928881</v>
      </c>
      <c r="BW484" s="1073"/>
      <c r="CA484" s="1141">
        <f>CA481*CA483</f>
        <v>77928881</v>
      </c>
      <c r="CE484" s="1073"/>
      <c r="CI484" s="1141">
        <f>CI481*CI483</f>
        <v>77928881</v>
      </c>
      <c r="CM484" s="1073"/>
      <c r="CQ484" s="1141">
        <f>CQ481*CQ483</f>
        <v>77928881</v>
      </c>
      <c r="CU484" s="1073"/>
      <c r="CY484" s="1141">
        <f>CY481*CY483</f>
        <v>77928881</v>
      </c>
      <c r="DC484" s="1073"/>
      <c r="DG484" s="1141">
        <f>DG481*DG483</f>
        <v>77928881</v>
      </c>
      <c r="DK484" s="1073"/>
      <c r="DO484" s="1141">
        <f>DO481*DO483</f>
        <v>77928881</v>
      </c>
      <c r="DS484" s="1073"/>
      <c r="DW484" s="1141">
        <f>DW481*DW483</f>
        <v>77928881</v>
      </c>
      <c r="EA484" s="1073"/>
      <c r="EE484" s="1141">
        <f>EE481*EE483</f>
        <v>77928881</v>
      </c>
      <c r="EI484" s="1073"/>
      <c r="EM484" s="1141">
        <f>EM481*EM483</f>
        <v>77928881</v>
      </c>
      <c r="EQ484" s="1073"/>
      <c r="EU484" s="1141">
        <f>EU481*EU483</f>
        <v>77928881</v>
      </c>
      <c r="EY484" s="1073"/>
      <c r="FC484" s="1141">
        <f>FC481*FC483</f>
        <v>77928881</v>
      </c>
      <c r="FG484" s="1073"/>
      <c r="FK484" s="1141">
        <f>FK481*FK483</f>
        <v>77928881</v>
      </c>
      <c r="FO484" s="1073"/>
    </row>
    <row r="485" spans="1:171">
      <c r="A485" s="1098"/>
      <c r="B485" s="1098"/>
      <c r="C485" s="1104"/>
      <c r="K485" s="1073"/>
      <c r="S485" s="1073"/>
      <c r="AA485" s="1073"/>
      <c r="AI485" s="1073"/>
      <c r="AQ485" s="1073"/>
      <c r="AY485" s="1073"/>
      <c r="BG485" s="1073"/>
      <c r="BO485" s="1073"/>
      <c r="BW485" s="1073"/>
      <c r="CE485" s="1073"/>
      <c r="CM485" s="1073"/>
      <c r="CU485" s="1073"/>
      <c r="DC485" s="1073"/>
      <c r="DK485" s="1073"/>
      <c r="DS485" s="1073"/>
      <c r="EA485" s="1073"/>
      <c r="EI485" s="1073"/>
      <c r="EQ485" s="1073"/>
      <c r="EY485" s="1073"/>
      <c r="FG485" s="1073"/>
      <c r="FO485" s="1073"/>
    </row>
    <row r="486" spans="1:171">
      <c r="A486" s="1098"/>
      <c r="B486" s="1098"/>
      <c r="C486" s="1104" t="s">
        <v>662</v>
      </c>
      <c r="G486" s="1106">
        <f>'3-YEAR PP &amp; OSS Worksheet'!$E$29+'3-YEAR PP &amp; OSS Worksheet'!$E$32+'3-YEAR PP &amp; OSS Worksheet'!$E$33+'3-YEAR PP &amp; OSS Worksheet'!$E$34+'3-YEAR PP &amp; OSS Worksheet'!$E$35</f>
        <v>2495820</v>
      </c>
      <c r="K486" s="1073"/>
      <c r="O486" s="1140">
        <f>$G486</f>
        <v>2495820</v>
      </c>
      <c r="S486" s="1073"/>
      <c r="W486" s="1140">
        <f>$G486</f>
        <v>2495820</v>
      </c>
      <c r="AA486" s="1073"/>
      <c r="AE486" s="1140">
        <f>$G486</f>
        <v>2495820</v>
      </c>
      <c r="AI486" s="1073"/>
      <c r="AM486" s="1140">
        <f>$G486</f>
        <v>2495820</v>
      </c>
      <c r="AQ486" s="1073"/>
      <c r="AU486" s="1140">
        <f>$G486</f>
        <v>2495820</v>
      </c>
      <c r="AY486" s="1073"/>
      <c r="BC486" s="1140">
        <f>$G486</f>
        <v>2495820</v>
      </c>
      <c r="BG486" s="1073"/>
      <c r="BK486" s="1140">
        <f>$G486</f>
        <v>2495820</v>
      </c>
      <c r="BO486" s="1073"/>
      <c r="BS486" s="1140">
        <f>$G486</f>
        <v>2495820</v>
      </c>
      <c r="BW486" s="1073"/>
      <c r="CA486" s="1140">
        <f>$G486</f>
        <v>2495820</v>
      </c>
      <c r="CE486" s="1073"/>
      <c r="CI486" s="1140">
        <f>$G486</f>
        <v>2495820</v>
      </c>
      <c r="CM486" s="1073"/>
      <c r="CQ486" s="1140">
        <f>$G486</f>
        <v>2495820</v>
      </c>
      <c r="CU486" s="1073"/>
      <c r="CY486" s="1140">
        <f>$G486</f>
        <v>2495820</v>
      </c>
      <c r="DC486" s="1073"/>
      <c r="DG486" s="1140">
        <f>$G486</f>
        <v>2495820</v>
      </c>
      <c r="DK486" s="1073"/>
      <c r="DO486" s="1140">
        <f>$G486</f>
        <v>2495820</v>
      </c>
      <c r="DS486" s="1073"/>
      <c r="DW486" s="1140">
        <f>$G486</f>
        <v>2495820</v>
      </c>
      <c r="EA486" s="1073"/>
      <c r="EE486" s="1140">
        <f>$G486</f>
        <v>2495820</v>
      </c>
      <c r="EI486" s="1073"/>
      <c r="EM486" s="1140">
        <f>$G486</f>
        <v>2495820</v>
      </c>
      <c r="EQ486" s="1073"/>
      <c r="EU486" s="1140">
        <f>$G486</f>
        <v>2495820</v>
      </c>
      <c r="EY486" s="1073"/>
      <c r="FC486" s="1140">
        <f>$G486</f>
        <v>2495820</v>
      </c>
      <c r="FG486" s="1073"/>
      <c r="FK486" s="1140">
        <f>$G486</f>
        <v>2495820</v>
      </c>
      <c r="FO486" s="1073"/>
    </row>
    <row r="487" spans="1:171">
      <c r="A487" s="1098"/>
      <c r="B487" s="1098"/>
      <c r="C487" s="1104" t="s">
        <v>663</v>
      </c>
      <c r="K487" s="1073"/>
      <c r="O487" s="1140">
        <f>IF(O480&gt;0,0,-O480)</f>
        <v>0</v>
      </c>
      <c r="S487" s="1073"/>
      <c r="W487" s="1140">
        <f>IF(W480&gt;0,0,-W480)</f>
        <v>0</v>
      </c>
      <c r="AA487" s="1073"/>
      <c r="AE487" s="1140">
        <f>IF(AE480&gt;0,0,-AE480)</f>
        <v>0</v>
      </c>
      <c r="AI487" s="1073"/>
      <c r="AM487" s="1140">
        <f>IF(AM480&gt;0,0,-AM480)</f>
        <v>0</v>
      </c>
      <c r="AQ487" s="1073"/>
      <c r="AU487" s="1140">
        <f>IF(AU480&gt;0,0,-AU480)</f>
        <v>0</v>
      </c>
      <c r="AY487" s="1073"/>
      <c r="BC487" s="1140">
        <f>IF(BC480&gt;0,0,-BC480)</f>
        <v>0</v>
      </c>
      <c r="BG487" s="1073"/>
      <c r="BK487" s="1140">
        <f>IF(BK480&gt;0,0,-BK480)</f>
        <v>0</v>
      </c>
      <c r="BO487" s="1073"/>
      <c r="BS487" s="1140">
        <f>IF(BS480&gt;0,0,-BS480)</f>
        <v>0</v>
      </c>
      <c r="BW487" s="1073"/>
      <c r="CA487" s="1140">
        <f>IF(CA480&gt;0,0,-CA480)</f>
        <v>0</v>
      </c>
      <c r="CE487" s="1073"/>
      <c r="CI487" s="1140">
        <f>IF(CI480&gt;0,0,-CI480)</f>
        <v>0</v>
      </c>
      <c r="CM487" s="1073"/>
      <c r="CQ487" s="1140">
        <f>IF(CQ480&gt;0,0,-CQ480)</f>
        <v>0</v>
      </c>
      <c r="CU487" s="1073"/>
      <c r="CY487" s="1140">
        <f>IF(CY480&gt;0,0,-CY480)</f>
        <v>0</v>
      </c>
      <c r="DC487" s="1073"/>
      <c r="DG487" s="1140">
        <f>IF(DG480&gt;0,0,-DG480)</f>
        <v>0</v>
      </c>
      <c r="DK487" s="1073"/>
      <c r="DO487" s="1140">
        <f>IF(DO480&gt;0,0,-DO480)</f>
        <v>0</v>
      </c>
      <c r="DS487" s="1073"/>
      <c r="DW487" s="1140">
        <f>IF(DW480&gt;0,0,-DW480)</f>
        <v>0</v>
      </c>
      <c r="EA487" s="1073"/>
      <c r="EE487" s="1140">
        <f>IF(EE480&gt;0,0,-EE480)</f>
        <v>0</v>
      </c>
      <c r="EI487" s="1073"/>
      <c r="EM487" s="1140">
        <f>IF(EM480&gt;0,0,-EM480)</f>
        <v>0</v>
      </c>
      <c r="EQ487" s="1073"/>
      <c r="EU487" s="1140">
        <f>IF(EU480&gt;0,0,-EU480)</f>
        <v>0</v>
      </c>
      <c r="EY487" s="1073"/>
      <c r="FC487" s="1140">
        <f>IF(FC480&gt;0,0,-FC480)</f>
        <v>0</v>
      </c>
      <c r="FG487" s="1073"/>
      <c r="FK487" s="1140">
        <f>IF(FK480&gt;0,0,-FK480)</f>
        <v>0</v>
      </c>
      <c r="FO487" s="1073"/>
    </row>
    <row r="488" spans="1:171">
      <c r="A488" s="1098"/>
      <c r="B488" s="1098"/>
      <c r="C488" s="1260" t="s">
        <v>664</v>
      </c>
      <c r="K488" s="1073"/>
      <c r="O488" s="1140">
        <f>SUM(O486:O487)</f>
        <v>2495820</v>
      </c>
      <c r="S488" s="1073"/>
      <c r="W488" s="1140">
        <f>SUM(W486:W487)</f>
        <v>2495820</v>
      </c>
      <c r="AA488" s="1073"/>
      <c r="AE488" s="1140">
        <f>SUM(AE486:AE487)</f>
        <v>2495820</v>
      </c>
      <c r="AI488" s="1073"/>
      <c r="AM488" s="1140">
        <f>SUM(AM486:AM487)</f>
        <v>2495820</v>
      </c>
      <c r="AQ488" s="1073"/>
      <c r="AU488" s="1140">
        <f>SUM(AU486:AU487)</f>
        <v>2495820</v>
      </c>
      <c r="AY488" s="1073"/>
      <c r="BC488" s="1140">
        <f>SUM(BC486:BC487)</f>
        <v>2495820</v>
      </c>
      <c r="BG488" s="1073"/>
      <c r="BK488" s="1140">
        <f>SUM(BK486:BK487)</f>
        <v>2495820</v>
      </c>
      <c r="BO488" s="1073"/>
      <c r="BS488" s="1140">
        <f>SUM(BS486:BS487)</f>
        <v>2495820</v>
      </c>
      <c r="BW488" s="1073"/>
      <c r="CA488" s="1140">
        <f>SUM(CA486:CA487)</f>
        <v>2495820</v>
      </c>
      <c r="CE488" s="1073"/>
      <c r="CI488" s="1140">
        <f>SUM(CI486:CI487)</f>
        <v>2495820</v>
      </c>
      <c r="CM488" s="1073"/>
      <c r="CQ488" s="1140">
        <f>SUM(CQ486:CQ487)</f>
        <v>2495820</v>
      </c>
      <c r="CU488" s="1073"/>
      <c r="CY488" s="1140">
        <f>SUM(CY486:CY487)</f>
        <v>2495820</v>
      </c>
      <c r="DC488" s="1073"/>
      <c r="DG488" s="1140">
        <f>SUM(DG486:DG487)</f>
        <v>2495820</v>
      </c>
      <c r="DK488" s="1073"/>
      <c r="DO488" s="1140">
        <f>SUM(DO486:DO487)</f>
        <v>2495820</v>
      </c>
      <c r="DS488" s="1073"/>
      <c r="DW488" s="1140">
        <f>SUM(DW486:DW487)</f>
        <v>2495820</v>
      </c>
      <c r="EA488" s="1073"/>
      <c r="EE488" s="1140">
        <f>SUM(EE486:EE487)</f>
        <v>2495820</v>
      </c>
      <c r="EI488" s="1073"/>
      <c r="EM488" s="1140">
        <f>SUM(EM486:EM487)</f>
        <v>2495820</v>
      </c>
      <c r="EQ488" s="1073"/>
      <c r="EU488" s="1140">
        <f>SUM(EU486:EU487)</f>
        <v>2495820</v>
      </c>
      <c r="EY488" s="1073"/>
      <c r="FC488" s="1140">
        <f>SUM(FC486:FC487)</f>
        <v>2495820</v>
      </c>
      <c r="FG488" s="1073"/>
      <c r="FK488" s="1140">
        <f>SUM(FK486:FK487)</f>
        <v>2495820</v>
      </c>
      <c r="FO488" s="1073"/>
    </row>
    <row r="489" spans="1:171">
      <c r="A489" s="1098"/>
      <c r="B489" s="1098"/>
      <c r="C489" s="1261" t="s">
        <v>665</v>
      </c>
      <c r="G489" s="1297">
        <f>'3-YEAR PP &amp; OSS Worksheet'!$D$29+'3-YEAR PP &amp; OSS Worksheet'!$D$32+'3-YEAR PP &amp; OSS Worksheet'!$D$33+'3-YEAR PP &amp; OSS Worksheet'!$D$34+'3-YEAR PP &amp; OSS Worksheet'!$D$35</f>
        <v>213630664</v>
      </c>
      <c r="K489" s="1073"/>
      <c r="O489" s="1141">
        <f>O488*O490</f>
        <v>213630664</v>
      </c>
      <c r="S489" s="1073"/>
      <c r="W489" s="1141">
        <f>W488*W490</f>
        <v>213630664</v>
      </c>
      <c r="AA489" s="1073"/>
      <c r="AE489" s="1141">
        <f>AE488*AE490</f>
        <v>213630664</v>
      </c>
      <c r="AI489" s="1073"/>
      <c r="AM489" s="1141">
        <f>AM488*AM490</f>
        <v>213630664</v>
      </c>
      <c r="AQ489" s="1073"/>
      <c r="AU489" s="1141">
        <f>AU488*AU490</f>
        <v>213630664</v>
      </c>
      <c r="AY489" s="1073"/>
      <c r="BC489" s="1141">
        <f>BC488*BC490</f>
        <v>213630664</v>
      </c>
      <c r="BG489" s="1073"/>
      <c r="BK489" s="1141">
        <f>BK488*BK490</f>
        <v>213630664</v>
      </c>
      <c r="BO489" s="1073"/>
      <c r="BS489" s="1141">
        <f>BS488*BS490</f>
        <v>213630664</v>
      </c>
      <c r="BW489" s="1073"/>
      <c r="CA489" s="1141">
        <f>CA488*CA490</f>
        <v>213630664</v>
      </c>
      <c r="CE489" s="1073"/>
      <c r="CI489" s="1141">
        <f>CI488*CI490</f>
        <v>213630664</v>
      </c>
      <c r="CM489" s="1073"/>
      <c r="CQ489" s="1141">
        <f>CQ488*CQ490</f>
        <v>213630664</v>
      </c>
      <c r="CU489" s="1073"/>
      <c r="CY489" s="1141">
        <f>CY488*CY490</f>
        <v>213630664</v>
      </c>
      <c r="DC489" s="1073"/>
      <c r="DG489" s="1141">
        <f>DG488*DG490</f>
        <v>213630664</v>
      </c>
      <c r="DK489" s="1073"/>
      <c r="DO489" s="1141">
        <f>DO488*DO490</f>
        <v>213630664</v>
      </c>
      <c r="DS489" s="1073"/>
      <c r="DW489" s="1141">
        <f>DW488*DW490</f>
        <v>213630664</v>
      </c>
      <c r="EA489" s="1073"/>
      <c r="EE489" s="1141">
        <f>EE488*EE490</f>
        <v>213630664</v>
      </c>
      <c r="EI489" s="1073"/>
      <c r="EM489" s="1141">
        <f>EM488*EM490</f>
        <v>213630664</v>
      </c>
      <c r="EQ489" s="1073"/>
      <c r="EU489" s="1141">
        <f>EU488*EU490</f>
        <v>213630664</v>
      </c>
      <c r="EY489" s="1073"/>
      <c r="FC489" s="1141">
        <f>FC488*FC490</f>
        <v>213630664</v>
      </c>
      <c r="FG489" s="1073"/>
      <c r="FK489" s="1141">
        <f>FK488*FK490</f>
        <v>213630664</v>
      </c>
      <c r="FO489" s="1073"/>
    </row>
    <row r="490" spans="1:171">
      <c r="A490" s="1098"/>
      <c r="B490" s="1098"/>
      <c r="C490" s="1259" t="s">
        <v>666</v>
      </c>
      <c r="G490" s="1105">
        <f>G489/G486</f>
        <v>85.595381077161008</v>
      </c>
      <c r="K490" s="1073"/>
      <c r="O490" s="1144">
        <f>$G490</f>
        <v>85.595381077161008</v>
      </c>
      <c r="S490" s="1073"/>
      <c r="W490" s="1144">
        <f>$G490</f>
        <v>85.595381077161008</v>
      </c>
      <c r="AA490" s="1073"/>
      <c r="AE490" s="1144">
        <f>$G490</f>
        <v>85.595381077161008</v>
      </c>
      <c r="AI490" s="1073"/>
      <c r="AM490" s="1144">
        <f>$G490</f>
        <v>85.595381077161008</v>
      </c>
      <c r="AQ490" s="1073"/>
      <c r="AU490" s="1144">
        <f>$G490</f>
        <v>85.595381077161008</v>
      </c>
      <c r="AY490" s="1073"/>
      <c r="BC490" s="1144">
        <f>$G490</f>
        <v>85.595381077161008</v>
      </c>
      <c r="BG490" s="1073"/>
      <c r="BK490" s="1144">
        <f>$G490</f>
        <v>85.595381077161008</v>
      </c>
      <c r="BO490" s="1073"/>
      <c r="BS490" s="1144">
        <f>$G490</f>
        <v>85.595381077161008</v>
      </c>
      <c r="BW490" s="1073"/>
      <c r="CA490" s="1144">
        <f>$G490</f>
        <v>85.595381077161008</v>
      </c>
      <c r="CE490" s="1073"/>
      <c r="CI490" s="1144">
        <f>$G490</f>
        <v>85.595381077161008</v>
      </c>
      <c r="CM490" s="1073"/>
      <c r="CQ490" s="1144">
        <f>$G490</f>
        <v>85.595381077161008</v>
      </c>
      <c r="CU490" s="1073"/>
      <c r="CY490" s="1144">
        <f>$G490</f>
        <v>85.595381077161008</v>
      </c>
      <c r="DC490" s="1073"/>
      <c r="DG490" s="1144">
        <f>$G490</f>
        <v>85.595381077161008</v>
      </c>
      <c r="DK490" s="1073"/>
      <c r="DO490" s="1144">
        <f>$G490</f>
        <v>85.595381077161008</v>
      </c>
      <c r="DS490" s="1073"/>
      <c r="DW490" s="1144">
        <f>$G490</f>
        <v>85.595381077161008</v>
      </c>
      <c r="EA490" s="1073"/>
      <c r="EE490" s="1144">
        <f>$G490</f>
        <v>85.595381077161008</v>
      </c>
      <c r="EI490" s="1073"/>
      <c r="EM490" s="1144">
        <f>$G490</f>
        <v>85.595381077161008</v>
      </c>
      <c r="EQ490" s="1073"/>
      <c r="EU490" s="1144">
        <f>$G490</f>
        <v>85.595381077161008</v>
      </c>
      <c r="EY490" s="1073"/>
      <c r="FC490" s="1144">
        <f>$G490</f>
        <v>85.595381077161008</v>
      </c>
      <c r="FG490" s="1073"/>
      <c r="FK490" s="1144">
        <f>$G490</f>
        <v>85.595381077161008</v>
      </c>
      <c r="FO490" s="1073"/>
    </row>
    <row r="491" spans="1:171">
      <c r="A491" s="1098"/>
      <c r="B491" s="1101" t="s">
        <v>649</v>
      </c>
      <c r="C491" s="1102"/>
      <c r="K491" s="1073"/>
      <c r="S491" s="1073"/>
      <c r="AA491" s="1073"/>
      <c r="AI491" s="1073"/>
      <c r="AQ491" s="1073"/>
      <c r="AY491" s="1073"/>
      <c r="BG491" s="1073"/>
      <c r="BO491" s="1073"/>
      <c r="BW491" s="1073"/>
      <c r="CE491" s="1073"/>
      <c r="CM491" s="1073"/>
      <c r="CU491" s="1073"/>
      <c r="DC491" s="1073"/>
      <c r="DK491" s="1073"/>
      <c r="DS491" s="1073"/>
      <c r="EA491" s="1073"/>
      <c r="EI491" s="1073"/>
      <c r="EQ491" s="1073"/>
      <c r="EY491" s="1073"/>
      <c r="FG491" s="1073"/>
      <c r="FO491" s="1073"/>
    </row>
    <row r="492" spans="1:171">
      <c r="B492" s="1101" t="s">
        <v>650</v>
      </c>
      <c r="K492" s="1073"/>
      <c r="S492" s="1073"/>
      <c r="AA492" s="1073"/>
      <c r="AI492" s="1073"/>
      <c r="AQ492" s="1073"/>
      <c r="AY492" s="1073"/>
      <c r="BG492" s="1073"/>
      <c r="BO492" s="1073"/>
      <c r="BW492" s="1073"/>
      <c r="CE492" s="1073"/>
      <c r="CM492" s="1073"/>
      <c r="CU492" s="1073"/>
      <c r="DC492" s="1073"/>
      <c r="DK492" s="1073"/>
      <c r="DS492" s="1073"/>
      <c r="EA492" s="1073"/>
      <c r="EI492" s="1073"/>
      <c r="EQ492" s="1073"/>
      <c r="EY492" s="1073"/>
      <c r="FG492" s="1073"/>
      <c r="FO492" s="1073"/>
    </row>
    <row r="493" spans="1:171">
      <c r="A493" s="1128">
        <v>103000</v>
      </c>
      <c r="C493" s="1261" t="s">
        <v>667</v>
      </c>
      <c r="G493" s="1297">
        <f>'3-YEAR PP &amp; OSS Worksheet'!$D$26+'3-YEAR PP &amp; OSS Worksheet'!$D$27+'3-YEAR PP &amp; OSS Worksheet'!$D$28+'3-YEAR PP &amp; OSS Worksheet'!$D$30+'3-YEAR PP &amp; OSS Worksheet'!$D$31</f>
        <v>40027337</v>
      </c>
      <c r="K493" s="1073"/>
      <c r="N493" s="1129">
        <f>VLOOKUP($A493,'New Resources - Individual'!$A$4:$Y$133,N$2,FALSE)*N$1</f>
        <v>0</v>
      </c>
      <c r="O493" s="1141">
        <f>$G493+N493</f>
        <v>40027337</v>
      </c>
      <c r="S493" s="1073"/>
      <c r="V493" s="1129">
        <f>VLOOKUP($A493,'New Resources - Individual'!$A$4:$Y$133,V$2,FALSE)*V$1</f>
        <v>0</v>
      </c>
      <c r="W493" s="1141">
        <f>$G493+V493</f>
        <v>40027337</v>
      </c>
      <c r="AA493" s="1073"/>
      <c r="AD493" s="1129">
        <f>VLOOKUP($A493,'New Resources - Individual'!$A$4:$Y$133,AD$2,FALSE)*AD$1</f>
        <v>0</v>
      </c>
      <c r="AE493" s="1141">
        <f>$G493+AD493</f>
        <v>40027337</v>
      </c>
      <c r="AI493" s="1073"/>
      <c r="AL493" s="1129">
        <f>VLOOKUP($A493,'New Resources - Individual'!$A$4:$Y$133,AL$2,FALSE)*AL$1</f>
        <v>0</v>
      </c>
      <c r="AM493" s="1141">
        <f>$G493+AL493</f>
        <v>40027337</v>
      </c>
      <c r="AQ493" s="1073"/>
      <c r="AT493" s="1129">
        <f>VLOOKUP($A493,'New Resources - Individual'!$A$4:$Y$133,AT$2,FALSE)*AT$1</f>
        <v>0</v>
      </c>
      <c r="AU493" s="1141">
        <f>$G493+AT493</f>
        <v>40027337</v>
      </c>
      <c r="AY493" s="1073"/>
      <c r="BB493" s="1129">
        <f>VLOOKUP($A493,'New Resources - Individual'!$A$4:$Y$133,BB$2,FALSE)*BB$1</f>
        <v>0</v>
      </c>
      <c r="BC493" s="1141">
        <f>$G493+BB493</f>
        <v>40027337</v>
      </c>
      <c r="BG493" s="1073"/>
      <c r="BJ493" s="1129">
        <f>VLOOKUP($A493,'New Resources - Individual'!$A$4:$Y$133,BJ$2,FALSE)*BJ$1</f>
        <v>0</v>
      </c>
      <c r="BK493" s="1141">
        <f>$G493+BJ493</f>
        <v>40027337</v>
      </c>
      <c r="BO493" s="1073"/>
      <c r="BR493" s="1129">
        <f>VLOOKUP($A493,'New Resources - Individual'!$A$4:$Y$133,BR$2,FALSE)*BR$1</f>
        <v>0</v>
      </c>
      <c r="BS493" s="1141">
        <f>$G493+BR493</f>
        <v>40027337</v>
      </c>
      <c r="BW493" s="1073"/>
      <c r="BZ493" s="1129">
        <f>VLOOKUP($A493,'New Resources - Individual'!$A$4:$Y$133,BZ$2,FALSE)*BZ$1</f>
        <v>0</v>
      </c>
      <c r="CA493" s="1141">
        <f>$G493+BZ493</f>
        <v>40027337</v>
      </c>
      <c r="CE493" s="1073"/>
      <c r="CH493" s="1129">
        <f>VLOOKUP($A493,'New Resources - Individual'!$A$4:$Y$133,CH$2,FALSE)*CH$1</f>
        <v>0</v>
      </c>
      <c r="CI493" s="1141">
        <f>$G493+CH493</f>
        <v>40027337</v>
      </c>
      <c r="CM493" s="1073"/>
      <c r="CP493" s="1129">
        <f>VLOOKUP($A493,'New Resources - Individual'!$A$4:$Y$133,CP$2,FALSE)*CP$1</f>
        <v>0</v>
      </c>
      <c r="CQ493" s="1141">
        <f>$G493+CP493</f>
        <v>40027337</v>
      </c>
      <c r="CU493" s="1073"/>
      <c r="CX493" s="1129">
        <f>VLOOKUP($A493,'New Resources - Individual'!$A$4:$Y$133,CX$2,FALSE)*CX$1</f>
        <v>0</v>
      </c>
      <c r="CY493" s="1141">
        <f>$G493+CX493</f>
        <v>40027337</v>
      </c>
      <c r="DC493" s="1073"/>
      <c r="DF493" s="1129">
        <f>VLOOKUP($A493,'New Resources - Individual'!$A$4:$Y$133,DF$2,FALSE)*DF$1</f>
        <v>0</v>
      </c>
      <c r="DG493" s="1141">
        <f>$G493+DF493</f>
        <v>40027337</v>
      </c>
      <c r="DK493" s="1073"/>
      <c r="DN493" s="1129">
        <f>VLOOKUP($A493,'New Resources - Individual'!$A$4:$Y$133,DN$2,FALSE)*DN$1</f>
        <v>0</v>
      </c>
      <c r="DO493" s="1141">
        <f>$G493+DN493</f>
        <v>40027337</v>
      </c>
      <c r="DS493" s="1073"/>
      <c r="DV493" s="1129">
        <f>VLOOKUP($A493,'New Resources - Individual'!$A$4:$Y$133,DV$2,FALSE)*DV$1</f>
        <v>0</v>
      </c>
      <c r="DW493" s="1141">
        <f>$G493+DV493</f>
        <v>40027337</v>
      </c>
      <c r="EA493" s="1073"/>
      <c r="ED493" s="1129">
        <f>VLOOKUP($A493,'New Resources - Individual'!$A$4:$Y$133,ED$2,FALSE)*ED$1</f>
        <v>0</v>
      </c>
      <c r="EE493" s="1141">
        <f>$G493+ED493</f>
        <v>40027337</v>
      </c>
      <c r="EI493" s="1073"/>
      <c r="EL493" s="1129">
        <f>VLOOKUP($A493,'New Resources - Individual'!$A$4:$Y$133,EL$2,FALSE)*EL$1</f>
        <v>0</v>
      </c>
      <c r="EM493" s="1141">
        <f>$G493+EL493</f>
        <v>40027337</v>
      </c>
      <c r="EQ493" s="1073"/>
      <c r="ET493" s="1129">
        <f>VLOOKUP($A493,'New Resources - Individual'!$A$4:$Y$133,ET$2,FALSE)*ET$1</f>
        <v>0</v>
      </c>
      <c r="EU493" s="1141">
        <f>$G493+ET493</f>
        <v>40027337</v>
      </c>
      <c r="EY493" s="1073"/>
      <c r="FB493" s="1129">
        <f>VLOOKUP($A493,'New Resources - Individual'!$A$4:$Y$133,FB$2,FALSE)*FB$1</f>
        <v>0</v>
      </c>
      <c r="FC493" s="1141">
        <f>$G493+FB493</f>
        <v>40027337</v>
      </c>
      <c r="FG493" s="1073"/>
      <c r="FJ493" s="1129">
        <f>VLOOKUP($A493,'New Resources - Individual'!$A$4:$Y$133,FJ$2,FALSE)*FJ$1</f>
        <v>0</v>
      </c>
      <c r="FK493" s="1141">
        <f>$G493+FJ493</f>
        <v>40027337</v>
      </c>
      <c r="FO493" s="1073"/>
    </row>
    <row r="494" spans="1:171">
      <c r="A494" s="1098" t="s">
        <v>651</v>
      </c>
      <c r="K494" s="1073"/>
      <c r="S494" s="1073"/>
      <c r="AA494" s="1073"/>
      <c r="AI494" s="1073"/>
      <c r="AQ494" s="1073"/>
      <c r="AY494" s="1073"/>
      <c r="BG494" s="1073"/>
      <c r="BO494" s="1073"/>
      <c r="BW494" s="1073"/>
      <c r="CE494" s="1073"/>
      <c r="CM494" s="1073"/>
      <c r="CU494" s="1073"/>
      <c r="DC494" s="1073"/>
      <c r="DK494" s="1073"/>
      <c r="DS494" s="1073"/>
      <c r="EA494" s="1073"/>
      <c r="EI494" s="1073"/>
      <c r="EQ494" s="1073"/>
      <c r="EY494" s="1073"/>
      <c r="FG494" s="1073"/>
      <c r="FO494" s="1073"/>
    </row>
    <row r="495" spans="1:171">
      <c r="K495" s="1073"/>
      <c r="S495" s="1073"/>
      <c r="AA495" s="1073"/>
      <c r="AI495" s="1073"/>
      <c r="AQ495" s="1073"/>
      <c r="AY495" s="1073"/>
      <c r="BG495" s="1073"/>
      <c r="BO495" s="1073"/>
      <c r="BW495" s="1073"/>
      <c r="CE495" s="1073"/>
      <c r="CM495" s="1073"/>
      <c r="CU495" s="1073"/>
      <c r="DC495" s="1073"/>
      <c r="DK495" s="1073"/>
      <c r="DS495" s="1073"/>
      <c r="EA495" s="1073"/>
      <c r="EI495" s="1073"/>
      <c r="EQ495" s="1073"/>
      <c r="EY495" s="1073"/>
      <c r="FG495" s="1073"/>
      <c r="FO495" s="1073"/>
    </row>
    <row r="496" spans="1:171">
      <c r="A496" s="903"/>
      <c r="B496" s="903"/>
      <c r="C496" s="903"/>
      <c r="D496" s="903"/>
      <c r="E496" s="903"/>
      <c r="F496" s="903"/>
      <c r="G496" s="903"/>
      <c r="H496" s="903"/>
      <c r="I496" s="903"/>
      <c r="J496" s="903"/>
      <c r="K496" s="903"/>
      <c r="L496" s="903"/>
      <c r="M496" s="903"/>
      <c r="N496" s="903"/>
      <c r="O496" s="903"/>
      <c r="P496" s="903"/>
      <c r="Q496" s="903"/>
      <c r="R496" s="903"/>
      <c r="S496" s="903"/>
      <c r="T496" s="903"/>
      <c r="U496" s="903"/>
      <c r="V496" s="903"/>
      <c r="W496" s="903"/>
      <c r="X496" s="903"/>
      <c r="Y496" s="903"/>
      <c r="Z496" s="903"/>
      <c r="AA496" s="903"/>
      <c r="AB496" s="903"/>
      <c r="AC496" s="903"/>
      <c r="AD496" s="903"/>
      <c r="AE496" s="903"/>
      <c r="AF496" s="903"/>
      <c r="AG496" s="903"/>
      <c r="AH496" s="903"/>
      <c r="AI496" s="903"/>
      <c r="AJ496" s="903"/>
      <c r="AK496" s="903"/>
      <c r="AL496" s="903"/>
      <c r="AM496" s="903"/>
      <c r="AN496" s="903"/>
      <c r="AO496" s="903"/>
      <c r="AP496" s="903"/>
      <c r="AQ496" s="903"/>
      <c r="AR496" s="903"/>
      <c r="AS496" s="903"/>
      <c r="AT496" s="903"/>
      <c r="AU496" s="903"/>
      <c r="AV496" s="903"/>
      <c r="AW496" s="903"/>
      <c r="AX496" s="903"/>
      <c r="AY496" s="903"/>
      <c r="AZ496" s="903"/>
      <c r="BA496" s="903"/>
      <c r="BB496" s="903"/>
      <c r="BC496" s="903"/>
      <c r="BD496" s="903"/>
      <c r="BE496" s="903"/>
      <c r="BF496" s="903"/>
      <c r="BG496" s="903"/>
      <c r="BH496" s="903"/>
      <c r="BI496" s="903"/>
      <c r="BJ496" s="903"/>
      <c r="BK496" s="903"/>
      <c r="BL496" s="903"/>
      <c r="BM496" s="903"/>
      <c r="BN496" s="903"/>
      <c r="BO496" s="903"/>
      <c r="BP496" s="903"/>
      <c r="BQ496" s="903"/>
      <c r="BR496" s="903"/>
      <c r="BS496" s="903"/>
      <c r="BT496" s="903"/>
      <c r="BU496" s="903"/>
      <c r="BV496" s="903"/>
      <c r="BW496" s="903"/>
      <c r="BX496" s="903"/>
      <c r="BY496" s="903"/>
      <c r="BZ496" s="903"/>
      <c r="CA496" s="903"/>
      <c r="CB496" s="903"/>
      <c r="CC496" s="903"/>
      <c r="CD496" s="903"/>
      <c r="CE496" s="903"/>
      <c r="CF496" s="903"/>
      <c r="CG496" s="903"/>
      <c r="CH496" s="903"/>
      <c r="CI496" s="903"/>
      <c r="CJ496" s="903"/>
      <c r="CK496" s="903"/>
      <c r="CL496" s="903"/>
      <c r="CM496" s="903"/>
      <c r="CN496" s="903"/>
      <c r="CO496" s="903"/>
      <c r="CP496" s="903"/>
      <c r="CQ496" s="903"/>
      <c r="CR496" s="903"/>
      <c r="CS496" s="903"/>
      <c r="CT496" s="903"/>
      <c r="CU496" s="903"/>
      <c r="CV496" s="903"/>
      <c r="CW496" s="903"/>
      <c r="CX496" s="903"/>
      <c r="CY496" s="903"/>
      <c r="CZ496" s="903"/>
      <c r="DA496" s="903"/>
      <c r="DB496" s="903"/>
      <c r="DC496" s="903"/>
      <c r="DD496" s="903"/>
      <c r="DE496" s="903"/>
      <c r="DF496" s="903"/>
      <c r="DG496" s="903"/>
      <c r="DH496" s="903"/>
      <c r="DI496" s="903"/>
      <c r="DJ496" s="903"/>
      <c r="DK496" s="903"/>
      <c r="DL496" s="903"/>
      <c r="DM496" s="903"/>
      <c r="DN496" s="903"/>
      <c r="DO496" s="903"/>
      <c r="DP496" s="903"/>
      <c r="DQ496" s="903"/>
      <c r="DR496" s="903"/>
      <c r="DS496" s="903"/>
      <c r="DT496" s="903"/>
      <c r="DU496" s="903"/>
      <c r="DV496" s="903"/>
      <c r="DW496" s="903"/>
      <c r="DX496" s="903"/>
      <c r="DY496" s="903"/>
      <c r="DZ496" s="903"/>
      <c r="EA496" s="903"/>
      <c r="EB496" s="903"/>
      <c r="EC496" s="903"/>
      <c r="ED496" s="903"/>
      <c r="EE496" s="903"/>
      <c r="EF496" s="903"/>
      <c r="EG496" s="903"/>
      <c r="EH496" s="903"/>
      <c r="EI496" s="903"/>
      <c r="EJ496" s="903"/>
      <c r="EK496" s="903"/>
      <c r="EL496" s="903"/>
      <c r="EM496" s="903"/>
      <c r="EN496" s="903"/>
      <c r="EO496" s="903"/>
      <c r="EP496" s="903"/>
      <c r="EQ496" s="903"/>
      <c r="ER496" s="903"/>
      <c r="ES496" s="903"/>
      <c r="ET496" s="903"/>
      <c r="EU496" s="903"/>
      <c r="EV496" s="903"/>
      <c r="EW496" s="903"/>
      <c r="EX496" s="903"/>
      <c r="EY496" s="903"/>
      <c r="EZ496" s="903"/>
      <c r="FA496" s="903"/>
      <c r="FB496" s="903"/>
      <c r="FC496" s="903"/>
      <c r="FD496" s="903"/>
      <c r="FE496" s="903"/>
      <c r="FF496" s="903"/>
      <c r="FG496" s="903"/>
      <c r="FH496" s="903"/>
      <c r="FI496" s="903"/>
      <c r="FJ496" s="903"/>
      <c r="FK496" s="903"/>
      <c r="FL496" s="903"/>
      <c r="FM496" s="903"/>
      <c r="FN496" s="903"/>
      <c r="FO496" s="903"/>
    </row>
  </sheetData>
  <mergeCells count="22">
    <mergeCell ref="B465:E465"/>
    <mergeCell ref="B466:E466"/>
    <mergeCell ref="G264:G266"/>
    <mergeCell ref="H264:H266"/>
    <mergeCell ref="I264:I266"/>
    <mergeCell ref="B287:B289"/>
    <mergeCell ref="E287:F288"/>
    <mergeCell ref="G287:G289"/>
    <mergeCell ref="H287:H289"/>
    <mergeCell ref="I287:I289"/>
    <mergeCell ref="B264:B266"/>
    <mergeCell ref="E264:F265"/>
    <mergeCell ref="I12:I14"/>
    <mergeCell ref="B171:B173"/>
    <mergeCell ref="E171:F172"/>
    <mergeCell ref="G171:G173"/>
    <mergeCell ref="H171:H173"/>
    <mergeCell ref="I171:I173"/>
    <mergeCell ref="B12:B14"/>
    <mergeCell ref="E12:F13"/>
    <mergeCell ref="G12:G14"/>
    <mergeCell ref="H12:H14"/>
  </mergeCells>
  <phoneticPr fontId="0" type="noConversion"/>
  <hyperlinks>
    <hyperlink ref="A5" location="TOC!A1" display="TOC" xr:uid="{00000000-0004-0000-1100-000000000000}"/>
    <hyperlink ref="A6" location="'Materiality - Individual'!A15" display="é" xr:uid="{00000000-0004-0000-1100-000001000000}"/>
  </hyperlinks>
  <printOptions horizontalCentered="1" headings="1"/>
  <pageMargins left="0.5" right="0.5" top="0.5" bottom="0.5" header="0.05" footer="0.05"/>
  <pageSetup scale="50" orientation="landscape" r:id="rId1"/>
  <headerFooter alignWithMargins="0">
    <oddFooter>&amp;LFY 2026-2028 ASC Filing&amp;CPage &amp;P of &amp;N&amp;R&amp;A
&amp;D</oddFooter>
  </headerFooter>
  <rowBreaks count="5" manualBreakCount="5">
    <brk id="81" max="16383" man="1"/>
    <brk id="169" max="16383" man="1"/>
    <brk id="284" max="16383" man="1"/>
    <brk id="363" max="16383" man="1"/>
    <brk id="461" max="16383" man="1"/>
  </rowBreaks>
  <colBreaks count="20" manualBreakCount="20">
    <brk id="10" max="1048575" man="1"/>
    <brk id="19" max="1048575" man="1"/>
    <brk id="27" max="1048575" man="1"/>
    <brk id="35" max="1048575" man="1"/>
    <brk id="43" max="1048575" man="1"/>
    <brk id="51" max="1048575" man="1"/>
    <brk id="59" max="1048575" man="1"/>
    <brk id="67" max="1048575" man="1"/>
    <brk id="75" max="1048575" man="1"/>
    <brk id="83" max="1048575" man="1"/>
    <brk id="91" max="1048575" man="1"/>
    <brk id="99" max="1048575" man="1"/>
    <brk id="107" max="1048575" man="1"/>
    <brk id="115" max="1048575" man="1"/>
    <brk id="123" max="1048575" man="1"/>
    <brk id="131" max="1048575" man="1"/>
    <brk id="139" max="1048575" man="1"/>
    <brk id="147" max="1048575" man="1"/>
    <brk id="155" max="1048575" man="1"/>
    <brk id="163" max="1048575" man="1"/>
  </colBreaks>
  <customProperties>
    <customPr name="xxe4aPID" r:id="rId2"/>
  </customPropertie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48"/>
  </sheetPr>
  <dimension ref="A1:FO496"/>
  <sheetViews>
    <sheetView view="pageLayout" topLeftCell="A63" zoomScaleNormal="90" zoomScaleSheetLayoutView="75" workbookViewId="0">
      <selection activeCell="B77" sqref="B77"/>
    </sheetView>
  </sheetViews>
  <sheetFormatPr defaultColWidth="9" defaultRowHeight="15.75"/>
  <cols>
    <col min="1" max="1" width="8.625" customWidth="1"/>
    <col min="2" max="2" width="50.625" customWidth="1"/>
    <col min="3" max="3" width="22.875" customWidth="1"/>
    <col min="4" max="4" width="16.5" customWidth="1"/>
    <col min="5" max="6" width="12.625" customWidth="1"/>
    <col min="7" max="10" width="16.625" customWidth="1"/>
    <col min="11" max="11" width="2.625" customWidth="1"/>
    <col min="12" max="18" width="15.625" customWidth="1"/>
    <col min="19" max="19" width="2.625" customWidth="1"/>
    <col min="20" max="20" width="15" customWidth="1"/>
    <col min="21" max="21" width="14.25" customWidth="1"/>
    <col min="22" max="26" width="15.625" customWidth="1"/>
    <col min="27" max="27" width="2.625" customWidth="1"/>
    <col min="28" max="28" width="15.25" customWidth="1"/>
    <col min="29" max="29" width="13.75" customWidth="1"/>
    <col min="30" max="34" width="15.625" customWidth="1"/>
    <col min="35" max="35" width="2.625" customWidth="1"/>
    <col min="36" max="36" width="15.5" customWidth="1"/>
    <col min="37" max="37" width="14.5" customWidth="1"/>
    <col min="38" max="42" width="15.625" customWidth="1"/>
    <col min="43" max="43" width="2.625" customWidth="1"/>
    <col min="44" max="44" width="15.625" customWidth="1"/>
    <col min="45" max="45" width="14.125" customWidth="1"/>
    <col min="46" max="50" width="15.625" customWidth="1"/>
    <col min="51" max="51" width="2.625" customWidth="1"/>
    <col min="52" max="52" width="15.75" customWidth="1"/>
    <col min="53" max="53" width="13.75" customWidth="1"/>
    <col min="54" max="58" width="15.625" customWidth="1"/>
    <col min="59" max="59" width="2.625" customWidth="1"/>
    <col min="60" max="60" width="14.75" customWidth="1"/>
    <col min="61" max="61" width="13.75" customWidth="1"/>
    <col min="62" max="66" width="15.625" customWidth="1"/>
    <col min="67" max="67" width="2.625" customWidth="1"/>
    <col min="68" max="68" width="14.75" customWidth="1"/>
    <col min="69" max="69" width="14" customWidth="1"/>
    <col min="70" max="74" width="15.625" customWidth="1"/>
    <col min="75" max="75" width="2.625" customWidth="1"/>
    <col min="76" max="76" width="15.125" customWidth="1"/>
    <col min="77" max="77" width="13.5" customWidth="1"/>
    <col min="78" max="82" width="15.625" customWidth="1"/>
    <col min="83" max="83" width="2.625" customWidth="1"/>
    <col min="84" max="84" width="15" customWidth="1"/>
    <col min="85" max="85" width="14.25" customWidth="1"/>
    <col min="86" max="90" width="15.625" customWidth="1"/>
    <col min="91" max="91" width="2.625" customWidth="1"/>
    <col min="92" max="92" width="15" customWidth="1"/>
    <col min="93" max="93" width="14.25" customWidth="1"/>
    <col min="94" max="98" width="15.625" customWidth="1"/>
    <col min="99" max="99" width="2.625" customWidth="1"/>
    <col min="100" max="100" width="15" customWidth="1"/>
    <col min="101" max="101" width="13.75" customWidth="1"/>
    <col min="102" max="106" width="15.625" customWidth="1"/>
    <col min="107" max="107" width="2.625" customWidth="1"/>
    <col min="108" max="108" width="15.25" customWidth="1"/>
    <col min="109" max="109" width="13.75" customWidth="1"/>
    <col min="110" max="114" width="15.625" customWidth="1"/>
    <col min="115" max="115" width="2.625" customWidth="1"/>
    <col min="116" max="116" width="15.125" customWidth="1"/>
    <col min="117" max="117" width="13.5" customWidth="1"/>
    <col min="118" max="122" width="15.625" customWidth="1"/>
    <col min="123" max="123" width="2.625" customWidth="1"/>
    <col min="124" max="124" width="15.125" customWidth="1"/>
    <col min="125" max="125" width="14" customWidth="1"/>
    <col min="126" max="130" width="15.625" customWidth="1"/>
    <col min="131" max="131" width="2.625" customWidth="1"/>
    <col min="132" max="132" width="15.25" customWidth="1"/>
    <col min="133" max="133" width="14.5" customWidth="1"/>
    <col min="134" max="138" width="15.625" customWidth="1"/>
    <col min="139" max="139" width="2.625" customWidth="1"/>
    <col min="140" max="140" width="15.125" customWidth="1"/>
    <col min="141" max="141" width="13.875" customWidth="1"/>
    <col min="142" max="146" width="15.625" customWidth="1"/>
    <col min="147" max="147" width="2.625" customWidth="1"/>
    <col min="148" max="148" width="15.5" customWidth="1"/>
    <col min="149" max="149" width="14" customWidth="1"/>
    <col min="150" max="154" width="15.625" customWidth="1"/>
    <col min="155" max="155" width="2.625" customWidth="1"/>
    <col min="156" max="156" width="15.125" customWidth="1"/>
    <col min="157" max="157" width="14.25" customWidth="1"/>
    <col min="158" max="162" width="15.625" customWidth="1"/>
    <col min="163" max="163" width="2.625" customWidth="1"/>
    <col min="164" max="164" width="14.75" customWidth="1"/>
    <col min="165" max="165" width="14.5" customWidth="1"/>
    <col min="166" max="170" width="15.625" customWidth="1"/>
    <col min="171" max="171" width="2.625" customWidth="1"/>
  </cols>
  <sheetData>
    <row r="1" spans="1:171" ht="16.5" thickTop="1">
      <c r="A1" s="1397"/>
      <c r="B1" s="1398"/>
      <c r="C1" s="1398"/>
      <c r="D1" s="1398"/>
      <c r="E1" s="1398"/>
      <c r="F1" s="1399" t="s">
        <v>619</v>
      </c>
      <c r="G1" s="1398"/>
      <c r="H1" s="1398"/>
      <c r="I1" s="1398"/>
      <c r="J1" s="1400"/>
      <c r="K1" s="903"/>
      <c r="M1" s="1107" t="s">
        <v>668</v>
      </c>
      <c r="N1" s="1108">
        <v>1</v>
      </c>
      <c r="S1" s="1109"/>
      <c r="U1" s="1107" t="s">
        <v>668</v>
      </c>
      <c r="V1" s="1108">
        <v>1</v>
      </c>
      <c r="AA1" s="1109"/>
      <c r="AC1" s="1107" t="s">
        <v>668</v>
      </c>
      <c r="AD1" s="1108">
        <v>1</v>
      </c>
      <c r="AI1" s="1109"/>
      <c r="AK1" s="1107" t="s">
        <v>668</v>
      </c>
      <c r="AL1" s="1108">
        <v>1</v>
      </c>
      <c r="AQ1" s="1109"/>
      <c r="AS1" s="1107" t="s">
        <v>668</v>
      </c>
      <c r="AT1" s="1108">
        <v>1</v>
      </c>
      <c r="AY1" s="1109"/>
      <c r="BA1" s="1107" t="s">
        <v>668</v>
      </c>
      <c r="BB1" s="1108">
        <v>1</v>
      </c>
      <c r="BG1" s="1109"/>
      <c r="BI1" s="1107" t="s">
        <v>668</v>
      </c>
      <c r="BJ1" s="1108">
        <v>1</v>
      </c>
      <c r="BO1" s="1109"/>
      <c r="BQ1" s="1107" t="s">
        <v>668</v>
      </c>
      <c r="BR1" s="1108">
        <v>1</v>
      </c>
      <c r="BW1" s="1109"/>
      <c r="BY1" s="1107" t="s">
        <v>668</v>
      </c>
      <c r="BZ1" s="1108">
        <v>1</v>
      </c>
      <c r="CE1" s="1109"/>
      <c r="CG1" s="1107" t="s">
        <v>668</v>
      </c>
      <c r="CH1" s="1108">
        <v>1</v>
      </c>
      <c r="CM1" s="1109"/>
      <c r="CO1" s="1107" t="s">
        <v>668</v>
      </c>
      <c r="CP1" s="1108">
        <v>1</v>
      </c>
      <c r="CU1" s="1109"/>
      <c r="CW1" s="1107" t="s">
        <v>668</v>
      </c>
      <c r="CX1" s="1108">
        <v>1</v>
      </c>
      <c r="DC1" s="1109"/>
      <c r="DE1" s="1107" t="s">
        <v>668</v>
      </c>
      <c r="DF1" s="1108">
        <v>1</v>
      </c>
      <c r="DK1" s="1109"/>
      <c r="DM1" s="1107" t="s">
        <v>668</v>
      </c>
      <c r="DN1" s="1108">
        <v>1</v>
      </c>
      <c r="DS1" s="1109"/>
      <c r="DU1" s="1107" t="s">
        <v>668</v>
      </c>
      <c r="DV1" s="1108">
        <v>1</v>
      </c>
      <c r="EA1" s="1109"/>
      <c r="EC1" s="1107" t="s">
        <v>668</v>
      </c>
      <c r="ED1" s="1108">
        <v>1</v>
      </c>
      <c r="EI1" s="1109"/>
      <c r="EK1" s="1107" t="s">
        <v>668</v>
      </c>
      <c r="EL1" s="1108">
        <v>1</v>
      </c>
      <c r="EQ1" s="1109"/>
      <c r="ES1" s="1107" t="s">
        <v>668</v>
      </c>
      <c r="ET1" s="1108">
        <v>1</v>
      </c>
      <c r="EY1" s="1109"/>
      <c r="FA1" s="1107" t="s">
        <v>668</v>
      </c>
      <c r="FB1" s="1108">
        <v>1</v>
      </c>
      <c r="FG1" s="1109"/>
      <c r="FI1" s="1107" t="s">
        <v>668</v>
      </c>
      <c r="FJ1" s="1108">
        <v>1</v>
      </c>
      <c r="FO1" s="1109"/>
    </row>
    <row r="2" spans="1:171">
      <c r="A2" s="1401"/>
      <c r="B2" s="867"/>
      <c r="C2" s="867"/>
      <c r="D2" s="867"/>
      <c r="E2" s="867"/>
      <c r="F2" s="866" t="s">
        <v>620</v>
      </c>
      <c r="G2" s="867"/>
      <c r="H2" s="867"/>
      <c r="I2" s="867"/>
      <c r="J2" s="1402"/>
      <c r="K2" s="903"/>
      <c r="M2" s="866" t="s">
        <v>669</v>
      </c>
      <c r="N2" s="1110">
        <v>6</v>
      </c>
      <c r="S2" s="1111"/>
      <c r="U2" s="866" t="s">
        <v>669</v>
      </c>
      <c r="V2" s="1110">
        <v>7</v>
      </c>
      <c r="AA2" s="1111"/>
      <c r="AC2" s="866" t="s">
        <v>669</v>
      </c>
      <c r="AD2" s="1110">
        <v>8</v>
      </c>
      <c r="AI2" s="1111"/>
      <c r="AK2" s="866" t="s">
        <v>669</v>
      </c>
      <c r="AL2" s="1110">
        <v>9</v>
      </c>
      <c r="AQ2" s="1111"/>
      <c r="AS2" s="866" t="s">
        <v>669</v>
      </c>
      <c r="AT2" s="1110">
        <v>10</v>
      </c>
      <c r="AY2" s="1111"/>
      <c r="BA2" s="866" t="s">
        <v>669</v>
      </c>
      <c r="BB2" s="1110">
        <v>11</v>
      </c>
      <c r="BG2" s="1111"/>
      <c r="BI2" s="866" t="s">
        <v>669</v>
      </c>
      <c r="BJ2" s="1110">
        <v>12</v>
      </c>
      <c r="BO2" s="1111"/>
      <c r="BQ2" s="866" t="s">
        <v>669</v>
      </c>
      <c r="BR2" s="1110">
        <v>13</v>
      </c>
      <c r="BW2" s="1111"/>
      <c r="BY2" s="866" t="s">
        <v>669</v>
      </c>
      <c r="BZ2" s="1110">
        <v>14</v>
      </c>
      <c r="CE2" s="1111"/>
      <c r="CG2" s="866" t="s">
        <v>669</v>
      </c>
      <c r="CH2" s="1110">
        <v>15</v>
      </c>
      <c r="CM2" s="1111"/>
      <c r="CO2" s="866" t="s">
        <v>669</v>
      </c>
      <c r="CP2" s="1110">
        <v>16</v>
      </c>
      <c r="CU2" s="1111"/>
      <c r="CW2" s="866" t="s">
        <v>669</v>
      </c>
      <c r="CX2" s="1110">
        <v>17</v>
      </c>
      <c r="DC2" s="1111"/>
      <c r="DE2" s="866" t="s">
        <v>669</v>
      </c>
      <c r="DF2" s="1110">
        <v>18</v>
      </c>
      <c r="DK2" s="1111"/>
      <c r="DM2" s="866" t="s">
        <v>669</v>
      </c>
      <c r="DN2" s="1110">
        <v>19</v>
      </c>
      <c r="DS2" s="1111"/>
      <c r="DU2" s="866" t="s">
        <v>669</v>
      </c>
      <c r="DV2" s="1110">
        <v>20</v>
      </c>
      <c r="EA2" s="1111"/>
      <c r="EC2" s="866" t="s">
        <v>669</v>
      </c>
      <c r="ED2" s="1110">
        <v>21</v>
      </c>
      <c r="EI2" s="1111"/>
      <c r="EK2" s="866" t="s">
        <v>669</v>
      </c>
      <c r="EL2" s="1110">
        <v>22</v>
      </c>
      <c r="EQ2" s="1111"/>
      <c r="ES2" s="866" t="s">
        <v>669</v>
      </c>
      <c r="ET2" s="1110">
        <v>23</v>
      </c>
      <c r="EY2" s="1111"/>
      <c r="FA2" s="866" t="s">
        <v>669</v>
      </c>
      <c r="FB2" s="1110">
        <v>24</v>
      </c>
      <c r="FG2" s="1111"/>
      <c r="FI2" s="866" t="s">
        <v>669</v>
      </c>
      <c r="FJ2" s="1110">
        <v>25</v>
      </c>
      <c r="FO2" s="1111"/>
    </row>
    <row r="3" spans="1:171">
      <c r="A3" s="1403"/>
      <c r="B3" s="865"/>
      <c r="C3" s="865"/>
      <c r="D3" s="865"/>
      <c r="E3" s="865"/>
      <c r="F3" s="867" t="s">
        <v>621</v>
      </c>
      <c r="G3" s="865"/>
      <c r="H3" s="865"/>
      <c r="I3" s="865"/>
      <c r="J3" s="1404"/>
      <c r="K3" s="903"/>
      <c r="L3" s="1112"/>
      <c r="O3" s="1113" t="str">
        <f ca="1">IF(OFFSET('New Resources - Group'!$A$1,1,N2-1)&lt;&gt;"",OFFSET('New Resources - Group'!$A$1,3,N2-1),"")</f>
        <v/>
      </c>
      <c r="S3" s="1109"/>
      <c r="T3" s="1112"/>
      <c r="W3" s="1113" t="str">
        <f ca="1">IF(OFFSET('New Resources - Group'!$A$1,1,V2-1)&lt;&gt;"",OFFSET('New Resources - Group'!$A$1,3,V2-1),"")</f>
        <v/>
      </c>
      <c r="AA3" s="1109"/>
      <c r="AB3" s="1112"/>
      <c r="AE3" s="1113" t="str">
        <f ca="1">IF(OFFSET('New Resources - Group'!$A$1,1,AD2-1)&lt;&gt;"",OFFSET('New Resources - Group'!$A$1,3,AD2-1),"")</f>
        <v/>
      </c>
      <c r="AI3" s="1109"/>
      <c r="AJ3" s="1112"/>
      <c r="AM3" s="1113" t="str">
        <f ca="1">IF(OFFSET('New Resources - Group'!$A$1,1,AL2-1)&lt;&gt;"",OFFSET('New Resources - Group'!$A$1,3,AL2-1),"")</f>
        <v/>
      </c>
      <c r="AQ3" s="1109"/>
      <c r="AR3" s="1112"/>
      <c r="AU3" s="1113" t="str">
        <f ca="1">IF(OFFSET('New Resources - Group'!$A$1,1,AT2-1)&lt;&gt;"",OFFSET('New Resources - Group'!$A$1,3,AT2-1),"")</f>
        <v/>
      </c>
      <c r="AY3" s="1109"/>
      <c r="AZ3" s="1112"/>
      <c r="BC3" s="1113" t="str">
        <f ca="1">IF(OFFSET('New Resources - Group'!$A$1,1,BB2-1)&lt;&gt;"",OFFSET('New Resources - Group'!$A$1,3,BB2-1),"")</f>
        <v/>
      </c>
      <c r="BG3" s="1109"/>
      <c r="BH3" s="1112"/>
      <c r="BK3" s="1113" t="str">
        <f ca="1">IF(OFFSET('New Resources - Group'!$A$1,1,BJ2-1)&lt;&gt;"",OFFSET('New Resources - Group'!$A$1,3,BJ2-1),"")</f>
        <v/>
      </c>
      <c r="BO3" s="1109"/>
      <c r="BP3" s="1112"/>
      <c r="BS3" s="1113" t="str">
        <f ca="1">IF(OFFSET('New Resources - Group'!$A$1,1,BR2-1)&lt;&gt;"",OFFSET('New Resources - Group'!$A$1,3,BR2-1),"")</f>
        <v/>
      </c>
      <c r="BW3" s="1109"/>
      <c r="BX3" s="1112"/>
      <c r="CA3" s="1113" t="str">
        <f ca="1">IF(OFFSET('New Resources - Group'!$A$1,1,BZ2-1)&lt;&gt;"",OFFSET('New Resources - Group'!$A$1,3,BZ2-1),"")</f>
        <v/>
      </c>
      <c r="CE3" s="1109"/>
      <c r="CF3" s="1112"/>
      <c r="CI3" s="1113" t="str">
        <f ca="1">IF(OFFSET('New Resources - Group'!$A$1,1,CH2-1)&lt;&gt;"",OFFSET('New Resources - Group'!$A$1,3,CH2-1),"")</f>
        <v/>
      </c>
      <c r="CM3" s="1109"/>
      <c r="CN3" s="1112"/>
      <c r="CQ3" s="1113" t="str">
        <f ca="1">IF(OFFSET('New Resources - Group'!$A$1,1,CP2-1)&lt;&gt;"",OFFSET('New Resources - Group'!$A$1,3,CP2-1),"")</f>
        <v/>
      </c>
      <c r="CU3" s="1109"/>
      <c r="CV3" s="1112"/>
      <c r="CY3" s="1113" t="str">
        <f ca="1">IF(OFFSET('New Resources - Group'!$A$1,1,CX2-1)&lt;&gt;"",OFFSET('New Resources - Group'!$A$1,3,CX2-1),"")</f>
        <v/>
      </c>
      <c r="DC3" s="1109"/>
      <c r="DD3" s="1112"/>
      <c r="DG3" s="1113" t="str">
        <f ca="1">IF(OFFSET('New Resources - Group'!$A$1,1,DF2-1)&lt;&gt;"",OFFSET('New Resources - Group'!$A$1,3,DF2-1),"")</f>
        <v/>
      </c>
      <c r="DK3" s="1109"/>
      <c r="DL3" s="1112"/>
      <c r="DO3" s="1113" t="str">
        <f ca="1">IF(OFFSET('New Resources - Group'!$A$1,1,DN2-1)&lt;&gt;"",OFFSET('New Resources - Group'!$A$1,3,DN2-1),"")</f>
        <v/>
      </c>
      <c r="DS3" s="1109"/>
      <c r="DT3" s="1112"/>
      <c r="DW3" s="1113" t="str">
        <f ca="1">IF(OFFSET('New Resources - Group'!$A$1,1,DV2-1)&lt;&gt;"",OFFSET('New Resources - Group'!$A$1,3,DV2-1),"")</f>
        <v/>
      </c>
      <c r="EA3" s="1109"/>
      <c r="EB3" s="1112"/>
      <c r="EE3" s="1113" t="str">
        <f ca="1">IF(OFFSET('New Resources - Group'!$A$1,1,ED2-1)&lt;&gt;"",OFFSET('New Resources - Group'!$A$1,3,ED2-1),"")</f>
        <v/>
      </c>
      <c r="EI3" s="1109"/>
      <c r="EJ3" s="1112"/>
      <c r="EM3" s="1113" t="str">
        <f ca="1">IF(OFFSET('New Resources - Group'!$A$1,1,EL2-1)&lt;&gt;"",OFFSET('New Resources - Group'!$A$1,3,EL2-1),"")</f>
        <v/>
      </c>
      <c r="EQ3" s="1109"/>
      <c r="ER3" s="1112"/>
      <c r="EU3" s="1113" t="str">
        <f ca="1">IF(OFFSET('New Resources - Group'!$A$1,1,ET2-1)&lt;&gt;"",OFFSET('New Resources - Group'!$A$1,3,ET2-1),"")</f>
        <v/>
      </c>
      <c r="EY3" s="1109"/>
      <c r="EZ3" s="1112"/>
      <c r="FC3" s="1113" t="str">
        <f ca="1">IF(OFFSET('New Resources - Group'!$A$1,1,FB2-1)&lt;&gt;"",OFFSET('New Resources - Group'!$A$1,3,FB2-1),"")</f>
        <v/>
      </c>
      <c r="FG3" s="1109"/>
      <c r="FH3" s="1112"/>
      <c r="FK3" s="1113" t="str">
        <f ca="1">IF(OFFSET('New Resources - Group'!$A$1,1,FJ2-1)&lt;&gt;"",OFFSET('New Resources - Group'!$A$1,3,FJ2-1),"")</f>
        <v/>
      </c>
      <c r="FO3" s="1109"/>
    </row>
    <row r="4" spans="1:171" ht="16.5" thickBot="1">
      <c r="A4" s="1268"/>
      <c r="B4" s="2"/>
      <c r="C4" s="3"/>
      <c r="D4" s="3"/>
      <c r="E4" s="4"/>
      <c r="F4" s="865"/>
      <c r="G4" s="865"/>
      <c r="H4" s="865"/>
      <c r="I4" s="865"/>
      <c r="J4" s="1404"/>
      <c r="K4" s="903"/>
      <c r="M4" s="1112"/>
      <c r="N4" s="1112" t="s">
        <v>670</v>
      </c>
      <c r="O4" s="1112" t="s">
        <v>104</v>
      </c>
      <c r="P4" s="1112" t="s">
        <v>105</v>
      </c>
      <c r="Q4" s="1112" t="s">
        <v>106</v>
      </c>
      <c r="R4" s="1112" t="s">
        <v>516</v>
      </c>
      <c r="S4" s="1109"/>
      <c r="U4" s="1112"/>
      <c r="V4" s="1112" t="s">
        <v>670</v>
      </c>
      <c r="W4" s="1112" t="s">
        <v>104</v>
      </c>
      <c r="X4" s="1112" t="s">
        <v>105</v>
      </c>
      <c r="Y4" s="1112" t="s">
        <v>106</v>
      </c>
      <c r="Z4" s="1112" t="s">
        <v>516</v>
      </c>
      <c r="AA4" s="1109"/>
      <c r="AC4" s="1112"/>
      <c r="AD4" s="1112" t="s">
        <v>670</v>
      </c>
      <c r="AE4" s="1112" t="s">
        <v>104</v>
      </c>
      <c r="AF4" s="1112" t="s">
        <v>105</v>
      </c>
      <c r="AG4" s="1112" t="s">
        <v>106</v>
      </c>
      <c r="AH4" s="1112" t="s">
        <v>516</v>
      </c>
      <c r="AI4" s="1109"/>
      <c r="AK4" s="1112"/>
      <c r="AL4" s="1112" t="s">
        <v>670</v>
      </c>
      <c r="AM4" s="1112" t="s">
        <v>104</v>
      </c>
      <c r="AN4" s="1112" t="s">
        <v>105</v>
      </c>
      <c r="AO4" s="1112" t="s">
        <v>106</v>
      </c>
      <c r="AP4" s="1112" t="s">
        <v>516</v>
      </c>
      <c r="AQ4" s="1109"/>
      <c r="AS4" s="1112"/>
      <c r="AT4" s="1112" t="s">
        <v>670</v>
      </c>
      <c r="AU4" s="1112" t="s">
        <v>104</v>
      </c>
      <c r="AV4" s="1112" t="s">
        <v>105</v>
      </c>
      <c r="AW4" s="1112" t="s">
        <v>106</v>
      </c>
      <c r="AX4" s="1112" t="s">
        <v>516</v>
      </c>
      <c r="AY4" s="1109"/>
      <c r="BA4" s="1112"/>
      <c r="BB4" s="1112" t="s">
        <v>670</v>
      </c>
      <c r="BC4" s="1112" t="s">
        <v>104</v>
      </c>
      <c r="BD4" s="1112" t="s">
        <v>105</v>
      </c>
      <c r="BE4" s="1112" t="s">
        <v>106</v>
      </c>
      <c r="BF4" s="1112" t="s">
        <v>516</v>
      </c>
      <c r="BG4" s="1109"/>
      <c r="BI4" s="1112"/>
      <c r="BJ4" s="1112" t="s">
        <v>670</v>
      </c>
      <c r="BK4" s="1112" t="s">
        <v>104</v>
      </c>
      <c r="BL4" s="1112" t="s">
        <v>105</v>
      </c>
      <c r="BM4" s="1112" t="s">
        <v>106</v>
      </c>
      <c r="BN4" s="1112" t="s">
        <v>516</v>
      </c>
      <c r="BO4" s="1109"/>
      <c r="BQ4" s="1112"/>
      <c r="BR4" s="1112" t="s">
        <v>670</v>
      </c>
      <c r="BS4" s="1112" t="s">
        <v>104</v>
      </c>
      <c r="BT4" s="1112" t="s">
        <v>105</v>
      </c>
      <c r="BU4" s="1112" t="s">
        <v>106</v>
      </c>
      <c r="BV4" s="1112" t="s">
        <v>516</v>
      </c>
      <c r="BW4" s="1109"/>
      <c r="BY4" s="1112"/>
      <c r="BZ4" s="1112" t="s">
        <v>670</v>
      </c>
      <c r="CA4" s="1112" t="s">
        <v>104</v>
      </c>
      <c r="CB4" s="1112" t="s">
        <v>105</v>
      </c>
      <c r="CC4" s="1112" t="s">
        <v>106</v>
      </c>
      <c r="CD4" s="1112" t="s">
        <v>516</v>
      </c>
      <c r="CE4" s="1109"/>
      <c r="CG4" s="1112"/>
      <c r="CH4" s="1112" t="s">
        <v>670</v>
      </c>
      <c r="CI4" s="1112" t="s">
        <v>104</v>
      </c>
      <c r="CJ4" s="1112" t="s">
        <v>105</v>
      </c>
      <c r="CK4" s="1112" t="s">
        <v>106</v>
      </c>
      <c r="CL4" s="1112" t="s">
        <v>516</v>
      </c>
      <c r="CM4" s="1109"/>
      <c r="CO4" s="1112"/>
      <c r="CP4" s="1112" t="s">
        <v>670</v>
      </c>
      <c r="CQ4" s="1112" t="s">
        <v>104</v>
      </c>
      <c r="CR4" s="1112" t="s">
        <v>105</v>
      </c>
      <c r="CS4" s="1112" t="s">
        <v>106</v>
      </c>
      <c r="CT4" s="1112" t="s">
        <v>516</v>
      </c>
      <c r="CU4" s="1109"/>
      <c r="CW4" s="1112"/>
      <c r="CX4" s="1112" t="s">
        <v>670</v>
      </c>
      <c r="CY4" s="1112" t="s">
        <v>104</v>
      </c>
      <c r="CZ4" s="1112" t="s">
        <v>105</v>
      </c>
      <c r="DA4" s="1112" t="s">
        <v>106</v>
      </c>
      <c r="DB4" s="1112" t="s">
        <v>516</v>
      </c>
      <c r="DC4" s="1109"/>
      <c r="DE4" s="1112"/>
      <c r="DF4" s="1112" t="s">
        <v>670</v>
      </c>
      <c r="DG4" s="1112" t="s">
        <v>104</v>
      </c>
      <c r="DH4" s="1112" t="s">
        <v>105</v>
      </c>
      <c r="DI4" s="1112" t="s">
        <v>106</v>
      </c>
      <c r="DJ4" s="1112" t="s">
        <v>516</v>
      </c>
      <c r="DK4" s="1109"/>
      <c r="DM4" s="1112"/>
      <c r="DN4" s="1112" t="s">
        <v>670</v>
      </c>
      <c r="DO4" s="1112" t="s">
        <v>104</v>
      </c>
      <c r="DP4" s="1112" t="s">
        <v>105</v>
      </c>
      <c r="DQ4" s="1112" t="s">
        <v>106</v>
      </c>
      <c r="DR4" s="1112" t="s">
        <v>516</v>
      </c>
      <c r="DS4" s="1109"/>
      <c r="DU4" s="1112"/>
      <c r="DV4" s="1112" t="s">
        <v>670</v>
      </c>
      <c r="DW4" s="1112" t="s">
        <v>104</v>
      </c>
      <c r="DX4" s="1112" t="s">
        <v>105</v>
      </c>
      <c r="DY4" s="1112" t="s">
        <v>106</v>
      </c>
      <c r="DZ4" s="1112" t="s">
        <v>516</v>
      </c>
      <c r="EA4" s="1109"/>
      <c r="EC4" s="1112"/>
      <c r="ED4" s="1112" t="s">
        <v>670</v>
      </c>
      <c r="EE4" s="1112" t="s">
        <v>104</v>
      </c>
      <c r="EF4" s="1112" t="s">
        <v>105</v>
      </c>
      <c r="EG4" s="1112" t="s">
        <v>106</v>
      </c>
      <c r="EH4" s="1112" t="s">
        <v>516</v>
      </c>
      <c r="EI4" s="1109"/>
      <c r="EK4" s="1112"/>
      <c r="EL4" s="1112" t="s">
        <v>670</v>
      </c>
      <c r="EM4" s="1112" t="s">
        <v>104</v>
      </c>
      <c r="EN4" s="1112" t="s">
        <v>105</v>
      </c>
      <c r="EO4" s="1112" t="s">
        <v>106</v>
      </c>
      <c r="EP4" s="1112" t="s">
        <v>516</v>
      </c>
      <c r="EQ4" s="1109"/>
      <c r="ES4" s="1112"/>
      <c r="ET4" s="1112" t="s">
        <v>670</v>
      </c>
      <c r="EU4" s="1112" t="s">
        <v>104</v>
      </c>
      <c r="EV4" s="1112" t="s">
        <v>105</v>
      </c>
      <c r="EW4" s="1112" t="s">
        <v>106</v>
      </c>
      <c r="EX4" s="1112" t="s">
        <v>516</v>
      </c>
      <c r="EY4" s="1109"/>
      <c r="FA4" s="1112"/>
      <c r="FB4" s="1112" t="s">
        <v>670</v>
      </c>
      <c r="FC4" s="1112" t="s">
        <v>104</v>
      </c>
      <c r="FD4" s="1112" t="s">
        <v>105</v>
      </c>
      <c r="FE4" s="1112" t="s">
        <v>106</v>
      </c>
      <c r="FF4" s="1112" t="s">
        <v>516</v>
      </c>
      <c r="FG4" s="1109"/>
      <c r="FI4" s="1112"/>
      <c r="FJ4" s="1112" t="s">
        <v>670</v>
      </c>
      <c r="FK4" s="1112" t="s">
        <v>104</v>
      </c>
      <c r="FL4" s="1112" t="s">
        <v>105</v>
      </c>
      <c r="FM4" s="1112" t="s">
        <v>106</v>
      </c>
      <c r="FN4" s="1112" t="s">
        <v>516</v>
      </c>
      <c r="FO4" s="1109"/>
    </row>
    <row r="5" spans="1:171">
      <c r="A5" s="1381" t="s">
        <v>699</v>
      </c>
      <c r="B5" s="502" t="s">
        <v>576</v>
      </c>
      <c r="C5" s="2355" t="str">
        <f>'Sch 1- Rate Base '!E5</f>
        <v>Utility Name</v>
      </c>
      <c r="D5" s="2356"/>
      <c r="E5" s="2363"/>
      <c r="F5" s="865"/>
      <c r="G5" s="871"/>
      <c r="H5" s="871"/>
      <c r="I5" s="871"/>
      <c r="J5" s="1405"/>
      <c r="K5" s="903"/>
      <c r="S5" s="1109"/>
      <c r="AA5" s="1109"/>
      <c r="AI5" s="1109"/>
      <c r="AQ5" s="1109"/>
      <c r="AY5" s="1109"/>
      <c r="BG5" s="1109"/>
      <c r="BO5" s="1109"/>
      <c r="BW5" s="1109"/>
      <c r="CE5" s="1109"/>
      <c r="CM5" s="1109"/>
      <c r="CU5" s="1109"/>
      <c r="DC5" s="1109"/>
      <c r="DK5" s="1109"/>
      <c r="DS5" s="1109"/>
      <c r="EA5" s="1109"/>
      <c r="EI5" s="1109"/>
      <c r="EQ5" s="1109"/>
      <c r="EY5" s="1109"/>
      <c r="FG5" s="1109"/>
      <c r="FO5" s="1109"/>
    </row>
    <row r="6" spans="1:171">
      <c r="A6" s="1337" t="s">
        <v>700</v>
      </c>
      <c r="B6" s="502" t="s">
        <v>578</v>
      </c>
      <c r="C6" s="2357">
        <f>'Sch 1- Rate Base '!E6</f>
        <v>2023</v>
      </c>
      <c r="D6" s="2358"/>
      <c r="E6" s="2364"/>
      <c r="F6" s="865"/>
      <c r="G6" s="871"/>
      <c r="H6" s="871"/>
      <c r="I6" s="871"/>
      <c r="J6" s="1405"/>
      <c r="K6" s="903"/>
      <c r="S6" s="1109"/>
      <c r="AA6" s="1109"/>
      <c r="AI6" s="1109"/>
      <c r="AQ6" s="1109"/>
      <c r="AY6" s="1109"/>
      <c r="BG6" s="1109"/>
      <c r="BO6" s="1109"/>
      <c r="BW6" s="1109"/>
      <c r="CE6" s="1109"/>
      <c r="CM6" s="1109"/>
      <c r="CU6" s="1109"/>
      <c r="DC6" s="1109"/>
      <c r="DK6" s="1109"/>
      <c r="DS6" s="1109"/>
      <c r="EA6" s="1109"/>
      <c r="EI6" s="1109"/>
      <c r="EQ6" s="1109"/>
      <c r="EY6" s="1109"/>
      <c r="FG6" s="1109"/>
      <c r="FO6" s="1109"/>
    </row>
    <row r="7" spans="1:171" ht="16.5" thickBot="1">
      <c r="A7" s="1403"/>
      <c r="B7" s="502" t="s">
        <v>579</v>
      </c>
      <c r="C7" s="2359">
        <f>'Sch 1- Rate Base '!E7</f>
        <v>45446</v>
      </c>
      <c r="D7" s="2361"/>
      <c r="E7" s="2362"/>
      <c r="F7" s="865"/>
      <c r="G7" s="871"/>
      <c r="H7" s="871"/>
      <c r="I7" s="871"/>
      <c r="J7" s="1405"/>
      <c r="K7" s="903"/>
      <c r="S7" s="1109"/>
      <c r="AA7" s="1109"/>
      <c r="AI7" s="1109"/>
      <c r="AQ7" s="1109"/>
      <c r="AY7" s="1109"/>
      <c r="BG7" s="1109"/>
      <c r="BO7" s="1109"/>
      <c r="BW7" s="1109"/>
      <c r="CE7" s="1109"/>
      <c r="CM7" s="1109"/>
      <c r="CU7" s="1109"/>
      <c r="DC7" s="1109"/>
      <c r="DK7" s="1109"/>
      <c r="DS7" s="1109"/>
      <c r="EA7" s="1109"/>
      <c r="EI7" s="1109"/>
      <c r="EQ7" s="1109"/>
      <c r="EY7" s="1109"/>
      <c r="FG7" s="1109"/>
      <c r="FO7" s="1109"/>
    </row>
    <row r="8" spans="1:171">
      <c r="A8" s="1403"/>
      <c r="B8" s="2"/>
      <c r="C8" s="3"/>
      <c r="D8" s="3"/>
      <c r="E8" s="4"/>
      <c r="F8" s="865"/>
      <c r="G8" s="871"/>
      <c r="H8" s="871"/>
      <c r="I8" s="871"/>
      <c r="J8" s="1405"/>
      <c r="K8" s="903"/>
      <c r="S8" s="1109"/>
      <c r="AA8" s="1109"/>
      <c r="AI8" s="1109"/>
      <c r="AQ8" s="1109"/>
      <c r="AY8" s="1109"/>
      <c r="BG8" s="1109"/>
      <c r="BO8" s="1109"/>
      <c r="BW8" s="1109"/>
      <c r="CE8" s="1109"/>
      <c r="CM8" s="1109"/>
      <c r="CU8" s="1109"/>
      <c r="DC8" s="1109"/>
      <c r="DK8" s="1109"/>
      <c r="DS8" s="1109"/>
      <c r="EA8" s="1109"/>
      <c r="EI8" s="1109"/>
      <c r="EQ8" s="1109"/>
      <c r="EY8" s="1109"/>
      <c r="FG8" s="1109"/>
      <c r="FO8" s="1109"/>
    </row>
    <row r="9" spans="1:171">
      <c r="A9" s="1403">
        <v>1</v>
      </c>
      <c r="B9" s="865">
        <v>2</v>
      </c>
      <c r="C9" s="865">
        <v>3</v>
      </c>
      <c r="D9" s="865">
        <v>4</v>
      </c>
      <c r="E9" s="865">
        <v>5</v>
      </c>
      <c r="F9" s="865">
        <v>6</v>
      </c>
      <c r="G9" s="871"/>
      <c r="H9" s="871"/>
      <c r="I9" s="871"/>
      <c r="J9" s="1405"/>
      <c r="K9" s="903"/>
      <c r="S9" s="1109"/>
      <c r="AA9" s="1109"/>
      <c r="AI9" s="1109"/>
      <c r="AQ9" s="1109"/>
      <c r="AY9" s="1109"/>
      <c r="BG9" s="1109"/>
      <c r="BO9" s="1109"/>
      <c r="BW9" s="1109"/>
      <c r="CE9" s="1109"/>
      <c r="CM9" s="1109"/>
      <c r="CU9" s="1109"/>
      <c r="DC9" s="1109"/>
      <c r="DK9" s="1109"/>
      <c r="DS9" s="1109"/>
      <c r="EA9" s="1109"/>
      <c r="EI9" s="1109"/>
      <c r="EQ9" s="1109"/>
      <c r="EY9" s="1109"/>
      <c r="FG9" s="1109"/>
      <c r="FO9" s="1109"/>
    </row>
    <row r="10" spans="1:171">
      <c r="A10" s="1403"/>
      <c r="B10" s="865"/>
      <c r="C10" s="865"/>
      <c r="D10" s="865"/>
      <c r="E10" s="865"/>
      <c r="F10" s="865"/>
      <c r="G10" s="871"/>
      <c r="H10" s="871"/>
      <c r="I10" s="871"/>
      <c r="J10" s="1405"/>
      <c r="K10" s="903"/>
      <c r="S10" s="1109"/>
      <c r="AA10" s="1109"/>
      <c r="AI10" s="1109"/>
      <c r="AQ10" s="1109"/>
      <c r="AY10" s="1109"/>
      <c r="BG10" s="1109"/>
      <c r="BO10" s="1109"/>
      <c r="BW10" s="1109"/>
      <c r="CE10" s="1109"/>
      <c r="CM10" s="1109"/>
      <c r="CU10" s="1109"/>
      <c r="DC10" s="1109"/>
      <c r="DK10" s="1109"/>
      <c r="DS10" s="1109"/>
      <c r="EA10" s="1109"/>
      <c r="EI10" s="1109"/>
      <c r="EQ10" s="1109"/>
      <c r="EY10" s="1109"/>
      <c r="FG10" s="1109"/>
      <c r="FO10" s="1109"/>
    </row>
    <row r="11" spans="1:171" ht="16.5" thickBot="1">
      <c r="A11" s="1406" t="s">
        <v>325</v>
      </c>
      <c r="B11" s="879"/>
      <c r="C11" s="879"/>
      <c r="D11" s="879"/>
      <c r="E11" s="880"/>
      <c r="F11" s="880"/>
      <c r="G11" s="881"/>
      <c r="H11" s="881"/>
      <c r="I11" s="881"/>
      <c r="J11" s="1407"/>
      <c r="K11" s="903"/>
      <c r="S11" s="1109"/>
      <c r="AA11" s="1109"/>
      <c r="AI11" s="1109"/>
      <c r="AQ11" s="1109"/>
      <c r="AY11" s="1109"/>
      <c r="BG11" s="1109"/>
      <c r="BO11" s="1109"/>
      <c r="BW11" s="1109"/>
      <c r="CE11" s="1109"/>
      <c r="CM11" s="1109"/>
      <c r="CU11" s="1109"/>
      <c r="DC11" s="1109"/>
      <c r="DK11" s="1109"/>
      <c r="DS11" s="1109"/>
      <c r="EA11" s="1109"/>
      <c r="EI11" s="1109"/>
      <c r="EQ11" s="1109"/>
      <c r="EY11" s="1109"/>
      <c r="FG11" s="1109"/>
      <c r="FO11" s="1109"/>
    </row>
    <row r="12" spans="1:171" ht="16.5" thickBot="1">
      <c r="A12" s="1408"/>
      <c r="B12" s="2491" t="s">
        <v>100</v>
      </c>
      <c r="C12" s="327" t="s">
        <v>276</v>
      </c>
      <c r="D12" s="882"/>
      <c r="E12" s="2492" t="s">
        <v>622</v>
      </c>
      <c r="F12" s="2466"/>
      <c r="G12" s="2469" t="s">
        <v>104</v>
      </c>
      <c r="H12" s="2472" t="s">
        <v>105</v>
      </c>
      <c r="I12" s="2493" t="s">
        <v>106</v>
      </c>
      <c r="J12" s="1409"/>
      <c r="K12" s="903"/>
      <c r="S12" s="1109"/>
      <c r="AA12" s="1109"/>
      <c r="AI12" s="1109"/>
      <c r="AQ12" s="1109"/>
      <c r="AY12" s="1109"/>
      <c r="BG12" s="1109"/>
      <c r="BO12" s="1109"/>
      <c r="BW12" s="1109"/>
      <c r="CE12" s="1109"/>
      <c r="CM12" s="1109"/>
      <c r="CU12" s="1109"/>
      <c r="DC12" s="1109"/>
      <c r="DK12" s="1109"/>
      <c r="DS12" s="1109"/>
      <c r="EA12" s="1109"/>
      <c r="EI12" s="1109"/>
      <c r="EQ12" s="1109"/>
      <c r="EY12" s="1109"/>
      <c r="FG12" s="1109"/>
      <c r="FO12" s="1109"/>
    </row>
    <row r="13" spans="1:171" ht="16.5" thickBot="1">
      <c r="A13" s="1410"/>
      <c r="B13" s="2478"/>
      <c r="C13" s="308" t="s">
        <v>272</v>
      </c>
      <c r="D13" s="308" t="s">
        <v>96</v>
      </c>
      <c r="E13" s="2467"/>
      <c r="F13" s="2468"/>
      <c r="G13" s="2470"/>
      <c r="H13" s="2473"/>
      <c r="I13" s="2494"/>
      <c r="J13" s="1411" t="s">
        <v>98</v>
      </c>
      <c r="K13" s="903"/>
      <c r="S13" s="1109"/>
      <c r="AA13" s="1109"/>
      <c r="AI13" s="1109"/>
      <c r="AQ13" s="1109"/>
      <c r="AY13" s="1109"/>
      <c r="BG13" s="1109"/>
      <c r="BO13" s="1109"/>
      <c r="BW13" s="1109"/>
      <c r="CE13" s="1109"/>
      <c r="CM13" s="1109"/>
      <c r="CU13" s="1109"/>
      <c r="DC13" s="1109"/>
      <c r="DK13" s="1109"/>
      <c r="DS13" s="1109"/>
      <c r="EA13" s="1109"/>
      <c r="EI13" s="1109"/>
      <c r="EQ13" s="1109"/>
      <c r="EY13" s="1109"/>
      <c r="FG13" s="1109"/>
      <c r="FO13" s="1109"/>
    </row>
    <row r="14" spans="1:171" ht="16.5" thickBot="1">
      <c r="A14" s="1412"/>
      <c r="B14" s="2479"/>
      <c r="C14" s="323" t="s">
        <v>273</v>
      </c>
      <c r="D14" s="323" t="s">
        <v>252</v>
      </c>
      <c r="E14" s="323" t="s">
        <v>454</v>
      </c>
      <c r="F14" s="323" t="s">
        <v>623</v>
      </c>
      <c r="G14" s="2483"/>
      <c r="H14" s="2485"/>
      <c r="I14" s="2495"/>
      <c r="J14" s="1413" t="s">
        <v>107</v>
      </c>
      <c r="K14" s="903"/>
      <c r="S14" s="1109"/>
      <c r="AA14" s="1109"/>
      <c r="AI14" s="1109"/>
      <c r="AQ14" s="1109"/>
      <c r="AY14" s="1109"/>
      <c r="BG14" s="1109"/>
      <c r="BO14" s="1109"/>
      <c r="BW14" s="1109"/>
      <c r="CE14" s="1109"/>
      <c r="CM14" s="1109"/>
      <c r="CU14" s="1109"/>
      <c r="DC14" s="1109"/>
      <c r="DK14" s="1109"/>
      <c r="DS14" s="1109"/>
      <c r="EA14" s="1109"/>
      <c r="EI14" s="1109"/>
      <c r="EQ14" s="1109"/>
      <c r="EY14" s="1109"/>
      <c r="FG14" s="1109"/>
      <c r="FO14" s="1109"/>
    </row>
    <row r="15" spans="1:171">
      <c r="A15" s="1342" t="s">
        <v>477</v>
      </c>
      <c r="B15" s="157"/>
      <c r="C15" s="55"/>
      <c r="D15" s="55"/>
      <c r="J15" s="1414"/>
      <c r="K15" s="903"/>
      <c r="S15" s="1109"/>
      <c r="AA15" s="1109"/>
      <c r="AI15" s="1109"/>
      <c r="AQ15" s="1109"/>
      <c r="AY15" s="1109"/>
      <c r="BG15" s="1109"/>
      <c r="BO15" s="1109"/>
      <c r="BW15" s="1109"/>
      <c r="CE15" s="1109"/>
      <c r="CM15" s="1109"/>
      <c r="CU15" s="1109"/>
      <c r="DC15" s="1109"/>
      <c r="DK15" s="1109"/>
      <c r="DS15" s="1109"/>
      <c r="EA15" s="1109"/>
      <c r="EI15" s="1109"/>
      <c r="EQ15" s="1109"/>
      <c r="EY15" s="1109"/>
      <c r="FG15" s="1109"/>
      <c r="FO15" s="1109"/>
    </row>
    <row r="16" spans="1:171">
      <c r="A16" s="1415"/>
      <c r="B16" s="220" t="s">
        <v>145</v>
      </c>
      <c r="C16" s="887" t="s">
        <v>70</v>
      </c>
      <c r="D16" s="888">
        <v>301</v>
      </c>
      <c r="E16" s="1542" t="str">
        <f>'Sch 1- Rate Base '!E16</f>
        <v>DIST</v>
      </c>
      <c r="F16" s="889"/>
      <c r="G16" s="890">
        <f>'Sch 1- Rate Base '!G16</f>
        <v>0</v>
      </c>
      <c r="H16" s="890">
        <f>'Sch 1- Rate Base '!H16</f>
        <v>0</v>
      </c>
      <c r="I16" s="890">
        <f>'Sch 1- Rate Base '!I16</f>
        <v>0</v>
      </c>
      <c r="J16" s="1416">
        <f>'Sch 1- Rate Base '!J16</f>
        <v>0</v>
      </c>
      <c r="K16" s="903">
        <f>IF($E16="DIRECT",0,1)</f>
        <v>1</v>
      </c>
      <c r="O16" s="1116">
        <f>$G16</f>
        <v>0</v>
      </c>
      <c r="P16" s="1117">
        <f>VLOOKUP($E16,O$442:R$453,2,FALSE)*O16*($K16)+IF($G16&gt;0,($H16/$G16)*O16,0)*(1-$K16)</f>
        <v>0</v>
      </c>
      <c r="Q16" s="1117">
        <f>VLOOKUP($E16,O$442:R$453,3,FALSE)*O16*($K16)+IF($G16&gt;0,($I16/$G16)*O16,0)*(1-$K16)</f>
        <v>0</v>
      </c>
      <c r="R16" s="1117">
        <f>VLOOKUP($E16,O$442:R$453,4,FALSE)*O16*($K16)+(O16-P16-Q16)*(1-$K16)</f>
        <v>0</v>
      </c>
      <c r="S16" s="1118"/>
      <c r="W16" s="1116">
        <f>$G16</f>
        <v>0</v>
      </c>
      <c r="X16" s="1117">
        <f>VLOOKUP($E16,W$442:Z$453,2,FALSE)*W16*($K16)+IF($G16&gt;0,($H16/$G16)*W16,0)*(1-$K16)</f>
        <v>0</v>
      </c>
      <c r="Y16" s="1117">
        <f>VLOOKUP($E16,W$442:Z$453,3,FALSE)*W16*($K16)+IF($G16&gt;0,($I16/$G16)*W16,0)*(1-$K16)</f>
        <v>0</v>
      </c>
      <c r="Z16" s="1117">
        <f>VLOOKUP($E16,W$442:Z$453,4,FALSE)*W16*($K16)+(W16-X16-Y16)*(1-$K16)</f>
        <v>0</v>
      </c>
      <c r="AA16" s="1118"/>
      <c r="AE16" s="1116">
        <f>$G16</f>
        <v>0</v>
      </c>
      <c r="AF16" s="1117">
        <f>VLOOKUP($E16,AE$442:AH$453,2,FALSE)*AE16*($K16)+IF($G16&gt;0,($H16/$G16)*AE16,0)*(1-$K16)</f>
        <v>0</v>
      </c>
      <c r="AG16" s="1117">
        <f>VLOOKUP($E16,AE$442:AH$453,3,FALSE)*AE16*($K16)+IF($G16&gt;0,($I16/$G16)*AE16,0)*(1-$K16)</f>
        <v>0</v>
      </c>
      <c r="AH16" s="1117">
        <f>VLOOKUP($E16,AE$442:AH$453,4,FALSE)*AE16*($K16)+(AE16-AF16-AG16)*(1-$K16)</f>
        <v>0</v>
      </c>
      <c r="AI16" s="1118"/>
      <c r="AM16" s="1116">
        <f>$G16</f>
        <v>0</v>
      </c>
      <c r="AN16" s="1117">
        <f>VLOOKUP($E16,AM$442:AP$453,2,FALSE)*AM16*($K16)+IF($G16&gt;0,($H16/$G16)*AM16,0)*(1-$K16)</f>
        <v>0</v>
      </c>
      <c r="AO16" s="1117">
        <f>VLOOKUP($E16,AM$442:AP$453,3,FALSE)*AM16*($K16)+IF($G16&gt;0,($I16/$G16)*AM16,0)*(1-$K16)</f>
        <v>0</v>
      </c>
      <c r="AP16" s="1117">
        <f>VLOOKUP($E16,AM$442:AP$453,4,FALSE)*AM16*($K16)+(AM16-AN16-AO16)*(1-$K16)</f>
        <v>0</v>
      </c>
      <c r="AQ16" s="1118"/>
      <c r="AU16" s="1116">
        <f>$G16</f>
        <v>0</v>
      </c>
      <c r="AV16" s="1117">
        <f>VLOOKUP($E16,AU$442:AX$453,2,FALSE)*AU16*($K16)+IF($G16&gt;0,($H16/$G16)*AU16,0)*(1-$K16)</f>
        <v>0</v>
      </c>
      <c r="AW16" s="1117">
        <f>VLOOKUP($E16,AU$442:AX$453,3,FALSE)*AU16*($K16)+IF($G16&gt;0,($I16/$G16)*AU16,0)*(1-$K16)</f>
        <v>0</v>
      </c>
      <c r="AX16" s="1117">
        <f>VLOOKUP($E16,AU$442:AX$453,4,FALSE)*AU16*($K16)+(AU16-AV16-AW16)*(1-$K16)</f>
        <v>0</v>
      </c>
      <c r="AY16" s="1118"/>
      <c r="BC16" s="1116">
        <f>$G16</f>
        <v>0</v>
      </c>
      <c r="BD16" s="1117">
        <f>VLOOKUP($E16,BC$442:BF$453,2,FALSE)*BC16*($K16)+IF($G16&gt;0,($H16/$G16)*BC16,0)*(1-$K16)</f>
        <v>0</v>
      </c>
      <c r="BE16" s="1117">
        <f>VLOOKUP($E16,BC$442:BF$453,3,FALSE)*BC16*($K16)+IF($G16&gt;0,($I16/$G16)*BC16,0)*(1-$K16)</f>
        <v>0</v>
      </c>
      <c r="BF16" s="1117">
        <f>VLOOKUP($E16,BC$442:BF$453,4,FALSE)*BC16*($K16)+(BC16-BD16-BE16)*(1-$K16)</f>
        <v>0</v>
      </c>
      <c r="BG16" s="1118"/>
      <c r="BK16" s="1116">
        <f>$G16</f>
        <v>0</v>
      </c>
      <c r="BL16" s="1117">
        <f>VLOOKUP($E16,BK$442:BN$453,2,FALSE)*BK16*($K16)+IF($G16&gt;0,($H16/$G16)*BK16,0)*(1-$K16)</f>
        <v>0</v>
      </c>
      <c r="BM16" s="1117">
        <f>VLOOKUP($E16,BK$442:BN$453,3,FALSE)*BK16*($K16)+IF($G16&gt;0,($I16/$G16)*BK16,0)*(1-$K16)</f>
        <v>0</v>
      </c>
      <c r="BN16" s="1117">
        <f>VLOOKUP($E16,BK$442:BN$453,4,FALSE)*BK16*($K16)+(BK16-BL16-BM16)*(1-$K16)</f>
        <v>0</v>
      </c>
      <c r="BO16" s="1118"/>
      <c r="BS16" s="1116">
        <f>$G16</f>
        <v>0</v>
      </c>
      <c r="BT16" s="1117">
        <f>VLOOKUP($E16,BS$442:BV$453,2,FALSE)*BS16*($K16)+IF($G16&gt;0,($H16/$G16)*BS16,0)*(1-$K16)</f>
        <v>0</v>
      </c>
      <c r="BU16" s="1117">
        <f>VLOOKUP($E16,BS$442:BV$453,3,FALSE)*BS16*($K16)+IF($G16&gt;0,($I16/$G16)*BS16,0)*(1-$K16)</f>
        <v>0</v>
      </c>
      <c r="BV16" s="1117">
        <f>VLOOKUP($E16,BS$442:BV$453,4,FALSE)*BS16*($K16)+(BS16-BT16-BU16)*(1-$K16)</f>
        <v>0</v>
      </c>
      <c r="BW16" s="1118"/>
      <c r="CA16" s="1116">
        <f>$G16</f>
        <v>0</v>
      </c>
      <c r="CB16" s="1117">
        <f>VLOOKUP($E16,CA$442:CD$453,2,FALSE)*CA16*($K16)+IF($G16&gt;0,($H16/$G16)*CA16,0)*(1-$K16)</f>
        <v>0</v>
      </c>
      <c r="CC16" s="1117">
        <f>VLOOKUP($E16,CA$442:CD$453,3,FALSE)*CA16*($K16)+IF($G16&gt;0,($I16/$G16)*CA16,0)*(1-$K16)</f>
        <v>0</v>
      </c>
      <c r="CD16" s="1117">
        <f>VLOOKUP($E16,CA$442:CD$453,4,FALSE)*CA16*($K16)+(CA16-CB16-CC16)*(1-$K16)</f>
        <v>0</v>
      </c>
      <c r="CE16" s="1118"/>
      <c r="CI16" s="1116">
        <f>$G16</f>
        <v>0</v>
      </c>
      <c r="CJ16" s="1117">
        <f>VLOOKUP($E16,CI$442:CL$453,2,FALSE)*CI16*($K16)+IF($G16&gt;0,($H16/$G16)*CI16,0)*(1-$K16)</f>
        <v>0</v>
      </c>
      <c r="CK16" s="1117">
        <f>VLOOKUP($E16,CI$442:CL$453,3,FALSE)*CI16*($K16)+IF($G16&gt;0,($I16/$G16)*CI16,0)*(1-$K16)</f>
        <v>0</v>
      </c>
      <c r="CL16" s="1117">
        <f>VLOOKUP($E16,CI$442:CL$453,4,FALSE)*CI16*($K16)+(CI16-CJ16-CK16)*(1-$K16)</f>
        <v>0</v>
      </c>
      <c r="CM16" s="1118"/>
      <c r="CQ16" s="1116">
        <f>$G16</f>
        <v>0</v>
      </c>
      <c r="CR16" s="1117">
        <f>VLOOKUP($E16,CQ$442:CT$453,2,FALSE)*CQ16*($K16)+IF($G16&gt;0,($H16/$G16)*CQ16,0)*(1-$K16)</f>
        <v>0</v>
      </c>
      <c r="CS16" s="1117">
        <f>VLOOKUP($E16,CQ$442:CT$453,3,FALSE)*CQ16*($K16)+IF($G16&gt;0,($I16/$G16)*CQ16,0)*(1-$K16)</f>
        <v>0</v>
      </c>
      <c r="CT16" s="1117">
        <f>VLOOKUP($E16,CQ$442:CT$453,4,FALSE)*CQ16*($K16)+(CQ16-CR16-CS16)*(1-$K16)</f>
        <v>0</v>
      </c>
      <c r="CU16" s="1118"/>
      <c r="CY16" s="1116">
        <f>$G16</f>
        <v>0</v>
      </c>
      <c r="CZ16" s="1117">
        <f>VLOOKUP($E16,CY$442:DB$453,2,FALSE)*CY16*($K16)+IF($G16&gt;0,($H16/$G16)*CY16,0)*(1-$K16)</f>
        <v>0</v>
      </c>
      <c r="DA16" s="1117">
        <f>VLOOKUP($E16,CY$442:DB$453,3,FALSE)*CY16*($K16)+IF($G16&gt;0,($I16/$G16)*CY16,0)*(1-$K16)</f>
        <v>0</v>
      </c>
      <c r="DB16" s="1117">
        <f>VLOOKUP($E16,CY$442:DB$453,4,FALSE)*CY16*($K16)+(CY16-CZ16-DA16)*(1-$K16)</f>
        <v>0</v>
      </c>
      <c r="DC16" s="1118"/>
      <c r="DG16" s="1116">
        <f>$G16</f>
        <v>0</v>
      </c>
      <c r="DH16" s="1117">
        <f>VLOOKUP($E16,DG$442:DJ$453,2,FALSE)*DG16*($K16)+IF($G16&gt;0,($H16/$G16)*DG16,0)*(1-$K16)</f>
        <v>0</v>
      </c>
      <c r="DI16" s="1117">
        <f>VLOOKUP($E16,DG$442:DJ$453,3,FALSE)*DG16*($K16)+IF($G16&gt;0,($I16/$G16)*DG16,0)*(1-$K16)</f>
        <v>0</v>
      </c>
      <c r="DJ16" s="1117">
        <f>VLOOKUP($E16,DG$442:DJ$453,4,FALSE)*DG16*($K16)+(DG16-DH16-DI16)*(1-$K16)</f>
        <v>0</v>
      </c>
      <c r="DK16" s="1118"/>
      <c r="DO16" s="1116">
        <f>$G16</f>
        <v>0</v>
      </c>
      <c r="DP16" s="1117">
        <f>VLOOKUP($E16,DO$442:DR$453,2,FALSE)*DO16*($K16)+IF($G16&gt;0,($H16/$G16)*DO16,0)*(1-$K16)</f>
        <v>0</v>
      </c>
      <c r="DQ16" s="1117">
        <f>VLOOKUP($E16,DO$442:DR$453,3,FALSE)*DO16*($K16)+IF($G16&gt;0,($I16/$G16)*DO16,0)*(1-$K16)</f>
        <v>0</v>
      </c>
      <c r="DR16" s="1117">
        <f>VLOOKUP($E16,DO$442:DR$453,4,FALSE)*DO16*($K16)+(DO16-DP16-DQ16)*(1-$K16)</f>
        <v>0</v>
      </c>
      <c r="DS16" s="1118"/>
      <c r="DW16" s="1116">
        <f>$G16</f>
        <v>0</v>
      </c>
      <c r="DX16" s="1117">
        <f>VLOOKUP($E16,DW$442:DZ$453,2,FALSE)*DW16*($K16)+IF($G16&gt;0,($H16/$G16)*DW16,0)*(1-$K16)</f>
        <v>0</v>
      </c>
      <c r="DY16" s="1117">
        <f>VLOOKUP($E16,DW$442:DZ$453,3,FALSE)*DW16*($K16)+IF($G16&gt;0,($I16/$G16)*DW16,0)*(1-$K16)</f>
        <v>0</v>
      </c>
      <c r="DZ16" s="1117">
        <f>VLOOKUP($E16,DW$442:DZ$453,4,FALSE)*DW16*($K16)+(DW16-DX16-DY16)*(1-$K16)</f>
        <v>0</v>
      </c>
      <c r="EA16" s="1118"/>
      <c r="EE16" s="1116">
        <f>$G16</f>
        <v>0</v>
      </c>
      <c r="EF16" s="1117">
        <f>VLOOKUP($E16,EE$442:EH$453,2,FALSE)*EE16*($K16)+IF($G16&gt;0,($H16/$G16)*EE16,0)*(1-$K16)</f>
        <v>0</v>
      </c>
      <c r="EG16" s="1117">
        <f>VLOOKUP($E16,EE$442:EH$453,3,FALSE)*EE16*($K16)+IF($G16&gt;0,($I16/$G16)*EE16,0)*(1-$K16)</f>
        <v>0</v>
      </c>
      <c r="EH16" s="1117">
        <f>VLOOKUP($E16,EE$442:EH$453,4,FALSE)*EE16*($K16)+(EE16-EF16-EG16)*(1-$K16)</f>
        <v>0</v>
      </c>
      <c r="EI16" s="1118"/>
      <c r="EM16" s="1116">
        <f>$G16</f>
        <v>0</v>
      </c>
      <c r="EN16" s="1117">
        <f>VLOOKUP($E16,EM$442:EP$453,2,FALSE)*EM16*($K16)+IF($G16&gt;0,($H16/$G16)*EM16,0)*(1-$K16)</f>
        <v>0</v>
      </c>
      <c r="EO16" s="1117">
        <f>VLOOKUP($E16,EM$442:EP$453,3,FALSE)*EM16*($K16)+IF($G16&gt;0,($I16/$G16)*EM16,0)*(1-$K16)</f>
        <v>0</v>
      </c>
      <c r="EP16" s="1117">
        <f>VLOOKUP($E16,EM$442:EP$453,4,FALSE)*EM16*($K16)+(EM16-EN16-EO16)*(1-$K16)</f>
        <v>0</v>
      </c>
      <c r="EQ16" s="1118"/>
      <c r="EU16" s="1116">
        <f>$G16</f>
        <v>0</v>
      </c>
      <c r="EV16" s="1117">
        <f>VLOOKUP($E16,EU$442:EX$453,2,FALSE)*EU16*($K16)+IF($G16&gt;0,($H16/$G16)*EU16,0)*(1-$K16)</f>
        <v>0</v>
      </c>
      <c r="EW16" s="1117">
        <f>VLOOKUP($E16,EU$442:EX$453,3,FALSE)*EU16*($K16)+IF($G16&gt;0,($I16/$G16)*EU16,0)*(1-$K16)</f>
        <v>0</v>
      </c>
      <c r="EX16" s="1117">
        <f>VLOOKUP($E16,EU$442:EX$453,4,FALSE)*EU16*($K16)+(EU16-EV16-EW16)*(1-$K16)</f>
        <v>0</v>
      </c>
      <c r="EY16" s="1118"/>
      <c r="FC16" s="1116">
        <f>$G16</f>
        <v>0</v>
      </c>
      <c r="FD16" s="1117">
        <f>VLOOKUP($E16,FC$442:FF$453,2,FALSE)*FC16*($K16)+IF($G16&gt;0,($H16/$G16)*FC16,0)*(1-$K16)</f>
        <v>0</v>
      </c>
      <c r="FE16" s="1117">
        <f>VLOOKUP($E16,FC$442:FF$453,3,FALSE)*FC16*($K16)+IF($G16&gt;0,($I16/$G16)*FC16,0)*(1-$K16)</f>
        <v>0</v>
      </c>
      <c r="FF16" s="1117">
        <f>VLOOKUP($E16,FC$442:FF$453,4,FALSE)*FC16*($K16)+(FC16-FD16-FE16)*(1-$K16)</f>
        <v>0</v>
      </c>
      <c r="FG16" s="1118"/>
      <c r="FK16" s="1116">
        <f>$G16</f>
        <v>0</v>
      </c>
      <c r="FL16" s="1117">
        <f>VLOOKUP($E16,FK$442:FN$453,2,FALSE)*FK16*($K16)+IF($G16&gt;0,($H16/$G16)*FK16,0)*(1-$K16)</f>
        <v>0</v>
      </c>
      <c r="FM16" s="1117">
        <f>VLOOKUP($E16,FK$442:FN$453,3,FALSE)*FK16*($K16)+IF($G16&gt;0,($I16/$G16)*FK16,0)*(1-$K16)</f>
        <v>0</v>
      </c>
      <c r="FN16" s="1117">
        <f>VLOOKUP($E16,FK$442:FN$453,4,FALSE)*FK16*($K16)+(FK16-FL16-FM16)*(1-$K16)</f>
        <v>0</v>
      </c>
      <c r="FO16" s="1118"/>
    </row>
    <row r="17" spans="1:171">
      <c r="A17" s="1415"/>
      <c r="B17" s="220" t="s">
        <v>146</v>
      </c>
      <c r="C17" s="887" t="s">
        <v>70</v>
      </c>
      <c r="D17" s="888">
        <v>302</v>
      </c>
      <c r="E17" s="1542" t="str">
        <f>'Sch 1- Rate Base '!E17</f>
        <v>DIRECT</v>
      </c>
      <c r="F17" s="889"/>
      <c r="G17" s="890">
        <f>'Sch 1- Rate Base '!G17</f>
        <v>46804271</v>
      </c>
      <c r="H17" s="890">
        <f>'Sch 1- Rate Base '!H17</f>
        <v>42107007.580000006</v>
      </c>
      <c r="I17" s="890">
        <f>'Sch 1- Rate Base '!I17</f>
        <v>0</v>
      </c>
      <c r="J17" s="1416">
        <f>'Sch 1- Rate Base '!J17</f>
        <v>4697263.32</v>
      </c>
      <c r="K17" s="903">
        <f>IF($E17="DIRECT",0,1)</f>
        <v>0</v>
      </c>
      <c r="O17" s="1116">
        <f>$G17</f>
        <v>46804271</v>
      </c>
      <c r="P17" s="1117">
        <f>VLOOKUP($E17,O$442:R$453,2,FALSE)*O17*($K17)+IF($G17&gt;0,($H17/$G17)*O17,0)*(1-$K17)</f>
        <v>42107007.580000006</v>
      </c>
      <c r="Q17" s="1117">
        <f>VLOOKUP($E17,O$442:R$453,3,FALSE)*O17*($K17)+IF($G17&gt;0,($I17/$G17)*O17,0)*(1-$K17)</f>
        <v>0</v>
      </c>
      <c r="R17" s="1117">
        <f>VLOOKUP($E17,O$442:R$453,4,FALSE)*O17*($K17)+(O17-P17-Q17)*(1-$K17)</f>
        <v>4697263.4199999943</v>
      </c>
      <c r="S17" s="1118"/>
      <c r="W17" s="1116">
        <f>$G17</f>
        <v>46804271</v>
      </c>
      <c r="X17" s="1117">
        <f>VLOOKUP($E17,W$442:Z$453,2,FALSE)*W17*($K17)+IF($G17&gt;0,($H17/$G17)*W17,0)*(1-$K17)</f>
        <v>42107007.580000006</v>
      </c>
      <c r="Y17" s="1117">
        <f>VLOOKUP($E17,W$442:Z$453,3,FALSE)*W17*($K17)+IF($G17&gt;0,($I17/$G17)*W17,0)*(1-$K17)</f>
        <v>0</v>
      </c>
      <c r="Z17" s="1117">
        <f>VLOOKUP($E17,W$442:Z$453,4,FALSE)*W17*($K17)+(W17-X17-Y17)*(1-$K17)</f>
        <v>4697263.4199999943</v>
      </c>
      <c r="AA17" s="1118"/>
      <c r="AE17" s="1116">
        <f>$G17</f>
        <v>46804271</v>
      </c>
      <c r="AF17" s="1117">
        <f>VLOOKUP($E17,AE$442:AH$453,2,FALSE)*AE17*($K17)+IF($G17&gt;0,($H17/$G17)*AE17,0)*(1-$K17)</f>
        <v>42107007.580000006</v>
      </c>
      <c r="AG17" s="1117">
        <f>VLOOKUP($E17,AE$442:AH$453,3,FALSE)*AE17*($K17)+IF($G17&gt;0,($I17/$G17)*AE17,0)*(1-$K17)</f>
        <v>0</v>
      </c>
      <c r="AH17" s="1117">
        <f>VLOOKUP($E17,AE$442:AH$453,4,FALSE)*AE17*($K17)+(AE17-AF17-AG17)*(1-$K17)</f>
        <v>4697263.4199999943</v>
      </c>
      <c r="AI17" s="1118"/>
      <c r="AM17" s="1116">
        <f>$G17</f>
        <v>46804271</v>
      </c>
      <c r="AN17" s="1117">
        <f>VLOOKUP($E17,AM$442:AP$453,2,FALSE)*AM17*($K17)+IF($G17&gt;0,($H17/$G17)*AM17,0)*(1-$K17)</f>
        <v>42107007.580000006</v>
      </c>
      <c r="AO17" s="1117">
        <f>VLOOKUP($E17,AM$442:AP$453,3,FALSE)*AM17*($K17)+IF($G17&gt;0,($I17/$G17)*AM17,0)*(1-$K17)</f>
        <v>0</v>
      </c>
      <c r="AP17" s="1117">
        <f>VLOOKUP($E17,AM$442:AP$453,4,FALSE)*AM17*($K17)+(AM17-AN17-AO17)*(1-$K17)</f>
        <v>4697263.4199999943</v>
      </c>
      <c r="AQ17" s="1118"/>
      <c r="AU17" s="1116">
        <f>$G17</f>
        <v>46804271</v>
      </c>
      <c r="AV17" s="1117">
        <f>VLOOKUP($E17,AU$442:AX$453,2,FALSE)*AU17*($K17)+IF($G17&gt;0,($H17/$G17)*AU17,0)*(1-$K17)</f>
        <v>42107007.580000006</v>
      </c>
      <c r="AW17" s="1117">
        <f>VLOOKUP($E17,AU$442:AX$453,3,FALSE)*AU17*($K17)+IF($G17&gt;0,($I17/$G17)*AU17,0)*(1-$K17)</f>
        <v>0</v>
      </c>
      <c r="AX17" s="1117">
        <f>VLOOKUP($E17,AU$442:AX$453,4,FALSE)*AU17*($K17)+(AU17-AV17-AW17)*(1-$K17)</f>
        <v>4697263.4199999943</v>
      </c>
      <c r="AY17" s="1118"/>
      <c r="BC17" s="1116">
        <f>$G17</f>
        <v>46804271</v>
      </c>
      <c r="BD17" s="1117">
        <f>VLOOKUP($E17,BC$442:BF$453,2,FALSE)*BC17*($K17)+IF($G17&gt;0,($H17/$G17)*BC17,0)*(1-$K17)</f>
        <v>42107007.580000006</v>
      </c>
      <c r="BE17" s="1117">
        <f>VLOOKUP($E17,BC$442:BF$453,3,FALSE)*BC17*($K17)+IF($G17&gt;0,($I17/$G17)*BC17,0)*(1-$K17)</f>
        <v>0</v>
      </c>
      <c r="BF17" s="1117">
        <f>VLOOKUP($E17,BC$442:BF$453,4,FALSE)*BC17*($K17)+(BC17-BD17-BE17)*(1-$K17)</f>
        <v>4697263.4199999943</v>
      </c>
      <c r="BG17" s="1118"/>
      <c r="BK17" s="1116">
        <f>$G17</f>
        <v>46804271</v>
      </c>
      <c r="BL17" s="1117">
        <f>VLOOKUP($E17,BK$442:BN$453,2,FALSE)*BK17*($K17)+IF($G17&gt;0,($H17/$G17)*BK17,0)*(1-$K17)</f>
        <v>42107007.580000006</v>
      </c>
      <c r="BM17" s="1117">
        <f>VLOOKUP($E17,BK$442:BN$453,3,FALSE)*BK17*($K17)+IF($G17&gt;0,($I17/$G17)*BK17,0)*(1-$K17)</f>
        <v>0</v>
      </c>
      <c r="BN17" s="1117">
        <f>VLOOKUP($E17,BK$442:BN$453,4,FALSE)*BK17*($K17)+(BK17-BL17-BM17)*(1-$K17)</f>
        <v>4697263.4199999943</v>
      </c>
      <c r="BO17" s="1118"/>
      <c r="BS17" s="1116">
        <f>$G17</f>
        <v>46804271</v>
      </c>
      <c r="BT17" s="1117">
        <f>VLOOKUP($E17,BS$442:BV$453,2,FALSE)*BS17*($K17)+IF($G17&gt;0,($H17/$G17)*BS17,0)*(1-$K17)</f>
        <v>42107007.580000006</v>
      </c>
      <c r="BU17" s="1117">
        <f>VLOOKUP($E17,BS$442:BV$453,3,FALSE)*BS17*($K17)+IF($G17&gt;0,($I17/$G17)*BS17,0)*(1-$K17)</f>
        <v>0</v>
      </c>
      <c r="BV17" s="1117">
        <f>VLOOKUP($E17,BS$442:BV$453,4,FALSE)*BS17*($K17)+(BS17-BT17-BU17)*(1-$K17)</f>
        <v>4697263.4199999943</v>
      </c>
      <c r="BW17" s="1118"/>
      <c r="CA17" s="1116">
        <f>$G17</f>
        <v>46804271</v>
      </c>
      <c r="CB17" s="1117">
        <f>VLOOKUP($E17,CA$442:CD$453,2,FALSE)*CA17*($K17)+IF($G17&gt;0,($H17/$G17)*CA17,0)*(1-$K17)</f>
        <v>42107007.580000006</v>
      </c>
      <c r="CC17" s="1117">
        <f>VLOOKUP($E17,CA$442:CD$453,3,FALSE)*CA17*($K17)+IF($G17&gt;0,($I17/$G17)*CA17,0)*(1-$K17)</f>
        <v>0</v>
      </c>
      <c r="CD17" s="1117">
        <f>VLOOKUP($E17,CA$442:CD$453,4,FALSE)*CA17*($K17)+(CA17-CB17-CC17)*(1-$K17)</f>
        <v>4697263.4199999943</v>
      </c>
      <c r="CE17" s="1118"/>
      <c r="CI17" s="1116">
        <f>$G17</f>
        <v>46804271</v>
      </c>
      <c r="CJ17" s="1117">
        <f>VLOOKUP($E17,CI$442:CL$453,2,FALSE)*CI17*($K17)+IF($G17&gt;0,($H17/$G17)*CI17,0)*(1-$K17)</f>
        <v>42107007.580000006</v>
      </c>
      <c r="CK17" s="1117">
        <f>VLOOKUP($E17,CI$442:CL$453,3,FALSE)*CI17*($K17)+IF($G17&gt;0,($I17/$G17)*CI17,0)*(1-$K17)</f>
        <v>0</v>
      </c>
      <c r="CL17" s="1117">
        <f>VLOOKUP($E17,CI$442:CL$453,4,FALSE)*CI17*($K17)+(CI17-CJ17-CK17)*(1-$K17)</f>
        <v>4697263.4199999943</v>
      </c>
      <c r="CM17" s="1118"/>
      <c r="CQ17" s="1116">
        <f>$G17</f>
        <v>46804271</v>
      </c>
      <c r="CR17" s="1117">
        <f>VLOOKUP($E17,CQ$442:CT$453,2,FALSE)*CQ17*($K17)+IF($G17&gt;0,($H17/$G17)*CQ17,0)*(1-$K17)</f>
        <v>42107007.580000006</v>
      </c>
      <c r="CS17" s="1117">
        <f>VLOOKUP($E17,CQ$442:CT$453,3,FALSE)*CQ17*($K17)+IF($G17&gt;0,($I17/$G17)*CQ17,0)*(1-$K17)</f>
        <v>0</v>
      </c>
      <c r="CT17" s="1117">
        <f>VLOOKUP($E17,CQ$442:CT$453,4,FALSE)*CQ17*($K17)+(CQ17-CR17-CS17)*(1-$K17)</f>
        <v>4697263.4199999943</v>
      </c>
      <c r="CU17" s="1118"/>
      <c r="CY17" s="1116">
        <f>$G17</f>
        <v>46804271</v>
      </c>
      <c r="CZ17" s="1117">
        <f>VLOOKUP($E17,CY$442:DB$453,2,FALSE)*CY17*($K17)+IF($G17&gt;0,($H17/$G17)*CY17,0)*(1-$K17)</f>
        <v>42107007.580000006</v>
      </c>
      <c r="DA17" s="1117">
        <f>VLOOKUP($E17,CY$442:DB$453,3,FALSE)*CY17*($K17)+IF($G17&gt;0,($I17/$G17)*CY17,0)*(1-$K17)</f>
        <v>0</v>
      </c>
      <c r="DB17" s="1117">
        <f>VLOOKUP($E17,CY$442:DB$453,4,FALSE)*CY17*($K17)+(CY17-CZ17-DA17)*(1-$K17)</f>
        <v>4697263.4199999943</v>
      </c>
      <c r="DC17" s="1118"/>
      <c r="DG17" s="1116">
        <f>$G17</f>
        <v>46804271</v>
      </c>
      <c r="DH17" s="1117">
        <f>VLOOKUP($E17,DG$442:DJ$453,2,FALSE)*DG17*($K17)+IF($G17&gt;0,($H17/$G17)*DG17,0)*(1-$K17)</f>
        <v>42107007.580000006</v>
      </c>
      <c r="DI17" s="1117">
        <f>VLOOKUP($E17,DG$442:DJ$453,3,FALSE)*DG17*($K17)+IF($G17&gt;0,($I17/$G17)*DG17,0)*(1-$K17)</f>
        <v>0</v>
      </c>
      <c r="DJ17" s="1117">
        <f>VLOOKUP($E17,DG$442:DJ$453,4,FALSE)*DG17*($K17)+(DG17-DH17-DI17)*(1-$K17)</f>
        <v>4697263.4199999943</v>
      </c>
      <c r="DK17" s="1118"/>
      <c r="DO17" s="1116">
        <f>$G17</f>
        <v>46804271</v>
      </c>
      <c r="DP17" s="1117">
        <f>VLOOKUP($E17,DO$442:DR$453,2,FALSE)*DO17*($K17)+IF($G17&gt;0,($H17/$G17)*DO17,0)*(1-$K17)</f>
        <v>42107007.580000006</v>
      </c>
      <c r="DQ17" s="1117">
        <f>VLOOKUP($E17,DO$442:DR$453,3,FALSE)*DO17*($K17)+IF($G17&gt;0,($I17/$G17)*DO17,0)*(1-$K17)</f>
        <v>0</v>
      </c>
      <c r="DR17" s="1117">
        <f>VLOOKUP($E17,DO$442:DR$453,4,FALSE)*DO17*($K17)+(DO17-DP17-DQ17)*(1-$K17)</f>
        <v>4697263.4199999943</v>
      </c>
      <c r="DS17" s="1118"/>
      <c r="DW17" s="1116">
        <f>$G17</f>
        <v>46804271</v>
      </c>
      <c r="DX17" s="1117">
        <f>VLOOKUP($E17,DW$442:DZ$453,2,FALSE)*DW17*($K17)+IF($G17&gt;0,($H17/$G17)*DW17,0)*(1-$K17)</f>
        <v>42107007.580000006</v>
      </c>
      <c r="DY17" s="1117">
        <f>VLOOKUP($E17,DW$442:DZ$453,3,FALSE)*DW17*($K17)+IF($G17&gt;0,($I17/$G17)*DW17,0)*(1-$K17)</f>
        <v>0</v>
      </c>
      <c r="DZ17" s="1117">
        <f>VLOOKUP($E17,DW$442:DZ$453,4,FALSE)*DW17*($K17)+(DW17-DX17-DY17)*(1-$K17)</f>
        <v>4697263.4199999943</v>
      </c>
      <c r="EA17" s="1118"/>
      <c r="EE17" s="1116">
        <f>$G17</f>
        <v>46804271</v>
      </c>
      <c r="EF17" s="1117">
        <f>VLOOKUP($E17,EE$442:EH$453,2,FALSE)*EE17*($K17)+IF($G17&gt;0,($H17/$G17)*EE17,0)*(1-$K17)</f>
        <v>42107007.580000006</v>
      </c>
      <c r="EG17" s="1117">
        <f>VLOOKUP($E17,EE$442:EH$453,3,FALSE)*EE17*($K17)+IF($G17&gt;0,($I17/$G17)*EE17,0)*(1-$K17)</f>
        <v>0</v>
      </c>
      <c r="EH17" s="1117">
        <f>VLOOKUP($E17,EE$442:EH$453,4,FALSE)*EE17*($K17)+(EE17-EF17-EG17)*(1-$K17)</f>
        <v>4697263.4199999943</v>
      </c>
      <c r="EI17" s="1118"/>
      <c r="EM17" s="1116">
        <f>$G17</f>
        <v>46804271</v>
      </c>
      <c r="EN17" s="1117">
        <f>VLOOKUP($E17,EM$442:EP$453,2,FALSE)*EM17*($K17)+IF($G17&gt;0,($H17/$G17)*EM17,0)*(1-$K17)</f>
        <v>42107007.580000006</v>
      </c>
      <c r="EO17" s="1117">
        <f>VLOOKUP($E17,EM$442:EP$453,3,FALSE)*EM17*($K17)+IF($G17&gt;0,($I17/$G17)*EM17,0)*(1-$K17)</f>
        <v>0</v>
      </c>
      <c r="EP17" s="1117">
        <f>VLOOKUP($E17,EM$442:EP$453,4,FALSE)*EM17*($K17)+(EM17-EN17-EO17)*(1-$K17)</f>
        <v>4697263.4199999943</v>
      </c>
      <c r="EQ17" s="1118"/>
      <c r="EU17" s="1116">
        <f>$G17</f>
        <v>46804271</v>
      </c>
      <c r="EV17" s="1117">
        <f>VLOOKUP($E17,EU$442:EX$453,2,FALSE)*EU17*($K17)+IF($G17&gt;0,($H17/$G17)*EU17,0)*(1-$K17)</f>
        <v>42107007.580000006</v>
      </c>
      <c r="EW17" s="1117">
        <f>VLOOKUP($E17,EU$442:EX$453,3,FALSE)*EU17*($K17)+IF($G17&gt;0,($I17/$G17)*EU17,0)*(1-$K17)</f>
        <v>0</v>
      </c>
      <c r="EX17" s="1117">
        <f>VLOOKUP($E17,EU$442:EX$453,4,FALSE)*EU17*($K17)+(EU17-EV17-EW17)*(1-$K17)</f>
        <v>4697263.4199999943</v>
      </c>
      <c r="EY17" s="1118"/>
      <c r="FC17" s="1116">
        <f>$G17</f>
        <v>46804271</v>
      </c>
      <c r="FD17" s="1117">
        <f>VLOOKUP($E17,FC$442:FF$453,2,FALSE)*FC17*($K17)+IF($G17&gt;0,($H17/$G17)*FC17,0)*(1-$K17)</f>
        <v>42107007.580000006</v>
      </c>
      <c r="FE17" s="1117">
        <f>VLOOKUP($E17,FC$442:FF$453,3,FALSE)*FC17*($K17)+IF($G17&gt;0,($I17/$G17)*FC17,0)*(1-$K17)</f>
        <v>0</v>
      </c>
      <c r="FF17" s="1117">
        <f>VLOOKUP($E17,FC$442:FF$453,4,FALSE)*FC17*($K17)+(FC17-FD17-FE17)*(1-$K17)</f>
        <v>4697263.4199999943</v>
      </c>
      <c r="FG17" s="1118"/>
      <c r="FK17" s="1116">
        <f>$G17</f>
        <v>46804271</v>
      </c>
      <c r="FL17" s="1117">
        <f>VLOOKUP($E17,FK$442:FN$453,2,FALSE)*FK17*($K17)+IF($G17&gt;0,($H17/$G17)*FK17,0)*(1-$K17)</f>
        <v>42107007.580000006</v>
      </c>
      <c r="FM17" s="1117">
        <f>VLOOKUP($E17,FK$442:FN$453,3,FALSE)*FK17*($K17)+IF($G17&gt;0,($I17/$G17)*FK17,0)*(1-$K17)</f>
        <v>0</v>
      </c>
      <c r="FN17" s="1117">
        <f>VLOOKUP($E17,FK$442:FN$453,4,FALSE)*FK17*($K17)+(FK17-FL17-FM17)*(1-$K17)</f>
        <v>4697263.4199999943</v>
      </c>
      <c r="FO17" s="1118"/>
    </row>
    <row r="18" spans="1:171">
      <c r="A18" s="1415"/>
      <c r="B18" s="220" t="s">
        <v>147</v>
      </c>
      <c r="C18" s="891" t="s">
        <v>70</v>
      </c>
      <c r="D18" s="892">
        <v>303</v>
      </c>
      <c r="E18" s="1542" t="str">
        <f>'Sch 1- Rate Base '!E18</f>
        <v>DIRECT</v>
      </c>
      <c r="F18" s="893"/>
      <c r="G18" s="890">
        <f>'Sch 1- Rate Base '!G18</f>
        <v>57840902</v>
      </c>
      <c r="H18" s="890">
        <f>'Sch 1- Rate Base '!H18</f>
        <v>21321712.686072055</v>
      </c>
      <c r="I18" s="890">
        <f>'Sch 1- Rate Base '!I18</f>
        <v>0</v>
      </c>
      <c r="J18" s="1416">
        <f>'Sch 1- Rate Base '!J18</f>
        <v>36519188.863927945</v>
      </c>
      <c r="K18" s="903">
        <f>IF($E18="DIRECT",0,1)</f>
        <v>0</v>
      </c>
      <c r="O18" s="1116">
        <f>$G18</f>
        <v>57840902</v>
      </c>
      <c r="P18" s="1117">
        <f>VLOOKUP($E18,O$442:R$453,2,FALSE)*O18*($K18)+IF($G18&gt;0,($H18/$G18)*O18,0)*(1-$K18)</f>
        <v>21321712.686072055</v>
      </c>
      <c r="Q18" s="1117">
        <f>VLOOKUP($E18,O$442:R$453,3,FALSE)*O18*($K18)+IF($G18&gt;0,($I18/$G18)*O18,0)*(1-$K18)</f>
        <v>0</v>
      </c>
      <c r="R18" s="1117">
        <f>VLOOKUP($E18,O$442:R$453,4,FALSE)*O18*($K18)+(O18-P18-Q18)*(1-$K18)</f>
        <v>36519189.313927948</v>
      </c>
      <c r="S18" s="1118"/>
      <c r="W18" s="1116">
        <f>$G18</f>
        <v>57840902</v>
      </c>
      <c r="X18" s="1117">
        <f>VLOOKUP($E18,W$442:Z$453,2,FALSE)*W18*($K18)+IF($G18&gt;0,($H18/$G18)*W18,0)*(1-$K18)</f>
        <v>21321712.686072055</v>
      </c>
      <c r="Y18" s="1117">
        <f>VLOOKUP($E18,W$442:Z$453,3,FALSE)*W18*($K18)+IF($G18&gt;0,($I18/$G18)*W18,0)*(1-$K18)</f>
        <v>0</v>
      </c>
      <c r="Z18" s="1117">
        <f>VLOOKUP($E18,W$442:Z$453,4,FALSE)*W18*($K18)+(W18-X18-Y18)*(1-$K18)</f>
        <v>36519189.313927948</v>
      </c>
      <c r="AA18" s="1118"/>
      <c r="AE18" s="1116">
        <f>$G18</f>
        <v>57840902</v>
      </c>
      <c r="AF18" s="1117">
        <f>VLOOKUP($E18,AE$442:AH$453,2,FALSE)*AE18*($K18)+IF($G18&gt;0,($H18/$G18)*AE18,0)*(1-$K18)</f>
        <v>21321712.686072055</v>
      </c>
      <c r="AG18" s="1117">
        <f>VLOOKUP($E18,AE$442:AH$453,3,FALSE)*AE18*($K18)+IF($G18&gt;0,($I18/$G18)*AE18,0)*(1-$K18)</f>
        <v>0</v>
      </c>
      <c r="AH18" s="1117">
        <f>VLOOKUP($E18,AE$442:AH$453,4,FALSE)*AE18*($K18)+(AE18-AF18-AG18)*(1-$K18)</f>
        <v>36519189.313927948</v>
      </c>
      <c r="AI18" s="1118"/>
      <c r="AM18" s="1116">
        <f>$G18</f>
        <v>57840902</v>
      </c>
      <c r="AN18" s="1117">
        <f>VLOOKUP($E18,AM$442:AP$453,2,FALSE)*AM18*($K18)+IF($G18&gt;0,($H18/$G18)*AM18,0)*(1-$K18)</f>
        <v>21321712.686072055</v>
      </c>
      <c r="AO18" s="1117">
        <f>VLOOKUP($E18,AM$442:AP$453,3,FALSE)*AM18*($K18)+IF($G18&gt;0,($I18/$G18)*AM18,0)*(1-$K18)</f>
        <v>0</v>
      </c>
      <c r="AP18" s="1117">
        <f>VLOOKUP($E18,AM$442:AP$453,4,FALSE)*AM18*($K18)+(AM18-AN18-AO18)*(1-$K18)</f>
        <v>36519189.313927948</v>
      </c>
      <c r="AQ18" s="1118"/>
      <c r="AU18" s="1116">
        <f>$G18</f>
        <v>57840902</v>
      </c>
      <c r="AV18" s="1117">
        <f>VLOOKUP($E18,AU$442:AX$453,2,FALSE)*AU18*($K18)+IF($G18&gt;0,($H18/$G18)*AU18,0)*(1-$K18)</f>
        <v>21321712.686072055</v>
      </c>
      <c r="AW18" s="1117">
        <f>VLOOKUP($E18,AU$442:AX$453,3,FALSE)*AU18*($K18)+IF($G18&gt;0,($I18/$G18)*AU18,0)*(1-$K18)</f>
        <v>0</v>
      </c>
      <c r="AX18" s="1117">
        <f>VLOOKUP($E18,AU$442:AX$453,4,FALSE)*AU18*($K18)+(AU18-AV18-AW18)*(1-$K18)</f>
        <v>36519189.313927948</v>
      </c>
      <c r="AY18" s="1118"/>
      <c r="BC18" s="1116">
        <f>$G18</f>
        <v>57840902</v>
      </c>
      <c r="BD18" s="1117">
        <f>VLOOKUP($E18,BC$442:BF$453,2,FALSE)*BC18*($K18)+IF($G18&gt;0,($H18/$G18)*BC18,0)*(1-$K18)</f>
        <v>21321712.686072055</v>
      </c>
      <c r="BE18" s="1117">
        <f>VLOOKUP($E18,BC$442:BF$453,3,FALSE)*BC18*($K18)+IF($G18&gt;0,($I18/$G18)*BC18,0)*(1-$K18)</f>
        <v>0</v>
      </c>
      <c r="BF18" s="1117">
        <f>VLOOKUP($E18,BC$442:BF$453,4,FALSE)*BC18*($K18)+(BC18-BD18-BE18)*(1-$K18)</f>
        <v>36519189.313927948</v>
      </c>
      <c r="BG18" s="1118"/>
      <c r="BK18" s="1116">
        <f>$G18</f>
        <v>57840902</v>
      </c>
      <c r="BL18" s="1117">
        <f>VLOOKUP($E18,BK$442:BN$453,2,FALSE)*BK18*($K18)+IF($G18&gt;0,($H18/$G18)*BK18,0)*(1-$K18)</f>
        <v>21321712.686072055</v>
      </c>
      <c r="BM18" s="1117">
        <f>VLOOKUP($E18,BK$442:BN$453,3,FALSE)*BK18*($K18)+IF($G18&gt;0,($I18/$G18)*BK18,0)*(1-$K18)</f>
        <v>0</v>
      </c>
      <c r="BN18" s="1117">
        <f>VLOOKUP($E18,BK$442:BN$453,4,FALSE)*BK18*($K18)+(BK18-BL18-BM18)*(1-$K18)</f>
        <v>36519189.313927948</v>
      </c>
      <c r="BO18" s="1118"/>
      <c r="BS18" s="1116">
        <f>$G18</f>
        <v>57840902</v>
      </c>
      <c r="BT18" s="1117">
        <f>VLOOKUP($E18,BS$442:BV$453,2,FALSE)*BS18*($K18)+IF($G18&gt;0,($H18/$G18)*BS18,0)*(1-$K18)</f>
        <v>21321712.686072055</v>
      </c>
      <c r="BU18" s="1117">
        <f>VLOOKUP($E18,BS$442:BV$453,3,FALSE)*BS18*($K18)+IF($G18&gt;0,($I18/$G18)*BS18,0)*(1-$K18)</f>
        <v>0</v>
      </c>
      <c r="BV18" s="1117">
        <f>VLOOKUP($E18,BS$442:BV$453,4,FALSE)*BS18*($K18)+(BS18-BT18-BU18)*(1-$K18)</f>
        <v>36519189.313927948</v>
      </c>
      <c r="BW18" s="1118"/>
      <c r="CA18" s="1116">
        <f>$G18</f>
        <v>57840902</v>
      </c>
      <c r="CB18" s="1117">
        <f>VLOOKUP($E18,CA$442:CD$453,2,FALSE)*CA18*($K18)+IF($G18&gt;0,($H18/$G18)*CA18,0)*(1-$K18)</f>
        <v>21321712.686072055</v>
      </c>
      <c r="CC18" s="1117">
        <f>VLOOKUP($E18,CA$442:CD$453,3,FALSE)*CA18*($K18)+IF($G18&gt;0,($I18/$G18)*CA18,0)*(1-$K18)</f>
        <v>0</v>
      </c>
      <c r="CD18" s="1117">
        <f>VLOOKUP($E18,CA$442:CD$453,4,FALSE)*CA18*($K18)+(CA18-CB18-CC18)*(1-$K18)</f>
        <v>36519189.313927948</v>
      </c>
      <c r="CE18" s="1118"/>
      <c r="CI18" s="1116">
        <f>$G18</f>
        <v>57840902</v>
      </c>
      <c r="CJ18" s="1117">
        <f>VLOOKUP($E18,CI$442:CL$453,2,FALSE)*CI18*($K18)+IF($G18&gt;0,($H18/$G18)*CI18,0)*(1-$K18)</f>
        <v>21321712.686072055</v>
      </c>
      <c r="CK18" s="1117">
        <f>VLOOKUP($E18,CI$442:CL$453,3,FALSE)*CI18*($K18)+IF($G18&gt;0,($I18/$G18)*CI18,0)*(1-$K18)</f>
        <v>0</v>
      </c>
      <c r="CL18" s="1117">
        <f>VLOOKUP($E18,CI$442:CL$453,4,FALSE)*CI18*($K18)+(CI18-CJ18-CK18)*(1-$K18)</f>
        <v>36519189.313927948</v>
      </c>
      <c r="CM18" s="1118"/>
      <c r="CQ18" s="1116">
        <f>$G18</f>
        <v>57840902</v>
      </c>
      <c r="CR18" s="1117">
        <f>VLOOKUP($E18,CQ$442:CT$453,2,FALSE)*CQ18*($K18)+IF($G18&gt;0,($H18/$G18)*CQ18,0)*(1-$K18)</f>
        <v>21321712.686072055</v>
      </c>
      <c r="CS18" s="1117">
        <f>VLOOKUP($E18,CQ$442:CT$453,3,FALSE)*CQ18*($K18)+IF($G18&gt;0,($I18/$G18)*CQ18,0)*(1-$K18)</f>
        <v>0</v>
      </c>
      <c r="CT18" s="1117">
        <f>VLOOKUP($E18,CQ$442:CT$453,4,FALSE)*CQ18*($K18)+(CQ18-CR18-CS18)*(1-$K18)</f>
        <v>36519189.313927948</v>
      </c>
      <c r="CU18" s="1118"/>
      <c r="CY18" s="1116">
        <f>$G18</f>
        <v>57840902</v>
      </c>
      <c r="CZ18" s="1117">
        <f>VLOOKUP($E18,CY$442:DB$453,2,FALSE)*CY18*($K18)+IF($G18&gt;0,($H18/$G18)*CY18,0)*(1-$K18)</f>
        <v>21321712.686072055</v>
      </c>
      <c r="DA18" s="1117">
        <f>VLOOKUP($E18,CY$442:DB$453,3,FALSE)*CY18*($K18)+IF($G18&gt;0,($I18/$G18)*CY18,0)*(1-$K18)</f>
        <v>0</v>
      </c>
      <c r="DB18" s="1117">
        <f>VLOOKUP($E18,CY$442:DB$453,4,FALSE)*CY18*($K18)+(CY18-CZ18-DA18)*(1-$K18)</f>
        <v>36519189.313927948</v>
      </c>
      <c r="DC18" s="1118"/>
      <c r="DG18" s="1116">
        <f>$G18</f>
        <v>57840902</v>
      </c>
      <c r="DH18" s="1117">
        <f>VLOOKUP($E18,DG$442:DJ$453,2,FALSE)*DG18*($K18)+IF($G18&gt;0,($H18/$G18)*DG18,0)*(1-$K18)</f>
        <v>21321712.686072055</v>
      </c>
      <c r="DI18" s="1117">
        <f>VLOOKUP($E18,DG$442:DJ$453,3,FALSE)*DG18*($K18)+IF($G18&gt;0,($I18/$G18)*DG18,0)*(1-$K18)</f>
        <v>0</v>
      </c>
      <c r="DJ18" s="1117">
        <f>VLOOKUP($E18,DG$442:DJ$453,4,FALSE)*DG18*($K18)+(DG18-DH18-DI18)*(1-$K18)</f>
        <v>36519189.313927948</v>
      </c>
      <c r="DK18" s="1118"/>
      <c r="DO18" s="1116">
        <f>$G18</f>
        <v>57840902</v>
      </c>
      <c r="DP18" s="1117">
        <f>VLOOKUP($E18,DO$442:DR$453,2,FALSE)*DO18*($K18)+IF($G18&gt;0,($H18/$G18)*DO18,0)*(1-$K18)</f>
        <v>21321712.686072055</v>
      </c>
      <c r="DQ18" s="1117">
        <f>VLOOKUP($E18,DO$442:DR$453,3,FALSE)*DO18*($K18)+IF($G18&gt;0,($I18/$G18)*DO18,0)*(1-$K18)</f>
        <v>0</v>
      </c>
      <c r="DR18" s="1117">
        <f>VLOOKUP($E18,DO$442:DR$453,4,FALSE)*DO18*($K18)+(DO18-DP18-DQ18)*(1-$K18)</f>
        <v>36519189.313927948</v>
      </c>
      <c r="DS18" s="1118"/>
      <c r="DW18" s="1116">
        <f>$G18</f>
        <v>57840902</v>
      </c>
      <c r="DX18" s="1117">
        <f>VLOOKUP($E18,DW$442:DZ$453,2,FALSE)*DW18*($K18)+IF($G18&gt;0,($H18/$G18)*DW18,0)*(1-$K18)</f>
        <v>21321712.686072055</v>
      </c>
      <c r="DY18" s="1117">
        <f>VLOOKUP($E18,DW$442:DZ$453,3,FALSE)*DW18*($K18)+IF($G18&gt;0,($I18/$G18)*DW18,0)*(1-$K18)</f>
        <v>0</v>
      </c>
      <c r="DZ18" s="1117">
        <f>VLOOKUP($E18,DW$442:DZ$453,4,FALSE)*DW18*($K18)+(DW18-DX18-DY18)*(1-$K18)</f>
        <v>36519189.313927948</v>
      </c>
      <c r="EA18" s="1118"/>
      <c r="EE18" s="1116">
        <f>$G18</f>
        <v>57840902</v>
      </c>
      <c r="EF18" s="1117">
        <f>VLOOKUP($E18,EE$442:EH$453,2,FALSE)*EE18*($K18)+IF($G18&gt;0,($H18/$G18)*EE18,0)*(1-$K18)</f>
        <v>21321712.686072055</v>
      </c>
      <c r="EG18" s="1117">
        <f>VLOOKUP($E18,EE$442:EH$453,3,FALSE)*EE18*($K18)+IF($G18&gt;0,($I18/$G18)*EE18,0)*(1-$K18)</f>
        <v>0</v>
      </c>
      <c r="EH18" s="1117">
        <f>VLOOKUP($E18,EE$442:EH$453,4,FALSE)*EE18*($K18)+(EE18-EF18-EG18)*(1-$K18)</f>
        <v>36519189.313927948</v>
      </c>
      <c r="EI18" s="1118"/>
      <c r="EM18" s="1116">
        <f>$G18</f>
        <v>57840902</v>
      </c>
      <c r="EN18" s="1117">
        <f>VLOOKUP($E18,EM$442:EP$453,2,FALSE)*EM18*($K18)+IF($G18&gt;0,($H18/$G18)*EM18,0)*(1-$K18)</f>
        <v>21321712.686072055</v>
      </c>
      <c r="EO18" s="1117">
        <f>VLOOKUP($E18,EM$442:EP$453,3,FALSE)*EM18*($K18)+IF($G18&gt;0,($I18/$G18)*EM18,0)*(1-$K18)</f>
        <v>0</v>
      </c>
      <c r="EP18" s="1117">
        <f>VLOOKUP($E18,EM$442:EP$453,4,FALSE)*EM18*($K18)+(EM18-EN18-EO18)*(1-$K18)</f>
        <v>36519189.313927948</v>
      </c>
      <c r="EQ18" s="1118"/>
      <c r="EU18" s="1116">
        <f>$G18</f>
        <v>57840902</v>
      </c>
      <c r="EV18" s="1117">
        <f>VLOOKUP($E18,EU$442:EX$453,2,FALSE)*EU18*($K18)+IF($G18&gt;0,($H18/$G18)*EU18,0)*(1-$K18)</f>
        <v>21321712.686072055</v>
      </c>
      <c r="EW18" s="1117">
        <f>VLOOKUP($E18,EU$442:EX$453,3,FALSE)*EU18*($K18)+IF($G18&gt;0,($I18/$G18)*EU18,0)*(1-$K18)</f>
        <v>0</v>
      </c>
      <c r="EX18" s="1117">
        <f>VLOOKUP($E18,EU$442:EX$453,4,FALSE)*EU18*($K18)+(EU18-EV18-EW18)*(1-$K18)</f>
        <v>36519189.313927948</v>
      </c>
      <c r="EY18" s="1118"/>
      <c r="FC18" s="1116">
        <f>$G18</f>
        <v>57840902</v>
      </c>
      <c r="FD18" s="1117">
        <f>VLOOKUP($E18,FC$442:FF$453,2,FALSE)*FC18*($K18)+IF($G18&gt;0,($H18/$G18)*FC18,0)*(1-$K18)</f>
        <v>21321712.686072055</v>
      </c>
      <c r="FE18" s="1117">
        <f>VLOOKUP($E18,FC$442:FF$453,3,FALSE)*FC18*($K18)+IF($G18&gt;0,($I18/$G18)*FC18,0)*(1-$K18)</f>
        <v>0</v>
      </c>
      <c r="FF18" s="1117">
        <f>VLOOKUP($E18,FC$442:FF$453,4,FALSE)*FC18*($K18)+(FC18-FD18-FE18)*(1-$K18)</f>
        <v>36519189.313927948</v>
      </c>
      <c r="FG18" s="1118"/>
      <c r="FK18" s="1116">
        <f>$G18</f>
        <v>57840902</v>
      </c>
      <c r="FL18" s="1117">
        <f>VLOOKUP($E18,FK$442:FN$453,2,FALSE)*FK18*($K18)+IF($G18&gt;0,($H18/$G18)*FK18,0)*(1-$K18)</f>
        <v>21321712.686072055</v>
      </c>
      <c r="FM18" s="1117">
        <f>VLOOKUP($E18,FK$442:FN$453,3,FALSE)*FK18*($K18)+IF($G18&gt;0,($I18/$G18)*FK18,0)*(1-$K18)</f>
        <v>0</v>
      </c>
      <c r="FN18" s="1117">
        <f>VLOOKUP($E18,FK$442:FN$453,4,FALSE)*FK18*($K18)+(FK18-FL18-FM18)*(1-$K18)</f>
        <v>36519189.313927948</v>
      </c>
      <c r="FO18" s="1118"/>
    </row>
    <row r="19" spans="1:171">
      <c r="A19" s="1345" t="s">
        <v>443</v>
      </c>
      <c r="B19" s="64"/>
      <c r="C19" s="894"/>
      <c r="D19" s="895"/>
      <c r="E19" s="1543"/>
      <c r="F19" s="896"/>
      <c r="G19" s="905">
        <f>SUM(G16:G18)</f>
        <v>104645173</v>
      </c>
      <c r="H19" s="905">
        <f>SUM(H16:H18)</f>
        <v>63428720.266072065</v>
      </c>
      <c r="I19" s="905">
        <f>SUM(I16:I18)</f>
        <v>0</v>
      </c>
      <c r="J19" s="1417">
        <f>SUM(J16:J18)</f>
        <v>41216452.183927946</v>
      </c>
      <c r="K19" s="903"/>
      <c r="L19" s="1119"/>
      <c r="O19" s="1120">
        <f>SUM(O16:O18)</f>
        <v>104645173</v>
      </c>
      <c r="P19" s="1120">
        <f>SUM(P16:P18)</f>
        <v>63428720.266072065</v>
      </c>
      <c r="Q19" s="1120">
        <f>SUM(Q16:Q18)</f>
        <v>0</v>
      </c>
      <c r="R19" s="1120">
        <f>SUM(R16:R18)</f>
        <v>41216452.733927943</v>
      </c>
      <c r="S19" s="1118"/>
      <c r="T19" s="1119"/>
      <c r="W19" s="1120">
        <f>SUM(W16:W18)</f>
        <v>104645173</v>
      </c>
      <c r="X19" s="1120">
        <f>SUM(X16:X18)</f>
        <v>63428720.266072065</v>
      </c>
      <c r="Y19" s="1120">
        <f>SUM(Y16:Y18)</f>
        <v>0</v>
      </c>
      <c r="Z19" s="1120">
        <f>SUM(Z16:Z18)</f>
        <v>41216452.733927943</v>
      </c>
      <c r="AA19" s="1118"/>
      <c r="AB19" s="1119"/>
      <c r="AE19" s="1120">
        <f>SUM(AE16:AE18)</f>
        <v>104645173</v>
      </c>
      <c r="AF19" s="1120">
        <f>SUM(AF16:AF18)</f>
        <v>63428720.266072065</v>
      </c>
      <c r="AG19" s="1120">
        <f>SUM(AG16:AG18)</f>
        <v>0</v>
      </c>
      <c r="AH19" s="1120">
        <f>SUM(AH16:AH18)</f>
        <v>41216452.733927943</v>
      </c>
      <c r="AI19" s="1118"/>
      <c r="AJ19" s="1119"/>
      <c r="AM19" s="1120">
        <f>SUM(AM16:AM18)</f>
        <v>104645173</v>
      </c>
      <c r="AN19" s="1120">
        <f>SUM(AN16:AN18)</f>
        <v>63428720.266072065</v>
      </c>
      <c r="AO19" s="1120">
        <f>SUM(AO16:AO18)</f>
        <v>0</v>
      </c>
      <c r="AP19" s="1120">
        <f>SUM(AP16:AP18)</f>
        <v>41216452.733927943</v>
      </c>
      <c r="AQ19" s="1118"/>
      <c r="AR19" s="1119"/>
      <c r="AU19" s="1120">
        <f>SUM(AU16:AU18)</f>
        <v>104645173</v>
      </c>
      <c r="AV19" s="1120">
        <f>SUM(AV16:AV18)</f>
        <v>63428720.266072065</v>
      </c>
      <c r="AW19" s="1120">
        <f>SUM(AW16:AW18)</f>
        <v>0</v>
      </c>
      <c r="AX19" s="1120">
        <f>SUM(AX16:AX18)</f>
        <v>41216452.733927943</v>
      </c>
      <c r="AY19" s="1118"/>
      <c r="AZ19" s="1119"/>
      <c r="BC19" s="1120">
        <f>SUM(BC16:BC18)</f>
        <v>104645173</v>
      </c>
      <c r="BD19" s="1120">
        <f>SUM(BD16:BD18)</f>
        <v>63428720.266072065</v>
      </c>
      <c r="BE19" s="1120">
        <f>SUM(BE16:BE18)</f>
        <v>0</v>
      </c>
      <c r="BF19" s="1120">
        <f>SUM(BF16:BF18)</f>
        <v>41216452.733927943</v>
      </c>
      <c r="BG19" s="1118"/>
      <c r="BH19" s="1119"/>
      <c r="BK19" s="1120">
        <f>SUM(BK16:BK18)</f>
        <v>104645173</v>
      </c>
      <c r="BL19" s="1120">
        <f>SUM(BL16:BL18)</f>
        <v>63428720.266072065</v>
      </c>
      <c r="BM19" s="1120">
        <f>SUM(BM16:BM18)</f>
        <v>0</v>
      </c>
      <c r="BN19" s="1120">
        <f>SUM(BN16:BN18)</f>
        <v>41216452.733927943</v>
      </c>
      <c r="BO19" s="1118"/>
      <c r="BP19" s="1119"/>
      <c r="BS19" s="1120">
        <f>SUM(BS16:BS18)</f>
        <v>104645173</v>
      </c>
      <c r="BT19" s="1120">
        <f>SUM(BT16:BT18)</f>
        <v>63428720.266072065</v>
      </c>
      <c r="BU19" s="1120">
        <f>SUM(BU16:BU18)</f>
        <v>0</v>
      </c>
      <c r="BV19" s="1120">
        <f>SUM(BV16:BV18)</f>
        <v>41216452.733927943</v>
      </c>
      <c r="BW19" s="1118"/>
      <c r="BX19" s="1119"/>
      <c r="CA19" s="1120">
        <f>SUM(CA16:CA18)</f>
        <v>104645173</v>
      </c>
      <c r="CB19" s="1120">
        <f>SUM(CB16:CB18)</f>
        <v>63428720.266072065</v>
      </c>
      <c r="CC19" s="1120">
        <f>SUM(CC16:CC18)</f>
        <v>0</v>
      </c>
      <c r="CD19" s="1120">
        <f>SUM(CD16:CD18)</f>
        <v>41216452.733927943</v>
      </c>
      <c r="CE19" s="1118"/>
      <c r="CF19" s="1119"/>
      <c r="CI19" s="1120">
        <f>SUM(CI16:CI18)</f>
        <v>104645173</v>
      </c>
      <c r="CJ19" s="1120">
        <f>SUM(CJ16:CJ18)</f>
        <v>63428720.266072065</v>
      </c>
      <c r="CK19" s="1120">
        <f>SUM(CK16:CK18)</f>
        <v>0</v>
      </c>
      <c r="CL19" s="1120">
        <f>SUM(CL16:CL18)</f>
        <v>41216452.733927943</v>
      </c>
      <c r="CM19" s="1118"/>
      <c r="CN19" s="1119"/>
      <c r="CQ19" s="1120">
        <f>SUM(CQ16:CQ18)</f>
        <v>104645173</v>
      </c>
      <c r="CR19" s="1120">
        <f>SUM(CR16:CR18)</f>
        <v>63428720.266072065</v>
      </c>
      <c r="CS19" s="1120">
        <f>SUM(CS16:CS18)</f>
        <v>0</v>
      </c>
      <c r="CT19" s="1120">
        <f>SUM(CT16:CT18)</f>
        <v>41216452.733927943</v>
      </c>
      <c r="CU19" s="1118"/>
      <c r="CV19" s="1119"/>
      <c r="CY19" s="1120">
        <f>SUM(CY16:CY18)</f>
        <v>104645173</v>
      </c>
      <c r="CZ19" s="1120">
        <f>SUM(CZ16:CZ18)</f>
        <v>63428720.266072065</v>
      </c>
      <c r="DA19" s="1120">
        <f>SUM(DA16:DA18)</f>
        <v>0</v>
      </c>
      <c r="DB19" s="1120">
        <f>SUM(DB16:DB18)</f>
        <v>41216452.733927943</v>
      </c>
      <c r="DC19" s="1118"/>
      <c r="DD19" s="1119"/>
      <c r="DG19" s="1120">
        <f>SUM(DG16:DG18)</f>
        <v>104645173</v>
      </c>
      <c r="DH19" s="1120">
        <f>SUM(DH16:DH18)</f>
        <v>63428720.266072065</v>
      </c>
      <c r="DI19" s="1120">
        <f>SUM(DI16:DI18)</f>
        <v>0</v>
      </c>
      <c r="DJ19" s="1120">
        <f>SUM(DJ16:DJ18)</f>
        <v>41216452.733927943</v>
      </c>
      <c r="DK19" s="1118"/>
      <c r="DL19" s="1119"/>
      <c r="DO19" s="1120">
        <f>SUM(DO16:DO18)</f>
        <v>104645173</v>
      </c>
      <c r="DP19" s="1120">
        <f>SUM(DP16:DP18)</f>
        <v>63428720.266072065</v>
      </c>
      <c r="DQ19" s="1120">
        <f>SUM(DQ16:DQ18)</f>
        <v>0</v>
      </c>
      <c r="DR19" s="1120">
        <f>SUM(DR16:DR18)</f>
        <v>41216452.733927943</v>
      </c>
      <c r="DS19" s="1118"/>
      <c r="DT19" s="1119"/>
      <c r="DW19" s="1120">
        <f>SUM(DW16:DW18)</f>
        <v>104645173</v>
      </c>
      <c r="DX19" s="1120">
        <f>SUM(DX16:DX18)</f>
        <v>63428720.266072065</v>
      </c>
      <c r="DY19" s="1120">
        <f>SUM(DY16:DY18)</f>
        <v>0</v>
      </c>
      <c r="DZ19" s="1120">
        <f>SUM(DZ16:DZ18)</f>
        <v>41216452.733927943</v>
      </c>
      <c r="EA19" s="1118"/>
      <c r="EB19" s="1119"/>
      <c r="EE19" s="1120">
        <f>SUM(EE16:EE18)</f>
        <v>104645173</v>
      </c>
      <c r="EF19" s="1120">
        <f>SUM(EF16:EF18)</f>
        <v>63428720.266072065</v>
      </c>
      <c r="EG19" s="1120">
        <f>SUM(EG16:EG18)</f>
        <v>0</v>
      </c>
      <c r="EH19" s="1120">
        <f>SUM(EH16:EH18)</f>
        <v>41216452.733927943</v>
      </c>
      <c r="EI19" s="1118"/>
      <c r="EJ19" s="1119"/>
      <c r="EM19" s="1120">
        <f>SUM(EM16:EM18)</f>
        <v>104645173</v>
      </c>
      <c r="EN19" s="1120">
        <f>SUM(EN16:EN18)</f>
        <v>63428720.266072065</v>
      </c>
      <c r="EO19" s="1120">
        <f>SUM(EO16:EO18)</f>
        <v>0</v>
      </c>
      <c r="EP19" s="1120">
        <f>SUM(EP16:EP18)</f>
        <v>41216452.733927943</v>
      </c>
      <c r="EQ19" s="1118"/>
      <c r="ER19" s="1119"/>
      <c r="EU19" s="1120">
        <f>SUM(EU16:EU18)</f>
        <v>104645173</v>
      </c>
      <c r="EV19" s="1120">
        <f>SUM(EV16:EV18)</f>
        <v>63428720.266072065</v>
      </c>
      <c r="EW19" s="1120">
        <f>SUM(EW16:EW18)</f>
        <v>0</v>
      </c>
      <c r="EX19" s="1120">
        <f>SUM(EX16:EX18)</f>
        <v>41216452.733927943</v>
      </c>
      <c r="EY19" s="1118"/>
      <c r="EZ19" s="1119"/>
      <c r="FC19" s="1120">
        <f>SUM(FC16:FC18)</f>
        <v>104645173</v>
      </c>
      <c r="FD19" s="1120">
        <f>SUM(FD16:FD18)</f>
        <v>63428720.266072065</v>
      </c>
      <c r="FE19" s="1120">
        <f>SUM(FE16:FE18)</f>
        <v>0</v>
      </c>
      <c r="FF19" s="1120">
        <f>SUM(FF16:FF18)</f>
        <v>41216452.733927943</v>
      </c>
      <c r="FG19" s="1118"/>
      <c r="FH19" s="1119"/>
      <c r="FK19" s="1120">
        <f>SUM(FK16:FK18)</f>
        <v>104645173</v>
      </c>
      <c r="FL19" s="1120">
        <f>SUM(FL16:FL18)</f>
        <v>63428720.266072065</v>
      </c>
      <c r="FM19" s="1120">
        <f>SUM(FM16:FM18)</f>
        <v>0</v>
      </c>
      <c r="FN19" s="1120">
        <f>SUM(FN16:FN18)</f>
        <v>41216452.733927943</v>
      </c>
      <c r="FO19" s="1118"/>
    </row>
    <row r="20" spans="1:171">
      <c r="A20" s="1418"/>
      <c r="B20" s="897"/>
      <c r="C20" s="898"/>
      <c r="D20" s="898"/>
      <c r="E20" s="1544"/>
      <c r="F20" s="899"/>
      <c r="G20" s="900"/>
      <c r="H20" s="900"/>
      <c r="I20" s="900"/>
      <c r="J20" s="1419"/>
      <c r="K20" s="903"/>
      <c r="L20" s="1119"/>
      <c r="M20" s="1079"/>
      <c r="N20" s="1079"/>
      <c r="O20" s="1116"/>
      <c r="P20" s="1116"/>
      <c r="Q20" s="1116"/>
      <c r="R20" s="1116"/>
      <c r="S20" s="1118"/>
      <c r="T20" s="1119"/>
      <c r="U20" s="1079"/>
      <c r="V20" s="1079"/>
      <c r="W20" s="1116"/>
      <c r="X20" s="1116"/>
      <c r="Y20" s="1116"/>
      <c r="Z20" s="1116"/>
      <c r="AA20" s="1118"/>
      <c r="AB20" s="1119"/>
      <c r="AC20" s="1079"/>
      <c r="AD20" s="1079"/>
      <c r="AE20" s="1116"/>
      <c r="AF20" s="1116"/>
      <c r="AG20" s="1116"/>
      <c r="AH20" s="1116"/>
      <c r="AI20" s="1118"/>
      <c r="AJ20" s="1119"/>
      <c r="AK20" s="1079"/>
      <c r="AL20" s="1079"/>
      <c r="AM20" s="1116"/>
      <c r="AN20" s="1116"/>
      <c r="AO20" s="1116"/>
      <c r="AP20" s="1116"/>
      <c r="AQ20" s="1118"/>
      <c r="AR20" s="1119"/>
      <c r="AS20" s="1079"/>
      <c r="AT20" s="1079"/>
      <c r="AU20" s="1116"/>
      <c r="AV20" s="1116"/>
      <c r="AW20" s="1116"/>
      <c r="AX20" s="1116"/>
      <c r="AY20" s="1118"/>
      <c r="AZ20" s="1119"/>
      <c r="BA20" s="1079"/>
      <c r="BB20" s="1079"/>
      <c r="BC20" s="1116"/>
      <c r="BD20" s="1116"/>
      <c r="BE20" s="1116"/>
      <c r="BF20" s="1116"/>
      <c r="BG20" s="1118"/>
      <c r="BH20" s="1119"/>
      <c r="BI20" s="1079"/>
      <c r="BJ20" s="1079"/>
      <c r="BK20" s="1116"/>
      <c r="BL20" s="1116"/>
      <c r="BM20" s="1116"/>
      <c r="BN20" s="1116"/>
      <c r="BO20" s="1118"/>
      <c r="BP20" s="1119"/>
      <c r="BQ20" s="1079"/>
      <c r="BR20" s="1079"/>
      <c r="BS20" s="1116"/>
      <c r="BT20" s="1116"/>
      <c r="BU20" s="1116"/>
      <c r="BV20" s="1116"/>
      <c r="BW20" s="1118"/>
      <c r="BX20" s="1119"/>
      <c r="BY20" s="1079"/>
      <c r="BZ20" s="1079"/>
      <c r="CA20" s="1116"/>
      <c r="CB20" s="1116"/>
      <c r="CC20" s="1116"/>
      <c r="CD20" s="1116"/>
      <c r="CE20" s="1118"/>
      <c r="CF20" s="1119"/>
      <c r="CG20" s="1079"/>
      <c r="CH20" s="1079"/>
      <c r="CI20" s="1116"/>
      <c r="CJ20" s="1116"/>
      <c r="CK20" s="1116"/>
      <c r="CL20" s="1116"/>
      <c r="CM20" s="1118"/>
      <c r="CN20" s="1119"/>
      <c r="CO20" s="1079"/>
      <c r="CP20" s="1079"/>
      <c r="CQ20" s="1116"/>
      <c r="CR20" s="1116"/>
      <c r="CS20" s="1116"/>
      <c r="CT20" s="1116"/>
      <c r="CU20" s="1118"/>
      <c r="CV20" s="1119"/>
      <c r="CW20" s="1079"/>
      <c r="CX20" s="1079"/>
      <c r="CY20" s="1116"/>
      <c r="CZ20" s="1116"/>
      <c r="DA20" s="1116"/>
      <c r="DB20" s="1116"/>
      <c r="DC20" s="1118"/>
      <c r="DD20" s="1119"/>
      <c r="DE20" s="1079"/>
      <c r="DF20" s="1079"/>
      <c r="DG20" s="1116"/>
      <c r="DH20" s="1116"/>
      <c r="DI20" s="1116"/>
      <c r="DJ20" s="1116"/>
      <c r="DK20" s="1118"/>
      <c r="DL20" s="1119"/>
      <c r="DM20" s="1079"/>
      <c r="DN20" s="1079"/>
      <c r="DO20" s="1116"/>
      <c r="DP20" s="1116"/>
      <c r="DQ20" s="1116"/>
      <c r="DR20" s="1116"/>
      <c r="DS20" s="1118"/>
      <c r="DT20" s="1119"/>
      <c r="DU20" s="1079"/>
      <c r="DV20" s="1079"/>
      <c r="DW20" s="1116"/>
      <c r="DX20" s="1116"/>
      <c r="DY20" s="1116"/>
      <c r="DZ20" s="1116"/>
      <c r="EA20" s="1118"/>
      <c r="EB20" s="1119"/>
      <c r="EC20" s="1079"/>
      <c r="ED20" s="1079"/>
      <c r="EE20" s="1116"/>
      <c r="EF20" s="1116"/>
      <c r="EG20" s="1116"/>
      <c r="EH20" s="1116"/>
      <c r="EI20" s="1118"/>
      <c r="EJ20" s="1119"/>
      <c r="EK20" s="1079"/>
      <c r="EL20" s="1079"/>
      <c r="EM20" s="1116"/>
      <c r="EN20" s="1116"/>
      <c r="EO20" s="1116"/>
      <c r="EP20" s="1116"/>
      <c r="EQ20" s="1118"/>
      <c r="ER20" s="1119"/>
      <c r="ES20" s="1079"/>
      <c r="ET20" s="1079"/>
      <c r="EU20" s="1116"/>
      <c r="EV20" s="1116"/>
      <c r="EW20" s="1116"/>
      <c r="EX20" s="1116"/>
      <c r="EY20" s="1118"/>
      <c r="EZ20" s="1119"/>
      <c r="FA20" s="1079"/>
      <c r="FB20" s="1079"/>
      <c r="FC20" s="1116"/>
      <c r="FD20" s="1116"/>
      <c r="FE20" s="1116"/>
      <c r="FF20" s="1116"/>
      <c r="FG20" s="1118"/>
      <c r="FH20" s="1119"/>
      <c r="FI20" s="1079"/>
      <c r="FJ20" s="1079"/>
      <c r="FK20" s="1116"/>
      <c r="FL20" s="1116"/>
      <c r="FM20" s="1116"/>
      <c r="FN20" s="1116"/>
      <c r="FO20" s="1118"/>
    </row>
    <row r="21" spans="1:171">
      <c r="A21" s="1342" t="s">
        <v>110</v>
      </c>
      <c r="B21" s="901"/>
      <c r="C21" s="898"/>
      <c r="D21" s="898"/>
      <c r="E21" s="1544"/>
      <c r="F21" s="899"/>
      <c r="G21" s="902"/>
      <c r="H21" s="902"/>
      <c r="I21" s="902"/>
      <c r="J21" s="1420"/>
      <c r="K21" s="903"/>
      <c r="L21" s="1121"/>
      <c r="M21" s="1079"/>
      <c r="N21" s="1079"/>
      <c r="O21" s="1079"/>
      <c r="P21" s="900"/>
      <c r="Q21" s="900"/>
      <c r="R21" s="900"/>
      <c r="S21" s="1118"/>
      <c r="T21" s="1121"/>
      <c r="U21" s="1079"/>
      <c r="V21" s="1079"/>
      <c r="W21" s="1079"/>
      <c r="X21" s="900"/>
      <c r="Y21" s="900"/>
      <c r="Z21" s="900"/>
      <c r="AA21" s="1118"/>
      <c r="AB21" s="1121"/>
      <c r="AC21" s="1079"/>
      <c r="AD21" s="1079"/>
      <c r="AE21" s="1079"/>
      <c r="AF21" s="900"/>
      <c r="AG21" s="900"/>
      <c r="AH21" s="900"/>
      <c r="AI21" s="1118"/>
      <c r="AJ21" s="1121"/>
      <c r="AK21" s="1079"/>
      <c r="AL21" s="1079"/>
      <c r="AM21" s="1079"/>
      <c r="AN21" s="900"/>
      <c r="AO21" s="900"/>
      <c r="AP21" s="900"/>
      <c r="AQ21" s="1118"/>
      <c r="AR21" s="1121"/>
      <c r="AS21" s="1079"/>
      <c r="AT21" s="1079"/>
      <c r="AU21" s="1079"/>
      <c r="AV21" s="900"/>
      <c r="AW21" s="900"/>
      <c r="AX21" s="900"/>
      <c r="AY21" s="1118"/>
      <c r="AZ21" s="1121"/>
      <c r="BA21" s="1079"/>
      <c r="BB21" s="1079"/>
      <c r="BC21" s="1079"/>
      <c r="BD21" s="900"/>
      <c r="BE21" s="900"/>
      <c r="BF21" s="900"/>
      <c r="BG21" s="1118"/>
      <c r="BH21" s="1121"/>
      <c r="BI21" s="1079"/>
      <c r="BJ21" s="1079"/>
      <c r="BK21" s="1079"/>
      <c r="BL21" s="900"/>
      <c r="BM21" s="900"/>
      <c r="BN21" s="900"/>
      <c r="BO21" s="1118"/>
      <c r="BP21" s="1121"/>
      <c r="BQ21" s="1079"/>
      <c r="BR21" s="1079"/>
      <c r="BS21" s="1079"/>
      <c r="BT21" s="900"/>
      <c r="BU21" s="900"/>
      <c r="BV21" s="900"/>
      <c r="BW21" s="1118"/>
      <c r="BX21" s="1121"/>
      <c r="BY21" s="1079"/>
      <c r="BZ21" s="1079"/>
      <c r="CA21" s="1079"/>
      <c r="CB21" s="900"/>
      <c r="CC21" s="900"/>
      <c r="CD21" s="900"/>
      <c r="CE21" s="1118"/>
      <c r="CF21" s="1121"/>
      <c r="CG21" s="1079"/>
      <c r="CH21" s="1079"/>
      <c r="CI21" s="1079"/>
      <c r="CJ21" s="900"/>
      <c r="CK21" s="900"/>
      <c r="CL21" s="900"/>
      <c r="CM21" s="1118"/>
      <c r="CN21" s="1121"/>
      <c r="CO21" s="1079"/>
      <c r="CP21" s="1079"/>
      <c r="CQ21" s="1079"/>
      <c r="CR21" s="900"/>
      <c r="CS21" s="900"/>
      <c r="CT21" s="900"/>
      <c r="CU21" s="1118"/>
      <c r="CV21" s="1121"/>
      <c r="CW21" s="1079"/>
      <c r="CX21" s="1079"/>
      <c r="CY21" s="1079"/>
      <c r="CZ21" s="900"/>
      <c r="DA21" s="900"/>
      <c r="DB21" s="900"/>
      <c r="DC21" s="1118"/>
      <c r="DD21" s="1121"/>
      <c r="DE21" s="1079"/>
      <c r="DF21" s="1079"/>
      <c r="DG21" s="1079"/>
      <c r="DH21" s="900"/>
      <c r="DI21" s="900"/>
      <c r="DJ21" s="900"/>
      <c r="DK21" s="1118"/>
      <c r="DL21" s="1121"/>
      <c r="DM21" s="1079"/>
      <c r="DN21" s="1079"/>
      <c r="DO21" s="1079"/>
      <c r="DP21" s="900"/>
      <c r="DQ21" s="900"/>
      <c r="DR21" s="900"/>
      <c r="DS21" s="1118"/>
      <c r="DT21" s="1121"/>
      <c r="DU21" s="1079"/>
      <c r="DV21" s="1079"/>
      <c r="DW21" s="1079"/>
      <c r="DX21" s="900"/>
      <c r="DY21" s="900"/>
      <c r="DZ21" s="900"/>
      <c r="EA21" s="1118"/>
      <c r="EB21" s="1121"/>
      <c r="EC21" s="1079"/>
      <c r="ED21" s="1079"/>
      <c r="EE21" s="1079"/>
      <c r="EF21" s="900"/>
      <c r="EG21" s="900"/>
      <c r="EH21" s="900"/>
      <c r="EI21" s="1118"/>
      <c r="EJ21" s="1121"/>
      <c r="EK21" s="1079"/>
      <c r="EL21" s="1079"/>
      <c r="EM21" s="1079"/>
      <c r="EN21" s="900"/>
      <c r="EO21" s="900"/>
      <c r="EP21" s="900"/>
      <c r="EQ21" s="1118"/>
      <c r="ER21" s="1121"/>
      <c r="ES21" s="1079"/>
      <c r="ET21" s="1079"/>
      <c r="EU21" s="1079"/>
      <c r="EV21" s="900"/>
      <c r="EW21" s="900"/>
      <c r="EX21" s="900"/>
      <c r="EY21" s="1118"/>
      <c r="EZ21" s="1121"/>
      <c r="FA21" s="1079"/>
      <c r="FB21" s="1079"/>
      <c r="FC21" s="1079"/>
      <c r="FD21" s="900"/>
      <c r="FE21" s="900"/>
      <c r="FF21" s="900"/>
      <c r="FG21" s="1118"/>
      <c r="FH21" s="1121"/>
      <c r="FI21" s="1079"/>
      <c r="FJ21" s="1079"/>
      <c r="FK21" s="1079"/>
      <c r="FL21" s="900"/>
      <c r="FM21" s="900"/>
      <c r="FN21" s="900"/>
      <c r="FO21" s="1118"/>
    </row>
    <row r="22" spans="1:171">
      <c r="A22" s="1421">
        <v>110</v>
      </c>
      <c r="B22" s="220" t="s">
        <v>111</v>
      </c>
      <c r="C22" s="887" t="s">
        <v>70</v>
      </c>
      <c r="D22" s="888" t="s">
        <v>112</v>
      </c>
      <c r="E22" s="1542" t="str">
        <f>'Sch 1- Rate Base '!E22</f>
        <v>PROD</v>
      </c>
      <c r="F22" s="889"/>
      <c r="G22" s="890">
        <f>'Sch 1- Rate Base '!G22</f>
        <v>494693042</v>
      </c>
      <c r="H22" s="890">
        <f>'Sch 1- Rate Base '!H22</f>
        <v>494693042</v>
      </c>
      <c r="I22" s="890">
        <f>'Sch 1- Rate Base '!I22</f>
        <v>0</v>
      </c>
      <c r="J22" s="1416">
        <f>'Sch 1- Rate Base '!J22</f>
        <v>0</v>
      </c>
      <c r="K22" s="903">
        <f>IF($E22="DIRECT",0,1)</f>
        <v>1</v>
      </c>
      <c r="N22" s="1154">
        <f>VLOOKUP($A22,'New Resources - Group'!$A$4:$Y$133,N$2,FALSE)*N$1</f>
        <v>0</v>
      </c>
      <c r="O22" s="1116">
        <f>$G22+N22</f>
        <v>494693042</v>
      </c>
      <c r="P22" s="1117">
        <f>VLOOKUP($E22,O$442:R$453,2,FALSE)*O22*($K22)+IF($G22&gt;0,($H22/$G22)*O22,0)*(1-$K22)</f>
        <v>494693042</v>
      </c>
      <c r="Q22" s="1117">
        <f>VLOOKUP($E22,O$442:R$453,3,FALSE)*O22*($K22)+IF($G22&gt;0,($I22/$G22)*O22,0)*(1-$K22)</f>
        <v>0</v>
      </c>
      <c r="R22" s="1117">
        <f>VLOOKUP($E22,O$442:R$453,4,FALSE)*O22*($K22)+(O22-P22-Q22)*(1-$K22)</f>
        <v>0</v>
      </c>
      <c r="S22" s="1118"/>
      <c r="V22" s="1154">
        <f>VLOOKUP($A22,'New Resources - Group'!$A$4:$Y$133,V$2,FALSE)*V$1</f>
        <v>0</v>
      </c>
      <c r="W22" s="1116">
        <f>$G22+V22</f>
        <v>494693042</v>
      </c>
      <c r="X22" s="1117">
        <f>VLOOKUP($E22,W$442:Z$453,2,FALSE)*W22*($K22)+IF($G22&gt;0,($H22/$G22)*W22,0)*(1-$K22)</f>
        <v>494693042</v>
      </c>
      <c r="Y22" s="1117">
        <f>VLOOKUP($E22,W$442:Z$453,3,FALSE)*W22*($K22)+IF($G22&gt;0,($I22/$G22)*W22,0)*(1-$K22)</f>
        <v>0</v>
      </c>
      <c r="Z22" s="1117">
        <f>VLOOKUP($E22,W$442:Z$453,4,FALSE)*W22*($K22)+(W22-X22-Y22)*(1-$K22)</f>
        <v>0</v>
      </c>
      <c r="AA22" s="1118"/>
      <c r="AD22" s="1154">
        <f>VLOOKUP($A22,'New Resources - Group'!$A$4:$Y$133,AD$2,FALSE)*AD$1</f>
        <v>0</v>
      </c>
      <c r="AE22" s="1116">
        <f>$G22+AD22</f>
        <v>494693042</v>
      </c>
      <c r="AF22" s="1117">
        <f>VLOOKUP($E22,AE$442:AH$453,2,FALSE)*AE22*($K22)+IF($G22&gt;0,($H22/$G22)*AE22,0)*(1-$K22)</f>
        <v>494693042</v>
      </c>
      <c r="AG22" s="1117">
        <f>VLOOKUP($E22,AE$442:AH$453,3,FALSE)*AE22*($K22)+IF($G22&gt;0,($I22/$G22)*AE22,0)*(1-$K22)</f>
        <v>0</v>
      </c>
      <c r="AH22" s="1117">
        <f>VLOOKUP($E22,AE$442:AH$453,4,FALSE)*AE22*($K22)+(AE22-AF22-AG22)*(1-$K22)</f>
        <v>0</v>
      </c>
      <c r="AI22" s="1118"/>
      <c r="AL22" s="1154">
        <f>VLOOKUP($A22,'New Resources - Group'!$A$4:$Y$133,AL$2,FALSE)*AL$1</f>
        <v>0</v>
      </c>
      <c r="AM22" s="1116">
        <f>$G22+AL22</f>
        <v>494693042</v>
      </c>
      <c r="AN22" s="1117">
        <f>VLOOKUP($E22,AM$442:AP$453,2,FALSE)*AM22*($K22)+IF($G22&gt;0,($H22/$G22)*AM22,0)*(1-$K22)</f>
        <v>494693042</v>
      </c>
      <c r="AO22" s="1117">
        <f>VLOOKUP($E22,AM$442:AP$453,3,FALSE)*AM22*($K22)+IF($G22&gt;0,($I22/$G22)*AM22,0)*(1-$K22)</f>
        <v>0</v>
      </c>
      <c r="AP22" s="1117">
        <f>VLOOKUP($E22,AM$442:AP$453,4,FALSE)*AM22*($K22)+(AM22-AN22-AO22)*(1-$K22)</f>
        <v>0</v>
      </c>
      <c r="AQ22" s="1118"/>
      <c r="AT22" s="1154">
        <f>VLOOKUP($A22,'New Resources - Group'!$A$4:$Y$133,AT$2,FALSE)*AT$1</f>
        <v>0</v>
      </c>
      <c r="AU22" s="1116">
        <f>$G22+AT22</f>
        <v>494693042</v>
      </c>
      <c r="AV22" s="1117">
        <f>VLOOKUP($E22,AU$442:AX$453,2,FALSE)*AU22*($K22)+IF($G22&gt;0,($H22/$G22)*AU22,0)*(1-$K22)</f>
        <v>494693042</v>
      </c>
      <c r="AW22" s="1117">
        <f>VLOOKUP($E22,AU$442:AX$453,3,FALSE)*AU22*($K22)+IF($G22&gt;0,($I22/$G22)*AU22,0)*(1-$K22)</f>
        <v>0</v>
      </c>
      <c r="AX22" s="1117">
        <f>VLOOKUP($E22,AU$442:AX$453,4,FALSE)*AU22*($K22)+(AU22-AV22-AW22)*(1-$K22)</f>
        <v>0</v>
      </c>
      <c r="AY22" s="1118"/>
      <c r="BB22" s="1154">
        <f>VLOOKUP($A22,'New Resources - Group'!$A$4:$Y$133,BB$2,FALSE)*BB$1</f>
        <v>0</v>
      </c>
      <c r="BC22" s="1116">
        <f>$G22+BB22</f>
        <v>494693042</v>
      </c>
      <c r="BD22" s="1117">
        <f>VLOOKUP($E22,BC$442:BF$453,2,FALSE)*BC22*($K22)+IF($G22&gt;0,($H22/$G22)*BC22,0)*(1-$K22)</f>
        <v>494693042</v>
      </c>
      <c r="BE22" s="1117">
        <f>VLOOKUP($E22,BC$442:BF$453,3,FALSE)*BC22*($K22)+IF($G22&gt;0,($I22/$G22)*BC22,0)*(1-$K22)</f>
        <v>0</v>
      </c>
      <c r="BF22" s="1117">
        <f>VLOOKUP($E22,BC$442:BF$453,4,FALSE)*BC22*($K22)+(BC22-BD22-BE22)*(1-$K22)</f>
        <v>0</v>
      </c>
      <c r="BG22" s="1118"/>
      <c r="BJ22" s="1154">
        <f>VLOOKUP($A22,'New Resources - Group'!$A$4:$Y$133,BJ$2,FALSE)*BJ$1</f>
        <v>0</v>
      </c>
      <c r="BK22" s="1116">
        <f>$G22+BJ22</f>
        <v>494693042</v>
      </c>
      <c r="BL22" s="1117">
        <f>VLOOKUP($E22,BK$442:BN$453,2,FALSE)*BK22*($K22)+IF($G22&gt;0,($H22/$G22)*BK22,0)*(1-$K22)</f>
        <v>494693042</v>
      </c>
      <c r="BM22" s="1117">
        <f>VLOOKUP($E22,BK$442:BN$453,3,FALSE)*BK22*($K22)+IF($G22&gt;0,($I22/$G22)*BK22,0)*(1-$K22)</f>
        <v>0</v>
      </c>
      <c r="BN22" s="1117">
        <f>VLOOKUP($E22,BK$442:BN$453,4,FALSE)*BK22*($K22)+(BK22-BL22-BM22)*(1-$K22)</f>
        <v>0</v>
      </c>
      <c r="BO22" s="1118"/>
      <c r="BR22" s="1154">
        <f>VLOOKUP($A22,'New Resources - Group'!$A$4:$Y$133,BR$2,FALSE)*BR$1</f>
        <v>0</v>
      </c>
      <c r="BS22" s="1116">
        <f>$G22+BR22</f>
        <v>494693042</v>
      </c>
      <c r="BT22" s="1117">
        <f>VLOOKUP($E22,BS$442:BV$453,2,FALSE)*BS22*($K22)+IF($G22&gt;0,($H22/$G22)*BS22,0)*(1-$K22)</f>
        <v>494693042</v>
      </c>
      <c r="BU22" s="1117">
        <f>VLOOKUP($E22,BS$442:BV$453,3,FALSE)*BS22*($K22)+IF($G22&gt;0,($I22/$G22)*BS22,0)*(1-$K22)</f>
        <v>0</v>
      </c>
      <c r="BV22" s="1117">
        <f>VLOOKUP($E22,BS$442:BV$453,4,FALSE)*BS22*($K22)+(BS22-BT22-BU22)*(1-$K22)</f>
        <v>0</v>
      </c>
      <c r="BW22" s="1118"/>
      <c r="BZ22" s="1154">
        <f>VLOOKUP($A22,'New Resources - Group'!$A$4:$Y$133,BZ$2,FALSE)*BZ$1</f>
        <v>0</v>
      </c>
      <c r="CA22" s="1116">
        <f>$G22+BZ22</f>
        <v>494693042</v>
      </c>
      <c r="CB22" s="1117">
        <f>VLOOKUP($E22,CA$442:CD$453,2,FALSE)*CA22*($K22)+IF($G22&gt;0,($H22/$G22)*CA22,0)*(1-$K22)</f>
        <v>494693042</v>
      </c>
      <c r="CC22" s="1117">
        <f>VLOOKUP($E22,CA$442:CD$453,3,FALSE)*CA22*($K22)+IF($G22&gt;0,($I22/$G22)*CA22,0)*(1-$K22)</f>
        <v>0</v>
      </c>
      <c r="CD22" s="1117">
        <f>VLOOKUP($E22,CA$442:CD$453,4,FALSE)*CA22*($K22)+(CA22-CB22-CC22)*(1-$K22)</f>
        <v>0</v>
      </c>
      <c r="CE22" s="1118"/>
      <c r="CH22" s="1154">
        <f>VLOOKUP($A22,'New Resources - Group'!$A$4:$Y$133,CH$2,FALSE)*CH$1</f>
        <v>0</v>
      </c>
      <c r="CI22" s="1116">
        <f>$G22+CH22</f>
        <v>494693042</v>
      </c>
      <c r="CJ22" s="1117">
        <f>VLOOKUP($E22,CI$442:CL$453,2,FALSE)*CI22*($K22)+IF($G22&gt;0,($H22/$G22)*CI22,0)*(1-$K22)</f>
        <v>494693042</v>
      </c>
      <c r="CK22" s="1117">
        <f>VLOOKUP($E22,CI$442:CL$453,3,FALSE)*CI22*($K22)+IF($G22&gt;0,($I22/$G22)*CI22,0)*(1-$K22)</f>
        <v>0</v>
      </c>
      <c r="CL22" s="1117">
        <f>VLOOKUP($E22,CI$442:CL$453,4,FALSE)*CI22*($K22)+(CI22-CJ22-CK22)*(1-$K22)</f>
        <v>0</v>
      </c>
      <c r="CM22" s="1118"/>
      <c r="CP22" s="1154">
        <f>VLOOKUP($A22,'New Resources - Group'!$A$4:$Y$133,CP$2,FALSE)*CP$1</f>
        <v>0</v>
      </c>
      <c r="CQ22" s="1116">
        <f>$G22+CP22</f>
        <v>494693042</v>
      </c>
      <c r="CR22" s="1117">
        <f>VLOOKUP($E22,CQ$442:CT$453,2,FALSE)*CQ22*($K22)+IF($G22&gt;0,($H22/$G22)*CQ22,0)*(1-$K22)</f>
        <v>494693042</v>
      </c>
      <c r="CS22" s="1117">
        <f>VLOOKUP($E22,CQ$442:CT$453,3,FALSE)*CQ22*($K22)+IF($G22&gt;0,($I22/$G22)*CQ22,0)*(1-$K22)</f>
        <v>0</v>
      </c>
      <c r="CT22" s="1117">
        <f>VLOOKUP($E22,CQ$442:CT$453,4,FALSE)*CQ22*($K22)+(CQ22-CR22-CS22)*(1-$K22)</f>
        <v>0</v>
      </c>
      <c r="CU22" s="1118"/>
      <c r="CX22" s="1154">
        <f>VLOOKUP($A22,'New Resources - Group'!$A$4:$Y$133,CX$2,FALSE)*CX$1</f>
        <v>0</v>
      </c>
      <c r="CY22" s="1116">
        <f>$G22+CX22</f>
        <v>494693042</v>
      </c>
      <c r="CZ22" s="1117">
        <f>VLOOKUP($E22,CY$442:DB$453,2,FALSE)*CY22*($K22)+IF($G22&gt;0,($H22/$G22)*CY22,0)*(1-$K22)</f>
        <v>494693042</v>
      </c>
      <c r="DA22" s="1117">
        <f>VLOOKUP($E22,CY$442:DB$453,3,FALSE)*CY22*($K22)+IF($G22&gt;0,($I22/$G22)*CY22,0)*(1-$K22)</f>
        <v>0</v>
      </c>
      <c r="DB22" s="1117">
        <f>VLOOKUP($E22,CY$442:DB$453,4,FALSE)*CY22*($K22)+(CY22-CZ22-DA22)*(1-$K22)</f>
        <v>0</v>
      </c>
      <c r="DC22" s="1118"/>
      <c r="DF22" s="1154">
        <f>VLOOKUP($A22,'New Resources - Group'!$A$4:$Y$133,DF$2,FALSE)*DF$1</f>
        <v>0</v>
      </c>
      <c r="DG22" s="1116">
        <f>$G22+DF22</f>
        <v>494693042</v>
      </c>
      <c r="DH22" s="1117">
        <f>VLOOKUP($E22,DG$442:DJ$453,2,FALSE)*DG22*($K22)+IF($G22&gt;0,($H22/$G22)*DG22,0)*(1-$K22)</f>
        <v>494693042</v>
      </c>
      <c r="DI22" s="1117">
        <f>VLOOKUP($E22,DG$442:DJ$453,3,FALSE)*DG22*($K22)+IF($G22&gt;0,($I22/$G22)*DG22,0)*(1-$K22)</f>
        <v>0</v>
      </c>
      <c r="DJ22" s="1117">
        <f>VLOOKUP($E22,DG$442:DJ$453,4,FALSE)*DG22*($K22)+(DG22-DH22-DI22)*(1-$K22)</f>
        <v>0</v>
      </c>
      <c r="DK22" s="1118"/>
      <c r="DN22" s="1154">
        <f>VLOOKUP($A22,'New Resources - Group'!$A$4:$Y$133,DN$2,FALSE)*DN$1</f>
        <v>0</v>
      </c>
      <c r="DO22" s="1116">
        <f>$G22+DN22</f>
        <v>494693042</v>
      </c>
      <c r="DP22" s="1117">
        <f>VLOOKUP($E22,DO$442:DR$453,2,FALSE)*DO22*($K22)+IF($G22&gt;0,($H22/$G22)*DO22,0)*(1-$K22)</f>
        <v>494693042</v>
      </c>
      <c r="DQ22" s="1117">
        <f>VLOOKUP($E22,DO$442:DR$453,3,FALSE)*DO22*($K22)+IF($G22&gt;0,($I22/$G22)*DO22,0)*(1-$K22)</f>
        <v>0</v>
      </c>
      <c r="DR22" s="1117">
        <f>VLOOKUP($E22,DO$442:DR$453,4,FALSE)*DO22*($K22)+(DO22-DP22-DQ22)*(1-$K22)</f>
        <v>0</v>
      </c>
      <c r="DS22" s="1118"/>
      <c r="DV22" s="1154">
        <f>VLOOKUP($A22,'New Resources - Group'!$A$4:$Y$133,DV$2,FALSE)*DV$1</f>
        <v>0</v>
      </c>
      <c r="DW22" s="1116">
        <f>$G22+DV22</f>
        <v>494693042</v>
      </c>
      <c r="DX22" s="1117">
        <f>VLOOKUP($E22,DW$442:DZ$453,2,FALSE)*DW22*($K22)+IF($G22&gt;0,($H22/$G22)*DW22,0)*(1-$K22)</f>
        <v>494693042</v>
      </c>
      <c r="DY22" s="1117">
        <f>VLOOKUP($E22,DW$442:DZ$453,3,FALSE)*DW22*($K22)+IF($G22&gt;0,($I22/$G22)*DW22,0)*(1-$K22)</f>
        <v>0</v>
      </c>
      <c r="DZ22" s="1117">
        <f>VLOOKUP($E22,DW$442:DZ$453,4,FALSE)*DW22*($K22)+(DW22-DX22-DY22)*(1-$K22)</f>
        <v>0</v>
      </c>
      <c r="EA22" s="1118"/>
      <c r="ED22" s="1154">
        <f>VLOOKUP($A22,'New Resources - Group'!$A$4:$Y$133,ED$2,FALSE)*ED$1</f>
        <v>0</v>
      </c>
      <c r="EE22" s="1116">
        <f>$G22+ED22</f>
        <v>494693042</v>
      </c>
      <c r="EF22" s="1117">
        <f>VLOOKUP($E22,EE$442:EH$453,2,FALSE)*EE22*($K22)+IF($G22&gt;0,($H22/$G22)*EE22,0)*(1-$K22)</f>
        <v>494693042</v>
      </c>
      <c r="EG22" s="1117">
        <f>VLOOKUP($E22,EE$442:EH$453,3,FALSE)*EE22*($K22)+IF($G22&gt;0,($I22/$G22)*EE22,0)*(1-$K22)</f>
        <v>0</v>
      </c>
      <c r="EH22" s="1117">
        <f>VLOOKUP($E22,EE$442:EH$453,4,FALSE)*EE22*($K22)+(EE22-EF22-EG22)*(1-$K22)</f>
        <v>0</v>
      </c>
      <c r="EI22" s="1118"/>
      <c r="EL22" s="1154">
        <f>VLOOKUP($A22,'New Resources - Group'!$A$4:$Y$133,EL$2,FALSE)*EL$1</f>
        <v>0</v>
      </c>
      <c r="EM22" s="1116">
        <f>$G22+EL22</f>
        <v>494693042</v>
      </c>
      <c r="EN22" s="1117">
        <f>VLOOKUP($E22,EM$442:EP$453,2,FALSE)*EM22*($K22)+IF($G22&gt;0,($H22/$G22)*EM22,0)*(1-$K22)</f>
        <v>494693042</v>
      </c>
      <c r="EO22" s="1117">
        <f>VLOOKUP($E22,EM$442:EP$453,3,FALSE)*EM22*($K22)+IF($G22&gt;0,($I22/$G22)*EM22,0)*(1-$K22)</f>
        <v>0</v>
      </c>
      <c r="EP22" s="1117">
        <f>VLOOKUP($E22,EM$442:EP$453,4,FALSE)*EM22*($K22)+(EM22-EN22-EO22)*(1-$K22)</f>
        <v>0</v>
      </c>
      <c r="EQ22" s="1118"/>
      <c r="ET22" s="1154">
        <f>VLOOKUP($A22,'New Resources - Group'!$A$4:$Y$133,ET$2,FALSE)*ET$1</f>
        <v>0</v>
      </c>
      <c r="EU22" s="1116">
        <f>$G22+ET22</f>
        <v>494693042</v>
      </c>
      <c r="EV22" s="1117">
        <f>VLOOKUP($E22,EU$442:EX$453,2,FALSE)*EU22*($K22)+IF($G22&gt;0,($H22/$G22)*EU22,0)*(1-$K22)</f>
        <v>494693042</v>
      </c>
      <c r="EW22" s="1117">
        <f>VLOOKUP($E22,EU$442:EX$453,3,FALSE)*EU22*($K22)+IF($G22&gt;0,($I22/$G22)*EU22,0)*(1-$K22)</f>
        <v>0</v>
      </c>
      <c r="EX22" s="1117">
        <f>VLOOKUP($E22,EU$442:EX$453,4,FALSE)*EU22*($K22)+(EU22-EV22-EW22)*(1-$K22)</f>
        <v>0</v>
      </c>
      <c r="EY22" s="1118"/>
      <c r="FB22" s="1154">
        <f>VLOOKUP($A22,'New Resources - Group'!$A$4:$Y$133,FB$2,FALSE)*FB$1</f>
        <v>0</v>
      </c>
      <c r="FC22" s="1116">
        <f>$G22+FB22</f>
        <v>494693042</v>
      </c>
      <c r="FD22" s="1117">
        <f>VLOOKUP($E22,FC$442:FF$453,2,FALSE)*FC22*($K22)+IF($G22&gt;0,($H22/$G22)*FC22,0)*(1-$K22)</f>
        <v>494693042</v>
      </c>
      <c r="FE22" s="1117">
        <f>VLOOKUP($E22,FC$442:FF$453,3,FALSE)*FC22*($K22)+IF($G22&gt;0,($I22/$G22)*FC22,0)*(1-$K22)</f>
        <v>0</v>
      </c>
      <c r="FF22" s="1117">
        <f>VLOOKUP($E22,FC$442:FF$453,4,FALSE)*FC22*($K22)+(FC22-FD22-FE22)*(1-$K22)</f>
        <v>0</v>
      </c>
      <c r="FG22" s="1118"/>
      <c r="FJ22" s="1154">
        <f>VLOOKUP($A22,'New Resources - Group'!$A$4:$Y$133,FJ$2,FALSE)*FJ$1</f>
        <v>0</v>
      </c>
      <c r="FK22" s="1116">
        <f>$G22+FJ22</f>
        <v>494693042</v>
      </c>
      <c r="FL22" s="1117">
        <f>VLOOKUP($E22,FK$442:FN$453,2,FALSE)*FK22*($K22)+IF($G22&gt;0,($H22/$G22)*FK22,0)*(1-$K22)</f>
        <v>494693042</v>
      </c>
      <c r="FM22" s="1117">
        <f>VLOOKUP($E22,FK$442:FN$453,3,FALSE)*FK22*($K22)+IF($G22&gt;0,($I22/$G22)*FK22,0)*(1-$K22)</f>
        <v>0</v>
      </c>
      <c r="FN22" s="1117">
        <f>VLOOKUP($E22,FK$442:FN$453,4,FALSE)*FK22*($K22)+(FK22-FL22-FM22)*(1-$K22)</f>
        <v>0</v>
      </c>
      <c r="FO22" s="1118"/>
    </row>
    <row r="23" spans="1:171">
      <c r="A23" s="1421">
        <v>250</v>
      </c>
      <c r="B23" s="220" t="s">
        <v>113</v>
      </c>
      <c r="C23" s="887" t="s">
        <v>70</v>
      </c>
      <c r="D23" s="888" t="s">
        <v>114</v>
      </c>
      <c r="E23" s="1542" t="str">
        <f>'Sch 1- Rate Base '!E23</f>
        <v>PROD</v>
      </c>
      <c r="F23" s="889"/>
      <c r="G23" s="890">
        <f>'Sch 1- Rate Base '!G23</f>
        <v>0</v>
      </c>
      <c r="H23" s="890">
        <f>'Sch 1- Rate Base '!H23</f>
        <v>0</v>
      </c>
      <c r="I23" s="890">
        <f>'Sch 1- Rate Base '!I23</f>
        <v>0</v>
      </c>
      <c r="J23" s="1416">
        <f>'Sch 1- Rate Base '!J23</f>
        <v>0</v>
      </c>
      <c r="K23" s="903">
        <f>IF($E23="DIRECT",0,1)</f>
        <v>1</v>
      </c>
      <c r="N23" s="1154">
        <f>VLOOKUP($A23,'New Resources - Group'!$A$4:$Y$133,N$2,FALSE)*N$1</f>
        <v>0</v>
      </c>
      <c r="O23" s="1116">
        <f>$G23+N23</f>
        <v>0</v>
      </c>
      <c r="P23" s="1117">
        <f>VLOOKUP($E23,O$442:R$453,2,FALSE)*O23*($K23)+IF($G23&gt;0,($H23/$G23)*O23,0)*(1-$K23)</f>
        <v>0</v>
      </c>
      <c r="Q23" s="1117">
        <f>VLOOKUP($E23,O$442:R$453,3,FALSE)*O23*($K23)+IF($G23&gt;0,($I23/$G23)*O23,0)*(1-$K23)</f>
        <v>0</v>
      </c>
      <c r="R23" s="1117">
        <f>VLOOKUP($E23,O$442:R$453,4,FALSE)*O23*($K23)+(O23-P23-Q23)*(1-$K23)</f>
        <v>0</v>
      </c>
      <c r="S23" s="1118"/>
      <c r="V23" s="1154">
        <f>VLOOKUP($A23,'New Resources - Group'!$A$4:$Y$133,V$2,FALSE)*V$1</f>
        <v>0</v>
      </c>
      <c r="W23" s="1116">
        <f>$G23+V23</f>
        <v>0</v>
      </c>
      <c r="X23" s="1117">
        <f>VLOOKUP($E23,W$442:Z$453,2,FALSE)*W23*($K23)+IF($G23&gt;0,($H23/$G23)*W23,0)*(1-$K23)</f>
        <v>0</v>
      </c>
      <c r="Y23" s="1117">
        <f>VLOOKUP($E23,W$442:Z$453,3,FALSE)*W23*($K23)+IF($G23&gt;0,($I23/$G23)*W23,0)*(1-$K23)</f>
        <v>0</v>
      </c>
      <c r="Z23" s="1117">
        <f>VLOOKUP($E23,W$442:Z$453,4,FALSE)*W23*($K23)+(W23-X23-Y23)*(1-$K23)</f>
        <v>0</v>
      </c>
      <c r="AA23" s="1118"/>
      <c r="AD23" s="1154">
        <f>VLOOKUP($A23,'New Resources - Group'!$A$4:$Y$133,AD$2,FALSE)*AD$1</f>
        <v>0</v>
      </c>
      <c r="AE23" s="1116">
        <f>$G23+AD23</f>
        <v>0</v>
      </c>
      <c r="AF23" s="1117">
        <f>VLOOKUP($E23,AE$442:AH$453,2,FALSE)*AE23*($K23)+IF($G23&gt;0,($H23/$G23)*AE23,0)*(1-$K23)</f>
        <v>0</v>
      </c>
      <c r="AG23" s="1117">
        <f>VLOOKUP($E23,AE$442:AH$453,3,FALSE)*AE23*($K23)+IF($G23&gt;0,($I23/$G23)*AE23,0)*(1-$K23)</f>
        <v>0</v>
      </c>
      <c r="AH23" s="1117">
        <f>VLOOKUP($E23,AE$442:AH$453,4,FALSE)*AE23*($K23)+(AE23-AF23-AG23)*(1-$K23)</f>
        <v>0</v>
      </c>
      <c r="AI23" s="1118"/>
      <c r="AL23" s="1154">
        <f>VLOOKUP($A23,'New Resources - Group'!$A$4:$Y$133,AL$2,FALSE)*AL$1</f>
        <v>0</v>
      </c>
      <c r="AM23" s="1116">
        <f>$G23+AL23</f>
        <v>0</v>
      </c>
      <c r="AN23" s="1117">
        <f>VLOOKUP($E23,AM$442:AP$453,2,FALSE)*AM23*($K23)+IF($G23&gt;0,($H23/$G23)*AM23,0)*(1-$K23)</f>
        <v>0</v>
      </c>
      <c r="AO23" s="1117">
        <f>VLOOKUP($E23,AM$442:AP$453,3,FALSE)*AM23*($K23)+IF($G23&gt;0,($I23/$G23)*AM23,0)*(1-$K23)</f>
        <v>0</v>
      </c>
      <c r="AP23" s="1117">
        <f>VLOOKUP($E23,AM$442:AP$453,4,FALSE)*AM23*($K23)+(AM23-AN23-AO23)*(1-$K23)</f>
        <v>0</v>
      </c>
      <c r="AQ23" s="1118"/>
      <c r="AT23" s="1154">
        <f>VLOOKUP($A23,'New Resources - Group'!$A$4:$Y$133,AT$2,FALSE)*AT$1</f>
        <v>0</v>
      </c>
      <c r="AU23" s="1116">
        <f>$G23+AT23</f>
        <v>0</v>
      </c>
      <c r="AV23" s="1117">
        <f>VLOOKUP($E23,AU$442:AX$453,2,FALSE)*AU23*($K23)+IF($G23&gt;0,($H23/$G23)*AU23,0)*(1-$K23)</f>
        <v>0</v>
      </c>
      <c r="AW23" s="1117">
        <f>VLOOKUP($E23,AU$442:AX$453,3,FALSE)*AU23*($K23)+IF($G23&gt;0,($I23/$G23)*AU23,0)*(1-$K23)</f>
        <v>0</v>
      </c>
      <c r="AX23" s="1117">
        <f>VLOOKUP($E23,AU$442:AX$453,4,FALSE)*AU23*($K23)+(AU23-AV23-AW23)*(1-$K23)</f>
        <v>0</v>
      </c>
      <c r="AY23" s="1118"/>
      <c r="BB23" s="1154">
        <f>VLOOKUP($A23,'New Resources - Group'!$A$4:$Y$133,BB$2,FALSE)*BB$1</f>
        <v>0</v>
      </c>
      <c r="BC23" s="1116">
        <f>$G23+BB23</f>
        <v>0</v>
      </c>
      <c r="BD23" s="1117">
        <f>VLOOKUP($E23,BC$442:BF$453,2,FALSE)*BC23*($K23)+IF($G23&gt;0,($H23/$G23)*BC23,0)*(1-$K23)</f>
        <v>0</v>
      </c>
      <c r="BE23" s="1117">
        <f>VLOOKUP($E23,BC$442:BF$453,3,FALSE)*BC23*($K23)+IF($G23&gt;0,($I23/$G23)*BC23,0)*(1-$K23)</f>
        <v>0</v>
      </c>
      <c r="BF23" s="1117">
        <f>VLOOKUP($E23,BC$442:BF$453,4,FALSE)*BC23*($K23)+(BC23-BD23-BE23)*(1-$K23)</f>
        <v>0</v>
      </c>
      <c r="BG23" s="1118"/>
      <c r="BJ23" s="1154">
        <f>VLOOKUP($A23,'New Resources - Group'!$A$4:$Y$133,BJ$2,FALSE)*BJ$1</f>
        <v>0</v>
      </c>
      <c r="BK23" s="1116">
        <f>$G23+BJ23</f>
        <v>0</v>
      </c>
      <c r="BL23" s="1117">
        <f>VLOOKUP($E23,BK$442:BN$453,2,FALSE)*BK23*($K23)+IF($G23&gt;0,($H23/$G23)*BK23,0)*(1-$K23)</f>
        <v>0</v>
      </c>
      <c r="BM23" s="1117">
        <f>VLOOKUP($E23,BK$442:BN$453,3,FALSE)*BK23*($K23)+IF($G23&gt;0,($I23/$G23)*BK23,0)*(1-$K23)</f>
        <v>0</v>
      </c>
      <c r="BN23" s="1117">
        <f>VLOOKUP($E23,BK$442:BN$453,4,FALSE)*BK23*($K23)+(BK23-BL23-BM23)*(1-$K23)</f>
        <v>0</v>
      </c>
      <c r="BO23" s="1118"/>
      <c r="BR23" s="1154">
        <f>VLOOKUP($A23,'New Resources - Group'!$A$4:$Y$133,BR$2,FALSE)*BR$1</f>
        <v>0</v>
      </c>
      <c r="BS23" s="1116">
        <f>$G23+BR23</f>
        <v>0</v>
      </c>
      <c r="BT23" s="1117">
        <f>VLOOKUP($E23,BS$442:BV$453,2,FALSE)*BS23*($K23)+IF($G23&gt;0,($H23/$G23)*BS23,0)*(1-$K23)</f>
        <v>0</v>
      </c>
      <c r="BU23" s="1117">
        <f>VLOOKUP($E23,BS$442:BV$453,3,FALSE)*BS23*($K23)+IF($G23&gt;0,($I23/$G23)*BS23,0)*(1-$K23)</f>
        <v>0</v>
      </c>
      <c r="BV23" s="1117">
        <f>VLOOKUP($E23,BS$442:BV$453,4,FALSE)*BS23*($K23)+(BS23-BT23-BU23)*(1-$K23)</f>
        <v>0</v>
      </c>
      <c r="BW23" s="1118"/>
      <c r="BZ23" s="1154">
        <f>VLOOKUP($A23,'New Resources - Group'!$A$4:$Y$133,BZ$2,FALSE)*BZ$1</f>
        <v>0</v>
      </c>
      <c r="CA23" s="1116">
        <f>$G23+BZ23</f>
        <v>0</v>
      </c>
      <c r="CB23" s="1117">
        <f>VLOOKUP($E23,CA$442:CD$453,2,FALSE)*CA23*($K23)+IF($G23&gt;0,($H23/$G23)*CA23,0)*(1-$K23)</f>
        <v>0</v>
      </c>
      <c r="CC23" s="1117">
        <f>VLOOKUP($E23,CA$442:CD$453,3,FALSE)*CA23*($K23)+IF($G23&gt;0,($I23/$G23)*CA23,0)*(1-$K23)</f>
        <v>0</v>
      </c>
      <c r="CD23" s="1117">
        <f>VLOOKUP($E23,CA$442:CD$453,4,FALSE)*CA23*($K23)+(CA23-CB23-CC23)*(1-$K23)</f>
        <v>0</v>
      </c>
      <c r="CE23" s="1118"/>
      <c r="CH23" s="1154">
        <f>VLOOKUP($A23,'New Resources - Group'!$A$4:$Y$133,CH$2,FALSE)*CH$1</f>
        <v>0</v>
      </c>
      <c r="CI23" s="1116">
        <f>$G23+CH23</f>
        <v>0</v>
      </c>
      <c r="CJ23" s="1117">
        <f>VLOOKUP($E23,CI$442:CL$453,2,FALSE)*CI23*($K23)+IF($G23&gt;0,($H23/$G23)*CI23,0)*(1-$K23)</f>
        <v>0</v>
      </c>
      <c r="CK23" s="1117">
        <f>VLOOKUP($E23,CI$442:CL$453,3,FALSE)*CI23*($K23)+IF($G23&gt;0,($I23/$G23)*CI23,0)*(1-$K23)</f>
        <v>0</v>
      </c>
      <c r="CL23" s="1117">
        <f>VLOOKUP($E23,CI$442:CL$453,4,FALSE)*CI23*($K23)+(CI23-CJ23-CK23)*(1-$K23)</f>
        <v>0</v>
      </c>
      <c r="CM23" s="1118"/>
      <c r="CP23" s="1154">
        <f>VLOOKUP($A23,'New Resources - Group'!$A$4:$Y$133,CP$2,FALSE)*CP$1</f>
        <v>0</v>
      </c>
      <c r="CQ23" s="1116">
        <f>$G23+CP23</f>
        <v>0</v>
      </c>
      <c r="CR23" s="1117">
        <f>VLOOKUP($E23,CQ$442:CT$453,2,FALSE)*CQ23*($K23)+IF($G23&gt;0,($H23/$G23)*CQ23,0)*(1-$K23)</f>
        <v>0</v>
      </c>
      <c r="CS23" s="1117">
        <f>VLOOKUP($E23,CQ$442:CT$453,3,FALSE)*CQ23*($K23)+IF($G23&gt;0,($I23/$G23)*CQ23,0)*(1-$K23)</f>
        <v>0</v>
      </c>
      <c r="CT23" s="1117">
        <f>VLOOKUP($E23,CQ$442:CT$453,4,FALSE)*CQ23*($K23)+(CQ23-CR23-CS23)*(1-$K23)</f>
        <v>0</v>
      </c>
      <c r="CU23" s="1118"/>
      <c r="CX23" s="1154">
        <f>VLOOKUP($A23,'New Resources - Group'!$A$4:$Y$133,CX$2,FALSE)*CX$1</f>
        <v>0</v>
      </c>
      <c r="CY23" s="1116">
        <f>$G23+CX23</f>
        <v>0</v>
      </c>
      <c r="CZ23" s="1117">
        <f>VLOOKUP($E23,CY$442:DB$453,2,FALSE)*CY23*($K23)+IF($G23&gt;0,($H23/$G23)*CY23,0)*(1-$K23)</f>
        <v>0</v>
      </c>
      <c r="DA23" s="1117">
        <f>VLOOKUP($E23,CY$442:DB$453,3,FALSE)*CY23*($K23)+IF($G23&gt;0,($I23/$G23)*CY23,0)*(1-$K23)</f>
        <v>0</v>
      </c>
      <c r="DB23" s="1117">
        <f>VLOOKUP($E23,CY$442:DB$453,4,FALSE)*CY23*($K23)+(CY23-CZ23-DA23)*(1-$K23)</f>
        <v>0</v>
      </c>
      <c r="DC23" s="1118"/>
      <c r="DF23" s="1154">
        <f>VLOOKUP($A23,'New Resources - Group'!$A$4:$Y$133,DF$2,FALSE)*DF$1</f>
        <v>0</v>
      </c>
      <c r="DG23" s="1116">
        <f>$G23+DF23</f>
        <v>0</v>
      </c>
      <c r="DH23" s="1117">
        <f>VLOOKUP($E23,DG$442:DJ$453,2,FALSE)*DG23*($K23)+IF($G23&gt;0,($H23/$G23)*DG23,0)*(1-$K23)</f>
        <v>0</v>
      </c>
      <c r="DI23" s="1117">
        <f>VLOOKUP($E23,DG$442:DJ$453,3,FALSE)*DG23*($K23)+IF($G23&gt;0,($I23/$G23)*DG23,0)*(1-$K23)</f>
        <v>0</v>
      </c>
      <c r="DJ23" s="1117">
        <f>VLOOKUP($E23,DG$442:DJ$453,4,FALSE)*DG23*($K23)+(DG23-DH23-DI23)*(1-$K23)</f>
        <v>0</v>
      </c>
      <c r="DK23" s="1118"/>
      <c r="DN23" s="1154">
        <f>VLOOKUP($A23,'New Resources - Group'!$A$4:$Y$133,DN$2,FALSE)*DN$1</f>
        <v>0</v>
      </c>
      <c r="DO23" s="1116">
        <f>$G23+DN23</f>
        <v>0</v>
      </c>
      <c r="DP23" s="1117">
        <f>VLOOKUP($E23,DO$442:DR$453,2,FALSE)*DO23*($K23)+IF($G23&gt;0,($H23/$G23)*DO23,0)*(1-$K23)</f>
        <v>0</v>
      </c>
      <c r="DQ23" s="1117">
        <f>VLOOKUP($E23,DO$442:DR$453,3,FALSE)*DO23*($K23)+IF($G23&gt;0,($I23/$G23)*DO23,0)*(1-$K23)</f>
        <v>0</v>
      </c>
      <c r="DR23" s="1117">
        <f>VLOOKUP($E23,DO$442:DR$453,4,FALSE)*DO23*($K23)+(DO23-DP23-DQ23)*(1-$K23)</f>
        <v>0</v>
      </c>
      <c r="DS23" s="1118"/>
      <c r="DV23" s="1154">
        <f>VLOOKUP($A23,'New Resources - Group'!$A$4:$Y$133,DV$2,FALSE)*DV$1</f>
        <v>0</v>
      </c>
      <c r="DW23" s="1116">
        <f>$G23+DV23</f>
        <v>0</v>
      </c>
      <c r="DX23" s="1117">
        <f>VLOOKUP($E23,DW$442:DZ$453,2,FALSE)*DW23*($K23)+IF($G23&gt;0,($H23/$G23)*DW23,0)*(1-$K23)</f>
        <v>0</v>
      </c>
      <c r="DY23" s="1117">
        <f>VLOOKUP($E23,DW$442:DZ$453,3,FALSE)*DW23*($K23)+IF($G23&gt;0,($I23/$G23)*DW23,0)*(1-$K23)</f>
        <v>0</v>
      </c>
      <c r="DZ23" s="1117">
        <f>VLOOKUP($E23,DW$442:DZ$453,4,FALSE)*DW23*($K23)+(DW23-DX23-DY23)*(1-$K23)</f>
        <v>0</v>
      </c>
      <c r="EA23" s="1118"/>
      <c r="ED23" s="1154">
        <f>VLOOKUP($A23,'New Resources - Group'!$A$4:$Y$133,ED$2,FALSE)*ED$1</f>
        <v>0</v>
      </c>
      <c r="EE23" s="1116">
        <f>$G23+ED23</f>
        <v>0</v>
      </c>
      <c r="EF23" s="1117">
        <f>VLOOKUP($E23,EE$442:EH$453,2,FALSE)*EE23*($K23)+IF($G23&gt;0,($H23/$G23)*EE23,0)*(1-$K23)</f>
        <v>0</v>
      </c>
      <c r="EG23" s="1117">
        <f>VLOOKUP($E23,EE$442:EH$453,3,FALSE)*EE23*($K23)+IF($G23&gt;0,($I23/$G23)*EE23,0)*(1-$K23)</f>
        <v>0</v>
      </c>
      <c r="EH23" s="1117">
        <f>VLOOKUP($E23,EE$442:EH$453,4,FALSE)*EE23*($K23)+(EE23-EF23-EG23)*(1-$K23)</f>
        <v>0</v>
      </c>
      <c r="EI23" s="1118"/>
      <c r="EL23" s="1154">
        <f>VLOOKUP($A23,'New Resources - Group'!$A$4:$Y$133,EL$2,FALSE)*EL$1</f>
        <v>0</v>
      </c>
      <c r="EM23" s="1116">
        <f>$G23+EL23</f>
        <v>0</v>
      </c>
      <c r="EN23" s="1117">
        <f>VLOOKUP($E23,EM$442:EP$453,2,FALSE)*EM23*($K23)+IF($G23&gt;0,($H23/$G23)*EM23,0)*(1-$K23)</f>
        <v>0</v>
      </c>
      <c r="EO23" s="1117">
        <f>VLOOKUP($E23,EM$442:EP$453,3,FALSE)*EM23*($K23)+IF($G23&gt;0,($I23/$G23)*EM23,0)*(1-$K23)</f>
        <v>0</v>
      </c>
      <c r="EP23" s="1117">
        <f>VLOOKUP($E23,EM$442:EP$453,4,FALSE)*EM23*($K23)+(EM23-EN23-EO23)*(1-$K23)</f>
        <v>0</v>
      </c>
      <c r="EQ23" s="1118"/>
      <c r="ET23" s="1154">
        <f>VLOOKUP($A23,'New Resources - Group'!$A$4:$Y$133,ET$2,FALSE)*ET$1</f>
        <v>0</v>
      </c>
      <c r="EU23" s="1116">
        <f>$G23+ET23</f>
        <v>0</v>
      </c>
      <c r="EV23" s="1117">
        <f>VLOOKUP($E23,EU$442:EX$453,2,FALSE)*EU23*($K23)+IF($G23&gt;0,($H23/$G23)*EU23,0)*(1-$K23)</f>
        <v>0</v>
      </c>
      <c r="EW23" s="1117">
        <f>VLOOKUP($E23,EU$442:EX$453,3,FALSE)*EU23*($K23)+IF($G23&gt;0,($I23/$G23)*EU23,0)*(1-$K23)</f>
        <v>0</v>
      </c>
      <c r="EX23" s="1117">
        <f>VLOOKUP($E23,EU$442:EX$453,4,FALSE)*EU23*($K23)+(EU23-EV23-EW23)*(1-$K23)</f>
        <v>0</v>
      </c>
      <c r="EY23" s="1118"/>
      <c r="FB23" s="1154">
        <f>VLOOKUP($A23,'New Resources - Group'!$A$4:$Y$133,FB$2,FALSE)*FB$1</f>
        <v>0</v>
      </c>
      <c r="FC23" s="1116">
        <f>$G23+FB23</f>
        <v>0</v>
      </c>
      <c r="FD23" s="1117">
        <f>VLOOKUP($E23,FC$442:FF$453,2,FALSE)*FC23*($K23)+IF($G23&gt;0,($H23/$G23)*FC23,0)*(1-$K23)</f>
        <v>0</v>
      </c>
      <c r="FE23" s="1117">
        <f>VLOOKUP($E23,FC$442:FF$453,3,FALSE)*FC23*($K23)+IF($G23&gt;0,($I23/$G23)*FC23,0)*(1-$K23)</f>
        <v>0</v>
      </c>
      <c r="FF23" s="1117">
        <f>VLOOKUP($E23,FC$442:FF$453,4,FALSE)*FC23*($K23)+(FC23-FD23-FE23)*(1-$K23)</f>
        <v>0</v>
      </c>
      <c r="FG23" s="1118"/>
      <c r="FJ23" s="1154">
        <f>VLOOKUP($A23,'New Resources - Group'!$A$4:$Y$133,FJ$2,FALSE)*FJ$1</f>
        <v>0</v>
      </c>
      <c r="FK23" s="1116">
        <f>$G23+FJ23</f>
        <v>0</v>
      </c>
      <c r="FL23" s="1117">
        <f>VLOOKUP($E23,FK$442:FN$453,2,FALSE)*FK23*($K23)+IF($G23&gt;0,($H23/$G23)*FK23,0)*(1-$K23)</f>
        <v>0</v>
      </c>
      <c r="FM23" s="1117">
        <f>VLOOKUP($E23,FK$442:FN$453,3,FALSE)*FK23*($K23)+IF($G23&gt;0,($I23/$G23)*FK23,0)*(1-$K23)</f>
        <v>0</v>
      </c>
      <c r="FN23" s="1117">
        <f>VLOOKUP($E23,FK$442:FN$453,4,FALSE)*FK23*($K23)+(FK23-FL23-FM23)*(1-$K23)</f>
        <v>0</v>
      </c>
      <c r="FO23" s="1118"/>
    </row>
    <row r="24" spans="1:171">
      <c r="A24" s="1421">
        <v>380</v>
      </c>
      <c r="B24" s="220" t="s">
        <v>115</v>
      </c>
      <c r="C24" s="887" t="s">
        <v>70</v>
      </c>
      <c r="D24" s="888" t="s">
        <v>116</v>
      </c>
      <c r="E24" s="1542" t="str">
        <f>'Sch 1- Rate Base '!E24</f>
        <v>PROD</v>
      </c>
      <c r="F24" s="889"/>
      <c r="G24" s="890">
        <f>'Sch 1- Rate Base '!G24</f>
        <v>791656686</v>
      </c>
      <c r="H24" s="890">
        <f>'Sch 1- Rate Base '!H24</f>
        <v>791656686</v>
      </c>
      <c r="I24" s="890">
        <f>'Sch 1- Rate Base '!I24</f>
        <v>0</v>
      </c>
      <c r="J24" s="1416">
        <f>'Sch 1- Rate Base '!J24</f>
        <v>0</v>
      </c>
      <c r="K24" s="903">
        <f>IF($E24="DIRECT",0,1)</f>
        <v>1</v>
      </c>
      <c r="N24" s="1154">
        <f>VLOOKUP($A24,'New Resources - Group'!$A$4:$Y$133,N$2,FALSE)*N$1</f>
        <v>0</v>
      </c>
      <c r="O24" s="1116">
        <f>$G24+N24</f>
        <v>791656686</v>
      </c>
      <c r="P24" s="1117">
        <f>VLOOKUP($E24,O$442:R$453,2,FALSE)*O24*($K24)+IF($G24&gt;0,($H24/$G24)*O24,0)*(1-$K24)</f>
        <v>791656686</v>
      </c>
      <c r="Q24" s="1117">
        <f>VLOOKUP($E24,O$442:R$453,3,FALSE)*O24*($K24)+IF($G24&gt;0,($I24/$G24)*O24,0)*(1-$K24)</f>
        <v>0</v>
      </c>
      <c r="R24" s="1117">
        <f>VLOOKUP($E24,O$442:R$453,4,FALSE)*O24*($K24)+(O24-P24-Q24)*(1-$K24)</f>
        <v>0</v>
      </c>
      <c r="S24" s="1118"/>
      <c r="V24" s="1154">
        <f>VLOOKUP($A24,'New Resources - Group'!$A$4:$Y$133,V$2,FALSE)*V$1</f>
        <v>0</v>
      </c>
      <c r="W24" s="1116">
        <f>$G24+V24</f>
        <v>791656686</v>
      </c>
      <c r="X24" s="1117">
        <f>VLOOKUP($E24,W$442:Z$453,2,FALSE)*W24*($K24)+IF($G24&gt;0,($H24/$G24)*W24,0)*(1-$K24)</f>
        <v>791656686</v>
      </c>
      <c r="Y24" s="1117">
        <f>VLOOKUP($E24,W$442:Z$453,3,FALSE)*W24*($K24)+IF($G24&gt;0,($I24/$G24)*W24,0)*(1-$K24)</f>
        <v>0</v>
      </c>
      <c r="Z24" s="1117">
        <f>VLOOKUP($E24,W$442:Z$453,4,FALSE)*W24*($K24)+(W24-X24-Y24)*(1-$K24)</f>
        <v>0</v>
      </c>
      <c r="AA24" s="1118"/>
      <c r="AD24" s="1154">
        <f>VLOOKUP($A24,'New Resources - Group'!$A$4:$Y$133,AD$2,FALSE)*AD$1</f>
        <v>0</v>
      </c>
      <c r="AE24" s="1116">
        <f>$G24+AD24</f>
        <v>791656686</v>
      </c>
      <c r="AF24" s="1117">
        <f>VLOOKUP($E24,AE$442:AH$453,2,FALSE)*AE24*($K24)+IF($G24&gt;0,($H24/$G24)*AE24,0)*(1-$K24)</f>
        <v>791656686</v>
      </c>
      <c r="AG24" s="1117">
        <f>VLOOKUP($E24,AE$442:AH$453,3,FALSE)*AE24*($K24)+IF($G24&gt;0,($I24/$G24)*AE24,0)*(1-$K24)</f>
        <v>0</v>
      </c>
      <c r="AH24" s="1117">
        <f>VLOOKUP($E24,AE$442:AH$453,4,FALSE)*AE24*($K24)+(AE24-AF24-AG24)*(1-$K24)</f>
        <v>0</v>
      </c>
      <c r="AI24" s="1118"/>
      <c r="AL24" s="1154">
        <f>VLOOKUP($A24,'New Resources - Group'!$A$4:$Y$133,AL$2,FALSE)*AL$1</f>
        <v>0</v>
      </c>
      <c r="AM24" s="1116">
        <f>$G24+AL24</f>
        <v>791656686</v>
      </c>
      <c r="AN24" s="1117">
        <f>VLOOKUP($E24,AM$442:AP$453,2,FALSE)*AM24*($K24)+IF($G24&gt;0,($H24/$G24)*AM24,0)*(1-$K24)</f>
        <v>791656686</v>
      </c>
      <c r="AO24" s="1117">
        <f>VLOOKUP($E24,AM$442:AP$453,3,FALSE)*AM24*($K24)+IF($G24&gt;0,($I24/$G24)*AM24,0)*(1-$K24)</f>
        <v>0</v>
      </c>
      <c r="AP24" s="1117">
        <f>VLOOKUP($E24,AM$442:AP$453,4,FALSE)*AM24*($K24)+(AM24-AN24-AO24)*(1-$K24)</f>
        <v>0</v>
      </c>
      <c r="AQ24" s="1118"/>
      <c r="AT24" s="1154">
        <f>VLOOKUP($A24,'New Resources - Group'!$A$4:$Y$133,AT$2,FALSE)*AT$1</f>
        <v>0</v>
      </c>
      <c r="AU24" s="1116">
        <f>$G24+AT24</f>
        <v>791656686</v>
      </c>
      <c r="AV24" s="1117">
        <f>VLOOKUP($E24,AU$442:AX$453,2,FALSE)*AU24*($K24)+IF($G24&gt;0,($H24/$G24)*AU24,0)*(1-$K24)</f>
        <v>791656686</v>
      </c>
      <c r="AW24" s="1117">
        <f>VLOOKUP($E24,AU$442:AX$453,3,FALSE)*AU24*($K24)+IF($G24&gt;0,($I24/$G24)*AU24,0)*(1-$K24)</f>
        <v>0</v>
      </c>
      <c r="AX24" s="1117">
        <f>VLOOKUP($E24,AU$442:AX$453,4,FALSE)*AU24*($K24)+(AU24-AV24-AW24)*(1-$K24)</f>
        <v>0</v>
      </c>
      <c r="AY24" s="1118"/>
      <c r="BB24" s="1154">
        <f>VLOOKUP($A24,'New Resources - Group'!$A$4:$Y$133,BB$2,FALSE)*BB$1</f>
        <v>0</v>
      </c>
      <c r="BC24" s="1116">
        <f>$G24+BB24</f>
        <v>791656686</v>
      </c>
      <c r="BD24" s="1117">
        <f>VLOOKUP($E24,BC$442:BF$453,2,FALSE)*BC24*($K24)+IF($G24&gt;0,($H24/$G24)*BC24,0)*(1-$K24)</f>
        <v>791656686</v>
      </c>
      <c r="BE24" s="1117">
        <f>VLOOKUP($E24,BC$442:BF$453,3,FALSE)*BC24*($K24)+IF($G24&gt;0,($I24/$G24)*BC24,0)*(1-$K24)</f>
        <v>0</v>
      </c>
      <c r="BF24" s="1117">
        <f>VLOOKUP($E24,BC$442:BF$453,4,FALSE)*BC24*($K24)+(BC24-BD24-BE24)*(1-$K24)</f>
        <v>0</v>
      </c>
      <c r="BG24" s="1118"/>
      <c r="BJ24" s="1154">
        <f>VLOOKUP($A24,'New Resources - Group'!$A$4:$Y$133,BJ$2,FALSE)*BJ$1</f>
        <v>0</v>
      </c>
      <c r="BK24" s="1116">
        <f>$G24+BJ24</f>
        <v>791656686</v>
      </c>
      <c r="BL24" s="1117">
        <f>VLOOKUP($E24,BK$442:BN$453,2,FALSE)*BK24*($K24)+IF($G24&gt;0,($H24/$G24)*BK24,0)*(1-$K24)</f>
        <v>791656686</v>
      </c>
      <c r="BM24" s="1117">
        <f>VLOOKUP($E24,BK$442:BN$453,3,FALSE)*BK24*($K24)+IF($G24&gt;0,($I24/$G24)*BK24,0)*(1-$K24)</f>
        <v>0</v>
      </c>
      <c r="BN24" s="1117">
        <f>VLOOKUP($E24,BK$442:BN$453,4,FALSE)*BK24*($K24)+(BK24-BL24-BM24)*(1-$K24)</f>
        <v>0</v>
      </c>
      <c r="BO24" s="1118"/>
      <c r="BR24" s="1154">
        <f>VLOOKUP($A24,'New Resources - Group'!$A$4:$Y$133,BR$2,FALSE)*BR$1</f>
        <v>0</v>
      </c>
      <c r="BS24" s="1116">
        <f>$G24+BR24</f>
        <v>791656686</v>
      </c>
      <c r="BT24" s="1117">
        <f>VLOOKUP($E24,BS$442:BV$453,2,FALSE)*BS24*($K24)+IF($G24&gt;0,($H24/$G24)*BS24,0)*(1-$K24)</f>
        <v>791656686</v>
      </c>
      <c r="BU24" s="1117">
        <f>VLOOKUP($E24,BS$442:BV$453,3,FALSE)*BS24*($K24)+IF($G24&gt;0,($I24/$G24)*BS24,0)*(1-$K24)</f>
        <v>0</v>
      </c>
      <c r="BV24" s="1117">
        <f>VLOOKUP($E24,BS$442:BV$453,4,FALSE)*BS24*($K24)+(BS24-BT24-BU24)*(1-$K24)</f>
        <v>0</v>
      </c>
      <c r="BW24" s="1118"/>
      <c r="BZ24" s="1154">
        <f>VLOOKUP($A24,'New Resources - Group'!$A$4:$Y$133,BZ$2,FALSE)*BZ$1</f>
        <v>0</v>
      </c>
      <c r="CA24" s="1116">
        <f>$G24+BZ24</f>
        <v>791656686</v>
      </c>
      <c r="CB24" s="1117">
        <f>VLOOKUP($E24,CA$442:CD$453,2,FALSE)*CA24*($K24)+IF($G24&gt;0,($H24/$G24)*CA24,0)*(1-$K24)</f>
        <v>791656686</v>
      </c>
      <c r="CC24" s="1117">
        <f>VLOOKUP($E24,CA$442:CD$453,3,FALSE)*CA24*($K24)+IF($G24&gt;0,($I24/$G24)*CA24,0)*(1-$K24)</f>
        <v>0</v>
      </c>
      <c r="CD24" s="1117">
        <f>VLOOKUP($E24,CA$442:CD$453,4,FALSE)*CA24*($K24)+(CA24-CB24-CC24)*(1-$K24)</f>
        <v>0</v>
      </c>
      <c r="CE24" s="1118"/>
      <c r="CH24" s="1154">
        <f>VLOOKUP($A24,'New Resources - Group'!$A$4:$Y$133,CH$2,FALSE)*CH$1</f>
        <v>0</v>
      </c>
      <c r="CI24" s="1116">
        <f>$G24+CH24</f>
        <v>791656686</v>
      </c>
      <c r="CJ24" s="1117">
        <f>VLOOKUP($E24,CI$442:CL$453,2,FALSE)*CI24*($K24)+IF($G24&gt;0,($H24/$G24)*CI24,0)*(1-$K24)</f>
        <v>791656686</v>
      </c>
      <c r="CK24" s="1117">
        <f>VLOOKUP($E24,CI$442:CL$453,3,FALSE)*CI24*($K24)+IF($G24&gt;0,($I24/$G24)*CI24,0)*(1-$K24)</f>
        <v>0</v>
      </c>
      <c r="CL24" s="1117">
        <f>VLOOKUP($E24,CI$442:CL$453,4,FALSE)*CI24*($K24)+(CI24-CJ24-CK24)*(1-$K24)</f>
        <v>0</v>
      </c>
      <c r="CM24" s="1118"/>
      <c r="CP24" s="1154">
        <f>VLOOKUP($A24,'New Resources - Group'!$A$4:$Y$133,CP$2,FALSE)*CP$1</f>
        <v>0</v>
      </c>
      <c r="CQ24" s="1116">
        <f>$G24+CP24</f>
        <v>791656686</v>
      </c>
      <c r="CR24" s="1117">
        <f>VLOOKUP($E24,CQ$442:CT$453,2,FALSE)*CQ24*($K24)+IF($G24&gt;0,($H24/$G24)*CQ24,0)*(1-$K24)</f>
        <v>791656686</v>
      </c>
      <c r="CS24" s="1117">
        <f>VLOOKUP($E24,CQ$442:CT$453,3,FALSE)*CQ24*($K24)+IF($G24&gt;0,($I24/$G24)*CQ24,0)*(1-$K24)</f>
        <v>0</v>
      </c>
      <c r="CT24" s="1117">
        <f>VLOOKUP($E24,CQ$442:CT$453,4,FALSE)*CQ24*($K24)+(CQ24-CR24-CS24)*(1-$K24)</f>
        <v>0</v>
      </c>
      <c r="CU24" s="1118"/>
      <c r="CX24" s="1154">
        <f>VLOOKUP($A24,'New Resources - Group'!$A$4:$Y$133,CX$2,FALSE)*CX$1</f>
        <v>0</v>
      </c>
      <c r="CY24" s="1116">
        <f>$G24+CX24</f>
        <v>791656686</v>
      </c>
      <c r="CZ24" s="1117">
        <f>VLOOKUP($E24,CY$442:DB$453,2,FALSE)*CY24*($K24)+IF($G24&gt;0,($H24/$G24)*CY24,0)*(1-$K24)</f>
        <v>791656686</v>
      </c>
      <c r="DA24" s="1117">
        <f>VLOOKUP($E24,CY$442:DB$453,3,FALSE)*CY24*($K24)+IF($G24&gt;0,($I24/$G24)*CY24,0)*(1-$K24)</f>
        <v>0</v>
      </c>
      <c r="DB24" s="1117">
        <f>VLOOKUP($E24,CY$442:DB$453,4,FALSE)*CY24*($K24)+(CY24-CZ24-DA24)*(1-$K24)</f>
        <v>0</v>
      </c>
      <c r="DC24" s="1118"/>
      <c r="DF24" s="1154">
        <f>VLOOKUP($A24,'New Resources - Group'!$A$4:$Y$133,DF$2,FALSE)*DF$1</f>
        <v>0</v>
      </c>
      <c r="DG24" s="1116">
        <f>$G24+DF24</f>
        <v>791656686</v>
      </c>
      <c r="DH24" s="1117">
        <f>VLOOKUP($E24,DG$442:DJ$453,2,FALSE)*DG24*($K24)+IF($G24&gt;0,($H24/$G24)*DG24,0)*(1-$K24)</f>
        <v>791656686</v>
      </c>
      <c r="DI24" s="1117">
        <f>VLOOKUP($E24,DG$442:DJ$453,3,FALSE)*DG24*($K24)+IF($G24&gt;0,($I24/$G24)*DG24,0)*(1-$K24)</f>
        <v>0</v>
      </c>
      <c r="DJ24" s="1117">
        <f>VLOOKUP($E24,DG$442:DJ$453,4,FALSE)*DG24*($K24)+(DG24-DH24-DI24)*(1-$K24)</f>
        <v>0</v>
      </c>
      <c r="DK24" s="1118"/>
      <c r="DN24" s="1154">
        <f>VLOOKUP($A24,'New Resources - Group'!$A$4:$Y$133,DN$2,FALSE)*DN$1</f>
        <v>0</v>
      </c>
      <c r="DO24" s="1116">
        <f>$G24+DN24</f>
        <v>791656686</v>
      </c>
      <c r="DP24" s="1117">
        <f>VLOOKUP($E24,DO$442:DR$453,2,FALSE)*DO24*($K24)+IF($G24&gt;0,($H24/$G24)*DO24,0)*(1-$K24)</f>
        <v>791656686</v>
      </c>
      <c r="DQ24" s="1117">
        <f>VLOOKUP($E24,DO$442:DR$453,3,FALSE)*DO24*($K24)+IF($G24&gt;0,($I24/$G24)*DO24,0)*(1-$K24)</f>
        <v>0</v>
      </c>
      <c r="DR24" s="1117">
        <f>VLOOKUP($E24,DO$442:DR$453,4,FALSE)*DO24*($K24)+(DO24-DP24-DQ24)*(1-$K24)</f>
        <v>0</v>
      </c>
      <c r="DS24" s="1118"/>
      <c r="DV24" s="1154">
        <f>VLOOKUP($A24,'New Resources - Group'!$A$4:$Y$133,DV$2,FALSE)*DV$1</f>
        <v>0</v>
      </c>
      <c r="DW24" s="1116">
        <f>$G24+DV24</f>
        <v>791656686</v>
      </c>
      <c r="DX24" s="1117">
        <f>VLOOKUP($E24,DW$442:DZ$453,2,FALSE)*DW24*($K24)+IF($G24&gt;0,($H24/$G24)*DW24,0)*(1-$K24)</f>
        <v>791656686</v>
      </c>
      <c r="DY24" s="1117">
        <f>VLOOKUP($E24,DW$442:DZ$453,3,FALSE)*DW24*($K24)+IF($G24&gt;0,($I24/$G24)*DW24,0)*(1-$K24)</f>
        <v>0</v>
      </c>
      <c r="DZ24" s="1117">
        <f>VLOOKUP($E24,DW$442:DZ$453,4,FALSE)*DW24*($K24)+(DW24-DX24-DY24)*(1-$K24)</f>
        <v>0</v>
      </c>
      <c r="EA24" s="1118"/>
      <c r="ED24" s="1154">
        <f>VLOOKUP($A24,'New Resources - Group'!$A$4:$Y$133,ED$2,FALSE)*ED$1</f>
        <v>0</v>
      </c>
      <c r="EE24" s="1116">
        <f>$G24+ED24</f>
        <v>791656686</v>
      </c>
      <c r="EF24" s="1117">
        <f>VLOOKUP($E24,EE$442:EH$453,2,FALSE)*EE24*($K24)+IF($G24&gt;0,($H24/$G24)*EE24,0)*(1-$K24)</f>
        <v>791656686</v>
      </c>
      <c r="EG24" s="1117">
        <f>VLOOKUP($E24,EE$442:EH$453,3,FALSE)*EE24*($K24)+IF($G24&gt;0,($I24/$G24)*EE24,0)*(1-$K24)</f>
        <v>0</v>
      </c>
      <c r="EH24" s="1117">
        <f>VLOOKUP($E24,EE$442:EH$453,4,FALSE)*EE24*($K24)+(EE24-EF24-EG24)*(1-$K24)</f>
        <v>0</v>
      </c>
      <c r="EI24" s="1118"/>
      <c r="EL24" s="1154">
        <f>VLOOKUP($A24,'New Resources - Group'!$A$4:$Y$133,EL$2,FALSE)*EL$1</f>
        <v>0</v>
      </c>
      <c r="EM24" s="1116">
        <f>$G24+EL24</f>
        <v>791656686</v>
      </c>
      <c r="EN24" s="1117">
        <f>VLOOKUP($E24,EM$442:EP$453,2,FALSE)*EM24*($K24)+IF($G24&gt;0,($H24/$G24)*EM24,0)*(1-$K24)</f>
        <v>791656686</v>
      </c>
      <c r="EO24" s="1117">
        <f>VLOOKUP($E24,EM$442:EP$453,3,FALSE)*EM24*($K24)+IF($G24&gt;0,($I24/$G24)*EM24,0)*(1-$K24)</f>
        <v>0</v>
      </c>
      <c r="EP24" s="1117">
        <f>VLOOKUP($E24,EM$442:EP$453,4,FALSE)*EM24*($K24)+(EM24-EN24-EO24)*(1-$K24)</f>
        <v>0</v>
      </c>
      <c r="EQ24" s="1118"/>
      <c r="ET24" s="1154">
        <f>VLOOKUP($A24,'New Resources - Group'!$A$4:$Y$133,ET$2,FALSE)*ET$1</f>
        <v>0</v>
      </c>
      <c r="EU24" s="1116">
        <f>$G24+ET24</f>
        <v>791656686</v>
      </c>
      <c r="EV24" s="1117">
        <f>VLOOKUP($E24,EU$442:EX$453,2,FALSE)*EU24*($K24)+IF($G24&gt;0,($H24/$G24)*EU24,0)*(1-$K24)</f>
        <v>791656686</v>
      </c>
      <c r="EW24" s="1117">
        <f>VLOOKUP($E24,EU$442:EX$453,3,FALSE)*EU24*($K24)+IF($G24&gt;0,($I24/$G24)*EU24,0)*(1-$K24)</f>
        <v>0</v>
      </c>
      <c r="EX24" s="1117">
        <f>VLOOKUP($E24,EU$442:EX$453,4,FALSE)*EU24*($K24)+(EU24-EV24-EW24)*(1-$K24)</f>
        <v>0</v>
      </c>
      <c r="EY24" s="1118"/>
      <c r="FB24" s="1154">
        <f>VLOOKUP($A24,'New Resources - Group'!$A$4:$Y$133,FB$2,FALSE)*FB$1</f>
        <v>0</v>
      </c>
      <c r="FC24" s="1116">
        <f>$G24+FB24</f>
        <v>791656686</v>
      </c>
      <c r="FD24" s="1117">
        <f>VLOOKUP($E24,FC$442:FF$453,2,FALSE)*FC24*($K24)+IF($G24&gt;0,($H24/$G24)*FC24,0)*(1-$K24)</f>
        <v>791656686</v>
      </c>
      <c r="FE24" s="1117">
        <f>VLOOKUP($E24,FC$442:FF$453,3,FALSE)*FC24*($K24)+IF($G24&gt;0,($I24/$G24)*FC24,0)*(1-$K24)</f>
        <v>0</v>
      </c>
      <c r="FF24" s="1117">
        <f>VLOOKUP($E24,FC$442:FF$453,4,FALSE)*FC24*($K24)+(FC24-FD24-FE24)*(1-$K24)</f>
        <v>0</v>
      </c>
      <c r="FG24" s="1118"/>
      <c r="FJ24" s="1154">
        <f>VLOOKUP($A24,'New Resources - Group'!$A$4:$Y$133,FJ$2,FALSE)*FJ$1</f>
        <v>0</v>
      </c>
      <c r="FK24" s="1116">
        <f>$G24+FJ24</f>
        <v>791656686</v>
      </c>
      <c r="FL24" s="1117">
        <f>VLOOKUP($E24,FK$442:FN$453,2,FALSE)*FK24*($K24)+IF($G24&gt;0,($H24/$G24)*FK24,0)*(1-$K24)</f>
        <v>791656686</v>
      </c>
      <c r="FM24" s="1117">
        <f>VLOOKUP($E24,FK$442:FN$453,3,FALSE)*FK24*($K24)+IF($G24&gt;0,($I24/$G24)*FK24,0)*(1-$K24)</f>
        <v>0</v>
      </c>
      <c r="FN24" s="1117">
        <f>VLOOKUP($E24,FK$442:FN$453,4,FALSE)*FK24*($K24)+(FK24-FL24-FM24)*(1-$K24)</f>
        <v>0</v>
      </c>
      <c r="FO24" s="1118"/>
    </row>
    <row r="25" spans="1:171">
      <c r="A25" s="1421">
        <v>480</v>
      </c>
      <c r="B25" s="220" t="s">
        <v>117</v>
      </c>
      <c r="C25" s="887" t="s">
        <v>70</v>
      </c>
      <c r="D25" s="888" t="s">
        <v>118</v>
      </c>
      <c r="E25" s="1542" t="str">
        <f>'Sch 1- Rate Base '!E25</f>
        <v>PROD</v>
      </c>
      <c r="F25" s="889"/>
      <c r="G25" s="890">
        <f>'Sch 1- Rate Base '!G25</f>
        <v>327526210</v>
      </c>
      <c r="H25" s="890">
        <f>'Sch 1- Rate Base '!H25</f>
        <v>327526210</v>
      </c>
      <c r="I25" s="890">
        <f>'Sch 1- Rate Base '!I25</f>
        <v>0</v>
      </c>
      <c r="J25" s="1416">
        <f>'Sch 1- Rate Base '!J25</f>
        <v>0</v>
      </c>
      <c r="K25" s="903">
        <f>IF($E25="DIRECT",0,1)</f>
        <v>1</v>
      </c>
      <c r="N25" s="1154">
        <f>VLOOKUP($A25,'New Resources - Group'!$A$4:$Y$133,N$2,FALSE)*N$1</f>
        <v>0</v>
      </c>
      <c r="O25" s="1116">
        <f>$G25+N25</f>
        <v>327526210</v>
      </c>
      <c r="P25" s="1117">
        <f>VLOOKUP($E25,O$442:R$453,2,FALSE)*O25*($K25)+IF($G25&gt;0,($H25/$G25)*O25,0)*(1-$K25)</f>
        <v>327526210</v>
      </c>
      <c r="Q25" s="1117">
        <f>VLOOKUP($E25,O$442:R$453,3,FALSE)*O25*($K25)+IF($G25&gt;0,($I25/$G25)*O25,0)*(1-$K25)</f>
        <v>0</v>
      </c>
      <c r="R25" s="1117">
        <f>VLOOKUP($E25,O$442:R$453,4,FALSE)*O25*($K25)+(O25-P25-Q25)*(1-$K25)</f>
        <v>0</v>
      </c>
      <c r="S25" s="1118"/>
      <c r="V25" s="1154">
        <f>VLOOKUP($A25,'New Resources - Group'!$A$4:$Y$133,V$2,FALSE)*V$1</f>
        <v>0</v>
      </c>
      <c r="W25" s="1116">
        <f>$G25+V25</f>
        <v>327526210</v>
      </c>
      <c r="X25" s="1117">
        <f>VLOOKUP($E25,W$442:Z$453,2,FALSE)*W25*($K25)+IF($G25&gt;0,($H25/$G25)*W25,0)*(1-$K25)</f>
        <v>327526210</v>
      </c>
      <c r="Y25" s="1117">
        <f>VLOOKUP($E25,W$442:Z$453,3,FALSE)*W25*($K25)+IF($G25&gt;0,($I25/$G25)*W25,0)*(1-$K25)</f>
        <v>0</v>
      </c>
      <c r="Z25" s="1117">
        <f>VLOOKUP($E25,W$442:Z$453,4,FALSE)*W25*($K25)+(W25-X25-Y25)*(1-$K25)</f>
        <v>0</v>
      </c>
      <c r="AA25" s="1118"/>
      <c r="AD25" s="1154">
        <f>VLOOKUP($A25,'New Resources - Group'!$A$4:$Y$133,AD$2,FALSE)*AD$1</f>
        <v>0</v>
      </c>
      <c r="AE25" s="1116">
        <f>$G25+AD25</f>
        <v>327526210</v>
      </c>
      <c r="AF25" s="1117">
        <f>VLOOKUP($E25,AE$442:AH$453,2,FALSE)*AE25*($K25)+IF($G25&gt;0,($H25/$G25)*AE25,0)*(1-$K25)</f>
        <v>327526210</v>
      </c>
      <c r="AG25" s="1117">
        <f>VLOOKUP($E25,AE$442:AH$453,3,FALSE)*AE25*($K25)+IF($G25&gt;0,($I25/$G25)*AE25,0)*(1-$K25)</f>
        <v>0</v>
      </c>
      <c r="AH25" s="1117">
        <f>VLOOKUP($E25,AE$442:AH$453,4,FALSE)*AE25*($K25)+(AE25-AF25-AG25)*(1-$K25)</f>
        <v>0</v>
      </c>
      <c r="AI25" s="1118"/>
      <c r="AL25" s="1154">
        <f>VLOOKUP($A25,'New Resources - Group'!$A$4:$Y$133,AL$2,FALSE)*AL$1</f>
        <v>0</v>
      </c>
      <c r="AM25" s="1116">
        <f>$G25+AL25</f>
        <v>327526210</v>
      </c>
      <c r="AN25" s="1117">
        <f>VLOOKUP($E25,AM$442:AP$453,2,FALSE)*AM25*($K25)+IF($G25&gt;0,($H25/$G25)*AM25,0)*(1-$K25)</f>
        <v>327526210</v>
      </c>
      <c r="AO25" s="1117">
        <f>VLOOKUP($E25,AM$442:AP$453,3,FALSE)*AM25*($K25)+IF($G25&gt;0,($I25/$G25)*AM25,0)*(1-$K25)</f>
        <v>0</v>
      </c>
      <c r="AP25" s="1117">
        <f>VLOOKUP($E25,AM$442:AP$453,4,FALSE)*AM25*($K25)+(AM25-AN25-AO25)*(1-$K25)</f>
        <v>0</v>
      </c>
      <c r="AQ25" s="1118"/>
      <c r="AT25" s="1154">
        <f>VLOOKUP($A25,'New Resources - Group'!$A$4:$Y$133,AT$2,FALSE)*AT$1</f>
        <v>0</v>
      </c>
      <c r="AU25" s="1116">
        <f>$G25+AT25</f>
        <v>327526210</v>
      </c>
      <c r="AV25" s="1117">
        <f>VLOOKUP($E25,AU$442:AX$453,2,FALSE)*AU25*($K25)+IF($G25&gt;0,($H25/$G25)*AU25,0)*(1-$K25)</f>
        <v>327526210</v>
      </c>
      <c r="AW25" s="1117">
        <f>VLOOKUP($E25,AU$442:AX$453,3,FALSE)*AU25*($K25)+IF($G25&gt;0,($I25/$G25)*AU25,0)*(1-$K25)</f>
        <v>0</v>
      </c>
      <c r="AX25" s="1117">
        <f>VLOOKUP($E25,AU$442:AX$453,4,FALSE)*AU25*($K25)+(AU25-AV25-AW25)*(1-$K25)</f>
        <v>0</v>
      </c>
      <c r="AY25" s="1118"/>
      <c r="BB25" s="1154">
        <f>VLOOKUP($A25,'New Resources - Group'!$A$4:$Y$133,BB$2,FALSE)*BB$1</f>
        <v>0</v>
      </c>
      <c r="BC25" s="1116">
        <f>$G25+BB25</f>
        <v>327526210</v>
      </c>
      <c r="BD25" s="1117">
        <f>VLOOKUP($E25,BC$442:BF$453,2,FALSE)*BC25*($K25)+IF($G25&gt;0,($H25/$G25)*BC25,0)*(1-$K25)</f>
        <v>327526210</v>
      </c>
      <c r="BE25" s="1117">
        <f>VLOOKUP($E25,BC$442:BF$453,3,FALSE)*BC25*($K25)+IF($G25&gt;0,($I25/$G25)*BC25,0)*(1-$K25)</f>
        <v>0</v>
      </c>
      <c r="BF25" s="1117">
        <f>VLOOKUP($E25,BC$442:BF$453,4,FALSE)*BC25*($K25)+(BC25-BD25-BE25)*(1-$K25)</f>
        <v>0</v>
      </c>
      <c r="BG25" s="1118"/>
      <c r="BJ25" s="1154">
        <f>VLOOKUP($A25,'New Resources - Group'!$A$4:$Y$133,BJ$2,FALSE)*BJ$1</f>
        <v>0</v>
      </c>
      <c r="BK25" s="1116">
        <f>$G25+BJ25</f>
        <v>327526210</v>
      </c>
      <c r="BL25" s="1117">
        <f>VLOOKUP($E25,BK$442:BN$453,2,FALSE)*BK25*($K25)+IF($G25&gt;0,($H25/$G25)*BK25,0)*(1-$K25)</f>
        <v>327526210</v>
      </c>
      <c r="BM25" s="1117">
        <f>VLOOKUP($E25,BK$442:BN$453,3,FALSE)*BK25*($K25)+IF($G25&gt;0,($I25/$G25)*BK25,0)*(1-$K25)</f>
        <v>0</v>
      </c>
      <c r="BN25" s="1117">
        <f>VLOOKUP($E25,BK$442:BN$453,4,FALSE)*BK25*($K25)+(BK25-BL25-BM25)*(1-$K25)</f>
        <v>0</v>
      </c>
      <c r="BO25" s="1118"/>
      <c r="BR25" s="1154">
        <f>VLOOKUP($A25,'New Resources - Group'!$A$4:$Y$133,BR$2,FALSE)*BR$1</f>
        <v>0</v>
      </c>
      <c r="BS25" s="1116">
        <f>$G25+BR25</f>
        <v>327526210</v>
      </c>
      <c r="BT25" s="1117">
        <f>VLOOKUP($E25,BS$442:BV$453,2,FALSE)*BS25*($K25)+IF($G25&gt;0,($H25/$G25)*BS25,0)*(1-$K25)</f>
        <v>327526210</v>
      </c>
      <c r="BU25" s="1117">
        <f>VLOOKUP($E25,BS$442:BV$453,3,FALSE)*BS25*($K25)+IF($G25&gt;0,($I25/$G25)*BS25,0)*(1-$K25)</f>
        <v>0</v>
      </c>
      <c r="BV25" s="1117">
        <f>VLOOKUP($E25,BS$442:BV$453,4,FALSE)*BS25*($K25)+(BS25-BT25-BU25)*(1-$K25)</f>
        <v>0</v>
      </c>
      <c r="BW25" s="1118"/>
      <c r="BZ25" s="1154">
        <f>VLOOKUP($A25,'New Resources - Group'!$A$4:$Y$133,BZ$2,FALSE)*BZ$1</f>
        <v>0</v>
      </c>
      <c r="CA25" s="1116">
        <f>$G25+BZ25</f>
        <v>327526210</v>
      </c>
      <c r="CB25" s="1117">
        <f>VLOOKUP($E25,CA$442:CD$453,2,FALSE)*CA25*($K25)+IF($G25&gt;0,($H25/$G25)*CA25,0)*(1-$K25)</f>
        <v>327526210</v>
      </c>
      <c r="CC25" s="1117">
        <f>VLOOKUP($E25,CA$442:CD$453,3,FALSE)*CA25*($K25)+IF($G25&gt;0,($I25/$G25)*CA25,0)*(1-$K25)</f>
        <v>0</v>
      </c>
      <c r="CD25" s="1117">
        <f>VLOOKUP($E25,CA$442:CD$453,4,FALSE)*CA25*($K25)+(CA25-CB25-CC25)*(1-$K25)</f>
        <v>0</v>
      </c>
      <c r="CE25" s="1118"/>
      <c r="CH25" s="1154">
        <f>VLOOKUP($A25,'New Resources - Group'!$A$4:$Y$133,CH$2,FALSE)*CH$1</f>
        <v>0</v>
      </c>
      <c r="CI25" s="1116">
        <f>$G25+CH25</f>
        <v>327526210</v>
      </c>
      <c r="CJ25" s="1117">
        <f>VLOOKUP($E25,CI$442:CL$453,2,FALSE)*CI25*($K25)+IF($G25&gt;0,($H25/$G25)*CI25,0)*(1-$K25)</f>
        <v>327526210</v>
      </c>
      <c r="CK25" s="1117">
        <f>VLOOKUP($E25,CI$442:CL$453,3,FALSE)*CI25*($K25)+IF($G25&gt;0,($I25/$G25)*CI25,0)*(1-$K25)</f>
        <v>0</v>
      </c>
      <c r="CL25" s="1117">
        <f>VLOOKUP($E25,CI$442:CL$453,4,FALSE)*CI25*($K25)+(CI25-CJ25-CK25)*(1-$K25)</f>
        <v>0</v>
      </c>
      <c r="CM25" s="1118"/>
      <c r="CP25" s="1154">
        <f>VLOOKUP($A25,'New Resources - Group'!$A$4:$Y$133,CP$2,FALSE)*CP$1</f>
        <v>0</v>
      </c>
      <c r="CQ25" s="1116">
        <f>$G25+CP25</f>
        <v>327526210</v>
      </c>
      <c r="CR25" s="1117">
        <f>VLOOKUP($E25,CQ$442:CT$453,2,FALSE)*CQ25*($K25)+IF($G25&gt;0,($H25/$G25)*CQ25,0)*(1-$K25)</f>
        <v>327526210</v>
      </c>
      <c r="CS25" s="1117">
        <f>VLOOKUP($E25,CQ$442:CT$453,3,FALSE)*CQ25*($K25)+IF($G25&gt;0,($I25/$G25)*CQ25,0)*(1-$K25)</f>
        <v>0</v>
      </c>
      <c r="CT25" s="1117">
        <f>VLOOKUP($E25,CQ$442:CT$453,4,FALSE)*CQ25*($K25)+(CQ25-CR25-CS25)*(1-$K25)</f>
        <v>0</v>
      </c>
      <c r="CU25" s="1118"/>
      <c r="CX25" s="1154">
        <f>VLOOKUP($A25,'New Resources - Group'!$A$4:$Y$133,CX$2,FALSE)*CX$1</f>
        <v>0</v>
      </c>
      <c r="CY25" s="1116">
        <f>$G25+CX25</f>
        <v>327526210</v>
      </c>
      <c r="CZ25" s="1117">
        <f>VLOOKUP($E25,CY$442:DB$453,2,FALSE)*CY25*($K25)+IF($G25&gt;0,($H25/$G25)*CY25,0)*(1-$K25)</f>
        <v>327526210</v>
      </c>
      <c r="DA25" s="1117">
        <f>VLOOKUP($E25,CY$442:DB$453,3,FALSE)*CY25*($K25)+IF($G25&gt;0,($I25/$G25)*CY25,0)*(1-$K25)</f>
        <v>0</v>
      </c>
      <c r="DB25" s="1117">
        <f>VLOOKUP($E25,CY$442:DB$453,4,FALSE)*CY25*($K25)+(CY25-CZ25-DA25)*(1-$K25)</f>
        <v>0</v>
      </c>
      <c r="DC25" s="1118"/>
      <c r="DF25" s="1154">
        <f>VLOOKUP($A25,'New Resources - Group'!$A$4:$Y$133,DF$2,FALSE)*DF$1</f>
        <v>0</v>
      </c>
      <c r="DG25" s="1116">
        <f>$G25+DF25</f>
        <v>327526210</v>
      </c>
      <c r="DH25" s="1117">
        <f>VLOOKUP($E25,DG$442:DJ$453,2,FALSE)*DG25*($K25)+IF($G25&gt;0,($H25/$G25)*DG25,0)*(1-$K25)</f>
        <v>327526210</v>
      </c>
      <c r="DI25" s="1117">
        <f>VLOOKUP($E25,DG$442:DJ$453,3,FALSE)*DG25*($K25)+IF($G25&gt;0,($I25/$G25)*DG25,0)*(1-$K25)</f>
        <v>0</v>
      </c>
      <c r="DJ25" s="1117">
        <f>VLOOKUP($E25,DG$442:DJ$453,4,FALSE)*DG25*($K25)+(DG25-DH25-DI25)*(1-$K25)</f>
        <v>0</v>
      </c>
      <c r="DK25" s="1118"/>
      <c r="DN25" s="1154">
        <f>VLOOKUP($A25,'New Resources - Group'!$A$4:$Y$133,DN$2,FALSE)*DN$1</f>
        <v>0</v>
      </c>
      <c r="DO25" s="1116">
        <f>$G25+DN25</f>
        <v>327526210</v>
      </c>
      <c r="DP25" s="1117">
        <f>VLOOKUP($E25,DO$442:DR$453,2,FALSE)*DO25*($K25)+IF($G25&gt;0,($H25/$G25)*DO25,0)*(1-$K25)</f>
        <v>327526210</v>
      </c>
      <c r="DQ25" s="1117">
        <f>VLOOKUP($E25,DO$442:DR$453,3,FALSE)*DO25*($K25)+IF($G25&gt;0,($I25/$G25)*DO25,0)*(1-$K25)</f>
        <v>0</v>
      </c>
      <c r="DR25" s="1117">
        <f>VLOOKUP($E25,DO$442:DR$453,4,FALSE)*DO25*($K25)+(DO25-DP25-DQ25)*(1-$K25)</f>
        <v>0</v>
      </c>
      <c r="DS25" s="1118"/>
      <c r="DV25" s="1154">
        <f>VLOOKUP($A25,'New Resources - Group'!$A$4:$Y$133,DV$2,FALSE)*DV$1</f>
        <v>0</v>
      </c>
      <c r="DW25" s="1116">
        <f>$G25+DV25</f>
        <v>327526210</v>
      </c>
      <c r="DX25" s="1117">
        <f>VLOOKUP($E25,DW$442:DZ$453,2,FALSE)*DW25*($K25)+IF($G25&gt;0,($H25/$G25)*DW25,0)*(1-$K25)</f>
        <v>327526210</v>
      </c>
      <c r="DY25" s="1117">
        <f>VLOOKUP($E25,DW$442:DZ$453,3,FALSE)*DW25*($K25)+IF($G25&gt;0,($I25/$G25)*DW25,0)*(1-$K25)</f>
        <v>0</v>
      </c>
      <c r="DZ25" s="1117">
        <f>VLOOKUP($E25,DW$442:DZ$453,4,FALSE)*DW25*($K25)+(DW25-DX25-DY25)*(1-$K25)</f>
        <v>0</v>
      </c>
      <c r="EA25" s="1118"/>
      <c r="ED25" s="1154">
        <f>VLOOKUP($A25,'New Resources - Group'!$A$4:$Y$133,ED$2,FALSE)*ED$1</f>
        <v>0</v>
      </c>
      <c r="EE25" s="1116">
        <f>$G25+ED25</f>
        <v>327526210</v>
      </c>
      <c r="EF25" s="1117">
        <f>VLOOKUP($E25,EE$442:EH$453,2,FALSE)*EE25*($K25)+IF($G25&gt;0,($H25/$G25)*EE25,0)*(1-$K25)</f>
        <v>327526210</v>
      </c>
      <c r="EG25" s="1117">
        <f>VLOOKUP($E25,EE$442:EH$453,3,FALSE)*EE25*($K25)+IF($G25&gt;0,($I25/$G25)*EE25,0)*(1-$K25)</f>
        <v>0</v>
      </c>
      <c r="EH25" s="1117">
        <f>VLOOKUP($E25,EE$442:EH$453,4,FALSE)*EE25*($K25)+(EE25-EF25-EG25)*(1-$K25)</f>
        <v>0</v>
      </c>
      <c r="EI25" s="1118"/>
      <c r="EL25" s="1154">
        <f>VLOOKUP($A25,'New Resources - Group'!$A$4:$Y$133,EL$2,FALSE)*EL$1</f>
        <v>0</v>
      </c>
      <c r="EM25" s="1116">
        <f>$G25+EL25</f>
        <v>327526210</v>
      </c>
      <c r="EN25" s="1117">
        <f>VLOOKUP($E25,EM$442:EP$453,2,FALSE)*EM25*($K25)+IF($G25&gt;0,($H25/$G25)*EM25,0)*(1-$K25)</f>
        <v>327526210</v>
      </c>
      <c r="EO25" s="1117">
        <f>VLOOKUP($E25,EM$442:EP$453,3,FALSE)*EM25*($K25)+IF($G25&gt;0,($I25/$G25)*EM25,0)*(1-$K25)</f>
        <v>0</v>
      </c>
      <c r="EP25" s="1117">
        <f>VLOOKUP($E25,EM$442:EP$453,4,FALSE)*EM25*($K25)+(EM25-EN25-EO25)*(1-$K25)</f>
        <v>0</v>
      </c>
      <c r="EQ25" s="1118"/>
      <c r="ET25" s="1154">
        <f>VLOOKUP($A25,'New Resources - Group'!$A$4:$Y$133,ET$2,FALSE)*ET$1</f>
        <v>0</v>
      </c>
      <c r="EU25" s="1116">
        <f>$G25+ET25</f>
        <v>327526210</v>
      </c>
      <c r="EV25" s="1117">
        <f>VLOOKUP($E25,EU$442:EX$453,2,FALSE)*EU25*($K25)+IF($G25&gt;0,($H25/$G25)*EU25,0)*(1-$K25)</f>
        <v>327526210</v>
      </c>
      <c r="EW25" s="1117">
        <f>VLOOKUP($E25,EU$442:EX$453,3,FALSE)*EU25*($K25)+IF($G25&gt;0,($I25/$G25)*EU25,0)*(1-$K25)</f>
        <v>0</v>
      </c>
      <c r="EX25" s="1117">
        <f>VLOOKUP($E25,EU$442:EX$453,4,FALSE)*EU25*($K25)+(EU25-EV25-EW25)*(1-$K25)</f>
        <v>0</v>
      </c>
      <c r="EY25" s="1118"/>
      <c r="FB25" s="1154">
        <f>VLOOKUP($A25,'New Resources - Group'!$A$4:$Y$133,FB$2,FALSE)*FB$1</f>
        <v>0</v>
      </c>
      <c r="FC25" s="1116">
        <f>$G25+FB25</f>
        <v>327526210</v>
      </c>
      <c r="FD25" s="1117">
        <f>VLOOKUP($E25,FC$442:FF$453,2,FALSE)*FC25*($K25)+IF($G25&gt;0,($H25/$G25)*FC25,0)*(1-$K25)</f>
        <v>327526210</v>
      </c>
      <c r="FE25" s="1117">
        <f>VLOOKUP($E25,FC$442:FF$453,3,FALSE)*FC25*($K25)+IF($G25&gt;0,($I25/$G25)*FC25,0)*(1-$K25)</f>
        <v>0</v>
      </c>
      <c r="FF25" s="1117">
        <f>VLOOKUP($E25,FC$442:FF$453,4,FALSE)*FC25*($K25)+(FC25-FD25-FE25)*(1-$K25)</f>
        <v>0</v>
      </c>
      <c r="FG25" s="1118"/>
      <c r="FJ25" s="1154">
        <f>VLOOKUP($A25,'New Resources - Group'!$A$4:$Y$133,FJ$2,FALSE)*FJ$1</f>
        <v>0</v>
      </c>
      <c r="FK25" s="1116">
        <f>$G25+FJ25</f>
        <v>327526210</v>
      </c>
      <c r="FL25" s="1117">
        <f>VLOOKUP($E25,FK$442:FN$453,2,FALSE)*FK25*($K25)+IF($G25&gt;0,($H25/$G25)*FK25,0)*(1-$K25)</f>
        <v>327526210</v>
      </c>
      <c r="FM25" s="1117">
        <f>VLOOKUP($E25,FK$442:FN$453,3,FALSE)*FK25*($K25)+IF($G25&gt;0,($I25/$G25)*FK25,0)*(1-$K25)</f>
        <v>0</v>
      </c>
      <c r="FN25" s="1117">
        <f>VLOOKUP($E25,FK$442:FN$453,4,FALSE)*FK25*($K25)+(FK25-FL25-FM25)*(1-$K25)</f>
        <v>0</v>
      </c>
      <c r="FO25" s="1118"/>
    </row>
    <row r="26" spans="1:171">
      <c r="A26" s="1418" t="s">
        <v>119</v>
      </c>
      <c r="B26" s="897"/>
      <c r="C26" s="894"/>
      <c r="D26" s="895"/>
      <c r="E26" s="1543"/>
      <c r="F26" s="896"/>
      <c r="G26" s="905">
        <f>SUM(G22:G25)</f>
        <v>1613875938</v>
      </c>
      <c r="H26" s="905">
        <f>SUM(H22:H25)</f>
        <v>1613875938</v>
      </c>
      <c r="I26" s="905">
        <f>SUM(I22:I25)</f>
        <v>0</v>
      </c>
      <c r="J26" s="1417">
        <f>SUM(J22:J25)</f>
        <v>0</v>
      </c>
      <c r="K26" s="903"/>
      <c r="O26" s="905">
        <f>SUM(O22:O25)</f>
        <v>1613875938</v>
      </c>
      <c r="P26" s="905">
        <f>SUM(P22:P25)</f>
        <v>1613875938</v>
      </c>
      <c r="Q26" s="905">
        <f>SUM(Q22:Q25)</f>
        <v>0</v>
      </c>
      <c r="R26" s="905">
        <f>SUM(R22:R25)</f>
        <v>0</v>
      </c>
      <c r="S26" s="1118"/>
      <c r="W26" s="905">
        <f>SUM(W22:W25)</f>
        <v>1613875938</v>
      </c>
      <c r="X26" s="905">
        <f>SUM(X22:X25)</f>
        <v>1613875938</v>
      </c>
      <c r="Y26" s="905">
        <f>SUM(Y22:Y25)</f>
        <v>0</v>
      </c>
      <c r="Z26" s="905">
        <f>SUM(Z22:Z25)</f>
        <v>0</v>
      </c>
      <c r="AA26" s="1118"/>
      <c r="AE26" s="905">
        <f>SUM(AE22:AE25)</f>
        <v>1613875938</v>
      </c>
      <c r="AF26" s="905">
        <f>SUM(AF22:AF25)</f>
        <v>1613875938</v>
      </c>
      <c r="AG26" s="905">
        <f>SUM(AG22:AG25)</f>
        <v>0</v>
      </c>
      <c r="AH26" s="905">
        <f>SUM(AH22:AH25)</f>
        <v>0</v>
      </c>
      <c r="AI26" s="1118"/>
      <c r="AM26" s="905">
        <f>SUM(AM22:AM25)</f>
        <v>1613875938</v>
      </c>
      <c r="AN26" s="905">
        <f>SUM(AN22:AN25)</f>
        <v>1613875938</v>
      </c>
      <c r="AO26" s="905">
        <f>SUM(AO22:AO25)</f>
        <v>0</v>
      </c>
      <c r="AP26" s="905">
        <f>SUM(AP22:AP25)</f>
        <v>0</v>
      </c>
      <c r="AQ26" s="1118"/>
      <c r="AU26" s="905">
        <f>SUM(AU22:AU25)</f>
        <v>1613875938</v>
      </c>
      <c r="AV26" s="905">
        <f>SUM(AV22:AV25)</f>
        <v>1613875938</v>
      </c>
      <c r="AW26" s="905">
        <f>SUM(AW22:AW25)</f>
        <v>0</v>
      </c>
      <c r="AX26" s="905">
        <f>SUM(AX22:AX25)</f>
        <v>0</v>
      </c>
      <c r="AY26" s="1118"/>
      <c r="BC26" s="905">
        <f>SUM(BC22:BC25)</f>
        <v>1613875938</v>
      </c>
      <c r="BD26" s="905">
        <f>SUM(BD22:BD25)</f>
        <v>1613875938</v>
      </c>
      <c r="BE26" s="905">
        <f>SUM(BE22:BE25)</f>
        <v>0</v>
      </c>
      <c r="BF26" s="905">
        <f>SUM(BF22:BF25)</f>
        <v>0</v>
      </c>
      <c r="BG26" s="1118"/>
      <c r="BK26" s="905">
        <f>SUM(BK22:BK25)</f>
        <v>1613875938</v>
      </c>
      <c r="BL26" s="905">
        <f>SUM(BL22:BL25)</f>
        <v>1613875938</v>
      </c>
      <c r="BM26" s="905">
        <f>SUM(BM22:BM25)</f>
        <v>0</v>
      </c>
      <c r="BN26" s="905">
        <f>SUM(BN22:BN25)</f>
        <v>0</v>
      </c>
      <c r="BO26" s="1118"/>
      <c r="BS26" s="905">
        <f>SUM(BS22:BS25)</f>
        <v>1613875938</v>
      </c>
      <c r="BT26" s="905">
        <f>SUM(BT22:BT25)</f>
        <v>1613875938</v>
      </c>
      <c r="BU26" s="905">
        <f>SUM(BU22:BU25)</f>
        <v>0</v>
      </c>
      <c r="BV26" s="905">
        <f>SUM(BV22:BV25)</f>
        <v>0</v>
      </c>
      <c r="BW26" s="1118"/>
      <c r="CA26" s="905">
        <f>SUM(CA22:CA25)</f>
        <v>1613875938</v>
      </c>
      <c r="CB26" s="905">
        <f>SUM(CB22:CB25)</f>
        <v>1613875938</v>
      </c>
      <c r="CC26" s="905">
        <f>SUM(CC22:CC25)</f>
        <v>0</v>
      </c>
      <c r="CD26" s="905">
        <f>SUM(CD22:CD25)</f>
        <v>0</v>
      </c>
      <c r="CE26" s="1118"/>
      <c r="CI26" s="905">
        <f>SUM(CI22:CI25)</f>
        <v>1613875938</v>
      </c>
      <c r="CJ26" s="905">
        <f>SUM(CJ22:CJ25)</f>
        <v>1613875938</v>
      </c>
      <c r="CK26" s="905">
        <f>SUM(CK22:CK25)</f>
        <v>0</v>
      </c>
      <c r="CL26" s="905">
        <f>SUM(CL22:CL25)</f>
        <v>0</v>
      </c>
      <c r="CM26" s="1118"/>
      <c r="CQ26" s="905">
        <f>SUM(CQ22:CQ25)</f>
        <v>1613875938</v>
      </c>
      <c r="CR26" s="905">
        <f>SUM(CR22:CR25)</f>
        <v>1613875938</v>
      </c>
      <c r="CS26" s="905">
        <f>SUM(CS22:CS25)</f>
        <v>0</v>
      </c>
      <c r="CT26" s="905">
        <f>SUM(CT22:CT25)</f>
        <v>0</v>
      </c>
      <c r="CU26" s="1118"/>
      <c r="CY26" s="905">
        <f>SUM(CY22:CY25)</f>
        <v>1613875938</v>
      </c>
      <c r="CZ26" s="905">
        <f>SUM(CZ22:CZ25)</f>
        <v>1613875938</v>
      </c>
      <c r="DA26" s="905">
        <f>SUM(DA22:DA25)</f>
        <v>0</v>
      </c>
      <c r="DB26" s="905">
        <f>SUM(DB22:DB25)</f>
        <v>0</v>
      </c>
      <c r="DC26" s="1118"/>
      <c r="DG26" s="905">
        <f>SUM(DG22:DG25)</f>
        <v>1613875938</v>
      </c>
      <c r="DH26" s="905">
        <f>SUM(DH22:DH25)</f>
        <v>1613875938</v>
      </c>
      <c r="DI26" s="905">
        <f>SUM(DI22:DI25)</f>
        <v>0</v>
      </c>
      <c r="DJ26" s="905">
        <f>SUM(DJ22:DJ25)</f>
        <v>0</v>
      </c>
      <c r="DK26" s="1118"/>
      <c r="DO26" s="905">
        <f>SUM(DO22:DO25)</f>
        <v>1613875938</v>
      </c>
      <c r="DP26" s="905">
        <f>SUM(DP22:DP25)</f>
        <v>1613875938</v>
      </c>
      <c r="DQ26" s="905">
        <f>SUM(DQ22:DQ25)</f>
        <v>0</v>
      </c>
      <c r="DR26" s="905">
        <f>SUM(DR22:DR25)</f>
        <v>0</v>
      </c>
      <c r="DS26" s="1118"/>
      <c r="DW26" s="905">
        <f>SUM(DW22:DW25)</f>
        <v>1613875938</v>
      </c>
      <c r="DX26" s="905">
        <f>SUM(DX22:DX25)</f>
        <v>1613875938</v>
      </c>
      <c r="DY26" s="905">
        <f>SUM(DY22:DY25)</f>
        <v>0</v>
      </c>
      <c r="DZ26" s="905">
        <f>SUM(DZ22:DZ25)</f>
        <v>0</v>
      </c>
      <c r="EA26" s="1118"/>
      <c r="EE26" s="905">
        <f>SUM(EE22:EE25)</f>
        <v>1613875938</v>
      </c>
      <c r="EF26" s="905">
        <f>SUM(EF22:EF25)</f>
        <v>1613875938</v>
      </c>
      <c r="EG26" s="905">
        <f>SUM(EG22:EG25)</f>
        <v>0</v>
      </c>
      <c r="EH26" s="905">
        <f>SUM(EH22:EH25)</f>
        <v>0</v>
      </c>
      <c r="EI26" s="1118"/>
      <c r="EM26" s="905">
        <f>SUM(EM22:EM25)</f>
        <v>1613875938</v>
      </c>
      <c r="EN26" s="905">
        <f>SUM(EN22:EN25)</f>
        <v>1613875938</v>
      </c>
      <c r="EO26" s="905">
        <f>SUM(EO22:EO25)</f>
        <v>0</v>
      </c>
      <c r="EP26" s="905">
        <f>SUM(EP22:EP25)</f>
        <v>0</v>
      </c>
      <c r="EQ26" s="1118"/>
      <c r="EU26" s="905">
        <f>SUM(EU22:EU25)</f>
        <v>1613875938</v>
      </c>
      <c r="EV26" s="905">
        <f>SUM(EV22:EV25)</f>
        <v>1613875938</v>
      </c>
      <c r="EW26" s="905">
        <f>SUM(EW22:EW25)</f>
        <v>0</v>
      </c>
      <c r="EX26" s="905">
        <f>SUM(EX22:EX25)</f>
        <v>0</v>
      </c>
      <c r="EY26" s="1118"/>
      <c r="FC26" s="905">
        <f>SUM(FC22:FC25)</f>
        <v>1613875938</v>
      </c>
      <c r="FD26" s="905">
        <f>SUM(FD22:FD25)</f>
        <v>1613875938</v>
      </c>
      <c r="FE26" s="905">
        <f>SUM(FE22:FE25)</f>
        <v>0</v>
      </c>
      <c r="FF26" s="905">
        <f>SUM(FF22:FF25)</f>
        <v>0</v>
      </c>
      <c r="FG26" s="1118"/>
      <c r="FK26" s="905">
        <f>SUM(FK22:FK25)</f>
        <v>1613875938</v>
      </c>
      <c r="FL26" s="905">
        <f>SUM(FL22:FL25)</f>
        <v>1613875938</v>
      </c>
      <c r="FM26" s="905">
        <f>SUM(FM22:FM25)</f>
        <v>0</v>
      </c>
      <c r="FN26" s="905">
        <f>SUM(FN22:FN25)</f>
        <v>0</v>
      </c>
      <c r="FO26" s="1118"/>
    </row>
    <row r="27" spans="1:171">
      <c r="A27" s="1422"/>
      <c r="B27" s="907"/>
      <c r="C27" s="51"/>
      <c r="D27" s="51"/>
      <c r="E27" s="1545"/>
      <c r="F27" s="908"/>
      <c r="J27" s="1414"/>
      <c r="K27" s="903"/>
      <c r="S27" s="1118"/>
      <c r="AA27" s="1118"/>
      <c r="AI27" s="1118"/>
      <c r="AQ27" s="1118"/>
      <c r="AY27" s="1118"/>
      <c r="BG27" s="1118"/>
      <c r="BO27" s="1118"/>
      <c r="BW27" s="1118"/>
      <c r="CE27" s="1118"/>
      <c r="CM27" s="1118"/>
      <c r="CU27" s="1118"/>
      <c r="DC27" s="1118"/>
      <c r="DK27" s="1118"/>
      <c r="DS27" s="1118"/>
      <c r="EA27" s="1118"/>
      <c r="EI27" s="1118"/>
      <c r="EQ27" s="1118"/>
      <c r="EY27" s="1118"/>
      <c r="FG27" s="1118"/>
      <c r="FO27" s="1118"/>
    </row>
    <row r="28" spans="1:171">
      <c r="A28" s="1342" t="s">
        <v>142</v>
      </c>
      <c r="B28" s="220"/>
      <c r="C28" s="55"/>
      <c r="D28" s="55"/>
      <c r="E28" s="1545"/>
      <c r="F28" s="180"/>
      <c r="J28" s="1414"/>
      <c r="K28" s="903"/>
      <c r="S28" s="1118"/>
      <c r="AA28" s="1118"/>
      <c r="AI28" s="1118"/>
      <c r="AQ28" s="1118"/>
      <c r="AY28" s="1118"/>
      <c r="BG28" s="1118"/>
      <c r="BO28" s="1118"/>
      <c r="BW28" s="1118"/>
      <c r="CE28" s="1118"/>
      <c r="CM28" s="1118"/>
      <c r="CU28" s="1118"/>
      <c r="DC28" s="1118"/>
      <c r="DK28" s="1118"/>
      <c r="DS28" s="1118"/>
      <c r="EA28" s="1118"/>
      <c r="EI28" s="1118"/>
      <c r="EQ28" s="1118"/>
      <c r="EY28" s="1118"/>
      <c r="FG28" s="1118"/>
      <c r="FO28" s="1118"/>
    </row>
    <row r="29" spans="1:171">
      <c r="A29" s="1421">
        <v>840</v>
      </c>
      <c r="B29" s="220" t="s">
        <v>530</v>
      </c>
      <c r="C29" s="887" t="s">
        <v>70</v>
      </c>
      <c r="D29" s="888" t="s">
        <v>120</v>
      </c>
      <c r="E29" s="1542" t="str">
        <f>'Sch 1- Rate Base '!E29</f>
        <v>TRANS</v>
      </c>
      <c r="F29" s="889"/>
      <c r="G29" s="890">
        <f>'Sch 1- Rate Base '!G29</f>
        <v>1057719030</v>
      </c>
      <c r="H29" s="890">
        <f>'Sch 1- Rate Base '!H29</f>
        <v>0</v>
      </c>
      <c r="I29" s="890">
        <f>'Sch 1- Rate Base '!I29</f>
        <v>0</v>
      </c>
      <c r="J29" s="1416">
        <f>'Sch 1- Rate Base '!J29</f>
        <v>1057719030</v>
      </c>
      <c r="K29" s="903">
        <f>IF($E29="DIRECT",0,1)</f>
        <v>1</v>
      </c>
      <c r="N29" s="1154">
        <f>VLOOKUP($A29,'New Resources - Group'!$A$4:$Y$133,N$2,FALSE)*N$1</f>
        <v>0</v>
      </c>
      <c r="O29" s="1116">
        <f>$G29+N29</f>
        <v>1057719030</v>
      </c>
      <c r="P29" s="1117">
        <f>VLOOKUP($E29,O$442:R$453,2,FALSE)*O29*($K29)+IF($G29&gt;0,($H29/$G29)*O29,0)*(1-$K29)</f>
        <v>0</v>
      </c>
      <c r="Q29" s="1117">
        <f>VLOOKUP($E29,O$442:R$453,3,FALSE)*O29*($K29)+IF($G29&gt;0,($I29/$G29)*O29,0)*(1-$K29)</f>
        <v>1057719030</v>
      </c>
      <c r="R29" s="1117">
        <f>VLOOKUP($E29,O$442:R$453,4,FALSE)*O29*($K29)+(O29-P29-Q29)*(1-$K29)</f>
        <v>0</v>
      </c>
      <c r="S29" s="1118"/>
      <c r="V29" s="1154">
        <f>VLOOKUP($A29,'New Resources - Group'!$A$4:$Y$133,V$2,FALSE)*V$1</f>
        <v>0</v>
      </c>
      <c r="W29" s="1116">
        <f>$G29+V29</f>
        <v>1057719030</v>
      </c>
      <c r="X29" s="1117">
        <f>VLOOKUP($E29,W$442:Z$453,2,FALSE)*W29*($K29)+IF($G29&gt;0,($H29/$G29)*W29,0)*(1-$K29)</f>
        <v>0</v>
      </c>
      <c r="Y29" s="1117">
        <f>VLOOKUP($E29,W$442:Z$453,3,FALSE)*W29*($K29)+IF($G29&gt;0,($I29/$G29)*W29,0)*(1-$K29)</f>
        <v>1057719030</v>
      </c>
      <c r="Z29" s="1117">
        <f>VLOOKUP($E29,W$442:Z$453,4,FALSE)*W29*($K29)+(W29-X29-Y29)*(1-$K29)</f>
        <v>0</v>
      </c>
      <c r="AA29" s="1118"/>
      <c r="AD29" s="1154">
        <f>VLOOKUP($A29,'New Resources - Group'!$A$4:$Y$133,AD$2,FALSE)*AD$1</f>
        <v>0</v>
      </c>
      <c r="AE29" s="1116">
        <f>$G29+AD29</f>
        <v>1057719030</v>
      </c>
      <c r="AF29" s="1117">
        <f>VLOOKUP($E29,AE$442:AH$453,2,FALSE)*AE29*($K29)+IF($G29&gt;0,($H29/$G29)*AE29,0)*(1-$K29)</f>
        <v>0</v>
      </c>
      <c r="AG29" s="1117">
        <f>VLOOKUP($E29,AE$442:AH$453,3,FALSE)*AE29*($K29)+IF($G29&gt;0,($I29/$G29)*AE29,0)*(1-$K29)</f>
        <v>1057719030</v>
      </c>
      <c r="AH29" s="1117">
        <f>VLOOKUP($E29,AE$442:AH$453,4,FALSE)*AE29*($K29)+(AE29-AF29-AG29)*(1-$K29)</f>
        <v>0</v>
      </c>
      <c r="AI29" s="1118"/>
      <c r="AL29" s="1154">
        <f>VLOOKUP($A29,'New Resources - Group'!$A$4:$Y$133,AL$2,FALSE)*AL$1</f>
        <v>0</v>
      </c>
      <c r="AM29" s="1116">
        <f>$G29+AL29</f>
        <v>1057719030</v>
      </c>
      <c r="AN29" s="1117">
        <f>VLOOKUP($E29,AM$442:AP$453,2,FALSE)*AM29*($K29)+IF($G29&gt;0,($H29/$G29)*AM29,0)*(1-$K29)</f>
        <v>0</v>
      </c>
      <c r="AO29" s="1117">
        <f>VLOOKUP($E29,AM$442:AP$453,3,FALSE)*AM29*($K29)+IF($G29&gt;0,($I29/$G29)*AM29,0)*(1-$K29)</f>
        <v>1057719030</v>
      </c>
      <c r="AP29" s="1117">
        <f>VLOOKUP($E29,AM$442:AP$453,4,FALSE)*AM29*($K29)+(AM29-AN29-AO29)*(1-$K29)</f>
        <v>0</v>
      </c>
      <c r="AQ29" s="1118"/>
      <c r="AT29" s="1154">
        <f>VLOOKUP($A29,'New Resources - Group'!$A$4:$Y$133,AT$2,FALSE)*AT$1</f>
        <v>0</v>
      </c>
      <c r="AU29" s="1116">
        <f>$G29+AT29</f>
        <v>1057719030</v>
      </c>
      <c r="AV29" s="1117">
        <f>VLOOKUP($E29,AU$442:AX$453,2,FALSE)*AU29*($K29)+IF($G29&gt;0,($H29/$G29)*AU29,0)*(1-$K29)</f>
        <v>0</v>
      </c>
      <c r="AW29" s="1117">
        <f>VLOOKUP($E29,AU$442:AX$453,3,FALSE)*AU29*($K29)+IF($G29&gt;0,($I29/$G29)*AU29,0)*(1-$K29)</f>
        <v>1057719030</v>
      </c>
      <c r="AX29" s="1117">
        <f>VLOOKUP($E29,AU$442:AX$453,4,FALSE)*AU29*($K29)+(AU29-AV29-AW29)*(1-$K29)</f>
        <v>0</v>
      </c>
      <c r="AY29" s="1118"/>
      <c r="BB29" s="1154">
        <f>VLOOKUP($A29,'New Resources - Group'!$A$4:$Y$133,BB$2,FALSE)*BB$1</f>
        <v>0</v>
      </c>
      <c r="BC29" s="1116">
        <f>$G29+BB29</f>
        <v>1057719030</v>
      </c>
      <c r="BD29" s="1117">
        <f>VLOOKUP($E29,BC$442:BF$453,2,FALSE)*BC29*($K29)+IF($G29&gt;0,($H29/$G29)*BC29,0)*(1-$K29)</f>
        <v>0</v>
      </c>
      <c r="BE29" s="1117">
        <f>VLOOKUP($E29,BC$442:BF$453,3,FALSE)*BC29*($K29)+IF($G29&gt;0,($I29/$G29)*BC29,0)*(1-$K29)</f>
        <v>1057719030</v>
      </c>
      <c r="BF29" s="1117">
        <f>VLOOKUP($E29,BC$442:BF$453,4,FALSE)*BC29*($K29)+(BC29-BD29-BE29)*(1-$K29)</f>
        <v>0</v>
      </c>
      <c r="BG29" s="1118"/>
      <c r="BJ29" s="1154">
        <f>VLOOKUP($A29,'New Resources - Group'!$A$4:$Y$133,BJ$2,FALSE)*BJ$1</f>
        <v>0</v>
      </c>
      <c r="BK29" s="1116">
        <f>$G29+BJ29</f>
        <v>1057719030</v>
      </c>
      <c r="BL29" s="1117">
        <f>VLOOKUP($E29,BK$442:BN$453,2,FALSE)*BK29*($K29)+IF($G29&gt;0,($H29/$G29)*BK29,0)*(1-$K29)</f>
        <v>0</v>
      </c>
      <c r="BM29" s="1117">
        <f>VLOOKUP($E29,BK$442:BN$453,3,FALSE)*BK29*($K29)+IF($G29&gt;0,($I29/$G29)*BK29,0)*(1-$K29)</f>
        <v>1057719030</v>
      </c>
      <c r="BN29" s="1117">
        <f>VLOOKUP($E29,BK$442:BN$453,4,FALSE)*BK29*($K29)+(BK29-BL29-BM29)*(1-$K29)</f>
        <v>0</v>
      </c>
      <c r="BO29" s="1118"/>
      <c r="BR29" s="1154">
        <f>VLOOKUP($A29,'New Resources - Group'!$A$4:$Y$133,BR$2,FALSE)*BR$1</f>
        <v>0</v>
      </c>
      <c r="BS29" s="1116">
        <f>$G29+BR29</f>
        <v>1057719030</v>
      </c>
      <c r="BT29" s="1117">
        <f>VLOOKUP($E29,BS$442:BV$453,2,FALSE)*BS29*($K29)+IF($G29&gt;0,($H29/$G29)*BS29,0)*(1-$K29)</f>
        <v>0</v>
      </c>
      <c r="BU29" s="1117">
        <f>VLOOKUP($E29,BS$442:BV$453,3,FALSE)*BS29*($K29)+IF($G29&gt;0,($I29/$G29)*BS29,0)*(1-$K29)</f>
        <v>1057719030</v>
      </c>
      <c r="BV29" s="1117">
        <f>VLOOKUP($E29,BS$442:BV$453,4,FALSE)*BS29*($K29)+(BS29-BT29-BU29)*(1-$K29)</f>
        <v>0</v>
      </c>
      <c r="BW29" s="1118"/>
      <c r="BZ29" s="1154">
        <f>VLOOKUP($A29,'New Resources - Group'!$A$4:$Y$133,BZ$2,FALSE)*BZ$1</f>
        <v>0</v>
      </c>
      <c r="CA29" s="1116">
        <f>$G29+BZ29</f>
        <v>1057719030</v>
      </c>
      <c r="CB29" s="1117">
        <f>VLOOKUP($E29,CA$442:CD$453,2,FALSE)*CA29*($K29)+IF($G29&gt;0,($H29/$G29)*CA29,0)*(1-$K29)</f>
        <v>0</v>
      </c>
      <c r="CC29" s="1117">
        <f>VLOOKUP($E29,CA$442:CD$453,3,FALSE)*CA29*($K29)+IF($G29&gt;0,($I29/$G29)*CA29,0)*(1-$K29)</f>
        <v>1057719030</v>
      </c>
      <c r="CD29" s="1117">
        <f>VLOOKUP($E29,CA$442:CD$453,4,FALSE)*CA29*($K29)+(CA29-CB29-CC29)*(1-$K29)</f>
        <v>0</v>
      </c>
      <c r="CE29" s="1118"/>
      <c r="CH29" s="1154">
        <f>VLOOKUP($A29,'New Resources - Group'!$A$4:$Y$133,CH$2,FALSE)*CH$1</f>
        <v>0</v>
      </c>
      <c r="CI29" s="1116">
        <f>$G29+CH29</f>
        <v>1057719030</v>
      </c>
      <c r="CJ29" s="1117">
        <f>VLOOKUP($E29,CI$442:CL$453,2,FALSE)*CI29*($K29)+IF($G29&gt;0,($H29/$G29)*CI29,0)*(1-$K29)</f>
        <v>0</v>
      </c>
      <c r="CK29" s="1117">
        <f>VLOOKUP($E29,CI$442:CL$453,3,FALSE)*CI29*($K29)+IF($G29&gt;0,($I29/$G29)*CI29,0)*(1-$K29)</f>
        <v>1057719030</v>
      </c>
      <c r="CL29" s="1117">
        <f>VLOOKUP($E29,CI$442:CL$453,4,FALSE)*CI29*($K29)+(CI29-CJ29-CK29)*(1-$K29)</f>
        <v>0</v>
      </c>
      <c r="CM29" s="1118"/>
      <c r="CP29" s="1154">
        <f>VLOOKUP($A29,'New Resources - Group'!$A$4:$Y$133,CP$2,FALSE)*CP$1</f>
        <v>0</v>
      </c>
      <c r="CQ29" s="1116">
        <f>$G29+CP29</f>
        <v>1057719030</v>
      </c>
      <c r="CR29" s="1117">
        <f>VLOOKUP($E29,CQ$442:CT$453,2,FALSE)*CQ29*($K29)+IF($G29&gt;0,($H29/$G29)*CQ29,0)*(1-$K29)</f>
        <v>0</v>
      </c>
      <c r="CS29" s="1117">
        <f>VLOOKUP($E29,CQ$442:CT$453,3,FALSE)*CQ29*($K29)+IF($G29&gt;0,($I29/$G29)*CQ29,0)*(1-$K29)</f>
        <v>1057719030</v>
      </c>
      <c r="CT29" s="1117">
        <f>VLOOKUP($E29,CQ$442:CT$453,4,FALSE)*CQ29*($K29)+(CQ29-CR29-CS29)*(1-$K29)</f>
        <v>0</v>
      </c>
      <c r="CU29" s="1118"/>
      <c r="CX29" s="1154">
        <f>VLOOKUP($A29,'New Resources - Group'!$A$4:$Y$133,CX$2,FALSE)*CX$1</f>
        <v>0</v>
      </c>
      <c r="CY29" s="1116">
        <f>$G29+CX29</f>
        <v>1057719030</v>
      </c>
      <c r="CZ29" s="1117">
        <f>VLOOKUP($E29,CY$442:DB$453,2,FALSE)*CY29*($K29)+IF($G29&gt;0,($H29/$G29)*CY29,0)*(1-$K29)</f>
        <v>0</v>
      </c>
      <c r="DA29" s="1117">
        <f>VLOOKUP($E29,CY$442:DB$453,3,FALSE)*CY29*($K29)+IF($G29&gt;0,($I29/$G29)*CY29,0)*(1-$K29)</f>
        <v>1057719030</v>
      </c>
      <c r="DB29" s="1117">
        <f>VLOOKUP($E29,CY$442:DB$453,4,FALSE)*CY29*($K29)+(CY29-CZ29-DA29)*(1-$K29)</f>
        <v>0</v>
      </c>
      <c r="DC29" s="1118"/>
      <c r="DF29" s="1154">
        <f>VLOOKUP($A29,'New Resources - Group'!$A$4:$Y$133,DF$2,FALSE)*DF$1</f>
        <v>0</v>
      </c>
      <c r="DG29" s="1116">
        <f>$G29+DF29</f>
        <v>1057719030</v>
      </c>
      <c r="DH29" s="1117">
        <f>VLOOKUP($E29,DG$442:DJ$453,2,FALSE)*DG29*($K29)+IF($G29&gt;0,($H29/$G29)*DG29,0)*(1-$K29)</f>
        <v>0</v>
      </c>
      <c r="DI29" s="1117">
        <f>VLOOKUP($E29,DG$442:DJ$453,3,FALSE)*DG29*($K29)+IF($G29&gt;0,($I29/$G29)*DG29,0)*(1-$K29)</f>
        <v>1057719030</v>
      </c>
      <c r="DJ29" s="1117">
        <f>VLOOKUP($E29,DG$442:DJ$453,4,FALSE)*DG29*($K29)+(DG29-DH29-DI29)*(1-$K29)</f>
        <v>0</v>
      </c>
      <c r="DK29" s="1118"/>
      <c r="DN29" s="1154">
        <f>VLOOKUP($A29,'New Resources - Group'!$A$4:$Y$133,DN$2,FALSE)*DN$1</f>
        <v>0</v>
      </c>
      <c r="DO29" s="1116">
        <f>$G29+DN29</f>
        <v>1057719030</v>
      </c>
      <c r="DP29" s="1117">
        <f>VLOOKUP($E29,DO$442:DR$453,2,FALSE)*DO29*($K29)+IF($G29&gt;0,($H29/$G29)*DO29,0)*(1-$K29)</f>
        <v>0</v>
      </c>
      <c r="DQ29" s="1117">
        <f>VLOOKUP($E29,DO$442:DR$453,3,FALSE)*DO29*($K29)+IF($G29&gt;0,($I29/$G29)*DO29,0)*(1-$K29)</f>
        <v>1057719030</v>
      </c>
      <c r="DR29" s="1117">
        <f>VLOOKUP($E29,DO$442:DR$453,4,FALSE)*DO29*($K29)+(DO29-DP29-DQ29)*(1-$K29)</f>
        <v>0</v>
      </c>
      <c r="DS29" s="1118"/>
      <c r="DV29" s="1154">
        <f>VLOOKUP($A29,'New Resources - Group'!$A$4:$Y$133,DV$2,FALSE)*DV$1</f>
        <v>0</v>
      </c>
      <c r="DW29" s="1116">
        <f>$G29+DV29</f>
        <v>1057719030</v>
      </c>
      <c r="DX29" s="1117">
        <f>VLOOKUP($E29,DW$442:DZ$453,2,FALSE)*DW29*($K29)+IF($G29&gt;0,($H29/$G29)*DW29,0)*(1-$K29)</f>
        <v>0</v>
      </c>
      <c r="DY29" s="1117">
        <f>VLOOKUP($E29,DW$442:DZ$453,3,FALSE)*DW29*($K29)+IF($G29&gt;0,($I29/$G29)*DW29,0)*(1-$K29)</f>
        <v>1057719030</v>
      </c>
      <c r="DZ29" s="1117">
        <f>VLOOKUP($E29,DW$442:DZ$453,4,FALSE)*DW29*($K29)+(DW29-DX29-DY29)*(1-$K29)</f>
        <v>0</v>
      </c>
      <c r="EA29" s="1118"/>
      <c r="ED29" s="1154">
        <f>VLOOKUP($A29,'New Resources - Group'!$A$4:$Y$133,ED$2,FALSE)*ED$1</f>
        <v>0</v>
      </c>
      <c r="EE29" s="1116">
        <f>$G29+ED29</f>
        <v>1057719030</v>
      </c>
      <c r="EF29" s="1117">
        <f>VLOOKUP($E29,EE$442:EH$453,2,FALSE)*EE29*($K29)+IF($G29&gt;0,($H29/$G29)*EE29,0)*(1-$K29)</f>
        <v>0</v>
      </c>
      <c r="EG29" s="1117">
        <f>VLOOKUP($E29,EE$442:EH$453,3,FALSE)*EE29*($K29)+IF($G29&gt;0,($I29/$G29)*EE29,0)*(1-$K29)</f>
        <v>1057719030</v>
      </c>
      <c r="EH29" s="1117">
        <f>VLOOKUP($E29,EE$442:EH$453,4,FALSE)*EE29*($K29)+(EE29-EF29-EG29)*(1-$K29)</f>
        <v>0</v>
      </c>
      <c r="EI29" s="1118"/>
      <c r="EL29" s="1154">
        <f>VLOOKUP($A29,'New Resources - Group'!$A$4:$Y$133,EL$2,FALSE)*EL$1</f>
        <v>0</v>
      </c>
      <c r="EM29" s="1116">
        <f>$G29+EL29</f>
        <v>1057719030</v>
      </c>
      <c r="EN29" s="1117">
        <f>VLOOKUP($E29,EM$442:EP$453,2,FALSE)*EM29*($K29)+IF($G29&gt;0,($H29/$G29)*EM29,0)*(1-$K29)</f>
        <v>0</v>
      </c>
      <c r="EO29" s="1117">
        <f>VLOOKUP($E29,EM$442:EP$453,3,FALSE)*EM29*($K29)+IF($G29&gt;0,($I29/$G29)*EM29,0)*(1-$K29)</f>
        <v>1057719030</v>
      </c>
      <c r="EP29" s="1117">
        <f>VLOOKUP($E29,EM$442:EP$453,4,FALSE)*EM29*($K29)+(EM29-EN29-EO29)*(1-$K29)</f>
        <v>0</v>
      </c>
      <c r="EQ29" s="1118"/>
      <c r="ET29" s="1154">
        <f>VLOOKUP($A29,'New Resources - Group'!$A$4:$Y$133,ET$2,FALSE)*ET$1</f>
        <v>0</v>
      </c>
      <c r="EU29" s="1116">
        <f>$G29+ET29</f>
        <v>1057719030</v>
      </c>
      <c r="EV29" s="1117">
        <f>VLOOKUP($E29,EU$442:EX$453,2,FALSE)*EU29*($K29)+IF($G29&gt;0,($H29/$G29)*EU29,0)*(1-$K29)</f>
        <v>0</v>
      </c>
      <c r="EW29" s="1117">
        <f>VLOOKUP($E29,EU$442:EX$453,3,FALSE)*EU29*($K29)+IF($G29&gt;0,($I29/$G29)*EU29,0)*(1-$K29)</f>
        <v>1057719030</v>
      </c>
      <c r="EX29" s="1117">
        <f>VLOOKUP($E29,EU$442:EX$453,4,FALSE)*EU29*($K29)+(EU29-EV29-EW29)*(1-$K29)</f>
        <v>0</v>
      </c>
      <c r="EY29" s="1118"/>
      <c r="FB29" s="1154">
        <f>VLOOKUP($A29,'New Resources - Group'!$A$4:$Y$133,FB$2,FALSE)*FB$1</f>
        <v>0</v>
      </c>
      <c r="FC29" s="1116">
        <f>$G29+FB29</f>
        <v>1057719030</v>
      </c>
      <c r="FD29" s="1117">
        <f>VLOOKUP($E29,FC$442:FF$453,2,FALSE)*FC29*($K29)+IF($G29&gt;0,($H29/$G29)*FC29,0)*(1-$K29)</f>
        <v>0</v>
      </c>
      <c r="FE29" s="1117">
        <f>VLOOKUP($E29,FC$442:FF$453,3,FALSE)*FC29*($K29)+IF($G29&gt;0,($I29/$G29)*FC29,0)*(1-$K29)</f>
        <v>1057719030</v>
      </c>
      <c r="FF29" s="1117">
        <f>VLOOKUP($E29,FC$442:FF$453,4,FALSE)*FC29*($K29)+(FC29-FD29-FE29)*(1-$K29)</f>
        <v>0</v>
      </c>
      <c r="FG29" s="1118"/>
      <c r="FJ29" s="1154">
        <f>VLOOKUP($A29,'New Resources - Group'!$A$4:$Y$133,FJ$2,FALSE)*FJ$1</f>
        <v>0</v>
      </c>
      <c r="FK29" s="1116">
        <f>$G29+FJ29</f>
        <v>1057719030</v>
      </c>
      <c r="FL29" s="1117">
        <f>VLOOKUP($E29,FK$442:FN$453,2,FALSE)*FK29*($K29)+IF($G29&gt;0,($H29/$G29)*FK29,0)*(1-$K29)</f>
        <v>0</v>
      </c>
      <c r="FM29" s="1117">
        <f>VLOOKUP($E29,FK$442:FN$453,3,FALSE)*FK29*($K29)+IF($G29&gt;0,($I29/$G29)*FK29,0)*(1-$K29)</f>
        <v>1057719030</v>
      </c>
      <c r="FN29" s="1117">
        <f>VLOOKUP($E29,FK$442:FN$453,4,FALSE)*FK29*($K29)+(FK29-FL29-FM29)*(1-$K29)</f>
        <v>0</v>
      </c>
      <c r="FO29" s="1118"/>
    </row>
    <row r="30" spans="1:171">
      <c r="A30" s="1345" t="s">
        <v>121</v>
      </c>
      <c r="B30" s="64"/>
      <c r="C30" s="914"/>
      <c r="D30" s="915"/>
      <c r="E30" s="915"/>
      <c r="F30" s="916"/>
      <c r="G30" s="905">
        <f>SUM(G29)</f>
        <v>1057719030</v>
      </c>
      <c r="H30" s="905">
        <f>SUM(H29)</f>
        <v>0</v>
      </c>
      <c r="I30" s="905">
        <f>SUM(I29)</f>
        <v>0</v>
      </c>
      <c r="J30" s="1417">
        <f>SUM(J29)</f>
        <v>1057719030</v>
      </c>
      <c r="K30" s="903"/>
      <c r="O30" s="905">
        <f>SUM(O29)</f>
        <v>1057719030</v>
      </c>
      <c r="P30" s="905">
        <f>SUM(P29)</f>
        <v>0</v>
      </c>
      <c r="Q30" s="905">
        <f>SUM(Q29)</f>
        <v>1057719030</v>
      </c>
      <c r="R30" s="905">
        <f>SUM(R29)</f>
        <v>0</v>
      </c>
      <c r="S30" s="1118"/>
      <c r="W30" s="905">
        <f>SUM(W29)</f>
        <v>1057719030</v>
      </c>
      <c r="X30" s="905">
        <f>SUM(X29)</f>
        <v>0</v>
      </c>
      <c r="Y30" s="905">
        <f>SUM(Y29)</f>
        <v>1057719030</v>
      </c>
      <c r="Z30" s="905">
        <f>SUM(Z29)</f>
        <v>0</v>
      </c>
      <c r="AA30" s="1118"/>
      <c r="AE30" s="905">
        <f>SUM(AE29)</f>
        <v>1057719030</v>
      </c>
      <c r="AF30" s="905">
        <f>SUM(AF29)</f>
        <v>0</v>
      </c>
      <c r="AG30" s="905">
        <f>SUM(AG29)</f>
        <v>1057719030</v>
      </c>
      <c r="AH30" s="905">
        <f>SUM(AH29)</f>
        <v>0</v>
      </c>
      <c r="AI30" s="1118"/>
      <c r="AM30" s="905">
        <f>SUM(AM29)</f>
        <v>1057719030</v>
      </c>
      <c r="AN30" s="905">
        <f>SUM(AN29)</f>
        <v>0</v>
      </c>
      <c r="AO30" s="905">
        <f>SUM(AO29)</f>
        <v>1057719030</v>
      </c>
      <c r="AP30" s="905">
        <f>SUM(AP29)</f>
        <v>0</v>
      </c>
      <c r="AQ30" s="1118"/>
      <c r="AU30" s="905">
        <f>SUM(AU29)</f>
        <v>1057719030</v>
      </c>
      <c r="AV30" s="905">
        <f>SUM(AV29)</f>
        <v>0</v>
      </c>
      <c r="AW30" s="905">
        <f>SUM(AW29)</f>
        <v>1057719030</v>
      </c>
      <c r="AX30" s="905">
        <f>SUM(AX29)</f>
        <v>0</v>
      </c>
      <c r="AY30" s="1118"/>
      <c r="BC30" s="905">
        <f>SUM(BC29)</f>
        <v>1057719030</v>
      </c>
      <c r="BD30" s="905">
        <f>SUM(BD29)</f>
        <v>0</v>
      </c>
      <c r="BE30" s="905">
        <f>SUM(BE29)</f>
        <v>1057719030</v>
      </c>
      <c r="BF30" s="905">
        <f>SUM(BF29)</f>
        <v>0</v>
      </c>
      <c r="BG30" s="1118"/>
      <c r="BK30" s="905">
        <f>SUM(BK29)</f>
        <v>1057719030</v>
      </c>
      <c r="BL30" s="905">
        <f>SUM(BL29)</f>
        <v>0</v>
      </c>
      <c r="BM30" s="905">
        <f>SUM(BM29)</f>
        <v>1057719030</v>
      </c>
      <c r="BN30" s="905">
        <f>SUM(BN29)</f>
        <v>0</v>
      </c>
      <c r="BO30" s="1118"/>
      <c r="BS30" s="905">
        <f>SUM(BS29)</f>
        <v>1057719030</v>
      </c>
      <c r="BT30" s="905">
        <f>SUM(BT29)</f>
        <v>0</v>
      </c>
      <c r="BU30" s="905">
        <f>SUM(BU29)</f>
        <v>1057719030</v>
      </c>
      <c r="BV30" s="905">
        <f>SUM(BV29)</f>
        <v>0</v>
      </c>
      <c r="BW30" s="1118"/>
      <c r="CA30" s="905">
        <f>SUM(CA29)</f>
        <v>1057719030</v>
      </c>
      <c r="CB30" s="905">
        <f>SUM(CB29)</f>
        <v>0</v>
      </c>
      <c r="CC30" s="905">
        <f>SUM(CC29)</f>
        <v>1057719030</v>
      </c>
      <c r="CD30" s="905">
        <f>SUM(CD29)</f>
        <v>0</v>
      </c>
      <c r="CE30" s="1118"/>
      <c r="CI30" s="905">
        <f>SUM(CI29)</f>
        <v>1057719030</v>
      </c>
      <c r="CJ30" s="905">
        <f>SUM(CJ29)</f>
        <v>0</v>
      </c>
      <c r="CK30" s="905">
        <f>SUM(CK29)</f>
        <v>1057719030</v>
      </c>
      <c r="CL30" s="905">
        <f>SUM(CL29)</f>
        <v>0</v>
      </c>
      <c r="CM30" s="1118"/>
      <c r="CQ30" s="905">
        <f>SUM(CQ29)</f>
        <v>1057719030</v>
      </c>
      <c r="CR30" s="905">
        <f>SUM(CR29)</f>
        <v>0</v>
      </c>
      <c r="CS30" s="905">
        <f>SUM(CS29)</f>
        <v>1057719030</v>
      </c>
      <c r="CT30" s="905">
        <f>SUM(CT29)</f>
        <v>0</v>
      </c>
      <c r="CU30" s="1118"/>
      <c r="CY30" s="905">
        <f>SUM(CY29)</f>
        <v>1057719030</v>
      </c>
      <c r="CZ30" s="905">
        <f>SUM(CZ29)</f>
        <v>0</v>
      </c>
      <c r="DA30" s="905">
        <f>SUM(DA29)</f>
        <v>1057719030</v>
      </c>
      <c r="DB30" s="905">
        <f>SUM(DB29)</f>
        <v>0</v>
      </c>
      <c r="DC30" s="1118"/>
      <c r="DG30" s="905">
        <f>SUM(DG29)</f>
        <v>1057719030</v>
      </c>
      <c r="DH30" s="905">
        <f>SUM(DH29)</f>
        <v>0</v>
      </c>
      <c r="DI30" s="905">
        <f>SUM(DI29)</f>
        <v>1057719030</v>
      </c>
      <c r="DJ30" s="905">
        <f>SUM(DJ29)</f>
        <v>0</v>
      </c>
      <c r="DK30" s="1118"/>
      <c r="DO30" s="905">
        <f>SUM(DO29)</f>
        <v>1057719030</v>
      </c>
      <c r="DP30" s="905">
        <f>SUM(DP29)</f>
        <v>0</v>
      </c>
      <c r="DQ30" s="905">
        <f>SUM(DQ29)</f>
        <v>1057719030</v>
      </c>
      <c r="DR30" s="905">
        <f>SUM(DR29)</f>
        <v>0</v>
      </c>
      <c r="DS30" s="1118"/>
      <c r="DW30" s="905">
        <f>SUM(DW29)</f>
        <v>1057719030</v>
      </c>
      <c r="DX30" s="905">
        <f>SUM(DX29)</f>
        <v>0</v>
      </c>
      <c r="DY30" s="905">
        <f>SUM(DY29)</f>
        <v>1057719030</v>
      </c>
      <c r="DZ30" s="905">
        <f>SUM(DZ29)</f>
        <v>0</v>
      </c>
      <c r="EA30" s="1118"/>
      <c r="EE30" s="905">
        <f>SUM(EE29)</f>
        <v>1057719030</v>
      </c>
      <c r="EF30" s="905">
        <f>SUM(EF29)</f>
        <v>0</v>
      </c>
      <c r="EG30" s="905">
        <f>SUM(EG29)</f>
        <v>1057719030</v>
      </c>
      <c r="EH30" s="905">
        <f>SUM(EH29)</f>
        <v>0</v>
      </c>
      <c r="EI30" s="1118"/>
      <c r="EM30" s="905">
        <f>SUM(EM29)</f>
        <v>1057719030</v>
      </c>
      <c r="EN30" s="905">
        <f>SUM(EN29)</f>
        <v>0</v>
      </c>
      <c r="EO30" s="905">
        <f>SUM(EO29)</f>
        <v>1057719030</v>
      </c>
      <c r="EP30" s="905">
        <f>SUM(EP29)</f>
        <v>0</v>
      </c>
      <c r="EQ30" s="1118"/>
      <c r="EU30" s="905">
        <f>SUM(EU29)</f>
        <v>1057719030</v>
      </c>
      <c r="EV30" s="905">
        <f>SUM(EV29)</f>
        <v>0</v>
      </c>
      <c r="EW30" s="905">
        <f>SUM(EW29)</f>
        <v>1057719030</v>
      </c>
      <c r="EX30" s="905">
        <f>SUM(EX29)</f>
        <v>0</v>
      </c>
      <c r="EY30" s="1118"/>
      <c r="FC30" s="905">
        <f>SUM(FC29)</f>
        <v>1057719030</v>
      </c>
      <c r="FD30" s="905">
        <f>SUM(FD29)</f>
        <v>0</v>
      </c>
      <c r="FE30" s="905">
        <f>SUM(FE29)</f>
        <v>1057719030</v>
      </c>
      <c r="FF30" s="905">
        <f>SUM(FF29)</f>
        <v>0</v>
      </c>
      <c r="FG30" s="1118"/>
      <c r="FK30" s="905">
        <f>SUM(FK29)</f>
        <v>1057719030</v>
      </c>
      <c r="FL30" s="905">
        <f>SUM(FL29)</f>
        <v>0</v>
      </c>
      <c r="FM30" s="905">
        <f>SUM(FM29)</f>
        <v>1057719030</v>
      </c>
      <c r="FN30" s="905">
        <f>SUM(FN29)</f>
        <v>0</v>
      </c>
      <c r="FO30" s="1118"/>
    </row>
    <row r="31" spans="1:171">
      <c r="A31" s="1345"/>
      <c r="B31" s="64"/>
      <c r="C31" s="55"/>
      <c r="D31" s="55"/>
      <c r="E31" s="55"/>
      <c r="F31" s="55"/>
      <c r="G31" s="917"/>
      <c r="H31" s="917"/>
      <c r="I31" s="917"/>
      <c r="J31" s="1425"/>
      <c r="K31" s="903"/>
      <c r="S31" s="1118"/>
      <c r="AA31" s="1118"/>
      <c r="AI31" s="1118"/>
      <c r="AQ31" s="1118"/>
      <c r="AY31" s="1118"/>
      <c r="BG31" s="1118"/>
      <c r="BO31" s="1118"/>
      <c r="BW31" s="1118"/>
      <c r="CE31" s="1118"/>
      <c r="CM31" s="1118"/>
      <c r="CU31" s="1118"/>
      <c r="DC31" s="1118"/>
      <c r="DK31" s="1118"/>
      <c r="DS31" s="1118"/>
      <c r="EA31" s="1118"/>
      <c r="EI31" s="1118"/>
      <c r="EQ31" s="1118"/>
      <c r="EY31" s="1118"/>
      <c r="FG31" s="1118"/>
      <c r="FO31" s="1118"/>
    </row>
    <row r="32" spans="1:171">
      <c r="A32" s="1342" t="s">
        <v>476</v>
      </c>
      <c r="B32" s="220"/>
      <c r="C32" s="55"/>
      <c r="D32" s="55"/>
      <c r="E32" s="64"/>
      <c r="F32" s="64"/>
      <c r="G32" s="910"/>
      <c r="H32" s="910"/>
      <c r="I32" s="910"/>
      <c r="J32" s="1426"/>
      <c r="K32" s="903"/>
      <c r="S32" s="1118"/>
      <c r="AA32" s="1118"/>
      <c r="AI32" s="1118"/>
      <c r="AQ32" s="1118"/>
      <c r="AY32" s="1118"/>
      <c r="BG32" s="1118"/>
      <c r="BO32" s="1118"/>
      <c r="BW32" s="1118"/>
      <c r="CE32" s="1118"/>
      <c r="CM32" s="1118"/>
      <c r="CU32" s="1118"/>
      <c r="DC32" s="1118"/>
      <c r="DK32" s="1118"/>
      <c r="DS32" s="1118"/>
      <c r="EA32" s="1118"/>
      <c r="EI32" s="1118"/>
      <c r="EQ32" s="1118"/>
      <c r="EY32" s="1118"/>
      <c r="FG32" s="1118"/>
      <c r="FO32" s="1118"/>
    </row>
    <row r="33" spans="1:171">
      <c r="A33" s="1423"/>
      <c r="B33" s="913" t="s">
        <v>140</v>
      </c>
      <c r="C33" s="887" t="s">
        <v>70</v>
      </c>
      <c r="D33" s="888" t="s">
        <v>123</v>
      </c>
      <c r="E33" s="182" t="str">
        <f>'Sch 1- Rate Base '!E33</f>
        <v>DIST</v>
      </c>
      <c r="F33" s="889"/>
      <c r="G33" s="182">
        <f>'Sch 1- Rate Base '!G33</f>
        <v>2407306658</v>
      </c>
      <c r="H33" s="182">
        <f>'Sch 1- Rate Base '!H33</f>
        <v>0</v>
      </c>
      <c r="I33" s="182">
        <f>'Sch 1- Rate Base '!I33</f>
        <v>0</v>
      </c>
      <c r="J33" s="1424">
        <f>'Sch 1- Rate Base '!J33</f>
        <v>2407306658</v>
      </c>
      <c r="K33" s="903">
        <f>IF($E33="DIRECT",0,1)</f>
        <v>1</v>
      </c>
      <c r="O33" s="1116">
        <f>$G33</f>
        <v>2407306658</v>
      </c>
      <c r="P33" s="1117">
        <f>VLOOKUP($E33,O$442:R$453,2,FALSE)*O33*($K33)+IF($G33&gt;0,($H33/$G33)*O33,0)*(1-$K33)</f>
        <v>0</v>
      </c>
      <c r="Q33" s="1117">
        <f>VLOOKUP($E33,O$442:R$453,3,FALSE)*O33*($K33)+IF($G33&gt;0,($I33/$G33)*O33,0)*(1-$K33)</f>
        <v>0</v>
      </c>
      <c r="R33" s="1117">
        <f>VLOOKUP($E33,O$442:R$453,4,FALSE)*O33*($K33)+(O33-P33-Q33)*(1-$K33)</f>
        <v>2407306658</v>
      </c>
      <c r="S33" s="1118"/>
      <c r="W33" s="1116">
        <f>$G33</f>
        <v>2407306658</v>
      </c>
      <c r="X33" s="1117">
        <f>VLOOKUP($E33,W$442:Z$453,2,FALSE)*W33*($K33)+IF($G33&gt;0,($H33/$G33)*W33,0)*(1-$K33)</f>
        <v>0</v>
      </c>
      <c r="Y33" s="1117">
        <f>VLOOKUP($E33,W$442:Z$453,3,FALSE)*W33*($K33)+IF($G33&gt;0,($I33/$G33)*W33,0)*(1-$K33)</f>
        <v>0</v>
      </c>
      <c r="Z33" s="1117">
        <f>VLOOKUP($E33,W$442:Z$453,4,FALSE)*W33*($K33)+(W33-X33-Y33)*(1-$K33)</f>
        <v>2407306658</v>
      </c>
      <c r="AA33" s="1118"/>
      <c r="AE33" s="1116">
        <f>$G33</f>
        <v>2407306658</v>
      </c>
      <c r="AF33" s="1117">
        <f>VLOOKUP($E33,AE$442:AH$453,2,FALSE)*AE33*($K33)+IF($G33&gt;0,($H33/$G33)*AE33,0)*(1-$K33)</f>
        <v>0</v>
      </c>
      <c r="AG33" s="1117">
        <f>VLOOKUP($E33,AE$442:AH$453,3,FALSE)*AE33*($K33)+IF($G33&gt;0,($I33/$G33)*AE33,0)*(1-$K33)</f>
        <v>0</v>
      </c>
      <c r="AH33" s="1117">
        <f>VLOOKUP($E33,AE$442:AH$453,4,FALSE)*AE33*($K33)+(AE33-AF33-AG33)*(1-$K33)</f>
        <v>2407306658</v>
      </c>
      <c r="AI33" s="1118"/>
      <c r="AM33" s="1116">
        <f>$G33</f>
        <v>2407306658</v>
      </c>
      <c r="AN33" s="1117">
        <f>VLOOKUP($E33,AM$442:AP$453,2,FALSE)*AM33*($K33)+IF($G33&gt;0,($H33/$G33)*AM33,0)*(1-$K33)</f>
        <v>0</v>
      </c>
      <c r="AO33" s="1117">
        <f>VLOOKUP($E33,AM$442:AP$453,3,FALSE)*AM33*($K33)+IF($G33&gt;0,($I33/$G33)*AM33,0)*(1-$K33)</f>
        <v>0</v>
      </c>
      <c r="AP33" s="1117">
        <f>VLOOKUP($E33,AM$442:AP$453,4,FALSE)*AM33*($K33)+(AM33-AN33-AO33)*(1-$K33)</f>
        <v>2407306658</v>
      </c>
      <c r="AQ33" s="1118"/>
      <c r="AU33" s="1116">
        <f>$G33</f>
        <v>2407306658</v>
      </c>
      <c r="AV33" s="1117">
        <f>VLOOKUP($E33,AU$442:AX$453,2,FALSE)*AU33*($K33)+IF($G33&gt;0,($H33/$G33)*AU33,0)*(1-$K33)</f>
        <v>0</v>
      </c>
      <c r="AW33" s="1117">
        <f>VLOOKUP($E33,AU$442:AX$453,3,FALSE)*AU33*($K33)+IF($G33&gt;0,($I33/$G33)*AU33,0)*(1-$K33)</f>
        <v>0</v>
      </c>
      <c r="AX33" s="1117">
        <f>VLOOKUP($E33,AU$442:AX$453,4,FALSE)*AU33*($K33)+(AU33-AV33-AW33)*(1-$K33)</f>
        <v>2407306658</v>
      </c>
      <c r="AY33" s="1118"/>
      <c r="BC33" s="1116">
        <f>$G33</f>
        <v>2407306658</v>
      </c>
      <c r="BD33" s="1117">
        <f>VLOOKUP($E33,BC$442:BF$453,2,FALSE)*BC33*($K33)+IF($G33&gt;0,($H33/$G33)*BC33,0)*(1-$K33)</f>
        <v>0</v>
      </c>
      <c r="BE33" s="1117">
        <f>VLOOKUP($E33,BC$442:BF$453,3,FALSE)*BC33*($K33)+IF($G33&gt;0,($I33/$G33)*BC33,0)*(1-$K33)</f>
        <v>0</v>
      </c>
      <c r="BF33" s="1117">
        <f>VLOOKUP($E33,BC$442:BF$453,4,FALSE)*BC33*($K33)+(BC33-BD33-BE33)*(1-$K33)</f>
        <v>2407306658</v>
      </c>
      <c r="BG33" s="1118"/>
      <c r="BK33" s="1116">
        <f>$G33</f>
        <v>2407306658</v>
      </c>
      <c r="BL33" s="1117">
        <f>VLOOKUP($E33,BK$442:BN$453,2,FALSE)*BK33*($K33)+IF($G33&gt;0,($H33/$G33)*BK33,0)*(1-$K33)</f>
        <v>0</v>
      </c>
      <c r="BM33" s="1117">
        <f>VLOOKUP($E33,BK$442:BN$453,3,FALSE)*BK33*($K33)+IF($G33&gt;0,($I33/$G33)*BK33,0)*(1-$K33)</f>
        <v>0</v>
      </c>
      <c r="BN33" s="1117">
        <f>VLOOKUP($E33,BK$442:BN$453,4,FALSE)*BK33*($K33)+(BK33-BL33-BM33)*(1-$K33)</f>
        <v>2407306658</v>
      </c>
      <c r="BO33" s="1118"/>
      <c r="BS33" s="1116">
        <f>$G33</f>
        <v>2407306658</v>
      </c>
      <c r="BT33" s="1117">
        <f>VLOOKUP($E33,BS$442:BV$453,2,FALSE)*BS33*($K33)+IF($G33&gt;0,($H33/$G33)*BS33,0)*(1-$K33)</f>
        <v>0</v>
      </c>
      <c r="BU33" s="1117">
        <f>VLOOKUP($E33,BS$442:BV$453,3,FALSE)*BS33*($K33)+IF($G33&gt;0,($I33/$G33)*BS33,0)*(1-$K33)</f>
        <v>0</v>
      </c>
      <c r="BV33" s="1117">
        <f>VLOOKUP($E33,BS$442:BV$453,4,FALSE)*BS33*($K33)+(BS33-BT33-BU33)*(1-$K33)</f>
        <v>2407306658</v>
      </c>
      <c r="BW33" s="1118"/>
      <c r="CA33" s="1116">
        <f>$G33</f>
        <v>2407306658</v>
      </c>
      <c r="CB33" s="1117">
        <f>VLOOKUP($E33,CA$442:CD$453,2,FALSE)*CA33*($K33)+IF($G33&gt;0,($H33/$G33)*CA33,0)*(1-$K33)</f>
        <v>0</v>
      </c>
      <c r="CC33" s="1117">
        <f>VLOOKUP($E33,CA$442:CD$453,3,FALSE)*CA33*($K33)+IF($G33&gt;0,($I33/$G33)*CA33,0)*(1-$K33)</f>
        <v>0</v>
      </c>
      <c r="CD33" s="1117">
        <f>VLOOKUP($E33,CA$442:CD$453,4,FALSE)*CA33*($K33)+(CA33-CB33-CC33)*(1-$K33)</f>
        <v>2407306658</v>
      </c>
      <c r="CE33" s="1118"/>
      <c r="CI33" s="1116">
        <f>$G33</f>
        <v>2407306658</v>
      </c>
      <c r="CJ33" s="1117">
        <f>VLOOKUP($E33,CI$442:CL$453,2,FALSE)*CI33*($K33)+IF($G33&gt;0,($H33/$G33)*CI33,0)*(1-$K33)</f>
        <v>0</v>
      </c>
      <c r="CK33" s="1117">
        <f>VLOOKUP($E33,CI$442:CL$453,3,FALSE)*CI33*($K33)+IF($G33&gt;0,($I33/$G33)*CI33,0)*(1-$K33)</f>
        <v>0</v>
      </c>
      <c r="CL33" s="1117">
        <f>VLOOKUP($E33,CI$442:CL$453,4,FALSE)*CI33*($K33)+(CI33-CJ33-CK33)*(1-$K33)</f>
        <v>2407306658</v>
      </c>
      <c r="CM33" s="1118"/>
      <c r="CQ33" s="1116">
        <f>$G33</f>
        <v>2407306658</v>
      </c>
      <c r="CR33" s="1117">
        <f>VLOOKUP($E33,CQ$442:CT$453,2,FALSE)*CQ33*($K33)+IF($G33&gt;0,($H33/$G33)*CQ33,0)*(1-$K33)</f>
        <v>0</v>
      </c>
      <c r="CS33" s="1117">
        <f>VLOOKUP($E33,CQ$442:CT$453,3,FALSE)*CQ33*($K33)+IF($G33&gt;0,($I33/$G33)*CQ33,0)*(1-$K33)</f>
        <v>0</v>
      </c>
      <c r="CT33" s="1117">
        <f>VLOOKUP($E33,CQ$442:CT$453,4,FALSE)*CQ33*($K33)+(CQ33-CR33-CS33)*(1-$K33)</f>
        <v>2407306658</v>
      </c>
      <c r="CU33" s="1118"/>
      <c r="CY33" s="1116">
        <f>$G33</f>
        <v>2407306658</v>
      </c>
      <c r="CZ33" s="1117">
        <f>VLOOKUP($E33,CY$442:DB$453,2,FALSE)*CY33*($K33)+IF($G33&gt;0,($H33/$G33)*CY33,0)*(1-$K33)</f>
        <v>0</v>
      </c>
      <c r="DA33" s="1117">
        <f>VLOOKUP($E33,CY$442:DB$453,3,FALSE)*CY33*($K33)+IF($G33&gt;0,($I33/$G33)*CY33,0)*(1-$K33)</f>
        <v>0</v>
      </c>
      <c r="DB33" s="1117">
        <f>VLOOKUP($E33,CY$442:DB$453,4,FALSE)*CY33*($K33)+(CY33-CZ33-DA33)*(1-$K33)</f>
        <v>2407306658</v>
      </c>
      <c r="DC33" s="1118"/>
      <c r="DG33" s="1116">
        <f>$G33</f>
        <v>2407306658</v>
      </c>
      <c r="DH33" s="1117">
        <f>VLOOKUP($E33,DG$442:DJ$453,2,FALSE)*DG33*($K33)+IF($G33&gt;0,($H33/$G33)*DG33,0)*(1-$K33)</f>
        <v>0</v>
      </c>
      <c r="DI33" s="1117">
        <f>VLOOKUP($E33,DG$442:DJ$453,3,FALSE)*DG33*($K33)+IF($G33&gt;0,($I33/$G33)*DG33,0)*(1-$K33)</f>
        <v>0</v>
      </c>
      <c r="DJ33" s="1117">
        <f>VLOOKUP($E33,DG$442:DJ$453,4,FALSE)*DG33*($K33)+(DG33-DH33-DI33)*(1-$K33)</f>
        <v>2407306658</v>
      </c>
      <c r="DK33" s="1118"/>
      <c r="DO33" s="1116">
        <f>$G33</f>
        <v>2407306658</v>
      </c>
      <c r="DP33" s="1117">
        <f>VLOOKUP($E33,DO$442:DR$453,2,FALSE)*DO33*($K33)+IF($G33&gt;0,($H33/$G33)*DO33,0)*(1-$K33)</f>
        <v>0</v>
      </c>
      <c r="DQ33" s="1117">
        <f>VLOOKUP($E33,DO$442:DR$453,3,FALSE)*DO33*($K33)+IF($G33&gt;0,($I33/$G33)*DO33,0)*(1-$K33)</f>
        <v>0</v>
      </c>
      <c r="DR33" s="1117">
        <f>VLOOKUP($E33,DO$442:DR$453,4,FALSE)*DO33*($K33)+(DO33-DP33-DQ33)*(1-$K33)</f>
        <v>2407306658</v>
      </c>
      <c r="DS33" s="1118"/>
      <c r="DW33" s="1116">
        <f>$G33</f>
        <v>2407306658</v>
      </c>
      <c r="DX33" s="1117">
        <f>VLOOKUP($E33,DW$442:DZ$453,2,FALSE)*DW33*($K33)+IF($G33&gt;0,($H33/$G33)*DW33,0)*(1-$K33)</f>
        <v>0</v>
      </c>
      <c r="DY33" s="1117">
        <f>VLOOKUP($E33,DW$442:DZ$453,3,FALSE)*DW33*($K33)+IF($G33&gt;0,($I33/$G33)*DW33,0)*(1-$K33)</f>
        <v>0</v>
      </c>
      <c r="DZ33" s="1117">
        <f>VLOOKUP($E33,DW$442:DZ$453,4,FALSE)*DW33*($K33)+(DW33-DX33-DY33)*(1-$K33)</f>
        <v>2407306658</v>
      </c>
      <c r="EA33" s="1118"/>
      <c r="EE33" s="1116">
        <f>$G33</f>
        <v>2407306658</v>
      </c>
      <c r="EF33" s="1117">
        <f>VLOOKUP($E33,EE$442:EH$453,2,FALSE)*EE33*($K33)+IF($G33&gt;0,($H33/$G33)*EE33,0)*(1-$K33)</f>
        <v>0</v>
      </c>
      <c r="EG33" s="1117">
        <f>VLOOKUP($E33,EE$442:EH$453,3,FALSE)*EE33*($K33)+IF($G33&gt;0,($I33/$G33)*EE33,0)*(1-$K33)</f>
        <v>0</v>
      </c>
      <c r="EH33" s="1117">
        <f>VLOOKUP($E33,EE$442:EH$453,4,FALSE)*EE33*($K33)+(EE33-EF33-EG33)*(1-$K33)</f>
        <v>2407306658</v>
      </c>
      <c r="EI33" s="1118"/>
      <c r="EM33" s="1116">
        <f>$G33</f>
        <v>2407306658</v>
      </c>
      <c r="EN33" s="1117">
        <f>VLOOKUP($E33,EM$442:EP$453,2,FALSE)*EM33*($K33)+IF($G33&gt;0,($H33/$G33)*EM33,0)*(1-$K33)</f>
        <v>0</v>
      </c>
      <c r="EO33" s="1117">
        <f>VLOOKUP($E33,EM$442:EP$453,3,FALSE)*EM33*($K33)+IF($G33&gt;0,($I33/$G33)*EM33,0)*(1-$K33)</f>
        <v>0</v>
      </c>
      <c r="EP33" s="1117">
        <f>VLOOKUP($E33,EM$442:EP$453,4,FALSE)*EM33*($K33)+(EM33-EN33-EO33)*(1-$K33)</f>
        <v>2407306658</v>
      </c>
      <c r="EQ33" s="1118"/>
      <c r="EU33" s="1116">
        <f>$G33</f>
        <v>2407306658</v>
      </c>
      <c r="EV33" s="1117">
        <f>VLOOKUP($E33,EU$442:EX$453,2,FALSE)*EU33*($K33)+IF($G33&gt;0,($H33/$G33)*EU33,0)*(1-$K33)</f>
        <v>0</v>
      </c>
      <c r="EW33" s="1117">
        <f>VLOOKUP($E33,EU$442:EX$453,3,FALSE)*EU33*($K33)+IF($G33&gt;0,($I33/$G33)*EU33,0)*(1-$K33)</f>
        <v>0</v>
      </c>
      <c r="EX33" s="1117">
        <f>VLOOKUP($E33,EU$442:EX$453,4,FALSE)*EU33*($K33)+(EU33-EV33-EW33)*(1-$K33)</f>
        <v>2407306658</v>
      </c>
      <c r="EY33" s="1118"/>
      <c r="FC33" s="1116">
        <f>$G33</f>
        <v>2407306658</v>
      </c>
      <c r="FD33" s="1117">
        <f>VLOOKUP($E33,FC$442:FF$453,2,FALSE)*FC33*($K33)+IF($G33&gt;0,($H33/$G33)*FC33,0)*(1-$K33)</f>
        <v>0</v>
      </c>
      <c r="FE33" s="1117">
        <f>VLOOKUP($E33,FC$442:FF$453,3,FALSE)*FC33*($K33)+IF($G33&gt;0,($I33/$G33)*FC33,0)*(1-$K33)</f>
        <v>0</v>
      </c>
      <c r="FF33" s="1117">
        <f>VLOOKUP($E33,FC$442:FF$453,4,FALSE)*FC33*($K33)+(FC33-FD33-FE33)*(1-$K33)</f>
        <v>2407306658</v>
      </c>
      <c r="FG33" s="1118"/>
      <c r="FK33" s="1116">
        <f>$G33</f>
        <v>2407306658</v>
      </c>
      <c r="FL33" s="1117">
        <f>VLOOKUP($E33,FK$442:FN$453,2,FALSE)*FK33*($K33)+IF($G33&gt;0,($H33/$G33)*FK33,0)*(1-$K33)</f>
        <v>0</v>
      </c>
      <c r="FM33" s="1117">
        <f>VLOOKUP($E33,FK$442:FN$453,3,FALSE)*FK33*($K33)+IF($G33&gt;0,($I33/$G33)*FK33,0)*(1-$K33)</f>
        <v>0</v>
      </c>
      <c r="FN33" s="1117">
        <f>VLOOKUP($E33,FK$442:FN$453,4,FALSE)*FK33*($K33)+(FK33-FL33-FM33)*(1-$K33)</f>
        <v>2407306658</v>
      </c>
      <c r="FO33" s="1118"/>
    </row>
    <row r="34" spans="1:171">
      <c r="A34" s="1351" t="s">
        <v>122</v>
      </c>
      <c r="B34" s="220"/>
      <c r="C34" s="914"/>
      <c r="D34" s="915"/>
      <c r="E34" s="915"/>
      <c r="F34" s="916"/>
      <c r="G34" s="905">
        <f>SUM(G33)</f>
        <v>2407306658</v>
      </c>
      <c r="H34" s="905">
        <f>SUM(H33)</f>
        <v>0</v>
      </c>
      <c r="I34" s="905">
        <f>SUM(I33)</f>
        <v>0</v>
      </c>
      <c r="J34" s="1417">
        <f>SUM(J33)</f>
        <v>2407306658</v>
      </c>
      <c r="K34" s="903"/>
      <c r="O34" s="905">
        <f>SUM(O33)</f>
        <v>2407306658</v>
      </c>
      <c r="P34" s="905">
        <f>SUM(P33)</f>
        <v>0</v>
      </c>
      <c r="Q34" s="905">
        <f>SUM(Q33)</f>
        <v>0</v>
      </c>
      <c r="R34" s="905">
        <f>SUM(R33)</f>
        <v>2407306658</v>
      </c>
      <c r="S34" s="1118"/>
      <c r="W34" s="905">
        <f>SUM(W33)</f>
        <v>2407306658</v>
      </c>
      <c r="X34" s="905">
        <f>SUM(X33)</f>
        <v>0</v>
      </c>
      <c r="Y34" s="905">
        <f>SUM(Y33)</f>
        <v>0</v>
      </c>
      <c r="Z34" s="905">
        <f>SUM(Z33)</f>
        <v>2407306658</v>
      </c>
      <c r="AA34" s="1118"/>
      <c r="AE34" s="905">
        <f>SUM(AE33)</f>
        <v>2407306658</v>
      </c>
      <c r="AF34" s="905">
        <f>SUM(AF33)</f>
        <v>0</v>
      </c>
      <c r="AG34" s="905">
        <f>SUM(AG33)</f>
        <v>0</v>
      </c>
      <c r="AH34" s="905">
        <f>SUM(AH33)</f>
        <v>2407306658</v>
      </c>
      <c r="AI34" s="1118"/>
      <c r="AM34" s="905">
        <f>SUM(AM33)</f>
        <v>2407306658</v>
      </c>
      <c r="AN34" s="905">
        <f>SUM(AN33)</f>
        <v>0</v>
      </c>
      <c r="AO34" s="905">
        <f>SUM(AO33)</f>
        <v>0</v>
      </c>
      <c r="AP34" s="905">
        <f>SUM(AP33)</f>
        <v>2407306658</v>
      </c>
      <c r="AQ34" s="1118"/>
      <c r="AU34" s="905">
        <f>SUM(AU33)</f>
        <v>2407306658</v>
      </c>
      <c r="AV34" s="905">
        <f>SUM(AV33)</f>
        <v>0</v>
      </c>
      <c r="AW34" s="905">
        <f>SUM(AW33)</f>
        <v>0</v>
      </c>
      <c r="AX34" s="905">
        <f>SUM(AX33)</f>
        <v>2407306658</v>
      </c>
      <c r="AY34" s="1118"/>
      <c r="BC34" s="905">
        <f>SUM(BC33)</f>
        <v>2407306658</v>
      </c>
      <c r="BD34" s="905">
        <f>SUM(BD33)</f>
        <v>0</v>
      </c>
      <c r="BE34" s="905">
        <f>SUM(BE33)</f>
        <v>0</v>
      </c>
      <c r="BF34" s="905">
        <f>SUM(BF33)</f>
        <v>2407306658</v>
      </c>
      <c r="BG34" s="1118"/>
      <c r="BK34" s="905">
        <f>SUM(BK33)</f>
        <v>2407306658</v>
      </c>
      <c r="BL34" s="905">
        <f>SUM(BL33)</f>
        <v>0</v>
      </c>
      <c r="BM34" s="905">
        <f>SUM(BM33)</f>
        <v>0</v>
      </c>
      <c r="BN34" s="905">
        <f>SUM(BN33)</f>
        <v>2407306658</v>
      </c>
      <c r="BO34" s="1118"/>
      <c r="BS34" s="905">
        <f>SUM(BS33)</f>
        <v>2407306658</v>
      </c>
      <c r="BT34" s="905">
        <f>SUM(BT33)</f>
        <v>0</v>
      </c>
      <c r="BU34" s="905">
        <f>SUM(BU33)</f>
        <v>0</v>
      </c>
      <c r="BV34" s="905">
        <f>SUM(BV33)</f>
        <v>2407306658</v>
      </c>
      <c r="BW34" s="1118"/>
      <c r="CA34" s="905">
        <f>SUM(CA33)</f>
        <v>2407306658</v>
      </c>
      <c r="CB34" s="905">
        <f>SUM(CB33)</f>
        <v>0</v>
      </c>
      <c r="CC34" s="905">
        <f>SUM(CC33)</f>
        <v>0</v>
      </c>
      <c r="CD34" s="905">
        <f>SUM(CD33)</f>
        <v>2407306658</v>
      </c>
      <c r="CE34" s="1118"/>
      <c r="CI34" s="905">
        <f>SUM(CI33)</f>
        <v>2407306658</v>
      </c>
      <c r="CJ34" s="905">
        <f>SUM(CJ33)</f>
        <v>0</v>
      </c>
      <c r="CK34" s="905">
        <f>SUM(CK33)</f>
        <v>0</v>
      </c>
      <c r="CL34" s="905">
        <f>SUM(CL33)</f>
        <v>2407306658</v>
      </c>
      <c r="CM34" s="1118"/>
      <c r="CQ34" s="905">
        <f>SUM(CQ33)</f>
        <v>2407306658</v>
      </c>
      <c r="CR34" s="905">
        <f>SUM(CR33)</f>
        <v>0</v>
      </c>
      <c r="CS34" s="905">
        <f>SUM(CS33)</f>
        <v>0</v>
      </c>
      <c r="CT34" s="905">
        <f>SUM(CT33)</f>
        <v>2407306658</v>
      </c>
      <c r="CU34" s="1118"/>
      <c r="CY34" s="905">
        <f>SUM(CY33)</f>
        <v>2407306658</v>
      </c>
      <c r="CZ34" s="905">
        <f>SUM(CZ33)</f>
        <v>0</v>
      </c>
      <c r="DA34" s="905">
        <f>SUM(DA33)</f>
        <v>0</v>
      </c>
      <c r="DB34" s="905">
        <f>SUM(DB33)</f>
        <v>2407306658</v>
      </c>
      <c r="DC34" s="1118"/>
      <c r="DG34" s="905">
        <f>SUM(DG33)</f>
        <v>2407306658</v>
      </c>
      <c r="DH34" s="905">
        <f>SUM(DH33)</f>
        <v>0</v>
      </c>
      <c r="DI34" s="905">
        <f>SUM(DI33)</f>
        <v>0</v>
      </c>
      <c r="DJ34" s="905">
        <f>SUM(DJ33)</f>
        <v>2407306658</v>
      </c>
      <c r="DK34" s="1118"/>
      <c r="DO34" s="905">
        <f>SUM(DO33)</f>
        <v>2407306658</v>
      </c>
      <c r="DP34" s="905">
        <f>SUM(DP33)</f>
        <v>0</v>
      </c>
      <c r="DQ34" s="905">
        <f>SUM(DQ33)</f>
        <v>0</v>
      </c>
      <c r="DR34" s="905">
        <f>SUM(DR33)</f>
        <v>2407306658</v>
      </c>
      <c r="DS34" s="1118"/>
      <c r="DW34" s="905">
        <f>SUM(DW33)</f>
        <v>2407306658</v>
      </c>
      <c r="DX34" s="905">
        <f>SUM(DX33)</f>
        <v>0</v>
      </c>
      <c r="DY34" s="905">
        <f>SUM(DY33)</f>
        <v>0</v>
      </c>
      <c r="DZ34" s="905">
        <f>SUM(DZ33)</f>
        <v>2407306658</v>
      </c>
      <c r="EA34" s="1118"/>
      <c r="EE34" s="905">
        <f>SUM(EE33)</f>
        <v>2407306658</v>
      </c>
      <c r="EF34" s="905">
        <f>SUM(EF33)</f>
        <v>0</v>
      </c>
      <c r="EG34" s="905">
        <f>SUM(EG33)</f>
        <v>0</v>
      </c>
      <c r="EH34" s="905">
        <f>SUM(EH33)</f>
        <v>2407306658</v>
      </c>
      <c r="EI34" s="1118"/>
      <c r="EM34" s="905">
        <f>SUM(EM33)</f>
        <v>2407306658</v>
      </c>
      <c r="EN34" s="905">
        <f>SUM(EN33)</f>
        <v>0</v>
      </c>
      <c r="EO34" s="905">
        <f>SUM(EO33)</f>
        <v>0</v>
      </c>
      <c r="EP34" s="905">
        <f>SUM(EP33)</f>
        <v>2407306658</v>
      </c>
      <c r="EQ34" s="1118"/>
      <c r="EU34" s="905">
        <f>SUM(EU33)</f>
        <v>2407306658</v>
      </c>
      <c r="EV34" s="905">
        <f>SUM(EV33)</f>
        <v>0</v>
      </c>
      <c r="EW34" s="905">
        <f>SUM(EW33)</f>
        <v>0</v>
      </c>
      <c r="EX34" s="905">
        <f>SUM(EX33)</f>
        <v>2407306658</v>
      </c>
      <c r="EY34" s="1118"/>
      <c r="FC34" s="905">
        <f>SUM(FC33)</f>
        <v>2407306658</v>
      </c>
      <c r="FD34" s="905">
        <f>SUM(FD33)</f>
        <v>0</v>
      </c>
      <c r="FE34" s="905">
        <f>SUM(FE33)</f>
        <v>0</v>
      </c>
      <c r="FF34" s="905">
        <f>SUM(FF33)</f>
        <v>2407306658</v>
      </c>
      <c r="FG34" s="1118"/>
      <c r="FK34" s="905">
        <f>SUM(FK33)</f>
        <v>2407306658</v>
      </c>
      <c r="FL34" s="905">
        <f>SUM(FL33)</f>
        <v>0</v>
      </c>
      <c r="FM34" s="905">
        <f>SUM(FM33)</f>
        <v>0</v>
      </c>
      <c r="FN34" s="905">
        <f>SUM(FN33)</f>
        <v>2407306658</v>
      </c>
      <c r="FO34" s="1118"/>
    </row>
    <row r="35" spans="1:171">
      <c r="A35" s="1351"/>
      <c r="B35" s="220"/>
      <c r="C35" s="55"/>
      <c r="D35" s="55"/>
      <c r="E35" s="55"/>
      <c r="F35" s="55"/>
      <c r="G35" s="919"/>
      <c r="H35" s="919"/>
      <c r="I35" s="919"/>
      <c r="J35" s="1427"/>
      <c r="K35" s="903"/>
      <c r="S35" s="1118"/>
      <c r="AA35" s="1118"/>
      <c r="AI35" s="1118"/>
      <c r="AQ35" s="1118"/>
      <c r="AY35" s="1118"/>
      <c r="BG35" s="1118"/>
      <c r="BO35" s="1118"/>
      <c r="BW35" s="1118"/>
      <c r="CE35" s="1118"/>
      <c r="CM35" s="1118"/>
      <c r="CU35" s="1118"/>
      <c r="DC35" s="1118"/>
      <c r="DK35" s="1118"/>
      <c r="DS35" s="1118"/>
      <c r="EA35" s="1118"/>
      <c r="EI35" s="1118"/>
      <c r="EQ35" s="1118"/>
      <c r="EY35" s="1118"/>
      <c r="FG35" s="1118"/>
      <c r="FO35" s="1118"/>
    </row>
    <row r="36" spans="1:171">
      <c r="A36" s="1342" t="s">
        <v>124</v>
      </c>
      <c r="B36" s="64"/>
      <c r="C36" s="55"/>
      <c r="D36" s="196"/>
      <c r="E36" s="196"/>
      <c r="F36" s="196"/>
      <c r="G36" s="221"/>
      <c r="H36" s="221"/>
      <c r="I36" s="221"/>
      <c r="J36" s="1428"/>
      <c r="K36" s="903"/>
      <c r="S36" s="1118"/>
      <c r="AA36" s="1118"/>
      <c r="AI36" s="1118"/>
      <c r="AQ36" s="1118"/>
      <c r="AY36" s="1118"/>
      <c r="BG36" s="1118"/>
      <c r="BO36" s="1118"/>
      <c r="BW36" s="1118"/>
      <c r="CE36" s="1118"/>
      <c r="CM36" s="1118"/>
      <c r="CU36" s="1118"/>
      <c r="DC36" s="1118"/>
      <c r="DK36" s="1118"/>
      <c r="DS36" s="1118"/>
      <c r="EA36" s="1118"/>
      <c r="EI36" s="1118"/>
      <c r="EQ36" s="1118"/>
      <c r="EY36" s="1118"/>
      <c r="FG36" s="1118"/>
      <c r="FO36" s="1118"/>
    </row>
    <row r="37" spans="1:171">
      <c r="A37" s="1423"/>
      <c r="B37" s="10" t="s">
        <v>125</v>
      </c>
      <c r="C37" s="887" t="s">
        <v>70</v>
      </c>
      <c r="D37" s="888">
        <v>389</v>
      </c>
      <c r="E37" s="182" t="str">
        <f>'Sch 1- Rate Base '!E37</f>
        <v>PTD</v>
      </c>
      <c r="F37" s="889"/>
      <c r="G37" s="182">
        <f>'Sch 1- Rate Base '!G37</f>
        <v>1083006</v>
      </c>
      <c r="H37" s="182">
        <f>'Sch 1- Rate Base '!H37</f>
        <v>344136.87305185618</v>
      </c>
      <c r="I37" s="182">
        <f>'Sch 1- Rate Base '!I37</f>
        <v>0</v>
      </c>
      <c r="J37" s="1424">
        <f>'Sch 1- Rate Base '!J37</f>
        <v>738869.1269481437</v>
      </c>
      <c r="K37" s="903">
        <f t="shared" ref="K37:K48" si="0">IF($E37="DIRECT",0,1)</f>
        <v>1</v>
      </c>
      <c r="L37" s="1123">
        <f t="shared" ref="L37:L48" si="1">$G37/($G$26+$G$30+$G$34)</f>
        <v>2.1323626243435336E-4</v>
      </c>
      <c r="O37" s="1116">
        <f>(O$26+O$30+O$34)*$L37</f>
        <v>1083006</v>
      </c>
      <c r="P37" s="1117">
        <f>VLOOKUP($E37,O$442:R$453,2,FALSE)*O37*($K37)+IF($G37&gt;0,($H37/$G37)*O37,0)*(1-$K37)</f>
        <v>344136.87305185618</v>
      </c>
      <c r="Q37" s="1117">
        <f>VLOOKUP($E37,O$442:R$453,3,FALSE)*O37*($K37)+IF($G37&gt;0,($I37/$G37)*O37,0)*(1-$K37)</f>
        <v>225544.05266288968</v>
      </c>
      <c r="R37" s="1117">
        <f>VLOOKUP($E37,O$442:R$453,4,FALSE)*O37*($K37)+(O37-P37-Q37)*(1-$K37)</f>
        <v>513325.07428525412</v>
      </c>
      <c r="S37" s="1118"/>
      <c r="W37" s="1116">
        <f>(W$26+W$30+W$34)*$L37</f>
        <v>1083006</v>
      </c>
      <c r="X37" s="1117">
        <f>VLOOKUP($E37,W$442:Z$453,2,FALSE)*W37*($K37)+IF($G37&gt;0,($H37/$G37)*W37,0)*(1-$K37)</f>
        <v>344136.87305185618</v>
      </c>
      <c r="Y37" s="1117">
        <f>VLOOKUP($E37,W$442:Z$453,3,FALSE)*W37*($K37)+IF($G37&gt;0,($I37/$G37)*W37,0)*(1-$K37)</f>
        <v>225544.05266288968</v>
      </c>
      <c r="Z37" s="1117">
        <f>VLOOKUP($E37,W$442:Z$453,4,FALSE)*W37*($K37)+(W37-X37-Y37)*(1-$K37)</f>
        <v>513325.07428525412</v>
      </c>
      <c r="AA37" s="1118"/>
      <c r="AE37" s="1116">
        <f>(AE$26+AE$30+AE$34)*$L37</f>
        <v>1083006</v>
      </c>
      <c r="AF37" s="1117">
        <f>VLOOKUP($E37,AE$442:AH$453,2,FALSE)*AE37*($K37)+IF($G37&gt;0,($H37/$G37)*AE37,0)*(1-$K37)</f>
        <v>344136.87305185618</v>
      </c>
      <c r="AG37" s="1117">
        <f>VLOOKUP($E37,AE$442:AH$453,3,FALSE)*AE37*($K37)+IF($G37&gt;0,($I37/$G37)*AE37,0)*(1-$K37)</f>
        <v>225544.05266288968</v>
      </c>
      <c r="AH37" s="1117">
        <f>VLOOKUP($E37,AE$442:AH$453,4,FALSE)*AE37*($K37)+(AE37-AF37-AG37)*(1-$K37)</f>
        <v>513325.07428525412</v>
      </c>
      <c r="AI37" s="1118"/>
      <c r="AM37" s="1116">
        <f>(AM$26+AM$30+AM$34)*$L37</f>
        <v>1083006</v>
      </c>
      <c r="AN37" s="1117">
        <f>VLOOKUP($E37,AM$442:AP$453,2,FALSE)*AM37*($K37)+IF($G37&gt;0,($H37/$G37)*AM37,0)*(1-$K37)</f>
        <v>344136.87305185618</v>
      </c>
      <c r="AO37" s="1117">
        <f>VLOOKUP($E37,AM$442:AP$453,3,FALSE)*AM37*($K37)+IF($G37&gt;0,($I37/$G37)*AM37,0)*(1-$K37)</f>
        <v>225544.05266288968</v>
      </c>
      <c r="AP37" s="1117">
        <f>VLOOKUP($E37,AM$442:AP$453,4,FALSE)*AM37*($K37)+(AM37-AN37-AO37)*(1-$K37)</f>
        <v>513325.07428525412</v>
      </c>
      <c r="AQ37" s="1118"/>
      <c r="AU37" s="1116">
        <f>(AU$26+AU$30+AU$34)*$L37</f>
        <v>1083006</v>
      </c>
      <c r="AV37" s="1117">
        <f>VLOOKUP($E37,AU$442:AX$453,2,FALSE)*AU37*($K37)+IF($G37&gt;0,($H37/$G37)*AU37,0)*(1-$K37)</f>
        <v>344136.87305185618</v>
      </c>
      <c r="AW37" s="1117">
        <f>VLOOKUP($E37,AU$442:AX$453,3,FALSE)*AU37*($K37)+IF($G37&gt;0,($I37/$G37)*AU37,0)*(1-$K37)</f>
        <v>225544.05266288968</v>
      </c>
      <c r="AX37" s="1117">
        <f>VLOOKUP($E37,AU$442:AX$453,4,FALSE)*AU37*($K37)+(AU37-AV37-AW37)*(1-$K37)</f>
        <v>513325.07428525412</v>
      </c>
      <c r="AY37" s="1118"/>
      <c r="BC37" s="1116">
        <f>(BC$26+BC$30+BC$34)*$L37</f>
        <v>1083006</v>
      </c>
      <c r="BD37" s="1117">
        <f>VLOOKUP($E37,BC$442:BF$453,2,FALSE)*BC37*($K37)+IF($G37&gt;0,($H37/$G37)*BC37,0)*(1-$K37)</f>
        <v>344136.87305185618</v>
      </c>
      <c r="BE37" s="1117">
        <f>VLOOKUP($E37,BC$442:BF$453,3,FALSE)*BC37*($K37)+IF($G37&gt;0,($I37/$G37)*BC37,0)*(1-$K37)</f>
        <v>225544.05266288968</v>
      </c>
      <c r="BF37" s="1117">
        <f>VLOOKUP($E37,BC$442:BF$453,4,FALSE)*BC37*($K37)+(BC37-BD37-BE37)*(1-$K37)</f>
        <v>513325.07428525412</v>
      </c>
      <c r="BG37" s="1118"/>
      <c r="BK37" s="1116">
        <f>(BK$26+BK$30+BK$34)*$L37</f>
        <v>1083006</v>
      </c>
      <c r="BL37" s="1117">
        <f>VLOOKUP($E37,BK$442:BN$453,2,FALSE)*BK37*($K37)+IF($G37&gt;0,($H37/$G37)*BK37,0)*(1-$K37)</f>
        <v>344136.87305185618</v>
      </c>
      <c r="BM37" s="1117">
        <f>VLOOKUP($E37,BK$442:BN$453,3,FALSE)*BK37*($K37)+IF($G37&gt;0,($I37/$G37)*BK37,0)*(1-$K37)</f>
        <v>225544.05266288968</v>
      </c>
      <c r="BN37" s="1117">
        <f>VLOOKUP($E37,BK$442:BN$453,4,FALSE)*BK37*($K37)+(BK37-BL37-BM37)*(1-$K37)</f>
        <v>513325.07428525412</v>
      </c>
      <c r="BO37" s="1118"/>
      <c r="BS37" s="1116">
        <f>(BS$26+BS$30+BS$34)*$L37</f>
        <v>1083006</v>
      </c>
      <c r="BT37" s="1117">
        <f>VLOOKUP($E37,BS$442:BV$453,2,FALSE)*BS37*($K37)+IF($G37&gt;0,($H37/$G37)*BS37,0)*(1-$K37)</f>
        <v>344136.87305185618</v>
      </c>
      <c r="BU37" s="1117">
        <f>VLOOKUP($E37,BS$442:BV$453,3,FALSE)*BS37*($K37)+IF($G37&gt;0,($I37/$G37)*BS37,0)*(1-$K37)</f>
        <v>225544.05266288968</v>
      </c>
      <c r="BV37" s="1117">
        <f>VLOOKUP($E37,BS$442:BV$453,4,FALSE)*BS37*($K37)+(BS37-BT37-BU37)*(1-$K37)</f>
        <v>513325.07428525412</v>
      </c>
      <c r="BW37" s="1118"/>
      <c r="CA37" s="1116">
        <f>(CA$26+CA$30+CA$34)*$L37</f>
        <v>1083006</v>
      </c>
      <c r="CB37" s="1117">
        <f>VLOOKUP($E37,CA$442:CD$453,2,FALSE)*CA37*($K37)+IF($G37&gt;0,($H37/$G37)*CA37,0)*(1-$K37)</f>
        <v>344136.87305185618</v>
      </c>
      <c r="CC37" s="1117">
        <f>VLOOKUP($E37,CA$442:CD$453,3,FALSE)*CA37*($K37)+IF($G37&gt;0,($I37/$G37)*CA37,0)*(1-$K37)</f>
        <v>225544.05266288968</v>
      </c>
      <c r="CD37" s="1117">
        <f>VLOOKUP($E37,CA$442:CD$453,4,FALSE)*CA37*($K37)+(CA37-CB37-CC37)*(1-$K37)</f>
        <v>513325.07428525412</v>
      </c>
      <c r="CE37" s="1118"/>
      <c r="CI37" s="1116">
        <f>(CI$26+CI$30+CI$34)*$L37</f>
        <v>1083006</v>
      </c>
      <c r="CJ37" s="1117">
        <f>VLOOKUP($E37,CI$442:CL$453,2,FALSE)*CI37*($K37)+IF($G37&gt;0,($H37/$G37)*CI37,0)*(1-$K37)</f>
        <v>344136.87305185618</v>
      </c>
      <c r="CK37" s="1117">
        <f>VLOOKUP($E37,CI$442:CL$453,3,FALSE)*CI37*($K37)+IF($G37&gt;0,($I37/$G37)*CI37,0)*(1-$K37)</f>
        <v>225544.05266288968</v>
      </c>
      <c r="CL37" s="1117">
        <f>VLOOKUP($E37,CI$442:CL$453,4,FALSE)*CI37*($K37)+(CI37-CJ37-CK37)*(1-$K37)</f>
        <v>513325.07428525412</v>
      </c>
      <c r="CM37" s="1118"/>
      <c r="CQ37" s="1116">
        <f>(CQ$26+CQ$30+CQ$34)*$L37</f>
        <v>1083006</v>
      </c>
      <c r="CR37" s="1117">
        <f>VLOOKUP($E37,CQ$442:CT$453,2,FALSE)*CQ37*($K37)+IF($G37&gt;0,($H37/$G37)*CQ37,0)*(1-$K37)</f>
        <v>344136.87305185618</v>
      </c>
      <c r="CS37" s="1117">
        <f>VLOOKUP($E37,CQ$442:CT$453,3,FALSE)*CQ37*($K37)+IF($G37&gt;0,($I37/$G37)*CQ37,0)*(1-$K37)</f>
        <v>225544.05266288968</v>
      </c>
      <c r="CT37" s="1117">
        <f>VLOOKUP($E37,CQ$442:CT$453,4,FALSE)*CQ37*($K37)+(CQ37-CR37-CS37)*(1-$K37)</f>
        <v>513325.07428525412</v>
      </c>
      <c r="CU37" s="1118"/>
      <c r="CY37" s="1116">
        <f>(CY$26+CY$30+CY$34)*$L37</f>
        <v>1083006</v>
      </c>
      <c r="CZ37" s="1117">
        <f>VLOOKUP($E37,CY$442:DB$453,2,FALSE)*CY37*($K37)+IF($G37&gt;0,($H37/$G37)*CY37,0)*(1-$K37)</f>
        <v>344136.87305185618</v>
      </c>
      <c r="DA37" s="1117">
        <f>VLOOKUP($E37,CY$442:DB$453,3,FALSE)*CY37*($K37)+IF($G37&gt;0,($I37/$G37)*CY37,0)*(1-$K37)</f>
        <v>225544.05266288968</v>
      </c>
      <c r="DB37" s="1117">
        <f>VLOOKUP($E37,CY$442:DB$453,4,FALSE)*CY37*($K37)+(CY37-CZ37-DA37)*(1-$K37)</f>
        <v>513325.07428525412</v>
      </c>
      <c r="DC37" s="1118"/>
      <c r="DG37" s="1116">
        <f>(DG$26+DG$30+DG$34)*$L37</f>
        <v>1083006</v>
      </c>
      <c r="DH37" s="1117">
        <f>VLOOKUP($E37,DG$442:DJ$453,2,FALSE)*DG37*($K37)+IF($G37&gt;0,($H37/$G37)*DG37,0)*(1-$K37)</f>
        <v>344136.87305185618</v>
      </c>
      <c r="DI37" s="1117">
        <f>VLOOKUP($E37,DG$442:DJ$453,3,FALSE)*DG37*($K37)+IF($G37&gt;0,($I37/$G37)*DG37,0)*(1-$K37)</f>
        <v>225544.05266288968</v>
      </c>
      <c r="DJ37" s="1117">
        <f>VLOOKUP($E37,DG$442:DJ$453,4,FALSE)*DG37*($K37)+(DG37-DH37-DI37)*(1-$K37)</f>
        <v>513325.07428525412</v>
      </c>
      <c r="DK37" s="1118"/>
      <c r="DO37" s="1116">
        <f>(DO$26+DO$30+DO$34)*$L37</f>
        <v>1083006</v>
      </c>
      <c r="DP37" s="1117">
        <f>VLOOKUP($E37,DO$442:DR$453,2,FALSE)*DO37*($K37)+IF($G37&gt;0,($H37/$G37)*DO37,0)*(1-$K37)</f>
        <v>344136.87305185618</v>
      </c>
      <c r="DQ37" s="1117">
        <f>VLOOKUP($E37,DO$442:DR$453,3,FALSE)*DO37*($K37)+IF($G37&gt;0,($I37/$G37)*DO37,0)*(1-$K37)</f>
        <v>225544.05266288968</v>
      </c>
      <c r="DR37" s="1117">
        <f>VLOOKUP($E37,DO$442:DR$453,4,FALSE)*DO37*($K37)+(DO37-DP37-DQ37)*(1-$K37)</f>
        <v>513325.07428525412</v>
      </c>
      <c r="DS37" s="1118"/>
      <c r="DW37" s="1116">
        <f>(DW$26+DW$30+DW$34)*$L37</f>
        <v>1083006</v>
      </c>
      <c r="DX37" s="1117">
        <f>VLOOKUP($E37,DW$442:DZ$453,2,FALSE)*DW37*($K37)+IF($G37&gt;0,($H37/$G37)*DW37,0)*(1-$K37)</f>
        <v>344136.87305185618</v>
      </c>
      <c r="DY37" s="1117">
        <f>VLOOKUP($E37,DW$442:DZ$453,3,FALSE)*DW37*($K37)+IF($G37&gt;0,($I37/$G37)*DW37,0)*(1-$K37)</f>
        <v>225544.05266288968</v>
      </c>
      <c r="DZ37" s="1117">
        <f>VLOOKUP($E37,DW$442:DZ$453,4,FALSE)*DW37*($K37)+(DW37-DX37-DY37)*(1-$K37)</f>
        <v>513325.07428525412</v>
      </c>
      <c r="EA37" s="1118"/>
      <c r="EE37" s="1116">
        <f>(EE$26+EE$30+EE$34)*$L37</f>
        <v>1083006</v>
      </c>
      <c r="EF37" s="1117">
        <f>VLOOKUP($E37,EE$442:EH$453,2,FALSE)*EE37*($K37)+IF($G37&gt;0,($H37/$G37)*EE37,0)*(1-$K37)</f>
        <v>344136.87305185618</v>
      </c>
      <c r="EG37" s="1117">
        <f>VLOOKUP($E37,EE$442:EH$453,3,FALSE)*EE37*($K37)+IF($G37&gt;0,($I37/$G37)*EE37,0)*(1-$K37)</f>
        <v>225544.05266288968</v>
      </c>
      <c r="EH37" s="1117">
        <f>VLOOKUP($E37,EE$442:EH$453,4,FALSE)*EE37*($K37)+(EE37-EF37-EG37)*(1-$K37)</f>
        <v>513325.07428525412</v>
      </c>
      <c r="EI37" s="1118"/>
      <c r="EM37" s="1116">
        <f>(EM$26+EM$30+EM$34)*$L37</f>
        <v>1083006</v>
      </c>
      <c r="EN37" s="1117">
        <f>VLOOKUP($E37,EM$442:EP$453,2,FALSE)*EM37*($K37)+IF($G37&gt;0,($H37/$G37)*EM37,0)*(1-$K37)</f>
        <v>344136.87305185618</v>
      </c>
      <c r="EO37" s="1117">
        <f>VLOOKUP($E37,EM$442:EP$453,3,FALSE)*EM37*($K37)+IF($G37&gt;0,($I37/$G37)*EM37,0)*(1-$K37)</f>
        <v>225544.05266288968</v>
      </c>
      <c r="EP37" s="1117">
        <f>VLOOKUP($E37,EM$442:EP$453,4,FALSE)*EM37*($K37)+(EM37-EN37-EO37)*(1-$K37)</f>
        <v>513325.07428525412</v>
      </c>
      <c r="EQ37" s="1118"/>
      <c r="EU37" s="1116">
        <f>(EU$26+EU$30+EU$34)*$L37</f>
        <v>1083006</v>
      </c>
      <c r="EV37" s="1117">
        <f>VLOOKUP($E37,EU$442:EX$453,2,FALSE)*EU37*($K37)+IF($G37&gt;0,($H37/$G37)*EU37,0)*(1-$K37)</f>
        <v>344136.87305185618</v>
      </c>
      <c r="EW37" s="1117">
        <f>VLOOKUP($E37,EU$442:EX$453,3,FALSE)*EU37*($K37)+IF($G37&gt;0,($I37/$G37)*EU37,0)*(1-$K37)</f>
        <v>225544.05266288968</v>
      </c>
      <c r="EX37" s="1117">
        <f>VLOOKUP($E37,EU$442:EX$453,4,FALSE)*EU37*($K37)+(EU37-EV37-EW37)*(1-$K37)</f>
        <v>513325.07428525412</v>
      </c>
      <c r="EY37" s="1118"/>
      <c r="FC37" s="1116">
        <f>(FC$26+FC$30+FC$34)*$L37</f>
        <v>1083006</v>
      </c>
      <c r="FD37" s="1117">
        <f>VLOOKUP($E37,FC$442:FF$453,2,FALSE)*FC37*($K37)+IF($G37&gt;0,($H37/$G37)*FC37,0)*(1-$K37)</f>
        <v>344136.87305185618</v>
      </c>
      <c r="FE37" s="1117">
        <f>VLOOKUP($E37,FC$442:FF$453,3,FALSE)*FC37*($K37)+IF($G37&gt;0,($I37/$G37)*FC37,0)*(1-$K37)</f>
        <v>225544.05266288968</v>
      </c>
      <c r="FF37" s="1117">
        <f>VLOOKUP($E37,FC$442:FF$453,4,FALSE)*FC37*($K37)+(FC37-FD37-FE37)*(1-$K37)</f>
        <v>513325.07428525412</v>
      </c>
      <c r="FG37" s="1118"/>
      <c r="FK37" s="1116">
        <f>(FK$26+FK$30+FK$34)*$L37</f>
        <v>1083006</v>
      </c>
      <c r="FL37" s="1117">
        <f>VLOOKUP($E37,FK$442:FN$453,2,FALSE)*FK37*($K37)+IF($G37&gt;0,($H37/$G37)*FK37,0)*(1-$K37)</f>
        <v>344136.87305185618</v>
      </c>
      <c r="FM37" s="1117">
        <f>VLOOKUP($E37,FK$442:FN$453,3,FALSE)*FK37*($K37)+IF($G37&gt;0,($I37/$G37)*FK37,0)*(1-$K37)</f>
        <v>225544.05266288968</v>
      </c>
      <c r="FN37" s="1117">
        <f>VLOOKUP($E37,FK$442:FN$453,4,FALSE)*FK37*($K37)+(FK37-FL37-FM37)*(1-$K37)</f>
        <v>513325.07428525412</v>
      </c>
      <c r="FO37" s="1118"/>
    </row>
    <row r="38" spans="1:171">
      <c r="A38" s="1423"/>
      <c r="B38" s="10" t="s">
        <v>126</v>
      </c>
      <c r="C38" s="887" t="s">
        <v>70</v>
      </c>
      <c r="D38" s="888">
        <v>390</v>
      </c>
      <c r="E38" s="182" t="str">
        <f>'Sch 1- Rate Base '!E38</f>
        <v>PTD</v>
      </c>
      <c r="F38" s="889"/>
      <c r="G38" s="182">
        <f>'Sch 1- Rate Base '!G38</f>
        <v>21045508</v>
      </c>
      <c r="H38" s="182">
        <f>'Sch 1- Rate Base '!H38</f>
        <v>6687437.8488280065</v>
      </c>
      <c r="I38" s="182">
        <f>'Sch 1- Rate Base '!I38</f>
        <v>0</v>
      </c>
      <c r="J38" s="1424">
        <f>'Sch 1- Rate Base '!J38</f>
        <v>14358070.151171993</v>
      </c>
      <c r="K38" s="903">
        <f t="shared" si="0"/>
        <v>1</v>
      </c>
      <c r="L38" s="1123">
        <f t="shared" si="1"/>
        <v>4.1437124696929502E-3</v>
      </c>
      <c r="O38" s="1116">
        <f t="shared" ref="O38:O48" si="2">(O$26+O$30+O$34)*$L38</f>
        <v>21045508</v>
      </c>
      <c r="P38" s="1117">
        <f t="shared" ref="P38:P48" si="3">VLOOKUP($E38,O$442:R$453,2,FALSE)*O38*($K38)+IF($G38&gt;0,($H38/$G38)*O38,0)*(1-$K38)</f>
        <v>6687437.8488280065</v>
      </c>
      <c r="Q38" s="1117">
        <f t="shared" ref="Q38:Q48" si="4">VLOOKUP($E38,O$442:R$453,3,FALSE)*O38*($K38)+IF($G38&gt;0,($I38/$G38)*O38,0)*(1-$K38)</f>
        <v>4382883.5340425316</v>
      </c>
      <c r="R38" s="1117">
        <f t="shared" ref="R38:R48" si="5">VLOOKUP($E38,O$442:R$453,4,FALSE)*O38*($K38)+(O38-P38-Q38)*(1-$K38)</f>
        <v>9975186.6171294618</v>
      </c>
      <c r="S38" s="1118"/>
      <c r="W38" s="1116">
        <f t="shared" ref="W38:W48" si="6">(W$26+W$30+W$34)*$L38</f>
        <v>21045508</v>
      </c>
      <c r="X38" s="1117">
        <f t="shared" ref="X38:X48" si="7">VLOOKUP($E38,W$442:Z$453,2,FALSE)*W38*($K38)+IF($G38&gt;0,($H38/$G38)*W38,0)*(1-$K38)</f>
        <v>6687437.8488280065</v>
      </c>
      <c r="Y38" s="1117">
        <f t="shared" ref="Y38:Y48" si="8">VLOOKUP($E38,W$442:Z$453,3,FALSE)*W38*($K38)+IF($G38&gt;0,($I38/$G38)*W38,0)*(1-$K38)</f>
        <v>4382883.5340425316</v>
      </c>
      <c r="Z38" s="1117">
        <f t="shared" ref="Z38:Z48" si="9">VLOOKUP($E38,W$442:Z$453,4,FALSE)*W38*($K38)+(W38-X38-Y38)*(1-$K38)</f>
        <v>9975186.6171294618</v>
      </c>
      <c r="AA38" s="1118"/>
      <c r="AE38" s="1116">
        <f t="shared" ref="AE38:AE48" si="10">(AE$26+AE$30+AE$34)*$L38</f>
        <v>21045508</v>
      </c>
      <c r="AF38" s="1117">
        <f t="shared" ref="AF38:AF48" si="11">VLOOKUP($E38,AE$442:AH$453,2,FALSE)*AE38*($K38)+IF($G38&gt;0,($H38/$G38)*AE38,0)*(1-$K38)</f>
        <v>6687437.8488280065</v>
      </c>
      <c r="AG38" s="1117">
        <f t="shared" ref="AG38:AG48" si="12">VLOOKUP($E38,AE$442:AH$453,3,FALSE)*AE38*($K38)+IF($G38&gt;0,($I38/$G38)*AE38,0)*(1-$K38)</f>
        <v>4382883.5340425316</v>
      </c>
      <c r="AH38" s="1117">
        <f t="shared" ref="AH38:AH48" si="13">VLOOKUP($E38,AE$442:AH$453,4,FALSE)*AE38*($K38)+(AE38-AF38-AG38)*(1-$K38)</f>
        <v>9975186.6171294618</v>
      </c>
      <c r="AI38" s="1118"/>
      <c r="AM38" s="1116">
        <f t="shared" ref="AM38:AM48" si="14">(AM$26+AM$30+AM$34)*$L38</f>
        <v>21045508</v>
      </c>
      <c r="AN38" s="1117">
        <f t="shared" ref="AN38:AN48" si="15">VLOOKUP($E38,AM$442:AP$453,2,FALSE)*AM38*($K38)+IF($G38&gt;0,($H38/$G38)*AM38,0)*(1-$K38)</f>
        <v>6687437.8488280065</v>
      </c>
      <c r="AO38" s="1117">
        <f t="shared" ref="AO38:AO48" si="16">VLOOKUP($E38,AM$442:AP$453,3,FALSE)*AM38*($K38)+IF($G38&gt;0,($I38/$G38)*AM38,0)*(1-$K38)</f>
        <v>4382883.5340425316</v>
      </c>
      <c r="AP38" s="1117">
        <f t="shared" ref="AP38:AP48" si="17">VLOOKUP($E38,AM$442:AP$453,4,FALSE)*AM38*($K38)+(AM38-AN38-AO38)*(1-$K38)</f>
        <v>9975186.6171294618</v>
      </c>
      <c r="AQ38" s="1118"/>
      <c r="AU38" s="1116">
        <f t="shared" ref="AU38:AU48" si="18">(AU$26+AU$30+AU$34)*$L38</f>
        <v>21045508</v>
      </c>
      <c r="AV38" s="1117">
        <f t="shared" ref="AV38:AV48" si="19">VLOOKUP($E38,AU$442:AX$453,2,FALSE)*AU38*($K38)+IF($G38&gt;0,($H38/$G38)*AU38,0)*(1-$K38)</f>
        <v>6687437.8488280065</v>
      </c>
      <c r="AW38" s="1117">
        <f t="shared" ref="AW38:AW48" si="20">VLOOKUP($E38,AU$442:AX$453,3,FALSE)*AU38*($K38)+IF($G38&gt;0,($I38/$G38)*AU38,0)*(1-$K38)</f>
        <v>4382883.5340425316</v>
      </c>
      <c r="AX38" s="1117">
        <f t="shared" ref="AX38:AX48" si="21">VLOOKUP($E38,AU$442:AX$453,4,FALSE)*AU38*($K38)+(AU38-AV38-AW38)*(1-$K38)</f>
        <v>9975186.6171294618</v>
      </c>
      <c r="AY38" s="1118"/>
      <c r="BC38" s="1116">
        <f t="shared" ref="BC38:BC48" si="22">(BC$26+BC$30+BC$34)*$L38</f>
        <v>21045508</v>
      </c>
      <c r="BD38" s="1117">
        <f t="shared" ref="BD38:BD48" si="23">VLOOKUP($E38,BC$442:BF$453,2,FALSE)*BC38*($K38)+IF($G38&gt;0,($H38/$G38)*BC38,0)*(1-$K38)</f>
        <v>6687437.8488280065</v>
      </c>
      <c r="BE38" s="1117">
        <f t="shared" ref="BE38:BE48" si="24">VLOOKUP($E38,BC$442:BF$453,3,FALSE)*BC38*($K38)+IF($G38&gt;0,($I38/$G38)*BC38,0)*(1-$K38)</f>
        <v>4382883.5340425316</v>
      </c>
      <c r="BF38" s="1117">
        <f t="shared" ref="BF38:BF48" si="25">VLOOKUP($E38,BC$442:BF$453,4,FALSE)*BC38*($K38)+(BC38-BD38-BE38)*(1-$K38)</f>
        <v>9975186.6171294618</v>
      </c>
      <c r="BG38" s="1118"/>
      <c r="BK38" s="1116">
        <f t="shared" ref="BK38:BK48" si="26">(BK$26+BK$30+BK$34)*$L38</f>
        <v>21045508</v>
      </c>
      <c r="BL38" s="1117">
        <f t="shared" ref="BL38:BL48" si="27">VLOOKUP($E38,BK$442:BN$453,2,FALSE)*BK38*($K38)+IF($G38&gt;0,($H38/$G38)*BK38,0)*(1-$K38)</f>
        <v>6687437.8488280065</v>
      </c>
      <c r="BM38" s="1117">
        <f t="shared" ref="BM38:BM48" si="28">VLOOKUP($E38,BK$442:BN$453,3,FALSE)*BK38*($K38)+IF($G38&gt;0,($I38/$G38)*BK38,0)*(1-$K38)</f>
        <v>4382883.5340425316</v>
      </c>
      <c r="BN38" s="1117">
        <f t="shared" ref="BN38:BN48" si="29">VLOOKUP($E38,BK$442:BN$453,4,FALSE)*BK38*($K38)+(BK38-BL38-BM38)*(1-$K38)</f>
        <v>9975186.6171294618</v>
      </c>
      <c r="BO38" s="1118"/>
      <c r="BS38" s="1116">
        <f t="shared" ref="BS38:BS48" si="30">(BS$26+BS$30+BS$34)*$L38</f>
        <v>21045508</v>
      </c>
      <c r="BT38" s="1117">
        <f t="shared" ref="BT38:BT48" si="31">VLOOKUP($E38,BS$442:BV$453,2,FALSE)*BS38*($K38)+IF($G38&gt;0,($H38/$G38)*BS38,0)*(1-$K38)</f>
        <v>6687437.8488280065</v>
      </c>
      <c r="BU38" s="1117">
        <f t="shared" ref="BU38:BU48" si="32">VLOOKUP($E38,BS$442:BV$453,3,FALSE)*BS38*($K38)+IF($G38&gt;0,($I38/$G38)*BS38,0)*(1-$K38)</f>
        <v>4382883.5340425316</v>
      </c>
      <c r="BV38" s="1117">
        <f t="shared" ref="BV38:BV48" si="33">VLOOKUP($E38,BS$442:BV$453,4,FALSE)*BS38*($K38)+(BS38-BT38-BU38)*(1-$K38)</f>
        <v>9975186.6171294618</v>
      </c>
      <c r="BW38" s="1118"/>
      <c r="CA38" s="1116">
        <f t="shared" ref="CA38:CA48" si="34">(CA$26+CA$30+CA$34)*$L38</f>
        <v>21045508</v>
      </c>
      <c r="CB38" s="1117">
        <f t="shared" ref="CB38:CB48" si="35">VLOOKUP($E38,CA$442:CD$453,2,FALSE)*CA38*($K38)+IF($G38&gt;0,($H38/$G38)*CA38,0)*(1-$K38)</f>
        <v>6687437.8488280065</v>
      </c>
      <c r="CC38" s="1117">
        <f t="shared" ref="CC38:CC48" si="36">VLOOKUP($E38,CA$442:CD$453,3,FALSE)*CA38*($K38)+IF($G38&gt;0,($I38/$G38)*CA38,0)*(1-$K38)</f>
        <v>4382883.5340425316</v>
      </c>
      <c r="CD38" s="1117">
        <f t="shared" ref="CD38:CD48" si="37">VLOOKUP($E38,CA$442:CD$453,4,FALSE)*CA38*($K38)+(CA38-CB38-CC38)*(1-$K38)</f>
        <v>9975186.6171294618</v>
      </c>
      <c r="CE38" s="1118"/>
      <c r="CI38" s="1116">
        <f t="shared" ref="CI38:CI48" si="38">(CI$26+CI$30+CI$34)*$L38</f>
        <v>21045508</v>
      </c>
      <c r="CJ38" s="1117">
        <f t="shared" ref="CJ38:CJ48" si="39">VLOOKUP($E38,CI$442:CL$453,2,FALSE)*CI38*($K38)+IF($G38&gt;0,($H38/$G38)*CI38,0)*(1-$K38)</f>
        <v>6687437.8488280065</v>
      </c>
      <c r="CK38" s="1117">
        <f t="shared" ref="CK38:CK48" si="40">VLOOKUP($E38,CI$442:CL$453,3,FALSE)*CI38*($K38)+IF($G38&gt;0,($I38/$G38)*CI38,0)*(1-$K38)</f>
        <v>4382883.5340425316</v>
      </c>
      <c r="CL38" s="1117">
        <f t="shared" ref="CL38:CL48" si="41">VLOOKUP($E38,CI$442:CL$453,4,FALSE)*CI38*($K38)+(CI38-CJ38-CK38)*(1-$K38)</f>
        <v>9975186.6171294618</v>
      </c>
      <c r="CM38" s="1118"/>
      <c r="CQ38" s="1116">
        <f t="shared" ref="CQ38:CQ48" si="42">(CQ$26+CQ$30+CQ$34)*$L38</f>
        <v>21045508</v>
      </c>
      <c r="CR38" s="1117">
        <f t="shared" ref="CR38:CR48" si="43">VLOOKUP($E38,CQ$442:CT$453,2,FALSE)*CQ38*($K38)+IF($G38&gt;0,($H38/$G38)*CQ38,0)*(1-$K38)</f>
        <v>6687437.8488280065</v>
      </c>
      <c r="CS38" s="1117">
        <f t="shared" ref="CS38:CS48" si="44">VLOOKUP($E38,CQ$442:CT$453,3,FALSE)*CQ38*($K38)+IF($G38&gt;0,($I38/$G38)*CQ38,0)*(1-$K38)</f>
        <v>4382883.5340425316</v>
      </c>
      <c r="CT38" s="1117">
        <f t="shared" ref="CT38:CT48" si="45">VLOOKUP($E38,CQ$442:CT$453,4,FALSE)*CQ38*($K38)+(CQ38-CR38-CS38)*(1-$K38)</f>
        <v>9975186.6171294618</v>
      </c>
      <c r="CU38" s="1118"/>
      <c r="CY38" s="1116">
        <f t="shared" ref="CY38:CY48" si="46">(CY$26+CY$30+CY$34)*$L38</f>
        <v>21045508</v>
      </c>
      <c r="CZ38" s="1117">
        <f t="shared" ref="CZ38:CZ48" si="47">VLOOKUP($E38,CY$442:DB$453,2,FALSE)*CY38*($K38)+IF($G38&gt;0,($H38/$G38)*CY38,0)*(1-$K38)</f>
        <v>6687437.8488280065</v>
      </c>
      <c r="DA38" s="1117">
        <f t="shared" ref="DA38:DA48" si="48">VLOOKUP($E38,CY$442:DB$453,3,FALSE)*CY38*($K38)+IF($G38&gt;0,($I38/$G38)*CY38,0)*(1-$K38)</f>
        <v>4382883.5340425316</v>
      </c>
      <c r="DB38" s="1117">
        <f t="shared" ref="DB38:DB48" si="49">VLOOKUP($E38,CY$442:DB$453,4,FALSE)*CY38*($K38)+(CY38-CZ38-DA38)*(1-$K38)</f>
        <v>9975186.6171294618</v>
      </c>
      <c r="DC38" s="1118"/>
      <c r="DG38" s="1116">
        <f t="shared" ref="DG38:DG48" si="50">(DG$26+DG$30+DG$34)*$L38</f>
        <v>21045508</v>
      </c>
      <c r="DH38" s="1117">
        <f t="shared" ref="DH38:DH48" si="51">VLOOKUP($E38,DG$442:DJ$453,2,FALSE)*DG38*($K38)+IF($G38&gt;0,($H38/$G38)*DG38,0)*(1-$K38)</f>
        <v>6687437.8488280065</v>
      </c>
      <c r="DI38" s="1117">
        <f t="shared" ref="DI38:DI48" si="52">VLOOKUP($E38,DG$442:DJ$453,3,FALSE)*DG38*($K38)+IF($G38&gt;0,($I38/$G38)*DG38,0)*(1-$K38)</f>
        <v>4382883.5340425316</v>
      </c>
      <c r="DJ38" s="1117">
        <f t="shared" ref="DJ38:DJ48" si="53">VLOOKUP($E38,DG$442:DJ$453,4,FALSE)*DG38*($K38)+(DG38-DH38-DI38)*(1-$K38)</f>
        <v>9975186.6171294618</v>
      </c>
      <c r="DK38" s="1118"/>
      <c r="DO38" s="1116">
        <f t="shared" ref="DO38:DO48" si="54">(DO$26+DO$30+DO$34)*$L38</f>
        <v>21045508</v>
      </c>
      <c r="DP38" s="1117">
        <f t="shared" ref="DP38:DP48" si="55">VLOOKUP($E38,DO$442:DR$453,2,FALSE)*DO38*($K38)+IF($G38&gt;0,($H38/$G38)*DO38,0)*(1-$K38)</f>
        <v>6687437.8488280065</v>
      </c>
      <c r="DQ38" s="1117">
        <f t="shared" ref="DQ38:DQ48" si="56">VLOOKUP($E38,DO$442:DR$453,3,FALSE)*DO38*($K38)+IF($G38&gt;0,($I38/$G38)*DO38,0)*(1-$K38)</f>
        <v>4382883.5340425316</v>
      </c>
      <c r="DR38" s="1117">
        <f t="shared" ref="DR38:DR48" si="57">VLOOKUP($E38,DO$442:DR$453,4,FALSE)*DO38*($K38)+(DO38-DP38-DQ38)*(1-$K38)</f>
        <v>9975186.6171294618</v>
      </c>
      <c r="DS38" s="1118"/>
      <c r="DW38" s="1116">
        <f t="shared" ref="DW38:DW48" si="58">(DW$26+DW$30+DW$34)*$L38</f>
        <v>21045508</v>
      </c>
      <c r="DX38" s="1117">
        <f t="shared" ref="DX38:DX48" si="59">VLOOKUP($E38,DW$442:DZ$453,2,FALSE)*DW38*($K38)+IF($G38&gt;0,($H38/$G38)*DW38,0)*(1-$K38)</f>
        <v>6687437.8488280065</v>
      </c>
      <c r="DY38" s="1117">
        <f t="shared" ref="DY38:DY48" si="60">VLOOKUP($E38,DW$442:DZ$453,3,FALSE)*DW38*($K38)+IF($G38&gt;0,($I38/$G38)*DW38,0)*(1-$K38)</f>
        <v>4382883.5340425316</v>
      </c>
      <c r="DZ38" s="1117">
        <f t="shared" ref="DZ38:DZ48" si="61">VLOOKUP($E38,DW$442:DZ$453,4,FALSE)*DW38*($K38)+(DW38-DX38-DY38)*(1-$K38)</f>
        <v>9975186.6171294618</v>
      </c>
      <c r="EA38" s="1118"/>
      <c r="EE38" s="1116">
        <f t="shared" ref="EE38:EE48" si="62">(EE$26+EE$30+EE$34)*$L38</f>
        <v>21045508</v>
      </c>
      <c r="EF38" s="1117">
        <f t="shared" ref="EF38:EF48" si="63">VLOOKUP($E38,EE$442:EH$453,2,FALSE)*EE38*($K38)+IF($G38&gt;0,($H38/$G38)*EE38,0)*(1-$K38)</f>
        <v>6687437.8488280065</v>
      </c>
      <c r="EG38" s="1117">
        <f t="shared" ref="EG38:EG48" si="64">VLOOKUP($E38,EE$442:EH$453,3,FALSE)*EE38*($K38)+IF($G38&gt;0,($I38/$G38)*EE38,0)*(1-$K38)</f>
        <v>4382883.5340425316</v>
      </c>
      <c r="EH38" s="1117">
        <f t="shared" ref="EH38:EH48" si="65">VLOOKUP($E38,EE$442:EH$453,4,FALSE)*EE38*($K38)+(EE38-EF38-EG38)*(1-$K38)</f>
        <v>9975186.6171294618</v>
      </c>
      <c r="EI38" s="1118"/>
      <c r="EM38" s="1116">
        <f t="shared" ref="EM38:EM48" si="66">(EM$26+EM$30+EM$34)*$L38</f>
        <v>21045508</v>
      </c>
      <c r="EN38" s="1117">
        <f t="shared" ref="EN38:EN48" si="67">VLOOKUP($E38,EM$442:EP$453,2,FALSE)*EM38*($K38)+IF($G38&gt;0,($H38/$G38)*EM38,0)*(1-$K38)</f>
        <v>6687437.8488280065</v>
      </c>
      <c r="EO38" s="1117">
        <f t="shared" ref="EO38:EO48" si="68">VLOOKUP($E38,EM$442:EP$453,3,FALSE)*EM38*($K38)+IF($G38&gt;0,($I38/$G38)*EM38,0)*(1-$K38)</f>
        <v>4382883.5340425316</v>
      </c>
      <c r="EP38" s="1117">
        <f t="shared" ref="EP38:EP48" si="69">VLOOKUP($E38,EM$442:EP$453,4,FALSE)*EM38*($K38)+(EM38-EN38-EO38)*(1-$K38)</f>
        <v>9975186.6171294618</v>
      </c>
      <c r="EQ38" s="1118"/>
      <c r="EU38" s="1116">
        <f t="shared" ref="EU38:EU48" si="70">(EU$26+EU$30+EU$34)*$L38</f>
        <v>21045508</v>
      </c>
      <c r="EV38" s="1117">
        <f t="shared" ref="EV38:EV48" si="71">VLOOKUP($E38,EU$442:EX$453,2,FALSE)*EU38*($K38)+IF($G38&gt;0,($H38/$G38)*EU38,0)*(1-$K38)</f>
        <v>6687437.8488280065</v>
      </c>
      <c r="EW38" s="1117">
        <f t="shared" ref="EW38:EW48" si="72">VLOOKUP($E38,EU$442:EX$453,3,FALSE)*EU38*($K38)+IF($G38&gt;0,($I38/$G38)*EU38,0)*(1-$K38)</f>
        <v>4382883.5340425316</v>
      </c>
      <c r="EX38" s="1117">
        <f t="shared" ref="EX38:EX48" si="73">VLOOKUP($E38,EU$442:EX$453,4,FALSE)*EU38*($K38)+(EU38-EV38-EW38)*(1-$K38)</f>
        <v>9975186.6171294618</v>
      </c>
      <c r="EY38" s="1118"/>
      <c r="FC38" s="1116">
        <f t="shared" ref="FC38:FC48" si="74">(FC$26+FC$30+FC$34)*$L38</f>
        <v>21045508</v>
      </c>
      <c r="FD38" s="1117">
        <f t="shared" ref="FD38:FD48" si="75">VLOOKUP($E38,FC$442:FF$453,2,FALSE)*FC38*($K38)+IF($G38&gt;0,($H38/$G38)*FC38,0)*(1-$K38)</f>
        <v>6687437.8488280065</v>
      </c>
      <c r="FE38" s="1117">
        <f t="shared" ref="FE38:FE48" si="76">VLOOKUP($E38,FC$442:FF$453,3,FALSE)*FC38*($K38)+IF($G38&gt;0,($I38/$G38)*FC38,0)*(1-$K38)</f>
        <v>4382883.5340425316</v>
      </c>
      <c r="FF38" s="1117">
        <f t="shared" ref="FF38:FF48" si="77">VLOOKUP($E38,FC$442:FF$453,4,FALSE)*FC38*($K38)+(FC38-FD38-FE38)*(1-$K38)</f>
        <v>9975186.6171294618</v>
      </c>
      <c r="FG38" s="1118"/>
      <c r="FK38" s="1116">
        <f t="shared" ref="FK38:FK48" si="78">(FK$26+FK$30+FK$34)*$L38</f>
        <v>21045508</v>
      </c>
      <c r="FL38" s="1117">
        <f t="shared" ref="FL38:FL48" si="79">VLOOKUP($E38,FK$442:FN$453,2,FALSE)*FK38*($K38)+IF($G38&gt;0,($H38/$G38)*FK38,0)*(1-$K38)</f>
        <v>6687437.8488280065</v>
      </c>
      <c r="FM38" s="1117">
        <f t="shared" ref="FM38:FM48" si="80">VLOOKUP($E38,FK$442:FN$453,3,FALSE)*FK38*($K38)+IF($G38&gt;0,($I38/$G38)*FK38,0)*(1-$K38)</f>
        <v>4382883.5340425316</v>
      </c>
      <c r="FN38" s="1117">
        <f t="shared" ref="FN38:FN48" si="81">VLOOKUP($E38,FK$442:FN$453,4,FALSE)*FK38*($K38)+(FK38-FL38-FM38)*(1-$K38)</f>
        <v>9975186.6171294618</v>
      </c>
      <c r="FO38" s="1118"/>
    </row>
    <row r="39" spans="1:171">
      <c r="A39" s="1423"/>
      <c r="B39" s="10" t="s">
        <v>127</v>
      </c>
      <c r="C39" s="887" t="s">
        <v>70</v>
      </c>
      <c r="D39" s="888">
        <v>391</v>
      </c>
      <c r="E39" s="182" t="str">
        <f>'Sch 1- Rate Base '!E39</f>
        <v>LABOR</v>
      </c>
      <c r="F39" s="889"/>
      <c r="G39" s="182">
        <f>'Sch 1- Rate Base '!G39</f>
        <v>3976622</v>
      </c>
      <c r="H39" s="182">
        <f>'Sch 1- Rate Base '!H39</f>
        <v>1455724.5705582532</v>
      </c>
      <c r="I39" s="182">
        <f>'Sch 1- Rate Base '!I39</f>
        <v>0</v>
      </c>
      <c r="J39" s="1424">
        <f>'Sch 1- Rate Base '!J39</f>
        <v>2520897.4294417468</v>
      </c>
      <c r="K39" s="903">
        <f t="shared" si="0"/>
        <v>1</v>
      </c>
      <c r="L39" s="1123">
        <f t="shared" si="1"/>
        <v>7.8296889619653364E-4</v>
      </c>
      <c r="O39" s="1116">
        <f t="shared" si="2"/>
        <v>3976622</v>
      </c>
      <c r="P39" s="1117">
        <f t="shared" si="3"/>
        <v>1455724.5705582532</v>
      </c>
      <c r="Q39" s="1117">
        <f t="shared" si="4"/>
        <v>305059.74741504656</v>
      </c>
      <c r="R39" s="1117">
        <f t="shared" si="5"/>
        <v>2215837.6820267001</v>
      </c>
      <c r="S39" s="1118"/>
      <c r="W39" s="1116">
        <f t="shared" si="6"/>
        <v>3976622</v>
      </c>
      <c r="X39" s="1117">
        <f t="shared" si="7"/>
        <v>1455724.5705582532</v>
      </c>
      <c r="Y39" s="1117">
        <f t="shared" si="8"/>
        <v>305059.74741504656</v>
      </c>
      <c r="Z39" s="1117">
        <f t="shared" si="9"/>
        <v>2215837.6820267001</v>
      </c>
      <c r="AA39" s="1118"/>
      <c r="AE39" s="1116">
        <f t="shared" si="10"/>
        <v>3976622</v>
      </c>
      <c r="AF39" s="1117">
        <f t="shared" si="11"/>
        <v>1455724.5705582532</v>
      </c>
      <c r="AG39" s="1117">
        <f t="shared" si="12"/>
        <v>305059.74741504656</v>
      </c>
      <c r="AH39" s="1117">
        <f t="shared" si="13"/>
        <v>2215837.6820267001</v>
      </c>
      <c r="AI39" s="1118"/>
      <c r="AM39" s="1116">
        <f t="shared" si="14"/>
        <v>3976622</v>
      </c>
      <c r="AN39" s="1117">
        <f t="shared" si="15"/>
        <v>1455724.5705582532</v>
      </c>
      <c r="AO39" s="1117">
        <f t="shared" si="16"/>
        <v>305059.74741504656</v>
      </c>
      <c r="AP39" s="1117">
        <f t="shared" si="17"/>
        <v>2215837.6820267001</v>
      </c>
      <c r="AQ39" s="1118"/>
      <c r="AU39" s="1116">
        <f t="shared" si="18"/>
        <v>3976622</v>
      </c>
      <c r="AV39" s="1117">
        <f t="shared" si="19"/>
        <v>1455724.5705582532</v>
      </c>
      <c r="AW39" s="1117">
        <f t="shared" si="20"/>
        <v>305059.74741504656</v>
      </c>
      <c r="AX39" s="1117">
        <f t="shared" si="21"/>
        <v>2215837.6820267001</v>
      </c>
      <c r="AY39" s="1118"/>
      <c r="BC39" s="1116">
        <f t="shared" si="22"/>
        <v>3976622</v>
      </c>
      <c r="BD39" s="1117">
        <f t="shared" si="23"/>
        <v>1455724.5705582532</v>
      </c>
      <c r="BE39" s="1117">
        <f t="shared" si="24"/>
        <v>305059.74741504656</v>
      </c>
      <c r="BF39" s="1117">
        <f t="shared" si="25"/>
        <v>2215837.6820267001</v>
      </c>
      <c r="BG39" s="1118"/>
      <c r="BK39" s="1116">
        <f t="shared" si="26"/>
        <v>3976622</v>
      </c>
      <c r="BL39" s="1117">
        <f t="shared" si="27"/>
        <v>1455724.5705582532</v>
      </c>
      <c r="BM39" s="1117">
        <f t="shared" si="28"/>
        <v>305059.74741504656</v>
      </c>
      <c r="BN39" s="1117">
        <f t="shared" si="29"/>
        <v>2215837.6820267001</v>
      </c>
      <c r="BO39" s="1118"/>
      <c r="BS39" s="1116">
        <f t="shared" si="30"/>
        <v>3976622</v>
      </c>
      <c r="BT39" s="1117">
        <f t="shared" si="31"/>
        <v>1455724.5705582532</v>
      </c>
      <c r="BU39" s="1117">
        <f t="shared" si="32"/>
        <v>305059.74741504656</v>
      </c>
      <c r="BV39" s="1117">
        <f t="shared" si="33"/>
        <v>2215837.6820267001</v>
      </c>
      <c r="BW39" s="1118"/>
      <c r="CA39" s="1116">
        <f t="shared" si="34"/>
        <v>3976622</v>
      </c>
      <c r="CB39" s="1117">
        <f t="shared" si="35"/>
        <v>1455724.5705582532</v>
      </c>
      <c r="CC39" s="1117">
        <f t="shared" si="36"/>
        <v>305059.74741504656</v>
      </c>
      <c r="CD39" s="1117">
        <f t="shared" si="37"/>
        <v>2215837.6820267001</v>
      </c>
      <c r="CE39" s="1118"/>
      <c r="CI39" s="1116">
        <f t="shared" si="38"/>
        <v>3976622</v>
      </c>
      <c r="CJ39" s="1117">
        <f t="shared" si="39"/>
        <v>1455724.5705582532</v>
      </c>
      <c r="CK39" s="1117">
        <f t="shared" si="40"/>
        <v>305059.74741504656</v>
      </c>
      <c r="CL39" s="1117">
        <f t="shared" si="41"/>
        <v>2215837.6820267001</v>
      </c>
      <c r="CM39" s="1118"/>
      <c r="CQ39" s="1116">
        <f t="shared" si="42"/>
        <v>3976622</v>
      </c>
      <c r="CR39" s="1117">
        <f t="shared" si="43"/>
        <v>1455724.5705582532</v>
      </c>
      <c r="CS39" s="1117">
        <f t="shared" si="44"/>
        <v>305059.74741504656</v>
      </c>
      <c r="CT39" s="1117">
        <f t="shared" si="45"/>
        <v>2215837.6820267001</v>
      </c>
      <c r="CU39" s="1118"/>
      <c r="CY39" s="1116">
        <f t="shared" si="46"/>
        <v>3976622</v>
      </c>
      <c r="CZ39" s="1117">
        <f t="shared" si="47"/>
        <v>1455724.5705582532</v>
      </c>
      <c r="DA39" s="1117">
        <f t="shared" si="48"/>
        <v>305059.74741504656</v>
      </c>
      <c r="DB39" s="1117">
        <f t="shared" si="49"/>
        <v>2215837.6820267001</v>
      </c>
      <c r="DC39" s="1118"/>
      <c r="DG39" s="1116">
        <f t="shared" si="50"/>
        <v>3976622</v>
      </c>
      <c r="DH39" s="1117">
        <f t="shared" si="51"/>
        <v>1455724.5705582532</v>
      </c>
      <c r="DI39" s="1117">
        <f t="shared" si="52"/>
        <v>305059.74741504656</v>
      </c>
      <c r="DJ39" s="1117">
        <f t="shared" si="53"/>
        <v>2215837.6820267001</v>
      </c>
      <c r="DK39" s="1118"/>
      <c r="DO39" s="1116">
        <f t="shared" si="54"/>
        <v>3976622</v>
      </c>
      <c r="DP39" s="1117">
        <f t="shared" si="55"/>
        <v>1455724.5705582532</v>
      </c>
      <c r="DQ39" s="1117">
        <f t="shared" si="56"/>
        <v>305059.74741504656</v>
      </c>
      <c r="DR39" s="1117">
        <f t="shared" si="57"/>
        <v>2215837.6820267001</v>
      </c>
      <c r="DS39" s="1118"/>
      <c r="DW39" s="1116">
        <f t="shared" si="58"/>
        <v>3976622</v>
      </c>
      <c r="DX39" s="1117">
        <f t="shared" si="59"/>
        <v>1455724.5705582532</v>
      </c>
      <c r="DY39" s="1117">
        <f t="shared" si="60"/>
        <v>305059.74741504656</v>
      </c>
      <c r="DZ39" s="1117">
        <f t="shared" si="61"/>
        <v>2215837.6820267001</v>
      </c>
      <c r="EA39" s="1118"/>
      <c r="EE39" s="1116">
        <f t="shared" si="62"/>
        <v>3976622</v>
      </c>
      <c r="EF39" s="1117">
        <f t="shared" si="63"/>
        <v>1455724.5705582532</v>
      </c>
      <c r="EG39" s="1117">
        <f t="shared" si="64"/>
        <v>305059.74741504656</v>
      </c>
      <c r="EH39" s="1117">
        <f t="shared" si="65"/>
        <v>2215837.6820267001</v>
      </c>
      <c r="EI39" s="1118"/>
      <c r="EM39" s="1116">
        <f t="shared" si="66"/>
        <v>3976622</v>
      </c>
      <c r="EN39" s="1117">
        <f t="shared" si="67"/>
        <v>1455724.5705582532</v>
      </c>
      <c r="EO39" s="1117">
        <f t="shared" si="68"/>
        <v>305059.74741504656</v>
      </c>
      <c r="EP39" s="1117">
        <f t="shared" si="69"/>
        <v>2215837.6820267001</v>
      </c>
      <c r="EQ39" s="1118"/>
      <c r="EU39" s="1116">
        <f t="shared" si="70"/>
        <v>3976622</v>
      </c>
      <c r="EV39" s="1117">
        <f t="shared" si="71"/>
        <v>1455724.5705582532</v>
      </c>
      <c r="EW39" s="1117">
        <f t="shared" si="72"/>
        <v>305059.74741504656</v>
      </c>
      <c r="EX39" s="1117">
        <f t="shared" si="73"/>
        <v>2215837.6820267001</v>
      </c>
      <c r="EY39" s="1118"/>
      <c r="FC39" s="1116">
        <f t="shared" si="74"/>
        <v>3976622</v>
      </c>
      <c r="FD39" s="1117">
        <f t="shared" si="75"/>
        <v>1455724.5705582532</v>
      </c>
      <c r="FE39" s="1117">
        <f t="shared" si="76"/>
        <v>305059.74741504656</v>
      </c>
      <c r="FF39" s="1117">
        <f t="shared" si="77"/>
        <v>2215837.6820267001</v>
      </c>
      <c r="FG39" s="1118"/>
      <c r="FK39" s="1116">
        <f t="shared" si="78"/>
        <v>3976622</v>
      </c>
      <c r="FL39" s="1117">
        <f t="shared" si="79"/>
        <v>1455724.5705582532</v>
      </c>
      <c r="FM39" s="1117">
        <f t="shared" si="80"/>
        <v>305059.74741504656</v>
      </c>
      <c r="FN39" s="1117">
        <f t="shared" si="81"/>
        <v>2215837.6820267001</v>
      </c>
      <c r="FO39" s="1118"/>
    </row>
    <row r="40" spans="1:171">
      <c r="A40" s="1423"/>
      <c r="B40" s="10" t="s">
        <v>128</v>
      </c>
      <c r="C40" s="887" t="s">
        <v>70</v>
      </c>
      <c r="D40" s="888">
        <v>392</v>
      </c>
      <c r="E40" s="182" t="str">
        <f>'Sch 1- Rate Base '!E40</f>
        <v>TD</v>
      </c>
      <c r="F40" s="889"/>
      <c r="G40" s="182">
        <f>'Sch 1- Rate Base '!G40</f>
        <v>62357831</v>
      </c>
      <c r="H40" s="182">
        <f>'Sch 1- Rate Base '!H40</f>
        <v>0</v>
      </c>
      <c r="I40" s="182">
        <f>'Sch 1- Rate Base '!I40</f>
        <v>0</v>
      </c>
      <c r="J40" s="1424">
        <f>'Sch 1- Rate Base '!J40</f>
        <v>62357831</v>
      </c>
      <c r="K40" s="903">
        <f t="shared" si="0"/>
        <v>1</v>
      </c>
      <c r="L40" s="1123">
        <f t="shared" si="1"/>
        <v>1.2277818235497362E-2</v>
      </c>
      <c r="O40" s="1116">
        <f t="shared" si="2"/>
        <v>62357831.000000007</v>
      </c>
      <c r="P40" s="1117">
        <f t="shared" si="3"/>
        <v>0</v>
      </c>
      <c r="Q40" s="1117">
        <f t="shared" si="4"/>
        <v>19035086.737349447</v>
      </c>
      <c r="R40" s="1117">
        <f t="shared" si="5"/>
        <v>43322744.262650557</v>
      </c>
      <c r="S40" s="1118"/>
      <c r="W40" s="1116">
        <f t="shared" si="6"/>
        <v>62357831.000000007</v>
      </c>
      <c r="X40" s="1117">
        <f t="shared" si="7"/>
        <v>0</v>
      </c>
      <c r="Y40" s="1117">
        <f t="shared" si="8"/>
        <v>19035086.737349447</v>
      </c>
      <c r="Z40" s="1117">
        <f t="shared" si="9"/>
        <v>43322744.262650557</v>
      </c>
      <c r="AA40" s="1118"/>
      <c r="AE40" s="1116">
        <f t="shared" si="10"/>
        <v>62357831.000000007</v>
      </c>
      <c r="AF40" s="1117">
        <f t="shared" si="11"/>
        <v>0</v>
      </c>
      <c r="AG40" s="1117">
        <f t="shared" si="12"/>
        <v>19035086.737349447</v>
      </c>
      <c r="AH40" s="1117">
        <f t="shared" si="13"/>
        <v>43322744.262650557</v>
      </c>
      <c r="AI40" s="1118"/>
      <c r="AM40" s="1116">
        <f t="shared" si="14"/>
        <v>62357831.000000007</v>
      </c>
      <c r="AN40" s="1117">
        <f t="shared" si="15"/>
        <v>0</v>
      </c>
      <c r="AO40" s="1117">
        <f t="shared" si="16"/>
        <v>19035086.737349447</v>
      </c>
      <c r="AP40" s="1117">
        <f t="shared" si="17"/>
        <v>43322744.262650557</v>
      </c>
      <c r="AQ40" s="1118"/>
      <c r="AU40" s="1116">
        <f t="shared" si="18"/>
        <v>62357831.000000007</v>
      </c>
      <c r="AV40" s="1117">
        <f t="shared" si="19"/>
        <v>0</v>
      </c>
      <c r="AW40" s="1117">
        <f t="shared" si="20"/>
        <v>19035086.737349447</v>
      </c>
      <c r="AX40" s="1117">
        <f t="shared" si="21"/>
        <v>43322744.262650557</v>
      </c>
      <c r="AY40" s="1118"/>
      <c r="BC40" s="1116">
        <f t="shared" si="22"/>
        <v>62357831.000000007</v>
      </c>
      <c r="BD40" s="1117">
        <f t="shared" si="23"/>
        <v>0</v>
      </c>
      <c r="BE40" s="1117">
        <f t="shared" si="24"/>
        <v>19035086.737349447</v>
      </c>
      <c r="BF40" s="1117">
        <f t="shared" si="25"/>
        <v>43322744.262650557</v>
      </c>
      <c r="BG40" s="1118"/>
      <c r="BK40" s="1116">
        <f t="shared" si="26"/>
        <v>62357831.000000007</v>
      </c>
      <c r="BL40" s="1117">
        <f t="shared" si="27"/>
        <v>0</v>
      </c>
      <c r="BM40" s="1117">
        <f t="shared" si="28"/>
        <v>19035086.737349447</v>
      </c>
      <c r="BN40" s="1117">
        <f t="shared" si="29"/>
        <v>43322744.262650557</v>
      </c>
      <c r="BO40" s="1118"/>
      <c r="BS40" s="1116">
        <f t="shared" si="30"/>
        <v>62357831.000000007</v>
      </c>
      <c r="BT40" s="1117">
        <f t="shared" si="31"/>
        <v>0</v>
      </c>
      <c r="BU40" s="1117">
        <f t="shared" si="32"/>
        <v>19035086.737349447</v>
      </c>
      <c r="BV40" s="1117">
        <f t="shared" si="33"/>
        <v>43322744.262650557</v>
      </c>
      <c r="BW40" s="1118"/>
      <c r="CA40" s="1116">
        <f t="shared" si="34"/>
        <v>62357831.000000007</v>
      </c>
      <c r="CB40" s="1117">
        <f t="shared" si="35"/>
        <v>0</v>
      </c>
      <c r="CC40" s="1117">
        <f t="shared" si="36"/>
        <v>19035086.737349447</v>
      </c>
      <c r="CD40" s="1117">
        <f t="shared" si="37"/>
        <v>43322744.262650557</v>
      </c>
      <c r="CE40" s="1118"/>
      <c r="CI40" s="1116">
        <f t="shared" si="38"/>
        <v>62357831.000000007</v>
      </c>
      <c r="CJ40" s="1117">
        <f t="shared" si="39"/>
        <v>0</v>
      </c>
      <c r="CK40" s="1117">
        <f t="shared" si="40"/>
        <v>19035086.737349447</v>
      </c>
      <c r="CL40" s="1117">
        <f t="shared" si="41"/>
        <v>43322744.262650557</v>
      </c>
      <c r="CM40" s="1118"/>
      <c r="CQ40" s="1116">
        <f t="shared" si="42"/>
        <v>62357831.000000007</v>
      </c>
      <c r="CR40" s="1117">
        <f t="shared" si="43"/>
        <v>0</v>
      </c>
      <c r="CS40" s="1117">
        <f t="shared" si="44"/>
        <v>19035086.737349447</v>
      </c>
      <c r="CT40" s="1117">
        <f t="shared" si="45"/>
        <v>43322744.262650557</v>
      </c>
      <c r="CU40" s="1118"/>
      <c r="CY40" s="1116">
        <f t="shared" si="46"/>
        <v>62357831.000000007</v>
      </c>
      <c r="CZ40" s="1117">
        <f t="shared" si="47"/>
        <v>0</v>
      </c>
      <c r="DA40" s="1117">
        <f t="shared" si="48"/>
        <v>19035086.737349447</v>
      </c>
      <c r="DB40" s="1117">
        <f t="shared" si="49"/>
        <v>43322744.262650557</v>
      </c>
      <c r="DC40" s="1118"/>
      <c r="DG40" s="1116">
        <f t="shared" si="50"/>
        <v>62357831.000000007</v>
      </c>
      <c r="DH40" s="1117">
        <f t="shared" si="51"/>
        <v>0</v>
      </c>
      <c r="DI40" s="1117">
        <f t="shared" si="52"/>
        <v>19035086.737349447</v>
      </c>
      <c r="DJ40" s="1117">
        <f t="shared" si="53"/>
        <v>43322744.262650557</v>
      </c>
      <c r="DK40" s="1118"/>
      <c r="DO40" s="1116">
        <f t="shared" si="54"/>
        <v>62357831.000000007</v>
      </c>
      <c r="DP40" s="1117">
        <f t="shared" si="55"/>
        <v>0</v>
      </c>
      <c r="DQ40" s="1117">
        <f t="shared" si="56"/>
        <v>19035086.737349447</v>
      </c>
      <c r="DR40" s="1117">
        <f t="shared" si="57"/>
        <v>43322744.262650557</v>
      </c>
      <c r="DS40" s="1118"/>
      <c r="DW40" s="1116">
        <f t="shared" si="58"/>
        <v>62357831.000000007</v>
      </c>
      <c r="DX40" s="1117">
        <f t="shared" si="59"/>
        <v>0</v>
      </c>
      <c r="DY40" s="1117">
        <f t="shared" si="60"/>
        <v>19035086.737349447</v>
      </c>
      <c r="DZ40" s="1117">
        <f t="shared" si="61"/>
        <v>43322744.262650557</v>
      </c>
      <c r="EA40" s="1118"/>
      <c r="EE40" s="1116">
        <f t="shared" si="62"/>
        <v>62357831.000000007</v>
      </c>
      <c r="EF40" s="1117">
        <f t="shared" si="63"/>
        <v>0</v>
      </c>
      <c r="EG40" s="1117">
        <f t="shared" si="64"/>
        <v>19035086.737349447</v>
      </c>
      <c r="EH40" s="1117">
        <f t="shared" si="65"/>
        <v>43322744.262650557</v>
      </c>
      <c r="EI40" s="1118"/>
      <c r="EM40" s="1116">
        <f t="shared" si="66"/>
        <v>62357831.000000007</v>
      </c>
      <c r="EN40" s="1117">
        <f t="shared" si="67"/>
        <v>0</v>
      </c>
      <c r="EO40" s="1117">
        <f t="shared" si="68"/>
        <v>19035086.737349447</v>
      </c>
      <c r="EP40" s="1117">
        <f t="shared" si="69"/>
        <v>43322744.262650557</v>
      </c>
      <c r="EQ40" s="1118"/>
      <c r="EU40" s="1116">
        <f t="shared" si="70"/>
        <v>62357831.000000007</v>
      </c>
      <c r="EV40" s="1117">
        <f t="shared" si="71"/>
        <v>0</v>
      </c>
      <c r="EW40" s="1117">
        <f t="shared" si="72"/>
        <v>19035086.737349447</v>
      </c>
      <c r="EX40" s="1117">
        <f t="shared" si="73"/>
        <v>43322744.262650557</v>
      </c>
      <c r="EY40" s="1118"/>
      <c r="FC40" s="1116">
        <f t="shared" si="74"/>
        <v>62357831.000000007</v>
      </c>
      <c r="FD40" s="1117">
        <f t="shared" si="75"/>
        <v>0</v>
      </c>
      <c r="FE40" s="1117">
        <f t="shared" si="76"/>
        <v>19035086.737349447</v>
      </c>
      <c r="FF40" s="1117">
        <f t="shared" si="77"/>
        <v>43322744.262650557</v>
      </c>
      <c r="FG40" s="1118"/>
      <c r="FK40" s="1116">
        <f t="shared" si="78"/>
        <v>62357831.000000007</v>
      </c>
      <c r="FL40" s="1117">
        <f t="shared" si="79"/>
        <v>0</v>
      </c>
      <c r="FM40" s="1117">
        <f t="shared" si="80"/>
        <v>19035086.737349447</v>
      </c>
      <c r="FN40" s="1117">
        <f t="shared" si="81"/>
        <v>43322744.262650557</v>
      </c>
      <c r="FO40" s="1118"/>
    </row>
    <row r="41" spans="1:171">
      <c r="A41" s="1423"/>
      <c r="B41" s="10" t="s">
        <v>129</v>
      </c>
      <c r="C41" s="887" t="s">
        <v>70</v>
      </c>
      <c r="D41" s="888">
        <v>393</v>
      </c>
      <c r="E41" s="182" t="str">
        <f>'Sch 1- Rate Base '!E41</f>
        <v>PTD</v>
      </c>
      <c r="F41" s="889"/>
      <c r="G41" s="182">
        <f>'Sch 1- Rate Base '!G41</f>
        <v>472784</v>
      </c>
      <c r="H41" s="182">
        <f>'Sch 1- Rate Base '!H41</f>
        <v>150232.23083616229</v>
      </c>
      <c r="I41" s="182">
        <f>'Sch 1- Rate Base '!I41</f>
        <v>0</v>
      </c>
      <c r="J41" s="1424">
        <f>'Sch 1- Rate Base '!J41</f>
        <v>322551.76916383771</v>
      </c>
      <c r="K41" s="903">
        <f t="shared" si="0"/>
        <v>1</v>
      </c>
      <c r="L41" s="1123">
        <f t="shared" si="1"/>
        <v>9.308784355651152E-5</v>
      </c>
      <c r="O41" s="1116">
        <f t="shared" si="2"/>
        <v>472784</v>
      </c>
      <c r="P41" s="1117">
        <f t="shared" si="3"/>
        <v>150232.23083616229</v>
      </c>
      <c r="Q41" s="1117">
        <f t="shared" si="4"/>
        <v>98460.78359138513</v>
      </c>
      <c r="R41" s="1117">
        <f t="shared" si="5"/>
        <v>224090.9855724526</v>
      </c>
      <c r="S41" s="1118"/>
      <c r="W41" s="1116">
        <f t="shared" si="6"/>
        <v>472784</v>
      </c>
      <c r="X41" s="1117">
        <f t="shared" si="7"/>
        <v>150232.23083616229</v>
      </c>
      <c r="Y41" s="1117">
        <f t="shared" si="8"/>
        <v>98460.78359138513</v>
      </c>
      <c r="Z41" s="1117">
        <f t="shared" si="9"/>
        <v>224090.9855724526</v>
      </c>
      <c r="AA41" s="1118"/>
      <c r="AE41" s="1116">
        <f t="shared" si="10"/>
        <v>472784</v>
      </c>
      <c r="AF41" s="1117">
        <f t="shared" si="11"/>
        <v>150232.23083616229</v>
      </c>
      <c r="AG41" s="1117">
        <f t="shared" si="12"/>
        <v>98460.78359138513</v>
      </c>
      <c r="AH41" s="1117">
        <f t="shared" si="13"/>
        <v>224090.9855724526</v>
      </c>
      <c r="AI41" s="1118"/>
      <c r="AM41" s="1116">
        <f t="shared" si="14"/>
        <v>472784</v>
      </c>
      <c r="AN41" s="1117">
        <f t="shared" si="15"/>
        <v>150232.23083616229</v>
      </c>
      <c r="AO41" s="1117">
        <f t="shared" si="16"/>
        <v>98460.78359138513</v>
      </c>
      <c r="AP41" s="1117">
        <f t="shared" si="17"/>
        <v>224090.9855724526</v>
      </c>
      <c r="AQ41" s="1118"/>
      <c r="AU41" s="1116">
        <f t="shared" si="18"/>
        <v>472784</v>
      </c>
      <c r="AV41" s="1117">
        <f t="shared" si="19"/>
        <v>150232.23083616229</v>
      </c>
      <c r="AW41" s="1117">
        <f t="shared" si="20"/>
        <v>98460.78359138513</v>
      </c>
      <c r="AX41" s="1117">
        <f t="shared" si="21"/>
        <v>224090.9855724526</v>
      </c>
      <c r="AY41" s="1118"/>
      <c r="BC41" s="1116">
        <f t="shared" si="22"/>
        <v>472784</v>
      </c>
      <c r="BD41" s="1117">
        <f t="shared" si="23"/>
        <v>150232.23083616229</v>
      </c>
      <c r="BE41" s="1117">
        <f t="shared" si="24"/>
        <v>98460.78359138513</v>
      </c>
      <c r="BF41" s="1117">
        <f t="shared" si="25"/>
        <v>224090.9855724526</v>
      </c>
      <c r="BG41" s="1118"/>
      <c r="BK41" s="1116">
        <f t="shared" si="26"/>
        <v>472784</v>
      </c>
      <c r="BL41" s="1117">
        <f t="shared" si="27"/>
        <v>150232.23083616229</v>
      </c>
      <c r="BM41" s="1117">
        <f t="shared" si="28"/>
        <v>98460.78359138513</v>
      </c>
      <c r="BN41" s="1117">
        <f t="shared" si="29"/>
        <v>224090.9855724526</v>
      </c>
      <c r="BO41" s="1118"/>
      <c r="BS41" s="1116">
        <f t="shared" si="30"/>
        <v>472784</v>
      </c>
      <c r="BT41" s="1117">
        <f t="shared" si="31"/>
        <v>150232.23083616229</v>
      </c>
      <c r="BU41" s="1117">
        <f t="shared" si="32"/>
        <v>98460.78359138513</v>
      </c>
      <c r="BV41" s="1117">
        <f t="shared" si="33"/>
        <v>224090.9855724526</v>
      </c>
      <c r="BW41" s="1118"/>
      <c r="CA41" s="1116">
        <f t="shared" si="34"/>
        <v>472784</v>
      </c>
      <c r="CB41" s="1117">
        <f t="shared" si="35"/>
        <v>150232.23083616229</v>
      </c>
      <c r="CC41" s="1117">
        <f t="shared" si="36"/>
        <v>98460.78359138513</v>
      </c>
      <c r="CD41" s="1117">
        <f t="shared" si="37"/>
        <v>224090.9855724526</v>
      </c>
      <c r="CE41" s="1118"/>
      <c r="CI41" s="1116">
        <f t="shared" si="38"/>
        <v>472784</v>
      </c>
      <c r="CJ41" s="1117">
        <f t="shared" si="39"/>
        <v>150232.23083616229</v>
      </c>
      <c r="CK41" s="1117">
        <f t="shared" si="40"/>
        <v>98460.78359138513</v>
      </c>
      <c r="CL41" s="1117">
        <f t="shared" si="41"/>
        <v>224090.9855724526</v>
      </c>
      <c r="CM41" s="1118"/>
      <c r="CQ41" s="1116">
        <f t="shared" si="42"/>
        <v>472784</v>
      </c>
      <c r="CR41" s="1117">
        <f t="shared" si="43"/>
        <v>150232.23083616229</v>
      </c>
      <c r="CS41" s="1117">
        <f t="shared" si="44"/>
        <v>98460.78359138513</v>
      </c>
      <c r="CT41" s="1117">
        <f t="shared" si="45"/>
        <v>224090.9855724526</v>
      </c>
      <c r="CU41" s="1118"/>
      <c r="CY41" s="1116">
        <f t="shared" si="46"/>
        <v>472784</v>
      </c>
      <c r="CZ41" s="1117">
        <f t="shared" si="47"/>
        <v>150232.23083616229</v>
      </c>
      <c r="DA41" s="1117">
        <f t="shared" si="48"/>
        <v>98460.78359138513</v>
      </c>
      <c r="DB41" s="1117">
        <f t="shared" si="49"/>
        <v>224090.9855724526</v>
      </c>
      <c r="DC41" s="1118"/>
      <c r="DG41" s="1116">
        <f t="shared" si="50"/>
        <v>472784</v>
      </c>
      <c r="DH41" s="1117">
        <f t="shared" si="51"/>
        <v>150232.23083616229</v>
      </c>
      <c r="DI41" s="1117">
        <f t="shared" si="52"/>
        <v>98460.78359138513</v>
      </c>
      <c r="DJ41" s="1117">
        <f t="shared" si="53"/>
        <v>224090.9855724526</v>
      </c>
      <c r="DK41" s="1118"/>
      <c r="DO41" s="1116">
        <f t="shared" si="54"/>
        <v>472784</v>
      </c>
      <c r="DP41" s="1117">
        <f t="shared" si="55"/>
        <v>150232.23083616229</v>
      </c>
      <c r="DQ41" s="1117">
        <f t="shared" si="56"/>
        <v>98460.78359138513</v>
      </c>
      <c r="DR41" s="1117">
        <f t="shared" si="57"/>
        <v>224090.9855724526</v>
      </c>
      <c r="DS41" s="1118"/>
      <c r="DW41" s="1116">
        <f t="shared" si="58"/>
        <v>472784</v>
      </c>
      <c r="DX41" s="1117">
        <f t="shared" si="59"/>
        <v>150232.23083616229</v>
      </c>
      <c r="DY41" s="1117">
        <f t="shared" si="60"/>
        <v>98460.78359138513</v>
      </c>
      <c r="DZ41" s="1117">
        <f t="shared" si="61"/>
        <v>224090.9855724526</v>
      </c>
      <c r="EA41" s="1118"/>
      <c r="EE41" s="1116">
        <f t="shared" si="62"/>
        <v>472784</v>
      </c>
      <c r="EF41" s="1117">
        <f t="shared" si="63"/>
        <v>150232.23083616229</v>
      </c>
      <c r="EG41" s="1117">
        <f t="shared" si="64"/>
        <v>98460.78359138513</v>
      </c>
      <c r="EH41" s="1117">
        <f t="shared" si="65"/>
        <v>224090.9855724526</v>
      </c>
      <c r="EI41" s="1118"/>
      <c r="EM41" s="1116">
        <f t="shared" si="66"/>
        <v>472784</v>
      </c>
      <c r="EN41" s="1117">
        <f t="shared" si="67"/>
        <v>150232.23083616229</v>
      </c>
      <c r="EO41" s="1117">
        <f t="shared" si="68"/>
        <v>98460.78359138513</v>
      </c>
      <c r="EP41" s="1117">
        <f t="shared" si="69"/>
        <v>224090.9855724526</v>
      </c>
      <c r="EQ41" s="1118"/>
      <c r="EU41" s="1116">
        <f t="shared" si="70"/>
        <v>472784</v>
      </c>
      <c r="EV41" s="1117">
        <f t="shared" si="71"/>
        <v>150232.23083616229</v>
      </c>
      <c r="EW41" s="1117">
        <f t="shared" si="72"/>
        <v>98460.78359138513</v>
      </c>
      <c r="EX41" s="1117">
        <f t="shared" si="73"/>
        <v>224090.9855724526</v>
      </c>
      <c r="EY41" s="1118"/>
      <c r="FC41" s="1116">
        <f t="shared" si="74"/>
        <v>472784</v>
      </c>
      <c r="FD41" s="1117">
        <f t="shared" si="75"/>
        <v>150232.23083616229</v>
      </c>
      <c r="FE41" s="1117">
        <f t="shared" si="76"/>
        <v>98460.78359138513</v>
      </c>
      <c r="FF41" s="1117">
        <f t="shared" si="77"/>
        <v>224090.9855724526</v>
      </c>
      <c r="FG41" s="1118"/>
      <c r="FK41" s="1116">
        <f t="shared" si="78"/>
        <v>472784</v>
      </c>
      <c r="FL41" s="1117">
        <f t="shared" si="79"/>
        <v>150232.23083616229</v>
      </c>
      <c r="FM41" s="1117">
        <f t="shared" si="80"/>
        <v>98460.78359138513</v>
      </c>
      <c r="FN41" s="1117">
        <f t="shared" si="81"/>
        <v>224090.9855724526</v>
      </c>
      <c r="FO41" s="1118"/>
    </row>
    <row r="42" spans="1:171">
      <c r="A42" s="1423"/>
      <c r="B42" s="10" t="s">
        <v>130</v>
      </c>
      <c r="C42" s="887" t="s">
        <v>70</v>
      </c>
      <c r="D42" s="888">
        <v>394</v>
      </c>
      <c r="E42" s="182" t="str">
        <f>'Sch 1- Rate Base '!E42</f>
        <v>PTD</v>
      </c>
      <c r="F42" s="889"/>
      <c r="G42" s="182">
        <f>'Sch 1- Rate Base '!G42</f>
        <v>9005539</v>
      </c>
      <c r="H42" s="182">
        <f>'Sch 1- Rate Base '!H42</f>
        <v>2861607.4441014547</v>
      </c>
      <c r="I42" s="182">
        <f>'Sch 1- Rate Base '!I42</f>
        <v>0</v>
      </c>
      <c r="J42" s="1424">
        <f>'Sch 1- Rate Base '!J42</f>
        <v>6143931.5558985453</v>
      </c>
      <c r="K42" s="903">
        <f t="shared" si="0"/>
        <v>1</v>
      </c>
      <c r="L42" s="1123">
        <f t="shared" si="1"/>
        <v>1.7731272749798284E-3</v>
      </c>
      <c r="O42" s="1116">
        <f t="shared" si="2"/>
        <v>9005539</v>
      </c>
      <c r="P42" s="1117">
        <f t="shared" si="3"/>
        <v>2861607.4441014547</v>
      </c>
      <c r="Q42" s="1117">
        <f t="shared" si="4"/>
        <v>1875470.4613582075</v>
      </c>
      <c r="R42" s="1117">
        <f t="shared" si="5"/>
        <v>4268461.094540338</v>
      </c>
      <c r="S42" s="1118"/>
      <c r="W42" s="1116">
        <f t="shared" si="6"/>
        <v>9005539</v>
      </c>
      <c r="X42" s="1117">
        <f t="shared" si="7"/>
        <v>2861607.4441014547</v>
      </c>
      <c r="Y42" s="1117">
        <f t="shared" si="8"/>
        <v>1875470.4613582075</v>
      </c>
      <c r="Z42" s="1117">
        <f t="shared" si="9"/>
        <v>4268461.094540338</v>
      </c>
      <c r="AA42" s="1118"/>
      <c r="AE42" s="1116">
        <f t="shared" si="10"/>
        <v>9005539</v>
      </c>
      <c r="AF42" s="1117">
        <f t="shared" si="11"/>
        <v>2861607.4441014547</v>
      </c>
      <c r="AG42" s="1117">
        <f t="shared" si="12"/>
        <v>1875470.4613582075</v>
      </c>
      <c r="AH42" s="1117">
        <f t="shared" si="13"/>
        <v>4268461.094540338</v>
      </c>
      <c r="AI42" s="1118"/>
      <c r="AM42" s="1116">
        <f t="shared" si="14"/>
        <v>9005539</v>
      </c>
      <c r="AN42" s="1117">
        <f t="shared" si="15"/>
        <v>2861607.4441014547</v>
      </c>
      <c r="AO42" s="1117">
        <f t="shared" si="16"/>
        <v>1875470.4613582075</v>
      </c>
      <c r="AP42" s="1117">
        <f t="shared" si="17"/>
        <v>4268461.094540338</v>
      </c>
      <c r="AQ42" s="1118"/>
      <c r="AU42" s="1116">
        <f t="shared" si="18"/>
        <v>9005539</v>
      </c>
      <c r="AV42" s="1117">
        <f t="shared" si="19"/>
        <v>2861607.4441014547</v>
      </c>
      <c r="AW42" s="1117">
        <f t="shared" si="20"/>
        <v>1875470.4613582075</v>
      </c>
      <c r="AX42" s="1117">
        <f t="shared" si="21"/>
        <v>4268461.094540338</v>
      </c>
      <c r="AY42" s="1118"/>
      <c r="BC42" s="1116">
        <f t="shared" si="22"/>
        <v>9005539</v>
      </c>
      <c r="BD42" s="1117">
        <f t="shared" si="23"/>
        <v>2861607.4441014547</v>
      </c>
      <c r="BE42" s="1117">
        <f t="shared" si="24"/>
        <v>1875470.4613582075</v>
      </c>
      <c r="BF42" s="1117">
        <f t="shared" si="25"/>
        <v>4268461.094540338</v>
      </c>
      <c r="BG42" s="1118"/>
      <c r="BK42" s="1116">
        <f t="shared" si="26"/>
        <v>9005539</v>
      </c>
      <c r="BL42" s="1117">
        <f t="shared" si="27"/>
        <v>2861607.4441014547</v>
      </c>
      <c r="BM42" s="1117">
        <f t="shared" si="28"/>
        <v>1875470.4613582075</v>
      </c>
      <c r="BN42" s="1117">
        <f t="shared" si="29"/>
        <v>4268461.094540338</v>
      </c>
      <c r="BO42" s="1118"/>
      <c r="BS42" s="1116">
        <f t="shared" si="30"/>
        <v>9005539</v>
      </c>
      <c r="BT42" s="1117">
        <f t="shared" si="31"/>
        <v>2861607.4441014547</v>
      </c>
      <c r="BU42" s="1117">
        <f t="shared" si="32"/>
        <v>1875470.4613582075</v>
      </c>
      <c r="BV42" s="1117">
        <f t="shared" si="33"/>
        <v>4268461.094540338</v>
      </c>
      <c r="BW42" s="1118"/>
      <c r="CA42" s="1116">
        <f t="shared" si="34"/>
        <v>9005539</v>
      </c>
      <c r="CB42" s="1117">
        <f t="shared" si="35"/>
        <v>2861607.4441014547</v>
      </c>
      <c r="CC42" s="1117">
        <f t="shared" si="36"/>
        <v>1875470.4613582075</v>
      </c>
      <c r="CD42" s="1117">
        <f t="shared" si="37"/>
        <v>4268461.094540338</v>
      </c>
      <c r="CE42" s="1118"/>
      <c r="CI42" s="1116">
        <f t="shared" si="38"/>
        <v>9005539</v>
      </c>
      <c r="CJ42" s="1117">
        <f t="shared" si="39"/>
        <v>2861607.4441014547</v>
      </c>
      <c r="CK42" s="1117">
        <f t="shared" si="40"/>
        <v>1875470.4613582075</v>
      </c>
      <c r="CL42" s="1117">
        <f t="shared" si="41"/>
        <v>4268461.094540338</v>
      </c>
      <c r="CM42" s="1118"/>
      <c r="CQ42" s="1116">
        <f t="shared" si="42"/>
        <v>9005539</v>
      </c>
      <c r="CR42" s="1117">
        <f t="shared" si="43"/>
        <v>2861607.4441014547</v>
      </c>
      <c r="CS42" s="1117">
        <f t="shared" si="44"/>
        <v>1875470.4613582075</v>
      </c>
      <c r="CT42" s="1117">
        <f t="shared" si="45"/>
        <v>4268461.094540338</v>
      </c>
      <c r="CU42" s="1118"/>
      <c r="CY42" s="1116">
        <f t="shared" si="46"/>
        <v>9005539</v>
      </c>
      <c r="CZ42" s="1117">
        <f t="shared" si="47"/>
        <v>2861607.4441014547</v>
      </c>
      <c r="DA42" s="1117">
        <f t="shared" si="48"/>
        <v>1875470.4613582075</v>
      </c>
      <c r="DB42" s="1117">
        <f t="shared" si="49"/>
        <v>4268461.094540338</v>
      </c>
      <c r="DC42" s="1118"/>
      <c r="DG42" s="1116">
        <f t="shared" si="50"/>
        <v>9005539</v>
      </c>
      <c r="DH42" s="1117">
        <f t="shared" si="51"/>
        <v>2861607.4441014547</v>
      </c>
      <c r="DI42" s="1117">
        <f t="shared" si="52"/>
        <v>1875470.4613582075</v>
      </c>
      <c r="DJ42" s="1117">
        <f t="shared" si="53"/>
        <v>4268461.094540338</v>
      </c>
      <c r="DK42" s="1118"/>
      <c r="DO42" s="1116">
        <f t="shared" si="54"/>
        <v>9005539</v>
      </c>
      <c r="DP42" s="1117">
        <f t="shared" si="55"/>
        <v>2861607.4441014547</v>
      </c>
      <c r="DQ42" s="1117">
        <f t="shared" si="56"/>
        <v>1875470.4613582075</v>
      </c>
      <c r="DR42" s="1117">
        <f t="shared" si="57"/>
        <v>4268461.094540338</v>
      </c>
      <c r="DS42" s="1118"/>
      <c r="DW42" s="1116">
        <f t="shared" si="58"/>
        <v>9005539</v>
      </c>
      <c r="DX42" s="1117">
        <f t="shared" si="59"/>
        <v>2861607.4441014547</v>
      </c>
      <c r="DY42" s="1117">
        <f t="shared" si="60"/>
        <v>1875470.4613582075</v>
      </c>
      <c r="DZ42" s="1117">
        <f t="shared" si="61"/>
        <v>4268461.094540338</v>
      </c>
      <c r="EA42" s="1118"/>
      <c r="EE42" s="1116">
        <f t="shared" si="62"/>
        <v>9005539</v>
      </c>
      <c r="EF42" s="1117">
        <f t="shared" si="63"/>
        <v>2861607.4441014547</v>
      </c>
      <c r="EG42" s="1117">
        <f t="shared" si="64"/>
        <v>1875470.4613582075</v>
      </c>
      <c r="EH42" s="1117">
        <f t="shared" si="65"/>
        <v>4268461.094540338</v>
      </c>
      <c r="EI42" s="1118"/>
      <c r="EM42" s="1116">
        <f t="shared" si="66"/>
        <v>9005539</v>
      </c>
      <c r="EN42" s="1117">
        <f t="shared" si="67"/>
        <v>2861607.4441014547</v>
      </c>
      <c r="EO42" s="1117">
        <f t="shared" si="68"/>
        <v>1875470.4613582075</v>
      </c>
      <c r="EP42" s="1117">
        <f t="shared" si="69"/>
        <v>4268461.094540338</v>
      </c>
      <c r="EQ42" s="1118"/>
      <c r="EU42" s="1116">
        <f t="shared" si="70"/>
        <v>9005539</v>
      </c>
      <c r="EV42" s="1117">
        <f t="shared" si="71"/>
        <v>2861607.4441014547</v>
      </c>
      <c r="EW42" s="1117">
        <f t="shared" si="72"/>
        <v>1875470.4613582075</v>
      </c>
      <c r="EX42" s="1117">
        <f t="shared" si="73"/>
        <v>4268461.094540338</v>
      </c>
      <c r="EY42" s="1118"/>
      <c r="FC42" s="1116">
        <f t="shared" si="74"/>
        <v>9005539</v>
      </c>
      <c r="FD42" s="1117">
        <f t="shared" si="75"/>
        <v>2861607.4441014547</v>
      </c>
      <c r="FE42" s="1117">
        <f t="shared" si="76"/>
        <v>1875470.4613582075</v>
      </c>
      <c r="FF42" s="1117">
        <f t="shared" si="77"/>
        <v>4268461.094540338</v>
      </c>
      <c r="FG42" s="1118"/>
      <c r="FK42" s="1116">
        <f t="shared" si="78"/>
        <v>9005539</v>
      </c>
      <c r="FL42" s="1117">
        <f t="shared" si="79"/>
        <v>2861607.4441014547</v>
      </c>
      <c r="FM42" s="1117">
        <f t="shared" si="80"/>
        <v>1875470.4613582075</v>
      </c>
      <c r="FN42" s="1117">
        <f t="shared" si="81"/>
        <v>4268461.094540338</v>
      </c>
      <c r="FO42" s="1118"/>
    </row>
    <row r="43" spans="1:171">
      <c r="A43" s="1423"/>
      <c r="B43" s="10" t="s">
        <v>131</v>
      </c>
      <c r="C43" s="887" t="s">
        <v>70</v>
      </c>
      <c r="D43" s="888">
        <v>395</v>
      </c>
      <c r="E43" s="182" t="str">
        <f>'Sch 1- Rate Base '!E43</f>
        <v>PTD</v>
      </c>
      <c r="F43" s="889"/>
      <c r="G43" s="182">
        <f>'Sch 1- Rate Base '!G43</f>
        <v>3305287</v>
      </c>
      <c r="H43" s="182">
        <f>'Sch 1- Rate Base '!H43</f>
        <v>1050290.7026544178</v>
      </c>
      <c r="I43" s="182">
        <f>'Sch 1- Rate Base '!I43</f>
        <v>0</v>
      </c>
      <c r="J43" s="1424">
        <f>'Sch 1- Rate Base '!J43</f>
        <v>2254996.2973455819</v>
      </c>
      <c r="K43" s="903">
        <f t="shared" si="0"/>
        <v>1</v>
      </c>
      <c r="L43" s="1123">
        <f t="shared" si="1"/>
        <v>6.5078775754968715E-4</v>
      </c>
      <c r="O43" s="1116">
        <f t="shared" si="2"/>
        <v>3305287</v>
      </c>
      <c r="P43" s="1117">
        <f t="shared" si="3"/>
        <v>1050290.7026544178</v>
      </c>
      <c r="Q43" s="1117">
        <f t="shared" si="4"/>
        <v>688350.59565133031</v>
      </c>
      <c r="R43" s="1117">
        <f t="shared" si="5"/>
        <v>1566645.7016942517</v>
      </c>
      <c r="S43" s="1118"/>
      <c r="W43" s="1116">
        <f t="shared" si="6"/>
        <v>3305287</v>
      </c>
      <c r="X43" s="1117">
        <f t="shared" si="7"/>
        <v>1050290.7026544178</v>
      </c>
      <c r="Y43" s="1117">
        <f t="shared" si="8"/>
        <v>688350.59565133031</v>
      </c>
      <c r="Z43" s="1117">
        <f t="shared" si="9"/>
        <v>1566645.7016942517</v>
      </c>
      <c r="AA43" s="1118"/>
      <c r="AE43" s="1116">
        <f t="shared" si="10"/>
        <v>3305287</v>
      </c>
      <c r="AF43" s="1117">
        <f t="shared" si="11"/>
        <v>1050290.7026544178</v>
      </c>
      <c r="AG43" s="1117">
        <f t="shared" si="12"/>
        <v>688350.59565133031</v>
      </c>
      <c r="AH43" s="1117">
        <f t="shared" si="13"/>
        <v>1566645.7016942517</v>
      </c>
      <c r="AI43" s="1118"/>
      <c r="AM43" s="1116">
        <f t="shared" si="14"/>
        <v>3305287</v>
      </c>
      <c r="AN43" s="1117">
        <f t="shared" si="15"/>
        <v>1050290.7026544178</v>
      </c>
      <c r="AO43" s="1117">
        <f t="shared" si="16"/>
        <v>688350.59565133031</v>
      </c>
      <c r="AP43" s="1117">
        <f t="shared" si="17"/>
        <v>1566645.7016942517</v>
      </c>
      <c r="AQ43" s="1118"/>
      <c r="AU43" s="1116">
        <f t="shared" si="18"/>
        <v>3305287</v>
      </c>
      <c r="AV43" s="1117">
        <f t="shared" si="19"/>
        <v>1050290.7026544178</v>
      </c>
      <c r="AW43" s="1117">
        <f t="shared" si="20"/>
        <v>688350.59565133031</v>
      </c>
      <c r="AX43" s="1117">
        <f t="shared" si="21"/>
        <v>1566645.7016942517</v>
      </c>
      <c r="AY43" s="1118"/>
      <c r="BC43" s="1116">
        <f t="shared" si="22"/>
        <v>3305287</v>
      </c>
      <c r="BD43" s="1117">
        <f t="shared" si="23"/>
        <v>1050290.7026544178</v>
      </c>
      <c r="BE43" s="1117">
        <f t="shared" si="24"/>
        <v>688350.59565133031</v>
      </c>
      <c r="BF43" s="1117">
        <f t="shared" si="25"/>
        <v>1566645.7016942517</v>
      </c>
      <c r="BG43" s="1118"/>
      <c r="BK43" s="1116">
        <f t="shared" si="26"/>
        <v>3305287</v>
      </c>
      <c r="BL43" s="1117">
        <f t="shared" si="27"/>
        <v>1050290.7026544178</v>
      </c>
      <c r="BM43" s="1117">
        <f t="shared" si="28"/>
        <v>688350.59565133031</v>
      </c>
      <c r="BN43" s="1117">
        <f t="shared" si="29"/>
        <v>1566645.7016942517</v>
      </c>
      <c r="BO43" s="1118"/>
      <c r="BS43" s="1116">
        <f t="shared" si="30"/>
        <v>3305287</v>
      </c>
      <c r="BT43" s="1117">
        <f t="shared" si="31"/>
        <v>1050290.7026544178</v>
      </c>
      <c r="BU43" s="1117">
        <f t="shared" si="32"/>
        <v>688350.59565133031</v>
      </c>
      <c r="BV43" s="1117">
        <f t="shared" si="33"/>
        <v>1566645.7016942517</v>
      </c>
      <c r="BW43" s="1118"/>
      <c r="CA43" s="1116">
        <f t="shared" si="34"/>
        <v>3305287</v>
      </c>
      <c r="CB43" s="1117">
        <f t="shared" si="35"/>
        <v>1050290.7026544178</v>
      </c>
      <c r="CC43" s="1117">
        <f t="shared" si="36"/>
        <v>688350.59565133031</v>
      </c>
      <c r="CD43" s="1117">
        <f t="shared" si="37"/>
        <v>1566645.7016942517</v>
      </c>
      <c r="CE43" s="1118"/>
      <c r="CI43" s="1116">
        <f t="shared" si="38"/>
        <v>3305287</v>
      </c>
      <c r="CJ43" s="1117">
        <f t="shared" si="39"/>
        <v>1050290.7026544178</v>
      </c>
      <c r="CK43" s="1117">
        <f t="shared" si="40"/>
        <v>688350.59565133031</v>
      </c>
      <c r="CL43" s="1117">
        <f t="shared" si="41"/>
        <v>1566645.7016942517</v>
      </c>
      <c r="CM43" s="1118"/>
      <c r="CQ43" s="1116">
        <f t="shared" si="42"/>
        <v>3305287</v>
      </c>
      <c r="CR43" s="1117">
        <f t="shared" si="43"/>
        <v>1050290.7026544178</v>
      </c>
      <c r="CS43" s="1117">
        <f t="shared" si="44"/>
        <v>688350.59565133031</v>
      </c>
      <c r="CT43" s="1117">
        <f t="shared" si="45"/>
        <v>1566645.7016942517</v>
      </c>
      <c r="CU43" s="1118"/>
      <c r="CY43" s="1116">
        <f t="shared" si="46"/>
        <v>3305287</v>
      </c>
      <c r="CZ43" s="1117">
        <f t="shared" si="47"/>
        <v>1050290.7026544178</v>
      </c>
      <c r="DA43" s="1117">
        <f t="shared" si="48"/>
        <v>688350.59565133031</v>
      </c>
      <c r="DB43" s="1117">
        <f t="shared" si="49"/>
        <v>1566645.7016942517</v>
      </c>
      <c r="DC43" s="1118"/>
      <c r="DG43" s="1116">
        <f t="shared" si="50"/>
        <v>3305287</v>
      </c>
      <c r="DH43" s="1117">
        <f t="shared" si="51"/>
        <v>1050290.7026544178</v>
      </c>
      <c r="DI43" s="1117">
        <f t="shared" si="52"/>
        <v>688350.59565133031</v>
      </c>
      <c r="DJ43" s="1117">
        <f t="shared" si="53"/>
        <v>1566645.7016942517</v>
      </c>
      <c r="DK43" s="1118"/>
      <c r="DO43" s="1116">
        <f t="shared" si="54"/>
        <v>3305287</v>
      </c>
      <c r="DP43" s="1117">
        <f t="shared" si="55"/>
        <v>1050290.7026544178</v>
      </c>
      <c r="DQ43" s="1117">
        <f t="shared" si="56"/>
        <v>688350.59565133031</v>
      </c>
      <c r="DR43" s="1117">
        <f t="shared" si="57"/>
        <v>1566645.7016942517</v>
      </c>
      <c r="DS43" s="1118"/>
      <c r="DW43" s="1116">
        <f t="shared" si="58"/>
        <v>3305287</v>
      </c>
      <c r="DX43" s="1117">
        <f t="shared" si="59"/>
        <v>1050290.7026544178</v>
      </c>
      <c r="DY43" s="1117">
        <f t="shared" si="60"/>
        <v>688350.59565133031</v>
      </c>
      <c r="DZ43" s="1117">
        <f t="shared" si="61"/>
        <v>1566645.7016942517</v>
      </c>
      <c r="EA43" s="1118"/>
      <c r="EE43" s="1116">
        <f t="shared" si="62"/>
        <v>3305287</v>
      </c>
      <c r="EF43" s="1117">
        <f t="shared" si="63"/>
        <v>1050290.7026544178</v>
      </c>
      <c r="EG43" s="1117">
        <f t="shared" si="64"/>
        <v>688350.59565133031</v>
      </c>
      <c r="EH43" s="1117">
        <f t="shared" si="65"/>
        <v>1566645.7016942517</v>
      </c>
      <c r="EI43" s="1118"/>
      <c r="EM43" s="1116">
        <f t="shared" si="66"/>
        <v>3305287</v>
      </c>
      <c r="EN43" s="1117">
        <f t="shared" si="67"/>
        <v>1050290.7026544178</v>
      </c>
      <c r="EO43" s="1117">
        <f t="shared" si="68"/>
        <v>688350.59565133031</v>
      </c>
      <c r="EP43" s="1117">
        <f t="shared" si="69"/>
        <v>1566645.7016942517</v>
      </c>
      <c r="EQ43" s="1118"/>
      <c r="EU43" s="1116">
        <f t="shared" si="70"/>
        <v>3305287</v>
      </c>
      <c r="EV43" s="1117">
        <f t="shared" si="71"/>
        <v>1050290.7026544178</v>
      </c>
      <c r="EW43" s="1117">
        <f t="shared" si="72"/>
        <v>688350.59565133031</v>
      </c>
      <c r="EX43" s="1117">
        <f t="shared" si="73"/>
        <v>1566645.7016942517</v>
      </c>
      <c r="EY43" s="1118"/>
      <c r="FC43" s="1116">
        <f t="shared" si="74"/>
        <v>3305287</v>
      </c>
      <c r="FD43" s="1117">
        <f t="shared" si="75"/>
        <v>1050290.7026544178</v>
      </c>
      <c r="FE43" s="1117">
        <f t="shared" si="76"/>
        <v>688350.59565133031</v>
      </c>
      <c r="FF43" s="1117">
        <f t="shared" si="77"/>
        <v>1566645.7016942517</v>
      </c>
      <c r="FG43" s="1118"/>
      <c r="FK43" s="1116">
        <f t="shared" si="78"/>
        <v>3305287</v>
      </c>
      <c r="FL43" s="1117">
        <f t="shared" si="79"/>
        <v>1050290.7026544178</v>
      </c>
      <c r="FM43" s="1117">
        <f t="shared" si="80"/>
        <v>688350.59565133031</v>
      </c>
      <c r="FN43" s="1117">
        <f t="shared" si="81"/>
        <v>1566645.7016942517</v>
      </c>
      <c r="FO43" s="1118"/>
    </row>
    <row r="44" spans="1:171">
      <c r="A44" s="1423"/>
      <c r="B44" s="10" t="s">
        <v>132</v>
      </c>
      <c r="C44" s="887" t="s">
        <v>70</v>
      </c>
      <c r="D44" s="888">
        <v>396</v>
      </c>
      <c r="E44" s="182" t="str">
        <f>'Sch 1- Rate Base '!E44</f>
        <v>TD</v>
      </c>
      <c r="F44" s="889"/>
      <c r="G44" s="182">
        <f>'Sch 1- Rate Base '!G44</f>
        <v>25432532</v>
      </c>
      <c r="H44" s="182">
        <f>'Sch 1- Rate Base '!H44</f>
        <v>0</v>
      </c>
      <c r="I44" s="182">
        <f>'Sch 1- Rate Base '!I44</f>
        <v>0</v>
      </c>
      <c r="J44" s="1424">
        <f>'Sch 1- Rate Base '!J44</f>
        <v>25432532</v>
      </c>
      <c r="K44" s="903">
        <f t="shared" si="0"/>
        <v>1</v>
      </c>
      <c r="L44" s="1123">
        <f t="shared" si="1"/>
        <v>5.0074866325044275E-3</v>
      </c>
      <c r="O44" s="1116">
        <f t="shared" si="2"/>
        <v>25432532</v>
      </c>
      <c r="P44" s="1117">
        <f t="shared" si="3"/>
        <v>0</v>
      </c>
      <c r="Q44" s="1117">
        <f t="shared" si="4"/>
        <v>7763426.7389835175</v>
      </c>
      <c r="R44" s="1117">
        <f t="shared" si="5"/>
        <v>17669105.261016481</v>
      </c>
      <c r="S44" s="1118"/>
      <c r="W44" s="1116">
        <f t="shared" si="6"/>
        <v>25432532</v>
      </c>
      <c r="X44" s="1117">
        <f t="shared" si="7"/>
        <v>0</v>
      </c>
      <c r="Y44" s="1117">
        <f t="shared" si="8"/>
        <v>7763426.7389835175</v>
      </c>
      <c r="Z44" s="1117">
        <f t="shared" si="9"/>
        <v>17669105.261016481</v>
      </c>
      <c r="AA44" s="1118"/>
      <c r="AE44" s="1116">
        <f t="shared" si="10"/>
        <v>25432532</v>
      </c>
      <c r="AF44" s="1117">
        <f t="shared" si="11"/>
        <v>0</v>
      </c>
      <c r="AG44" s="1117">
        <f t="shared" si="12"/>
        <v>7763426.7389835175</v>
      </c>
      <c r="AH44" s="1117">
        <f t="shared" si="13"/>
        <v>17669105.261016481</v>
      </c>
      <c r="AI44" s="1118"/>
      <c r="AM44" s="1116">
        <f t="shared" si="14"/>
        <v>25432532</v>
      </c>
      <c r="AN44" s="1117">
        <f t="shared" si="15"/>
        <v>0</v>
      </c>
      <c r="AO44" s="1117">
        <f t="shared" si="16"/>
        <v>7763426.7389835175</v>
      </c>
      <c r="AP44" s="1117">
        <f t="shared" si="17"/>
        <v>17669105.261016481</v>
      </c>
      <c r="AQ44" s="1118"/>
      <c r="AU44" s="1116">
        <f t="shared" si="18"/>
        <v>25432532</v>
      </c>
      <c r="AV44" s="1117">
        <f t="shared" si="19"/>
        <v>0</v>
      </c>
      <c r="AW44" s="1117">
        <f t="shared" si="20"/>
        <v>7763426.7389835175</v>
      </c>
      <c r="AX44" s="1117">
        <f t="shared" si="21"/>
        <v>17669105.261016481</v>
      </c>
      <c r="AY44" s="1118"/>
      <c r="BC44" s="1116">
        <f t="shared" si="22"/>
        <v>25432532</v>
      </c>
      <c r="BD44" s="1117">
        <f t="shared" si="23"/>
        <v>0</v>
      </c>
      <c r="BE44" s="1117">
        <f t="shared" si="24"/>
        <v>7763426.7389835175</v>
      </c>
      <c r="BF44" s="1117">
        <f t="shared" si="25"/>
        <v>17669105.261016481</v>
      </c>
      <c r="BG44" s="1118"/>
      <c r="BK44" s="1116">
        <f t="shared" si="26"/>
        <v>25432532</v>
      </c>
      <c r="BL44" s="1117">
        <f t="shared" si="27"/>
        <v>0</v>
      </c>
      <c r="BM44" s="1117">
        <f t="shared" si="28"/>
        <v>7763426.7389835175</v>
      </c>
      <c r="BN44" s="1117">
        <f t="shared" si="29"/>
        <v>17669105.261016481</v>
      </c>
      <c r="BO44" s="1118"/>
      <c r="BS44" s="1116">
        <f t="shared" si="30"/>
        <v>25432532</v>
      </c>
      <c r="BT44" s="1117">
        <f t="shared" si="31"/>
        <v>0</v>
      </c>
      <c r="BU44" s="1117">
        <f t="shared" si="32"/>
        <v>7763426.7389835175</v>
      </c>
      <c r="BV44" s="1117">
        <f t="shared" si="33"/>
        <v>17669105.261016481</v>
      </c>
      <c r="BW44" s="1118"/>
      <c r="CA44" s="1116">
        <f t="shared" si="34"/>
        <v>25432532</v>
      </c>
      <c r="CB44" s="1117">
        <f t="shared" si="35"/>
        <v>0</v>
      </c>
      <c r="CC44" s="1117">
        <f t="shared" si="36"/>
        <v>7763426.7389835175</v>
      </c>
      <c r="CD44" s="1117">
        <f t="shared" si="37"/>
        <v>17669105.261016481</v>
      </c>
      <c r="CE44" s="1118"/>
      <c r="CI44" s="1116">
        <f t="shared" si="38"/>
        <v>25432532</v>
      </c>
      <c r="CJ44" s="1117">
        <f t="shared" si="39"/>
        <v>0</v>
      </c>
      <c r="CK44" s="1117">
        <f t="shared" si="40"/>
        <v>7763426.7389835175</v>
      </c>
      <c r="CL44" s="1117">
        <f t="shared" si="41"/>
        <v>17669105.261016481</v>
      </c>
      <c r="CM44" s="1118"/>
      <c r="CQ44" s="1116">
        <f t="shared" si="42"/>
        <v>25432532</v>
      </c>
      <c r="CR44" s="1117">
        <f t="shared" si="43"/>
        <v>0</v>
      </c>
      <c r="CS44" s="1117">
        <f t="shared" si="44"/>
        <v>7763426.7389835175</v>
      </c>
      <c r="CT44" s="1117">
        <f t="shared" si="45"/>
        <v>17669105.261016481</v>
      </c>
      <c r="CU44" s="1118"/>
      <c r="CY44" s="1116">
        <f t="shared" si="46"/>
        <v>25432532</v>
      </c>
      <c r="CZ44" s="1117">
        <f t="shared" si="47"/>
        <v>0</v>
      </c>
      <c r="DA44" s="1117">
        <f t="shared" si="48"/>
        <v>7763426.7389835175</v>
      </c>
      <c r="DB44" s="1117">
        <f t="shared" si="49"/>
        <v>17669105.261016481</v>
      </c>
      <c r="DC44" s="1118"/>
      <c r="DG44" s="1116">
        <f t="shared" si="50"/>
        <v>25432532</v>
      </c>
      <c r="DH44" s="1117">
        <f t="shared" si="51"/>
        <v>0</v>
      </c>
      <c r="DI44" s="1117">
        <f t="shared" si="52"/>
        <v>7763426.7389835175</v>
      </c>
      <c r="DJ44" s="1117">
        <f t="shared" si="53"/>
        <v>17669105.261016481</v>
      </c>
      <c r="DK44" s="1118"/>
      <c r="DO44" s="1116">
        <f t="shared" si="54"/>
        <v>25432532</v>
      </c>
      <c r="DP44" s="1117">
        <f t="shared" si="55"/>
        <v>0</v>
      </c>
      <c r="DQ44" s="1117">
        <f t="shared" si="56"/>
        <v>7763426.7389835175</v>
      </c>
      <c r="DR44" s="1117">
        <f t="shared" si="57"/>
        <v>17669105.261016481</v>
      </c>
      <c r="DS44" s="1118"/>
      <c r="DW44" s="1116">
        <f t="shared" si="58"/>
        <v>25432532</v>
      </c>
      <c r="DX44" s="1117">
        <f t="shared" si="59"/>
        <v>0</v>
      </c>
      <c r="DY44" s="1117">
        <f t="shared" si="60"/>
        <v>7763426.7389835175</v>
      </c>
      <c r="DZ44" s="1117">
        <f t="shared" si="61"/>
        <v>17669105.261016481</v>
      </c>
      <c r="EA44" s="1118"/>
      <c r="EE44" s="1116">
        <f t="shared" si="62"/>
        <v>25432532</v>
      </c>
      <c r="EF44" s="1117">
        <f t="shared" si="63"/>
        <v>0</v>
      </c>
      <c r="EG44" s="1117">
        <f t="shared" si="64"/>
        <v>7763426.7389835175</v>
      </c>
      <c r="EH44" s="1117">
        <f t="shared" si="65"/>
        <v>17669105.261016481</v>
      </c>
      <c r="EI44" s="1118"/>
      <c r="EM44" s="1116">
        <f t="shared" si="66"/>
        <v>25432532</v>
      </c>
      <c r="EN44" s="1117">
        <f t="shared" si="67"/>
        <v>0</v>
      </c>
      <c r="EO44" s="1117">
        <f t="shared" si="68"/>
        <v>7763426.7389835175</v>
      </c>
      <c r="EP44" s="1117">
        <f t="shared" si="69"/>
        <v>17669105.261016481</v>
      </c>
      <c r="EQ44" s="1118"/>
      <c r="EU44" s="1116">
        <f t="shared" si="70"/>
        <v>25432532</v>
      </c>
      <c r="EV44" s="1117">
        <f t="shared" si="71"/>
        <v>0</v>
      </c>
      <c r="EW44" s="1117">
        <f t="shared" si="72"/>
        <v>7763426.7389835175</v>
      </c>
      <c r="EX44" s="1117">
        <f t="shared" si="73"/>
        <v>17669105.261016481</v>
      </c>
      <c r="EY44" s="1118"/>
      <c r="FC44" s="1116">
        <f t="shared" si="74"/>
        <v>25432532</v>
      </c>
      <c r="FD44" s="1117">
        <f t="shared" si="75"/>
        <v>0</v>
      </c>
      <c r="FE44" s="1117">
        <f t="shared" si="76"/>
        <v>7763426.7389835175</v>
      </c>
      <c r="FF44" s="1117">
        <f t="shared" si="77"/>
        <v>17669105.261016481</v>
      </c>
      <c r="FG44" s="1118"/>
      <c r="FK44" s="1116">
        <f t="shared" si="78"/>
        <v>25432532</v>
      </c>
      <c r="FL44" s="1117">
        <f t="shared" si="79"/>
        <v>0</v>
      </c>
      <c r="FM44" s="1117">
        <f t="shared" si="80"/>
        <v>7763426.7389835175</v>
      </c>
      <c r="FN44" s="1117">
        <f t="shared" si="81"/>
        <v>17669105.261016481</v>
      </c>
      <c r="FO44" s="1118"/>
    </row>
    <row r="45" spans="1:171">
      <c r="A45" s="1423"/>
      <c r="B45" s="10" t="s">
        <v>133</v>
      </c>
      <c r="C45" s="887" t="s">
        <v>70</v>
      </c>
      <c r="D45" s="888">
        <v>397</v>
      </c>
      <c r="E45" s="182" t="str">
        <f>'Sch 1- Rate Base '!E45</f>
        <v>PTD</v>
      </c>
      <c r="F45" s="889"/>
      <c r="G45" s="182">
        <f>'Sch 1- Rate Base '!G45</f>
        <v>42279271</v>
      </c>
      <c r="H45" s="182">
        <f>'Sch 1- Rate Base '!H45</f>
        <v>13434695.760551672</v>
      </c>
      <c r="I45" s="182">
        <f>'Sch 1- Rate Base '!I45</f>
        <v>0</v>
      </c>
      <c r="J45" s="1424">
        <f>'Sch 1- Rate Base '!J45</f>
        <v>28844575.239448324</v>
      </c>
      <c r="K45" s="903">
        <f t="shared" si="0"/>
        <v>1</v>
      </c>
      <c r="L45" s="1123">
        <f t="shared" si="1"/>
        <v>8.3244910245087698E-3</v>
      </c>
      <c r="O45" s="1116">
        <f t="shared" si="2"/>
        <v>42279271</v>
      </c>
      <c r="P45" s="1117">
        <f t="shared" si="3"/>
        <v>13434695.760551672</v>
      </c>
      <c r="Q45" s="1117">
        <f t="shared" si="4"/>
        <v>8804972.5716871228</v>
      </c>
      <c r="R45" s="1117">
        <f t="shared" si="5"/>
        <v>20039602.667761203</v>
      </c>
      <c r="S45" s="1118"/>
      <c r="W45" s="1116">
        <f t="shared" si="6"/>
        <v>42279271</v>
      </c>
      <c r="X45" s="1117">
        <f t="shared" si="7"/>
        <v>13434695.760551672</v>
      </c>
      <c r="Y45" s="1117">
        <f t="shared" si="8"/>
        <v>8804972.5716871228</v>
      </c>
      <c r="Z45" s="1117">
        <f t="shared" si="9"/>
        <v>20039602.667761203</v>
      </c>
      <c r="AA45" s="1118"/>
      <c r="AE45" s="1116">
        <f t="shared" si="10"/>
        <v>42279271</v>
      </c>
      <c r="AF45" s="1117">
        <f t="shared" si="11"/>
        <v>13434695.760551672</v>
      </c>
      <c r="AG45" s="1117">
        <f t="shared" si="12"/>
        <v>8804972.5716871228</v>
      </c>
      <c r="AH45" s="1117">
        <f t="shared" si="13"/>
        <v>20039602.667761203</v>
      </c>
      <c r="AI45" s="1118"/>
      <c r="AM45" s="1116">
        <f t="shared" si="14"/>
        <v>42279271</v>
      </c>
      <c r="AN45" s="1117">
        <f t="shared" si="15"/>
        <v>13434695.760551672</v>
      </c>
      <c r="AO45" s="1117">
        <f t="shared" si="16"/>
        <v>8804972.5716871228</v>
      </c>
      <c r="AP45" s="1117">
        <f t="shared" si="17"/>
        <v>20039602.667761203</v>
      </c>
      <c r="AQ45" s="1118"/>
      <c r="AU45" s="1116">
        <f t="shared" si="18"/>
        <v>42279271</v>
      </c>
      <c r="AV45" s="1117">
        <f t="shared" si="19"/>
        <v>13434695.760551672</v>
      </c>
      <c r="AW45" s="1117">
        <f t="shared" si="20"/>
        <v>8804972.5716871228</v>
      </c>
      <c r="AX45" s="1117">
        <f t="shared" si="21"/>
        <v>20039602.667761203</v>
      </c>
      <c r="AY45" s="1118"/>
      <c r="BC45" s="1116">
        <f t="shared" si="22"/>
        <v>42279271</v>
      </c>
      <c r="BD45" s="1117">
        <f t="shared" si="23"/>
        <v>13434695.760551672</v>
      </c>
      <c r="BE45" s="1117">
        <f t="shared" si="24"/>
        <v>8804972.5716871228</v>
      </c>
      <c r="BF45" s="1117">
        <f t="shared" si="25"/>
        <v>20039602.667761203</v>
      </c>
      <c r="BG45" s="1118"/>
      <c r="BK45" s="1116">
        <f t="shared" si="26"/>
        <v>42279271</v>
      </c>
      <c r="BL45" s="1117">
        <f t="shared" si="27"/>
        <v>13434695.760551672</v>
      </c>
      <c r="BM45" s="1117">
        <f t="shared" si="28"/>
        <v>8804972.5716871228</v>
      </c>
      <c r="BN45" s="1117">
        <f t="shared" si="29"/>
        <v>20039602.667761203</v>
      </c>
      <c r="BO45" s="1118"/>
      <c r="BS45" s="1116">
        <f t="shared" si="30"/>
        <v>42279271</v>
      </c>
      <c r="BT45" s="1117">
        <f t="shared" si="31"/>
        <v>13434695.760551672</v>
      </c>
      <c r="BU45" s="1117">
        <f t="shared" si="32"/>
        <v>8804972.5716871228</v>
      </c>
      <c r="BV45" s="1117">
        <f t="shared" si="33"/>
        <v>20039602.667761203</v>
      </c>
      <c r="BW45" s="1118"/>
      <c r="CA45" s="1116">
        <f t="shared" si="34"/>
        <v>42279271</v>
      </c>
      <c r="CB45" s="1117">
        <f t="shared" si="35"/>
        <v>13434695.760551672</v>
      </c>
      <c r="CC45" s="1117">
        <f t="shared" si="36"/>
        <v>8804972.5716871228</v>
      </c>
      <c r="CD45" s="1117">
        <f t="shared" si="37"/>
        <v>20039602.667761203</v>
      </c>
      <c r="CE45" s="1118"/>
      <c r="CI45" s="1116">
        <f t="shared" si="38"/>
        <v>42279271</v>
      </c>
      <c r="CJ45" s="1117">
        <f t="shared" si="39"/>
        <v>13434695.760551672</v>
      </c>
      <c r="CK45" s="1117">
        <f t="shared" si="40"/>
        <v>8804972.5716871228</v>
      </c>
      <c r="CL45" s="1117">
        <f t="shared" si="41"/>
        <v>20039602.667761203</v>
      </c>
      <c r="CM45" s="1118"/>
      <c r="CQ45" s="1116">
        <f t="shared" si="42"/>
        <v>42279271</v>
      </c>
      <c r="CR45" s="1117">
        <f t="shared" si="43"/>
        <v>13434695.760551672</v>
      </c>
      <c r="CS45" s="1117">
        <f t="shared" si="44"/>
        <v>8804972.5716871228</v>
      </c>
      <c r="CT45" s="1117">
        <f t="shared" si="45"/>
        <v>20039602.667761203</v>
      </c>
      <c r="CU45" s="1118"/>
      <c r="CY45" s="1116">
        <f t="shared" si="46"/>
        <v>42279271</v>
      </c>
      <c r="CZ45" s="1117">
        <f t="shared" si="47"/>
        <v>13434695.760551672</v>
      </c>
      <c r="DA45" s="1117">
        <f t="shared" si="48"/>
        <v>8804972.5716871228</v>
      </c>
      <c r="DB45" s="1117">
        <f t="shared" si="49"/>
        <v>20039602.667761203</v>
      </c>
      <c r="DC45" s="1118"/>
      <c r="DG45" s="1116">
        <f t="shared" si="50"/>
        <v>42279271</v>
      </c>
      <c r="DH45" s="1117">
        <f t="shared" si="51"/>
        <v>13434695.760551672</v>
      </c>
      <c r="DI45" s="1117">
        <f t="shared" si="52"/>
        <v>8804972.5716871228</v>
      </c>
      <c r="DJ45" s="1117">
        <f t="shared" si="53"/>
        <v>20039602.667761203</v>
      </c>
      <c r="DK45" s="1118"/>
      <c r="DO45" s="1116">
        <f t="shared" si="54"/>
        <v>42279271</v>
      </c>
      <c r="DP45" s="1117">
        <f t="shared" si="55"/>
        <v>13434695.760551672</v>
      </c>
      <c r="DQ45" s="1117">
        <f t="shared" si="56"/>
        <v>8804972.5716871228</v>
      </c>
      <c r="DR45" s="1117">
        <f t="shared" si="57"/>
        <v>20039602.667761203</v>
      </c>
      <c r="DS45" s="1118"/>
      <c r="DW45" s="1116">
        <f t="shared" si="58"/>
        <v>42279271</v>
      </c>
      <c r="DX45" s="1117">
        <f t="shared" si="59"/>
        <v>13434695.760551672</v>
      </c>
      <c r="DY45" s="1117">
        <f t="shared" si="60"/>
        <v>8804972.5716871228</v>
      </c>
      <c r="DZ45" s="1117">
        <f t="shared" si="61"/>
        <v>20039602.667761203</v>
      </c>
      <c r="EA45" s="1118"/>
      <c r="EE45" s="1116">
        <f t="shared" si="62"/>
        <v>42279271</v>
      </c>
      <c r="EF45" s="1117">
        <f t="shared" si="63"/>
        <v>13434695.760551672</v>
      </c>
      <c r="EG45" s="1117">
        <f t="shared" si="64"/>
        <v>8804972.5716871228</v>
      </c>
      <c r="EH45" s="1117">
        <f t="shared" si="65"/>
        <v>20039602.667761203</v>
      </c>
      <c r="EI45" s="1118"/>
      <c r="EM45" s="1116">
        <f t="shared" si="66"/>
        <v>42279271</v>
      </c>
      <c r="EN45" s="1117">
        <f t="shared" si="67"/>
        <v>13434695.760551672</v>
      </c>
      <c r="EO45" s="1117">
        <f t="shared" si="68"/>
        <v>8804972.5716871228</v>
      </c>
      <c r="EP45" s="1117">
        <f t="shared" si="69"/>
        <v>20039602.667761203</v>
      </c>
      <c r="EQ45" s="1118"/>
      <c r="EU45" s="1116">
        <f t="shared" si="70"/>
        <v>42279271</v>
      </c>
      <c r="EV45" s="1117">
        <f t="shared" si="71"/>
        <v>13434695.760551672</v>
      </c>
      <c r="EW45" s="1117">
        <f t="shared" si="72"/>
        <v>8804972.5716871228</v>
      </c>
      <c r="EX45" s="1117">
        <f t="shared" si="73"/>
        <v>20039602.667761203</v>
      </c>
      <c r="EY45" s="1118"/>
      <c r="FC45" s="1116">
        <f t="shared" si="74"/>
        <v>42279271</v>
      </c>
      <c r="FD45" s="1117">
        <f t="shared" si="75"/>
        <v>13434695.760551672</v>
      </c>
      <c r="FE45" s="1117">
        <f t="shared" si="76"/>
        <v>8804972.5716871228</v>
      </c>
      <c r="FF45" s="1117">
        <f t="shared" si="77"/>
        <v>20039602.667761203</v>
      </c>
      <c r="FG45" s="1118"/>
      <c r="FK45" s="1116">
        <f t="shared" si="78"/>
        <v>42279271</v>
      </c>
      <c r="FL45" s="1117">
        <f t="shared" si="79"/>
        <v>13434695.760551672</v>
      </c>
      <c r="FM45" s="1117">
        <f t="shared" si="80"/>
        <v>8804972.5716871228</v>
      </c>
      <c r="FN45" s="1117">
        <f t="shared" si="81"/>
        <v>20039602.667761203</v>
      </c>
      <c r="FO45" s="1118"/>
    </row>
    <row r="46" spans="1:171">
      <c r="A46" s="1423"/>
      <c r="B46" s="10" t="s">
        <v>134</v>
      </c>
      <c r="C46" s="887" t="s">
        <v>70</v>
      </c>
      <c r="D46" s="888">
        <v>398</v>
      </c>
      <c r="E46" s="182" t="str">
        <f>'Sch 1- Rate Base '!E46</f>
        <v>PTD</v>
      </c>
      <c r="F46" s="889"/>
      <c r="G46" s="182">
        <f>'Sch 1- Rate Base '!G46</f>
        <v>258773</v>
      </c>
      <c r="H46" s="182">
        <f>'Sch 1- Rate Base '!H46</f>
        <v>82227.920297992794</v>
      </c>
      <c r="I46" s="182">
        <f>'Sch 1- Rate Base '!I46</f>
        <v>0</v>
      </c>
      <c r="J46" s="1424">
        <f>'Sch 1- Rate Base '!J46</f>
        <v>176545.07970200721</v>
      </c>
      <c r="K46" s="903">
        <f t="shared" si="0"/>
        <v>1</v>
      </c>
      <c r="L46" s="1123">
        <f t="shared" si="1"/>
        <v>5.0950583227539755E-5</v>
      </c>
      <c r="O46" s="1116">
        <f t="shared" si="2"/>
        <v>258773</v>
      </c>
      <c r="P46" s="1117">
        <f t="shared" si="3"/>
        <v>82227.920297992794</v>
      </c>
      <c r="Q46" s="1117">
        <f t="shared" si="4"/>
        <v>53891.401469367622</v>
      </c>
      <c r="R46" s="1117">
        <f t="shared" si="5"/>
        <v>122653.67823263959</v>
      </c>
      <c r="S46" s="1118"/>
      <c r="W46" s="1116">
        <f t="shared" si="6"/>
        <v>258773</v>
      </c>
      <c r="X46" s="1117">
        <f t="shared" si="7"/>
        <v>82227.920297992794</v>
      </c>
      <c r="Y46" s="1117">
        <f t="shared" si="8"/>
        <v>53891.401469367622</v>
      </c>
      <c r="Z46" s="1117">
        <f t="shared" si="9"/>
        <v>122653.67823263959</v>
      </c>
      <c r="AA46" s="1118"/>
      <c r="AE46" s="1116">
        <f t="shared" si="10"/>
        <v>258773</v>
      </c>
      <c r="AF46" s="1117">
        <f t="shared" si="11"/>
        <v>82227.920297992794</v>
      </c>
      <c r="AG46" s="1117">
        <f t="shared" si="12"/>
        <v>53891.401469367622</v>
      </c>
      <c r="AH46" s="1117">
        <f t="shared" si="13"/>
        <v>122653.67823263959</v>
      </c>
      <c r="AI46" s="1118"/>
      <c r="AM46" s="1116">
        <f t="shared" si="14"/>
        <v>258773</v>
      </c>
      <c r="AN46" s="1117">
        <f t="shared" si="15"/>
        <v>82227.920297992794</v>
      </c>
      <c r="AO46" s="1117">
        <f t="shared" si="16"/>
        <v>53891.401469367622</v>
      </c>
      <c r="AP46" s="1117">
        <f t="shared" si="17"/>
        <v>122653.67823263959</v>
      </c>
      <c r="AQ46" s="1118"/>
      <c r="AU46" s="1116">
        <f t="shared" si="18"/>
        <v>258773</v>
      </c>
      <c r="AV46" s="1117">
        <f t="shared" si="19"/>
        <v>82227.920297992794</v>
      </c>
      <c r="AW46" s="1117">
        <f t="shared" si="20"/>
        <v>53891.401469367622</v>
      </c>
      <c r="AX46" s="1117">
        <f t="shared" si="21"/>
        <v>122653.67823263959</v>
      </c>
      <c r="AY46" s="1118"/>
      <c r="BC46" s="1116">
        <f t="shared" si="22"/>
        <v>258773</v>
      </c>
      <c r="BD46" s="1117">
        <f t="shared" si="23"/>
        <v>82227.920297992794</v>
      </c>
      <c r="BE46" s="1117">
        <f t="shared" si="24"/>
        <v>53891.401469367622</v>
      </c>
      <c r="BF46" s="1117">
        <f t="shared" si="25"/>
        <v>122653.67823263959</v>
      </c>
      <c r="BG46" s="1118"/>
      <c r="BK46" s="1116">
        <f t="shared" si="26"/>
        <v>258773</v>
      </c>
      <c r="BL46" s="1117">
        <f t="shared" si="27"/>
        <v>82227.920297992794</v>
      </c>
      <c r="BM46" s="1117">
        <f t="shared" si="28"/>
        <v>53891.401469367622</v>
      </c>
      <c r="BN46" s="1117">
        <f t="shared" si="29"/>
        <v>122653.67823263959</v>
      </c>
      <c r="BO46" s="1118"/>
      <c r="BS46" s="1116">
        <f t="shared" si="30"/>
        <v>258773</v>
      </c>
      <c r="BT46" s="1117">
        <f t="shared" si="31"/>
        <v>82227.920297992794</v>
      </c>
      <c r="BU46" s="1117">
        <f t="shared" si="32"/>
        <v>53891.401469367622</v>
      </c>
      <c r="BV46" s="1117">
        <f t="shared" si="33"/>
        <v>122653.67823263959</v>
      </c>
      <c r="BW46" s="1118"/>
      <c r="CA46" s="1116">
        <f t="shared" si="34"/>
        <v>258773</v>
      </c>
      <c r="CB46" s="1117">
        <f t="shared" si="35"/>
        <v>82227.920297992794</v>
      </c>
      <c r="CC46" s="1117">
        <f t="shared" si="36"/>
        <v>53891.401469367622</v>
      </c>
      <c r="CD46" s="1117">
        <f t="shared" si="37"/>
        <v>122653.67823263959</v>
      </c>
      <c r="CE46" s="1118"/>
      <c r="CI46" s="1116">
        <f t="shared" si="38"/>
        <v>258773</v>
      </c>
      <c r="CJ46" s="1117">
        <f t="shared" si="39"/>
        <v>82227.920297992794</v>
      </c>
      <c r="CK46" s="1117">
        <f t="shared" si="40"/>
        <v>53891.401469367622</v>
      </c>
      <c r="CL46" s="1117">
        <f t="shared" si="41"/>
        <v>122653.67823263959</v>
      </c>
      <c r="CM46" s="1118"/>
      <c r="CQ46" s="1116">
        <f t="shared" si="42"/>
        <v>258773</v>
      </c>
      <c r="CR46" s="1117">
        <f t="shared" si="43"/>
        <v>82227.920297992794</v>
      </c>
      <c r="CS46" s="1117">
        <f t="shared" si="44"/>
        <v>53891.401469367622</v>
      </c>
      <c r="CT46" s="1117">
        <f t="shared" si="45"/>
        <v>122653.67823263959</v>
      </c>
      <c r="CU46" s="1118"/>
      <c r="CY46" s="1116">
        <f t="shared" si="46"/>
        <v>258773</v>
      </c>
      <c r="CZ46" s="1117">
        <f t="shared" si="47"/>
        <v>82227.920297992794</v>
      </c>
      <c r="DA46" s="1117">
        <f t="shared" si="48"/>
        <v>53891.401469367622</v>
      </c>
      <c r="DB46" s="1117">
        <f t="shared" si="49"/>
        <v>122653.67823263959</v>
      </c>
      <c r="DC46" s="1118"/>
      <c r="DG46" s="1116">
        <f t="shared" si="50"/>
        <v>258773</v>
      </c>
      <c r="DH46" s="1117">
        <f t="shared" si="51"/>
        <v>82227.920297992794</v>
      </c>
      <c r="DI46" s="1117">
        <f t="shared" si="52"/>
        <v>53891.401469367622</v>
      </c>
      <c r="DJ46" s="1117">
        <f t="shared" si="53"/>
        <v>122653.67823263959</v>
      </c>
      <c r="DK46" s="1118"/>
      <c r="DO46" s="1116">
        <f t="shared" si="54"/>
        <v>258773</v>
      </c>
      <c r="DP46" s="1117">
        <f t="shared" si="55"/>
        <v>82227.920297992794</v>
      </c>
      <c r="DQ46" s="1117">
        <f t="shared" si="56"/>
        <v>53891.401469367622</v>
      </c>
      <c r="DR46" s="1117">
        <f t="shared" si="57"/>
        <v>122653.67823263959</v>
      </c>
      <c r="DS46" s="1118"/>
      <c r="DW46" s="1116">
        <f t="shared" si="58"/>
        <v>258773</v>
      </c>
      <c r="DX46" s="1117">
        <f t="shared" si="59"/>
        <v>82227.920297992794</v>
      </c>
      <c r="DY46" s="1117">
        <f t="shared" si="60"/>
        <v>53891.401469367622</v>
      </c>
      <c r="DZ46" s="1117">
        <f t="shared" si="61"/>
        <v>122653.67823263959</v>
      </c>
      <c r="EA46" s="1118"/>
      <c r="EE46" s="1116">
        <f t="shared" si="62"/>
        <v>258773</v>
      </c>
      <c r="EF46" s="1117">
        <f t="shared" si="63"/>
        <v>82227.920297992794</v>
      </c>
      <c r="EG46" s="1117">
        <f t="shared" si="64"/>
        <v>53891.401469367622</v>
      </c>
      <c r="EH46" s="1117">
        <f t="shared" si="65"/>
        <v>122653.67823263959</v>
      </c>
      <c r="EI46" s="1118"/>
      <c r="EM46" s="1116">
        <f t="shared" si="66"/>
        <v>258773</v>
      </c>
      <c r="EN46" s="1117">
        <f t="shared" si="67"/>
        <v>82227.920297992794</v>
      </c>
      <c r="EO46" s="1117">
        <f t="shared" si="68"/>
        <v>53891.401469367622</v>
      </c>
      <c r="EP46" s="1117">
        <f t="shared" si="69"/>
        <v>122653.67823263959</v>
      </c>
      <c r="EQ46" s="1118"/>
      <c r="EU46" s="1116">
        <f t="shared" si="70"/>
        <v>258773</v>
      </c>
      <c r="EV46" s="1117">
        <f t="shared" si="71"/>
        <v>82227.920297992794</v>
      </c>
      <c r="EW46" s="1117">
        <f t="shared" si="72"/>
        <v>53891.401469367622</v>
      </c>
      <c r="EX46" s="1117">
        <f t="shared" si="73"/>
        <v>122653.67823263959</v>
      </c>
      <c r="EY46" s="1118"/>
      <c r="FC46" s="1116">
        <f t="shared" si="74"/>
        <v>258773</v>
      </c>
      <c r="FD46" s="1117">
        <f t="shared" si="75"/>
        <v>82227.920297992794</v>
      </c>
      <c r="FE46" s="1117">
        <f t="shared" si="76"/>
        <v>53891.401469367622</v>
      </c>
      <c r="FF46" s="1117">
        <f t="shared" si="77"/>
        <v>122653.67823263959</v>
      </c>
      <c r="FG46" s="1118"/>
      <c r="FK46" s="1116">
        <f t="shared" si="78"/>
        <v>258773</v>
      </c>
      <c r="FL46" s="1117">
        <f t="shared" si="79"/>
        <v>82227.920297992794</v>
      </c>
      <c r="FM46" s="1117">
        <f t="shared" si="80"/>
        <v>53891.401469367622</v>
      </c>
      <c r="FN46" s="1117">
        <f t="shared" si="81"/>
        <v>122653.67823263959</v>
      </c>
      <c r="FO46" s="1118"/>
    </row>
    <row r="47" spans="1:171">
      <c r="A47" s="1423"/>
      <c r="B47" s="10" t="s">
        <v>256</v>
      </c>
      <c r="C47" s="887" t="s">
        <v>70</v>
      </c>
      <c r="D47" s="888">
        <v>399</v>
      </c>
      <c r="E47" s="182" t="str">
        <f>'Sch 1- Rate Base '!E47</f>
        <v>DIRECT</v>
      </c>
      <c r="F47" s="889"/>
      <c r="G47" s="182">
        <f>'Sch 1- Rate Base '!G47</f>
        <v>0</v>
      </c>
      <c r="H47" s="182">
        <f>'Sch 1- Rate Base '!H47</f>
        <v>0</v>
      </c>
      <c r="I47" s="182">
        <f>'Sch 1- Rate Base '!I47</f>
        <v>0</v>
      </c>
      <c r="J47" s="1424">
        <f>'Sch 1- Rate Base '!J47</f>
        <v>0</v>
      </c>
      <c r="K47" s="903">
        <f t="shared" si="0"/>
        <v>0</v>
      </c>
      <c r="L47" s="1123">
        <f t="shared" si="1"/>
        <v>0</v>
      </c>
      <c r="O47" s="1116">
        <f t="shared" si="2"/>
        <v>0</v>
      </c>
      <c r="P47" s="1117">
        <f t="shared" si="3"/>
        <v>0</v>
      </c>
      <c r="Q47" s="1117">
        <f t="shared" si="4"/>
        <v>0</v>
      </c>
      <c r="R47" s="1117">
        <f t="shared" si="5"/>
        <v>0</v>
      </c>
      <c r="S47" s="1118"/>
      <c r="W47" s="1116">
        <f t="shared" si="6"/>
        <v>0</v>
      </c>
      <c r="X47" s="1117">
        <f t="shared" si="7"/>
        <v>0</v>
      </c>
      <c r="Y47" s="1117">
        <f t="shared" si="8"/>
        <v>0</v>
      </c>
      <c r="Z47" s="1117">
        <f t="shared" si="9"/>
        <v>0</v>
      </c>
      <c r="AA47" s="1118"/>
      <c r="AE47" s="1116">
        <f t="shared" si="10"/>
        <v>0</v>
      </c>
      <c r="AF47" s="1117">
        <f t="shared" si="11"/>
        <v>0</v>
      </c>
      <c r="AG47" s="1117">
        <f t="shared" si="12"/>
        <v>0</v>
      </c>
      <c r="AH47" s="1117">
        <f t="shared" si="13"/>
        <v>0</v>
      </c>
      <c r="AI47" s="1118"/>
      <c r="AM47" s="1116">
        <f t="shared" si="14"/>
        <v>0</v>
      </c>
      <c r="AN47" s="1117">
        <f t="shared" si="15"/>
        <v>0</v>
      </c>
      <c r="AO47" s="1117">
        <f t="shared" si="16"/>
        <v>0</v>
      </c>
      <c r="AP47" s="1117">
        <f t="shared" si="17"/>
        <v>0</v>
      </c>
      <c r="AQ47" s="1118"/>
      <c r="AU47" s="1116">
        <f t="shared" si="18"/>
        <v>0</v>
      </c>
      <c r="AV47" s="1117">
        <f t="shared" si="19"/>
        <v>0</v>
      </c>
      <c r="AW47" s="1117">
        <f t="shared" si="20"/>
        <v>0</v>
      </c>
      <c r="AX47" s="1117">
        <f t="shared" si="21"/>
        <v>0</v>
      </c>
      <c r="AY47" s="1118"/>
      <c r="BC47" s="1116">
        <f t="shared" si="22"/>
        <v>0</v>
      </c>
      <c r="BD47" s="1117">
        <f t="shared" si="23"/>
        <v>0</v>
      </c>
      <c r="BE47" s="1117">
        <f t="shared" si="24"/>
        <v>0</v>
      </c>
      <c r="BF47" s="1117">
        <f t="shared" si="25"/>
        <v>0</v>
      </c>
      <c r="BG47" s="1118"/>
      <c r="BK47" s="1116">
        <f t="shared" si="26"/>
        <v>0</v>
      </c>
      <c r="BL47" s="1117">
        <f t="shared" si="27"/>
        <v>0</v>
      </c>
      <c r="BM47" s="1117">
        <f t="shared" si="28"/>
        <v>0</v>
      </c>
      <c r="BN47" s="1117">
        <f t="shared" si="29"/>
        <v>0</v>
      </c>
      <c r="BO47" s="1118"/>
      <c r="BS47" s="1116">
        <f t="shared" si="30"/>
        <v>0</v>
      </c>
      <c r="BT47" s="1117">
        <f t="shared" si="31"/>
        <v>0</v>
      </c>
      <c r="BU47" s="1117">
        <f t="shared" si="32"/>
        <v>0</v>
      </c>
      <c r="BV47" s="1117">
        <f t="shared" si="33"/>
        <v>0</v>
      </c>
      <c r="BW47" s="1118"/>
      <c r="CA47" s="1116">
        <f t="shared" si="34"/>
        <v>0</v>
      </c>
      <c r="CB47" s="1117">
        <f t="shared" si="35"/>
        <v>0</v>
      </c>
      <c r="CC47" s="1117">
        <f t="shared" si="36"/>
        <v>0</v>
      </c>
      <c r="CD47" s="1117">
        <f t="shared" si="37"/>
        <v>0</v>
      </c>
      <c r="CE47" s="1118"/>
      <c r="CI47" s="1116">
        <f t="shared" si="38"/>
        <v>0</v>
      </c>
      <c r="CJ47" s="1117">
        <f t="shared" si="39"/>
        <v>0</v>
      </c>
      <c r="CK47" s="1117">
        <f t="shared" si="40"/>
        <v>0</v>
      </c>
      <c r="CL47" s="1117">
        <f t="shared" si="41"/>
        <v>0</v>
      </c>
      <c r="CM47" s="1118"/>
      <c r="CQ47" s="1116">
        <f t="shared" si="42"/>
        <v>0</v>
      </c>
      <c r="CR47" s="1117">
        <f t="shared" si="43"/>
        <v>0</v>
      </c>
      <c r="CS47" s="1117">
        <f t="shared" si="44"/>
        <v>0</v>
      </c>
      <c r="CT47" s="1117">
        <f t="shared" si="45"/>
        <v>0</v>
      </c>
      <c r="CU47" s="1118"/>
      <c r="CY47" s="1116">
        <f t="shared" si="46"/>
        <v>0</v>
      </c>
      <c r="CZ47" s="1117">
        <f t="shared" si="47"/>
        <v>0</v>
      </c>
      <c r="DA47" s="1117">
        <f t="shared" si="48"/>
        <v>0</v>
      </c>
      <c r="DB47" s="1117">
        <f t="shared" si="49"/>
        <v>0</v>
      </c>
      <c r="DC47" s="1118"/>
      <c r="DG47" s="1116">
        <f t="shared" si="50"/>
        <v>0</v>
      </c>
      <c r="DH47" s="1117">
        <f t="shared" si="51"/>
        <v>0</v>
      </c>
      <c r="DI47" s="1117">
        <f t="shared" si="52"/>
        <v>0</v>
      </c>
      <c r="DJ47" s="1117">
        <f t="shared" si="53"/>
        <v>0</v>
      </c>
      <c r="DK47" s="1118"/>
      <c r="DO47" s="1116">
        <f t="shared" si="54"/>
        <v>0</v>
      </c>
      <c r="DP47" s="1117">
        <f t="shared" si="55"/>
        <v>0</v>
      </c>
      <c r="DQ47" s="1117">
        <f t="shared" si="56"/>
        <v>0</v>
      </c>
      <c r="DR47" s="1117">
        <f t="shared" si="57"/>
        <v>0</v>
      </c>
      <c r="DS47" s="1118"/>
      <c r="DW47" s="1116">
        <f t="shared" si="58"/>
        <v>0</v>
      </c>
      <c r="DX47" s="1117">
        <f t="shared" si="59"/>
        <v>0</v>
      </c>
      <c r="DY47" s="1117">
        <f t="shared" si="60"/>
        <v>0</v>
      </c>
      <c r="DZ47" s="1117">
        <f t="shared" si="61"/>
        <v>0</v>
      </c>
      <c r="EA47" s="1118"/>
      <c r="EE47" s="1116">
        <f t="shared" si="62"/>
        <v>0</v>
      </c>
      <c r="EF47" s="1117">
        <f t="shared" si="63"/>
        <v>0</v>
      </c>
      <c r="EG47" s="1117">
        <f t="shared" si="64"/>
        <v>0</v>
      </c>
      <c r="EH47" s="1117">
        <f t="shared" si="65"/>
        <v>0</v>
      </c>
      <c r="EI47" s="1118"/>
      <c r="EM47" s="1116">
        <f t="shared" si="66"/>
        <v>0</v>
      </c>
      <c r="EN47" s="1117">
        <f t="shared" si="67"/>
        <v>0</v>
      </c>
      <c r="EO47" s="1117">
        <f t="shared" si="68"/>
        <v>0</v>
      </c>
      <c r="EP47" s="1117">
        <f t="shared" si="69"/>
        <v>0</v>
      </c>
      <c r="EQ47" s="1118"/>
      <c r="EU47" s="1116">
        <f t="shared" si="70"/>
        <v>0</v>
      </c>
      <c r="EV47" s="1117">
        <f t="shared" si="71"/>
        <v>0</v>
      </c>
      <c r="EW47" s="1117">
        <f t="shared" si="72"/>
        <v>0</v>
      </c>
      <c r="EX47" s="1117">
        <f t="shared" si="73"/>
        <v>0</v>
      </c>
      <c r="EY47" s="1118"/>
      <c r="FC47" s="1116">
        <f t="shared" si="74"/>
        <v>0</v>
      </c>
      <c r="FD47" s="1117">
        <f t="shared" si="75"/>
        <v>0</v>
      </c>
      <c r="FE47" s="1117">
        <f t="shared" si="76"/>
        <v>0</v>
      </c>
      <c r="FF47" s="1117">
        <f t="shared" si="77"/>
        <v>0</v>
      </c>
      <c r="FG47" s="1118"/>
      <c r="FK47" s="1116">
        <f t="shared" si="78"/>
        <v>0</v>
      </c>
      <c r="FL47" s="1117">
        <f t="shared" si="79"/>
        <v>0</v>
      </c>
      <c r="FM47" s="1117">
        <f t="shared" si="80"/>
        <v>0</v>
      </c>
      <c r="FN47" s="1117">
        <f t="shared" si="81"/>
        <v>0</v>
      </c>
      <c r="FO47" s="1118"/>
    </row>
    <row r="48" spans="1:171">
      <c r="A48" s="1423"/>
      <c r="B48" s="10" t="s">
        <v>446</v>
      </c>
      <c r="C48" s="887" t="s">
        <v>447</v>
      </c>
      <c r="D48" s="888">
        <v>399.1</v>
      </c>
      <c r="E48" s="182" t="str">
        <f>'Sch 1- Rate Base '!E48</f>
        <v>PTD</v>
      </c>
      <c r="F48" s="889"/>
      <c r="G48" s="182">
        <f>'Sch 1- Rate Base '!G48</f>
        <v>0</v>
      </c>
      <c r="H48" s="182">
        <f>'Sch 1- Rate Base '!H48</f>
        <v>0</v>
      </c>
      <c r="I48" s="182">
        <f>'Sch 1- Rate Base '!I48</f>
        <v>0</v>
      </c>
      <c r="J48" s="1424">
        <f>'Sch 1- Rate Base '!J48</f>
        <v>0</v>
      </c>
      <c r="K48" s="903">
        <f t="shared" si="0"/>
        <v>1</v>
      </c>
      <c r="L48" s="1123">
        <f t="shared" si="1"/>
        <v>0</v>
      </c>
      <c r="M48" s="1124">
        <f>SUM(L37:L48)</f>
        <v>3.3317666980147966E-2</v>
      </c>
      <c r="O48" s="1116">
        <f t="shared" si="2"/>
        <v>0</v>
      </c>
      <c r="P48" s="1117">
        <f t="shared" si="3"/>
        <v>0</v>
      </c>
      <c r="Q48" s="1117">
        <f t="shared" si="4"/>
        <v>0</v>
      </c>
      <c r="R48" s="1117">
        <f t="shared" si="5"/>
        <v>0</v>
      </c>
      <c r="S48" s="1118"/>
      <c r="W48" s="1116">
        <f t="shared" si="6"/>
        <v>0</v>
      </c>
      <c r="X48" s="1117">
        <f t="shared" si="7"/>
        <v>0</v>
      </c>
      <c r="Y48" s="1117">
        <f t="shared" si="8"/>
        <v>0</v>
      </c>
      <c r="Z48" s="1117">
        <f t="shared" si="9"/>
        <v>0</v>
      </c>
      <c r="AA48" s="1118"/>
      <c r="AE48" s="1116">
        <f t="shared" si="10"/>
        <v>0</v>
      </c>
      <c r="AF48" s="1117">
        <f t="shared" si="11"/>
        <v>0</v>
      </c>
      <c r="AG48" s="1117">
        <f t="shared" si="12"/>
        <v>0</v>
      </c>
      <c r="AH48" s="1117">
        <f t="shared" si="13"/>
        <v>0</v>
      </c>
      <c r="AI48" s="1118"/>
      <c r="AM48" s="1116">
        <f t="shared" si="14"/>
        <v>0</v>
      </c>
      <c r="AN48" s="1117">
        <f t="shared" si="15"/>
        <v>0</v>
      </c>
      <c r="AO48" s="1117">
        <f t="shared" si="16"/>
        <v>0</v>
      </c>
      <c r="AP48" s="1117">
        <f t="shared" si="17"/>
        <v>0</v>
      </c>
      <c r="AQ48" s="1118"/>
      <c r="AU48" s="1116">
        <f t="shared" si="18"/>
        <v>0</v>
      </c>
      <c r="AV48" s="1117">
        <f t="shared" si="19"/>
        <v>0</v>
      </c>
      <c r="AW48" s="1117">
        <f t="shared" si="20"/>
        <v>0</v>
      </c>
      <c r="AX48" s="1117">
        <f t="shared" si="21"/>
        <v>0</v>
      </c>
      <c r="AY48" s="1118"/>
      <c r="BC48" s="1116">
        <f t="shared" si="22"/>
        <v>0</v>
      </c>
      <c r="BD48" s="1117">
        <f t="shared" si="23"/>
        <v>0</v>
      </c>
      <c r="BE48" s="1117">
        <f t="shared" si="24"/>
        <v>0</v>
      </c>
      <c r="BF48" s="1117">
        <f t="shared" si="25"/>
        <v>0</v>
      </c>
      <c r="BG48" s="1118"/>
      <c r="BK48" s="1116">
        <f t="shared" si="26"/>
        <v>0</v>
      </c>
      <c r="BL48" s="1117">
        <f t="shared" si="27"/>
        <v>0</v>
      </c>
      <c r="BM48" s="1117">
        <f t="shared" si="28"/>
        <v>0</v>
      </c>
      <c r="BN48" s="1117">
        <f t="shared" si="29"/>
        <v>0</v>
      </c>
      <c r="BO48" s="1118"/>
      <c r="BS48" s="1116">
        <f t="shared" si="30"/>
        <v>0</v>
      </c>
      <c r="BT48" s="1117">
        <f t="shared" si="31"/>
        <v>0</v>
      </c>
      <c r="BU48" s="1117">
        <f t="shared" si="32"/>
        <v>0</v>
      </c>
      <c r="BV48" s="1117">
        <f t="shared" si="33"/>
        <v>0</v>
      </c>
      <c r="BW48" s="1118"/>
      <c r="CA48" s="1116">
        <f t="shared" si="34"/>
        <v>0</v>
      </c>
      <c r="CB48" s="1117">
        <f t="shared" si="35"/>
        <v>0</v>
      </c>
      <c r="CC48" s="1117">
        <f t="shared" si="36"/>
        <v>0</v>
      </c>
      <c r="CD48" s="1117">
        <f t="shared" si="37"/>
        <v>0</v>
      </c>
      <c r="CE48" s="1118"/>
      <c r="CI48" s="1116">
        <f t="shared" si="38"/>
        <v>0</v>
      </c>
      <c r="CJ48" s="1117">
        <f t="shared" si="39"/>
        <v>0</v>
      </c>
      <c r="CK48" s="1117">
        <f t="shared" si="40"/>
        <v>0</v>
      </c>
      <c r="CL48" s="1117">
        <f t="shared" si="41"/>
        <v>0</v>
      </c>
      <c r="CM48" s="1118"/>
      <c r="CQ48" s="1116">
        <f t="shared" si="42"/>
        <v>0</v>
      </c>
      <c r="CR48" s="1117">
        <f t="shared" si="43"/>
        <v>0</v>
      </c>
      <c r="CS48" s="1117">
        <f t="shared" si="44"/>
        <v>0</v>
      </c>
      <c r="CT48" s="1117">
        <f t="shared" si="45"/>
        <v>0</v>
      </c>
      <c r="CU48" s="1118"/>
      <c r="CY48" s="1116">
        <f t="shared" si="46"/>
        <v>0</v>
      </c>
      <c r="CZ48" s="1117">
        <f t="shared" si="47"/>
        <v>0</v>
      </c>
      <c r="DA48" s="1117">
        <f t="shared" si="48"/>
        <v>0</v>
      </c>
      <c r="DB48" s="1117">
        <f t="shared" si="49"/>
        <v>0</v>
      </c>
      <c r="DC48" s="1118"/>
      <c r="DG48" s="1116">
        <f t="shared" si="50"/>
        <v>0</v>
      </c>
      <c r="DH48" s="1117">
        <f t="shared" si="51"/>
        <v>0</v>
      </c>
      <c r="DI48" s="1117">
        <f t="shared" si="52"/>
        <v>0</v>
      </c>
      <c r="DJ48" s="1117">
        <f t="shared" si="53"/>
        <v>0</v>
      </c>
      <c r="DK48" s="1118"/>
      <c r="DO48" s="1116">
        <f t="shared" si="54"/>
        <v>0</v>
      </c>
      <c r="DP48" s="1117">
        <f t="shared" si="55"/>
        <v>0</v>
      </c>
      <c r="DQ48" s="1117">
        <f t="shared" si="56"/>
        <v>0</v>
      </c>
      <c r="DR48" s="1117">
        <f t="shared" si="57"/>
        <v>0</v>
      </c>
      <c r="DS48" s="1118"/>
      <c r="DW48" s="1116">
        <f t="shared" si="58"/>
        <v>0</v>
      </c>
      <c r="DX48" s="1117">
        <f t="shared" si="59"/>
        <v>0</v>
      </c>
      <c r="DY48" s="1117">
        <f t="shared" si="60"/>
        <v>0</v>
      </c>
      <c r="DZ48" s="1117">
        <f t="shared" si="61"/>
        <v>0</v>
      </c>
      <c r="EA48" s="1118"/>
      <c r="EE48" s="1116">
        <f t="shared" si="62"/>
        <v>0</v>
      </c>
      <c r="EF48" s="1117">
        <f t="shared" si="63"/>
        <v>0</v>
      </c>
      <c r="EG48" s="1117">
        <f t="shared" si="64"/>
        <v>0</v>
      </c>
      <c r="EH48" s="1117">
        <f t="shared" si="65"/>
        <v>0</v>
      </c>
      <c r="EI48" s="1118"/>
      <c r="EM48" s="1116">
        <f t="shared" si="66"/>
        <v>0</v>
      </c>
      <c r="EN48" s="1117">
        <f t="shared" si="67"/>
        <v>0</v>
      </c>
      <c r="EO48" s="1117">
        <f t="shared" si="68"/>
        <v>0</v>
      </c>
      <c r="EP48" s="1117">
        <f t="shared" si="69"/>
        <v>0</v>
      </c>
      <c r="EQ48" s="1118"/>
      <c r="EU48" s="1116">
        <f t="shared" si="70"/>
        <v>0</v>
      </c>
      <c r="EV48" s="1117">
        <f t="shared" si="71"/>
        <v>0</v>
      </c>
      <c r="EW48" s="1117">
        <f t="shared" si="72"/>
        <v>0</v>
      </c>
      <c r="EX48" s="1117">
        <f t="shared" si="73"/>
        <v>0</v>
      </c>
      <c r="EY48" s="1118"/>
      <c r="FC48" s="1116">
        <f t="shared" si="74"/>
        <v>0</v>
      </c>
      <c r="FD48" s="1117">
        <f t="shared" si="75"/>
        <v>0</v>
      </c>
      <c r="FE48" s="1117">
        <f t="shared" si="76"/>
        <v>0</v>
      </c>
      <c r="FF48" s="1117">
        <f t="shared" si="77"/>
        <v>0</v>
      </c>
      <c r="FG48" s="1118"/>
      <c r="FK48" s="1116">
        <f t="shared" si="78"/>
        <v>0</v>
      </c>
      <c r="FL48" s="1117">
        <f t="shared" si="79"/>
        <v>0</v>
      </c>
      <c r="FM48" s="1117">
        <f t="shared" si="80"/>
        <v>0</v>
      </c>
      <c r="FN48" s="1117">
        <f t="shared" si="81"/>
        <v>0</v>
      </c>
      <c r="FO48" s="1118"/>
    </row>
    <row r="49" spans="1:171">
      <c r="A49" s="1362"/>
      <c r="B49" s="10"/>
      <c r="C49" s="55"/>
      <c r="D49" s="196"/>
      <c r="E49" s="196"/>
      <c r="F49" s="196"/>
      <c r="G49" s="921"/>
      <c r="H49" s="198"/>
      <c r="I49" s="198"/>
      <c r="J49" s="1429"/>
      <c r="K49" s="903"/>
      <c r="S49" s="1118"/>
      <c r="AA49" s="1118"/>
      <c r="AI49" s="1118"/>
      <c r="AQ49" s="1118"/>
      <c r="AY49" s="1118"/>
      <c r="BG49" s="1118"/>
      <c r="BO49" s="1118"/>
      <c r="BW49" s="1118"/>
      <c r="CE49" s="1118"/>
      <c r="CM49" s="1118"/>
      <c r="CU49" s="1118"/>
      <c r="DC49" s="1118"/>
      <c r="DK49" s="1118"/>
      <c r="DS49" s="1118"/>
      <c r="EA49" s="1118"/>
      <c r="EI49" s="1118"/>
      <c r="EQ49" s="1118"/>
      <c r="EY49" s="1118"/>
      <c r="FG49" s="1118"/>
      <c r="FO49" s="1118"/>
    </row>
    <row r="50" spans="1:171">
      <c r="A50" s="1351" t="s">
        <v>135</v>
      </c>
      <c r="B50" s="64"/>
      <c r="C50" s="914"/>
      <c r="D50" s="915"/>
      <c r="E50" s="915"/>
      <c r="F50" s="916"/>
      <c r="G50" s="905">
        <f>SUM(G37:G49)</f>
        <v>169217153</v>
      </c>
      <c r="H50" s="905">
        <f>SUM(H37:H49)</f>
        <v>26066353.350879814</v>
      </c>
      <c r="I50" s="905">
        <f>SUM(I37:I49)</f>
        <v>0</v>
      </c>
      <c r="J50" s="1417">
        <f>SUM(J37:J49)</f>
        <v>143150799.64912018</v>
      </c>
      <c r="K50" s="903"/>
      <c r="O50" s="1122">
        <f>SUM(O37:O49)</f>
        <v>169217153</v>
      </c>
      <c r="P50" s="1122">
        <f>SUM(P37:P49)</f>
        <v>26066353.350879814</v>
      </c>
      <c r="Q50" s="1122">
        <f>SUM(Q37:Q49)</f>
        <v>43233146.624210842</v>
      </c>
      <c r="R50" s="1122">
        <f>SUM(R37:R49)</f>
        <v>99917653.024909347</v>
      </c>
      <c r="S50" s="1073"/>
      <c r="W50" s="1122">
        <f>SUM(W37:W49)</f>
        <v>169217153</v>
      </c>
      <c r="X50" s="1122">
        <f>SUM(X37:X49)</f>
        <v>26066353.350879814</v>
      </c>
      <c r="Y50" s="1122">
        <f>SUM(Y37:Y49)</f>
        <v>43233146.624210842</v>
      </c>
      <c r="Z50" s="1122">
        <f>SUM(Z37:Z49)</f>
        <v>99917653.024909347</v>
      </c>
      <c r="AA50" s="1073"/>
      <c r="AE50" s="1122">
        <f>SUM(AE37:AE49)</f>
        <v>169217153</v>
      </c>
      <c r="AF50" s="1122">
        <f>SUM(AF37:AF49)</f>
        <v>26066353.350879814</v>
      </c>
      <c r="AG50" s="1122">
        <f>SUM(AG37:AG49)</f>
        <v>43233146.624210842</v>
      </c>
      <c r="AH50" s="1122">
        <f>SUM(AH37:AH49)</f>
        <v>99917653.024909347</v>
      </c>
      <c r="AI50" s="1073"/>
      <c r="AM50" s="1122">
        <f>SUM(AM37:AM49)</f>
        <v>169217153</v>
      </c>
      <c r="AN50" s="1122">
        <f>SUM(AN37:AN49)</f>
        <v>26066353.350879814</v>
      </c>
      <c r="AO50" s="1122">
        <f>SUM(AO37:AO49)</f>
        <v>43233146.624210842</v>
      </c>
      <c r="AP50" s="1122">
        <f>SUM(AP37:AP49)</f>
        <v>99917653.024909347</v>
      </c>
      <c r="AQ50" s="1073"/>
      <c r="AU50" s="1122">
        <f>SUM(AU37:AU49)</f>
        <v>169217153</v>
      </c>
      <c r="AV50" s="1122">
        <f>SUM(AV37:AV49)</f>
        <v>26066353.350879814</v>
      </c>
      <c r="AW50" s="1122">
        <f>SUM(AW37:AW49)</f>
        <v>43233146.624210842</v>
      </c>
      <c r="AX50" s="1122">
        <f>SUM(AX37:AX49)</f>
        <v>99917653.024909347</v>
      </c>
      <c r="AY50" s="1073"/>
      <c r="BC50" s="1122">
        <f>SUM(BC37:BC49)</f>
        <v>169217153</v>
      </c>
      <c r="BD50" s="1122">
        <f>SUM(BD37:BD49)</f>
        <v>26066353.350879814</v>
      </c>
      <c r="BE50" s="1122">
        <f>SUM(BE37:BE49)</f>
        <v>43233146.624210842</v>
      </c>
      <c r="BF50" s="1122">
        <f>SUM(BF37:BF49)</f>
        <v>99917653.024909347</v>
      </c>
      <c r="BG50" s="1073"/>
      <c r="BK50" s="1122">
        <f>SUM(BK37:BK49)</f>
        <v>169217153</v>
      </c>
      <c r="BL50" s="1122">
        <f>SUM(BL37:BL49)</f>
        <v>26066353.350879814</v>
      </c>
      <c r="BM50" s="1122">
        <f>SUM(BM37:BM49)</f>
        <v>43233146.624210842</v>
      </c>
      <c r="BN50" s="1122">
        <f>SUM(BN37:BN49)</f>
        <v>99917653.024909347</v>
      </c>
      <c r="BO50" s="1073"/>
      <c r="BS50" s="1122">
        <f>SUM(BS37:BS49)</f>
        <v>169217153</v>
      </c>
      <c r="BT50" s="1122">
        <f>SUM(BT37:BT49)</f>
        <v>26066353.350879814</v>
      </c>
      <c r="BU50" s="1122">
        <f>SUM(BU37:BU49)</f>
        <v>43233146.624210842</v>
      </c>
      <c r="BV50" s="1122">
        <f>SUM(BV37:BV49)</f>
        <v>99917653.024909347</v>
      </c>
      <c r="BW50" s="1073"/>
      <c r="CA50" s="1122">
        <f>SUM(CA37:CA49)</f>
        <v>169217153</v>
      </c>
      <c r="CB50" s="1122">
        <f>SUM(CB37:CB49)</f>
        <v>26066353.350879814</v>
      </c>
      <c r="CC50" s="1122">
        <f>SUM(CC37:CC49)</f>
        <v>43233146.624210842</v>
      </c>
      <c r="CD50" s="1122">
        <f>SUM(CD37:CD49)</f>
        <v>99917653.024909347</v>
      </c>
      <c r="CE50" s="1073"/>
      <c r="CI50" s="1122">
        <f>SUM(CI37:CI49)</f>
        <v>169217153</v>
      </c>
      <c r="CJ50" s="1122">
        <f>SUM(CJ37:CJ49)</f>
        <v>26066353.350879814</v>
      </c>
      <c r="CK50" s="1122">
        <f>SUM(CK37:CK49)</f>
        <v>43233146.624210842</v>
      </c>
      <c r="CL50" s="1122">
        <f>SUM(CL37:CL49)</f>
        <v>99917653.024909347</v>
      </c>
      <c r="CM50" s="1073"/>
      <c r="CQ50" s="1122">
        <f>SUM(CQ37:CQ49)</f>
        <v>169217153</v>
      </c>
      <c r="CR50" s="1122">
        <f>SUM(CR37:CR49)</f>
        <v>26066353.350879814</v>
      </c>
      <c r="CS50" s="1122">
        <f>SUM(CS37:CS49)</f>
        <v>43233146.624210842</v>
      </c>
      <c r="CT50" s="1122">
        <f>SUM(CT37:CT49)</f>
        <v>99917653.024909347</v>
      </c>
      <c r="CU50" s="1073"/>
      <c r="CY50" s="1122">
        <f>SUM(CY37:CY49)</f>
        <v>169217153</v>
      </c>
      <c r="CZ50" s="1122">
        <f>SUM(CZ37:CZ49)</f>
        <v>26066353.350879814</v>
      </c>
      <c r="DA50" s="1122">
        <f>SUM(DA37:DA49)</f>
        <v>43233146.624210842</v>
      </c>
      <c r="DB50" s="1122">
        <f>SUM(DB37:DB49)</f>
        <v>99917653.024909347</v>
      </c>
      <c r="DC50" s="1073"/>
      <c r="DG50" s="1122">
        <f>SUM(DG37:DG49)</f>
        <v>169217153</v>
      </c>
      <c r="DH50" s="1122">
        <f>SUM(DH37:DH49)</f>
        <v>26066353.350879814</v>
      </c>
      <c r="DI50" s="1122">
        <f>SUM(DI37:DI49)</f>
        <v>43233146.624210842</v>
      </c>
      <c r="DJ50" s="1122">
        <f>SUM(DJ37:DJ49)</f>
        <v>99917653.024909347</v>
      </c>
      <c r="DK50" s="1073"/>
      <c r="DO50" s="1122">
        <f>SUM(DO37:DO49)</f>
        <v>169217153</v>
      </c>
      <c r="DP50" s="1122">
        <f>SUM(DP37:DP49)</f>
        <v>26066353.350879814</v>
      </c>
      <c r="DQ50" s="1122">
        <f>SUM(DQ37:DQ49)</f>
        <v>43233146.624210842</v>
      </c>
      <c r="DR50" s="1122">
        <f>SUM(DR37:DR49)</f>
        <v>99917653.024909347</v>
      </c>
      <c r="DS50" s="1073"/>
      <c r="DW50" s="1122">
        <f>SUM(DW37:DW49)</f>
        <v>169217153</v>
      </c>
      <c r="DX50" s="1122">
        <f>SUM(DX37:DX49)</f>
        <v>26066353.350879814</v>
      </c>
      <c r="DY50" s="1122">
        <f>SUM(DY37:DY49)</f>
        <v>43233146.624210842</v>
      </c>
      <c r="DZ50" s="1122">
        <f>SUM(DZ37:DZ49)</f>
        <v>99917653.024909347</v>
      </c>
      <c r="EA50" s="1073"/>
      <c r="EE50" s="1122">
        <f>SUM(EE37:EE49)</f>
        <v>169217153</v>
      </c>
      <c r="EF50" s="1122">
        <f>SUM(EF37:EF49)</f>
        <v>26066353.350879814</v>
      </c>
      <c r="EG50" s="1122">
        <f>SUM(EG37:EG49)</f>
        <v>43233146.624210842</v>
      </c>
      <c r="EH50" s="1122">
        <f>SUM(EH37:EH49)</f>
        <v>99917653.024909347</v>
      </c>
      <c r="EI50" s="1073"/>
      <c r="EM50" s="1122">
        <f>SUM(EM37:EM49)</f>
        <v>169217153</v>
      </c>
      <c r="EN50" s="1122">
        <f>SUM(EN37:EN49)</f>
        <v>26066353.350879814</v>
      </c>
      <c r="EO50" s="1122">
        <f>SUM(EO37:EO49)</f>
        <v>43233146.624210842</v>
      </c>
      <c r="EP50" s="1122">
        <f>SUM(EP37:EP49)</f>
        <v>99917653.024909347</v>
      </c>
      <c r="EQ50" s="1073"/>
      <c r="EU50" s="1122">
        <f>SUM(EU37:EU49)</f>
        <v>169217153</v>
      </c>
      <c r="EV50" s="1122">
        <f>SUM(EV37:EV49)</f>
        <v>26066353.350879814</v>
      </c>
      <c r="EW50" s="1122">
        <f>SUM(EW37:EW49)</f>
        <v>43233146.624210842</v>
      </c>
      <c r="EX50" s="1122">
        <f>SUM(EX37:EX49)</f>
        <v>99917653.024909347</v>
      </c>
      <c r="EY50" s="1073"/>
      <c r="FC50" s="1122">
        <f>SUM(FC37:FC49)</f>
        <v>169217153</v>
      </c>
      <c r="FD50" s="1122">
        <f>SUM(FD37:FD49)</f>
        <v>26066353.350879814</v>
      </c>
      <c r="FE50" s="1122">
        <f>SUM(FE37:FE49)</f>
        <v>43233146.624210842</v>
      </c>
      <c r="FF50" s="1122">
        <f>SUM(FF37:FF49)</f>
        <v>99917653.024909347</v>
      </c>
      <c r="FG50" s="1073"/>
      <c r="FK50" s="1122">
        <f>SUM(FK37:FK49)</f>
        <v>169217153</v>
      </c>
      <c r="FL50" s="1122">
        <f>SUM(FL37:FL49)</f>
        <v>26066353.350879814</v>
      </c>
      <c r="FM50" s="1122">
        <f>SUM(FM37:FM49)</f>
        <v>43233146.624210842</v>
      </c>
      <c r="FN50" s="1122">
        <f>SUM(FN37:FN49)</f>
        <v>99917653.024909347</v>
      </c>
      <c r="FO50" s="1073"/>
    </row>
    <row r="51" spans="1:171">
      <c r="A51" s="1430"/>
      <c r="B51" s="64"/>
      <c r="C51" s="55"/>
      <c r="D51" s="55"/>
      <c r="E51" s="64"/>
      <c r="F51" s="64"/>
      <c r="G51" s="221"/>
      <c r="H51" s="221"/>
      <c r="I51" s="221"/>
      <c r="J51" s="1428"/>
      <c r="K51" s="903"/>
      <c r="O51" s="1079"/>
      <c r="P51" s="1079"/>
      <c r="Q51" s="1079"/>
      <c r="R51" s="1079"/>
      <c r="S51" s="1073"/>
      <c r="W51" s="1079"/>
      <c r="X51" s="1079"/>
      <c r="Y51" s="1079"/>
      <c r="Z51" s="1079"/>
      <c r="AA51" s="1073"/>
      <c r="AE51" s="1079"/>
      <c r="AF51" s="1079"/>
      <c r="AG51" s="1079"/>
      <c r="AH51" s="1079"/>
      <c r="AI51" s="1073"/>
      <c r="AM51" s="1079"/>
      <c r="AN51" s="1079"/>
      <c r="AO51" s="1079"/>
      <c r="AP51" s="1079"/>
      <c r="AQ51" s="1073"/>
      <c r="AU51" s="1079"/>
      <c r="AV51" s="1079"/>
      <c r="AW51" s="1079"/>
      <c r="AX51" s="1079"/>
      <c r="AY51" s="1073"/>
      <c r="BC51" s="1079"/>
      <c r="BD51" s="1079"/>
      <c r="BE51" s="1079"/>
      <c r="BF51" s="1079"/>
      <c r="BG51" s="1073"/>
      <c r="BK51" s="1079"/>
      <c r="BL51" s="1079"/>
      <c r="BM51" s="1079"/>
      <c r="BN51" s="1079"/>
      <c r="BO51" s="1073"/>
      <c r="BS51" s="1079"/>
      <c r="BT51" s="1079"/>
      <c r="BU51" s="1079"/>
      <c r="BV51" s="1079"/>
      <c r="BW51" s="1073"/>
      <c r="CA51" s="1079"/>
      <c r="CB51" s="1079"/>
      <c r="CC51" s="1079"/>
      <c r="CD51" s="1079"/>
      <c r="CE51" s="1073"/>
      <c r="CI51" s="1079"/>
      <c r="CJ51" s="1079"/>
      <c r="CK51" s="1079"/>
      <c r="CL51" s="1079"/>
      <c r="CM51" s="1073"/>
      <c r="CQ51" s="1079"/>
      <c r="CR51" s="1079"/>
      <c r="CS51" s="1079"/>
      <c r="CT51" s="1079"/>
      <c r="CU51" s="1073"/>
      <c r="CY51" s="1079"/>
      <c r="CZ51" s="1079"/>
      <c r="DA51" s="1079"/>
      <c r="DB51" s="1079"/>
      <c r="DC51" s="1073"/>
      <c r="DG51" s="1079"/>
      <c r="DH51" s="1079"/>
      <c r="DI51" s="1079"/>
      <c r="DJ51" s="1079"/>
      <c r="DK51" s="1073"/>
      <c r="DO51" s="1079"/>
      <c r="DP51" s="1079"/>
      <c r="DQ51" s="1079"/>
      <c r="DR51" s="1079"/>
      <c r="DS51" s="1073"/>
      <c r="DW51" s="1079"/>
      <c r="DX51" s="1079"/>
      <c r="DY51" s="1079"/>
      <c r="DZ51" s="1079"/>
      <c r="EA51" s="1073"/>
      <c r="EE51" s="1079"/>
      <c r="EF51" s="1079"/>
      <c r="EG51" s="1079"/>
      <c r="EH51" s="1079"/>
      <c r="EI51" s="1073"/>
      <c r="EM51" s="1079"/>
      <c r="EN51" s="1079"/>
      <c r="EO51" s="1079"/>
      <c r="EP51" s="1079"/>
      <c r="EQ51" s="1073"/>
      <c r="EU51" s="1079"/>
      <c r="EV51" s="1079"/>
      <c r="EW51" s="1079"/>
      <c r="EX51" s="1079"/>
      <c r="EY51" s="1073"/>
      <c r="FC51" s="1079"/>
      <c r="FD51" s="1079"/>
      <c r="FE51" s="1079"/>
      <c r="FF51" s="1079"/>
      <c r="FG51" s="1073"/>
      <c r="FK51" s="1079"/>
      <c r="FL51" s="1079"/>
      <c r="FM51" s="1079"/>
      <c r="FN51" s="1079"/>
      <c r="FO51" s="1073"/>
    </row>
    <row r="52" spans="1:171">
      <c r="A52" s="1351" t="s">
        <v>136</v>
      </c>
      <c r="B52" s="64"/>
      <c r="C52" s="914"/>
      <c r="D52" s="915"/>
      <c r="E52" s="915"/>
      <c r="F52" s="916"/>
      <c r="G52" s="923">
        <f>G19+G26+G30+G34+G50</f>
        <v>5352763952</v>
      </c>
      <c r="H52" s="923">
        <f>H19+H26+H30+H34+H50</f>
        <v>1703371011.6169519</v>
      </c>
      <c r="I52" s="923">
        <f>I19+I26+I30+I34+I50</f>
        <v>0</v>
      </c>
      <c r="J52" s="1431">
        <f>J19+J26+J30+J34+J50</f>
        <v>3649392939.8330483</v>
      </c>
      <c r="K52" s="903"/>
      <c r="O52" s="1122">
        <f>O19+O26+O30+O34+O50</f>
        <v>5352763952</v>
      </c>
      <c r="P52" s="1122">
        <f>P19+P26+P30+P34+P50</f>
        <v>1703371011.6169519</v>
      </c>
      <c r="Q52" s="1122">
        <f>Q19+Q26+Q30+Q34+Q50</f>
        <v>1100952176.6242108</v>
      </c>
      <c r="R52" s="1122">
        <f>R19+R26+R30+R34+R50</f>
        <v>2548440763.7588372</v>
      </c>
      <c r="S52" s="1073"/>
      <c r="W52" s="1122">
        <f>W19+W26+W30+W34+W50</f>
        <v>5352763952</v>
      </c>
      <c r="X52" s="1122">
        <f>X19+X26+X30+X34+X50</f>
        <v>1703371011.6169519</v>
      </c>
      <c r="Y52" s="1122">
        <f>Y19+Y26+Y30+Y34+Y50</f>
        <v>1100952176.6242108</v>
      </c>
      <c r="Z52" s="1122">
        <f>Z19+Z26+Z30+Z34+Z50</f>
        <v>2548440763.7588372</v>
      </c>
      <c r="AA52" s="1073"/>
      <c r="AE52" s="1122">
        <f>AE19+AE26+AE30+AE34+AE50</f>
        <v>5352763952</v>
      </c>
      <c r="AF52" s="1122">
        <f>AF19+AF26+AF30+AF34+AF50</f>
        <v>1703371011.6169519</v>
      </c>
      <c r="AG52" s="1122">
        <f>AG19+AG26+AG30+AG34+AG50</f>
        <v>1100952176.6242108</v>
      </c>
      <c r="AH52" s="1122">
        <f>AH19+AH26+AH30+AH34+AH50</f>
        <v>2548440763.7588372</v>
      </c>
      <c r="AI52" s="1073"/>
      <c r="AM52" s="1122">
        <f>AM19+AM26+AM30+AM34+AM50</f>
        <v>5352763952</v>
      </c>
      <c r="AN52" s="1122">
        <f>AN19+AN26+AN30+AN34+AN50</f>
        <v>1703371011.6169519</v>
      </c>
      <c r="AO52" s="1122">
        <f>AO19+AO26+AO30+AO34+AO50</f>
        <v>1100952176.6242108</v>
      </c>
      <c r="AP52" s="1122">
        <f>AP19+AP26+AP30+AP34+AP50</f>
        <v>2548440763.7588372</v>
      </c>
      <c r="AQ52" s="1073"/>
      <c r="AU52" s="1122">
        <f>AU19+AU26+AU30+AU34+AU50</f>
        <v>5352763952</v>
      </c>
      <c r="AV52" s="1122">
        <f>AV19+AV26+AV30+AV34+AV50</f>
        <v>1703371011.6169519</v>
      </c>
      <c r="AW52" s="1122">
        <f>AW19+AW26+AW30+AW34+AW50</f>
        <v>1100952176.6242108</v>
      </c>
      <c r="AX52" s="1122">
        <f>AX19+AX26+AX30+AX34+AX50</f>
        <v>2548440763.7588372</v>
      </c>
      <c r="AY52" s="1073"/>
      <c r="BC52" s="1122">
        <f>BC19+BC26+BC30+BC34+BC50</f>
        <v>5352763952</v>
      </c>
      <c r="BD52" s="1122">
        <f>BD19+BD26+BD30+BD34+BD50</f>
        <v>1703371011.6169519</v>
      </c>
      <c r="BE52" s="1122">
        <f>BE19+BE26+BE30+BE34+BE50</f>
        <v>1100952176.6242108</v>
      </c>
      <c r="BF52" s="1122">
        <f>BF19+BF26+BF30+BF34+BF50</f>
        <v>2548440763.7588372</v>
      </c>
      <c r="BG52" s="1073"/>
      <c r="BK52" s="1122">
        <f>BK19+BK26+BK30+BK34+BK50</f>
        <v>5352763952</v>
      </c>
      <c r="BL52" s="1122">
        <f>BL19+BL26+BL30+BL34+BL50</f>
        <v>1703371011.6169519</v>
      </c>
      <c r="BM52" s="1122">
        <f>BM19+BM26+BM30+BM34+BM50</f>
        <v>1100952176.6242108</v>
      </c>
      <c r="BN52" s="1122">
        <f>BN19+BN26+BN30+BN34+BN50</f>
        <v>2548440763.7588372</v>
      </c>
      <c r="BO52" s="1073"/>
      <c r="BS52" s="1122">
        <f>BS19+BS26+BS30+BS34+BS50</f>
        <v>5352763952</v>
      </c>
      <c r="BT52" s="1122">
        <f>BT19+BT26+BT30+BT34+BT50</f>
        <v>1703371011.6169519</v>
      </c>
      <c r="BU52" s="1122">
        <f>BU19+BU26+BU30+BU34+BU50</f>
        <v>1100952176.6242108</v>
      </c>
      <c r="BV52" s="1122">
        <f>BV19+BV26+BV30+BV34+BV50</f>
        <v>2548440763.7588372</v>
      </c>
      <c r="BW52" s="1073"/>
      <c r="CA52" s="1122">
        <f>CA19+CA26+CA30+CA34+CA50</f>
        <v>5352763952</v>
      </c>
      <c r="CB52" s="1122">
        <f>CB19+CB26+CB30+CB34+CB50</f>
        <v>1703371011.6169519</v>
      </c>
      <c r="CC52" s="1122">
        <f>CC19+CC26+CC30+CC34+CC50</f>
        <v>1100952176.6242108</v>
      </c>
      <c r="CD52" s="1122">
        <f>CD19+CD26+CD30+CD34+CD50</f>
        <v>2548440763.7588372</v>
      </c>
      <c r="CE52" s="1073"/>
      <c r="CI52" s="1122">
        <f>CI19+CI26+CI30+CI34+CI50</f>
        <v>5352763952</v>
      </c>
      <c r="CJ52" s="1122">
        <f>CJ19+CJ26+CJ30+CJ34+CJ50</f>
        <v>1703371011.6169519</v>
      </c>
      <c r="CK52" s="1122">
        <f>CK19+CK26+CK30+CK34+CK50</f>
        <v>1100952176.6242108</v>
      </c>
      <c r="CL52" s="1122">
        <f>CL19+CL26+CL30+CL34+CL50</f>
        <v>2548440763.7588372</v>
      </c>
      <c r="CM52" s="1073"/>
      <c r="CQ52" s="1122">
        <f>CQ19+CQ26+CQ30+CQ34+CQ50</f>
        <v>5352763952</v>
      </c>
      <c r="CR52" s="1122">
        <f>CR19+CR26+CR30+CR34+CR50</f>
        <v>1703371011.6169519</v>
      </c>
      <c r="CS52" s="1122">
        <f>CS19+CS26+CS30+CS34+CS50</f>
        <v>1100952176.6242108</v>
      </c>
      <c r="CT52" s="1122">
        <f>CT19+CT26+CT30+CT34+CT50</f>
        <v>2548440763.7588372</v>
      </c>
      <c r="CU52" s="1073"/>
      <c r="CY52" s="1122">
        <f>CY19+CY26+CY30+CY34+CY50</f>
        <v>5352763952</v>
      </c>
      <c r="CZ52" s="1122">
        <f>CZ19+CZ26+CZ30+CZ34+CZ50</f>
        <v>1703371011.6169519</v>
      </c>
      <c r="DA52" s="1122">
        <f>DA19+DA26+DA30+DA34+DA50</f>
        <v>1100952176.6242108</v>
      </c>
      <c r="DB52" s="1122">
        <f>DB19+DB26+DB30+DB34+DB50</f>
        <v>2548440763.7588372</v>
      </c>
      <c r="DC52" s="1073"/>
      <c r="DG52" s="1122">
        <f>DG19+DG26+DG30+DG34+DG50</f>
        <v>5352763952</v>
      </c>
      <c r="DH52" s="1122">
        <f>DH19+DH26+DH30+DH34+DH50</f>
        <v>1703371011.6169519</v>
      </c>
      <c r="DI52" s="1122">
        <f>DI19+DI26+DI30+DI34+DI50</f>
        <v>1100952176.6242108</v>
      </c>
      <c r="DJ52" s="1122">
        <f>DJ19+DJ26+DJ30+DJ34+DJ50</f>
        <v>2548440763.7588372</v>
      </c>
      <c r="DK52" s="1073"/>
      <c r="DO52" s="1122">
        <f>DO19+DO26+DO30+DO34+DO50</f>
        <v>5352763952</v>
      </c>
      <c r="DP52" s="1122">
        <f>DP19+DP26+DP30+DP34+DP50</f>
        <v>1703371011.6169519</v>
      </c>
      <c r="DQ52" s="1122">
        <f>DQ19+DQ26+DQ30+DQ34+DQ50</f>
        <v>1100952176.6242108</v>
      </c>
      <c r="DR52" s="1122">
        <f>DR19+DR26+DR30+DR34+DR50</f>
        <v>2548440763.7588372</v>
      </c>
      <c r="DS52" s="1073"/>
      <c r="DW52" s="1122">
        <f>DW19+DW26+DW30+DW34+DW50</f>
        <v>5352763952</v>
      </c>
      <c r="DX52" s="1122">
        <f>DX19+DX26+DX30+DX34+DX50</f>
        <v>1703371011.6169519</v>
      </c>
      <c r="DY52" s="1122">
        <f>DY19+DY26+DY30+DY34+DY50</f>
        <v>1100952176.6242108</v>
      </c>
      <c r="DZ52" s="1122">
        <f>DZ19+DZ26+DZ30+DZ34+DZ50</f>
        <v>2548440763.7588372</v>
      </c>
      <c r="EA52" s="1073"/>
      <c r="EE52" s="1122">
        <f>EE19+EE26+EE30+EE34+EE50</f>
        <v>5352763952</v>
      </c>
      <c r="EF52" s="1122">
        <f>EF19+EF26+EF30+EF34+EF50</f>
        <v>1703371011.6169519</v>
      </c>
      <c r="EG52" s="1122">
        <f>EG19+EG26+EG30+EG34+EG50</f>
        <v>1100952176.6242108</v>
      </c>
      <c r="EH52" s="1122">
        <f>EH19+EH26+EH30+EH34+EH50</f>
        <v>2548440763.7588372</v>
      </c>
      <c r="EI52" s="1073"/>
      <c r="EM52" s="1122">
        <f>EM19+EM26+EM30+EM34+EM50</f>
        <v>5352763952</v>
      </c>
      <c r="EN52" s="1122">
        <f>EN19+EN26+EN30+EN34+EN50</f>
        <v>1703371011.6169519</v>
      </c>
      <c r="EO52" s="1122">
        <f>EO19+EO26+EO30+EO34+EO50</f>
        <v>1100952176.6242108</v>
      </c>
      <c r="EP52" s="1122">
        <f>EP19+EP26+EP30+EP34+EP50</f>
        <v>2548440763.7588372</v>
      </c>
      <c r="EQ52" s="1073"/>
      <c r="EU52" s="1122">
        <f>EU19+EU26+EU30+EU34+EU50</f>
        <v>5352763952</v>
      </c>
      <c r="EV52" s="1122">
        <f>EV19+EV26+EV30+EV34+EV50</f>
        <v>1703371011.6169519</v>
      </c>
      <c r="EW52" s="1122">
        <f>EW19+EW26+EW30+EW34+EW50</f>
        <v>1100952176.6242108</v>
      </c>
      <c r="EX52" s="1122">
        <f>EX19+EX26+EX30+EX34+EX50</f>
        <v>2548440763.7588372</v>
      </c>
      <c r="EY52" s="1073"/>
      <c r="FC52" s="1122">
        <f>FC19+FC26+FC30+FC34+FC50</f>
        <v>5352763952</v>
      </c>
      <c r="FD52" s="1122">
        <f>FD19+FD26+FD30+FD34+FD50</f>
        <v>1703371011.6169519</v>
      </c>
      <c r="FE52" s="1122">
        <f>FE19+FE26+FE30+FE34+FE50</f>
        <v>1100952176.6242108</v>
      </c>
      <c r="FF52" s="1122">
        <f>FF19+FF26+FF30+FF34+FF50</f>
        <v>2548440763.7588372</v>
      </c>
      <c r="FG52" s="1073"/>
      <c r="FK52" s="1122">
        <f>FK19+FK26+FK30+FK34+FK50</f>
        <v>5352763952</v>
      </c>
      <c r="FL52" s="1122">
        <f>FL19+FL26+FL30+FL34+FL50</f>
        <v>1703371011.6169519</v>
      </c>
      <c r="FM52" s="1122">
        <f>FM19+FM26+FM30+FM34+FM50</f>
        <v>1100952176.6242108</v>
      </c>
      <c r="FN52" s="1122">
        <f>FN19+FN26+FN30+FN34+FN50</f>
        <v>2548440763.7588372</v>
      </c>
      <c r="FO52" s="1073"/>
    </row>
    <row r="53" spans="1:171">
      <c r="A53" s="1357" t="s">
        <v>444</v>
      </c>
      <c r="B53" s="64"/>
      <c r="C53" s="55"/>
      <c r="D53" s="55"/>
      <c r="J53" s="1414"/>
      <c r="K53" s="903"/>
      <c r="S53" s="1118"/>
      <c r="AA53" s="1118"/>
      <c r="AI53" s="1118"/>
      <c r="AQ53" s="1118"/>
      <c r="AY53" s="1118"/>
      <c r="BG53" s="1118"/>
      <c r="BO53" s="1118"/>
      <c r="BW53" s="1118"/>
      <c r="CE53" s="1118"/>
      <c r="CM53" s="1118"/>
      <c r="CU53" s="1118"/>
      <c r="DC53" s="1118"/>
      <c r="DK53" s="1118"/>
      <c r="DS53" s="1118"/>
      <c r="EA53" s="1118"/>
      <c r="EI53" s="1118"/>
      <c r="EQ53" s="1118"/>
      <c r="EY53" s="1118"/>
      <c r="FG53" s="1118"/>
      <c r="FO53" s="1118"/>
    </row>
    <row r="54" spans="1:171">
      <c r="A54" s="1342"/>
      <c r="B54" s="220"/>
      <c r="C54" s="55"/>
      <c r="D54" s="55"/>
      <c r="J54" s="1414"/>
      <c r="K54" s="903"/>
      <c r="S54" s="1118"/>
      <c r="AA54" s="1118"/>
      <c r="AI54" s="1118"/>
      <c r="AQ54" s="1118"/>
      <c r="AY54" s="1118"/>
      <c r="BG54" s="1118"/>
      <c r="BO54" s="1118"/>
      <c r="BW54" s="1118"/>
      <c r="CE54" s="1118"/>
      <c r="CM54" s="1118"/>
      <c r="CU54" s="1118"/>
      <c r="DC54" s="1118"/>
      <c r="DK54" s="1118"/>
      <c r="DS54" s="1118"/>
      <c r="EA54" s="1118"/>
      <c r="EI54" s="1118"/>
      <c r="EQ54" s="1118"/>
      <c r="EY54" s="1118"/>
      <c r="FG54" s="1118"/>
      <c r="FO54" s="1118"/>
    </row>
    <row r="55" spans="1:171">
      <c r="A55" s="1342" t="s">
        <v>478</v>
      </c>
      <c r="B55" s="220"/>
      <c r="C55" s="55"/>
      <c r="D55" s="55"/>
      <c r="J55" s="1414"/>
      <c r="K55" s="903"/>
      <c r="S55" s="1118"/>
      <c r="AA55" s="1118"/>
      <c r="AI55" s="1118"/>
      <c r="AQ55" s="1118"/>
      <c r="AY55" s="1118"/>
      <c r="BG55" s="1118"/>
      <c r="BO55" s="1118"/>
      <c r="BW55" s="1118"/>
      <c r="CE55" s="1118"/>
      <c r="CM55" s="1118"/>
      <c r="CU55" s="1118"/>
      <c r="DC55" s="1118"/>
      <c r="DK55" s="1118"/>
      <c r="DS55" s="1118"/>
      <c r="EA55" s="1118"/>
      <c r="EI55" s="1118"/>
      <c r="EQ55" s="1118"/>
      <c r="EY55" s="1118"/>
      <c r="FG55" s="1118"/>
      <c r="FO55" s="1118"/>
    </row>
    <row r="56" spans="1:171">
      <c r="A56" s="1342" t="s">
        <v>624</v>
      </c>
      <c r="B56" s="220"/>
      <c r="C56" s="55"/>
      <c r="D56" s="55"/>
      <c r="J56" s="1414"/>
      <c r="K56" s="903"/>
      <c r="S56" s="1118"/>
      <c r="AA56" s="1118"/>
      <c r="AI56" s="1118"/>
      <c r="AQ56" s="1118"/>
      <c r="AY56" s="1118"/>
      <c r="BG56" s="1118"/>
      <c r="BO56" s="1118"/>
      <c r="BW56" s="1118"/>
      <c r="CE56" s="1118"/>
      <c r="CM56" s="1118"/>
      <c r="CU56" s="1118"/>
      <c r="DC56" s="1118"/>
      <c r="DK56" s="1118"/>
      <c r="DS56" s="1118"/>
      <c r="EA56" s="1118"/>
      <c r="EI56" s="1118"/>
      <c r="EQ56" s="1118"/>
      <c r="EY56" s="1118"/>
      <c r="FG56" s="1118"/>
      <c r="FO56" s="1118"/>
    </row>
    <row r="57" spans="1:171">
      <c r="A57" s="1423"/>
      <c r="B57" s="913" t="s">
        <v>88</v>
      </c>
      <c r="C57" s="888">
        <v>219</v>
      </c>
      <c r="D57" s="888">
        <v>108</v>
      </c>
      <c r="E57" s="182" t="str">
        <f>'Sch 1- Rate Base '!E57</f>
        <v>PROD</v>
      </c>
      <c r="F57" s="889"/>
      <c r="G57" s="182">
        <f>'Sch 1- Rate Base '!G57</f>
        <v>394650809</v>
      </c>
      <c r="H57" s="182">
        <f>'Sch 1- Rate Base '!H57</f>
        <v>394650809</v>
      </c>
      <c r="I57" s="182">
        <f>'Sch 1- Rate Base '!I57</f>
        <v>0</v>
      </c>
      <c r="J57" s="1424">
        <f>'Sch 1- Rate Base '!J57</f>
        <v>0</v>
      </c>
      <c r="K57" s="903">
        <f t="shared" ref="K57:K75" si="82">IF($E57="DIRECT",0,1)</f>
        <v>1</v>
      </c>
      <c r="O57" s="1116">
        <f t="shared" ref="O57:O73" si="83">$G57</f>
        <v>394650809</v>
      </c>
      <c r="P57" s="1117">
        <f t="shared" ref="P57:P73" si="84">VLOOKUP($E57,O$442:R$453,2,FALSE)*O57*($K57)+IF($G57&gt;0,($H57/$G57)*O57,0)*(1-$K57)</f>
        <v>394650809</v>
      </c>
      <c r="Q57" s="1117">
        <f t="shared" ref="Q57:Q73" si="85">VLOOKUP($E57,O$442:R$453,3,FALSE)*O57*($K57)+IF($G57&gt;0,($I57/$G57)*O57,0)*(1-$K57)</f>
        <v>0</v>
      </c>
      <c r="R57" s="1117">
        <f t="shared" ref="R57:R73" si="86">VLOOKUP($E57,O$442:R$453,4,FALSE)*O57*($K57)+(O57-P57-Q57)*(1-$K57)</f>
        <v>0</v>
      </c>
      <c r="S57" s="1118"/>
      <c r="W57" s="1116">
        <f t="shared" ref="W57:W73" si="87">$G57</f>
        <v>394650809</v>
      </c>
      <c r="X57" s="1117">
        <f t="shared" ref="X57:X73" si="88">VLOOKUP($E57,W$442:Z$453,2,FALSE)*W57*($K57)+IF($G57&gt;0,($H57/$G57)*W57,0)*(1-$K57)</f>
        <v>394650809</v>
      </c>
      <c r="Y57" s="1117">
        <f t="shared" ref="Y57:Y73" si="89">VLOOKUP($E57,W$442:Z$453,3,FALSE)*W57*($K57)+IF($G57&gt;0,($I57/$G57)*W57,0)*(1-$K57)</f>
        <v>0</v>
      </c>
      <c r="Z57" s="1117">
        <f t="shared" ref="Z57:Z73" si="90">VLOOKUP($E57,W$442:Z$453,4,FALSE)*W57*($K57)+(W57-X57-Y57)*(1-$K57)</f>
        <v>0</v>
      </c>
      <c r="AA57" s="1118"/>
      <c r="AE57" s="1116">
        <f t="shared" ref="AE57:AE73" si="91">$G57</f>
        <v>394650809</v>
      </c>
      <c r="AF57" s="1117">
        <f t="shared" ref="AF57:AF73" si="92">VLOOKUP($E57,AE$442:AH$453,2,FALSE)*AE57*($K57)+IF($G57&gt;0,($H57/$G57)*AE57,0)*(1-$K57)</f>
        <v>394650809</v>
      </c>
      <c r="AG57" s="1117">
        <f t="shared" ref="AG57:AG73" si="93">VLOOKUP($E57,AE$442:AH$453,3,FALSE)*AE57*($K57)+IF($G57&gt;0,($I57/$G57)*AE57,0)*(1-$K57)</f>
        <v>0</v>
      </c>
      <c r="AH57" s="1117">
        <f t="shared" ref="AH57:AH73" si="94">VLOOKUP($E57,AE$442:AH$453,4,FALSE)*AE57*($K57)+(AE57-AF57-AG57)*(1-$K57)</f>
        <v>0</v>
      </c>
      <c r="AI57" s="1118"/>
      <c r="AM57" s="1116">
        <f t="shared" ref="AM57:AM73" si="95">$G57</f>
        <v>394650809</v>
      </c>
      <c r="AN57" s="1117">
        <f t="shared" ref="AN57:AN73" si="96">VLOOKUP($E57,AM$442:AP$453,2,FALSE)*AM57*($K57)+IF($G57&gt;0,($H57/$G57)*AM57,0)*(1-$K57)</f>
        <v>394650809</v>
      </c>
      <c r="AO57" s="1117">
        <f t="shared" ref="AO57:AO73" si="97">VLOOKUP($E57,AM$442:AP$453,3,FALSE)*AM57*($K57)+IF($G57&gt;0,($I57/$G57)*AM57,0)*(1-$K57)</f>
        <v>0</v>
      </c>
      <c r="AP57" s="1117">
        <f t="shared" ref="AP57:AP73" si="98">VLOOKUP($E57,AM$442:AP$453,4,FALSE)*AM57*($K57)+(AM57-AN57-AO57)*(1-$K57)</f>
        <v>0</v>
      </c>
      <c r="AQ57" s="1118"/>
      <c r="AU57" s="1116">
        <f t="shared" ref="AU57:AU73" si="99">$G57</f>
        <v>394650809</v>
      </c>
      <c r="AV57" s="1117">
        <f t="shared" ref="AV57:AV73" si="100">VLOOKUP($E57,AU$442:AX$453,2,FALSE)*AU57*($K57)+IF($G57&gt;0,($H57/$G57)*AU57,0)*(1-$K57)</f>
        <v>394650809</v>
      </c>
      <c r="AW57" s="1117">
        <f t="shared" ref="AW57:AW73" si="101">VLOOKUP($E57,AU$442:AX$453,3,FALSE)*AU57*($K57)+IF($G57&gt;0,($I57/$G57)*AU57,0)*(1-$K57)</f>
        <v>0</v>
      </c>
      <c r="AX57" s="1117">
        <f t="shared" ref="AX57:AX73" si="102">VLOOKUP($E57,AU$442:AX$453,4,FALSE)*AU57*($K57)+(AU57-AV57-AW57)*(1-$K57)</f>
        <v>0</v>
      </c>
      <c r="AY57" s="1118"/>
      <c r="BC57" s="1116">
        <f t="shared" ref="BC57:BC73" si="103">$G57</f>
        <v>394650809</v>
      </c>
      <c r="BD57" s="1117">
        <f t="shared" ref="BD57:BD73" si="104">VLOOKUP($E57,BC$442:BF$453,2,FALSE)*BC57*($K57)+IF($G57&gt;0,($H57/$G57)*BC57,0)*(1-$K57)</f>
        <v>394650809</v>
      </c>
      <c r="BE57" s="1117">
        <f t="shared" ref="BE57:BE73" si="105">VLOOKUP($E57,BC$442:BF$453,3,FALSE)*BC57*($K57)+IF($G57&gt;0,($I57/$G57)*BC57,0)*(1-$K57)</f>
        <v>0</v>
      </c>
      <c r="BF57" s="1117">
        <f t="shared" ref="BF57:BF73" si="106">VLOOKUP($E57,BC$442:BF$453,4,FALSE)*BC57*($K57)+(BC57-BD57-BE57)*(1-$K57)</f>
        <v>0</v>
      </c>
      <c r="BG57" s="1118"/>
      <c r="BK57" s="1116">
        <f t="shared" ref="BK57:BK73" si="107">$G57</f>
        <v>394650809</v>
      </c>
      <c r="BL57" s="1117">
        <f t="shared" ref="BL57:BL73" si="108">VLOOKUP($E57,BK$442:BN$453,2,FALSE)*BK57*($K57)+IF($G57&gt;0,($H57/$G57)*BK57,0)*(1-$K57)</f>
        <v>394650809</v>
      </c>
      <c r="BM57" s="1117">
        <f t="shared" ref="BM57:BM73" si="109">VLOOKUP($E57,BK$442:BN$453,3,FALSE)*BK57*($K57)+IF($G57&gt;0,($I57/$G57)*BK57,0)*(1-$K57)</f>
        <v>0</v>
      </c>
      <c r="BN57" s="1117">
        <f t="shared" ref="BN57:BN73" si="110">VLOOKUP($E57,BK$442:BN$453,4,FALSE)*BK57*($K57)+(BK57-BL57-BM57)*(1-$K57)</f>
        <v>0</v>
      </c>
      <c r="BO57" s="1118"/>
      <c r="BS57" s="1116">
        <f t="shared" ref="BS57:BS73" si="111">$G57</f>
        <v>394650809</v>
      </c>
      <c r="BT57" s="1117">
        <f t="shared" ref="BT57:BT73" si="112">VLOOKUP($E57,BS$442:BV$453,2,FALSE)*BS57*($K57)+IF($G57&gt;0,($H57/$G57)*BS57,0)*(1-$K57)</f>
        <v>394650809</v>
      </c>
      <c r="BU57" s="1117">
        <f t="shared" ref="BU57:BU73" si="113">VLOOKUP($E57,BS$442:BV$453,3,FALSE)*BS57*($K57)+IF($G57&gt;0,($I57/$G57)*BS57,0)*(1-$K57)</f>
        <v>0</v>
      </c>
      <c r="BV57" s="1117">
        <f t="shared" ref="BV57:BV73" si="114">VLOOKUP($E57,BS$442:BV$453,4,FALSE)*BS57*($K57)+(BS57-BT57-BU57)*(1-$K57)</f>
        <v>0</v>
      </c>
      <c r="BW57" s="1118"/>
      <c r="CA57" s="1116">
        <f t="shared" ref="CA57:CA73" si="115">$G57</f>
        <v>394650809</v>
      </c>
      <c r="CB57" s="1117">
        <f t="shared" ref="CB57:CB73" si="116">VLOOKUP($E57,CA$442:CD$453,2,FALSE)*CA57*($K57)+IF($G57&gt;0,($H57/$G57)*CA57,0)*(1-$K57)</f>
        <v>394650809</v>
      </c>
      <c r="CC57" s="1117">
        <f t="shared" ref="CC57:CC73" si="117">VLOOKUP($E57,CA$442:CD$453,3,FALSE)*CA57*($K57)+IF($G57&gt;0,($I57/$G57)*CA57,0)*(1-$K57)</f>
        <v>0</v>
      </c>
      <c r="CD57" s="1117">
        <f t="shared" ref="CD57:CD73" si="118">VLOOKUP($E57,CA$442:CD$453,4,FALSE)*CA57*($K57)+(CA57-CB57-CC57)*(1-$K57)</f>
        <v>0</v>
      </c>
      <c r="CE57" s="1118"/>
      <c r="CI57" s="1116">
        <f t="shared" ref="CI57:CI73" si="119">$G57</f>
        <v>394650809</v>
      </c>
      <c r="CJ57" s="1117">
        <f t="shared" ref="CJ57:CJ73" si="120">VLOOKUP($E57,CI$442:CL$453,2,FALSE)*CI57*($K57)+IF($G57&gt;0,($H57/$G57)*CI57,0)*(1-$K57)</f>
        <v>394650809</v>
      </c>
      <c r="CK57" s="1117">
        <f t="shared" ref="CK57:CK73" si="121">VLOOKUP($E57,CI$442:CL$453,3,FALSE)*CI57*($K57)+IF($G57&gt;0,($I57/$G57)*CI57,0)*(1-$K57)</f>
        <v>0</v>
      </c>
      <c r="CL57" s="1117">
        <f t="shared" ref="CL57:CL73" si="122">VLOOKUP($E57,CI$442:CL$453,4,FALSE)*CI57*($K57)+(CI57-CJ57-CK57)*(1-$K57)</f>
        <v>0</v>
      </c>
      <c r="CM57" s="1118"/>
      <c r="CQ57" s="1116">
        <f t="shared" ref="CQ57:CQ73" si="123">$G57</f>
        <v>394650809</v>
      </c>
      <c r="CR57" s="1117">
        <f t="shared" ref="CR57:CR73" si="124">VLOOKUP($E57,CQ$442:CT$453,2,FALSE)*CQ57*($K57)+IF($G57&gt;0,($H57/$G57)*CQ57,0)*(1-$K57)</f>
        <v>394650809</v>
      </c>
      <c r="CS57" s="1117">
        <f t="shared" ref="CS57:CS73" si="125">VLOOKUP($E57,CQ$442:CT$453,3,FALSE)*CQ57*($K57)+IF($G57&gt;0,($I57/$G57)*CQ57,0)*(1-$K57)</f>
        <v>0</v>
      </c>
      <c r="CT57" s="1117">
        <f t="shared" ref="CT57:CT73" si="126">VLOOKUP($E57,CQ$442:CT$453,4,FALSE)*CQ57*($K57)+(CQ57-CR57-CS57)*(1-$K57)</f>
        <v>0</v>
      </c>
      <c r="CU57" s="1118"/>
      <c r="CY57" s="1116">
        <f t="shared" ref="CY57:CY73" si="127">$G57</f>
        <v>394650809</v>
      </c>
      <c r="CZ57" s="1117">
        <f t="shared" ref="CZ57:CZ73" si="128">VLOOKUP($E57,CY$442:DB$453,2,FALSE)*CY57*($K57)+IF($G57&gt;0,($H57/$G57)*CY57,0)*(1-$K57)</f>
        <v>394650809</v>
      </c>
      <c r="DA57" s="1117">
        <f t="shared" ref="DA57:DA73" si="129">VLOOKUP($E57,CY$442:DB$453,3,FALSE)*CY57*($K57)+IF($G57&gt;0,($I57/$G57)*CY57,0)*(1-$K57)</f>
        <v>0</v>
      </c>
      <c r="DB57" s="1117">
        <f t="shared" ref="DB57:DB73" si="130">VLOOKUP($E57,CY$442:DB$453,4,FALSE)*CY57*($K57)+(CY57-CZ57-DA57)*(1-$K57)</f>
        <v>0</v>
      </c>
      <c r="DC57" s="1118"/>
      <c r="DG57" s="1116">
        <f t="shared" ref="DG57:DG73" si="131">$G57</f>
        <v>394650809</v>
      </c>
      <c r="DH57" s="1117">
        <f t="shared" ref="DH57:DH73" si="132">VLOOKUP($E57,DG$442:DJ$453,2,FALSE)*DG57*($K57)+IF($G57&gt;0,($H57/$G57)*DG57,0)*(1-$K57)</f>
        <v>394650809</v>
      </c>
      <c r="DI57" s="1117">
        <f t="shared" ref="DI57:DI73" si="133">VLOOKUP($E57,DG$442:DJ$453,3,FALSE)*DG57*($K57)+IF($G57&gt;0,($I57/$G57)*DG57,0)*(1-$K57)</f>
        <v>0</v>
      </c>
      <c r="DJ57" s="1117">
        <f t="shared" ref="DJ57:DJ73" si="134">VLOOKUP($E57,DG$442:DJ$453,4,FALSE)*DG57*($K57)+(DG57-DH57-DI57)*(1-$K57)</f>
        <v>0</v>
      </c>
      <c r="DK57" s="1118"/>
      <c r="DO57" s="1116">
        <f t="shared" ref="DO57:DO73" si="135">$G57</f>
        <v>394650809</v>
      </c>
      <c r="DP57" s="1117">
        <f t="shared" ref="DP57:DP73" si="136">VLOOKUP($E57,DO$442:DR$453,2,FALSE)*DO57*($K57)+IF($G57&gt;0,($H57/$G57)*DO57,0)*(1-$K57)</f>
        <v>394650809</v>
      </c>
      <c r="DQ57" s="1117">
        <f t="shared" ref="DQ57:DQ73" si="137">VLOOKUP($E57,DO$442:DR$453,3,FALSE)*DO57*($K57)+IF($G57&gt;0,($I57/$G57)*DO57,0)*(1-$K57)</f>
        <v>0</v>
      </c>
      <c r="DR57" s="1117">
        <f t="shared" ref="DR57:DR73" si="138">VLOOKUP($E57,DO$442:DR$453,4,FALSE)*DO57*($K57)+(DO57-DP57-DQ57)*(1-$K57)</f>
        <v>0</v>
      </c>
      <c r="DS57" s="1118"/>
      <c r="DW57" s="1116">
        <f t="shared" ref="DW57:DW73" si="139">$G57</f>
        <v>394650809</v>
      </c>
      <c r="DX57" s="1117">
        <f t="shared" ref="DX57:DX73" si="140">VLOOKUP($E57,DW$442:DZ$453,2,FALSE)*DW57*($K57)+IF($G57&gt;0,($H57/$G57)*DW57,0)*(1-$K57)</f>
        <v>394650809</v>
      </c>
      <c r="DY57" s="1117">
        <f t="shared" ref="DY57:DY73" si="141">VLOOKUP($E57,DW$442:DZ$453,3,FALSE)*DW57*($K57)+IF($G57&gt;0,($I57/$G57)*DW57,0)*(1-$K57)</f>
        <v>0</v>
      </c>
      <c r="DZ57" s="1117">
        <f t="shared" ref="DZ57:DZ73" si="142">VLOOKUP($E57,DW$442:DZ$453,4,FALSE)*DW57*($K57)+(DW57-DX57-DY57)*(1-$K57)</f>
        <v>0</v>
      </c>
      <c r="EA57" s="1118"/>
      <c r="EE57" s="1116">
        <f t="shared" ref="EE57:EE73" si="143">$G57</f>
        <v>394650809</v>
      </c>
      <c r="EF57" s="1117">
        <f t="shared" ref="EF57:EF73" si="144">VLOOKUP($E57,EE$442:EH$453,2,FALSE)*EE57*($K57)+IF($G57&gt;0,($H57/$G57)*EE57,0)*(1-$K57)</f>
        <v>394650809</v>
      </c>
      <c r="EG57" s="1117">
        <f t="shared" ref="EG57:EG73" si="145">VLOOKUP($E57,EE$442:EH$453,3,FALSE)*EE57*($K57)+IF($G57&gt;0,($I57/$G57)*EE57,0)*(1-$K57)</f>
        <v>0</v>
      </c>
      <c r="EH57" s="1117">
        <f t="shared" ref="EH57:EH73" si="146">VLOOKUP($E57,EE$442:EH$453,4,FALSE)*EE57*($K57)+(EE57-EF57-EG57)*(1-$K57)</f>
        <v>0</v>
      </c>
      <c r="EI57" s="1118"/>
      <c r="EM57" s="1116">
        <f t="shared" ref="EM57:EM73" si="147">$G57</f>
        <v>394650809</v>
      </c>
      <c r="EN57" s="1117">
        <f t="shared" ref="EN57:EN73" si="148">VLOOKUP($E57,EM$442:EP$453,2,FALSE)*EM57*($K57)+IF($G57&gt;0,($H57/$G57)*EM57,0)*(1-$K57)</f>
        <v>394650809</v>
      </c>
      <c r="EO57" s="1117">
        <f t="shared" ref="EO57:EO73" si="149">VLOOKUP($E57,EM$442:EP$453,3,FALSE)*EM57*($K57)+IF($G57&gt;0,($I57/$G57)*EM57,0)*(1-$K57)</f>
        <v>0</v>
      </c>
      <c r="EP57" s="1117">
        <f t="shared" ref="EP57:EP73" si="150">VLOOKUP($E57,EM$442:EP$453,4,FALSE)*EM57*($K57)+(EM57-EN57-EO57)*(1-$K57)</f>
        <v>0</v>
      </c>
      <c r="EQ57" s="1118"/>
      <c r="EU57" s="1116">
        <f t="shared" ref="EU57:EU73" si="151">$G57</f>
        <v>394650809</v>
      </c>
      <c r="EV57" s="1117">
        <f t="shared" ref="EV57:EV73" si="152">VLOOKUP($E57,EU$442:EX$453,2,FALSE)*EU57*($K57)+IF($G57&gt;0,($H57/$G57)*EU57,0)*(1-$K57)</f>
        <v>394650809</v>
      </c>
      <c r="EW57" s="1117">
        <f t="shared" ref="EW57:EW73" si="153">VLOOKUP($E57,EU$442:EX$453,3,FALSE)*EU57*($K57)+IF($G57&gt;0,($I57/$G57)*EU57,0)*(1-$K57)</f>
        <v>0</v>
      </c>
      <c r="EX57" s="1117">
        <f t="shared" ref="EX57:EX73" si="154">VLOOKUP($E57,EU$442:EX$453,4,FALSE)*EU57*($K57)+(EU57-EV57-EW57)*(1-$K57)</f>
        <v>0</v>
      </c>
      <c r="EY57" s="1118"/>
      <c r="FC57" s="1116">
        <f t="shared" ref="FC57:FC73" si="155">$G57</f>
        <v>394650809</v>
      </c>
      <c r="FD57" s="1117">
        <f t="shared" ref="FD57:FD73" si="156">VLOOKUP($E57,FC$442:FF$453,2,FALSE)*FC57*($K57)+IF($G57&gt;0,($H57/$G57)*FC57,0)*(1-$K57)</f>
        <v>394650809</v>
      </c>
      <c r="FE57" s="1117">
        <f t="shared" ref="FE57:FE73" si="157">VLOOKUP($E57,FC$442:FF$453,3,FALSE)*FC57*($K57)+IF($G57&gt;0,($I57/$G57)*FC57,0)*(1-$K57)</f>
        <v>0</v>
      </c>
      <c r="FF57" s="1117">
        <f t="shared" ref="FF57:FF73" si="158">VLOOKUP($E57,FC$442:FF$453,4,FALSE)*FC57*($K57)+(FC57-FD57-FE57)*(1-$K57)</f>
        <v>0</v>
      </c>
      <c r="FG57" s="1118"/>
      <c r="FK57" s="1116">
        <f t="shared" ref="FK57:FK73" si="159">$G57</f>
        <v>394650809</v>
      </c>
      <c r="FL57" s="1117">
        <f t="shared" ref="FL57:FL73" si="160">VLOOKUP($E57,FK$442:FN$453,2,FALSE)*FK57*($K57)+IF($G57&gt;0,($H57/$G57)*FK57,0)*(1-$K57)</f>
        <v>394650809</v>
      </c>
      <c r="FM57" s="1117">
        <f t="shared" ref="FM57:FM73" si="161">VLOOKUP($E57,FK$442:FN$453,3,FALSE)*FK57*($K57)+IF($G57&gt;0,($I57/$G57)*FK57,0)*(1-$K57)</f>
        <v>0</v>
      </c>
      <c r="FN57" s="1117">
        <f t="shared" ref="FN57:FN73" si="162">VLOOKUP($E57,FK$442:FN$453,4,FALSE)*FK57*($K57)+(FK57-FL57-FM57)*(1-$K57)</f>
        <v>0</v>
      </c>
      <c r="FO57" s="1118"/>
    </row>
    <row r="58" spans="1:171">
      <c r="A58" s="1423"/>
      <c r="B58" s="913" t="s">
        <v>89</v>
      </c>
      <c r="C58" s="888">
        <v>219</v>
      </c>
      <c r="D58" s="888">
        <v>108</v>
      </c>
      <c r="E58" s="182" t="str">
        <f>'Sch 1- Rate Base '!E58</f>
        <v>PROD</v>
      </c>
      <c r="F58" s="889"/>
      <c r="G58" s="182">
        <f>'Sch 1- Rate Base '!G58</f>
        <v>0</v>
      </c>
      <c r="H58" s="182">
        <f>'Sch 1- Rate Base '!H58</f>
        <v>0</v>
      </c>
      <c r="I58" s="182">
        <f>'Sch 1- Rate Base '!I58</f>
        <v>0</v>
      </c>
      <c r="J58" s="1424">
        <f>'Sch 1- Rate Base '!J58</f>
        <v>0</v>
      </c>
      <c r="K58" s="903">
        <f t="shared" si="82"/>
        <v>1</v>
      </c>
      <c r="O58" s="1116">
        <f t="shared" si="83"/>
        <v>0</v>
      </c>
      <c r="P58" s="1117">
        <f t="shared" si="84"/>
        <v>0</v>
      </c>
      <c r="Q58" s="1117">
        <f t="shared" si="85"/>
        <v>0</v>
      </c>
      <c r="R58" s="1117">
        <f t="shared" si="86"/>
        <v>0</v>
      </c>
      <c r="S58" s="1118"/>
      <c r="W58" s="1116">
        <f t="shared" si="87"/>
        <v>0</v>
      </c>
      <c r="X58" s="1117">
        <f t="shared" si="88"/>
        <v>0</v>
      </c>
      <c r="Y58" s="1117">
        <f t="shared" si="89"/>
        <v>0</v>
      </c>
      <c r="Z58" s="1117">
        <f t="shared" si="90"/>
        <v>0</v>
      </c>
      <c r="AA58" s="1118"/>
      <c r="AE58" s="1116">
        <f t="shared" si="91"/>
        <v>0</v>
      </c>
      <c r="AF58" s="1117">
        <f t="shared" si="92"/>
        <v>0</v>
      </c>
      <c r="AG58" s="1117">
        <f t="shared" si="93"/>
        <v>0</v>
      </c>
      <c r="AH58" s="1117">
        <f t="shared" si="94"/>
        <v>0</v>
      </c>
      <c r="AI58" s="1118"/>
      <c r="AM58" s="1116">
        <f t="shared" si="95"/>
        <v>0</v>
      </c>
      <c r="AN58" s="1117">
        <f t="shared" si="96"/>
        <v>0</v>
      </c>
      <c r="AO58" s="1117">
        <f t="shared" si="97"/>
        <v>0</v>
      </c>
      <c r="AP58" s="1117">
        <f t="shared" si="98"/>
        <v>0</v>
      </c>
      <c r="AQ58" s="1118"/>
      <c r="AU58" s="1116">
        <f t="shared" si="99"/>
        <v>0</v>
      </c>
      <c r="AV58" s="1117">
        <f t="shared" si="100"/>
        <v>0</v>
      </c>
      <c r="AW58" s="1117">
        <f t="shared" si="101"/>
        <v>0</v>
      </c>
      <c r="AX58" s="1117">
        <f t="shared" si="102"/>
        <v>0</v>
      </c>
      <c r="AY58" s="1118"/>
      <c r="BC58" s="1116">
        <f t="shared" si="103"/>
        <v>0</v>
      </c>
      <c r="BD58" s="1117">
        <f t="shared" si="104"/>
        <v>0</v>
      </c>
      <c r="BE58" s="1117">
        <f t="shared" si="105"/>
        <v>0</v>
      </c>
      <c r="BF58" s="1117">
        <f t="shared" si="106"/>
        <v>0</v>
      </c>
      <c r="BG58" s="1118"/>
      <c r="BK58" s="1116">
        <f t="shared" si="107"/>
        <v>0</v>
      </c>
      <c r="BL58" s="1117">
        <f t="shared" si="108"/>
        <v>0</v>
      </c>
      <c r="BM58" s="1117">
        <f t="shared" si="109"/>
        <v>0</v>
      </c>
      <c r="BN58" s="1117">
        <f t="shared" si="110"/>
        <v>0</v>
      </c>
      <c r="BO58" s="1118"/>
      <c r="BS58" s="1116">
        <f t="shared" si="111"/>
        <v>0</v>
      </c>
      <c r="BT58" s="1117">
        <f t="shared" si="112"/>
        <v>0</v>
      </c>
      <c r="BU58" s="1117">
        <f t="shared" si="113"/>
        <v>0</v>
      </c>
      <c r="BV58" s="1117">
        <f t="shared" si="114"/>
        <v>0</v>
      </c>
      <c r="BW58" s="1118"/>
      <c r="CA58" s="1116">
        <f t="shared" si="115"/>
        <v>0</v>
      </c>
      <c r="CB58" s="1117">
        <f t="shared" si="116"/>
        <v>0</v>
      </c>
      <c r="CC58" s="1117">
        <f t="shared" si="117"/>
        <v>0</v>
      </c>
      <c r="CD58" s="1117">
        <f t="shared" si="118"/>
        <v>0</v>
      </c>
      <c r="CE58" s="1118"/>
      <c r="CI58" s="1116">
        <f t="shared" si="119"/>
        <v>0</v>
      </c>
      <c r="CJ58" s="1117">
        <f t="shared" si="120"/>
        <v>0</v>
      </c>
      <c r="CK58" s="1117">
        <f t="shared" si="121"/>
        <v>0</v>
      </c>
      <c r="CL58" s="1117">
        <f t="shared" si="122"/>
        <v>0</v>
      </c>
      <c r="CM58" s="1118"/>
      <c r="CQ58" s="1116">
        <f t="shared" si="123"/>
        <v>0</v>
      </c>
      <c r="CR58" s="1117">
        <f t="shared" si="124"/>
        <v>0</v>
      </c>
      <c r="CS58" s="1117">
        <f t="shared" si="125"/>
        <v>0</v>
      </c>
      <c r="CT58" s="1117">
        <f t="shared" si="126"/>
        <v>0</v>
      </c>
      <c r="CU58" s="1118"/>
      <c r="CY58" s="1116">
        <f t="shared" si="127"/>
        <v>0</v>
      </c>
      <c r="CZ58" s="1117">
        <f t="shared" si="128"/>
        <v>0</v>
      </c>
      <c r="DA58" s="1117">
        <f t="shared" si="129"/>
        <v>0</v>
      </c>
      <c r="DB58" s="1117">
        <f t="shared" si="130"/>
        <v>0</v>
      </c>
      <c r="DC58" s="1118"/>
      <c r="DG58" s="1116">
        <f t="shared" si="131"/>
        <v>0</v>
      </c>
      <c r="DH58" s="1117">
        <f t="shared" si="132"/>
        <v>0</v>
      </c>
      <c r="DI58" s="1117">
        <f t="shared" si="133"/>
        <v>0</v>
      </c>
      <c r="DJ58" s="1117">
        <f t="shared" si="134"/>
        <v>0</v>
      </c>
      <c r="DK58" s="1118"/>
      <c r="DO58" s="1116">
        <f t="shared" si="135"/>
        <v>0</v>
      </c>
      <c r="DP58" s="1117">
        <f t="shared" si="136"/>
        <v>0</v>
      </c>
      <c r="DQ58" s="1117">
        <f t="shared" si="137"/>
        <v>0</v>
      </c>
      <c r="DR58" s="1117">
        <f t="shared" si="138"/>
        <v>0</v>
      </c>
      <c r="DS58" s="1118"/>
      <c r="DW58" s="1116">
        <f t="shared" si="139"/>
        <v>0</v>
      </c>
      <c r="DX58" s="1117">
        <f t="shared" si="140"/>
        <v>0</v>
      </c>
      <c r="DY58" s="1117">
        <f t="shared" si="141"/>
        <v>0</v>
      </c>
      <c r="DZ58" s="1117">
        <f t="shared" si="142"/>
        <v>0</v>
      </c>
      <c r="EA58" s="1118"/>
      <c r="EE58" s="1116">
        <f t="shared" si="143"/>
        <v>0</v>
      </c>
      <c r="EF58" s="1117">
        <f t="shared" si="144"/>
        <v>0</v>
      </c>
      <c r="EG58" s="1117">
        <f t="shared" si="145"/>
        <v>0</v>
      </c>
      <c r="EH58" s="1117">
        <f t="shared" si="146"/>
        <v>0</v>
      </c>
      <c r="EI58" s="1118"/>
      <c r="EM58" s="1116">
        <f t="shared" si="147"/>
        <v>0</v>
      </c>
      <c r="EN58" s="1117">
        <f t="shared" si="148"/>
        <v>0</v>
      </c>
      <c r="EO58" s="1117">
        <f t="shared" si="149"/>
        <v>0</v>
      </c>
      <c r="EP58" s="1117">
        <f t="shared" si="150"/>
        <v>0</v>
      </c>
      <c r="EQ58" s="1118"/>
      <c r="EU58" s="1116">
        <f t="shared" si="151"/>
        <v>0</v>
      </c>
      <c r="EV58" s="1117">
        <f t="shared" si="152"/>
        <v>0</v>
      </c>
      <c r="EW58" s="1117">
        <f t="shared" si="153"/>
        <v>0</v>
      </c>
      <c r="EX58" s="1117">
        <f t="shared" si="154"/>
        <v>0</v>
      </c>
      <c r="EY58" s="1118"/>
      <c r="FC58" s="1116">
        <f t="shared" si="155"/>
        <v>0</v>
      </c>
      <c r="FD58" s="1117">
        <f t="shared" si="156"/>
        <v>0</v>
      </c>
      <c r="FE58" s="1117">
        <f t="shared" si="157"/>
        <v>0</v>
      </c>
      <c r="FF58" s="1117">
        <f t="shared" si="158"/>
        <v>0</v>
      </c>
      <c r="FG58" s="1118"/>
      <c r="FK58" s="1116">
        <f t="shared" si="159"/>
        <v>0</v>
      </c>
      <c r="FL58" s="1117">
        <f t="shared" si="160"/>
        <v>0</v>
      </c>
      <c r="FM58" s="1117">
        <f t="shared" si="161"/>
        <v>0</v>
      </c>
      <c r="FN58" s="1117">
        <f t="shared" si="162"/>
        <v>0</v>
      </c>
      <c r="FO58" s="1118"/>
    </row>
    <row r="59" spans="1:171">
      <c r="A59" s="1423"/>
      <c r="B59" s="913" t="s">
        <v>326</v>
      </c>
      <c r="C59" s="888">
        <v>219</v>
      </c>
      <c r="D59" s="888">
        <v>108</v>
      </c>
      <c r="E59" s="182" t="str">
        <f>'Sch 1- Rate Base '!E59</f>
        <v>PROD</v>
      </c>
      <c r="F59" s="889"/>
      <c r="G59" s="182">
        <f>'Sch 1- Rate Base '!G59</f>
        <v>202979974</v>
      </c>
      <c r="H59" s="182">
        <f>'Sch 1- Rate Base '!H59</f>
        <v>202979974</v>
      </c>
      <c r="I59" s="182">
        <f>'Sch 1- Rate Base '!I59</f>
        <v>0</v>
      </c>
      <c r="J59" s="1424">
        <f>'Sch 1- Rate Base '!J59</f>
        <v>0</v>
      </c>
      <c r="K59" s="903">
        <f t="shared" si="82"/>
        <v>1</v>
      </c>
      <c r="O59" s="1116">
        <f t="shared" si="83"/>
        <v>202979974</v>
      </c>
      <c r="P59" s="1117">
        <f t="shared" si="84"/>
        <v>202979974</v>
      </c>
      <c r="Q59" s="1117">
        <f t="shared" si="85"/>
        <v>0</v>
      </c>
      <c r="R59" s="1117">
        <f t="shared" si="86"/>
        <v>0</v>
      </c>
      <c r="S59" s="1118"/>
      <c r="W59" s="1116">
        <f t="shared" si="87"/>
        <v>202979974</v>
      </c>
      <c r="X59" s="1117">
        <f t="shared" si="88"/>
        <v>202979974</v>
      </c>
      <c r="Y59" s="1117">
        <f t="shared" si="89"/>
        <v>0</v>
      </c>
      <c r="Z59" s="1117">
        <f t="shared" si="90"/>
        <v>0</v>
      </c>
      <c r="AA59" s="1118"/>
      <c r="AE59" s="1116">
        <f t="shared" si="91"/>
        <v>202979974</v>
      </c>
      <c r="AF59" s="1117">
        <f t="shared" si="92"/>
        <v>202979974</v>
      </c>
      <c r="AG59" s="1117">
        <f t="shared" si="93"/>
        <v>0</v>
      </c>
      <c r="AH59" s="1117">
        <f t="shared" si="94"/>
        <v>0</v>
      </c>
      <c r="AI59" s="1118"/>
      <c r="AM59" s="1116">
        <f t="shared" si="95"/>
        <v>202979974</v>
      </c>
      <c r="AN59" s="1117">
        <f t="shared" si="96"/>
        <v>202979974</v>
      </c>
      <c r="AO59" s="1117">
        <f t="shared" si="97"/>
        <v>0</v>
      </c>
      <c r="AP59" s="1117">
        <f t="shared" si="98"/>
        <v>0</v>
      </c>
      <c r="AQ59" s="1118"/>
      <c r="AU59" s="1116">
        <f t="shared" si="99"/>
        <v>202979974</v>
      </c>
      <c r="AV59" s="1117">
        <f t="shared" si="100"/>
        <v>202979974</v>
      </c>
      <c r="AW59" s="1117">
        <f t="shared" si="101"/>
        <v>0</v>
      </c>
      <c r="AX59" s="1117">
        <f t="shared" si="102"/>
        <v>0</v>
      </c>
      <c r="AY59" s="1118"/>
      <c r="BC59" s="1116">
        <f t="shared" si="103"/>
        <v>202979974</v>
      </c>
      <c r="BD59" s="1117">
        <f t="shared" si="104"/>
        <v>202979974</v>
      </c>
      <c r="BE59" s="1117">
        <f t="shared" si="105"/>
        <v>0</v>
      </c>
      <c r="BF59" s="1117">
        <f t="shared" si="106"/>
        <v>0</v>
      </c>
      <c r="BG59" s="1118"/>
      <c r="BK59" s="1116">
        <f t="shared" si="107"/>
        <v>202979974</v>
      </c>
      <c r="BL59" s="1117">
        <f t="shared" si="108"/>
        <v>202979974</v>
      </c>
      <c r="BM59" s="1117">
        <f t="shared" si="109"/>
        <v>0</v>
      </c>
      <c r="BN59" s="1117">
        <f t="shared" si="110"/>
        <v>0</v>
      </c>
      <c r="BO59" s="1118"/>
      <c r="BS59" s="1116">
        <f t="shared" si="111"/>
        <v>202979974</v>
      </c>
      <c r="BT59" s="1117">
        <f t="shared" si="112"/>
        <v>202979974</v>
      </c>
      <c r="BU59" s="1117">
        <f t="shared" si="113"/>
        <v>0</v>
      </c>
      <c r="BV59" s="1117">
        <f t="shared" si="114"/>
        <v>0</v>
      </c>
      <c r="BW59" s="1118"/>
      <c r="CA59" s="1116">
        <f t="shared" si="115"/>
        <v>202979974</v>
      </c>
      <c r="CB59" s="1117">
        <f t="shared" si="116"/>
        <v>202979974</v>
      </c>
      <c r="CC59" s="1117">
        <f t="shared" si="117"/>
        <v>0</v>
      </c>
      <c r="CD59" s="1117">
        <f t="shared" si="118"/>
        <v>0</v>
      </c>
      <c r="CE59" s="1118"/>
      <c r="CI59" s="1116">
        <f t="shared" si="119"/>
        <v>202979974</v>
      </c>
      <c r="CJ59" s="1117">
        <f t="shared" si="120"/>
        <v>202979974</v>
      </c>
      <c r="CK59" s="1117">
        <f t="shared" si="121"/>
        <v>0</v>
      </c>
      <c r="CL59" s="1117">
        <f t="shared" si="122"/>
        <v>0</v>
      </c>
      <c r="CM59" s="1118"/>
      <c r="CQ59" s="1116">
        <f t="shared" si="123"/>
        <v>202979974</v>
      </c>
      <c r="CR59" s="1117">
        <f t="shared" si="124"/>
        <v>202979974</v>
      </c>
      <c r="CS59" s="1117">
        <f t="shared" si="125"/>
        <v>0</v>
      </c>
      <c r="CT59" s="1117">
        <f t="shared" si="126"/>
        <v>0</v>
      </c>
      <c r="CU59" s="1118"/>
      <c r="CY59" s="1116">
        <f t="shared" si="127"/>
        <v>202979974</v>
      </c>
      <c r="CZ59" s="1117">
        <f t="shared" si="128"/>
        <v>202979974</v>
      </c>
      <c r="DA59" s="1117">
        <f t="shared" si="129"/>
        <v>0</v>
      </c>
      <c r="DB59" s="1117">
        <f t="shared" si="130"/>
        <v>0</v>
      </c>
      <c r="DC59" s="1118"/>
      <c r="DG59" s="1116">
        <f t="shared" si="131"/>
        <v>202979974</v>
      </c>
      <c r="DH59" s="1117">
        <f t="shared" si="132"/>
        <v>202979974</v>
      </c>
      <c r="DI59" s="1117">
        <f t="shared" si="133"/>
        <v>0</v>
      </c>
      <c r="DJ59" s="1117">
        <f t="shared" si="134"/>
        <v>0</v>
      </c>
      <c r="DK59" s="1118"/>
      <c r="DO59" s="1116">
        <f t="shared" si="135"/>
        <v>202979974</v>
      </c>
      <c r="DP59" s="1117">
        <f t="shared" si="136"/>
        <v>202979974</v>
      </c>
      <c r="DQ59" s="1117">
        <f t="shared" si="137"/>
        <v>0</v>
      </c>
      <c r="DR59" s="1117">
        <f t="shared" si="138"/>
        <v>0</v>
      </c>
      <c r="DS59" s="1118"/>
      <c r="DW59" s="1116">
        <f t="shared" si="139"/>
        <v>202979974</v>
      </c>
      <c r="DX59" s="1117">
        <f t="shared" si="140"/>
        <v>202979974</v>
      </c>
      <c r="DY59" s="1117">
        <f t="shared" si="141"/>
        <v>0</v>
      </c>
      <c r="DZ59" s="1117">
        <f t="shared" si="142"/>
        <v>0</v>
      </c>
      <c r="EA59" s="1118"/>
      <c r="EE59" s="1116">
        <f t="shared" si="143"/>
        <v>202979974</v>
      </c>
      <c r="EF59" s="1117">
        <f t="shared" si="144"/>
        <v>202979974</v>
      </c>
      <c r="EG59" s="1117">
        <f t="shared" si="145"/>
        <v>0</v>
      </c>
      <c r="EH59" s="1117">
        <f t="shared" si="146"/>
        <v>0</v>
      </c>
      <c r="EI59" s="1118"/>
      <c r="EM59" s="1116">
        <f t="shared" si="147"/>
        <v>202979974</v>
      </c>
      <c r="EN59" s="1117">
        <f t="shared" si="148"/>
        <v>202979974</v>
      </c>
      <c r="EO59" s="1117">
        <f t="shared" si="149"/>
        <v>0</v>
      </c>
      <c r="EP59" s="1117">
        <f t="shared" si="150"/>
        <v>0</v>
      </c>
      <c r="EQ59" s="1118"/>
      <c r="EU59" s="1116">
        <f t="shared" si="151"/>
        <v>202979974</v>
      </c>
      <c r="EV59" s="1117">
        <f t="shared" si="152"/>
        <v>202979974</v>
      </c>
      <c r="EW59" s="1117">
        <f t="shared" si="153"/>
        <v>0</v>
      </c>
      <c r="EX59" s="1117">
        <f t="shared" si="154"/>
        <v>0</v>
      </c>
      <c r="EY59" s="1118"/>
      <c r="FC59" s="1116">
        <f t="shared" si="155"/>
        <v>202979974</v>
      </c>
      <c r="FD59" s="1117">
        <f t="shared" si="156"/>
        <v>202979974</v>
      </c>
      <c r="FE59" s="1117">
        <f t="shared" si="157"/>
        <v>0</v>
      </c>
      <c r="FF59" s="1117">
        <f t="shared" si="158"/>
        <v>0</v>
      </c>
      <c r="FG59" s="1118"/>
      <c r="FK59" s="1116">
        <f t="shared" si="159"/>
        <v>202979974</v>
      </c>
      <c r="FL59" s="1117">
        <f t="shared" si="160"/>
        <v>202979974</v>
      </c>
      <c r="FM59" s="1117">
        <f t="shared" si="161"/>
        <v>0</v>
      </c>
      <c r="FN59" s="1117">
        <f t="shared" si="162"/>
        <v>0</v>
      </c>
      <c r="FO59" s="1118"/>
    </row>
    <row r="60" spans="1:171">
      <c r="A60" s="1423"/>
      <c r="B60" s="913" t="s">
        <v>137</v>
      </c>
      <c r="C60" s="888">
        <v>219</v>
      </c>
      <c r="D60" s="888">
        <v>108</v>
      </c>
      <c r="E60" s="182" t="str">
        <f>'Sch 1- Rate Base '!E60</f>
        <v>PROD</v>
      </c>
      <c r="F60" s="889"/>
      <c r="G60" s="182">
        <f>'Sch 1- Rate Base '!G60</f>
        <v>177969738</v>
      </c>
      <c r="H60" s="182">
        <f>'Sch 1- Rate Base '!H60</f>
        <v>177969738</v>
      </c>
      <c r="I60" s="182">
        <f>'Sch 1- Rate Base '!I60</f>
        <v>0</v>
      </c>
      <c r="J60" s="1424">
        <f>'Sch 1- Rate Base '!J60</f>
        <v>0</v>
      </c>
      <c r="K60" s="903">
        <f t="shared" si="82"/>
        <v>1</v>
      </c>
      <c r="O60" s="1116">
        <f t="shared" si="83"/>
        <v>177969738</v>
      </c>
      <c r="P60" s="1117">
        <f t="shared" si="84"/>
        <v>177969738</v>
      </c>
      <c r="Q60" s="1117">
        <f t="shared" si="85"/>
        <v>0</v>
      </c>
      <c r="R60" s="1117">
        <f t="shared" si="86"/>
        <v>0</v>
      </c>
      <c r="S60" s="1118"/>
      <c r="W60" s="1116">
        <f t="shared" si="87"/>
        <v>177969738</v>
      </c>
      <c r="X60" s="1117">
        <f t="shared" si="88"/>
        <v>177969738</v>
      </c>
      <c r="Y60" s="1117">
        <f t="shared" si="89"/>
        <v>0</v>
      </c>
      <c r="Z60" s="1117">
        <f t="shared" si="90"/>
        <v>0</v>
      </c>
      <c r="AA60" s="1118"/>
      <c r="AE60" s="1116">
        <f t="shared" si="91"/>
        <v>177969738</v>
      </c>
      <c r="AF60" s="1117">
        <f t="shared" si="92"/>
        <v>177969738</v>
      </c>
      <c r="AG60" s="1117">
        <f t="shared" si="93"/>
        <v>0</v>
      </c>
      <c r="AH60" s="1117">
        <f t="shared" si="94"/>
        <v>0</v>
      </c>
      <c r="AI60" s="1118"/>
      <c r="AM60" s="1116">
        <f t="shared" si="95"/>
        <v>177969738</v>
      </c>
      <c r="AN60" s="1117">
        <f t="shared" si="96"/>
        <v>177969738</v>
      </c>
      <c r="AO60" s="1117">
        <f t="shared" si="97"/>
        <v>0</v>
      </c>
      <c r="AP60" s="1117">
        <f t="shared" si="98"/>
        <v>0</v>
      </c>
      <c r="AQ60" s="1118"/>
      <c r="AU60" s="1116">
        <f t="shared" si="99"/>
        <v>177969738</v>
      </c>
      <c r="AV60" s="1117">
        <f t="shared" si="100"/>
        <v>177969738</v>
      </c>
      <c r="AW60" s="1117">
        <f t="shared" si="101"/>
        <v>0</v>
      </c>
      <c r="AX60" s="1117">
        <f t="shared" si="102"/>
        <v>0</v>
      </c>
      <c r="AY60" s="1118"/>
      <c r="BC60" s="1116">
        <f t="shared" si="103"/>
        <v>177969738</v>
      </c>
      <c r="BD60" s="1117">
        <f t="shared" si="104"/>
        <v>177969738</v>
      </c>
      <c r="BE60" s="1117">
        <f t="shared" si="105"/>
        <v>0</v>
      </c>
      <c r="BF60" s="1117">
        <f t="shared" si="106"/>
        <v>0</v>
      </c>
      <c r="BG60" s="1118"/>
      <c r="BK60" s="1116">
        <f t="shared" si="107"/>
        <v>177969738</v>
      </c>
      <c r="BL60" s="1117">
        <f t="shared" si="108"/>
        <v>177969738</v>
      </c>
      <c r="BM60" s="1117">
        <f t="shared" si="109"/>
        <v>0</v>
      </c>
      <c r="BN60" s="1117">
        <f t="shared" si="110"/>
        <v>0</v>
      </c>
      <c r="BO60" s="1118"/>
      <c r="BS60" s="1116">
        <f t="shared" si="111"/>
        <v>177969738</v>
      </c>
      <c r="BT60" s="1117">
        <f t="shared" si="112"/>
        <v>177969738</v>
      </c>
      <c r="BU60" s="1117">
        <f t="shared" si="113"/>
        <v>0</v>
      </c>
      <c r="BV60" s="1117">
        <f t="shared" si="114"/>
        <v>0</v>
      </c>
      <c r="BW60" s="1118"/>
      <c r="CA60" s="1116">
        <f t="shared" si="115"/>
        <v>177969738</v>
      </c>
      <c r="CB60" s="1117">
        <f t="shared" si="116"/>
        <v>177969738</v>
      </c>
      <c r="CC60" s="1117">
        <f t="shared" si="117"/>
        <v>0</v>
      </c>
      <c r="CD60" s="1117">
        <f t="shared" si="118"/>
        <v>0</v>
      </c>
      <c r="CE60" s="1118"/>
      <c r="CI60" s="1116">
        <f t="shared" si="119"/>
        <v>177969738</v>
      </c>
      <c r="CJ60" s="1117">
        <f t="shared" si="120"/>
        <v>177969738</v>
      </c>
      <c r="CK60" s="1117">
        <f t="shared" si="121"/>
        <v>0</v>
      </c>
      <c r="CL60" s="1117">
        <f t="shared" si="122"/>
        <v>0</v>
      </c>
      <c r="CM60" s="1118"/>
      <c r="CQ60" s="1116">
        <f t="shared" si="123"/>
        <v>177969738</v>
      </c>
      <c r="CR60" s="1117">
        <f t="shared" si="124"/>
        <v>177969738</v>
      </c>
      <c r="CS60" s="1117">
        <f t="shared" si="125"/>
        <v>0</v>
      </c>
      <c r="CT60" s="1117">
        <f t="shared" si="126"/>
        <v>0</v>
      </c>
      <c r="CU60" s="1118"/>
      <c r="CY60" s="1116">
        <f t="shared" si="127"/>
        <v>177969738</v>
      </c>
      <c r="CZ60" s="1117">
        <f t="shared" si="128"/>
        <v>177969738</v>
      </c>
      <c r="DA60" s="1117">
        <f t="shared" si="129"/>
        <v>0</v>
      </c>
      <c r="DB60" s="1117">
        <f t="shared" si="130"/>
        <v>0</v>
      </c>
      <c r="DC60" s="1118"/>
      <c r="DG60" s="1116">
        <f t="shared" si="131"/>
        <v>177969738</v>
      </c>
      <c r="DH60" s="1117">
        <f t="shared" si="132"/>
        <v>177969738</v>
      </c>
      <c r="DI60" s="1117">
        <f t="shared" si="133"/>
        <v>0</v>
      </c>
      <c r="DJ60" s="1117">
        <f t="shared" si="134"/>
        <v>0</v>
      </c>
      <c r="DK60" s="1118"/>
      <c r="DO60" s="1116">
        <f t="shared" si="135"/>
        <v>177969738</v>
      </c>
      <c r="DP60" s="1117">
        <f t="shared" si="136"/>
        <v>177969738</v>
      </c>
      <c r="DQ60" s="1117">
        <f t="shared" si="137"/>
        <v>0</v>
      </c>
      <c r="DR60" s="1117">
        <f t="shared" si="138"/>
        <v>0</v>
      </c>
      <c r="DS60" s="1118"/>
      <c r="DW60" s="1116">
        <f t="shared" si="139"/>
        <v>177969738</v>
      </c>
      <c r="DX60" s="1117">
        <f t="shared" si="140"/>
        <v>177969738</v>
      </c>
      <c r="DY60" s="1117">
        <f t="shared" si="141"/>
        <v>0</v>
      </c>
      <c r="DZ60" s="1117">
        <f t="shared" si="142"/>
        <v>0</v>
      </c>
      <c r="EA60" s="1118"/>
      <c r="EE60" s="1116">
        <f t="shared" si="143"/>
        <v>177969738</v>
      </c>
      <c r="EF60" s="1117">
        <f t="shared" si="144"/>
        <v>177969738</v>
      </c>
      <c r="EG60" s="1117">
        <f t="shared" si="145"/>
        <v>0</v>
      </c>
      <c r="EH60" s="1117">
        <f t="shared" si="146"/>
        <v>0</v>
      </c>
      <c r="EI60" s="1118"/>
      <c r="EM60" s="1116">
        <f t="shared" si="147"/>
        <v>177969738</v>
      </c>
      <c r="EN60" s="1117">
        <f t="shared" si="148"/>
        <v>177969738</v>
      </c>
      <c r="EO60" s="1117">
        <f t="shared" si="149"/>
        <v>0</v>
      </c>
      <c r="EP60" s="1117">
        <f t="shared" si="150"/>
        <v>0</v>
      </c>
      <c r="EQ60" s="1118"/>
      <c r="EU60" s="1116">
        <f t="shared" si="151"/>
        <v>177969738</v>
      </c>
      <c r="EV60" s="1117">
        <f t="shared" si="152"/>
        <v>177969738</v>
      </c>
      <c r="EW60" s="1117">
        <f t="shared" si="153"/>
        <v>0</v>
      </c>
      <c r="EX60" s="1117">
        <f t="shared" si="154"/>
        <v>0</v>
      </c>
      <c r="EY60" s="1118"/>
      <c r="FC60" s="1116">
        <f t="shared" si="155"/>
        <v>177969738</v>
      </c>
      <c r="FD60" s="1117">
        <f t="shared" si="156"/>
        <v>177969738</v>
      </c>
      <c r="FE60" s="1117">
        <f t="shared" si="157"/>
        <v>0</v>
      </c>
      <c r="FF60" s="1117">
        <f t="shared" si="158"/>
        <v>0</v>
      </c>
      <c r="FG60" s="1118"/>
      <c r="FK60" s="1116">
        <f t="shared" si="159"/>
        <v>177969738</v>
      </c>
      <c r="FL60" s="1117">
        <f t="shared" si="160"/>
        <v>177969738</v>
      </c>
      <c r="FM60" s="1117">
        <f t="shared" si="161"/>
        <v>0</v>
      </c>
      <c r="FN60" s="1117">
        <f t="shared" si="162"/>
        <v>0</v>
      </c>
      <c r="FO60" s="1118"/>
    </row>
    <row r="61" spans="1:171">
      <c r="A61" s="1423"/>
      <c r="B61" s="913" t="s">
        <v>143</v>
      </c>
      <c r="C61" s="888">
        <v>219</v>
      </c>
      <c r="D61" s="888">
        <v>108</v>
      </c>
      <c r="E61" s="182" t="str">
        <f>'Sch 1- Rate Base '!E61</f>
        <v>TRANS</v>
      </c>
      <c r="F61" s="889"/>
      <c r="G61" s="182">
        <f>'Sch 1- Rate Base '!G61</f>
        <v>285851148</v>
      </c>
      <c r="H61" s="182">
        <f>'Sch 1- Rate Base '!H61</f>
        <v>0</v>
      </c>
      <c r="I61" s="182">
        <f>'Sch 1- Rate Base '!I61</f>
        <v>0</v>
      </c>
      <c r="J61" s="1424">
        <f>'Sch 1- Rate Base '!J61</f>
        <v>285851148</v>
      </c>
      <c r="K61" s="903">
        <f t="shared" si="82"/>
        <v>1</v>
      </c>
      <c r="O61" s="1116">
        <f t="shared" si="83"/>
        <v>285851148</v>
      </c>
      <c r="P61" s="1117">
        <f t="shared" si="84"/>
        <v>0</v>
      </c>
      <c r="Q61" s="1117">
        <f t="shared" si="85"/>
        <v>285851148</v>
      </c>
      <c r="R61" s="1117">
        <f t="shared" si="86"/>
        <v>0</v>
      </c>
      <c r="S61" s="1118"/>
      <c r="W61" s="1116">
        <f t="shared" si="87"/>
        <v>285851148</v>
      </c>
      <c r="X61" s="1117">
        <f t="shared" si="88"/>
        <v>0</v>
      </c>
      <c r="Y61" s="1117">
        <f t="shared" si="89"/>
        <v>285851148</v>
      </c>
      <c r="Z61" s="1117">
        <f t="shared" si="90"/>
        <v>0</v>
      </c>
      <c r="AA61" s="1118"/>
      <c r="AE61" s="1116">
        <f t="shared" si="91"/>
        <v>285851148</v>
      </c>
      <c r="AF61" s="1117">
        <f t="shared" si="92"/>
        <v>0</v>
      </c>
      <c r="AG61" s="1117">
        <f t="shared" si="93"/>
        <v>285851148</v>
      </c>
      <c r="AH61" s="1117">
        <f t="shared" si="94"/>
        <v>0</v>
      </c>
      <c r="AI61" s="1118"/>
      <c r="AM61" s="1116">
        <f t="shared" si="95"/>
        <v>285851148</v>
      </c>
      <c r="AN61" s="1117">
        <f t="shared" si="96"/>
        <v>0</v>
      </c>
      <c r="AO61" s="1117">
        <f t="shared" si="97"/>
        <v>285851148</v>
      </c>
      <c r="AP61" s="1117">
        <f t="shared" si="98"/>
        <v>0</v>
      </c>
      <c r="AQ61" s="1118"/>
      <c r="AU61" s="1116">
        <f t="shared" si="99"/>
        <v>285851148</v>
      </c>
      <c r="AV61" s="1117">
        <f t="shared" si="100"/>
        <v>0</v>
      </c>
      <c r="AW61" s="1117">
        <f t="shared" si="101"/>
        <v>285851148</v>
      </c>
      <c r="AX61" s="1117">
        <f t="shared" si="102"/>
        <v>0</v>
      </c>
      <c r="AY61" s="1118"/>
      <c r="BC61" s="1116">
        <f t="shared" si="103"/>
        <v>285851148</v>
      </c>
      <c r="BD61" s="1117">
        <f t="shared" si="104"/>
        <v>0</v>
      </c>
      <c r="BE61" s="1117">
        <f t="shared" si="105"/>
        <v>285851148</v>
      </c>
      <c r="BF61" s="1117">
        <f t="shared" si="106"/>
        <v>0</v>
      </c>
      <c r="BG61" s="1118"/>
      <c r="BK61" s="1116">
        <f t="shared" si="107"/>
        <v>285851148</v>
      </c>
      <c r="BL61" s="1117">
        <f t="shared" si="108"/>
        <v>0</v>
      </c>
      <c r="BM61" s="1117">
        <f t="shared" si="109"/>
        <v>285851148</v>
      </c>
      <c r="BN61" s="1117">
        <f t="shared" si="110"/>
        <v>0</v>
      </c>
      <c r="BO61" s="1118"/>
      <c r="BS61" s="1116">
        <f t="shared" si="111"/>
        <v>285851148</v>
      </c>
      <c r="BT61" s="1117">
        <f t="shared" si="112"/>
        <v>0</v>
      </c>
      <c r="BU61" s="1117">
        <f t="shared" si="113"/>
        <v>285851148</v>
      </c>
      <c r="BV61" s="1117">
        <f t="shared" si="114"/>
        <v>0</v>
      </c>
      <c r="BW61" s="1118"/>
      <c r="CA61" s="1116">
        <f t="shared" si="115"/>
        <v>285851148</v>
      </c>
      <c r="CB61" s="1117">
        <f t="shared" si="116"/>
        <v>0</v>
      </c>
      <c r="CC61" s="1117">
        <f t="shared" si="117"/>
        <v>285851148</v>
      </c>
      <c r="CD61" s="1117">
        <f t="shared" si="118"/>
        <v>0</v>
      </c>
      <c r="CE61" s="1118"/>
      <c r="CI61" s="1116">
        <f t="shared" si="119"/>
        <v>285851148</v>
      </c>
      <c r="CJ61" s="1117">
        <f t="shared" si="120"/>
        <v>0</v>
      </c>
      <c r="CK61" s="1117">
        <f t="shared" si="121"/>
        <v>285851148</v>
      </c>
      <c r="CL61" s="1117">
        <f t="shared" si="122"/>
        <v>0</v>
      </c>
      <c r="CM61" s="1118"/>
      <c r="CQ61" s="1116">
        <f t="shared" si="123"/>
        <v>285851148</v>
      </c>
      <c r="CR61" s="1117">
        <f t="shared" si="124"/>
        <v>0</v>
      </c>
      <c r="CS61" s="1117">
        <f t="shared" si="125"/>
        <v>285851148</v>
      </c>
      <c r="CT61" s="1117">
        <f t="shared" si="126"/>
        <v>0</v>
      </c>
      <c r="CU61" s="1118"/>
      <c r="CY61" s="1116">
        <f t="shared" si="127"/>
        <v>285851148</v>
      </c>
      <c r="CZ61" s="1117">
        <f t="shared" si="128"/>
        <v>0</v>
      </c>
      <c r="DA61" s="1117">
        <f t="shared" si="129"/>
        <v>285851148</v>
      </c>
      <c r="DB61" s="1117">
        <f t="shared" si="130"/>
        <v>0</v>
      </c>
      <c r="DC61" s="1118"/>
      <c r="DG61" s="1116">
        <f t="shared" si="131"/>
        <v>285851148</v>
      </c>
      <c r="DH61" s="1117">
        <f t="shared" si="132"/>
        <v>0</v>
      </c>
      <c r="DI61" s="1117">
        <f t="shared" si="133"/>
        <v>285851148</v>
      </c>
      <c r="DJ61" s="1117">
        <f t="shared" si="134"/>
        <v>0</v>
      </c>
      <c r="DK61" s="1118"/>
      <c r="DO61" s="1116">
        <f t="shared" si="135"/>
        <v>285851148</v>
      </c>
      <c r="DP61" s="1117">
        <f t="shared" si="136"/>
        <v>0</v>
      </c>
      <c r="DQ61" s="1117">
        <f t="shared" si="137"/>
        <v>285851148</v>
      </c>
      <c r="DR61" s="1117">
        <f t="shared" si="138"/>
        <v>0</v>
      </c>
      <c r="DS61" s="1118"/>
      <c r="DW61" s="1116">
        <f t="shared" si="139"/>
        <v>285851148</v>
      </c>
      <c r="DX61" s="1117">
        <f t="shared" si="140"/>
        <v>0</v>
      </c>
      <c r="DY61" s="1117">
        <f t="shared" si="141"/>
        <v>285851148</v>
      </c>
      <c r="DZ61" s="1117">
        <f t="shared" si="142"/>
        <v>0</v>
      </c>
      <c r="EA61" s="1118"/>
      <c r="EE61" s="1116">
        <f t="shared" si="143"/>
        <v>285851148</v>
      </c>
      <c r="EF61" s="1117">
        <f t="shared" si="144"/>
        <v>0</v>
      </c>
      <c r="EG61" s="1117">
        <f t="shared" si="145"/>
        <v>285851148</v>
      </c>
      <c r="EH61" s="1117">
        <f t="shared" si="146"/>
        <v>0</v>
      </c>
      <c r="EI61" s="1118"/>
      <c r="EM61" s="1116">
        <f t="shared" si="147"/>
        <v>285851148</v>
      </c>
      <c r="EN61" s="1117">
        <f t="shared" si="148"/>
        <v>0</v>
      </c>
      <c r="EO61" s="1117">
        <f t="shared" si="149"/>
        <v>285851148</v>
      </c>
      <c r="EP61" s="1117">
        <f t="shared" si="150"/>
        <v>0</v>
      </c>
      <c r="EQ61" s="1118"/>
      <c r="EU61" s="1116">
        <f t="shared" si="151"/>
        <v>285851148</v>
      </c>
      <c r="EV61" s="1117">
        <f t="shared" si="152"/>
        <v>0</v>
      </c>
      <c r="EW61" s="1117">
        <f t="shared" si="153"/>
        <v>285851148</v>
      </c>
      <c r="EX61" s="1117">
        <f t="shared" si="154"/>
        <v>0</v>
      </c>
      <c r="EY61" s="1118"/>
      <c r="FC61" s="1116">
        <f t="shared" si="155"/>
        <v>285851148</v>
      </c>
      <c r="FD61" s="1117">
        <f t="shared" si="156"/>
        <v>0</v>
      </c>
      <c r="FE61" s="1117">
        <f t="shared" si="157"/>
        <v>285851148</v>
      </c>
      <c r="FF61" s="1117">
        <f t="shared" si="158"/>
        <v>0</v>
      </c>
      <c r="FG61" s="1118"/>
      <c r="FK61" s="1116">
        <f t="shared" si="159"/>
        <v>285851148</v>
      </c>
      <c r="FL61" s="1117">
        <f t="shared" si="160"/>
        <v>0</v>
      </c>
      <c r="FM61" s="1117">
        <f t="shared" si="161"/>
        <v>285851148</v>
      </c>
      <c r="FN61" s="1117">
        <f t="shared" si="162"/>
        <v>0</v>
      </c>
      <c r="FO61" s="1118"/>
    </row>
    <row r="62" spans="1:171">
      <c r="A62" s="1423"/>
      <c r="B62" s="913" t="s">
        <v>474</v>
      </c>
      <c r="C62" s="888">
        <v>219</v>
      </c>
      <c r="D62" s="888">
        <v>108</v>
      </c>
      <c r="E62" s="182" t="str">
        <f>'Sch 1- Rate Base '!E62</f>
        <v>DIST</v>
      </c>
      <c r="F62" s="889"/>
      <c r="G62" s="182">
        <f>'Sch 1- Rate Base '!G62</f>
        <v>788670773</v>
      </c>
      <c r="H62" s="182">
        <f>'Sch 1- Rate Base '!H62</f>
        <v>0</v>
      </c>
      <c r="I62" s="182">
        <f>'Sch 1- Rate Base '!I62</f>
        <v>0</v>
      </c>
      <c r="J62" s="1424">
        <f>'Sch 1- Rate Base '!J62</f>
        <v>788670773</v>
      </c>
      <c r="K62" s="903">
        <f t="shared" si="82"/>
        <v>1</v>
      </c>
      <c r="O62" s="1116">
        <f t="shared" si="83"/>
        <v>788670773</v>
      </c>
      <c r="P62" s="1117">
        <f t="shared" si="84"/>
        <v>0</v>
      </c>
      <c r="Q62" s="1117">
        <f t="shared" si="85"/>
        <v>0</v>
      </c>
      <c r="R62" s="1117">
        <f t="shared" si="86"/>
        <v>788670773</v>
      </c>
      <c r="S62" s="1118"/>
      <c r="W62" s="1116">
        <f t="shared" si="87"/>
        <v>788670773</v>
      </c>
      <c r="X62" s="1117">
        <f t="shared" si="88"/>
        <v>0</v>
      </c>
      <c r="Y62" s="1117">
        <f t="shared" si="89"/>
        <v>0</v>
      </c>
      <c r="Z62" s="1117">
        <f t="shared" si="90"/>
        <v>788670773</v>
      </c>
      <c r="AA62" s="1118"/>
      <c r="AE62" s="1116">
        <f t="shared" si="91"/>
        <v>788670773</v>
      </c>
      <c r="AF62" s="1117">
        <f t="shared" si="92"/>
        <v>0</v>
      </c>
      <c r="AG62" s="1117">
        <f t="shared" si="93"/>
        <v>0</v>
      </c>
      <c r="AH62" s="1117">
        <f t="shared" si="94"/>
        <v>788670773</v>
      </c>
      <c r="AI62" s="1118"/>
      <c r="AM62" s="1116">
        <f t="shared" si="95"/>
        <v>788670773</v>
      </c>
      <c r="AN62" s="1117">
        <f t="shared" si="96"/>
        <v>0</v>
      </c>
      <c r="AO62" s="1117">
        <f t="shared" si="97"/>
        <v>0</v>
      </c>
      <c r="AP62" s="1117">
        <f t="shared" si="98"/>
        <v>788670773</v>
      </c>
      <c r="AQ62" s="1118"/>
      <c r="AU62" s="1116">
        <f t="shared" si="99"/>
        <v>788670773</v>
      </c>
      <c r="AV62" s="1117">
        <f t="shared" si="100"/>
        <v>0</v>
      </c>
      <c r="AW62" s="1117">
        <f t="shared" si="101"/>
        <v>0</v>
      </c>
      <c r="AX62" s="1117">
        <f t="shared" si="102"/>
        <v>788670773</v>
      </c>
      <c r="AY62" s="1118"/>
      <c r="BC62" s="1116">
        <f t="shared" si="103"/>
        <v>788670773</v>
      </c>
      <c r="BD62" s="1117">
        <f t="shared" si="104"/>
        <v>0</v>
      </c>
      <c r="BE62" s="1117">
        <f t="shared" si="105"/>
        <v>0</v>
      </c>
      <c r="BF62" s="1117">
        <f t="shared" si="106"/>
        <v>788670773</v>
      </c>
      <c r="BG62" s="1118"/>
      <c r="BK62" s="1116">
        <f t="shared" si="107"/>
        <v>788670773</v>
      </c>
      <c r="BL62" s="1117">
        <f t="shared" si="108"/>
        <v>0</v>
      </c>
      <c r="BM62" s="1117">
        <f t="shared" si="109"/>
        <v>0</v>
      </c>
      <c r="BN62" s="1117">
        <f t="shared" si="110"/>
        <v>788670773</v>
      </c>
      <c r="BO62" s="1118"/>
      <c r="BS62" s="1116">
        <f t="shared" si="111"/>
        <v>788670773</v>
      </c>
      <c r="BT62" s="1117">
        <f t="shared" si="112"/>
        <v>0</v>
      </c>
      <c r="BU62" s="1117">
        <f t="shared" si="113"/>
        <v>0</v>
      </c>
      <c r="BV62" s="1117">
        <f t="shared" si="114"/>
        <v>788670773</v>
      </c>
      <c r="BW62" s="1118"/>
      <c r="CA62" s="1116">
        <f t="shared" si="115"/>
        <v>788670773</v>
      </c>
      <c r="CB62" s="1117">
        <f t="shared" si="116"/>
        <v>0</v>
      </c>
      <c r="CC62" s="1117">
        <f t="shared" si="117"/>
        <v>0</v>
      </c>
      <c r="CD62" s="1117">
        <f t="shared" si="118"/>
        <v>788670773</v>
      </c>
      <c r="CE62" s="1118"/>
      <c r="CI62" s="1116">
        <f t="shared" si="119"/>
        <v>788670773</v>
      </c>
      <c r="CJ62" s="1117">
        <f t="shared" si="120"/>
        <v>0</v>
      </c>
      <c r="CK62" s="1117">
        <f t="shared" si="121"/>
        <v>0</v>
      </c>
      <c r="CL62" s="1117">
        <f t="shared" si="122"/>
        <v>788670773</v>
      </c>
      <c r="CM62" s="1118"/>
      <c r="CQ62" s="1116">
        <f t="shared" si="123"/>
        <v>788670773</v>
      </c>
      <c r="CR62" s="1117">
        <f t="shared" si="124"/>
        <v>0</v>
      </c>
      <c r="CS62" s="1117">
        <f t="shared" si="125"/>
        <v>0</v>
      </c>
      <c r="CT62" s="1117">
        <f t="shared" si="126"/>
        <v>788670773</v>
      </c>
      <c r="CU62" s="1118"/>
      <c r="CY62" s="1116">
        <f t="shared" si="127"/>
        <v>788670773</v>
      </c>
      <c r="CZ62" s="1117">
        <f t="shared" si="128"/>
        <v>0</v>
      </c>
      <c r="DA62" s="1117">
        <f t="shared" si="129"/>
        <v>0</v>
      </c>
      <c r="DB62" s="1117">
        <f t="shared" si="130"/>
        <v>788670773</v>
      </c>
      <c r="DC62" s="1118"/>
      <c r="DG62" s="1116">
        <f t="shared" si="131"/>
        <v>788670773</v>
      </c>
      <c r="DH62" s="1117">
        <f t="shared" si="132"/>
        <v>0</v>
      </c>
      <c r="DI62" s="1117">
        <f t="shared" si="133"/>
        <v>0</v>
      </c>
      <c r="DJ62" s="1117">
        <f t="shared" si="134"/>
        <v>788670773</v>
      </c>
      <c r="DK62" s="1118"/>
      <c r="DO62" s="1116">
        <f t="shared" si="135"/>
        <v>788670773</v>
      </c>
      <c r="DP62" s="1117">
        <f t="shared" si="136"/>
        <v>0</v>
      </c>
      <c r="DQ62" s="1117">
        <f t="shared" si="137"/>
        <v>0</v>
      </c>
      <c r="DR62" s="1117">
        <f t="shared" si="138"/>
        <v>788670773</v>
      </c>
      <c r="DS62" s="1118"/>
      <c r="DW62" s="1116">
        <f t="shared" si="139"/>
        <v>788670773</v>
      </c>
      <c r="DX62" s="1117">
        <f t="shared" si="140"/>
        <v>0</v>
      </c>
      <c r="DY62" s="1117">
        <f t="shared" si="141"/>
        <v>0</v>
      </c>
      <c r="DZ62" s="1117">
        <f t="shared" si="142"/>
        <v>788670773</v>
      </c>
      <c r="EA62" s="1118"/>
      <c r="EE62" s="1116">
        <f t="shared" si="143"/>
        <v>788670773</v>
      </c>
      <c r="EF62" s="1117">
        <f t="shared" si="144"/>
        <v>0</v>
      </c>
      <c r="EG62" s="1117">
        <f t="shared" si="145"/>
        <v>0</v>
      </c>
      <c r="EH62" s="1117">
        <f t="shared" si="146"/>
        <v>788670773</v>
      </c>
      <c r="EI62" s="1118"/>
      <c r="EM62" s="1116">
        <f t="shared" si="147"/>
        <v>788670773</v>
      </c>
      <c r="EN62" s="1117">
        <f t="shared" si="148"/>
        <v>0</v>
      </c>
      <c r="EO62" s="1117">
        <f t="shared" si="149"/>
        <v>0</v>
      </c>
      <c r="EP62" s="1117">
        <f t="shared" si="150"/>
        <v>788670773</v>
      </c>
      <c r="EQ62" s="1118"/>
      <c r="EU62" s="1116">
        <f t="shared" si="151"/>
        <v>788670773</v>
      </c>
      <c r="EV62" s="1117">
        <f t="shared" si="152"/>
        <v>0</v>
      </c>
      <c r="EW62" s="1117">
        <f t="shared" si="153"/>
        <v>0</v>
      </c>
      <c r="EX62" s="1117">
        <f t="shared" si="154"/>
        <v>788670773</v>
      </c>
      <c r="EY62" s="1118"/>
      <c r="FC62" s="1116">
        <f t="shared" si="155"/>
        <v>788670773</v>
      </c>
      <c r="FD62" s="1117">
        <f t="shared" si="156"/>
        <v>0</v>
      </c>
      <c r="FE62" s="1117">
        <f t="shared" si="157"/>
        <v>0</v>
      </c>
      <c r="FF62" s="1117">
        <f t="shared" si="158"/>
        <v>788670773</v>
      </c>
      <c r="FG62" s="1118"/>
      <c r="FK62" s="1116">
        <f t="shared" si="159"/>
        <v>788670773</v>
      </c>
      <c r="FL62" s="1117">
        <f t="shared" si="160"/>
        <v>0</v>
      </c>
      <c r="FM62" s="1117">
        <f t="shared" si="161"/>
        <v>0</v>
      </c>
      <c r="FN62" s="1117">
        <f t="shared" si="162"/>
        <v>788670773</v>
      </c>
      <c r="FO62" s="1118"/>
    </row>
    <row r="63" spans="1:171">
      <c r="A63" s="1423"/>
      <c r="B63" s="913" t="s">
        <v>92</v>
      </c>
      <c r="C63" s="888">
        <v>219</v>
      </c>
      <c r="D63" s="888">
        <v>108</v>
      </c>
      <c r="E63" s="182" t="str">
        <f>'Sch 1- Rate Base '!E63</f>
        <v>GP</v>
      </c>
      <c r="F63" s="889"/>
      <c r="G63" s="182">
        <f>'Sch 1- Rate Base '!G63</f>
        <v>78045959</v>
      </c>
      <c r="H63" s="182">
        <f>'Sch 1- Rate Base '!H63</f>
        <v>12022265.525896648</v>
      </c>
      <c r="I63" s="182">
        <f>'Sch 1- Rate Base '!I63</f>
        <v>0</v>
      </c>
      <c r="J63" s="1424">
        <f>'Sch 1- Rate Base '!J63</f>
        <v>66023693.474103346</v>
      </c>
      <c r="K63" s="903">
        <f t="shared" si="82"/>
        <v>1</v>
      </c>
      <c r="O63" s="1116">
        <f t="shared" si="83"/>
        <v>78045959</v>
      </c>
      <c r="P63" s="1117">
        <f t="shared" si="84"/>
        <v>12022265.525896648</v>
      </c>
      <c r="Q63" s="1117">
        <f t="shared" si="85"/>
        <v>19939895.743749738</v>
      </c>
      <c r="R63" s="1117">
        <f t="shared" si="86"/>
        <v>46083797.730353624</v>
      </c>
      <c r="S63" s="1118"/>
      <c r="W63" s="1116">
        <f t="shared" si="87"/>
        <v>78045959</v>
      </c>
      <c r="X63" s="1117">
        <f t="shared" si="88"/>
        <v>12022265.525896648</v>
      </c>
      <c r="Y63" s="1117">
        <f t="shared" si="89"/>
        <v>19939895.743749738</v>
      </c>
      <c r="Z63" s="1117">
        <f t="shared" si="90"/>
        <v>46083797.730353624</v>
      </c>
      <c r="AA63" s="1118"/>
      <c r="AE63" s="1116">
        <f t="shared" si="91"/>
        <v>78045959</v>
      </c>
      <c r="AF63" s="1117">
        <f t="shared" si="92"/>
        <v>12022265.525896648</v>
      </c>
      <c r="AG63" s="1117">
        <f t="shared" si="93"/>
        <v>19939895.743749738</v>
      </c>
      <c r="AH63" s="1117">
        <f t="shared" si="94"/>
        <v>46083797.730353624</v>
      </c>
      <c r="AI63" s="1118"/>
      <c r="AM63" s="1116">
        <f t="shared" si="95"/>
        <v>78045959</v>
      </c>
      <c r="AN63" s="1117">
        <f t="shared" si="96"/>
        <v>12022265.525896648</v>
      </c>
      <c r="AO63" s="1117">
        <f t="shared" si="97"/>
        <v>19939895.743749738</v>
      </c>
      <c r="AP63" s="1117">
        <f t="shared" si="98"/>
        <v>46083797.730353624</v>
      </c>
      <c r="AQ63" s="1118"/>
      <c r="AU63" s="1116">
        <f t="shared" si="99"/>
        <v>78045959</v>
      </c>
      <c r="AV63" s="1117">
        <f t="shared" si="100"/>
        <v>12022265.525896648</v>
      </c>
      <c r="AW63" s="1117">
        <f t="shared" si="101"/>
        <v>19939895.743749738</v>
      </c>
      <c r="AX63" s="1117">
        <f t="shared" si="102"/>
        <v>46083797.730353624</v>
      </c>
      <c r="AY63" s="1118"/>
      <c r="BC63" s="1116">
        <f t="shared" si="103"/>
        <v>78045959</v>
      </c>
      <c r="BD63" s="1117">
        <f t="shared" si="104"/>
        <v>12022265.525896648</v>
      </c>
      <c r="BE63" s="1117">
        <f t="shared" si="105"/>
        <v>19939895.743749738</v>
      </c>
      <c r="BF63" s="1117">
        <f t="shared" si="106"/>
        <v>46083797.730353624</v>
      </c>
      <c r="BG63" s="1118"/>
      <c r="BK63" s="1116">
        <f t="shared" si="107"/>
        <v>78045959</v>
      </c>
      <c r="BL63" s="1117">
        <f t="shared" si="108"/>
        <v>12022265.525896648</v>
      </c>
      <c r="BM63" s="1117">
        <f t="shared" si="109"/>
        <v>19939895.743749738</v>
      </c>
      <c r="BN63" s="1117">
        <f t="shared" si="110"/>
        <v>46083797.730353624</v>
      </c>
      <c r="BO63" s="1118"/>
      <c r="BS63" s="1116">
        <f t="shared" si="111"/>
        <v>78045959</v>
      </c>
      <c r="BT63" s="1117">
        <f t="shared" si="112"/>
        <v>12022265.525896648</v>
      </c>
      <c r="BU63" s="1117">
        <f t="shared" si="113"/>
        <v>19939895.743749738</v>
      </c>
      <c r="BV63" s="1117">
        <f t="shared" si="114"/>
        <v>46083797.730353624</v>
      </c>
      <c r="BW63" s="1118"/>
      <c r="CA63" s="1116">
        <f t="shared" si="115"/>
        <v>78045959</v>
      </c>
      <c r="CB63" s="1117">
        <f t="shared" si="116"/>
        <v>12022265.525896648</v>
      </c>
      <c r="CC63" s="1117">
        <f t="shared" si="117"/>
        <v>19939895.743749738</v>
      </c>
      <c r="CD63" s="1117">
        <f t="shared" si="118"/>
        <v>46083797.730353624</v>
      </c>
      <c r="CE63" s="1118"/>
      <c r="CI63" s="1116">
        <f t="shared" si="119"/>
        <v>78045959</v>
      </c>
      <c r="CJ63" s="1117">
        <f t="shared" si="120"/>
        <v>12022265.525896648</v>
      </c>
      <c r="CK63" s="1117">
        <f t="shared" si="121"/>
        <v>19939895.743749738</v>
      </c>
      <c r="CL63" s="1117">
        <f t="shared" si="122"/>
        <v>46083797.730353624</v>
      </c>
      <c r="CM63" s="1118"/>
      <c r="CQ63" s="1116">
        <f t="shared" si="123"/>
        <v>78045959</v>
      </c>
      <c r="CR63" s="1117">
        <f t="shared" si="124"/>
        <v>12022265.525896648</v>
      </c>
      <c r="CS63" s="1117">
        <f t="shared" si="125"/>
        <v>19939895.743749738</v>
      </c>
      <c r="CT63" s="1117">
        <f t="shared" si="126"/>
        <v>46083797.730353624</v>
      </c>
      <c r="CU63" s="1118"/>
      <c r="CY63" s="1116">
        <f t="shared" si="127"/>
        <v>78045959</v>
      </c>
      <c r="CZ63" s="1117">
        <f t="shared" si="128"/>
        <v>12022265.525896648</v>
      </c>
      <c r="DA63" s="1117">
        <f t="shared" si="129"/>
        <v>19939895.743749738</v>
      </c>
      <c r="DB63" s="1117">
        <f t="shared" si="130"/>
        <v>46083797.730353624</v>
      </c>
      <c r="DC63" s="1118"/>
      <c r="DG63" s="1116">
        <f t="shared" si="131"/>
        <v>78045959</v>
      </c>
      <c r="DH63" s="1117">
        <f t="shared" si="132"/>
        <v>12022265.525896648</v>
      </c>
      <c r="DI63" s="1117">
        <f t="shared" si="133"/>
        <v>19939895.743749738</v>
      </c>
      <c r="DJ63" s="1117">
        <f t="shared" si="134"/>
        <v>46083797.730353624</v>
      </c>
      <c r="DK63" s="1118"/>
      <c r="DO63" s="1116">
        <f t="shared" si="135"/>
        <v>78045959</v>
      </c>
      <c r="DP63" s="1117">
        <f t="shared" si="136"/>
        <v>12022265.525896648</v>
      </c>
      <c r="DQ63" s="1117">
        <f t="shared" si="137"/>
        <v>19939895.743749738</v>
      </c>
      <c r="DR63" s="1117">
        <f t="shared" si="138"/>
        <v>46083797.730353624</v>
      </c>
      <c r="DS63" s="1118"/>
      <c r="DW63" s="1116">
        <f t="shared" si="139"/>
        <v>78045959</v>
      </c>
      <c r="DX63" s="1117">
        <f t="shared" si="140"/>
        <v>12022265.525896648</v>
      </c>
      <c r="DY63" s="1117">
        <f t="shared" si="141"/>
        <v>19939895.743749738</v>
      </c>
      <c r="DZ63" s="1117">
        <f t="shared" si="142"/>
        <v>46083797.730353624</v>
      </c>
      <c r="EA63" s="1118"/>
      <c r="EE63" s="1116">
        <f t="shared" si="143"/>
        <v>78045959</v>
      </c>
      <c r="EF63" s="1117">
        <f t="shared" si="144"/>
        <v>12022265.525896648</v>
      </c>
      <c r="EG63" s="1117">
        <f t="shared" si="145"/>
        <v>19939895.743749738</v>
      </c>
      <c r="EH63" s="1117">
        <f t="shared" si="146"/>
        <v>46083797.730353624</v>
      </c>
      <c r="EI63" s="1118"/>
      <c r="EM63" s="1116">
        <f t="shared" si="147"/>
        <v>78045959</v>
      </c>
      <c r="EN63" s="1117">
        <f t="shared" si="148"/>
        <v>12022265.525896648</v>
      </c>
      <c r="EO63" s="1117">
        <f t="shared" si="149"/>
        <v>19939895.743749738</v>
      </c>
      <c r="EP63" s="1117">
        <f t="shared" si="150"/>
        <v>46083797.730353624</v>
      </c>
      <c r="EQ63" s="1118"/>
      <c r="EU63" s="1116">
        <f t="shared" si="151"/>
        <v>78045959</v>
      </c>
      <c r="EV63" s="1117">
        <f t="shared" si="152"/>
        <v>12022265.525896648</v>
      </c>
      <c r="EW63" s="1117">
        <f t="shared" si="153"/>
        <v>19939895.743749738</v>
      </c>
      <c r="EX63" s="1117">
        <f t="shared" si="154"/>
        <v>46083797.730353624</v>
      </c>
      <c r="EY63" s="1118"/>
      <c r="FC63" s="1116">
        <f t="shared" si="155"/>
        <v>78045959</v>
      </c>
      <c r="FD63" s="1117">
        <f t="shared" si="156"/>
        <v>12022265.525896648</v>
      </c>
      <c r="FE63" s="1117">
        <f t="shared" si="157"/>
        <v>19939895.743749738</v>
      </c>
      <c r="FF63" s="1117">
        <f t="shared" si="158"/>
        <v>46083797.730353624</v>
      </c>
      <c r="FG63" s="1118"/>
      <c r="FK63" s="1116">
        <f t="shared" si="159"/>
        <v>78045959</v>
      </c>
      <c r="FL63" s="1117">
        <f t="shared" si="160"/>
        <v>12022265.525896648</v>
      </c>
      <c r="FM63" s="1117">
        <f t="shared" si="161"/>
        <v>19939895.743749738</v>
      </c>
      <c r="FN63" s="1117">
        <f t="shared" si="162"/>
        <v>46083797.730353624</v>
      </c>
      <c r="FO63" s="1118"/>
    </row>
    <row r="64" spans="1:171">
      <c r="A64" s="1423"/>
      <c r="B64" s="913" t="s">
        <v>373</v>
      </c>
      <c r="C64" s="888">
        <v>219</v>
      </c>
      <c r="D64" s="888">
        <v>108</v>
      </c>
      <c r="E64" s="182" t="str">
        <f>'Sch 1- Rate Base '!E64</f>
        <v>DIST</v>
      </c>
      <c r="F64" s="889"/>
      <c r="G64" s="182">
        <f>'Sch 1- Rate Base '!G64</f>
        <v>0</v>
      </c>
      <c r="H64" s="182">
        <f>'Sch 1- Rate Base '!H64</f>
        <v>0</v>
      </c>
      <c r="I64" s="182">
        <f>'Sch 1- Rate Base '!I64</f>
        <v>0</v>
      </c>
      <c r="J64" s="1424">
        <f>'Sch 1- Rate Base '!J64</f>
        <v>0</v>
      </c>
      <c r="K64" s="903">
        <f t="shared" si="82"/>
        <v>1</v>
      </c>
      <c r="O64" s="1116">
        <f t="shared" si="83"/>
        <v>0</v>
      </c>
      <c r="P64" s="1117">
        <f t="shared" si="84"/>
        <v>0</v>
      </c>
      <c r="Q64" s="1117">
        <f t="shared" si="85"/>
        <v>0</v>
      </c>
      <c r="R64" s="1117">
        <f t="shared" si="86"/>
        <v>0</v>
      </c>
      <c r="S64" s="1118"/>
      <c r="W64" s="1116">
        <f t="shared" si="87"/>
        <v>0</v>
      </c>
      <c r="X64" s="1117">
        <f t="shared" si="88"/>
        <v>0</v>
      </c>
      <c r="Y64" s="1117">
        <f t="shared" si="89"/>
        <v>0</v>
      </c>
      <c r="Z64" s="1117">
        <f t="shared" si="90"/>
        <v>0</v>
      </c>
      <c r="AA64" s="1118"/>
      <c r="AE64" s="1116">
        <f t="shared" si="91"/>
        <v>0</v>
      </c>
      <c r="AF64" s="1117">
        <f t="shared" si="92"/>
        <v>0</v>
      </c>
      <c r="AG64" s="1117">
        <f t="shared" si="93"/>
        <v>0</v>
      </c>
      <c r="AH64" s="1117">
        <f t="shared" si="94"/>
        <v>0</v>
      </c>
      <c r="AI64" s="1118"/>
      <c r="AM64" s="1116">
        <f t="shared" si="95"/>
        <v>0</v>
      </c>
      <c r="AN64" s="1117">
        <f t="shared" si="96"/>
        <v>0</v>
      </c>
      <c r="AO64" s="1117">
        <f t="shared" si="97"/>
        <v>0</v>
      </c>
      <c r="AP64" s="1117">
        <f t="shared" si="98"/>
        <v>0</v>
      </c>
      <c r="AQ64" s="1118"/>
      <c r="AU64" s="1116">
        <f t="shared" si="99"/>
        <v>0</v>
      </c>
      <c r="AV64" s="1117">
        <f t="shared" si="100"/>
        <v>0</v>
      </c>
      <c r="AW64" s="1117">
        <f t="shared" si="101"/>
        <v>0</v>
      </c>
      <c r="AX64" s="1117">
        <f t="shared" si="102"/>
        <v>0</v>
      </c>
      <c r="AY64" s="1118"/>
      <c r="BC64" s="1116">
        <f t="shared" si="103"/>
        <v>0</v>
      </c>
      <c r="BD64" s="1117">
        <f t="shared" si="104"/>
        <v>0</v>
      </c>
      <c r="BE64" s="1117">
        <f t="shared" si="105"/>
        <v>0</v>
      </c>
      <c r="BF64" s="1117">
        <f t="shared" si="106"/>
        <v>0</v>
      </c>
      <c r="BG64" s="1118"/>
      <c r="BK64" s="1116">
        <f t="shared" si="107"/>
        <v>0</v>
      </c>
      <c r="BL64" s="1117">
        <f t="shared" si="108"/>
        <v>0</v>
      </c>
      <c r="BM64" s="1117">
        <f t="shared" si="109"/>
        <v>0</v>
      </c>
      <c r="BN64" s="1117">
        <f t="shared" si="110"/>
        <v>0</v>
      </c>
      <c r="BO64" s="1118"/>
      <c r="BS64" s="1116">
        <f t="shared" si="111"/>
        <v>0</v>
      </c>
      <c r="BT64" s="1117">
        <f t="shared" si="112"/>
        <v>0</v>
      </c>
      <c r="BU64" s="1117">
        <f t="shared" si="113"/>
        <v>0</v>
      </c>
      <c r="BV64" s="1117">
        <f t="shared" si="114"/>
        <v>0</v>
      </c>
      <c r="BW64" s="1118"/>
      <c r="CA64" s="1116">
        <f t="shared" si="115"/>
        <v>0</v>
      </c>
      <c r="CB64" s="1117">
        <f t="shared" si="116"/>
        <v>0</v>
      </c>
      <c r="CC64" s="1117">
        <f t="shared" si="117"/>
        <v>0</v>
      </c>
      <c r="CD64" s="1117">
        <f t="shared" si="118"/>
        <v>0</v>
      </c>
      <c r="CE64" s="1118"/>
      <c r="CI64" s="1116">
        <f t="shared" si="119"/>
        <v>0</v>
      </c>
      <c r="CJ64" s="1117">
        <f t="shared" si="120"/>
        <v>0</v>
      </c>
      <c r="CK64" s="1117">
        <f t="shared" si="121"/>
        <v>0</v>
      </c>
      <c r="CL64" s="1117">
        <f t="shared" si="122"/>
        <v>0</v>
      </c>
      <c r="CM64" s="1118"/>
      <c r="CQ64" s="1116">
        <f t="shared" si="123"/>
        <v>0</v>
      </c>
      <c r="CR64" s="1117">
        <f t="shared" si="124"/>
        <v>0</v>
      </c>
      <c r="CS64" s="1117">
        <f t="shared" si="125"/>
        <v>0</v>
      </c>
      <c r="CT64" s="1117">
        <f t="shared" si="126"/>
        <v>0</v>
      </c>
      <c r="CU64" s="1118"/>
      <c r="CY64" s="1116">
        <f t="shared" si="127"/>
        <v>0</v>
      </c>
      <c r="CZ64" s="1117">
        <f t="shared" si="128"/>
        <v>0</v>
      </c>
      <c r="DA64" s="1117">
        <f t="shared" si="129"/>
        <v>0</v>
      </c>
      <c r="DB64" s="1117">
        <f t="shared" si="130"/>
        <v>0</v>
      </c>
      <c r="DC64" s="1118"/>
      <c r="DG64" s="1116">
        <f t="shared" si="131"/>
        <v>0</v>
      </c>
      <c r="DH64" s="1117">
        <f t="shared" si="132"/>
        <v>0</v>
      </c>
      <c r="DI64" s="1117">
        <f t="shared" si="133"/>
        <v>0</v>
      </c>
      <c r="DJ64" s="1117">
        <f t="shared" si="134"/>
        <v>0</v>
      </c>
      <c r="DK64" s="1118"/>
      <c r="DO64" s="1116">
        <f t="shared" si="135"/>
        <v>0</v>
      </c>
      <c r="DP64" s="1117">
        <f t="shared" si="136"/>
        <v>0</v>
      </c>
      <c r="DQ64" s="1117">
        <f t="shared" si="137"/>
        <v>0</v>
      </c>
      <c r="DR64" s="1117">
        <f t="shared" si="138"/>
        <v>0</v>
      </c>
      <c r="DS64" s="1118"/>
      <c r="DW64" s="1116">
        <f t="shared" si="139"/>
        <v>0</v>
      </c>
      <c r="DX64" s="1117">
        <f t="shared" si="140"/>
        <v>0</v>
      </c>
      <c r="DY64" s="1117">
        <f t="shared" si="141"/>
        <v>0</v>
      </c>
      <c r="DZ64" s="1117">
        <f t="shared" si="142"/>
        <v>0</v>
      </c>
      <c r="EA64" s="1118"/>
      <c r="EE64" s="1116">
        <f t="shared" si="143"/>
        <v>0</v>
      </c>
      <c r="EF64" s="1117">
        <f t="shared" si="144"/>
        <v>0</v>
      </c>
      <c r="EG64" s="1117">
        <f t="shared" si="145"/>
        <v>0</v>
      </c>
      <c r="EH64" s="1117">
        <f t="shared" si="146"/>
        <v>0</v>
      </c>
      <c r="EI64" s="1118"/>
      <c r="EM64" s="1116">
        <f t="shared" si="147"/>
        <v>0</v>
      </c>
      <c r="EN64" s="1117">
        <f t="shared" si="148"/>
        <v>0</v>
      </c>
      <c r="EO64" s="1117">
        <f t="shared" si="149"/>
        <v>0</v>
      </c>
      <c r="EP64" s="1117">
        <f t="shared" si="150"/>
        <v>0</v>
      </c>
      <c r="EQ64" s="1118"/>
      <c r="EU64" s="1116">
        <f t="shared" si="151"/>
        <v>0</v>
      </c>
      <c r="EV64" s="1117">
        <f t="shared" si="152"/>
        <v>0</v>
      </c>
      <c r="EW64" s="1117">
        <f t="shared" si="153"/>
        <v>0</v>
      </c>
      <c r="EX64" s="1117">
        <f t="shared" si="154"/>
        <v>0</v>
      </c>
      <c r="EY64" s="1118"/>
      <c r="FC64" s="1116">
        <f t="shared" si="155"/>
        <v>0</v>
      </c>
      <c r="FD64" s="1117">
        <f t="shared" si="156"/>
        <v>0</v>
      </c>
      <c r="FE64" s="1117">
        <f t="shared" si="157"/>
        <v>0</v>
      </c>
      <c r="FF64" s="1117">
        <f t="shared" si="158"/>
        <v>0</v>
      </c>
      <c r="FG64" s="1118"/>
      <c r="FK64" s="1116">
        <f t="shared" si="159"/>
        <v>0</v>
      </c>
      <c r="FL64" s="1117">
        <f t="shared" si="160"/>
        <v>0</v>
      </c>
      <c r="FM64" s="1117">
        <f t="shared" si="161"/>
        <v>0</v>
      </c>
      <c r="FN64" s="1117">
        <f t="shared" si="162"/>
        <v>0</v>
      </c>
      <c r="FO64" s="1118"/>
    </row>
    <row r="65" spans="1:171">
      <c r="A65" s="1423"/>
      <c r="B65" s="913" t="s">
        <v>374</v>
      </c>
      <c r="C65" s="888">
        <v>219</v>
      </c>
      <c r="D65" s="888">
        <v>108</v>
      </c>
      <c r="E65" s="182" t="str">
        <f>'Sch 1- Rate Base '!E65</f>
        <v>DIRECT</v>
      </c>
      <c r="F65" s="889"/>
      <c r="G65" s="182">
        <f>'Sch 1- Rate Base '!G65</f>
        <v>9306035.6400000025</v>
      </c>
      <c r="H65" s="182">
        <f>'Sch 1- Rate Base '!H65</f>
        <v>8402719.4400000013</v>
      </c>
      <c r="I65" s="182">
        <f>'Sch 1- Rate Base '!I65</f>
        <v>0</v>
      </c>
      <c r="J65" s="1424">
        <f>'Sch 1- Rate Base '!J65</f>
        <v>903316.2</v>
      </c>
      <c r="K65" s="903">
        <f t="shared" si="82"/>
        <v>0</v>
      </c>
      <c r="O65" s="1116">
        <f t="shared" si="83"/>
        <v>9306035.6400000025</v>
      </c>
      <c r="P65" s="1117">
        <f t="shared" si="84"/>
        <v>8402719.4400000013</v>
      </c>
      <c r="Q65" s="1117">
        <f t="shared" si="85"/>
        <v>0</v>
      </c>
      <c r="R65" s="1117">
        <f t="shared" si="86"/>
        <v>903316.20000000112</v>
      </c>
      <c r="S65" s="1118"/>
      <c r="W65" s="1116">
        <f t="shared" si="87"/>
        <v>9306035.6400000025</v>
      </c>
      <c r="X65" s="1117">
        <f t="shared" si="88"/>
        <v>8402719.4400000013</v>
      </c>
      <c r="Y65" s="1117">
        <f t="shared" si="89"/>
        <v>0</v>
      </c>
      <c r="Z65" s="1117">
        <f t="shared" si="90"/>
        <v>903316.20000000112</v>
      </c>
      <c r="AA65" s="1118"/>
      <c r="AE65" s="1116">
        <f t="shared" si="91"/>
        <v>9306035.6400000025</v>
      </c>
      <c r="AF65" s="1117">
        <f t="shared" si="92"/>
        <v>8402719.4400000013</v>
      </c>
      <c r="AG65" s="1117">
        <f t="shared" si="93"/>
        <v>0</v>
      </c>
      <c r="AH65" s="1117">
        <f t="shared" si="94"/>
        <v>903316.20000000112</v>
      </c>
      <c r="AI65" s="1118"/>
      <c r="AM65" s="1116">
        <f t="shared" si="95"/>
        <v>9306035.6400000025</v>
      </c>
      <c r="AN65" s="1117">
        <f t="shared" si="96"/>
        <v>8402719.4400000013</v>
      </c>
      <c r="AO65" s="1117">
        <f t="shared" si="97"/>
        <v>0</v>
      </c>
      <c r="AP65" s="1117">
        <f t="shared" si="98"/>
        <v>903316.20000000112</v>
      </c>
      <c r="AQ65" s="1118"/>
      <c r="AU65" s="1116">
        <f t="shared" si="99"/>
        <v>9306035.6400000025</v>
      </c>
      <c r="AV65" s="1117">
        <f t="shared" si="100"/>
        <v>8402719.4400000013</v>
      </c>
      <c r="AW65" s="1117">
        <f t="shared" si="101"/>
        <v>0</v>
      </c>
      <c r="AX65" s="1117">
        <f t="shared" si="102"/>
        <v>903316.20000000112</v>
      </c>
      <c r="AY65" s="1118"/>
      <c r="BC65" s="1116">
        <f t="shared" si="103"/>
        <v>9306035.6400000025</v>
      </c>
      <c r="BD65" s="1117">
        <f t="shared" si="104"/>
        <v>8402719.4400000013</v>
      </c>
      <c r="BE65" s="1117">
        <f t="shared" si="105"/>
        <v>0</v>
      </c>
      <c r="BF65" s="1117">
        <f t="shared" si="106"/>
        <v>903316.20000000112</v>
      </c>
      <c r="BG65" s="1118"/>
      <c r="BK65" s="1116">
        <f t="shared" si="107"/>
        <v>9306035.6400000025</v>
      </c>
      <c r="BL65" s="1117">
        <f t="shared" si="108"/>
        <v>8402719.4400000013</v>
      </c>
      <c r="BM65" s="1117">
        <f t="shared" si="109"/>
        <v>0</v>
      </c>
      <c r="BN65" s="1117">
        <f t="shared" si="110"/>
        <v>903316.20000000112</v>
      </c>
      <c r="BO65" s="1118"/>
      <c r="BS65" s="1116">
        <f t="shared" si="111"/>
        <v>9306035.6400000025</v>
      </c>
      <c r="BT65" s="1117">
        <f t="shared" si="112"/>
        <v>8402719.4400000013</v>
      </c>
      <c r="BU65" s="1117">
        <f t="shared" si="113"/>
        <v>0</v>
      </c>
      <c r="BV65" s="1117">
        <f t="shared" si="114"/>
        <v>903316.20000000112</v>
      </c>
      <c r="BW65" s="1118"/>
      <c r="CA65" s="1116">
        <f t="shared" si="115"/>
        <v>9306035.6400000025</v>
      </c>
      <c r="CB65" s="1117">
        <f t="shared" si="116"/>
        <v>8402719.4400000013</v>
      </c>
      <c r="CC65" s="1117">
        <f t="shared" si="117"/>
        <v>0</v>
      </c>
      <c r="CD65" s="1117">
        <f t="shared" si="118"/>
        <v>903316.20000000112</v>
      </c>
      <c r="CE65" s="1118"/>
      <c r="CI65" s="1116">
        <f t="shared" si="119"/>
        <v>9306035.6400000025</v>
      </c>
      <c r="CJ65" s="1117">
        <f t="shared" si="120"/>
        <v>8402719.4400000013</v>
      </c>
      <c r="CK65" s="1117">
        <f t="shared" si="121"/>
        <v>0</v>
      </c>
      <c r="CL65" s="1117">
        <f t="shared" si="122"/>
        <v>903316.20000000112</v>
      </c>
      <c r="CM65" s="1118"/>
      <c r="CQ65" s="1116">
        <f t="shared" si="123"/>
        <v>9306035.6400000025</v>
      </c>
      <c r="CR65" s="1117">
        <f t="shared" si="124"/>
        <v>8402719.4400000013</v>
      </c>
      <c r="CS65" s="1117">
        <f t="shared" si="125"/>
        <v>0</v>
      </c>
      <c r="CT65" s="1117">
        <f t="shared" si="126"/>
        <v>903316.20000000112</v>
      </c>
      <c r="CU65" s="1118"/>
      <c r="CY65" s="1116">
        <f t="shared" si="127"/>
        <v>9306035.6400000025</v>
      </c>
      <c r="CZ65" s="1117">
        <f t="shared" si="128"/>
        <v>8402719.4400000013</v>
      </c>
      <c r="DA65" s="1117">
        <f t="shared" si="129"/>
        <v>0</v>
      </c>
      <c r="DB65" s="1117">
        <f t="shared" si="130"/>
        <v>903316.20000000112</v>
      </c>
      <c r="DC65" s="1118"/>
      <c r="DG65" s="1116">
        <f t="shared" si="131"/>
        <v>9306035.6400000025</v>
      </c>
      <c r="DH65" s="1117">
        <f t="shared" si="132"/>
        <v>8402719.4400000013</v>
      </c>
      <c r="DI65" s="1117">
        <f t="shared" si="133"/>
        <v>0</v>
      </c>
      <c r="DJ65" s="1117">
        <f t="shared" si="134"/>
        <v>903316.20000000112</v>
      </c>
      <c r="DK65" s="1118"/>
      <c r="DO65" s="1116">
        <f t="shared" si="135"/>
        <v>9306035.6400000025</v>
      </c>
      <c r="DP65" s="1117">
        <f t="shared" si="136"/>
        <v>8402719.4400000013</v>
      </c>
      <c r="DQ65" s="1117">
        <f t="shared" si="137"/>
        <v>0</v>
      </c>
      <c r="DR65" s="1117">
        <f t="shared" si="138"/>
        <v>903316.20000000112</v>
      </c>
      <c r="DS65" s="1118"/>
      <c r="DW65" s="1116">
        <f t="shared" si="139"/>
        <v>9306035.6400000025</v>
      </c>
      <c r="DX65" s="1117">
        <f t="shared" si="140"/>
        <v>8402719.4400000013</v>
      </c>
      <c r="DY65" s="1117">
        <f t="shared" si="141"/>
        <v>0</v>
      </c>
      <c r="DZ65" s="1117">
        <f t="shared" si="142"/>
        <v>903316.20000000112</v>
      </c>
      <c r="EA65" s="1118"/>
      <c r="EE65" s="1116">
        <f t="shared" si="143"/>
        <v>9306035.6400000025</v>
      </c>
      <c r="EF65" s="1117">
        <f t="shared" si="144"/>
        <v>8402719.4400000013</v>
      </c>
      <c r="EG65" s="1117">
        <f t="shared" si="145"/>
        <v>0</v>
      </c>
      <c r="EH65" s="1117">
        <f t="shared" si="146"/>
        <v>903316.20000000112</v>
      </c>
      <c r="EI65" s="1118"/>
      <c r="EM65" s="1116">
        <f t="shared" si="147"/>
        <v>9306035.6400000025</v>
      </c>
      <c r="EN65" s="1117">
        <f t="shared" si="148"/>
        <v>8402719.4400000013</v>
      </c>
      <c r="EO65" s="1117">
        <f t="shared" si="149"/>
        <v>0</v>
      </c>
      <c r="EP65" s="1117">
        <f t="shared" si="150"/>
        <v>903316.20000000112</v>
      </c>
      <c r="EQ65" s="1118"/>
      <c r="EU65" s="1116">
        <f t="shared" si="151"/>
        <v>9306035.6400000025</v>
      </c>
      <c r="EV65" s="1117">
        <f t="shared" si="152"/>
        <v>8402719.4400000013</v>
      </c>
      <c r="EW65" s="1117">
        <f t="shared" si="153"/>
        <v>0</v>
      </c>
      <c r="EX65" s="1117">
        <f t="shared" si="154"/>
        <v>903316.20000000112</v>
      </c>
      <c r="EY65" s="1118"/>
      <c r="FC65" s="1116">
        <f t="shared" si="155"/>
        <v>9306035.6400000025</v>
      </c>
      <c r="FD65" s="1117">
        <f t="shared" si="156"/>
        <v>8402719.4400000013</v>
      </c>
      <c r="FE65" s="1117">
        <f t="shared" si="157"/>
        <v>0</v>
      </c>
      <c r="FF65" s="1117">
        <f t="shared" si="158"/>
        <v>903316.20000000112</v>
      </c>
      <c r="FG65" s="1118"/>
      <c r="FK65" s="1116">
        <f t="shared" si="159"/>
        <v>9306035.6400000025</v>
      </c>
      <c r="FL65" s="1117">
        <f t="shared" si="160"/>
        <v>8402719.4400000013</v>
      </c>
      <c r="FM65" s="1117">
        <f t="shared" si="161"/>
        <v>0</v>
      </c>
      <c r="FN65" s="1117">
        <f t="shared" si="162"/>
        <v>903316.20000000112</v>
      </c>
      <c r="FO65" s="1118"/>
    </row>
    <row r="66" spans="1:171">
      <c r="A66" s="1423"/>
      <c r="B66" s="913" t="s">
        <v>403</v>
      </c>
      <c r="C66" s="888">
        <v>219</v>
      </c>
      <c r="D66" s="888">
        <v>108</v>
      </c>
      <c r="E66" s="182" t="str">
        <f>'Sch 1- Rate Base '!E66</f>
        <v>DIRECT</v>
      </c>
      <c r="F66" s="889"/>
      <c r="G66" s="182">
        <f>'Sch 1- Rate Base '!G66</f>
        <v>8218633.7199999997</v>
      </c>
      <c r="H66" s="182">
        <f>'Sch 1- Rate Base '!H66</f>
        <v>4395779.3655016273</v>
      </c>
      <c r="I66" s="182">
        <f>'Sch 1- Rate Base '!I66</f>
        <v>0</v>
      </c>
      <c r="J66" s="1424">
        <f>'Sch 1- Rate Base '!J66</f>
        <v>3822854.3512011645</v>
      </c>
      <c r="K66" s="903">
        <f t="shared" si="82"/>
        <v>0</v>
      </c>
      <c r="O66" s="1116">
        <f t="shared" si="83"/>
        <v>8218633.7199999997</v>
      </c>
      <c r="P66" s="1117">
        <f t="shared" si="84"/>
        <v>4395779.3655016273</v>
      </c>
      <c r="Q66" s="1117">
        <f t="shared" si="85"/>
        <v>0</v>
      </c>
      <c r="R66" s="1117">
        <f t="shared" si="86"/>
        <v>3822854.3544983724</v>
      </c>
      <c r="S66" s="1118"/>
      <c r="W66" s="1116">
        <f t="shared" si="87"/>
        <v>8218633.7199999997</v>
      </c>
      <c r="X66" s="1117">
        <f t="shared" si="88"/>
        <v>4395779.3655016273</v>
      </c>
      <c r="Y66" s="1117">
        <f t="shared" si="89"/>
        <v>0</v>
      </c>
      <c r="Z66" s="1117">
        <f t="shared" si="90"/>
        <v>3822854.3544983724</v>
      </c>
      <c r="AA66" s="1118"/>
      <c r="AE66" s="1116">
        <f t="shared" si="91"/>
        <v>8218633.7199999997</v>
      </c>
      <c r="AF66" s="1117">
        <f t="shared" si="92"/>
        <v>4395779.3655016273</v>
      </c>
      <c r="AG66" s="1117">
        <f t="shared" si="93"/>
        <v>0</v>
      </c>
      <c r="AH66" s="1117">
        <f t="shared" si="94"/>
        <v>3822854.3544983724</v>
      </c>
      <c r="AI66" s="1118"/>
      <c r="AM66" s="1116">
        <f t="shared" si="95"/>
        <v>8218633.7199999997</v>
      </c>
      <c r="AN66" s="1117">
        <f t="shared" si="96"/>
        <v>4395779.3655016273</v>
      </c>
      <c r="AO66" s="1117">
        <f t="shared" si="97"/>
        <v>0</v>
      </c>
      <c r="AP66" s="1117">
        <f t="shared" si="98"/>
        <v>3822854.3544983724</v>
      </c>
      <c r="AQ66" s="1118"/>
      <c r="AU66" s="1116">
        <f t="shared" si="99"/>
        <v>8218633.7199999997</v>
      </c>
      <c r="AV66" s="1117">
        <f t="shared" si="100"/>
        <v>4395779.3655016273</v>
      </c>
      <c r="AW66" s="1117">
        <f t="shared" si="101"/>
        <v>0</v>
      </c>
      <c r="AX66" s="1117">
        <f t="shared" si="102"/>
        <v>3822854.3544983724</v>
      </c>
      <c r="AY66" s="1118"/>
      <c r="BC66" s="1116">
        <f t="shared" si="103"/>
        <v>8218633.7199999997</v>
      </c>
      <c r="BD66" s="1117">
        <f t="shared" si="104"/>
        <v>4395779.3655016273</v>
      </c>
      <c r="BE66" s="1117">
        <f t="shared" si="105"/>
        <v>0</v>
      </c>
      <c r="BF66" s="1117">
        <f t="shared" si="106"/>
        <v>3822854.3544983724</v>
      </c>
      <c r="BG66" s="1118"/>
      <c r="BK66" s="1116">
        <f t="shared" si="107"/>
        <v>8218633.7199999997</v>
      </c>
      <c r="BL66" s="1117">
        <f t="shared" si="108"/>
        <v>4395779.3655016273</v>
      </c>
      <c r="BM66" s="1117">
        <f t="shared" si="109"/>
        <v>0</v>
      </c>
      <c r="BN66" s="1117">
        <f t="shared" si="110"/>
        <v>3822854.3544983724</v>
      </c>
      <c r="BO66" s="1118"/>
      <c r="BS66" s="1116">
        <f t="shared" si="111"/>
        <v>8218633.7199999997</v>
      </c>
      <c r="BT66" s="1117">
        <f t="shared" si="112"/>
        <v>4395779.3655016273</v>
      </c>
      <c r="BU66" s="1117">
        <f t="shared" si="113"/>
        <v>0</v>
      </c>
      <c r="BV66" s="1117">
        <f t="shared" si="114"/>
        <v>3822854.3544983724</v>
      </c>
      <c r="BW66" s="1118"/>
      <c r="CA66" s="1116">
        <f t="shared" si="115"/>
        <v>8218633.7199999997</v>
      </c>
      <c r="CB66" s="1117">
        <f t="shared" si="116"/>
        <v>4395779.3655016273</v>
      </c>
      <c r="CC66" s="1117">
        <f t="shared" si="117"/>
        <v>0</v>
      </c>
      <c r="CD66" s="1117">
        <f t="shared" si="118"/>
        <v>3822854.3544983724</v>
      </c>
      <c r="CE66" s="1118"/>
      <c r="CI66" s="1116">
        <f t="shared" si="119"/>
        <v>8218633.7199999997</v>
      </c>
      <c r="CJ66" s="1117">
        <f t="shared" si="120"/>
        <v>4395779.3655016273</v>
      </c>
      <c r="CK66" s="1117">
        <f t="shared" si="121"/>
        <v>0</v>
      </c>
      <c r="CL66" s="1117">
        <f t="shared" si="122"/>
        <v>3822854.3544983724</v>
      </c>
      <c r="CM66" s="1118"/>
      <c r="CQ66" s="1116">
        <f t="shared" si="123"/>
        <v>8218633.7199999997</v>
      </c>
      <c r="CR66" s="1117">
        <f t="shared" si="124"/>
        <v>4395779.3655016273</v>
      </c>
      <c r="CS66" s="1117">
        <f t="shared" si="125"/>
        <v>0</v>
      </c>
      <c r="CT66" s="1117">
        <f t="shared" si="126"/>
        <v>3822854.3544983724</v>
      </c>
      <c r="CU66" s="1118"/>
      <c r="CY66" s="1116">
        <f t="shared" si="127"/>
        <v>8218633.7199999997</v>
      </c>
      <c r="CZ66" s="1117">
        <f t="shared" si="128"/>
        <v>4395779.3655016273</v>
      </c>
      <c r="DA66" s="1117">
        <f t="shared" si="129"/>
        <v>0</v>
      </c>
      <c r="DB66" s="1117">
        <f t="shared" si="130"/>
        <v>3822854.3544983724</v>
      </c>
      <c r="DC66" s="1118"/>
      <c r="DG66" s="1116">
        <f t="shared" si="131"/>
        <v>8218633.7199999997</v>
      </c>
      <c r="DH66" s="1117">
        <f t="shared" si="132"/>
        <v>4395779.3655016273</v>
      </c>
      <c r="DI66" s="1117">
        <f t="shared" si="133"/>
        <v>0</v>
      </c>
      <c r="DJ66" s="1117">
        <f t="shared" si="134"/>
        <v>3822854.3544983724</v>
      </c>
      <c r="DK66" s="1118"/>
      <c r="DO66" s="1116">
        <f t="shared" si="135"/>
        <v>8218633.7199999997</v>
      </c>
      <c r="DP66" s="1117">
        <f t="shared" si="136"/>
        <v>4395779.3655016273</v>
      </c>
      <c r="DQ66" s="1117">
        <f t="shared" si="137"/>
        <v>0</v>
      </c>
      <c r="DR66" s="1117">
        <f t="shared" si="138"/>
        <v>3822854.3544983724</v>
      </c>
      <c r="DS66" s="1118"/>
      <c r="DW66" s="1116">
        <f t="shared" si="139"/>
        <v>8218633.7199999997</v>
      </c>
      <c r="DX66" s="1117">
        <f t="shared" si="140"/>
        <v>4395779.3655016273</v>
      </c>
      <c r="DY66" s="1117">
        <f t="shared" si="141"/>
        <v>0</v>
      </c>
      <c r="DZ66" s="1117">
        <f t="shared" si="142"/>
        <v>3822854.3544983724</v>
      </c>
      <c r="EA66" s="1118"/>
      <c r="EE66" s="1116">
        <f t="shared" si="143"/>
        <v>8218633.7199999997</v>
      </c>
      <c r="EF66" s="1117">
        <f t="shared" si="144"/>
        <v>4395779.3655016273</v>
      </c>
      <c r="EG66" s="1117">
        <f t="shared" si="145"/>
        <v>0</v>
      </c>
      <c r="EH66" s="1117">
        <f t="shared" si="146"/>
        <v>3822854.3544983724</v>
      </c>
      <c r="EI66" s="1118"/>
      <c r="EM66" s="1116">
        <f t="shared" si="147"/>
        <v>8218633.7199999997</v>
      </c>
      <c r="EN66" s="1117">
        <f t="shared" si="148"/>
        <v>4395779.3655016273</v>
      </c>
      <c r="EO66" s="1117">
        <f t="shared" si="149"/>
        <v>0</v>
      </c>
      <c r="EP66" s="1117">
        <f t="shared" si="150"/>
        <v>3822854.3544983724</v>
      </c>
      <c r="EQ66" s="1118"/>
      <c r="EU66" s="1116">
        <f t="shared" si="151"/>
        <v>8218633.7199999997</v>
      </c>
      <c r="EV66" s="1117">
        <f t="shared" si="152"/>
        <v>4395779.3655016273</v>
      </c>
      <c r="EW66" s="1117">
        <f t="shared" si="153"/>
        <v>0</v>
      </c>
      <c r="EX66" s="1117">
        <f t="shared" si="154"/>
        <v>3822854.3544983724</v>
      </c>
      <c r="EY66" s="1118"/>
      <c r="FC66" s="1116">
        <f t="shared" si="155"/>
        <v>8218633.7199999997</v>
      </c>
      <c r="FD66" s="1117">
        <f t="shared" si="156"/>
        <v>4395779.3655016273</v>
      </c>
      <c r="FE66" s="1117">
        <f t="shared" si="157"/>
        <v>0</v>
      </c>
      <c r="FF66" s="1117">
        <f t="shared" si="158"/>
        <v>3822854.3544983724</v>
      </c>
      <c r="FG66" s="1118"/>
      <c r="FK66" s="1116">
        <f t="shared" si="159"/>
        <v>8218633.7199999997</v>
      </c>
      <c r="FL66" s="1117">
        <f t="shared" si="160"/>
        <v>4395779.3655016273</v>
      </c>
      <c r="FM66" s="1117">
        <f t="shared" si="161"/>
        <v>0</v>
      </c>
      <c r="FN66" s="1117">
        <f t="shared" si="162"/>
        <v>3822854.3544983724</v>
      </c>
      <c r="FO66" s="1118"/>
    </row>
    <row r="67" spans="1:171">
      <c r="A67" s="1423"/>
      <c r="B67" s="913" t="s">
        <v>253</v>
      </c>
      <c r="C67" s="888">
        <v>219</v>
      </c>
      <c r="D67" s="888">
        <v>108</v>
      </c>
      <c r="E67" s="182" t="str">
        <f>'Sch 1- Rate Base '!E67</f>
        <v>PROD</v>
      </c>
      <c r="F67" s="889"/>
      <c r="G67" s="182">
        <f>'Sch 1- Rate Base '!G67</f>
        <v>0</v>
      </c>
      <c r="H67" s="182">
        <f>'Sch 1- Rate Base '!H67</f>
        <v>0</v>
      </c>
      <c r="I67" s="182">
        <f>'Sch 1- Rate Base '!I67</f>
        <v>0</v>
      </c>
      <c r="J67" s="1424">
        <f>'Sch 1- Rate Base '!J67</f>
        <v>0</v>
      </c>
      <c r="K67" s="903">
        <f t="shared" si="82"/>
        <v>1</v>
      </c>
      <c r="O67" s="1116">
        <f t="shared" si="83"/>
        <v>0</v>
      </c>
      <c r="P67" s="1117">
        <f t="shared" si="84"/>
        <v>0</v>
      </c>
      <c r="Q67" s="1117">
        <f t="shared" si="85"/>
        <v>0</v>
      </c>
      <c r="R67" s="1117">
        <f t="shared" si="86"/>
        <v>0</v>
      </c>
      <c r="S67" s="1118"/>
      <c r="W67" s="1116">
        <f t="shared" si="87"/>
        <v>0</v>
      </c>
      <c r="X67" s="1117">
        <f t="shared" si="88"/>
        <v>0</v>
      </c>
      <c r="Y67" s="1117">
        <f t="shared" si="89"/>
        <v>0</v>
      </c>
      <c r="Z67" s="1117">
        <f t="shared" si="90"/>
        <v>0</v>
      </c>
      <c r="AA67" s="1118"/>
      <c r="AE67" s="1116">
        <f t="shared" si="91"/>
        <v>0</v>
      </c>
      <c r="AF67" s="1117">
        <f t="shared" si="92"/>
        <v>0</v>
      </c>
      <c r="AG67" s="1117">
        <f t="shared" si="93"/>
        <v>0</v>
      </c>
      <c r="AH67" s="1117">
        <f t="shared" si="94"/>
        <v>0</v>
      </c>
      <c r="AI67" s="1118"/>
      <c r="AM67" s="1116">
        <f t="shared" si="95"/>
        <v>0</v>
      </c>
      <c r="AN67" s="1117">
        <f t="shared" si="96"/>
        <v>0</v>
      </c>
      <c r="AO67" s="1117">
        <f t="shared" si="97"/>
        <v>0</v>
      </c>
      <c r="AP67" s="1117">
        <f t="shared" si="98"/>
        <v>0</v>
      </c>
      <c r="AQ67" s="1118"/>
      <c r="AU67" s="1116">
        <f t="shared" si="99"/>
        <v>0</v>
      </c>
      <c r="AV67" s="1117">
        <f t="shared" si="100"/>
        <v>0</v>
      </c>
      <c r="AW67" s="1117">
        <f t="shared" si="101"/>
        <v>0</v>
      </c>
      <c r="AX67" s="1117">
        <f t="shared" si="102"/>
        <v>0</v>
      </c>
      <c r="AY67" s="1118"/>
      <c r="BC67" s="1116">
        <f t="shared" si="103"/>
        <v>0</v>
      </c>
      <c r="BD67" s="1117">
        <f t="shared" si="104"/>
        <v>0</v>
      </c>
      <c r="BE67" s="1117">
        <f t="shared" si="105"/>
        <v>0</v>
      </c>
      <c r="BF67" s="1117">
        <f t="shared" si="106"/>
        <v>0</v>
      </c>
      <c r="BG67" s="1118"/>
      <c r="BK67" s="1116">
        <f t="shared" si="107"/>
        <v>0</v>
      </c>
      <c r="BL67" s="1117">
        <f t="shared" si="108"/>
        <v>0</v>
      </c>
      <c r="BM67" s="1117">
        <f t="shared" si="109"/>
        <v>0</v>
      </c>
      <c r="BN67" s="1117">
        <f t="shared" si="110"/>
        <v>0</v>
      </c>
      <c r="BO67" s="1118"/>
      <c r="BS67" s="1116">
        <f t="shared" si="111"/>
        <v>0</v>
      </c>
      <c r="BT67" s="1117">
        <f t="shared" si="112"/>
        <v>0</v>
      </c>
      <c r="BU67" s="1117">
        <f t="shared" si="113"/>
        <v>0</v>
      </c>
      <c r="BV67" s="1117">
        <f t="shared" si="114"/>
        <v>0</v>
      </c>
      <c r="BW67" s="1118"/>
      <c r="CA67" s="1116">
        <f t="shared" si="115"/>
        <v>0</v>
      </c>
      <c r="CB67" s="1117">
        <f t="shared" si="116"/>
        <v>0</v>
      </c>
      <c r="CC67" s="1117">
        <f t="shared" si="117"/>
        <v>0</v>
      </c>
      <c r="CD67" s="1117">
        <f t="shared" si="118"/>
        <v>0</v>
      </c>
      <c r="CE67" s="1118"/>
      <c r="CI67" s="1116">
        <f t="shared" si="119"/>
        <v>0</v>
      </c>
      <c r="CJ67" s="1117">
        <f t="shared" si="120"/>
        <v>0</v>
      </c>
      <c r="CK67" s="1117">
        <f t="shared" si="121"/>
        <v>0</v>
      </c>
      <c r="CL67" s="1117">
        <f t="shared" si="122"/>
        <v>0</v>
      </c>
      <c r="CM67" s="1118"/>
      <c r="CQ67" s="1116">
        <f t="shared" si="123"/>
        <v>0</v>
      </c>
      <c r="CR67" s="1117">
        <f t="shared" si="124"/>
        <v>0</v>
      </c>
      <c r="CS67" s="1117">
        <f t="shared" si="125"/>
        <v>0</v>
      </c>
      <c r="CT67" s="1117">
        <f t="shared" si="126"/>
        <v>0</v>
      </c>
      <c r="CU67" s="1118"/>
      <c r="CY67" s="1116">
        <f t="shared" si="127"/>
        <v>0</v>
      </c>
      <c r="CZ67" s="1117">
        <f t="shared" si="128"/>
        <v>0</v>
      </c>
      <c r="DA67" s="1117">
        <f t="shared" si="129"/>
        <v>0</v>
      </c>
      <c r="DB67" s="1117">
        <f t="shared" si="130"/>
        <v>0</v>
      </c>
      <c r="DC67" s="1118"/>
      <c r="DG67" s="1116">
        <f t="shared" si="131"/>
        <v>0</v>
      </c>
      <c r="DH67" s="1117">
        <f t="shared" si="132"/>
        <v>0</v>
      </c>
      <c r="DI67" s="1117">
        <f t="shared" si="133"/>
        <v>0</v>
      </c>
      <c r="DJ67" s="1117">
        <f t="shared" si="134"/>
        <v>0</v>
      </c>
      <c r="DK67" s="1118"/>
      <c r="DO67" s="1116">
        <f t="shared" si="135"/>
        <v>0</v>
      </c>
      <c r="DP67" s="1117">
        <f t="shared" si="136"/>
        <v>0</v>
      </c>
      <c r="DQ67" s="1117">
        <f t="shared" si="137"/>
        <v>0</v>
      </c>
      <c r="DR67" s="1117">
        <f t="shared" si="138"/>
        <v>0</v>
      </c>
      <c r="DS67" s="1118"/>
      <c r="DW67" s="1116">
        <f t="shared" si="139"/>
        <v>0</v>
      </c>
      <c r="DX67" s="1117">
        <f t="shared" si="140"/>
        <v>0</v>
      </c>
      <c r="DY67" s="1117">
        <f t="shared" si="141"/>
        <v>0</v>
      </c>
      <c r="DZ67" s="1117">
        <f t="shared" si="142"/>
        <v>0</v>
      </c>
      <c r="EA67" s="1118"/>
      <c r="EE67" s="1116">
        <f t="shared" si="143"/>
        <v>0</v>
      </c>
      <c r="EF67" s="1117">
        <f t="shared" si="144"/>
        <v>0</v>
      </c>
      <c r="EG67" s="1117">
        <f t="shared" si="145"/>
        <v>0</v>
      </c>
      <c r="EH67" s="1117">
        <f t="shared" si="146"/>
        <v>0</v>
      </c>
      <c r="EI67" s="1118"/>
      <c r="EM67" s="1116">
        <f t="shared" si="147"/>
        <v>0</v>
      </c>
      <c r="EN67" s="1117">
        <f t="shared" si="148"/>
        <v>0</v>
      </c>
      <c r="EO67" s="1117">
        <f t="shared" si="149"/>
        <v>0</v>
      </c>
      <c r="EP67" s="1117">
        <f t="shared" si="150"/>
        <v>0</v>
      </c>
      <c r="EQ67" s="1118"/>
      <c r="EU67" s="1116">
        <f t="shared" si="151"/>
        <v>0</v>
      </c>
      <c r="EV67" s="1117">
        <f t="shared" si="152"/>
        <v>0</v>
      </c>
      <c r="EW67" s="1117">
        <f t="shared" si="153"/>
        <v>0</v>
      </c>
      <c r="EX67" s="1117">
        <f t="shared" si="154"/>
        <v>0</v>
      </c>
      <c r="EY67" s="1118"/>
      <c r="FC67" s="1116">
        <f t="shared" si="155"/>
        <v>0</v>
      </c>
      <c r="FD67" s="1117">
        <f t="shared" si="156"/>
        <v>0</v>
      </c>
      <c r="FE67" s="1117">
        <f t="shared" si="157"/>
        <v>0</v>
      </c>
      <c r="FF67" s="1117">
        <f t="shared" si="158"/>
        <v>0</v>
      </c>
      <c r="FG67" s="1118"/>
      <c r="FK67" s="1116">
        <f t="shared" si="159"/>
        <v>0</v>
      </c>
      <c r="FL67" s="1117">
        <f t="shared" si="160"/>
        <v>0</v>
      </c>
      <c r="FM67" s="1117">
        <f t="shared" si="161"/>
        <v>0</v>
      </c>
      <c r="FN67" s="1117">
        <f t="shared" si="162"/>
        <v>0</v>
      </c>
      <c r="FO67" s="1118"/>
    </row>
    <row r="68" spans="1:171">
      <c r="A68" s="1423"/>
      <c r="B68" s="913" t="s">
        <v>28</v>
      </c>
      <c r="C68" s="888">
        <v>219</v>
      </c>
      <c r="D68" s="888">
        <v>108</v>
      </c>
      <c r="E68" s="182" t="str">
        <f>'Sch 1- Rate Base '!E68</f>
        <v>DIST</v>
      </c>
      <c r="F68" s="889"/>
      <c r="G68" s="182">
        <f>'Sch 1- Rate Base '!G68</f>
        <v>0</v>
      </c>
      <c r="H68" s="182">
        <f>'Sch 1- Rate Base '!H68</f>
        <v>0</v>
      </c>
      <c r="I68" s="182">
        <f>'Sch 1- Rate Base '!I68</f>
        <v>0</v>
      </c>
      <c r="J68" s="1424">
        <f>'Sch 1- Rate Base '!J68</f>
        <v>0</v>
      </c>
      <c r="K68" s="903">
        <f t="shared" si="82"/>
        <v>1</v>
      </c>
      <c r="O68" s="1116">
        <f t="shared" si="83"/>
        <v>0</v>
      </c>
      <c r="P68" s="1117">
        <f t="shared" si="84"/>
        <v>0</v>
      </c>
      <c r="Q68" s="1117">
        <f t="shared" si="85"/>
        <v>0</v>
      </c>
      <c r="R68" s="1117">
        <f t="shared" si="86"/>
        <v>0</v>
      </c>
      <c r="S68" s="1118"/>
      <c r="W68" s="1116">
        <f t="shared" si="87"/>
        <v>0</v>
      </c>
      <c r="X68" s="1117">
        <f t="shared" si="88"/>
        <v>0</v>
      </c>
      <c r="Y68" s="1117">
        <f t="shared" si="89"/>
        <v>0</v>
      </c>
      <c r="Z68" s="1117">
        <f t="shared" si="90"/>
        <v>0</v>
      </c>
      <c r="AA68" s="1118"/>
      <c r="AE68" s="1116">
        <f t="shared" si="91"/>
        <v>0</v>
      </c>
      <c r="AF68" s="1117">
        <f t="shared" si="92"/>
        <v>0</v>
      </c>
      <c r="AG68" s="1117">
        <f t="shared" si="93"/>
        <v>0</v>
      </c>
      <c r="AH68" s="1117">
        <f t="shared" si="94"/>
        <v>0</v>
      </c>
      <c r="AI68" s="1118"/>
      <c r="AM68" s="1116">
        <f t="shared" si="95"/>
        <v>0</v>
      </c>
      <c r="AN68" s="1117">
        <f t="shared" si="96"/>
        <v>0</v>
      </c>
      <c r="AO68" s="1117">
        <f t="shared" si="97"/>
        <v>0</v>
      </c>
      <c r="AP68" s="1117">
        <f t="shared" si="98"/>
        <v>0</v>
      </c>
      <c r="AQ68" s="1118"/>
      <c r="AU68" s="1116">
        <f t="shared" si="99"/>
        <v>0</v>
      </c>
      <c r="AV68" s="1117">
        <f t="shared" si="100"/>
        <v>0</v>
      </c>
      <c r="AW68" s="1117">
        <f t="shared" si="101"/>
        <v>0</v>
      </c>
      <c r="AX68" s="1117">
        <f t="shared" si="102"/>
        <v>0</v>
      </c>
      <c r="AY68" s="1118"/>
      <c r="BC68" s="1116">
        <f t="shared" si="103"/>
        <v>0</v>
      </c>
      <c r="BD68" s="1117">
        <f t="shared" si="104"/>
        <v>0</v>
      </c>
      <c r="BE68" s="1117">
        <f t="shared" si="105"/>
        <v>0</v>
      </c>
      <c r="BF68" s="1117">
        <f t="shared" si="106"/>
        <v>0</v>
      </c>
      <c r="BG68" s="1118"/>
      <c r="BK68" s="1116">
        <f t="shared" si="107"/>
        <v>0</v>
      </c>
      <c r="BL68" s="1117">
        <f t="shared" si="108"/>
        <v>0</v>
      </c>
      <c r="BM68" s="1117">
        <f t="shared" si="109"/>
        <v>0</v>
      </c>
      <c r="BN68" s="1117">
        <f t="shared" si="110"/>
        <v>0</v>
      </c>
      <c r="BO68" s="1118"/>
      <c r="BS68" s="1116">
        <f t="shared" si="111"/>
        <v>0</v>
      </c>
      <c r="BT68" s="1117">
        <f t="shared" si="112"/>
        <v>0</v>
      </c>
      <c r="BU68" s="1117">
        <f t="shared" si="113"/>
        <v>0</v>
      </c>
      <c r="BV68" s="1117">
        <f t="shared" si="114"/>
        <v>0</v>
      </c>
      <c r="BW68" s="1118"/>
      <c r="CA68" s="1116">
        <f t="shared" si="115"/>
        <v>0</v>
      </c>
      <c r="CB68" s="1117">
        <f t="shared" si="116"/>
        <v>0</v>
      </c>
      <c r="CC68" s="1117">
        <f t="shared" si="117"/>
        <v>0</v>
      </c>
      <c r="CD68" s="1117">
        <f t="shared" si="118"/>
        <v>0</v>
      </c>
      <c r="CE68" s="1118"/>
      <c r="CI68" s="1116">
        <f t="shared" si="119"/>
        <v>0</v>
      </c>
      <c r="CJ68" s="1117">
        <f t="shared" si="120"/>
        <v>0</v>
      </c>
      <c r="CK68" s="1117">
        <f t="shared" si="121"/>
        <v>0</v>
      </c>
      <c r="CL68" s="1117">
        <f t="shared" si="122"/>
        <v>0</v>
      </c>
      <c r="CM68" s="1118"/>
      <c r="CQ68" s="1116">
        <f t="shared" si="123"/>
        <v>0</v>
      </c>
      <c r="CR68" s="1117">
        <f t="shared" si="124"/>
        <v>0</v>
      </c>
      <c r="CS68" s="1117">
        <f t="shared" si="125"/>
        <v>0</v>
      </c>
      <c r="CT68" s="1117">
        <f t="shared" si="126"/>
        <v>0</v>
      </c>
      <c r="CU68" s="1118"/>
      <c r="CY68" s="1116">
        <f t="shared" si="127"/>
        <v>0</v>
      </c>
      <c r="CZ68" s="1117">
        <f t="shared" si="128"/>
        <v>0</v>
      </c>
      <c r="DA68" s="1117">
        <f t="shared" si="129"/>
        <v>0</v>
      </c>
      <c r="DB68" s="1117">
        <f t="shared" si="130"/>
        <v>0</v>
      </c>
      <c r="DC68" s="1118"/>
      <c r="DG68" s="1116">
        <f t="shared" si="131"/>
        <v>0</v>
      </c>
      <c r="DH68" s="1117">
        <f t="shared" si="132"/>
        <v>0</v>
      </c>
      <c r="DI68" s="1117">
        <f t="shared" si="133"/>
        <v>0</v>
      </c>
      <c r="DJ68" s="1117">
        <f t="shared" si="134"/>
        <v>0</v>
      </c>
      <c r="DK68" s="1118"/>
      <c r="DO68" s="1116">
        <f t="shared" si="135"/>
        <v>0</v>
      </c>
      <c r="DP68" s="1117">
        <f t="shared" si="136"/>
        <v>0</v>
      </c>
      <c r="DQ68" s="1117">
        <f t="shared" si="137"/>
        <v>0</v>
      </c>
      <c r="DR68" s="1117">
        <f t="shared" si="138"/>
        <v>0</v>
      </c>
      <c r="DS68" s="1118"/>
      <c r="DW68" s="1116">
        <f t="shared" si="139"/>
        <v>0</v>
      </c>
      <c r="DX68" s="1117">
        <f t="shared" si="140"/>
        <v>0</v>
      </c>
      <c r="DY68" s="1117">
        <f t="shared" si="141"/>
        <v>0</v>
      </c>
      <c r="DZ68" s="1117">
        <f t="shared" si="142"/>
        <v>0</v>
      </c>
      <c r="EA68" s="1118"/>
      <c r="EE68" s="1116">
        <f t="shared" si="143"/>
        <v>0</v>
      </c>
      <c r="EF68" s="1117">
        <f t="shared" si="144"/>
        <v>0</v>
      </c>
      <c r="EG68" s="1117">
        <f t="shared" si="145"/>
        <v>0</v>
      </c>
      <c r="EH68" s="1117">
        <f t="shared" si="146"/>
        <v>0</v>
      </c>
      <c r="EI68" s="1118"/>
      <c r="EM68" s="1116">
        <f t="shared" si="147"/>
        <v>0</v>
      </c>
      <c r="EN68" s="1117">
        <f t="shared" si="148"/>
        <v>0</v>
      </c>
      <c r="EO68" s="1117">
        <f t="shared" si="149"/>
        <v>0</v>
      </c>
      <c r="EP68" s="1117">
        <f t="shared" si="150"/>
        <v>0</v>
      </c>
      <c r="EQ68" s="1118"/>
      <c r="EU68" s="1116">
        <f t="shared" si="151"/>
        <v>0</v>
      </c>
      <c r="EV68" s="1117">
        <f t="shared" si="152"/>
        <v>0</v>
      </c>
      <c r="EW68" s="1117">
        <f t="shared" si="153"/>
        <v>0</v>
      </c>
      <c r="EX68" s="1117">
        <f t="shared" si="154"/>
        <v>0</v>
      </c>
      <c r="EY68" s="1118"/>
      <c r="FC68" s="1116">
        <f t="shared" si="155"/>
        <v>0</v>
      </c>
      <c r="FD68" s="1117">
        <f t="shared" si="156"/>
        <v>0</v>
      </c>
      <c r="FE68" s="1117">
        <f t="shared" si="157"/>
        <v>0</v>
      </c>
      <c r="FF68" s="1117">
        <f t="shared" si="158"/>
        <v>0</v>
      </c>
      <c r="FG68" s="1118"/>
      <c r="FK68" s="1116">
        <f t="shared" si="159"/>
        <v>0</v>
      </c>
      <c r="FL68" s="1117">
        <f t="shared" si="160"/>
        <v>0</v>
      </c>
      <c r="FM68" s="1117">
        <f t="shared" si="161"/>
        <v>0</v>
      </c>
      <c r="FN68" s="1117">
        <f t="shared" si="162"/>
        <v>0</v>
      </c>
      <c r="FO68" s="1118"/>
    </row>
    <row r="69" spans="1:171">
      <c r="A69" s="1423"/>
      <c r="B69" s="913" t="s">
        <v>29</v>
      </c>
      <c r="C69" s="888">
        <v>219</v>
      </c>
      <c r="D69" s="888">
        <v>108</v>
      </c>
      <c r="E69" s="182" t="str">
        <f>'Sch 1- Rate Base '!E69</f>
        <v>DIRECT</v>
      </c>
      <c r="F69" s="889"/>
      <c r="G69" s="182">
        <f>'Sch 1- Rate Base '!G69</f>
        <v>0</v>
      </c>
      <c r="H69" s="182">
        <f>'Sch 1- Rate Base '!H69</f>
        <v>0</v>
      </c>
      <c r="I69" s="182">
        <f>'Sch 1- Rate Base '!I69</f>
        <v>0</v>
      </c>
      <c r="J69" s="1424">
        <f>'Sch 1- Rate Base '!J69</f>
        <v>0</v>
      </c>
      <c r="K69" s="903">
        <f t="shared" si="82"/>
        <v>0</v>
      </c>
      <c r="O69" s="1116">
        <f t="shared" si="83"/>
        <v>0</v>
      </c>
      <c r="P69" s="1117">
        <f t="shared" si="84"/>
        <v>0</v>
      </c>
      <c r="Q69" s="1117">
        <f t="shared" si="85"/>
        <v>0</v>
      </c>
      <c r="R69" s="1117">
        <f t="shared" si="86"/>
        <v>0</v>
      </c>
      <c r="S69" s="1118"/>
      <c r="W69" s="1116">
        <f t="shared" si="87"/>
        <v>0</v>
      </c>
      <c r="X69" s="1117">
        <f t="shared" si="88"/>
        <v>0</v>
      </c>
      <c r="Y69" s="1117">
        <f t="shared" si="89"/>
        <v>0</v>
      </c>
      <c r="Z69" s="1117">
        <f t="shared" si="90"/>
        <v>0</v>
      </c>
      <c r="AA69" s="1118"/>
      <c r="AE69" s="1116">
        <f t="shared" si="91"/>
        <v>0</v>
      </c>
      <c r="AF69" s="1117">
        <f t="shared" si="92"/>
        <v>0</v>
      </c>
      <c r="AG69" s="1117">
        <f t="shared" si="93"/>
        <v>0</v>
      </c>
      <c r="AH69" s="1117">
        <f t="shared" si="94"/>
        <v>0</v>
      </c>
      <c r="AI69" s="1118"/>
      <c r="AM69" s="1116">
        <f t="shared" si="95"/>
        <v>0</v>
      </c>
      <c r="AN69" s="1117">
        <f t="shared" si="96"/>
        <v>0</v>
      </c>
      <c r="AO69" s="1117">
        <f t="shared" si="97"/>
        <v>0</v>
      </c>
      <c r="AP69" s="1117">
        <f t="shared" si="98"/>
        <v>0</v>
      </c>
      <c r="AQ69" s="1118"/>
      <c r="AU69" s="1116">
        <f t="shared" si="99"/>
        <v>0</v>
      </c>
      <c r="AV69" s="1117">
        <f t="shared" si="100"/>
        <v>0</v>
      </c>
      <c r="AW69" s="1117">
        <f t="shared" si="101"/>
        <v>0</v>
      </c>
      <c r="AX69" s="1117">
        <f t="shared" si="102"/>
        <v>0</v>
      </c>
      <c r="AY69" s="1118"/>
      <c r="BC69" s="1116">
        <f t="shared" si="103"/>
        <v>0</v>
      </c>
      <c r="BD69" s="1117">
        <f t="shared" si="104"/>
        <v>0</v>
      </c>
      <c r="BE69" s="1117">
        <f t="shared" si="105"/>
        <v>0</v>
      </c>
      <c r="BF69" s="1117">
        <f t="shared" si="106"/>
        <v>0</v>
      </c>
      <c r="BG69" s="1118"/>
      <c r="BK69" s="1116">
        <f t="shared" si="107"/>
        <v>0</v>
      </c>
      <c r="BL69" s="1117">
        <f t="shared" si="108"/>
        <v>0</v>
      </c>
      <c r="BM69" s="1117">
        <f t="shared" si="109"/>
        <v>0</v>
      </c>
      <c r="BN69" s="1117">
        <f t="shared" si="110"/>
        <v>0</v>
      </c>
      <c r="BO69" s="1118"/>
      <c r="BS69" s="1116">
        <f t="shared" si="111"/>
        <v>0</v>
      </c>
      <c r="BT69" s="1117">
        <f t="shared" si="112"/>
        <v>0</v>
      </c>
      <c r="BU69" s="1117">
        <f t="shared" si="113"/>
        <v>0</v>
      </c>
      <c r="BV69" s="1117">
        <f t="shared" si="114"/>
        <v>0</v>
      </c>
      <c r="BW69" s="1118"/>
      <c r="CA69" s="1116">
        <f t="shared" si="115"/>
        <v>0</v>
      </c>
      <c r="CB69" s="1117">
        <f t="shared" si="116"/>
        <v>0</v>
      </c>
      <c r="CC69" s="1117">
        <f t="shared" si="117"/>
        <v>0</v>
      </c>
      <c r="CD69" s="1117">
        <f t="shared" si="118"/>
        <v>0</v>
      </c>
      <c r="CE69" s="1118"/>
      <c r="CI69" s="1116">
        <f t="shared" si="119"/>
        <v>0</v>
      </c>
      <c r="CJ69" s="1117">
        <f t="shared" si="120"/>
        <v>0</v>
      </c>
      <c r="CK69" s="1117">
        <f t="shared" si="121"/>
        <v>0</v>
      </c>
      <c r="CL69" s="1117">
        <f t="shared" si="122"/>
        <v>0</v>
      </c>
      <c r="CM69" s="1118"/>
      <c r="CQ69" s="1116">
        <f t="shared" si="123"/>
        <v>0</v>
      </c>
      <c r="CR69" s="1117">
        <f t="shared" si="124"/>
        <v>0</v>
      </c>
      <c r="CS69" s="1117">
        <f t="shared" si="125"/>
        <v>0</v>
      </c>
      <c r="CT69" s="1117">
        <f t="shared" si="126"/>
        <v>0</v>
      </c>
      <c r="CU69" s="1118"/>
      <c r="CY69" s="1116">
        <f t="shared" si="127"/>
        <v>0</v>
      </c>
      <c r="CZ69" s="1117">
        <f t="shared" si="128"/>
        <v>0</v>
      </c>
      <c r="DA69" s="1117">
        <f t="shared" si="129"/>
        <v>0</v>
      </c>
      <c r="DB69" s="1117">
        <f t="shared" si="130"/>
        <v>0</v>
      </c>
      <c r="DC69" s="1118"/>
      <c r="DG69" s="1116">
        <f t="shared" si="131"/>
        <v>0</v>
      </c>
      <c r="DH69" s="1117">
        <f t="shared" si="132"/>
        <v>0</v>
      </c>
      <c r="DI69" s="1117">
        <f t="shared" si="133"/>
        <v>0</v>
      </c>
      <c r="DJ69" s="1117">
        <f t="shared" si="134"/>
        <v>0</v>
      </c>
      <c r="DK69" s="1118"/>
      <c r="DO69" s="1116">
        <f t="shared" si="135"/>
        <v>0</v>
      </c>
      <c r="DP69" s="1117">
        <f t="shared" si="136"/>
        <v>0</v>
      </c>
      <c r="DQ69" s="1117">
        <f t="shared" si="137"/>
        <v>0</v>
      </c>
      <c r="DR69" s="1117">
        <f t="shared" si="138"/>
        <v>0</v>
      </c>
      <c r="DS69" s="1118"/>
      <c r="DW69" s="1116">
        <f t="shared" si="139"/>
        <v>0</v>
      </c>
      <c r="DX69" s="1117">
        <f t="shared" si="140"/>
        <v>0</v>
      </c>
      <c r="DY69" s="1117">
        <f t="shared" si="141"/>
        <v>0</v>
      </c>
      <c r="DZ69" s="1117">
        <f t="shared" si="142"/>
        <v>0</v>
      </c>
      <c r="EA69" s="1118"/>
      <c r="EE69" s="1116">
        <f t="shared" si="143"/>
        <v>0</v>
      </c>
      <c r="EF69" s="1117">
        <f t="shared" si="144"/>
        <v>0</v>
      </c>
      <c r="EG69" s="1117">
        <f t="shared" si="145"/>
        <v>0</v>
      </c>
      <c r="EH69" s="1117">
        <f t="shared" si="146"/>
        <v>0</v>
      </c>
      <c r="EI69" s="1118"/>
      <c r="EM69" s="1116">
        <f t="shared" si="147"/>
        <v>0</v>
      </c>
      <c r="EN69" s="1117">
        <f t="shared" si="148"/>
        <v>0</v>
      </c>
      <c r="EO69" s="1117">
        <f t="shared" si="149"/>
        <v>0</v>
      </c>
      <c r="EP69" s="1117">
        <f t="shared" si="150"/>
        <v>0</v>
      </c>
      <c r="EQ69" s="1118"/>
      <c r="EU69" s="1116">
        <f t="shared" si="151"/>
        <v>0</v>
      </c>
      <c r="EV69" s="1117">
        <f t="shared" si="152"/>
        <v>0</v>
      </c>
      <c r="EW69" s="1117">
        <f t="shared" si="153"/>
        <v>0</v>
      </c>
      <c r="EX69" s="1117">
        <f t="shared" si="154"/>
        <v>0</v>
      </c>
      <c r="EY69" s="1118"/>
      <c r="FC69" s="1116">
        <f t="shared" si="155"/>
        <v>0</v>
      </c>
      <c r="FD69" s="1117">
        <f t="shared" si="156"/>
        <v>0</v>
      </c>
      <c r="FE69" s="1117">
        <f t="shared" si="157"/>
        <v>0</v>
      </c>
      <c r="FF69" s="1117">
        <f t="shared" si="158"/>
        <v>0</v>
      </c>
      <c r="FG69" s="1118"/>
      <c r="FK69" s="1116">
        <f t="shared" si="159"/>
        <v>0</v>
      </c>
      <c r="FL69" s="1117">
        <f t="shared" si="160"/>
        <v>0</v>
      </c>
      <c r="FM69" s="1117">
        <f t="shared" si="161"/>
        <v>0</v>
      </c>
      <c r="FN69" s="1117">
        <f t="shared" si="162"/>
        <v>0</v>
      </c>
      <c r="FO69" s="1118"/>
    </row>
    <row r="70" spans="1:171">
      <c r="A70" s="1423"/>
      <c r="B70" s="913" t="s">
        <v>162</v>
      </c>
      <c r="C70" s="888" t="s">
        <v>69</v>
      </c>
      <c r="D70" s="888">
        <v>108</v>
      </c>
      <c r="E70" s="182" t="str">
        <f>'Sch 1- Rate Base '!E70</f>
        <v>DIRECT</v>
      </c>
      <c r="F70" s="889"/>
      <c r="G70" s="182">
        <f>'Sch 1- Rate Base '!G70</f>
        <v>0</v>
      </c>
      <c r="H70" s="182">
        <f>'Sch 1- Rate Base '!H70</f>
        <v>0</v>
      </c>
      <c r="I70" s="182">
        <f>'Sch 1- Rate Base '!I70</f>
        <v>0</v>
      </c>
      <c r="J70" s="1424">
        <f>'Sch 1- Rate Base '!J70</f>
        <v>0</v>
      </c>
      <c r="K70" s="903">
        <f t="shared" si="82"/>
        <v>0</v>
      </c>
      <c r="O70" s="1116">
        <f t="shared" si="83"/>
        <v>0</v>
      </c>
      <c r="P70" s="1117">
        <f t="shared" si="84"/>
        <v>0</v>
      </c>
      <c r="Q70" s="1117">
        <f t="shared" si="85"/>
        <v>0</v>
      </c>
      <c r="R70" s="1117">
        <f t="shared" si="86"/>
        <v>0</v>
      </c>
      <c r="S70" s="1118"/>
      <c r="W70" s="1116">
        <f t="shared" si="87"/>
        <v>0</v>
      </c>
      <c r="X70" s="1117">
        <f t="shared" si="88"/>
        <v>0</v>
      </c>
      <c r="Y70" s="1117">
        <f t="shared" si="89"/>
        <v>0</v>
      </c>
      <c r="Z70" s="1117">
        <f t="shared" si="90"/>
        <v>0</v>
      </c>
      <c r="AA70" s="1118"/>
      <c r="AE70" s="1116">
        <f t="shared" si="91"/>
        <v>0</v>
      </c>
      <c r="AF70" s="1117">
        <f t="shared" si="92"/>
        <v>0</v>
      </c>
      <c r="AG70" s="1117">
        <f t="shared" si="93"/>
        <v>0</v>
      </c>
      <c r="AH70" s="1117">
        <f t="shared" si="94"/>
        <v>0</v>
      </c>
      <c r="AI70" s="1118"/>
      <c r="AM70" s="1116">
        <f t="shared" si="95"/>
        <v>0</v>
      </c>
      <c r="AN70" s="1117">
        <f t="shared" si="96"/>
        <v>0</v>
      </c>
      <c r="AO70" s="1117">
        <f t="shared" si="97"/>
        <v>0</v>
      </c>
      <c r="AP70" s="1117">
        <f t="shared" si="98"/>
        <v>0</v>
      </c>
      <c r="AQ70" s="1118"/>
      <c r="AU70" s="1116">
        <f t="shared" si="99"/>
        <v>0</v>
      </c>
      <c r="AV70" s="1117">
        <f t="shared" si="100"/>
        <v>0</v>
      </c>
      <c r="AW70" s="1117">
        <f t="shared" si="101"/>
        <v>0</v>
      </c>
      <c r="AX70" s="1117">
        <f t="shared" si="102"/>
        <v>0</v>
      </c>
      <c r="AY70" s="1118"/>
      <c r="BC70" s="1116">
        <f t="shared" si="103"/>
        <v>0</v>
      </c>
      <c r="BD70" s="1117">
        <f t="shared" si="104"/>
        <v>0</v>
      </c>
      <c r="BE70" s="1117">
        <f t="shared" si="105"/>
        <v>0</v>
      </c>
      <c r="BF70" s="1117">
        <f t="shared" si="106"/>
        <v>0</v>
      </c>
      <c r="BG70" s="1118"/>
      <c r="BK70" s="1116">
        <f t="shared" si="107"/>
        <v>0</v>
      </c>
      <c r="BL70" s="1117">
        <f t="shared" si="108"/>
        <v>0</v>
      </c>
      <c r="BM70" s="1117">
        <f t="shared" si="109"/>
        <v>0</v>
      </c>
      <c r="BN70" s="1117">
        <f t="shared" si="110"/>
        <v>0</v>
      </c>
      <c r="BO70" s="1118"/>
      <c r="BS70" s="1116">
        <f t="shared" si="111"/>
        <v>0</v>
      </c>
      <c r="BT70" s="1117">
        <f t="shared" si="112"/>
        <v>0</v>
      </c>
      <c r="BU70" s="1117">
        <f t="shared" si="113"/>
        <v>0</v>
      </c>
      <c r="BV70" s="1117">
        <f t="shared" si="114"/>
        <v>0</v>
      </c>
      <c r="BW70" s="1118"/>
      <c r="CA70" s="1116">
        <f t="shared" si="115"/>
        <v>0</v>
      </c>
      <c r="CB70" s="1117">
        <f t="shared" si="116"/>
        <v>0</v>
      </c>
      <c r="CC70" s="1117">
        <f t="shared" si="117"/>
        <v>0</v>
      </c>
      <c r="CD70" s="1117">
        <f t="shared" si="118"/>
        <v>0</v>
      </c>
      <c r="CE70" s="1118"/>
      <c r="CI70" s="1116">
        <f t="shared" si="119"/>
        <v>0</v>
      </c>
      <c r="CJ70" s="1117">
        <f t="shared" si="120"/>
        <v>0</v>
      </c>
      <c r="CK70" s="1117">
        <f t="shared" si="121"/>
        <v>0</v>
      </c>
      <c r="CL70" s="1117">
        <f t="shared" si="122"/>
        <v>0</v>
      </c>
      <c r="CM70" s="1118"/>
      <c r="CQ70" s="1116">
        <f t="shared" si="123"/>
        <v>0</v>
      </c>
      <c r="CR70" s="1117">
        <f t="shared" si="124"/>
        <v>0</v>
      </c>
      <c r="CS70" s="1117">
        <f t="shared" si="125"/>
        <v>0</v>
      </c>
      <c r="CT70" s="1117">
        <f t="shared" si="126"/>
        <v>0</v>
      </c>
      <c r="CU70" s="1118"/>
      <c r="CY70" s="1116">
        <f t="shared" si="127"/>
        <v>0</v>
      </c>
      <c r="CZ70" s="1117">
        <f t="shared" si="128"/>
        <v>0</v>
      </c>
      <c r="DA70" s="1117">
        <f t="shared" si="129"/>
        <v>0</v>
      </c>
      <c r="DB70" s="1117">
        <f t="shared" si="130"/>
        <v>0</v>
      </c>
      <c r="DC70" s="1118"/>
      <c r="DG70" s="1116">
        <f t="shared" si="131"/>
        <v>0</v>
      </c>
      <c r="DH70" s="1117">
        <f t="shared" si="132"/>
        <v>0</v>
      </c>
      <c r="DI70" s="1117">
        <f t="shared" si="133"/>
        <v>0</v>
      </c>
      <c r="DJ70" s="1117">
        <f t="shared" si="134"/>
        <v>0</v>
      </c>
      <c r="DK70" s="1118"/>
      <c r="DO70" s="1116">
        <f t="shared" si="135"/>
        <v>0</v>
      </c>
      <c r="DP70" s="1117">
        <f t="shared" si="136"/>
        <v>0</v>
      </c>
      <c r="DQ70" s="1117">
        <f t="shared" si="137"/>
        <v>0</v>
      </c>
      <c r="DR70" s="1117">
        <f t="shared" si="138"/>
        <v>0</v>
      </c>
      <c r="DS70" s="1118"/>
      <c r="DW70" s="1116">
        <f t="shared" si="139"/>
        <v>0</v>
      </c>
      <c r="DX70" s="1117">
        <f t="shared" si="140"/>
        <v>0</v>
      </c>
      <c r="DY70" s="1117">
        <f t="shared" si="141"/>
        <v>0</v>
      </c>
      <c r="DZ70" s="1117">
        <f t="shared" si="142"/>
        <v>0</v>
      </c>
      <c r="EA70" s="1118"/>
      <c r="EE70" s="1116">
        <f t="shared" si="143"/>
        <v>0</v>
      </c>
      <c r="EF70" s="1117">
        <f t="shared" si="144"/>
        <v>0</v>
      </c>
      <c r="EG70" s="1117">
        <f t="shared" si="145"/>
        <v>0</v>
      </c>
      <c r="EH70" s="1117">
        <f t="shared" si="146"/>
        <v>0</v>
      </c>
      <c r="EI70" s="1118"/>
      <c r="EM70" s="1116">
        <f t="shared" si="147"/>
        <v>0</v>
      </c>
      <c r="EN70" s="1117">
        <f t="shared" si="148"/>
        <v>0</v>
      </c>
      <c r="EO70" s="1117">
        <f t="shared" si="149"/>
        <v>0</v>
      </c>
      <c r="EP70" s="1117">
        <f t="shared" si="150"/>
        <v>0</v>
      </c>
      <c r="EQ70" s="1118"/>
      <c r="EU70" s="1116">
        <f t="shared" si="151"/>
        <v>0</v>
      </c>
      <c r="EV70" s="1117">
        <f t="shared" si="152"/>
        <v>0</v>
      </c>
      <c r="EW70" s="1117">
        <f t="shared" si="153"/>
        <v>0</v>
      </c>
      <c r="EX70" s="1117">
        <f t="shared" si="154"/>
        <v>0</v>
      </c>
      <c r="EY70" s="1118"/>
      <c r="FC70" s="1116">
        <f t="shared" si="155"/>
        <v>0</v>
      </c>
      <c r="FD70" s="1117">
        <f t="shared" si="156"/>
        <v>0</v>
      </c>
      <c r="FE70" s="1117">
        <f t="shared" si="157"/>
        <v>0</v>
      </c>
      <c r="FF70" s="1117">
        <f t="shared" si="158"/>
        <v>0</v>
      </c>
      <c r="FG70" s="1118"/>
      <c r="FK70" s="1116">
        <f t="shared" si="159"/>
        <v>0</v>
      </c>
      <c r="FL70" s="1117">
        <f t="shared" si="160"/>
        <v>0</v>
      </c>
      <c r="FM70" s="1117">
        <f t="shared" si="161"/>
        <v>0</v>
      </c>
      <c r="FN70" s="1117">
        <f t="shared" si="162"/>
        <v>0</v>
      </c>
      <c r="FO70" s="1118"/>
    </row>
    <row r="71" spans="1:171">
      <c r="A71" s="1423"/>
      <c r="B71" s="913" t="s">
        <v>404</v>
      </c>
      <c r="C71" s="888" t="s">
        <v>69</v>
      </c>
      <c r="D71" s="888">
        <v>108</v>
      </c>
      <c r="E71" s="182" t="str">
        <f>'Sch 1- Rate Base '!E71</f>
        <v>DIRECT</v>
      </c>
      <c r="F71" s="889"/>
      <c r="G71" s="182">
        <f>'Sch 1- Rate Base '!G71</f>
        <v>219309854</v>
      </c>
      <c r="H71" s="182">
        <f>'Sch 1- Rate Base '!H71</f>
        <v>61406759.120000005</v>
      </c>
      <c r="I71" s="182">
        <f>'Sch 1- Rate Base '!I71</f>
        <v>0</v>
      </c>
      <c r="J71" s="1424">
        <f>'Sch 1- Rate Base '!J71</f>
        <v>157903094.88</v>
      </c>
      <c r="K71" s="903">
        <f t="shared" si="82"/>
        <v>0</v>
      </c>
      <c r="O71" s="1116">
        <f t="shared" si="83"/>
        <v>219309854</v>
      </c>
      <c r="P71" s="1117">
        <f t="shared" si="84"/>
        <v>61406759.120000005</v>
      </c>
      <c r="Q71" s="1117">
        <f t="shared" si="85"/>
        <v>0</v>
      </c>
      <c r="R71" s="1117">
        <f t="shared" si="86"/>
        <v>157903094.88</v>
      </c>
      <c r="S71" s="1118"/>
      <c r="W71" s="1116">
        <f t="shared" si="87"/>
        <v>219309854</v>
      </c>
      <c r="X71" s="1117">
        <f t="shared" si="88"/>
        <v>61406759.120000005</v>
      </c>
      <c r="Y71" s="1117">
        <f t="shared" si="89"/>
        <v>0</v>
      </c>
      <c r="Z71" s="1117">
        <f t="shared" si="90"/>
        <v>157903094.88</v>
      </c>
      <c r="AA71" s="1118"/>
      <c r="AE71" s="1116">
        <f t="shared" si="91"/>
        <v>219309854</v>
      </c>
      <c r="AF71" s="1117">
        <f t="shared" si="92"/>
        <v>61406759.120000005</v>
      </c>
      <c r="AG71" s="1117">
        <f t="shared" si="93"/>
        <v>0</v>
      </c>
      <c r="AH71" s="1117">
        <f t="shared" si="94"/>
        <v>157903094.88</v>
      </c>
      <c r="AI71" s="1118"/>
      <c r="AM71" s="1116">
        <f t="shared" si="95"/>
        <v>219309854</v>
      </c>
      <c r="AN71" s="1117">
        <f t="shared" si="96"/>
        <v>61406759.120000005</v>
      </c>
      <c r="AO71" s="1117">
        <f t="shared" si="97"/>
        <v>0</v>
      </c>
      <c r="AP71" s="1117">
        <f t="shared" si="98"/>
        <v>157903094.88</v>
      </c>
      <c r="AQ71" s="1118"/>
      <c r="AU71" s="1116">
        <f t="shared" si="99"/>
        <v>219309854</v>
      </c>
      <c r="AV71" s="1117">
        <f t="shared" si="100"/>
        <v>61406759.120000005</v>
      </c>
      <c r="AW71" s="1117">
        <f t="shared" si="101"/>
        <v>0</v>
      </c>
      <c r="AX71" s="1117">
        <f t="shared" si="102"/>
        <v>157903094.88</v>
      </c>
      <c r="AY71" s="1118"/>
      <c r="BC71" s="1116">
        <f t="shared" si="103"/>
        <v>219309854</v>
      </c>
      <c r="BD71" s="1117">
        <f t="shared" si="104"/>
        <v>61406759.120000005</v>
      </c>
      <c r="BE71" s="1117">
        <f t="shared" si="105"/>
        <v>0</v>
      </c>
      <c r="BF71" s="1117">
        <f t="shared" si="106"/>
        <v>157903094.88</v>
      </c>
      <c r="BG71" s="1118"/>
      <c r="BK71" s="1116">
        <f t="shared" si="107"/>
        <v>219309854</v>
      </c>
      <c r="BL71" s="1117">
        <f t="shared" si="108"/>
        <v>61406759.120000005</v>
      </c>
      <c r="BM71" s="1117">
        <f t="shared" si="109"/>
        <v>0</v>
      </c>
      <c r="BN71" s="1117">
        <f t="shared" si="110"/>
        <v>157903094.88</v>
      </c>
      <c r="BO71" s="1118"/>
      <c r="BS71" s="1116">
        <f t="shared" si="111"/>
        <v>219309854</v>
      </c>
      <c r="BT71" s="1117">
        <f t="shared" si="112"/>
        <v>61406759.120000005</v>
      </c>
      <c r="BU71" s="1117">
        <f t="shared" si="113"/>
        <v>0</v>
      </c>
      <c r="BV71" s="1117">
        <f t="shared" si="114"/>
        <v>157903094.88</v>
      </c>
      <c r="BW71" s="1118"/>
      <c r="CA71" s="1116">
        <f t="shared" si="115"/>
        <v>219309854</v>
      </c>
      <c r="CB71" s="1117">
        <f t="shared" si="116"/>
        <v>61406759.120000005</v>
      </c>
      <c r="CC71" s="1117">
        <f t="shared" si="117"/>
        <v>0</v>
      </c>
      <c r="CD71" s="1117">
        <f t="shared" si="118"/>
        <v>157903094.88</v>
      </c>
      <c r="CE71" s="1118"/>
      <c r="CI71" s="1116">
        <f t="shared" si="119"/>
        <v>219309854</v>
      </c>
      <c r="CJ71" s="1117">
        <f t="shared" si="120"/>
        <v>61406759.120000005</v>
      </c>
      <c r="CK71" s="1117">
        <f t="shared" si="121"/>
        <v>0</v>
      </c>
      <c r="CL71" s="1117">
        <f t="shared" si="122"/>
        <v>157903094.88</v>
      </c>
      <c r="CM71" s="1118"/>
      <c r="CQ71" s="1116">
        <f t="shared" si="123"/>
        <v>219309854</v>
      </c>
      <c r="CR71" s="1117">
        <f t="shared" si="124"/>
        <v>61406759.120000005</v>
      </c>
      <c r="CS71" s="1117">
        <f t="shared" si="125"/>
        <v>0</v>
      </c>
      <c r="CT71" s="1117">
        <f t="shared" si="126"/>
        <v>157903094.88</v>
      </c>
      <c r="CU71" s="1118"/>
      <c r="CY71" s="1116">
        <f t="shared" si="127"/>
        <v>219309854</v>
      </c>
      <c r="CZ71" s="1117">
        <f t="shared" si="128"/>
        <v>61406759.120000005</v>
      </c>
      <c r="DA71" s="1117">
        <f t="shared" si="129"/>
        <v>0</v>
      </c>
      <c r="DB71" s="1117">
        <f t="shared" si="130"/>
        <v>157903094.88</v>
      </c>
      <c r="DC71" s="1118"/>
      <c r="DG71" s="1116">
        <f t="shared" si="131"/>
        <v>219309854</v>
      </c>
      <c r="DH71" s="1117">
        <f t="shared" si="132"/>
        <v>61406759.120000005</v>
      </c>
      <c r="DI71" s="1117">
        <f t="shared" si="133"/>
        <v>0</v>
      </c>
      <c r="DJ71" s="1117">
        <f t="shared" si="134"/>
        <v>157903094.88</v>
      </c>
      <c r="DK71" s="1118"/>
      <c r="DO71" s="1116">
        <f t="shared" si="135"/>
        <v>219309854</v>
      </c>
      <c r="DP71" s="1117">
        <f t="shared" si="136"/>
        <v>61406759.120000005</v>
      </c>
      <c r="DQ71" s="1117">
        <f t="shared" si="137"/>
        <v>0</v>
      </c>
      <c r="DR71" s="1117">
        <f t="shared" si="138"/>
        <v>157903094.88</v>
      </c>
      <c r="DS71" s="1118"/>
      <c r="DW71" s="1116">
        <f t="shared" si="139"/>
        <v>219309854</v>
      </c>
      <c r="DX71" s="1117">
        <f t="shared" si="140"/>
        <v>61406759.120000005</v>
      </c>
      <c r="DY71" s="1117">
        <f t="shared" si="141"/>
        <v>0</v>
      </c>
      <c r="DZ71" s="1117">
        <f t="shared" si="142"/>
        <v>157903094.88</v>
      </c>
      <c r="EA71" s="1118"/>
      <c r="EE71" s="1116">
        <f t="shared" si="143"/>
        <v>219309854</v>
      </c>
      <c r="EF71" s="1117">
        <f t="shared" si="144"/>
        <v>61406759.120000005</v>
      </c>
      <c r="EG71" s="1117">
        <f t="shared" si="145"/>
        <v>0</v>
      </c>
      <c r="EH71" s="1117">
        <f t="shared" si="146"/>
        <v>157903094.88</v>
      </c>
      <c r="EI71" s="1118"/>
      <c r="EM71" s="1116">
        <f t="shared" si="147"/>
        <v>219309854</v>
      </c>
      <c r="EN71" s="1117">
        <f t="shared" si="148"/>
        <v>61406759.120000005</v>
      </c>
      <c r="EO71" s="1117">
        <f t="shared" si="149"/>
        <v>0</v>
      </c>
      <c r="EP71" s="1117">
        <f t="shared" si="150"/>
        <v>157903094.88</v>
      </c>
      <c r="EQ71" s="1118"/>
      <c r="EU71" s="1116">
        <f t="shared" si="151"/>
        <v>219309854</v>
      </c>
      <c r="EV71" s="1117">
        <f t="shared" si="152"/>
        <v>61406759.120000005</v>
      </c>
      <c r="EW71" s="1117">
        <f t="shared" si="153"/>
        <v>0</v>
      </c>
      <c r="EX71" s="1117">
        <f t="shared" si="154"/>
        <v>157903094.88</v>
      </c>
      <c r="EY71" s="1118"/>
      <c r="FC71" s="1116">
        <f t="shared" si="155"/>
        <v>219309854</v>
      </c>
      <c r="FD71" s="1117">
        <f t="shared" si="156"/>
        <v>61406759.120000005</v>
      </c>
      <c r="FE71" s="1117">
        <f t="shared" si="157"/>
        <v>0</v>
      </c>
      <c r="FF71" s="1117">
        <f t="shared" si="158"/>
        <v>157903094.88</v>
      </c>
      <c r="FG71" s="1118"/>
      <c r="FK71" s="1116">
        <f t="shared" si="159"/>
        <v>219309854</v>
      </c>
      <c r="FL71" s="1117">
        <f t="shared" si="160"/>
        <v>61406759.120000005</v>
      </c>
      <c r="FM71" s="1117">
        <f t="shared" si="161"/>
        <v>0</v>
      </c>
      <c r="FN71" s="1117">
        <f t="shared" si="162"/>
        <v>157903094.88</v>
      </c>
      <c r="FO71" s="1118"/>
    </row>
    <row r="72" spans="1:171">
      <c r="A72" s="1423"/>
      <c r="B72" s="913" t="s">
        <v>405</v>
      </c>
      <c r="C72" s="888" t="s">
        <v>69</v>
      </c>
      <c r="D72" s="888">
        <v>108</v>
      </c>
      <c r="E72" s="182" t="str">
        <f>'Sch 1- Rate Base '!E72</f>
        <v>DIRECT</v>
      </c>
      <c r="F72" s="889"/>
      <c r="G72" s="182">
        <f>'Sch 1- Rate Base '!G72</f>
        <v>0</v>
      </c>
      <c r="H72" s="182">
        <f>'Sch 1- Rate Base '!H72</f>
        <v>0</v>
      </c>
      <c r="I72" s="182">
        <f>'Sch 1- Rate Base '!I72</f>
        <v>0</v>
      </c>
      <c r="J72" s="1424">
        <f>'Sch 1- Rate Base '!J72</f>
        <v>0</v>
      </c>
      <c r="K72" s="903">
        <f t="shared" si="82"/>
        <v>0</v>
      </c>
      <c r="O72" s="1116">
        <f t="shared" si="83"/>
        <v>0</v>
      </c>
      <c r="P72" s="1117">
        <f t="shared" si="84"/>
        <v>0</v>
      </c>
      <c r="Q72" s="1117">
        <f t="shared" si="85"/>
        <v>0</v>
      </c>
      <c r="R72" s="1117">
        <f t="shared" si="86"/>
        <v>0</v>
      </c>
      <c r="S72" s="1118"/>
      <c r="W72" s="1116">
        <f t="shared" si="87"/>
        <v>0</v>
      </c>
      <c r="X72" s="1117">
        <f t="shared" si="88"/>
        <v>0</v>
      </c>
      <c r="Y72" s="1117">
        <f t="shared" si="89"/>
        <v>0</v>
      </c>
      <c r="Z72" s="1117">
        <f t="shared" si="90"/>
        <v>0</v>
      </c>
      <c r="AA72" s="1118"/>
      <c r="AE72" s="1116">
        <f t="shared" si="91"/>
        <v>0</v>
      </c>
      <c r="AF72" s="1117">
        <f t="shared" si="92"/>
        <v>0</v>
      </c>
      <c r="AG72" s="1117">
        <f t="shared" si="93"/>
        <v>0</v>
      </c>
      <c r="AH72" s="1117">
        <f t="shared" si="94"/>
        <v>0</v>
      </c>
      <c r="AI72" s="1118"/>
      <c r="AM72" s="1116">
        <f t="shared" si="95"/>
        <v>0</v>
      </c>
      <c r="AN72" s="1117">
        <f t="shared" si="96"/>
        <v>0</v>
      </c>
      <c r="AO72" s="1117">
        <f t="shared" si="97"/>
        <v>0</v>
      </c>
      <c r="AP72" s="1117">
        <f t="shared" si="98"/>
        <v>0</v>
      </c>
      <c r="AQ72" s="1118"/>
      <c r="AU72" s="1116">
        <f t="shared" si="99"/>
        <v>0</v>
      </c>
      <c r="AV72" s="1117">
        <f t="shared" si="100"/>
        <v>0</v>
      </c>
      <c r="AW72" s="1117">
        <f t="shared" si="101"/>
        <v>0</v>
      </c>
      <c r="AX72" s="1117">
        <f t="shared" si="102"/>
        <v>0</v>
      </c>
      <c r="AY72" s="1118"/>
      <c r="BC72" s="1116">
        <f t="shared" si="103"/>
        <v>0</v>
      </c>
      <c r="BD72" s="1117">
        <f t="shared" si="104"/>
        <v>0</v>
      </c>
      <c r="BE72" s="1117">
        <f t="shared" si="105"/>
        <v>0</v>
      </c>
      <c r="BF72" s="1117">
        <f t="shared" si="106"/>
        <v>0</v>
      </c>
      <c r="BG72" s="1118"/>
      <c r="BK72" s="1116">
        <f t="shared" si="107"/>
        <v>0</v>
      </c>
      <c r="BL72" s="1117">
        <f t="shared" si="108"/>
        <v>0</v>
      </c>
      <c r="BM72" s="1117">
        <f t="shared" si="109"/>
        <v>0</v>
      </c>
      <c r="BN72" s="1117">
        <f t="shared" si="110"/>
        <v>0</v>
      </c>
      <c r="BO72" s="1118"/>
      <c r="BS72" s="1116">
        <f t="shared" si="111"/>
        <v>0</v>
      </c>
      <c r="BT72" s="1117">
        <f t="shared" si="112"/>
        <v>0</v>
      </c>
      <c r="BU72" s="1117">
        <f t="shared" si="113"/>
        <v>0</v>
      </c>
      <c r="BV72" s="1117">
        <f t="shared" si="114"/>
        <v>0</v>
      </c>
      <c r="BW72" s="1118"/>
      <c r="CA72" s="1116">
        <f t="shared" si="115"/>
        <v>0</v>
      </c>
      <c r="CB72" s="1117">
        <f t="shared" si="116"/>
        <v>0</v>
      </c>
      <c r="CC72" s="1117">
        <f t="shared" si="117"/>
        <v>0</v>
      </c>
      <c r="CD72" s="1117">
        <f t="shared" si="118"/>
        <v>0</v>
      </c>
      <c r="CE72" s="1118"/>
      <c r="CI72" s="1116">
        <f t="shared" si="119"/>
        <v>0</v>
      </c>
      <c r="CJ72" s="1117">
        <f t="shared" si="120"/>
        <v>0</v>
      </c>
      <c r="CK72" s="1117">
        <f t="shared" si="121"/>
        <v>0</v>
      </c>
      <c r="CL72" s="1117">
        <f t="shared" si="122"/>
        <v>0</v>
      </c>
      <c r="CM72" s="1118"/>
      <c r="CQ72" s="1116">
        <f t="shared" si="123"/>
        <v>0</v>
      </c>
      <c r="CR72" s="1117">
        <f t="shared" si="124"/>
        <v>0</v>
      </c>
      <c r="CS72" s="1117">
        <f t="shared" si="125"/>
        <v>0</v>
      </c>
      <c r="CT72" s="1117">
        <f t="shared" si="126"/>
        <v>0</v>
      </c>
      <c r="CU72" s="1118"/>
      <c r="CY72" s="1116">
        <f t="shared" si="127"/>
        <v>0</v>
      </c>
      <c r="CZ72" s="1117">
        <f t="shared" si="128"/>
        <v>0</v>
      </c>
      <c r="DA72" s="1117">
        <f t="shared" si="129"/>
        <v>0</v>
      </c>
      <c r="DB72" s="1117">
        <f t="shared" si="130"/>
        <v>0</v>
      </c>
      <c r="DC72" s="1118"/>
      <c r="DG72" s="1116">
        <f t="shared" si="131"/>
        <v>0</v>
      </c>
      <c r="DH72" s="1117">
        <f t="shared" si="132"/>
        <v>0</v>
      </c>
      <c r="DI72" s="1117">
        <f t="shared" si="133"/>
        <v>0</v>
      </c>
      <c r="DJ72" s="1117">
        <f t="shared" si="134"/>
        <v>0</v>
      </c>
      <c r="DK72" s="1118"/>
      <c r="DO72" s="1116">
        <f t="shared" si="135"/>
        <v>0</v>
      </c>
      <c r="DP72" s="1117">
        <f t="shared" si="136"/>
        <v>0</v>
      </c>
      <c r="DQ72" s="1117">
        <f t="shared" si="137"/>
        <v>0</v>
      </c>
      <c r="DR72" s="1117">
        <f t="shared" si="138"/>
        <v>0</v>
      </c>
      <c r="DS72" s="1118"/>
      <c r="DW72" s="1116">
        <f t="shared" si="139"/>
        <v>0</v>
      </c>
      <c r="DX72" s="1117">
        <f t="shared" si="140"/>
        <v>0</v>
      </c>
      <c r="DY72" s="1117">
        <f t="shared" si="141"/>
        <v>0</v>
      </c>
      <c r="DZ72" s="1117">
        <f t="shared" si="142"/>
        <v>0</v>
      </c>
      <c r="EA72" s="1118"/>
      <c r="EE72" s="1116">
        <f t="shared" si="143"/>
        <v>0</v>
      </c>
      <c r="EF72" s="1117">
        <f t="shared" si="144"/>
        <v>0</v>
      </c>
      <c r="EG72" s="1117">
        <f t="shared" si="145"/>
        <v>0</v>
      </c>
      <c r="EH72" s="1117">
        <f t="shared" si="146"/>
        <v>0</v>
      </c>
      <c r="EI72" s="1118"/>
      <c r="EM72" s="1116">
        <f t="shared" si="147"/>
        <v>0</v>
      </c>
      <c r="EN72" s="1117">
        <f t="shared" si="148"/>
        <v>0</v>
      </c>
      <c r="EO72" s="1117">
        <f t="shared" si="149"/>
        <v>0</v>
      </c>
      <c r="EP72" s="1117">
        <f t="shared" si="150"/>
        <v>0</v>
      </c>
      <c r="EQ72" s="1118"/>
      <c r="EU72" s="1116">
        <f t="shared" si="151"/>
        <v>0</v>
      </c>
      <c r="EV72" s="1117">
        <f t="shared" si="152"/>
        <v>0</v>
      </c>
      <c r="EW72" s="1117">
        <f t="shared" si="153"/>
        <v>0</v>
      </c>
      <c r="EX72" s="1117">
        <f t="shared" si="154"/>
        <v>0</v>
      </c>
      <c r="EY72" s="1118"/>
      <c r="FC72" s="1116">
        <f t="shared" si="155"/>
        <v>0</v>
      </c>
      <c r="FD72" s="1117">
        <f t="shared" si="156"/>
        <v>0</v>
      </c>
      <c r="FE72" s="1117">
        <f t="shared" si="157"/>
        <v>0</v>
      </c>
      <c r="FF72" s="1117">
        <f t="shared" si="158"/>
        <v>0</v>
      </c>
      <c r="FG72" s="1118"/>
      <c r="FK72" s="1116">
        <f t="shared" si="159"/>
        <v>0</v>
      </c>
      <c r="FL72" s="1117">
        <f t="shared" si="160"/>
        <v>0</v>
      </c>
      <c r="FM72" s="1117">
        <f t="shared" si="161"/>
        <v>0</v>
      </c>
      <c r="FN72" s="1117">
        <f t="shared" si="162"/>
        <v>0</v>
      </c>
      <c r="FO72" s="1118"/>
    </row>
    <row r="73" spans="1:171">
      <c r="A73" s="1423"/>
      <c r="B73" s="913" t="s">
        <v>551</v>
      </c>
      <c r="C73" s="888" t="s">
        <v>69</v>
      </c>
      <c r="D73" s="888">
        <v>115</v>
      </c>
      <c r="E73" s="182" t="str">
        <f>'Sch 1- Rate Base '!E73</f>
        <v>DIRECT</v>
      </c>
      <c r="F73" s="889"/>
      <c r="G73" s="182">
        <f>'Sch 1- Rate Base '!G73</f>
        <v>0</v>
      </c>
      <c r="H73" s="182">
        <f>'Sch 1- Rate Base '!H73</f>
        <v>0</v>
      </c>
      <c r="I73" s="182">
        <f>'Sch 1- Rate Base '!I73</f>
        <v>0</v>
      </c>
      <c r="J73" s="1424">
        <f>'Sch 1- Rate Base '!J73</f>
        <v>0</v>
      </c>
      <c r="K73" s="903">
        <f t="shared" si="82"/>
        <v>0</v>
      </c>
      <c r="O73" s="1116">
        <f t="shared" si="83"/>
        <v>0</v>
      </c>
      <c r="P73" s="1117">
        <f t="shared" si="84"/>
        <v>0</v>
      </c>
      <c r="Q73" s="1117">
        <f t="shared" si="85"/>
        <v>0</v>
      </c>
      <c r="R73" s="1117">
        <f t="shared" si="86"/>
        <v>0</v>
      </c>
      <c r="S73" s="1118"/>
      <c r="W73" s="1116">
        <f t="shared" si="87"/>
        <v>0</v>
      </c>
      <c r="X73" s="1117">
        <f t="shared" si="88"/>
        <v>0</v>
      </c>
      <c r="Y73" s="1117">
        <f t="shared" si="89"/>
        <v>0</v>
      </c>
      <c r="Z73" s="1117">
        <f t="shared" si="90"/>
        <v>0</v>
      </c>
      <c r="AA73" s="1118"/>
      <c r="AE73" s="1116">
        <f t="shared" si="91"/>
        <v>0</v>
      </c>
      <c r="AF73" s="1117">
        <f t="shared" si="92"/>
        <v>0</v>
      </c>
      <c r="AG73" s="1117">
        <f t="shared" si="93"/>
        <v>0</v>
      </c>
      <c r="AH73" s="1117">
        <f t="shared" si="94"/>
        <v>0</v>
      </c>
      <c r="AI73" s="1118"/>
      <c r="AM73" s="1116">
        <f t="shared" si="95"/>
        <v>0</v>
      </c>
      <c r="AN73" s="1117">
        <f t="shared" si="96"/>
        <v>0</v>
      </c>
      <c r="AO73" s="1117">
        <f t="shared" si="97"/>
        <v>0</v>
      </c>
      <c r="AP73" s="1117">
        <f t="shared" si="98"/>
        <v>0</v>
      </c>
      <c r="AQ73" s="1118"/>
      <c r="AU73" s="1116">
        <f t="shared" si="99"/>
        <v>0</v>
      </c>
      <c r="AV73" s="1117">
        <f t="shared" si="100"/>
        <v>0</v>
      </c>
      <c r="AW73" s="1117">
        <f t="shared" si="101"/>
        <v>0</v>
      </c>
      <c r="AX73" s="1117">
        <f t="shared" si="102"/>
        <v>0</v>
      </c>
      <c r="AY73" s="1118"/>
      <c r="BC73" s="1116">
        <f t="shared" si="103"/>
        <v>0</v>
      </c>
      <c r="BD73" s="1117">
        <f t="shared" si="104"/>
        <v>0</v>
      </c>
      <c r="BE73" s="1117">
        <f t="shared" si="105"/>
        <v>0</v>
      </c>
      <c r="BF73" s="1117">
        <f t="shared" si="106"/>
        <v>0</v>
      </c>
      <c r="BG73" s="1118"/>
      <c r="BK73" s="1116">
        <f t="shared" si="107"/>
        <v>0</v>
      </c>
      <c r="BL73" s="1117">
        <f t="shared" si="108"/>
        <v>0</v>
      </c>
      <c r="BM73" s="1117">
        <f t="shared" si="109"/>
        <v>0</v>
      </c>
      <c r="BN73" s="1117">
        <f t="shared" si="110"/>
        <v>0</v>
      </c>
      <c r="BO73" s="1118"/>
      <c r="BS73" s="1116">
        <f t="shared" si="111"/>
        <v>0</v>
      </c>
      <c r="BT73" s="1117">
        <f t="shared" si="112"/>
        <v>0</v>
      </c>
      <c r="BU73" s="1117">
        <f t="shared" si="113"/>
        <v>0</v>
      </c>
      <c r="BV73" s="1117">
        <f t="shared" si="114"/>
        <v>0</v>
      </c>
      <c r="BW73" s="1118"/>
      <c r="CA73" s="1116">
        <f t="shared" si="115"/>
        <v>0</v>
      </c>
      <c r="CB73" s="1117">
        <f t="shared" si="116"/>
        <v>0</v>
      </c>
      <c r="CC73" s="1117">
        <f t="shared" si="117"/>
        <v>0</v>
      </c>
      <c r="CD73" s="1117">
        <f t="shared" si="118"/>
        <v>0</v>
      </c>
      <c r="CE73" s="1118"/>
      <c r="CI73" s="1116">
        <f t="shared" si="119"/>
        <v>0</v>
      </c>
      <c r="CJ73" s="1117">
        <f t="shared" si="120"/>
        <v>0</v>
      </c>
      <c r="CK73" s="1117">
        <f t="shared" si="121"/>
        <v>0</v>
      </c>
      <c r="CL73" s="1117">
        <f t="shared" si="122"/>
        <v>0</v>
      </c>
      <c r="CM73" s="1118"/>
      <c r="CQ73" s="1116">
        <f t="shared" si="123"/>
        <v>0</v>
      </c>
      <c r="CR73" s="1117">
        <f t="shared" si="124"/>
        <v>0</v>
      </c>
      <c r="CS73" s="1117">
        <f t="shared" si="125"/>
        <v>0</v>
      </c>
      <c r="CT73" s="1117">
        <f t="shared" si="126"/>
        <v>0</v>
      </c>
      <c r="CU73" s="1118"/>
      <c r="CY73" s="1116">
        <f t="shared" si="127"/>
        <v>0</v>
      </c>
      <c r="CZ73" s="1117">
        <f t="shared" si="128"/>
        <v>0</v>
      </c>
      <c r="DA73" s="1117">
        <f t="shared" si="129"/>
        <v>0</v>
      </c>
      <c r="DB73" s="1117">
        <f t="shared" si="130"/>
        <v>0</v>
      </c>
      <c r="DC73" s="1118"/>
      <c r="DG73" s="1116">
        <f t="shared" si="131"/>
        <v>0</v>
      </c>
      <c r="DH73" s="1117">
        <f t="shared" si="132"/>
        <v>0</v>
      </c>
      <c r="DI73" s="1117">
        <f t="shared" si="133"/>
        <v>0</v>
      </c>
      <c r="DJ73" s="1117">
        <f t="shared" si="134"/>
        <v>0</v>
      </c>
      <c r="DK73" s="1118"/>
      <c r="DO73" s="1116">
        <f t="shared" si="135"/>
        <v>0</v>
      </c>
      <c r="DP73" s="1117">
        <f t="shared" si="136"/>
        <v>0</v>
      </c>
      <c r="DQ73" s="1117">
        <f t="shared" si="137"/>
        <v>0</v>
      </c>
      <c r="DR73" s="1117">
        <f t="shared" si="138"/>
        <v>0</v>
      </c>
      <c r="DS73" s="1118"/>
      <c r="DW73" s="1116">
        <f t="shared" si="139"/>
        <v>0</v>
      </c>
      <c r="DX73" s="1117">
        <f t="shared" si="140"/>
        <v>0</v>
      </c>
      <c r="DY73" s="1117">
        <f t="shared" si="141"/>
        <v>0</v>
      </c>
      <c r="DZ73" s="1117">
        <f t="shared" si="142"/>
        <v>0</v>
      </c>
      <c r="EA73" s="1118"/>
      <c r="EE73" s="1116">
        <f t="shared" si="143"/>
        <v>0</v>
      </c>
      <c r="EF73" s="1117">
        <f t="shared" si="144"/>
        <v>0</v>
      </c>
      <c r="EG73" s="1117">
        <f t="shared" si="145"/>
        <v>0</v>
      </c>
      <c r="EH73" s="1117">
        <f t="shared" si="146"/>
        <v>0</v>
      </c>
      <c r="EI73" s="1118"/>
      <c r="EM73" s="1116">
        <f t="shared" si="147"/>
        <v>0</v>
      </c>
      <c r="EN73" s="1117">
        <f t="shared" si="148"/>
        <v>0</v>
      </c>
      <c r="EO73" s="1117">
        <f t="shared" si="149"/>
        <v>0</v>
      </c>
      <c r="EP73" s="1117">
        <f t="shared" si="150"/>
        <v>0</v>
      </c>
      <c r="EQ73" s="1118"/>
      <c r="EU73" s="1116">
        <f t="shared" si="151"/>
        <v>0</v>
      </c>
      <c r="EV73" s="1117">
        <f t="shared" si="152"/>
        <v>0</v>
      </c>
      <c r="EW73" s="1117">
        <f t="shared" si="153"/>
        <v>0</v>
      </c>
      <c r="EX73" s="1117">
        <f t="shared" si="154"/>
        <v>0</v>
      </c>
      <c r="EY73" s="1118"/>
      <c r="FC73" s="1116">
        <f t="shared" si="155"/>
        <v>0</v>
      </c>
      <c r="FD73" s="1117">
        <f t="shared" si="156"/>
        <v>0</v>
      </c>
      <c r="FE73" s="1117">
        <f t="shared" si="157"/>
        <v>0</v>
      </c>
      <c r="FF73" s="1117">
        <f t="shared" si="158"/>
        <v>0</v>
      </c>
      <c r="FG73" s="1118"/>
      <c r="FK73" s="1116">
        <f t="shared" si="159"/>
        <v>0</v>
      </c>
      <c r="FL73" s="1117">
        <f t="shared" si="160"/>
        <v>0</v>
      </c>
      <c r="FM73" s="1117">
        <f t="shared" si="161"/>
        <v>0</v>
      </c>
      <c r="FN73" s="1117">
        <f t="shared" si="162"/>
        <v>0</v>
      </c>
      <c r="FO73" s="1118"/>
    </row>
    <row r="74" spans="1:171">
      <c r="A74" s="1423"/>
      <c r="B74" s="913"/>
      <c r="C74" s="55"/>
      <c r="D74" s="196"/>
      <c r="E74" s="196"/>
      <c r="F74" s="196"/>
      <c r="G74" s="924"/>
      <c r="H74" s="198"/>
      <c r="I74" s="198"/>
      <c r="J74" s="1429"/>
      <c r="K74" s="903"/>
      <c r="S74" s="1118"/>
      <c r="AA74" s="1118"/>
      <c r="AI74" s="1118"/>
      <c r="AQ74" s="1118"/>
      <c r="AY74" s="1118"/>
      <c r="BG74" s="1118"/>
      <c r="BO74" s="1118"/>
      <c r="BW74" s="1118"/>
      <c r="CE74" s="1118"/>
      <c r="CM74" s="1118"/>
      <c r="CU74" s="1118"/>
      <c r="DC74" s="1118"/>
      <c r="DK74" s="1118"/>
      <c r="DS74" s="1118"/>
      <c r="EA74" s="1118"/>
      <c r="EI74" s="1118"/>
      <c r="EQ74" s="1118"/>
      <c r="EY74" s="1118"/>
      <c r="FG74" s="1118"/>
      <c r="FO74" s="1118"/>
    </row>
    <row r="75" spans="1:171">
      <c r="A75" s="1342" t="s">
        <v>211</v>
      </c>
      <c r="B75" s="913"/>
      <c r="C75" s="888"/>
      <c r="D75" s="888"/>
      <c r="E75" s="182" t="str">
        <f>'Sch 1- Rate Base '!E75</f>
        <v>DIRECT</v>
      </c>
      <c r="F75" s="889"/>
      <c r="G75" s="182">
        <f>'Sch 1- Rate Base '!G75</f>
        <v>0</v>
      </c>
      <c r="H75" s="182">
        <f>'Sch 1- Rate Base '!H75</f>
        <v>0</v>
      </c>
      <c r="I75" s="182">
        <f>'Sch 1- Rate Base '!I75</f>
        <v>0</v>
      </c>
      <c r="J75" s="1424">
        <f>'Sch 1- Rate Base '!J75</f>
        <v>0</v>
      </c>
      <c r="K75" s="903">
        <f t="shared" si="82"/>
        <v>0</v>
      </c>
      <c r="S75" s="1118"/>
      <c r="AA75" s="1118"/>
      <c r="AI75" s="1118"/>
      <c r="AQ75" s="1118"/>
      <c r="AY75" s="1118"/>
      <c r="BG75" s="1118"/>
      <c r="BO75" s="1118"/>
      <c r="BW75" s="1118"/>
      <c r="CE75" s="1118"/>
      <c r="CM75" s="1118"/>
      <c r="CU75" s="1118"/>
      <c r="DC75" s="1118"/>
      <c r="DK75" s="1118"/>
      <c r="DS75" s="1118"/>
      <c r="EA75" s="1118"/>
      <c r="EI75" s="1118"/>
      <c r="EQ75" s="1118"/>
      <c r="EY75" s="1118"/>
      <c r="FG75" s="1118"/>
      <c r="FO75" s="1118"/>
    </row>
    <row r="76" spans="1:171">
      <c r="A76" s="1432"/>
      <c r="B76" s="913"/>
      <c r="C76" s="55"/>
      <c r="D76" s="196"/>
      <c r="E76" s="196"/>
      <c r="F76" s="196"/>
      <c r="G76" s="917"/>
      <c r="H76" s="198"/>
      <c r="I76" s="198"/>
      <c r="J76" s="1429"/>
      <c r="K76" s="903"/>
      <c r="S76" s="1118"/>
      <c r="AA76" s="1118"/>
      <c r="AI76" s="1118"/>
      <c r="AQ76" s="1118"/>
      <c r="AY76" s="1118"/>
      <c r="BG76" s="1118"/>
      <c r="BO76" s="1118"/>
      <c r="BW76" s="1118"/>
      <c r="CE76" s="1118"/>
      <c r="CM76" s="1118"/>
      <c r="CU76" s="1118"/>
      <c r="DC76" s="1118"/>
      <c r="DK76" s="1118"/>
      <c r="DS76" s="1118"/>
      <c r="EA76" s="1118"/>
      <c r="EI76" s="1118"/>
      <c r="EQ76" s="1118"/>
      <c r="EY76" s="1118"/>
      <c r="FG76" s="1118"/>
      <c r="FO76" s="1118"/>
    </row>
    <row r="77" spans="1:171">
      <c r="A77" s="1351" t="s">
        <v>223</v>
      </c>
      <c r="B77" s="64"/>
      <c r="C77" s="914"/>
      <c r="D77" s="915"/>
      <c r="E77" s="915"/>
      <c r="F77" s="916"/>
      <c r="G77" s="923">
        <f>SUM(G57:G75)</f>
        <v>2165002924.3600001</v>
      </c>
      <c r="H77" s="923">
        <f>SUM(H57:H75)</f>
        <v>861828044.45139837</v>
      </c>
      <c r="I77" s="923">
        <f>SUM(I57:I75)</f>
        <v>0</v>
      </c>
      <c r="J77" s="1431">
        <f>SUM(J57:J75)</f>
        <v>1303174879.9053044</v>
      </c>
      <c r="K77" s="903"/>
      <c r="O77" s="1120">
        <f>SUM(O57:O75)</f>
        <v>2165002924.3600001</v>
      </c>
      <c r="P77" s="1120">
        <f>SUM(P57:P75)</f>
        <v>861828044.45139837</v>
      </c>
      <c r="Q77" s="1120">
        <f>SUM(Q57:Q75)</f>
        <v>305791043.74374974</v>
      </c>
      <c r="R77" s="1120">
        <f>SUM(R57:R75)</f>
        <v>997383836.16485202</v>
      </c>
      <c r="S77" s="1118"/>
      <c r="W77" s="1120">
        <f>SUM(W57:W75)</f>
        <v>2165002924.3600001</v>
      </c>
      <c r="X77" s="1120">
        <f>SUM(X57:X75)</f>
        <v>861828044.45139837</v>
      </c>
      <c r="Y77" s="1120">
        <f>SUM(Y57:Y75)</f>
        <v>305791043.74374974</v>
      </c>
      <c r="Z77" s="1120">
        <f>SUM(Z57:Z75)</f>
        <v>997383836.16485202</v>
      </c>
      <c r="AA77" s="1118"/>
      <c r="AE77" s="1120">
        <f>SUM(AE57:AE75)</f>
        <v>2165002924.3600001</v>
      </c>
      <c r="AF77" s="1120">
        <f>SUM(AF57:AF75)</f>
        <v>861828044.45139837</v>
      </c>
      <c r="AG77" s="1120">
        <f>SUM(AG57:AG75)</f>
        <v>305791043.74374974</v>
      </c>
      <c r="AH77" s="1120">
        <f>SUM(AH57:AH75)</f>
        <v>997383836.16485202</v>
      </c>
      <c r="AI77" s="1118"/>
      <c r="AM77" s="1120">
        <f>SUM(AM57:AM75)</f>
        <v>2165002924.3600001</v>
      </c>
      <c r="AN77" s="1120">
        <f>SUM(AN57:AN75)</f>
        <v>861828044.45139837</v>
      </c>
      <c r="AO77" s="1120">
        <f>SUM(AO57:AO75)</f>
        <v>305791043.74374974</v>
      </c>
      <c r="AP77" s="1120">
        <f>SUM(AP57:AP75)</f>
        <v>997383836.16485202</v>
      </c>
      <c r="AQ77" s="1118"/>
      <c r="AU77" s="1120">
        <f>SUM(AU57:AU75)</f>
        <v>2165002924.3600001</v>
      </c>
      <c r="AV77" s="1120">
        <f>SUM(AV57:AV75)</f>
        <v>861828044.45139837</v>
      </c>
      <c r="AW77" s="1120">
        <f>SUM(AW57:AW75)</f>
        <v>305791043.74374974</v>
      </c>
      <c r="AX77" s="1120">
        <f>SUM(AX57:AX75)</f>
        <v>997383836.16485202</v>
      </c>
      <c r="AY77" s="1118"/>
      <c r="BC77" s="1120">
        <f>SUM(BC57:BC75)</f>
        <v>2165002924.3600001</v>
      </c>
      <c r="BD77" s="1120">
        <f>SUM(BD57:BD75)</f>
        <v>861828044.45139837</v>
      </c>
      <c r="BE77" s="1120">
        <f>SUM(BE57:BE75)</f>
        <v>305791043.74374974</v>
      </c>
      <c r="BF77" s="1120">
        <f>SUM(BF57:BF75)</f>
        <v>997383836.16485202</v>
      </c>
      <c r="BG77" s="1118"/>
      <c r="BK77" s="1120">
        <f>SUM(BK57:BK75)</f>
        <v>2165002924.3600001</v>
      </c>
      <c r="BL77" s="1120">
        <f>SUM(BL57:BL75)</f>
        <v>861828044.45139837</v>
      </c>
      <c r="BM77" s="1120">
        <f>SUM(BM57:BM75)</f>
        <v>305791043.74374974</v>
      </c>
      <c r="BN77" s="1120">
        <f>SUM(BN57:BN75)</f>
        <v>997383836.16485202</v>
      </c>
      <c r="BO77" s="1118"/>
      <c r="BS77" s="1120">
        <f>SUM(BS57:BS75)</f>
        <v>2165002924.3600001</v>
      </c>
      <c r="BT77" s="1120">
        <f>SUM(BT57:BT75)</f>
        <v>861828044.45139837</v>
      </c>
      <c r="BU77" s="1120">
        <f>SUM(BU57:BU75)</f>
        <v>305791043.74374974</v>
      </c>
      <c r="BV77" s="1120">
        <f>SUM(BV57:BV75)</f>
        <v>997383836.16485202</v>
      </c>
      <c r="BW77" s="1118"/>
      <c r="CA77" s="1120">
        <f>SUM(CA57:CA75)</f>
        <v>2165002924.3600001</v>
      </c>
      <c r="CB77" s="1120">
        <f>SUM(CB57:CB75)</f>
        <v>861828044.45139837</v>
      </c>
      <c r="CC77" s="1120">
        <f>SUM(CC57:CC75)</f>
        <v>305791043.74374974</v>
      </c>
      <c r="CD77" s="1120">
        <f>SUM(CD57:CD75)</f>
        <v>997383836.16485202</v>
      </c>
      <c r="CE77" s="1118"/>
      <c r="CI77" s="1120">
        <f>SUM(CI57:CI75)</f>
        <v>2165002924.3600001</v>
      </c>
      <c r="CJ77" s="1120">
        <f>SUM(CJ57:CJ75)</f>
        <v>861828044.45139837</v>
      </c>
      <c r="CK77" s="1120">
        <f>SUM(CK57:CK75)</f>
        <v>305791043.74374974</v>
      </c>
      <c r="CL77" s="1120">
        <f>SUM(CL57:CL75)</f>
        <v>997383836.16485202</v>
      </c>
      <c r="CM77" s="1118"/>
      <c r="CQ77" s="1120">
        <f>SUM(CQ57:CQ75)</f>
        <v>2165002924.3600001</v>
      </c>
      <c r="CR77" s="1120">
        <f>SUM(CR57:CR75)</f>
        <v>861828044.45139837</v>
      </c>
      <c r="CS77" s="1120">
        <f>SUM(CS57:CS75)</f>
        <v>305791043.74374974</v>
      </c>
      <c r="CT77" s="1120">
        <f>SUM(CT57:CT75)</f>
        <v>997383836.16485202</v>
      </c>
      <c r="CU77" s="1118"/>
      <c r="CY77" s="1120">
        <f>SUM(CY57:CY75)</f>
        <v>2165002924.3600001</v>
      </c>
      <c r="CZ77" s="1120">
        <f>SUM(CZ57:CZ75)</f>
        <v>861828044.45139837</v>
      </c>
      <c r="DA77" s="1120">
        <f>SUM(DA57:DA75)</f>
        <v>305791043.74374974</v>
      </c>
      <c r="DB77" s="1120">
        <f>SUM(DB57:DB75)</f>
        <v>997383836.16485202</v>
      </c>
      <c r="DC77" s="1118"/>
      <c r="DG77" s="1120">
        <f>SUM(DG57:DG75)</f>
        <v>2165002924.3600001</v>
      </c>
      <c r="DH77" s="1120">
        <f>SUM(DH57:DH75)</f>
        <v>861828044.45139837</v>
      </c>
      <c r="DI77" s="1120">
        <f>SUM(DI57:DI75)</f>
        <v>305791043.74374974</v>
      </c>
      <c r="DJ77" s="1120">
        <f>SUM(DJ57:DJ75)</f>
        <v>997383836.16485202</v>
      </c>
      <c r="DK77" s="1118"/>
      <c r="DO77" s="1120">
        <f>SUM(DO57:DO75)</f>
        <v>2165002924.3600001</v>
      </c>
      <c r="DP77" s="1120">
        <f>SUM(DP57:DP75)</f>
        <v>861828044.45139837</v>
      </c>
      <c r="DQ77" s="1120">
        <f>SUM(DQ57:DQ75)</f>
        <v>305791043.74374974</v>
      </c>
      <c r="DR77" s="1120">
        <f>SUM(DR57:DR75)</f>
        <v>997383836.16485202</v>
      </c>
      <c r="DS77" s="1118"/>
      <c r="DW77" s="1120">
        <f>SUM(DW57:DW75)</f>
        <v>2165002924.3600001</v>
      </c>
      <c r="DX77" s="1120">
        <f>SUM(DX57:DX75)</f>
        <v>861828044.45139837</v>
      </c>
      <c r="DY77" s="1120">
        <f>SUM(DY57:DY75)</f>
        <v>305791043.74374974</v>
      </c>
      <c r="DZ77" s="1120">
        <f>SUM(DZ57:DZ75)</f>
        <v>997383836.16485202</v>
      </c>
      <c r="EA77" s="1118"/>
      <c r="EE77" s="1120">
        <f>SUM(EE57:EE75)</f>
        <v>2165002924.3600001</v>
      </c>
      <c r="EF77" s="1120">
        <f>SUM(EF57:EF75)</f>
        <v>861828044.45139837</v>
      </c>
      <c r="EG77" s="1120">
        <f>SUM(EG57:EG75)</f>
        <v>305791043.74374974</v>
      </c>
      <c r="EH77" s="1120">
        <f>SUM(EH57:EH75)</f>
        <v>997383836.16485202</v>
      </c>
      <c r="EI77" s="1118"/>
      <c r="EM77" s="1120">
        <f>SUM(EM57:EM75)</f>
        <v>2165002924.3600001</v>
      </c>
      <c r="EN77" s="1120">
        <f>SUM(EN57:EN75)</f>
        <v>861828044.45139837</v>
      </c>
      <c r="EO77" s="1120">
        <f>SUM(EO57:EO75)</f>
        <v>305791043.74374974</v>
      </c>
      <c r="EP77" s="1120">
        <f>SUM(EP57:EP75)</f>
        <v>997383836.16485202</v>
      </c>
      <c r="EQ77" s="1118"/>
      <c r="EU77" s="1120">
        <f>SUM(EU57:EU75)</f>
        <v>2165002924.3600001</v>
      </c>
      <c r="EV77" s="1120">
        <f>SUM(EV57:EV75)</f>
        <v>861828044.45139837</v>
      </c>
      <c r="EW77" s="1120">
        <f>SUM(EW57:EW75)</f>
        <v>305791043.74374974</v>
      </c>
      <c r="EX77" s="1120">
        <f>SUM(EX57:EX75)</f>
        <v>997383836.16485202</v>
      </c>
      <c r="EY77" s="1118"/>
      <c r="FC77" s="1120">
        <f>SUM(FC57:FC75)</f>
        <v>2165002924.3600001</v>
      </c>
      <c r="FD77" s="1120">
        <f>SUM(FD57:FD75)</f>
        <v>861828044.45139837</v>
      </c>
      <c r="FE77" s="1120">
        <f>SUM(FE57:FE75)</f>
        <v>305791043.74374974</v>
      </c>
      <c r="FF77" s="1120">
        <f>SUM(FF57:FF75)</f>
        <v>997383836.16485202</v>
      </c>
      <c r="FG77" s="1118"/>
      <c r="FK77" s="1120">
        <f>SUM(FK57:FK75)</f>
        <v>2165002924.3600001</v>
      </c>
      <c r="FL77" s="1120">
        <f>SUM(FL57:FL75)</f>
        <v>861828044.45139837</v>
      </c>
      <c r="FM77" s="1120">
        <f>SUM(FM57:FM75)</f>
        <v>305791043.74374974</v>
      </c>
      <c r="FN77" s="1120">
        <f>SUM(FN57:FN75)</f>
        <v>997383836.16485202</v>
      </c>
      <c r="FO77" s="1118"/>
    </row>
    <row r="78" spans="1:171">
      <c r="A78" s="1432"/>
      <c r="B78" s="926"/>
      <c r="C78" s="55"/>
      <c r="D78" s="196"/>
      <c r="E78" s="196"/>
      <c r="F78" s="196"/>
      <c r="G78" s="927"/>
      <c r="H78" s="927"/>
      <c r="I78" s="927"/>
      <c r="J78" s="1433"/>
      <c r="K78" s="903"/>
      <c r="O78" s="1079"/>
      <c r="P78" s="1079"/>
      <c r="Q78" s="1079"/>
      <c r="R78" s="1079"/>
      <c r="S78" s="1073"/>
      <c r="W78" s="1079"/>
      <c r="X78" s="1079"/>
      <c r="Y78" s="1079"/>
      <c r="Z78" s="1079"/>
      <c r="AA78" s="1073"/>
      <c r="AE78" s="1079"/>
      <c r="AF78" s="1079"/>
      <c r="AG78" s="1079"/>
      <c r="AH78" s="1079"/>
      <c r="AI78" s="1073"/>
      <c r="AM78" s="1079"/>
      <c r="AN78" s="1079"/>
      <c r="AO78" s="1079"/>
      <c r="AP78" s="1079"/>
      <c r="AQ78" s="1073"/>
      <c r="AU78" s="1079"/>
      <c r="AV78" s="1079"/>
      <c r="AW78" s="1079"/>
      <c r="AX78" s="1079"/>
      <c r="AY78" s="1073"/>
      <c r="BC78" s="1079"/>
      <c r="BD78" s="1079"/>
      <c r="BE78" s="1079"/>
      <c r="BF78" s="1079"/>
      <c r="BG78" s="1073"/>
      <c r="BK78" s="1079"/>
      <c r="BL78" s="1079"/>
      <c r="BM78" s="1079"/>
      <c r="BN78" s="1079"/>
      <c r="BO78" s="1073"/>
      <c r="BS78" s="1079"/>
      <c r="BT78" s="1079"/>
      <c r="BU78" s="1079"/>
      <c r="BV78" s="1079"/>
      <c r="BW78" s="1073"/>
      <c r="CA78" s="1079"/>
      <c r="CB78" s="1079"/>
      <c r="CC78" s="1079"/>
      <c r="CD78" s="1079"/>
      <c r="CE78" s="1073"/>
      <c r="CI78" s="1079"/>
      <c r="CJ78" s="1079"/>
      <c r="CK78" s="1079"/>
      <c r="CL78" s="1079"/>
      <c r="CM78" s="1073"/>
      <c r="CQ78" s="1079"/>
      <c r="CR78" s="1079"/>
      <c r="CS78" s="1079"/>
      <c r="CT78" s="1079"/>
      <c r="CU78" s="1073"/>
      <c r="CY78" s="1079"/>
      <c r="CZ78" s="1079"/>
      <c r="DA78" s="1079"/>
      <c r="DB78" s="1079"/>
      <c r="DC78" s="1073"/>
      <c r="DG78" s="1079"/>
      <c r="DH78" s="1079"/>
      <c r="DI78" s="1079"/>
      <c r="DJ78" s="1079"/>
      <c r="DK78" s="1073"/>
      <c r="DO78" s="1079"/>
      <c r="DP78" s="1079"/>
      <c r="DQ78" s="1079"/>
      <c r="DR78" s="1079"/>
      <c r="DS78" s="1073"/>
      <c r="DW78" s="1079"/>
      <c r="DX78" s="1079"/>
      <c r="DY78" s="1079"/>
      <c r="DZ78" s="1079"/>
      <c r="EA78" s="1073"/>
      <c r="EE78" s="1079"/>
      <c r="EF78" s="1079"/>
      <c r="EG78" s="1079"/>
      <c r="EH78" s="1079"/>
      <c r="EI78" s="1073"/>
      <c r="EM78" s="1079"/>
      <c r="EN78" s="1079"/>
      <c r="EO78" s="1079"/>
      <c r="EP78" s="1079"/>
      <c r="EQ78" s="1073"/>
      <c r="EU78" s="1079"/>
      <c r="EV78" s="1079"/>
      <c r="EW78" s="1079"/>
      <c r="EX78" s="1079"/>
      <c r="EY78" s="1073"/>
      <c r="FC78" s="1079"/>
      <c r="FD78" s="1079"/>
      <c r="FE78" s="1079"/>
      <c r="FF78" s="1079"/>
      <c r="FG78" s="1073"/>
      <c r="FK78" s="1079"/>
      <c r="FL78" s="1079"/>
      <c r="FM78" s="1079"/>
      <c r="FN78" s="1079"/>
      <c r="FO78" s="1073"/>
    </row>
    <row r="79" spans="1:171">
      <c r="A79" s="1351" t="s">
        <v>479</v>
      </c>
      <c r="B79" s="64"/>
      <c r="C79" s="914"/>
      <c r="D79" s="915"/>
      <c r="E79" s="915"/>
      <c r="F79" s="916"/>
      <c r="G79" s="923">
        <f>G52-G77</f>
        <v>3187761027.6399999</v>
      </c>
      <c r="H79" s="923">
        <f>H52-H77</f>
        <v>841542967.16555357</v>
      </c>
      <c r="I79" s="923">
        <f>I52-I77</f>
        <v>0</v>
      </c>
      <c r="J79" s="1431">
        <f>J52-J77</f>
        <v>2346218059.9277439</v>
      </c>
      <c r="K79" s="903"/>
      <c r="O79" s="1125">
        <f>O52-O77</f>
        <v>3187761027.6399999</v>
      </c>
      <c r="P79" s="1125">
        <f>P52-P77</f>
        <v>841542967.16555357</v>
      </c>
      <c r="Q79" s="1125">
        <f>Q52-Q77</f>
        <v>795161132.8804611</v>
      </c>
      <c r="R79" s="1125">
        <f>R52-R77</f>
        <v>1551056927.5939851</v>
      </c>
      <c r="S79" s="1073"/>
      <c r="W79" s="1125">
        <f>W52-W77</f>
        <v>3187761027.6399999</v>
      </c>
      <c r="X79" s="1125">
        <f>X52-X77</f>
        <v>841542967.16555357</v>
      </c>
      <c r="Y79" s="1125">
        <f>Y52-Y77</f>
        <v>795161132.8804611</v>
      </c>
      <c r="Z79" s="1125">
        <f>Z52-Z77</f>
        <v>1551056927.5939851</v>
      </c>
      <c r="AA79" s="1073"/>
      <c r="AE79" s="1125">
        <f>AE52-AE77</f>
        <v>3187761027.6399999</v>
      </c>
      <c r="AF79" s="1125">
        <f>AF52-AF77</f>
        <v>841542967.16555357</v>
      </c>
      <c r="AG79" s="1125">
        <f>AG52-AG77</f>
        <v>795161132.8804611</v>
      </c>
      <c r="AH79" s="1125">
        <f>AH52-AH77</f>
        <v>1551056927.5939851</v>
      </c>
      <c r="AI79" s="1073"/>
      <c r="AM79" s="1125">
        <f>AM52-AM77</f>
        <v>3187761027.6399999</v>
      </c>
      <c r="AN79" s="1125">
        <f>AN52-AN77</f>
        <v>841542967.16555357</v>
      </c>
      <c r="AO79" s="1125">
        <f>AO52-AO77</f>
        <v>795161132.8804611</v>
      </c>
      <c r="AP79" s="1125">
        <f>AP52-AP77</f>
        <v>1551056927.5939851</v>
      </c>
      <c r="AQ79" s="1073"/>
      <c r="AU79" s="1125">
        <f>AU52-AU77</f>
        <v>3187761027.6399999</v>
      </c>
      <c r="AV79" s="1125">
        <f>AV52-AV77</f>
        <v>841542967.16555357</v>
      </c>
      <c r="AW79" s="1125">
        <f>AW52-AW77</f>
        <v>795161132.8804611</v>
      </c>
      <c r="AX79" s="1125">
        <f>AX52-AX77</f>
        <v>1551056927.5939851</v>
      </c>
      <c r="AY79" s="1073"/>
      <c r="BC79" s="1125">
        <f>BC52-BC77</f>
        <v>3187761027.6399999</v>
      </c>
      <c r="BD79" s="1125">
        <f>BD52-BD77</f>
        <v>841542967.16555357</v>
      </c>
      <c r="BE79" s="1125">
        <f>BE52-BE77</f>
        <v>795161132.8804611</v>
      </c>
      <c r="BF79" s="1125">
        <f>BF52-BF77</f>
        <v>1551056927.5939851</v>
      </c>
      <c r="BG79" s="1073"/>
      <c r="BK79" s="1125">
        <f>BK52-BK77</f>
        <v>3187761027.6399999</v>
      </c>
      <c r="BL79" s="1125">
        <f>BL52-BL77</f>
        <v>841542967.16555357</v>
      </c>
      <c r="BM79" s="1125">
        <f>BM52-BM77</f>
        <v>795161132.8804611</v>
      </c>
      <c r="BN79" s="1125">
        <f>BN52-BN77</f>
        <v>1551056927.5939851</v>
      </c>
      <c r="BO79" s="1073"/>
      <c r="BS79" s="1125">
        <f>BS52-BS77</f>
        <v>3187761027.6399999</v>
      </c>
      <c r="BT79" s="1125">
        <f>BT52-BT77</f>
        <v>841542967.16555357</v>
      </c>
      <c r="BU79" s="1125">
        <f>BU52-BU77</f>
        <v>795161132.8804611</v>
      </c>
      <c r="BV79" s="1125">
        <f>BV52-BV77</f>
        <v>1551056927.5939851</v>
      </c>
      <c r="BW79" s="1073"/>
      <c r="CA79" s="1125">
        <f>CA52-CA77</f>
        <v>3187761027.6399999</v>
      </c>
      <c r="CB79" s="1125">
        <f>CB52-CB77</f>
        <v>841542967.16555357</v>
      </c>
      <c r="CC79" s="1125">
        <f>CC52-CC77</f>
        <v>795161132.8804611</v>
      </c>
      <c r="CD79" s="1125">
        <f>CD52-CD77</f>
        <v>1551056927.5939851</v>
      </c>
      <c r="CE79" s="1073"/>
      <c r="CI79" s="1125">
        <f>CI52-CI77</f>
        <v>3187761027.6399999</v>
      </c>
      <c r="CJ79" s="1125">
        <f>CJ52-CJ77</f>
        <v>841542967.16555357</v>
      </c>
      <c r="CK79" s="1125">
        <f>CK52-CK77</f>
        <v>795161132.8804611</v>
      </c>
      <c r="CL79" s="1125">
        <f>CL52-CL77</f>
        <v>1551056927.5939851</v>
      </c>
      <c r="CM79" s="1073"/>
      <c r="CQ79" s="1125">
        <f>CQ52-CQ77</f>
        <v>3187761027.6399999</v>
      </c>
      <c r="CR79" s="1125">
        <f>CR52-CR77</f>
        <v>841542967.16555357</v>
      </c>
      <c r="CS79" s="1125">
        <f>CS52-CS77</f>
        <v>795161132.8804611</v>
      </c>
      <c r="CT79" s="1125">
        <f>CT52-CT77</f>
        <v>1551056927.5939851</v>
      </c>
      <c r="CU79" s="1073"/>
      <c r="CY79" s="1125">
        <f>CY52-CY77</f>
        <v>3187761027.6399999</v>
      </c>
      <c r="CZ79" s="1125">
        <f>CZ52-CZ77</f>
        <v>841542967.16555357</v>
      </c>
      <c r="DA79" s="1125">
        <f>DA52-DA77</f>
        <v>795161132.8804611</v>
      </c>
      <c r="DB79" s="1125">
        <f>DB52-DB77</f>
        <v>1551056927.5939851</v>
      </c>
      <c r="DC79" s="1073"/>
      <c r="DG79" s="1125">
        <f>DG52-DG77</f>
        <v>3187761027.6399999</v>
      </c>
      <c r="DH79" s="1125">
        <f>DH52-DH77</f>
        <v>841542967.16555357</v>
      </c>
      <c r="DI79" s="1125">
        <f>DI52-DI77</f>
        <v>795161132.8804611</v>
      </c>
      <c r="DJ79" s="1125">
        <f>DJ52-DJ77</f>
        <v>1551056927.5939851</v>
      </c>
      <c r="DK79" s="1073"/>
      <c r="DO79" s="1125">
        <f>DO52-DO77</f>
        <v>3187761027.6399999</v>
      </c>
      <c r="DP79" s="1125">
        <f>DP52-DP77</f>
        <v>841542967.16555357</v>
      </c>
      <c r="DQ79" s="1125">
        <f>DQ52-DQ77</f>
        <v>795161132.8804611</v>
      </c>
      <c r="DR79" s="1125">
        <f>DR52-DR77</f>
        <v>1551056927.5939851</v>
      </c>
      <c r="DS79" s="1073"/>
      <c r="DW79" s="1125">
        <f>DW52-DW77</f>
        <v>3187761027.6399999</v>
      </c>
      <c r="DX79" s="1125">
        <f>DX52-DX77</f>
        <v>841542967.16555357</v>
      </c>
      <c r="DY79" s="1125">
        <f>DY52-DY77</f>
        <v>795161132.8804611</v>
      </c>
      <c r="DZ79" s="1125">
        <f>DZ52-DZ77</f>
        <v>1551056927.5939851</v>
      </c>
      <c r="EA79" s="1073"/>
      <c r="EE79" s="1125">
        <f>EE52-EE77</f>
        <v>3187761027.6399999</v>
      </c>
      <c r="EF79" s="1125">
        <f>EF52-EF77</f>
        <v>841542967.16555357</v>
      </c>
      <c r="EG79" s="1125">
        <f>EG52-EG77</f>
        <v>795161132.8804611</v>
      </c>
      <c r="EH79" s="1125">
        <f>EH52-EH77</f>
        <v>1551056927.5939851</v>
      </c>
      <c r="EI79" s="1073"/>
      <c r="EM79" s="1125">
        <f>EM52-EM77</f>
        <v>3187761027.6399999</v>
      </c>
      <c r="EN79" s="1125">
        <f>EN52-EN77</f>
        <v>841542967.16555357</v>
      </c>
      <c r="EO79" s="1125">
        <f>EO52-EO77</f>
        <v>795161132.8804611</v>
      </c>
      <c r="EP79" s="1125">
        <f>EP52-EP77</f>
        <v>1551056927.5939851</v>
      </c>
      <c r="EQ79" s="1073"/>
      <c r="EU79" s="1125">
        <f>EU52-EU77</f>
        <v>3187761027.6399999</v>
      </c>
      <c r="EV79" s="1125">
        <f>EV52-EV77</f>
        <v>841542967.16555357</v>
      </c>
      <c r="EW79" s="1125">
        <f>EW52-EW77</f>
        <v>795161132.8804611</v>
      </c>
      <c r="EX79" s="1125">
        <f>EX52-EX77</f>
        <v>1551056927.5939851</v>
      </c>
      <c r="EY79" s="1073"/>
      <c r="FC79" s="1125">
        <f>FC52-FC77</f>
        <v>3187761027.6399999</v>
      </c>
      <c r="FD79" s="1125">
        <f>FD52-FD77</f>
        <v>841542967.16555357</v>
      </c>
      <c r="FE79" s="1125">
        <f>FE52-FE77</f>
        <v>795161132.8804611</v>
      </c>
      <c r="FF79" s="1125">
        <f>FF52-FF77</f>
        <v>1551056927.5939851</v>
      </c>
      <c r="FG79" s="1073"/>
      <c r="FK79" s="1125">
        <f>FK52-FK77</f>
        <v>3187761027.6399999</v>
      </c>
      <c r="FL79" s="1125">
        <f>FL52-FL77</f>
        <v>841542967.16555357</v>
      </c>
      <c r="FM79" s="1125">
        <f>FM52-FM77</f>
        <v>795161132.8804611</v>
      </c>
      <c r="FN79" s="1125">
        <f>FN52-FN77</f>
        <v>1551056927.5939851</v>
      </c>
      <c r="FO79" s="1073"/>
    </row>
    <row r="80" spans="1:171">
      <c r="A80" s="1357" t="s">
        <v>84</v>
      </c>
      <c r="B80" s="64"/>
      <c r="C80" s="55"/>
      <c r="D80" s="55"/>
      <c r="J80" s="1414"/>
      <c r="K80" s="903"/>
      <c r="O80" s="1079"/>
      <c r="P80" s="1079"/>
      <c r="Q80" s="1079"/>
      <c r="R80" s="1079"/>
      <c r="S80" s="1073"/>
      <c r="W80" s="1079"/>
      <c r="X80" s="1079"/>
      <c r="Y80" s="1079"/>
      <c r="Z80" s="1079"/>
      <c r="AA80" s="1073"/>
      <c r="AE80" s="1079"/>
      <c r="AF80" s="1079"/>
      <c r="AG80" s="1079"/>
      <c r="AH80" s="1079"/>
      <c r="AI80" s="1073"/>
      <c r="AM80" s="1079"/>
      <c r="AN80" s="1079"/>
      <c r="AO80" s="1079"/>
      <c r="AP80" s="1079"/>
      <c r="AQ80" s="1073"/>
      <c r="AU80" s="1079"/>
      <c r="AV80" s="1079"/>
      <c r="AW80" s="1079"/>
      <c r="AX80" s="1079"/>
      <c r="AY80" s="1073"/>
      <c r="BC80" s="1079"/>
      <c r="BD80" s="1079"/>
      <c r="BE80" s="1079"/>
      <c r="BF80" s="1079"/>
      <c r="BG80" s="1073"/>
      <c r="BK80" s="1079"/>
      <c r="BL80" s="1079"/>
      <c r="BM80" s="1079"/>
      <c r="BN80" s="1079"/>
      <c r="BO80" s="1073"/>
      <c r="BS80" s="1079"/>
      <c r="BT80" s="1079"/>
      <c r="BU80" s="1079"/>
      <c r="BV80" s="1079"/>
      <c r="BW80" s="1073"/>
      <c r="CA80" s="1079"/>
      <c r="CB80" s="1079"/>
      <c r="CC80" s="1079"/>
      <c r="CD80" s="1079"/>
      <c r="CE80" s="1073"/>
      <c r="CI80" s="1079"/>
      <c r="CJ80" s="1079"/>
      <c r="CK80" s="1079"/>
      <c r="CL80" s="1079"/>
      <c r="CM80" s="1073"/>
      <c r="CQ80" s="1079"/>
      <c r="CR80" s="1079"/>
      <c r="CS80" s="1079"/>
      <c r="CT80" s="1079"/>
      <c r="CU80" s="1073"/>
      <c r="CY80" s="1079"/>
      <c r="CZ80" s="1079"/>
      <c r="DA80" s="1079"/>
      <c r="DB80" s="1079"/>
      <c r="DC80" s="1073"/>
      <c r="DG80" s="1079"/>
      <c r="DH80" s="1079"/>
      <c r="DI80" s="1079"/>
      <c r="DJ80" s="1079"/>
      <c r="DK80" s="1073"/>
      <c r="DO80" s="1079"/>
      <c r="DP80" s="1079"/>
      <c r="DQ80" s="1079"/>
      <c r="DR80" s="1079"/>
      <c r="DS80" s="1073"/>
      <c r="DW80" s="1079"/>
      <c r="DX80" s="1079"/>
      <c r="DY80" s="1079"/>
      <c r="DZ80" s="1079"/>
      <c r="EA80" s="1073"/>
      <c r="EE80" s="1079"/>
      <c r="EF80" s="1079"/>
      <c r="EG80" s="1079"/>
      <c r="EH80" s="1079"/>
      <c r="EI80" s="1073"/>
      <c r="EM80" s="1079"/>
      <c r="EN80" s="1079"/>
      <c r="EO80" s="1079"/>
      <c r="EP80" s="1079"/>
      <c r="EQ80" s="1073"/>
      <c r="EU80" s="1079"/>
      <c r="EV80" s="1079"/>
      <c r="EW80" s="1079"/>
      <c r="EX80" s="1079"/>
      <c r="EY80" s="1073"/>
      <c r="FC80" s="1079"/>
      <c r="FD80" s="1079"/>
      <c r="FE80" s="1079"/>
      <c r="FF80" s="1079"/>
      <c r="FG80" s="1073"/>
      <c r="FK80" s="1079"/>
      <c r="FL80" s="1079"/>
      <c r="FM80" s="1079"/>
      <c r="FN80" s="1079"/>
      <c r="FO80" s="1073"/>
    </row>
    <row r="81" spans="1:171" ht="16.5" thickBot="1">
      <c r="A81" s="1434"/>
      <c r="B81" s="931"/>
      <c r="C81" s="932"/>
      <c r="D81" s="932"/>
      <c r="E81" s="933"/>
      <c r="F81" s="933"/>
      <c r="G81" s="934"/>
      <c r="H81" s="934"/>
      <c r="I81" s="934"/>
      <c r="J81" s="1435"/>
      <c r="K81" s="903"/>
      <c r="O81" s="1079"/>
      <c r="P81" s="1079"/>
      <c r="Q81" s="1079"/>
      <c r="R81" s="1079"/>
      <c r="S81" s="1073"/>
      <c r="W81" s="1079"/>
      <c r="X81" s="1079"/>
      <c r="Y81" s="1079"/>
      <c r="Z81" s="1079"/>
      <c r="AA81" s="1073"/>
      <c r="AE81" s="1079"/>
      <c r="AF81" s="1079"/>
      <c r="AG81" s="1079"/>
      <c r="AH81" s="1079"/>
      <c r="AI81" s="1073"/>
      <c r="AM81" s="1079"/>
      <c r="AN81" s="1079"/>
      <c r="AO81" s="1079"/>
      <c r="AP81" s="1079"/>
      <c r="AQ81" s="1073"/>
      <c r="AU81" s="1079"/>
      <c r="AV81" s="1079"/>
      <c r="AW81" s="1079"/>
      <c r="AX81" s="1079"/>
      <c r="AY81" s="1073"/>
      <c r="BC81" s="1079"/>
      <c r="BD81" s="1079"/>
      <c r="BE81" s="1079"/>
      <c r="BF81" s="1079"/>
      <c r="BG81" s="1073"/>
      <c r="BK81" s="1079"/>
      <c r="BL81" s="1079"/>
      <c r="BM81" s="1079"/>
      <c r="BN81" s="1079"/>
      <c r="BO81" s="1073"/>
      <c r="BS81" s="1079"/>
      <c r="BT81" s="1079"/>
      <c r="BU81" s="1079"/>
      <c r="BV81" s="1079"/>
      <c r="BW81" s="1073"/>
      <c r="CA81" s="1079"/>
      <c r="CB81" s="1079"/>
      <c r="CC81" s="1079"/>
      <c r="CD81" s="1079"/>
      <c r="CE81" s="1073"/>
      <c r="CI81" s="1079"/>
      <c r="CJ81" s="1079"/>
      <c r="CK81" s="1079"/>
      <c r="CL81" s="1079"/>
      <c r="CM81" s="1073"/>
      <c r="CQ81" s="1079"/>
      <c r="CR81" s="1079"/>
      <c r="CS81" s="1079"/>
      <c r="CT81" s="1079"/>
      <c r="CU81" s="1073"/>
      <c r="CY81" s="1079"/>
      <c r="CZ81" s="1079"/>
      <c r="DA81" s="1079"/>
      <c r="DB81" s="1079"/>
      <c r="DC81" s="1073"/>
      <c r="DG81" s="1079"/>
      <c r="DH81" s="1079"/>
      <c r="DI81" s="1079"/>
      <c r="DJ81" s="1079"/>
      <c r="DK81" s="1073"/>
      <c r="DO81" s="1079"/>
      <c r="DP81" s="1079"/>
      <c r="DQ81" s="1079"/>
      <c r="DR81" s="1079"/>
      <c r="DS81" s="1073"/>
      <c r="DW81" s="1079"/>
      <c r="DX81" s="1079"/>
      <c r="DY81" s="1079"/>
      <c r="DZ81" s="1079"/>
      <c r="EA81" s="1073"/>
      <c r="EE81" s="1079"/>
      <c r="EF81" s="1079"/>
      <c r="EG81" s="1079"/>
      <c r="EH81" s="1079"/>
      <c r="EI81" s="1073"/>
      <c r="EM81" s="1079"/>
      <c r="EN81" s="1079"/>
      <c r="EO81" s="1079"/>
      <c r="EP81" s="1079"/>
      <c r="EQ81" s="1073"/>
      <c r="EU81" s="1079"/>
      <c r="EV81" s="1079"/>
      <c r="EW81" s="1079"/>
      <c r="EX81" s="1079"/>
      <c r="EY81" s="1073"/>
      <c r="FC81" s="1079"/>
      <c r="FD81" s="1079"/>
      <c r="FE81" s="1079"/>
      <c r="FF81" s="1079"/>
      <c r="FG81" s="1073"/>
      <c r="FK81" s="1079"/>
      <c r="FL81" s="1079"/>
      <c r="FM81" s="1079"/>
      <c r="FN81" s="1079"/>
      <c r="FO81" s="1073"/>
    </row>
    <row r="82" spans="1:171" ht="16.5" thickTop="1">
      <c r="A82" s="1362" t="s">
        <v>76</v>
      </c>
      <c r="B82" s="64"/>
      <c r="C82" s="55"/>
      <c r="D82" s="55"/>
      <c r="E82" s="929"/>
      <c r="F82" s="929"/>
      <c r="G82" s="910"/>
      <c r="H82" s="910"/>
      <c r="I82" s="910"/>
      <c r="J82" s="1428"/>
      <c r="K82" s="903"/>
      <c r="O82" s="1079"/>
      <c r="P82" s="1079"/>
      <c r="Q82" s="1079"/>
      <c r="R82" s="1079"/>
      <c r="S82" s="1073"/>
      <c r="W82" s="1079"/>
      <c r="X82" s="1079"/>
      <c r="Y82" s="1079"/>
      <c r="Z82" s="1079"/>
      <c r="AA82" s="1073"/>
      <c r="AE82" s="1079"/>
      <c r="AF82" s="1079"/>
      <c r="AG82" s="1079"/>
      <c r="AH82" s="1079"/>
      <c r="AI82" s="1073"/>
      <c r="AM82" s="1079"/>
      <c r="AN82" s="1079"/>
      <c r="AO82" s="1079"/>
      <c r="AP82" s="1079"/>
      <c r="AQ82" s="1073"/>
      <c r="AU82" s="1079"/>
      <c r="AV82" s="1079"/>
      <c r="AW82" s="1079"/>
      <c r="AX82" s="1079"/>
      <c r="AY82" s="1073"/>
      <c r="BC82" s="1079"/>
      <c r="BD82" s="1079"/>
      <c r="BE82" s="1079"/>
      <c r="BF82" s="1079"/>
      <c r="BG82" s="1073"/>
      <c r="BK82" s="1079"/>
      <c r="BL82" s="1079"/>
      <c r="BM82" s="1079"/>
      <c r="BN82" s="1079"/>
      <c r="BO82" s="1073"/>
      <c r="BS82" s="1079"/>
      <c r="BT82" s="1079"/>
      <c r="BU82" s="1079"/>
      <c r="BV82" s="1079"/>
      <c r="BW82" s="1073"/>
      <c r="CA82" s="1079"/>
      <c r="CB82" s="1079"/>
      <c r="CC82" s="1079"/>
      <c r="CD82" s="1079"/>
      <c r="CE82" s="1073"/>
      <c r="CI82" s="1079"/>
      <c r="CJ82" s="1079"/>
      <c r="CK82" s="1079"/>
      <c r="CL82" s="1079"/>
      <c r="CM82" s="1073"/>
      <c r="CQ82" s="1079"/>
      <c r="CR82" s="1079"/>
      <c r="CS82" s="1079"/>
      <c r="CT82" s="1079"/>
      <c r="CU82" s="1073"/>
      <c r="CY82" s="1079"/>
      <c r="CZ82" s="1079"/>
      <c r="DA82" s="1079"/>
      <c r="DB82" s="1079"/>
      <c r="DC82" s="1073"/>
      <c r="DG82" s="1079"/>
      <c r="DH82" s="1079"/>
      <c r="DI82" s="1079"/>
      <c r="DJ82" s="1079"/>
      <c r="DK82" s="1073"/>
      <c r="DO82" s="1079"/>
      <c r="DP82" s="1079"/>
      <c r="DQ82" s="1079"/>
      <c r="DR82" s="1079"/>
      <c r="DS82" s="1073"/>
      <c r="DW82" s="1079"/>
      <c r="DX82" s="1079"/>
      <c r="DY82" s="1079"/>
      <c r="DZ82" s="1079"/>
      <c r="EA82" s="1073"/>
      <c r="EE82" s="1079"/>
      <c r="EF82" s="1079"/>
      <c r="EG82" s="1079"/>
      <c r="EH82" s="1079"/>
      <c r="EI82" s="1073"/>
      <c r="EM82" s="1079"/>
      <c r="EN82" s="1079"/>
      <c r="EO82" s="1079"/>
      <c r="EP82" s="1079"/>
      <c r="EQ82" s="1073"/>
      <c r="EU82" s="1079"/>
      <c r="EV82" s="1079"/>
      <c r="EW82" s="1079"/>
      <c r="EX82" s="1079"/>
      <c r="EY82" s="1073"/>
      <c r="FC82" s="1079"/>
      <c r="FD82" s="1079"/>
      <c r="FE82" s="1079"/>
      <c r="FF82" s="1079"/>
      <c r="FG82" s="1073"/>
      <c r="FK82" s="1079"/>
      <c r="FL82" s="1079"/>
      <c r="FM82" s="1079"/>
      <c r="FN82" s="1079"/>
      <c r="FO82" s="1073"/>
    </row>
    <row r="83" spans="1:171">
      <c r="A83" s="1362"/>
      <c r="B83" s="64"/>
      <c r="C83" s="55"/>
      <c r="D83" s="55"/>
      <c r="E83" s="929"/>
      <c r="F83" s="929"/>
      <c r="G83" s="885"/>
      <c r="H83" s="885"/>
      <c r="I83" s="885"/>
      <c r="J83" s="1436"/>
      <c r="K83" s="903"/>
      <c r="O83" s="1079"/>
      <c r="P83" s="1079"/>
      <c r="Q83" s="1079"/>
      <c r="R83" s="1079"/>
      <c r="S83" s="1073"/>
      <c r="W83" s="1079"/>
      <c r="X83" s="1079"/>
      <c r="Y83" s="1079"/>
      <c r="Z83" s="1079"/>
      <c r="AA83" s="1073"/>
      <c r="AE83" s="1079"/>
      <c r="AF83" s="1079"/>
      <c r="AG83" s="1079"/>
      <c r="AH83" s="1079"/>
      <c r="AI83" s="1073"/>
      <c r="AM83" s="1079"/>
      <c r="AN83" s="1079"/>
      <c r="AO83" s="1079"/>
      <c r="AP83" s="1079"/>
      <c r="AQ83" s="1073"/>
      <c r="AU83" s="1079"/>
      <c r="AV83" s="1079"/>
      <c r="AW83" s="1079"/>
      <c r="AX83" s="1079"/>
      <c r="AY83" s="1073"/>
      <c r="BC83" s="1079"/>
      <c r="BD83" s="1079"/>
      <c r="BE83" s="1079"/>
      <c r="BF83" s="1079"/>
      <c r="BG83" s="1073"/>
      <c r="BK83" s="1079"/>
      <c r="BL83" s="1079"/>
      <c r="BM83" s="1079"/>
      <c r="BN83" s="1079"/>
      <c r="BO83" s="1073"/>
      <c r="BS83" s="1079"/>
      <c r="BT83" s="1079"/>
      <c r="BU83" s="1079"/>
      <c r="BV83" s="1079"/>
      <c r="BW83" s="1073"/>
      <c r="CA83" s="1079"/>
      <c r="CB83" s="1079"/>
      <c r="CC83" s="1079"/>
      <c r="CD83" s="1079"/>
      <c r="CE83" s="1073"/>
      <c r="CI83" s="1079"/>
      <c r="CJ83" s="1079"/>
      <c r="CK83" s="1079"/>
      <c r="CL83" s="1079"/>
      <c r="CM83" s="1073"/>
      <c r="CQ83" s="1079"/>
      <c r="CR83" s="1079"/>
      <c r="CS83" s="1079"/>
      <c r="CT83" s="1079"/>
      <c r="CU83" s="1073"/>
      <c r="CY83" s="1079"/>
      <c r="CZ83" s="1079"/>
      <c r="DA83" s="1079"/>
      <c r="DB83" s="1079"/>
      <c r="DC83" s="1073"/>
      <c r="DG83" s="1079"/>
      <c r="DH83" s="1079"/>
      <c r="DI83" s="1079"/>
      <c r="DJ83" s="1079"/>
      <c r="DK83" s="1073"/>
      <c r="DO83" s="1079"/>
      <c r="DP83" s="1079"/>
      <c r="DQ83" s="1079"/>
      <c r="DR83" s="1079"/>
      <c r="DS83" s="1073"/>
      <c r="DW83" s="1079"/>
      <c r="DX83" s="1079"/>
      <c r="DY83" s="1079"/>
      <c r="DZ83" s="1079"/>
      <c r="EA83" s="1073"/>
      <c r="EE83" s="1079"/>
      <c r="EF83" s="1079"/>
      <c r="EG83" s="1079"/>
      <c r="EH83" s="1079"/>
      <c r="EI83" s="1073"/>
      <c r="EM83" s="1079"/>
      <c r="EN83" s="1079"/>
      <c r="EO83" s="1079"/>
      <c r="EP83" s="1079"/>
      <c r="EQ83" s="1073"/>
      <c r="EU83" s="1079"/>
      <c r="EV83" s="1079"/>
      <c r="EW83" s="1079"/>
      <c r="EX83" s="1079"/>
      <c r="EY83" s="1073"/>
      <c r="FC83" s="1079"/>
      <c r="FD83" s="1079"/>
      <c r="FE83" s="1079"/>
      <c r="FF83" s="1079"/>
      <c r="FG83" s="1073"/>
      <c r="FK83" s="1079"/>
      <c r="FL83" s="1079"/>
      <c r="FM83" s="1079"/>
      <c r="FN83" s="1079"/>
      <c r="FO83" s="1073"/>
    </row>
    <row r="84" spans="1:171">
      <c r="A84" s="1364" t="s">
        <v>144</v>
      </c>
      <c r="B84" s="937"/>
      <c r="C84" s="888" t="s">
        <v>625</v>
      </c>
      <c r="D84" s="888"/>
      <c r="E84" s="182">
        <f>'Sch 1- Rate Base '!E84</f>
        <v>0</v>
      </c>
      <c r="F84" s="889"/>
      <c r="G84" s="182">
        <f>'Sch 1- Rate Base '!G84</f>
        <v>41593656.978750005</v>
      </c>
      <c r="H84" s="182">
        <f>'Sch 1- Rate Base '!H84</f>
        <v>16843399.343093246</v>
      </c>
      <c r="I84" s="182">
        <f>'Sch 1- Rate Base '!I84</f>
        <v>0</v>
      </c>
      <c r="J84" s="1424">
        <f>'Sch 1- Rate Base '!J84</f>
        <v>24750257.635620713</v>
      </c>
      <c r="K84" s="903"/>
      <c r="O84" s="1126">
        <f>(O196+O202+O207+O215+O235-(O176+O180+O187+O191+O194+O195+$G$85))/8</f>
        <v>41593656.978750005</v>
      </c>
      <c r="P84" s="1126">
        <f>(P196+P202+P207+P215+P235-(P176+P180+P187+P191+P194+P195+$H$85))/8</f>
        <v>16843399.343093246</v>
      </c>
      <c r="Q84" s="1126">
        <f>(Q196+Q202+Q207+Q215+Q235-(Q176+Q180+Q187+Q191+Q194+Q195))/8</f>
        <v>3128288.2246458661</v>
      </c>
      <c r="R84" s="1126">
        <f>(R196+R202+R207+R215+R235-(R176+R180+R187+R191+R194+R195))/8</f>
        <v>21621969.411010899</v>
      </c>
      <c r="S84" s="1073"/>
      <c r="W84" s="1126">
        <f>(W196+W202+W207+W215+W235-(W176+W180+W187+W191+W194+W195+$G$85))/8</f>
        <v>41593656.978750005</v>
      </c>
      <c r="X84" s="1126">
        <f>(X196+X202+X207+X215+X235-(X176+X180+X187+X191+X194+X195+$H$85))/8</f>
        <v>16843399.343093246</v>
      </c>
      <c r="Y84" s="1126">
        <f>(Y196+Y202+Y207+Y215+Y235-(Y176+Y180+Y187+Y191+Y194+Y195))/8</f>
        <v>3128288.2246458661</v>
      </c>
      <c r="Z84" s="1126">
        <f>(Z196+Z202+Z207+Z215+Z235-(Z176+Z180+Z187+Z191+Z194+Z195))/8</f>
        <v>21621969.411010899</v>
      </c>
      <c r="AA84" s="1073"/>
      <c r="AE84" s="1126">
        <f>(AE196+AE202+AE207+AE215+AE235-(AE176+AE180+AE187+AE191+AE194+AE195+$G$85))/8</f>
        <v>41593656.978750005</v>
      </c>
      <c r="AF84" s="1126">
        <f>(AF196+AF202+AF207+AF215+AF235-(AF176+AF180+AF187+AF191+AF194+AF195+$H$85))/8</f>
        <v>16843399.343093246</v>
      </c>
      <c r="AG84" s="1126">
        <f>(AG196+AG202+AG207+AG215+AG235-(AG176+AG180+AG187+AG191+AG194+AG195))/8</f>
        <v>3128288.2246458661</v>
      </c>
      <c r="AH84" s="1126">
        <f>(AH196+AH202+AH207+AH215+AH235-(AH176+AH180+AH187+AH191+AH194+AH195))/8</f>
        <v>21621969.411010899</v>
      </c>
      <c r="AI84" s="1073"/>
      <c r="AM84" s="1126">
        <f>(AM196+AM202+AM207+AM215+AM235-(AM176+AM180+AM187+AM191+AM194+AM195+$G$85))/8</f>
        <v>41593656.978750005</v>
      </c>
      <c r="AN84" s="1126">
        <f>(AN196+AN202+AN207+AN215+AN235-(AN176+AN180+AN187+AN191+AN194+AN195+$H$85))/8</f>
        <v>16843399.343093246</v>
      </c>
      <c r="AO84" s="1126">
        <f>(AO196+AO202+AO207+AO215+AO235-(AO176+AO180+AO187+AO191+AO194+AO195))/8</f>
        <v>3128288.2246458661</v>
      </c>
      <c r="AP84" s="1126">
        <f>(AP196+AP202+AP207+AP215+AP235-(AP176+AP180+AP187+AP191+AP194+AP195))/8</f>
        <v>21621969.411010899</v>
      </c>
      <c r="AQ84" s="1073"/>
      <c r="AU84" s="1126">
        <f>(AU196+AU202+AU207+AU215+AU235-(AU176+AU180+AU187+AU191+AU194+AU195+$G$85))/8</f>
        <v>41593656.978750005</v>
      </c>
      <c r="AV84" s="1126">
        <f>(AV196+AV202+AV207+AV215+AV235-(AV176+AV180+AV187+AV191+AV194+AV195+$H$85))/8</f>
        <v>16843399.343093246</v>
      </c>
      <c r="AW84" s="1126">
        <f>(AW196+AW202+AW207+AW215+AW235-(AW176+AW180+AW187+AW191+AW194+AW195))/8</f>
        <v>3128288.2246458661</v>
      </c>
      <c r="AX84" s="1126">
        <f>(AX196+AX202+AX207+AX215+AX235-(AX176+AX180+AX187+AX191+AX194+AX195))/8</f>
        <v>21621969.411010899</v>
      </c>
      <c r="AY84" s="1073"/>
      <c r="BC84" s="1126">
        <f>(BC196+BC202+BC207+BC215+BC235-(BC176+BC180+BC187+BC191+BC194+BC195+$G$85))/8</f>
        <v>41593656.978750005</v>
      </c>
      <c r="BD84" s="1126">
        <f>(BD196+BD202+BD207+BD215+BD235-(BD176+BD180+BD187+BD191+BD194+BD195+$H$85))/8</f>
        <v>16843399.343093246</v>
      </c>
      <c r="BE84" s="1126">
        <f>(BE196+BE202+BE207+BE215+BE235-(BE176+BE180+BE187+BE191+BE194+BE195))/8</f>
        <v>3128288.2246458661</v>
      </c>
      <c r="BF84" s="1126">
        <f>(BF196+BF202+BF207+BF215+BF235-(BF176+BF180+BF187+BF191+BF194+BF195))/8</f>
        <v>21621969.411010899</v>
      </c>
      <c r="BG84" s="1073"/>
      <c r="BK84" s="1126">
        <f>(BK196+BK202+BK207+BK215+BK235-(BK176+BK180+BK187+BK191+BK194+BK195+$G$85))/8</f>
        <v>41593656.978750005</v>
      </c>
      <c r="BL84" s="1126">
        <f>(BL196+BL202+BL207+BL215+BL235-(BL176+BL180+BL187+BL191+BL194+BL195+$H$85))/8</f>
        <v>16843399.343093246</v>
      </c>
      <c r="BM84" s="1126">
        <f>(BM196+BM202+BM207+BM215+BM235-(BM176+BM180+BM187+BM191+BM194+BM195))/8</f>
        <v>3128288.2246458661</v>
      </c>
      <c r="BN84" s="1126">
        <f>(BN196+BN202+BN207+BN215+BN235-(BN176+BN180+BN187+BN191+BN194+BN195))/8</f>
        <v>21621969.411010899</v>
      </c>
      <c r="BO84" s="1073"/>
      <c r="BS84" s="1126">
        <f>(BS196+BS202+BS207+BS215+BS235-(BS176+BS180+BS187+BS191+BS194+BS195+$G$85))/8</f>
        <v>41593656.978750005</v>
      </c>
      <c r="BT84" s="1126">
        <f>(BT196+BT202+BT207+BT215+BT235-(BT176+BT180+BT187+BT191+BT194+BT195+$H$85))/8</f>
        <v>16843399.343093246</v>
      </c>
      <c r="BU84" s="1126">
        <f>(BU196+BU202+BU207+BU215+BU235-(BU176+BU180+BU187+BU191+BU194+BU195))/8</f>
        <v>3128288.2246458661</v>
      </c>
      <c r="BV84" s="1126">
        <f>(BV196+BV202+BV207+BV215+BV235-(BV176+BV180+BV187+BV191+BV194+BV195))/8</f>
        <v>21621969.411010899</v>
      </c>
      <c r="BW84" s="1073"/>
      <c r="CA84" s="1126">
        <f>(CA196+CA202+CA207+CA215+CA235-(CA176+CA180+CA187+CA191+CA194+CA195+$G$85))/8</f>
        <v>41593656.978750005</v>
      </c>
      <c r="CB84" s="1126">
        <f>(CB196+CB202+CB207+CB215+CB235-(CB176+CB180+CB187+CB191+CB194+CB195+$H$85))/8</f>
        <v>16843399.343093246</v>
      </c>
      <c r="CC84" s="1126">
        <f>(CC196+CC202+CC207+CC215+CC235-(CC176+CC180+CC187+CC191+CC194+CC195))/8</f>
        <v>3128288.2246458661</v>
      </c>
      <c r="CD84" s="1126">
        <f>(CD196+CD202+CD207+CD215+CD235-(CD176+CD180+CD187+CD191+CD194+CD195))/8</f>
        <v>21621969.411010899</v>
      </c>
      <c r="CE84" s="1073"/>
      <c r="CI84" s="1126">
        <f>(CI196+CI202+CI207+CI215+CI235-(CI176+CI180+CI187+CI191+CI194+CI195+$G$85))/8</f>
        <v>41593656.978750005</v>
      </c>
      <c r="CJ84" s="1126">
        <f>(CJ196+CJ202+CJ207+CJ215+CJ235-(CJ176+CJ180+CJ187+CJ191+CJ194+CJ195+$H$85))/8</f>
        <v>16843399.343093246</v>
      </c>
      <c r="CK84" s="1126">
        <f>(CK196+CK202+CK207+CK215+CK235-(CK176+CK180+CK187+CK191+CK194+CK195))/8</f>
        <v>3128288.2246458661</v>
      </c>
      <c r="CL84" s="1126">
        <f>(CL196+CL202+CL207+CL215+CL235-(CL176+CL180+CL187+CL191+CL194+CL195))/8</f>
        <v>21621969.411010899</v>
      </c>
      <c r="CM84" s="1073"/>
      <c r="CQ84" s="1126">
        <f>(CQ196+CQ202+CQ207+CQ215+CQ235-(CQ176+CQ180+CQ187+CQ191+CQ194+CQ195+$G$85))/8</f>
        <v>41593656.978750005</v>
      </c>
      <c r="CR84" s="1126">
        <f>(CR196+CR202+CR207+CR215+CR235-(CR176+CR180+CR187+CR191+CR194+CR195+$H$85))/8</f>
        <v>16843399.343093246</v>
      </c>
      <c r="CS84" s="1126">
        <f>(CS196+CS202+CS207+CS215+CS235-(CS176+CS180+CS187+CS191+CS194+CS195))/8</f>
        <v>3128288.2246458661</v>
      </c>
      <c r="CT84" s="1126">
        <f>(CT196+CT202+CT207+CT215+CT235-(CT176+CT180+CT187+CT191+CT194+CT195))/8</f>
        <v>21621969.411010899</v>
      </c>
      <c r="CU84" s="1073"/>
      <c r="CY84" s="1126">
        <f>(CY196+CY202+CY207+CY215+CY235-(CY176+CY180+CY187+CY191+CY194+CY195+$G$85))/8</f>
        <v>41593656.978750005</v>
      </c>
      <c r="CZ84" s="1126">
        <f>(CZ196+CZ202+CZ207+CZ215+CZ235-(CZ176+CZ180+CZ187+CZ191+CZ194+CZ195+$H$85))/8</f>
        <v>16843399.343093246</v>
      </c>
      <c r="DA84" s="1126">
        <f>(DA196+DA202+DA207+DA215+DA235-(DA176+DA180+DA187+DA191+DA194+DA195))/8</f>
        <v>3128288.2246458661</v>
      </c>
      <c r="DB84" s="1126">
        <f>(DB196+DB202+DB207+DB215+DB235-(DB176+DB180+DB187+DB191+DB194+DB195))/8</f>
        <v>21621969.411010899</v>
      </c>
      <c r="DC84" s="1073"/>
      <c r="DG84" s="1126">
        <f>(DG196+DG202+DG207+DG215+DG235-(DG176+DG180+DG187+DG191+DG194+DG195+$G$85))/8</f>
        <v>41593656.978750005</v>
      </c>
      <c r="DH84" s="1126">
        <f>(DH196+DH202+DH207+DH215+DH235-(DH176+DH180+DH187+DH191+DH194+DH195+$H$85))/8</f>
        <v>16843399.343093246</v>
      </c>
      <c r="DI84" s="1126">
        <f>(DI196+DI202+DI207+DI215+DI235-(DI176+DI180+DI187+DI191+DI194+DI195))/8</f>
        <v>3128288.2246458661</v>
      </c>
      <c r="DJ84" s="1126">
        <f>(DJ196+DJ202+DJ207+DJ215+DJ235-(DJ176+DJ180+DJ187+DJ191+DJ194+DJ195))/8</f>
        <v>21621969.411010899</v>
      </c>
      <c r="DK84" s="1073"/>
      <c r="DO84" s="1126">
        <f>(DO196+DO202+DO207+DO215+DO235-(DO176+DO180+DO187+DO191+DO194+DO195+$G$85))/8</f>
        <v>41593656.978750005</v>
      </c>
      <c r="DP84" s="1126">
        <f>(DP196+DP202+DP207+DP215+DP235-(DP176+DP180+DP187+DP191+DP194+DP195+$H$85))/8</f>
        <v>16843399.343093246</v>
      </c>
      <c r="DQ84" s="1126">
        <f>(DQ196+DQ202+DQ207+DQ215+DQ235-(DQ176+DQ180+DQ187+DQ191+DQ194+DQ195))/8</f>
        <v>3128288.2246458661</v>
      </c>
      <c r="DR84" s="1126">
        <f>(DR196+DR202+DR207+DR215+DR235-(DR176+DR180+DR187+DR191+DR194+DR195))/8</f>
        <v>21621969.411010899</v>
      </c>
      <c r="DS84" s="1073"/>
      <c r="DW84" s="1126">
        <f>(DW196+DW202+DW207+DW215+DW235-(DW176+DW180+DW187+DW191+DW194+DW195+$G$85))/8</f>
        <v>41593656.978750005</v>
      </c>
      <c r="DX84" s="1126">
        <f>(DX196+DX202+DX207+DX215+DX235-(DX176+DX180+DX187+DX191+DX194+DX195+$H$85))/8</f>
        <v>16843399.343093246</v>
      </c>
      <c r="DY84" s="1126">
        <f>(DY196+DY202+DY207+DY215+DY235-(DY176+DY180+DY187+DY191+DY194+DY195))/8</f>
        <v>3128288.2246458661</v>
      </c>
      <c r="DZ84" s="1126">
        <f>(DZ196+DZ202+DZ207+DZ215+DZ235-(DZ176+DZ180+DZ187+DZ191+DZ194+DZ195))/8</f>
        <v>21621969.411010899</v>
      </c>
      <c r="EA84" s="1073"/>
      <c r="EE84" s="1126">
        <f>(EE196+EE202+EE207+EE215+EE235-(EE176+EE180+EE187+EE191+EE194+EE195+$G$85))/8</f>
        <v>41593656.978750005</v>
      </c>
      <c r="EF84" s="1126">
        <f>(EF196+EF202+EF207+EF215+EF235-(EF176+EF180+EF187+EF191+EF194+EF195+$H$85))/8</f>
        <v>16843399.343093246</v>
      </c>
      <c r="EG84" s="1126">
        <f>(EG196+EG202+EG207+EG215+EG235-(EG176+EG180+EG187+EG191+EG194+EG195))/8</f>
        <v>3128288.2246458661</v>
      </c>
      <c r="EH84" s="1126">
        <f>(EH196+EH202+EH207+EH215+EH235-(EH176+EH180+EH187+EH191+EH194+EH195))/8</f>
        <v>21621969.411010899</v>
      </c>
      <c r="EI84" s="1073"/>
      <c r="EM84" s="1126">
        <f>(EM196+EM202+EM207+EM215+EM235-(EM176+EM180+EM187+EM191+EM194+EM195+$G$85))/8</f>
        <v>41593656.978750005</v>
      </c>
      <c r="EN84" s="1126">
        <f>(EN196+EN202+EN207+EN215+EN235-(EN176+EN180+EN187+EN191+EN194+EN195+$H$85))/8</f>
        <v>16843399.343093246</v>
      </c>
      <c r="EO84" s="1126">
        <f>(EO196+EO202+EO207+EO215+EO235-(EO176+EO180+EO187+EO191+EO194+EO195))/8</f>
        <v>3128288.2246458661</v>
      </c>
      <c r="EP84" s="1126">
        <f>(EP196+EP202+EP207+EP215+EP235-(EP176+EP180+EP187+EP191+EP194+EP195))/8</f>
        <v>21621969.411010899</v>
      </c>
      <c r="EQ84" s="1073"/>
      <c r="EU84" s="1126">
        <f>(EU196+EU202+EU207+EU215+EU235-(EU176+EU180+EU187+EU191+EU194+EU195+$G$85))/8</f>
        <v>41593656.978750005</v>
      </c>
      <c r="EV84" s="1126">
        <f>(EV196+EV202+EV207+EV215+EV235-(EV176+EV180+EV187+EV191+EV194+EV195+$H$85))/8</f>
        <v>16843399.343093246</v>
      </c>
      <c r="EW84" s="1126">
        <f>(EW196+EW202+EW207+EW215+EW235-(EW176+EW180+EW187+EW191+EW194+EW195))/8</f>
        <v>3128288.2246458661</v>
      </c>
      <c r="EX84" s="1126">
        <f>(EX196+EX202+EX207+EX215+EX235-(EX176+EX180+EX187+EX191+EX194+EX195))/8</f>
        <v>21621969.411010899</v>
      </c>
      <c r="EY84" s="1073"/>
      <c r="FC84" s="1126">
        <f>(FC196+FC202+FC207+FC215+FC235-(FC176+FC180+FC187+FC191+FC194+FC195+$G$85))/8</f>
        <v>41593656.978750005</v>
      </c>
      <c r="FD84" s="1126">
        <f>(FD196+FD202+FD207+FD215+FD235-(FD176+FD180+FD187+FD191+FD194+FD195+$H$85))/8</f>
        <v>16843399.343093246</v>
      </c>
      <c r="FE84" s="1126">
        <f>(FE196+FE202+FE207+FE215+FE235-(FE176+FE180+FE187+FE191+FE194+FE195))/8</f>
        <v>3128288.2246458661</v>
      </c>
      <c r="FF84" s="1126">
        <f>(FF196+FF202+FF207+FF215+FF235-(FF176+FF180+FF187+FF191+FF194+FF195))/8</f>
        <v>21621969.411010899</v>
      </c>
      <c r="FG84" s="1073"/>
      <c r="FK84" s="1126">
        <f>(FK196+FK202+FK207+FK215+FK235-(FK176+FK180+FK187+FK191+FK194+FK195+$G$85))/8</f>
        <v>41593656.978750005</v>
      </c>
      <c r="FL84" s="1126">
        <f>(FL196+FL202+FL207+FL215+FL235-(FL176+FL180+FL187+FL191+FL194+FL195+$H$85))/8</f>
        <v>16843399.343093246</v>
      </c>
      <c r="FM84" s="1126">
        <f>(FM196+FM202+FM207+FM215+FM235-(FM176+FM180+FM187+FM191+FM194+FM195))/8</f>
        <v>3128288.2246458661</v>
      </c>
      <c r="FN84" s="1126">
        <f>(FN196+FN202+FN207+FN215+FN235-(FN176+FN180+FN187+FN191+FN194+FN195))/8</f>
        <v>21621969.411010899</v>
      </c>
      <c r="FO84" s="1073"/>
    </row>
    <row r="85" spans="1:171">
      <c r="A85" s="1423"/>
      <c r="B85" s="10"/>
      <c r="C85" s="55"/>
      <c r="D85" s="1552" t="s">
        <v>756</v>
      </c>
      <c r="E85" s="1644"/>
      <c r="F85" s="196"/>
      <c r="G85" s="1645">
        <f>'Sch 1A - Cash Working Capital'!$G$30</f>
        <v>29805671</v>
      </c>
      <c r="H85" s="1645">
        <f>'Sch 1A - Cash Working Capital'!$H$30</f>
        <v>29805671</v>
      </c>
      <c r="I85" s="938"/>
      <c r="J85" s="1437"/>
      <c r="K85" s="903"/>
      <c r="S85" s="1073"/>
      <c r="AA85" s="1073"/>
      <c r="AI85" s="1073"/>
      <c r="AQ85" s="1073"/>
      <c r="AY85" s="1073"/>
      <c r="BG85" s="1073"/>
      <c r="BO85" s="1073"/>
      <c r="BW85" s="1073"/>
      <c r="CE85" s="1073"/>
      <c r="CM85" s="1073"/>
      <c r="CU85" s="1073"/>
      <c r="DC85" s="1073"/>
      <c r="DK85" s="1073"/>
      <c r="DS85" s="1073"/>
      <c r="EA85" s="1073"/>
      <c r="EI85" s="1073"/>
      <c r="EQ85" s="1073"/>
      <c r="EY85" s="1073"/>
      <c r="FG85" s="1073"/>
      <c r="FO85" s="1073"/>
    </row>
    <row r="86" spans="1:171">
      <c r="A86" s="1365" t="s">
        <v>274</v>
      </c>
      <c r="B86" s="79"/>
      <c r="C86" s="940"/>
      <c r="D86" s="196"/>
      <c r="E86" s="196"/>
      <c r="F86" s="196"/>
      <c r="G86" s="941"/>
      <c r="H86" s="942"/>
      <c r="I86" s="942"/>
      <c r="J86" s="1438"/>
      <c r="K86" s="903"/>
      <c r="S86" s="1073"/>
      <c r="AA86" s="1073"/>
      <c r="AI86" s="1073"/>
      <c r="AQ86" s="1073"/>
      <c r="AY86" s="1073"/>
      <c r="BG86" s="1073"/>
      <c r="BO86" s="1073"/>
      <c r="BW86" s="1073"/>
      <c r="CE86" s="1073"/>
      <c r="CM86" s="1073"/>
      <c r="CU86" s="1073"/>
      <c r="DC86" s="1073"/>
      <c r="DK86" s="1073"/>
      <c r="DS86" s="1073"/>
      <c r="EA86" s="1073"/>
      <c r="EI86" s="1073"/>
      <c r="EQ86" s="1073"/>
      <c r="EY86" s="1073"/>
      <c r="FG86" s="1073"/>
      <c r="FO86" s="1073"/>
    </row>
    <row r="87" spans="1:171">
      <c r="A87" s="1439"/>
      <c r="B87" s="10" t="s">
        <v>437</v>
      </c>
      <c r="C87" s="888" t="s">
        <v>69</v>
      </c>
      <c r="D87" s="888">
        <v>105</v>
      </c>
      <c r="E87" s="182" t="str">
        <f>'Sch 1- Rate Base '!E87</f>
        <v>DIST</v>
      </c>
      <c r="F87" s="889"/>
      <c r="G87" s="182">
        <f>'Sch 1- Rate Base '!G87</f>
        <v>2928319</v>
      </c>
      <c r="H87" s="182">
        <f>'Sch 1- Rate Base '!H87</f>
        <v>0</v>
      </c>
      <c r="I87" s="182">
        <f>'Sch 1- Rate Base '!I87</f>
        <v>0</v>
      </c>
      <c r="J87" s="1424">
        <f>'Sch 1- Rate Base '!J87</f>
        <v>2928319</v>
      </c>
      <c r="K87" s="903">
        <f t="shared" ref="K87:K92" si="163">IF($E87="DIRECT",0,1)</f>
        <v>1</v>
      </c>
      <c r="O87" s="1116">
        <f t="shared" ref="O87:O92" si="164">$G87</f>
        <v>2928319</v>
      </c>
      <c r="P87" s="1117">
        <f t="shared" ref="P87:P92" si="165">VLOOKUP($E87,O$442:R$453,2,FALSE)*O87*($K87)+IF($G87&gt;0,($H87/$G87)*O87,0)*(1-$K87)</f>
        <v>0</v>
      </c>
      <c r="Q87" s="1117">
        <f t="shared" ref="Q87:Q92" si="166">VLOOKUP($E87,O$442:R$453,3,FALSE)*O87*($K87)+IF($G87&gt;0,($I87/$G87)*O87,0)*(1-$K87)</f>
        <v>0</v>
      </c>
      <c r="R87" s="1117">
        <f t="shared" ref="R87:R92" si="167">VLOOKUP($E87,O$442:R$453,4,FALSE)*O87*($K87)+(O87-P87-Q87)*(1-$K87)</f>
        <v>2928319</v>
      </c>
      <c r="S87" s="1118"/>
      <c r="W87" s="1116">
        <f t="shared" ref="W87:W92" si="168">$G87</f>
        <v>2928319</v>
      </c>
      <c r="X87" s="1117">
        <f t="shared" ref="X87:X92" si="169">VLOOKUP($E87,W$442:Z$453,2,FALSE)*W87*($K87)+IF($G87&gt;0,($H87/$G87)*W87,0)*(1-$K87)</f>
        <v>0</v>
      </c>
      <c r="Y87" s="1117">
        <f t="shared" ref="Y87:Y92" si="170">VLOOKUP($E87,W$442:Z$453,3,FALSE)*W87*($K87)+IF($G87&gt;0,($I87/$G87)*W87,0)*(1-$K87)</f>
        <v>0</v>
      </c>
      <c r="Z87" s="1117">
        <f t="shared" ref="Z87:Z92" si="171">VLOOKUP($E87,W$442:Z$453,4,FALSE)*W87*($K87)+(W87-X87-Y87)*(1-$K87)</f>
        <v>2928319</v>
      </c>
      <c r="AA87" s="1118"/>
      <c r="AE87" s="1116">
        <f t="shared" ref="AE87:AE92" si="172">$G87</f>
        <v>2928319</v>
      </c>
      <c r="AF87" s="1117">
        <f t="shared" ref="AF87:AF92" si="173">VLOOKUP($E87,AE$442:AH$453,2,FALSE)*AE87*($K87)+IF($G87&gt;0,($H87/$G87)*AE87,0)*(1-$K87)</f>
        <v>0</v>
      </c>
      <c r="AG87" s="1117">
        <f t="shared" ref="AG87:AG92" si="174">VLOOKUP($E87,AE$442:AH$453,3,FALSE)*AE87*($K87)+IF($G87&gt;0,($I87/$G87)*AE87,0)*(1-$K87)</f>
        <v>0</v>
      </c>
      <c r="AH87" s="1117">
        <f t="shared" ref="AH87:AH92" si="175">VLOOKUP($E87,AE$442:AH$453,4,FALSE)*AE87*($K87)+(AE87-AF87-AG87)*(1-$K87)</f>
        <v>2928319</v>
      </c>
      <c r="AI87" s="1118"/>
      <c r="AM87" s="1116">
        <f t="shared" ref="AM87:AM92" si="176">$G87</f>
        <v>2928319</v>
      </c>
      <c r="AN87" s="1117">
        <f t="shared" ref="AN87:AN92" si="177">VLOOKUP($E87,AM$442:AP$453,2,FALSE)*AM87*($K87)+IF($G87&gt;0,($H87/$G87)*AM87,0)*(1-$K87)</f>
        <v>0</v>
      </c>
      <c r="AO87" s="1117">
        <f t="shared" ref="AO87:AO92" si="178">VLOOKUP($E87,AM$442:AP$453,3,FALSE)*AM87*($K87)+IF($G87&gt;0,($I87/$G87)*AM87,0)*(1-$K87)</f>
        <v>0</v>
      </c>
      <c r="AP87" s="1117">
        <f t="shared" ref="AP87:AP92" si="179">VLOOKUP($E87,AM$442:AP$453,4,FALSE)*AM87*($K87)+(AM87-AN87-AO87)*(1-$K87)</f>
        <v>2928319</v>
      </c>
      <c r="AQ87" s="1118"/>
      <c r="AU87" s="1116">
        <f t="shared" ref="AU87:AU92" si="180">$G87</f>
        <v>2928319</v>
      </c>
      <c r="AV87" s="1117">
        <f t="shared" ref="AV87:AV92" si="181">VLOOKUP($E87,AU$442:AX$453,2,FALSE)*AU87*($K87)+IF($G87&gt;0,($H87/$G87)*AU87,0)*(1-$K87)</f>
        <v>0</v>
      </c>
      <c r="AW87" s="1117">
        <f t="shared" ref="AW87:AW92" si="182">VLOOKUP($E87,AU$442:AX$453,3,FALSE)*AU87*($K87)+IF($G87&gt;0,($I87/$G87)*AU87,0)*(1-$K87)</f>
        <v>0</v>
      </c>
      <c r="AX87" s="1117">
        <f t="shared" ref="AX87:AX92" si="183">VLOOKUP($E87,AU$442:AX$453,4,FALSE)*AU87*($K87)+(AU87-AV87-AW87)*(1-$K87)</f>
        <v>2928319</v>
      </c>
      <c r="AY87" s="1118"/>
      <c r="BC87" s="1116">
        <f t="shared" ref="BC87:BC92" si="184">$G87</f>
        <v>2928319</v>
      </c>
      <c r="BD87" s="1117">
        <f t="shared" ref="BD87:BD92" si="185">VLOOKUP($E87,BC$442:BF$453,2,FALSE)*BC87*($K87)+IF($G87&gt;0,($H87/$G87)*BC87,0)*(1-$K87)</f>
        <v>0</v>
      </c>
      <c r="BE87" s="1117">
        <f t="shared" ref="BE87:BE92" si="186">VLOOKUP($E87,BC$442:BF$453,3,FALSE)*BC87*($K87)+IF($G87&gt;0,($I87/$G87)*BC87,0)*(1-$K87)</f>
        <v>0</v>
      </c>
      <c r="BF87" s="1117">
        <f t="shared" ref="BF87:BF92" si="187">VLOOKUP($E87,BC$442:BF$453,4,FALSE)*BC87*($K87)+(BC87-BD87-BE87)*(1-$K87)</f>
        <v>2928319</v>
      </c>
      <c r="BG87" s="1118"/>
      <c r="BK87" s="1116">
        <f t="shared" ref="BK87:BK92" si="188">$G87</f>
        <v>2928319</v>
      </c>
      <c r="BL87" s="1117">
        <f t="shared" ref="BL87:BL92" si="189">VLOOKUP($E87,BK$442:BN$453,2,FALSE)*BK87*($K87)+IF($G87&gt;0,($H87/$G87)*BK87,0)*(1-$K87)</f>
        <v>0</v>
      </c>
      <c r="BM87" s="1117">
        <f t="shared" ref="BM87:BM92" si="190">VLOOKUP($E87,BK$442:BN$453,3,FALSE)*BK87*($K87)+IF($G87&gt;0,($I87/$G87)*BK87,0)*(1-$K87)</f>
        <v>0</v>
      </c>
      <c r="BN87" s="1117">
        <f t="shared" ref="BN87:BN92" si="191">VLOOKUP($E87,BK$442:BN$453,4,FALSE)*BK87*($K87)+(BK87-BL87-BM87)*(1-$K87)</f>
        <v>2928319</v>
      </c>
      <c r="BO87" s="1118"/>
      <c r="BS87" s="1116">
        <f t="shared" ref="BS87:BS92" si="192">$G87</f>
        <v>2928319</v>
      </c>
      <c r="BT87" s="1117">
        <f t="shared" ref="BT87:BT92" si="193">VLOOKUP($E87,BS$442:BV$453,2,FALSE)*BS87*($K87)+IF($G87&gt;0,($H87/$G87)*BS87,0)*(1-$K87)</f>
        <v>0</v>
      </c>
      <c r="BU87" s="1117">
        <f t="shared" ref="BU87:BU92" si="194">VLOOKUP($E87,BS$442:BV$453,3,FALSE)*BS87*($K87)+IF($G87&gt;0,($I87/$G87)*BS87,0)*(1-$K87)</f>
        <v>0</v>
      </c>
      <c r="BV87" s="1117">
        <f t="shared" ref="BV87:BV92" si="195">VLOOKUP($E87,BS$442:BV$453,4,FALSE)*BS87*($K87)+(BS87-BT87-BU87)*(1-$K87)</f>
        <v>2928319</v>
      </c>
      <c r="BW87" s="1118"/>
      <c r="CA87" s="1116">
        <f t="shared" ref="CA87:CA92" si="196">$G87</f>
        <v>2928319</v>
      </c>
      <c r="CB87" s="1117">
        <f t="shared" ref="CB87:CB92" si="197">VLOOKUP($E87,CA$442:CD$453,2,FALSE)*CA87*($K87)+IF($G87&gt;0,($H87/$G87)*CA87,0)*(1-$K87)</f>
        <v>0</v>
      </c>
      <c r="CC87" s="1117">
        <f t="shared" ref="CC87:CC92" si="198">VLOOKUP($E87,CA$442:CD$453,3,FALSE)*CA87*($K87)+IF($G87&gt;0,($I87/$G87)*CA87,0)*(1-$K87)</f>
        <v>0</v>
      </c>
      <c r="CD87" s="1117">
        <f t="shared" ref="CD87:CD92" si="199">VLOOKUP($E87,CA$442:CD$453,4,FALSE)*CA87*($K87)+(CA87-CB87-CC87)*(1-$K87)</f>
        <v>2928319</v>
      </c>
      <c r="CE87" s="1118"/>
      <c r="CI87" s="1116">
        <f t="shared" ref="CI87:CI92" si="200">$G87</f>
        <v>2928319</v>
      </c>
      <c r="CJ87" s="1117">
        <f t="shared" ref="CJ87:CJ92" si="201">VLOOKUP($E87,CI$442:CL$453,2,FALSE)*CI87*($K87)+IF($G87&gt;0,($H87/$G87)*CI87,0)*(1-$K87)</f>
        <v>0</v>
      </c>
      <c r="CK87" s="1117">
        <f t="shared" ref="CK87:CK92" si="202">VLOOKUP($E87,CI$442:CL$453,3,FALSE)*CI87*($K87)+IF($G87&gt;0,($I87/$G87)*CI87,0)*(1-$K87)</f>
        <v>0</v>
      </c>
      <c r="CL87" s="1117">
        <f t="shared" ref="CL87:CL92" si="203">VLOOKUP($E87,CI$442:CL$453,4,FALSE)*CI87*($K87)+(CI87-CJ87-CK87)*(1-$K87)</f>
        <v>2928319</v>
      </c>
      <c r="CM87" s="1118"/>
      <c r="CQ87" s="1116">
        <f t="shared" ref="CQ87:CQ92" si="204">$G87</f>
        <v>2928319</v>
      </c>
      <c r="CR87" s="1117">
        <f t="shared" ref="CR87:CR92" si="205">VLOOKUP($E87,CQ$442:CT$453,2,FALSE)*CQ87*($K87)+IF($G87&gt;0,($H87/$G87)*CQ87,0)*(1-$K87)</f>
        <v>0</v>
      </c>
      <c r="CS87" s="1117">
        <f t="shared" ref="CS87:CS92" si="206">VLOOKUP($E87,CQ$442:CT$453,3,FALSE)*CQ87*($K87)+IF($G87&gt;0,($I87/$G87)*CQ87,0)*(1-$K87)</f>
        <v>0</v>
      </c>
      <c r="CT87" s="1117">
        <f t="shared" ref="CT87:CT92" si="207">VLOOKUP($E87,CQ$442:CT$453,4,FALSE)*CQ87*($K87)+(CQ87-CR87-CS87)*(1-$K87)</f>
        <v>2928319</v>
      </c>
      <c r="CU87" s="1118"/>
      <c r="CY87" s="1116">
        <f t="shared" ref="CY87:CY92" si="208">$G87</f>
        <v>2928319</v>
      </c>
      <c r="CZ87" s="1117">
        <f t="shared" ref="CZ87:CZ92" si="209">VLOOKUP($E87,CY$442:DB$453,2,FALSE)*CY87*($K87)+IF($G87&gt;0,($H87/$G87)*CY87,0)*(1-$K87)</f>
        <v>0</v>
      </c>
      <c r="DA87" s="1117">
        <f t="shared" ref="DA87:DA92" si="210">VLOOKUP($E87,CY$442:DB$453,3,FALSE)*CY87*($K87)+IF($G87&gt;0,($I87/$G87)*CY87,0)*(1-$K87)</f>
        <v>0</v>
      </c>
      <c r="DB87" s="1117">
        <f t="shared" ref="DB87:DB92" si="211">VLOOKUP($E87,CY$442:DB$453,4,FALSE)*CY87*($K87)+(CY87-CZ87-DA87)*(1-$K87)</f>
        <v>2928319</v>
      </c>
      <c r="DC87" s="1118"/>
      <c r="DG87" s="1116">
        <f t="shared" ref="DG87:DG92" si="212">$G87</f>
        <v>2928319</v>
      </c>
      <c r="DH87" s="1117">
        <f t="shared" ref="DH87:DH92" si="213">VLOOKUP($E87,DG$442:DJ$453,2,FALSE)*DG87*($K87)+IF($G87&gt;0,($H87/$G87)*DG87,0)*(1-$K87)</f>
        <v>0</v>
      </c>
      <c r="DI87" s="1117">
        <f t="shared" ref="DI87:DI92" si="214">VLOOKUP($E87,DG$442:DJ$453,3,FALSE)*DG87*($K87)+IF($G87&gt;0,($I87/$G87)*DG87,0)*(1-$K87)</f>
        <v>0</v>
      </c>
      <c r="DJ87" s="1117">
        <f t="shared" ref="DJ87:DJ92" si="215">VLOOKUP($E87,DG$442:DJ$453,4,FALSE)*DG87*($K87)+(DG87-DH87-DI87)*(1-$K87)</f>
        <v>2928319</v>
      </c>
      <c r="DK87" s="1118"/>
      <c r="DO87" s="1116">
        <f t="shared" ref="DO87:DO92" si="216">$G87</f>
        <v>2928319</v>
      </c>
      <c r="DP87" s="1117">
        <f t="shared" ref="DP87:DP92" si="217">VLOOKUP($E87,DO$442:DR$453,2,FALSE)*DO87*($K87)+IF($G87&gt;0,($H87/$G87)*DO87,0)*(1-$K87)</f>
        <v>0</v>
      </c>
      <c r="DQ87" s="1117">
        <f t="shared" ref="DQ87:DQ92" si="218">VLOOKUP($E87,DO$442:DR$453,3,FALSE)*DO87*($K87)+IF($G87&gt;0,($I87/$G87)*DO87,0)*(1-$K87)</f>
        <v>0</v>
      </c>
      <c r="DR87" s="1117">
        <f t="shared" ref="DR87:DR92" si="219">VLOOKUP($E87,DO$442:DR$453,4,FALSE)*DO87*($K87)+(DO87-DP87-DQ87)*(1-$K87)</f>
        <v>2928319</v>
      </c>
      <c r="DS87" s="1118"/>
      <c r="DW87" s="1116">
        <f t="shared" ref="DW87:DW92" si="220">$G87</f>
        <v>2928319</v>
      </c>
      <c r="DX87" s="1117">
        <f t="shared" ref="DX87:DX92" si="221">VLOOKUP($E87,DW$442:DZ$453,2,FALSE)*DW87*($K87)+IF($G87&gt;0,($H87/$G87)*DW87,0)*(1-$K87)</f>
        <v>0</v>
      </c>
      <c r="DY87" s="1117">
        <f t="shared" ref="DY87:DY92" si="222">VLOOKUP($E87,DW$442:DZ$453,3,FALSE)*DW87*($K87)+IF($G87&gt;0,($I87/$G87)*DW87,0)*(1-$K87)</f>
        <v>0</v>
      </c>
      <c r="DZ87" s="1117">
        <f t="shared" ref="DZ87:DZ92" si="223">VLOOKUP($E87,DW$442:DZ$453,4,FALSE)*DW87*($K87)+(DW87-DX87-DY87)*(1-$K87)</f>
        <v>2928319</v>
      </c>
      <c r="EA87" s="1118"/>
      <c r="EE87" s="1116">
        <f t="shared" ref="EE87:EE92" si="224">$G87</f>
        <v>2928319</v>
      </c>
      <c r="EF87" s="1117">
        <f t="shared" ref="EF87:EF92" si="225">VLOOKUP($E87,EE$442:EH$453,2,FALSE)*EE87*($K87)+IF($G87&gt;0,($H87/$G87)*EE87,0)*(1-$K87)</f>
        <v>0</v>
      </c>
      <c r="EG87" s="1117">
        <f t="shared" ref="EG87:EG92" si="226">VLOOKUP($E87,EE$442:EH$453,3,FALSE)*EE87*($K87)+IF($G87&gt;0,($I87/$G87)*EE87,0)*(1-$K87)</f>
        <v>0</v>
      </c>
      <c r="EH87" s="1117">
        <f t="shared" ref="EH87:EH92" si="227">VLOOKUP($E87,EE$442:EH$453,4,FALSE)*EE87*($K87)+(EE87-EF87-EG87)*(1-$K87)</f>
        <v>2928319</v>
      </c>
      <c r="EI87" s="1118"/>
      <c r="EM87" s="1116">
        <f t="shared" ref="EM87:EM92" si="228">$G87</f>
        <v>2928319</v>
      </c>
      <c r="EN87" s="1117">
        <f t="shared" ref="EN87:EN92" si="229">VLOOKUP($E87,EM$442:EP$453,2,FALSE)*EM87*($K87)+IF($G87&gt;0,($H87/$G87)*EM87,0)*(1-$K87)</f>
        <v>0</v>
      </c>
      <c r="EO87" s="1117">
        <f t="shared" ref="EO87:EO92" si="230">VLOOKUP($E87,EM$442:EP$453,3,FALSE)*EM87*($K87)+IF($G87&gt;0,($I87/$G87)*EM87,0)*(1-$K87)</f>
        <v>0</v>
      </c>
      <c r="EP87" s="1117">
        <f t="shared" ref="EP87:EP92" si="231">VLOOKUP($E87,EM$442:EP$453,4,FALSE)*EM87*($K87)+(EM87-EN87-EO87)*(1-$K87)</f>
        <v>2928319</v>
      </c>
      <c r="EQ87" s="1118"/>
      <c r="EU87" s="1116">
        <f t="shared" ref="EU87:EU92" si="232">$G87</f>
        <v>2928319</v>
      </c>
      <c r="EV87" s="1117">
        <f t="shared" ref="EV87:EV92" si="233">VLOOKUP($E87,EU$442:EX$453,2,FALSE)*EU87*($K87)+IF($G87&gt;0,($H87/$G87)*EU87,0)*(1-$K87)</f>
        <v>0</v>
      </c>
      <c r="EW87" s="1117">
        <f t="shared" ref="EW87:EW92" si="234">VLOOKUP($E87,EU$442:EX$453,3,FALSE)*EU87*($K87)+IF($G87&gt;0,($I87/$G87)*EU87,0)*(1-$K87)</f>
        <v>0</v>
      </c>
      <c r="EX87" s="1117">
        <f t="shared" ref="EX87:EX92" si="235">VLOOKUP($E87,EU$442:EX$453,4,FALSE)*EU87*($K87)+(EU87-EV87-EW87)*(1-$K87)</f>
        <v>2928319</v>
      </c>
      <c r="EY87" s="1118"/>
      <c r="FC87" s="1116">
        <f t="shared" ref="FC87:FC92" si="236">$G87</f>
        <v>2928319</v>
      </c>
      <c r="FD87" s="1117">
        <f t="shared" ref="FD87:FD92" si="237">VLOOKUP($E87,FC$442:FF$453,2,FALSE)*FC87*($K87)+IF($G87&gt;0,($H87/$G87)*FC87,0)*(1-$K87)</f>
        <v>0</v>
      </c>
      <c r="FE87" s="1117">
        <f t="shared" ref="FE87:FE92" si="238">VLOOKUP($E87,FC$442:FF$453,3,FALSE)*FC87*($K87)+IF($G87&gt;0,($I87/$G87)*FC87,0)*(1-$K87)</f>
        <v>0</v>
      </c>
      <c r="FF87" s="1117">
        <f t="shared" ref="FF87:FF92" si="239">VLOOKUP($E87,FC$442:FF$453,4,FALSE)*FC87*($K87)+(FC87-FD87-FE87)*(1-$K87)</f>
        <v>2928319</v>
      </c>
      <c r="FG87" s="1118"/>
      <c r="FK87" s="1116">
        <f t="shared" ref="FK87:FK92" si="240">$G87</f>
        <v>2928319</v>
      </c>
      <c r="FL87" s="1117">
        <f t="shared" ref="FL87:FL92" si="241">VLOOKUP($E87,FK$442:FN$453,2,FALSE)*FK87*($K87)+IF($G87&gt;0,($H87/$G87)*FK87,0)*(1-$K87)</f>
        <v>0</v>
      </c>
      <c r="FM87" s="1117">
        <f t="shared" ref="FM87:FM92" si="242">VLOOKUP($E87,FK$442:FN$453,3,FALSE)*FK87*($K87)+IF($G87&gt;0,($I87/$G87)*FK87,0)*(1-$K87)</f>
        <v>0</v>
      </c>
      <c r="FN87" s="1117">
        <f t="shared" ref="FN87:FN92" si="243">VLOOKUP($E87,FK$442:FN$453,4,FALSE)*FK87*($K87)+(FK87-FL87-FM87)*(1-$K87)</f>
        <v>2928319</v>
      </c>
      <c r="FO87" s="1118"/>
    </row>
    <row r="88" spans="1:171">
      <c r="A88" s="1439"/>
      <c r="B88" s="10" t="s">
        <v>77</v>
      </c>
      <c r="C88" s="888" t="s">
        <v>69</v>
      </c>
      <c r="D88" s="888">
        <v>106</v>
      </c>
      <c r="E88" s="182" t="str">
        <f>'Sch 1- Rate Base '!E88</f>
        <v>PTD</v>
      </c>
      <c r="F88" s="889"/>
      <c r="G88" s="182">
        <f>'Sch 1- Rate Base '!G88</f>
        <v>0</v>
      </c>
      <c r="H88" s="182">
        <f>'Sch 1- Rate Base '!H88</f>
        <v>0</v>
      </c>
      <c r="I88" s="182">
        <f>'Sch 1- Rate Base '!I88</f>
        <v>0</v>
      </c>
      <c r="J88" s="1424">
        <f>'Sch 1- Rate Base '!J88</f>
        <v>0</v>
      </c>
      <c r="K88" s="903">
        <f t="shared" si="163"/>
        <v>1</v>
      </c>
      <c r="O88" s="1116">
        <f t="shared" si="164"/>
        <v>0</v>
      </c>
      <c r="P88" s="1117">
        <f t="shared" si="165"/>
        <v>0</v>
      </c>
      <c r="Q88" s="1117">
        <f t="shared" si="166"/>
        <v>0</v>
      </c>
      <c r="R88" s="1117">
        <f t="shared" si="167"/>
        <v>0</v>
      </c>
      <c r="S88" s="1118"/>
      <c r="W88" s="1116">
        <f t="shared" si="168"/>
        <v>0</v>
      </c>
      <c r="X88" s="1117">
        <f t="shared" si="169"/>
        <v>0</v>
      </c>
      <c r="Y88" s="1117">
        <f t="shared" si="170"/>
        <v>0</v>
      </c>
      <c r="Z88" s="1117">
        <f t="shared" si="171"/>
        <v>0</v>
      </c>
      <c r="AA88" s="1118"/>
      <c r="AE88" s="1116">
        <f t="shared" si="172"/>
        <v>0</v>
      </c>
      <c r="AF88" s="1117">
        <f t="shared" si="173"/>
        <v>0</v>
      </c>
      <c r="AG88" s="1117">
        <f t="shared" si="174"/>
        <v>0</v>
      </c>
      <c r="AH88" s="1117">
        <f t="shared" si="175"/>
        <v>0</v>
      </c>
      <c r="AI88" s="1118"/>
      <c r="AM88" s="1116">
        <f t="shared" si="176"/>
        <v>0</v>
      </c>
      <c r="AN88" s="1117">
        <f t="shared" si="177"/>
        <v>0</v>
      </c>
      <c r="AO88" s="1117">
        <f t="shared" si="178"/>
        <v>0</v>
      </c>
      <c r="AP88" s="1117">
        <f t="shared" si="179"/>
        <v>0</v>
      </c>
      <c r="AQ88" s="1118"/>
      <c r="AU88" s="1116">
        <f t="shared" si="180"/>
        <v>0</v>
      </c>
      <c r="AV88" s="1117">
        <f t="shared" si="181"/>
        <v>0</v>
      </c>
      <c r="AW88" s="1117">
        <f t="shared" si="182"/>
        <v>0</v>
      </c>
      <c r="AX88" s="1117">
        <f t="shared" si="183"/>
        <v>0</v>
      </c>
      <c r="AY88" s="1118"/>
      <c r="BC88" s="1116">
        <f t="shared" si="184"/>
        <v>0</v>
      </c>
      <c r="BD88" s="1117">
        <f t="shared" si="185"/>
        <v>0</v>
      </c>
      <c r="BE88" s="1117">
        <f t="shared" si="186"/>
        <v>0</v>
      </c>
      <c r="BF88" s="1117">
        <f t="shared" si="187"/>
        <v>0</v>
      </c>
      <c r="BG88" s="1118"/>
      <c r="BK88" s="1116">
        <f t="shared" si="188"/>
        <v>0</v>
      </c>
      <c r="BL88" s="1117">
        <f t="shared" si="189"/>
        <v>0</v>
      </c>
      <c r="BM88" s="1117">
        <f t="shared" si="190"/>
        <v>0</v>
      </c>
      <c r="BN88" s="1117">
        <f t="shared" si="191"/>
        <v>0</v>
      </c>
      <c r="BO88" s="1118"/>
      <c r="BS88" s="1116">
        <f t="shared" si="192"/>
        <v>0</v>
      </c>
      <c r="BT88" s="1117">
        <f t="shared" si="193"/>
        <v>0</v>
      </c>
      <c r="BU88" s="1117">
        <f t="shared" si="194"/>
        <v>0</v>
      </c>
      <c r="BV88" s="1117">
        <f t="shared" si="195"/>
        <v>0</v>
      </c>
      <c r="BW88" s="1118"/>
      <c r="CA88" s="1116">
        <f t="shared" si="196"/>
        <v>0</v>
      </c>
      <c r="CB88" s="1117">
        <f t="shared" si="197"/>
        <v>0</v>
      </c>
      <c r="CC88" s="1117">
        <f t="shared" si="198"/>
        <v>0</v>
      </c>
      <c r="CD88" s="1117">
        <f t="shared" si="199"/>
        <v>0</v>
      </c>
      <c r="CE88" s="1118"/>
      <c r="CI88" s="1116">
        <f t="shared" si="200"/>
        <v>0</v>
      </c>
      <c r="CJ88" s="1117">
        <f t="shared" si="201"/>
        <v>0</v>
      </c>
      <c r="CK88" s="1117">
        <f t="shared" si="202"/>
        <v>0</v>
      </c>
      <c r="CL88" s="1117">
        <f t="shared" si="203"/>
        <v>0</v>
      </c>
      <c r="CM88" s="1118"/>
      <c r="CQ88" s="1116">
        <f t="shared" si="204"/>
        <v>0</v>
      </c>
      <c r="CR88" s="1117">
        <f t="shared" si="205"/>
        <v>0</v>
      </c>
      <c r="CS88" s="1117">
        <f t="shared" si="206"/>
        <v>0</v>
      </c>
      <c r="CT88" s="1117">
        <f t="shared" si="207"/>
        <v>0</v>
      </c>
      <c r="CU88" s="1118"/>
      <c r="CY88" s="1116">
        <f t="shared" si="208"/>
        <v>0</v>
      </c>
      <c r="CZ88" s="1117">
        <f t="shared" si="209"/>
        <v>0</v>
      </c>
      <c r="DA88" s="1117">
        <f t="shared" si="210"/>
        <v>0</v>
      </c>
      <c r="DB88" s="1117">
        <f t="shared" si="211"/>
        <v>0</v>
      </c>
      <c r="DC88" s="1118"/>
      <c r="DG88" s="1116">
        <f t="shared" si="212"/>
        <v>0</v>
      </c>
      <c r="DH88" s="1117">
        <f t="shared" si="213"/>
        <v>0</v>
      </c>
      <c r="DI88" s="1117">
        <f t="shared" si="214"/>
        <v>0</v>
      </c>
      <c r="DJ88" s="1117">
        <f t="shared" si="215"/>
        <v>0</v>
      </c>
      <c r="DK88" s="1118"/>
      <c r="DO88" s="1116">
        <f t="shared" si="216"/>
        <v>0</v>
      </c>
      <c r="DP88" s="1117">
        <f t="shared" si="217"/>
        <v>0</v>
      </c>
      <c r="DQ88" s="1117">
        <f t="shared" si="218"/>
        <v>0</v>
      </c>
      <c r="DR88" s="1117">
        <f t="shared" si="219"/>
        <v>0</v>
      </c>
      <c r="DS88" s="1118"/>
      <c r="DW88" s="1116">
        <f t="shared" si="220"/>
        <v>0</v>
      </c>
      <c r="DX88" s="1117">
        <f t="shared" si="221"/>
        <v>0</v>
      </c>
      <c r="DY88" s="1117">
        <f t="shared" si="222"/>
        <v>0</v>
      </c>
      <c r="DZ88" s="1117">
        <f t="shared" si="223"/>
        <v>0</v>
      </c>
      <c r="EA88" s="1118"/>
      <c r="EE88" s="1116">
        <f t="shared" si="224"/>
        <v>0</v>
      </c>
      <c r="EF88" s="1117">
        <f t="shared" si="225"/>
        <v>0</v>
      </c>
      <c r="EG88" s="1117">
        <f t="shared" si="226"/>
        <v>0</v>
      </c>
      <c r="EH88" s="1117">
        <f t="shared" si="227"/>
        <v>0</v>
      </c>
      <c r="EI88" s="1118"/>
      <c r="EM88" s="1116">
        <f t="shared" si="228"/>
        <v>0</v>
      </c>
      <c r="EN88" s="1117">
        <f t="shared" si="229"/>
        <v>0</v>
      </c>
      <c r="EO88" s="1117">
        <f t="shared" si="230"/>
        <v>0</v>
      </c>
      <c r="EP88" s="1117">
        <f t="shared" si="231"/>
        <v>0</v>
      </c>
      <c r="EQ88" s="1118"/>
      <c r="EU88" s="1116">
        <f t="shared" si="232"/>
        <v>0</v>
      </c>
      <c r="EV88" s="1117">
        <f t="shared" si="233"/>
        <v>0</v>
      </c>
      <c r="EW88" s="1117">
        <f t="shared" si="234"/>
        <v>0</v>
      </c>
      <c r="EX88" s="1117">
        <f t="shared" si="235"/>
        <v>0</v>
      </c>
      <c r="EY88" s="1118"/>
      <c r="FC88" s="1116">
        <f t="shared" si="236"/>
        <v>0</v>
      </c>
      <c r="FD88" s="1117">
        <f t="shared" si="237"/>
        <v>0</v>
      </c>
      <c r="FE88" s="1117">
        <f t="shared" si="238"/>
        <v>0</v>
      </c>
      <c r="FF88" s="1117">
        <f t="shared" si="239"/>
        <v>0</v>
      </c>
      <c r="FG88" s="1118"/>
      <c r="FK88" s="1116">
        <f t="shared" si="240"/>
        <v>0</v>
      </c>
      <c r="FL88" s="1117">
        <f t="shared" si="241"/>
        <v>0</v>
      </c>
      <c r="FM88" s="1117">
        <f t="shared" si="242"/>
        <v>0</v>
      </c>
      <c r="FN88" s="1117">
        <f t="shared" si="243"/>
        <v>0</v>
      </c>
      <c r="FO88" s="1118"/>
    </row>
    <row r="89" spans="1:171">
      <c r="A89" s="1439"/>
      <c r="B89" s="64" t="s">
        <v>480</v>
      </c>
      <c r="C89" s="888"/>
      <c r="D89" s="888" t="s">
        <v>257</v>
      </c>
      <c r="E89" s="182" t="str">
        <f>'Sch 1- Rate Base '!E89</f>
        <v>PROD</v>
      </c>
      <c r="F89" s="889"/>
      <c r="G89" s="182">
        <f>'Sch 1- Rate Base '!G89</f>
        <v>0</v>
      </c>
      <c r="H89" s="182">
        <f>'Sch 1- Rate Base '!H89</f>
        <v>0</v>
      </c>
      <c r="I89" s="182">
        <f>'Sch 1- Rate Base '!I89</f>
        <v>0</v>
      </c>
      <c r="J89" s="1424">
        <f>'Sch 1- Rate Base '!J89</f>
        <v>0</v>
      </c>
      <c r="K89" s="903">
        <f t="shared" si="163"/>
        <v>1</v>
      </c>
      <c r="O89" s="1116">
        <f t="shared" si="164"/>
        <v>0</v>
      </c>
      <c r="P89" s="1117">
        <f t="shared" si="165"/>
        <v>0</v>
      </c>
      <c r="Q89" s="1117">
        <f t="shared" si="166"/>
        <v>0</v>
      </c>
      <c r="R89" s="1117">
        <f t="shared" si="167"/>
        <v>0</v>
      </c>
      <c r="S89" s="1118"/>
      <c r="W89" s="1116">
        <f t="shared" si="168"/>
        <v>0</v>
      </c>
      <c r="X89" s="1117">
        <f t="shared" si="169"/>
        <v>0</v>
      </c>
      <c r="Y89" s="1117">
        <f t="shared" si="170"/>
        <v>0</v>
      </c>
      <c r="Z89" s="1117">
        <f t="shared" si="171"/>
        <v>0</v>
      </c>
      <c r="AA89" s="1118"/>
      <c r="AE89" s="1116">
        <f t="shared" si="172"/>
        <v>0</v>
      </c>
      <c r="AF89" s="1117">
        <f t="shared" si="173"/>
        <v>0</v>
      </c>
      <c r="AG89" s="1117">
        <f t="shared" si="174"/>
        <v>0</v>
      </c>
      <c r="AH89" s="1117">
        <f t="shared" si="175"/>
        <v>0</v>
      </c>
      <c r="AI89" s="1118"/>
      <c r="AM89" s="1116">
        <f t="shared" si="176"/>
        <v>0</v>
      </c>
      <c r="AN89" s="1117">
        <f t="shared" si="177"/>
        <v>0</v>
      </c>
      <c r="AO89" s="1117">
        <f t="shared" si="178"/>
        <v>0</v>
      </c>
      <c r="AP89" s="1117">
        <f t="shared" si="179"/>
        <v>0</v>
      </c>
      <c r="AQ89" s="1118"/>
      <c r="AU89" s="1116">
        <f t="shared" si="180"/>
        <v>0</v>
      </c>
      <c r="AV89" s="1117">
        <f t="shared" si="181"/>
        <v>0</v>
      </c>
      <c r="AW89" s="1117">
        <f t="shared" si="182"/>
        <v>0</v>
      </c>
      <c r="AX89" s="1117">
        <f t="shared" si="183"/>
        <v>0</v>
      </c>
      <c r="AY89" s="1118"/>
      <c r="BC89" s="1116">
        <f t="shared" si="184"/>
        <v>0</v>
      </c>
      <c r="BD89" s="1117">
        <f t="shared" si="185"/>
        <v>0</v>
      </c>
      <c r="BE89" s="1117">
        <f t="shared" si="186"/>
        <v>0</v>
      </c>
      <c r="BF89" s="1117">
        <f t="shared" si="187"/>
        <v>0</v>
      </c>
      <c r="BG89" s="1118"/>
      <c r="BK89" s="1116">
        <f t="shared" si="188"/>
        <v>0</v>
      </c>
      <c r="BL89" s="1117">
        <f t="shared" si="189"/>
        <v>0</v>
      </c>
      <c r="BM89" s="1117">
        <f t="shared" si="190"/>
        <v>0</v>
      </c>
      <c r="BN89" s="1117">
        <f t="shared" si="191"/>
        <v>0</v>
      </c>
      <c r="BO89" s="1118"/>
      <c r="BS89" s="1116">
        <f t="shared" si="192"/>
        <v>0</v>
      </c>
      <c r="BT89" s="1117">
        <f t="shared" si="193"/>
        <v>0</v>
      </c>
      <c r="BU89" s="1117">
        <f t="shared" si="194"/>
        <v>0</v>
      </c>
      <c r="BV89" s="1117">
        <f t="shared" si="195"/>
        <v>0</v>
      </c>
      <c r="BW89" s="1118"/>
      <c r="CA89" s="1116">
        <f t="shared" si="196"/>
        <v>0</v>
      </c>
      <c r="CB89" s="1117">
        <f t="shared" si="197"/>
        <v>0</v>
      </c>
      <c r="CC89" s="1117">
        <f t="shared" si="198"/>
        <v>0</v>
      </c>
      <c r="CD89" s="1117">
        <f t="shared" si="199"/>
        <v>0</v>
      </c>
      <c r="CE89" s="1118"/>
      <c r="CI89" s="1116">
        <f t="shared" si="200"/>
        <v>0</v>
      </c>
      <c r="CJ89" s="1117">
        <f t="shared" si="201"/>
        <v>0</v>
      </c>
      <c r="CK89" s="1117">
        <f t="shared" si="202"/>
        <v>0</v>
      </c>
      <c r="CL89" s="1117">
        <f t="shared" si="203"/>
        <v>0</v>
      </c>
      <c r="CM89" s="1118"/>
      <c r="CQ89" s="1116">
        <f t="shared" si="204"/>
        <v>0</v>
      </c>
      <c r="CR89" s="1117">
        <f t="shared" si="205"/>
        <v>0</v>
      </c>
      <c r="CS89" s="1117">
        <f t="shared" si="206"/>
        <v>0</v>
      </c>
      <c r="CT89" s="1117">
        <f t="shared" si="207"/>
        <v>0</v>
      </c>
      <c r="CU89" s="1118"/>
      <c r="CY89" s="1116">
        <f t="shared" si="208"/>
        <v>0</v>
      </c>
      <c r="CZ89" s="1117">
        <f t="shared" si="209"/>
        <v>0</v>
      </c>
      <c r="DA89" s="1117">
        <f t="shared" si="210"/>
        <v>0</v>
      </c>
      <c r="DB89" s="1117">
        <f t="shared" si="211"/>
        <v>0</v>
      </c>
      <c r="DC89" s="1118"/>
      <c r="DG89" s="1116">
        <f t="shared" si="212"/>
        <v>0</v>
      </c>
      <c r="DH89" s="1117">
        <f t="shared" si="213"/>
        <v>0</v>
      </c>
      <c r="DI89" s="1117">
        <f t="shared" si="214"/>
        <v>0</v>
      </c>
      <c r="DJ89" s="1117">
        <f t="shared" si="215"/>
        <v>0</v>
      </c>
      <c r="DK89" s="1118"/>
      <c r="DO89" s="1116">
        <f t="shared" si="216"/>
        <v>0</v>
      </c>
      <c r="DP89" s="1117">
        <f t="shared" si="217"/>
        <v>0</v>
      </c>
      <c r="DQ89" s="1117">
        <f t="shared" si="218"/>
        <v>0</v>
      </c>
      <c r="DR89" s="1117">
        <f t="shared" si="219"/>
        <v>0</v>
      </c>
      <c r="DS89" s="1118"/>
      <c r="DW89" s="1116">
        <f t="shared" si="220"/>
        <v>0</v>
      </c>
      <c r="DX89" s="1117">
        <f t="shared" si="221"/>
        <v>0</v>
      </c>
      <c r="DY89" s="1117">
        <f t="shared" si="222"/>
        <v>0</v>
      </c>
      <c r="DZ89" s="1117">
        <f t="shared" si="223"/>
        <v>0</v>
      </c>
      <c r="EA89" s="1118"/>
      <c r="EE89" s="1116">
        <f t="shared" si="224"/>
        <v>0</v>
      </c>
      <c r="EF89" s="1117">
        <f t="shared" si="225"/>
        <v>0</v>
      </c>
      <c r="EG89" s="1117">
        <f t="shared" si="226"/>
        <v>0</v>
      </c>
      <c r="EH89" s="1117">
        <f t="shared" si="227"/>
        <v>0</v>
      </c>
      <c r="EI89" s="1118"/>
      <c r="EM89" s="1116">
        <f t="shared" si="228"/>
        <v>0</v>
      </c>
      <c r="EN89" s="1117">
        <f t="shared" si="229"/>
        <v>0</v>
      </c>
      <c r="EO89" s="1117">
        <f t="shared" si="230"/>
        <v>0</v>
      </c>
      <c r="EP89" s="1117">
        <f t="shared" si="231"/>
        <v>0</v>
      </c>
      <c r="EQ89" s="1118"/>
      <c r="EU89" s="1116">
        <f t="shared" si="232"/>
        <v>0</v>
      </c>
      <c r="EV89" s="1117">
        <f t="shared" si="233"/>
        <v>0</v>
      </c>
      <c r="EW89" s="1117">
        <f t="shared" si="234"/>
        <v>0</v>
      </c>
      <c r="EX89" s="1117">
        <f t="shared" si="235"/>
        <v>0</v>
      </c>
      <c r="EY89" s="1118"/>
      <c r="FC89" s="1116">
        <f t="shared" si="236"/>
        <v>0</v>
      </c>
      <c r="FD89" s="1117">
        <f t="shared" si="237"/>
        <v>0</v>
      </c>
      <c r="FE89" s="1117">
        <f t="shared" si="238"/>
        <v>0</v>
      </c>
      <c r="FF89" s="1117">
        <f t="shared" si="239"/>
        <v>0</v>
      </c>
      <c r="FG89" s="1118"/>
      <c r="FK89" s="1116">
        <f t="shared" si="240"/>
        <v>0</v>
      </c>
      <c r="FL89" s="1117">
        <f t="shared" si="241"/>
        <v>0</v>
      </c>
      <c r="FM89" s="1117">
        <f t="shared" si="242"/>
        <v>0</v>
      </c>
      <c r="FN89" s="1117">
        <f t="shared" si="243"/>
        <v>0</v>
      </c>
      <c r="FO89" s="1118"/>
    </row>
    <row r="90" spans="1:171">
      <c r="A90" s="1439"/>
      <c r="B90" s="10" t="s">
        <v>80</v>
      </c>
      <c r="C90" s="888" t="s">
        <v>69</v>
      </c>
      <c r="D90" s="888" t="s">
        <v>258</v>
      </c>
      <c r="E90" s="182" t="str">
        <f>'Sch 1- Rate Base '!E90</f>
        <v>DIST</v>
      </c>
      <c r="F90" s="889"/>
      <c r="G90" s="182">
        <f>'Sch 1- Rate Base '!G90</f>
        <v>132548007</v>
      </c>
      <c r="H90" s="182">
        <f>'Sch 1- Rate Base '!H90</f>
        <v>0</v>
      </c>
      <c r="I90" s="182">
        <f>'Sch 1- Rate Base '!I90</f>
        <v>0</v>
      </c>
      <c r="J90" s="1424">
        <f>'Sch 1- Rate Base '!J90</f>
        <v>132548007</v>
      </c>
      <c r="K90" s="903">
        <f t="shared" si="163"/>
        <v>1</v>
      </c>
      <c r="O90" s="1116">
        <f t="shared" si="164"/>
        <v>132548007</v>
      </c>
      <c r="P90" s="1117">
        <f t="shared" si="165"/>
        <v>0</v>
      </c>
      <c r="Q90" s="1117">
        <f t="shared" si="166"/>
        <v>0</v>
      </c>
      <c r="R90" s="1117">
        <f t="shared" si="167"/>
        <v>132548007</v>
      </c>
      <c r="S90" s="1118"/>
      <c r="W90" s="1116">
        <f t="shared" si="168"/>
        <v>132548007</v>
      </c>
      <c r="X90" s="1117">
        <f t="shared" si="169"/>
        <v>0</v>
      </c>
      <c r="Y90" s="1117">
        <f t="shared" si="170"/>
        <v>0</v>
      </c>
      <c r="Z90" s="1117">
        <f t="shared" si="171"/>
        <v>132548007</v>
      </c>
      <c r="AA90" s="1118"/>
      <c r="AE90" s="1116">
        <f t="shared" si="172"/>
        <v>132548007</v>
      </c>
      <c r="AF90" s="1117">
        <f t="shared" si="173"/>
        <v>0</v>
      </c>
      <c r="AG90" s="1117">
        <f t="shared" si="174"/>
        <v>0</v>
      </c>
      <c r="AH90" s="1117">
        <f t="shared" si="175"/>
        <v>132548007</v>
      </c>
      <c r="AI90" s="1118"/>
      <c r="AM90" s="1116">
        <f t="shared" si="176"/>
        <v>132548007</v>
      </c>
      <c r="AN90" s="1117">
        <f t="shared" si="177"/>
        <v>0</v>
      </c>
      <c r="AO90" s="1117">
        <f t="shared" si="178"/>
        <v>0</v>
      </c>
      <c r="AP90" s="1117">
        <f t="shared" si="179"/>
        <v>132548007</v>
      </c>
      <c r="AQ90" s="1118"/>
      <c r="AU90" s="1116">
        <f t="shared" si="180"/>
        <v>132548007</v>
      </c>
      <c r="AV90" s="1117">
        <f t="shared" si="181"/>
        <v>0</v>
      </c>
      <c r="AW90" s="1117">
        <f t="shared" si="182"/>
        <v>0</v>
      </c>
      <c r="AX90" s="1117">
        <f t="shared" si="183"/>
        <v>132548007</v>
      </c>
      <c r="AY90" s="1118"/>
      <c r="BC90" s="1116">
        <f t="shared" si="184"/>
        <v>132548007</v>
      </c>
      <c r="BD90" s="1117">
        <f t="shared" si="185"/>
        <v>0</v>
      </c>
      <c r="BE90" s="1117">
        <f t="shared" si="186"/>
        <v>0</v>
      </c>
      <c r="BF90" s="1117">
        <f t="shared" si="187"/>
        <v>132548007</v>
      </c>
      <c r="BG90" s="1118"/>
      <c r="BK90" s="1116">
        <f t="shared" si="188"/>
        <v>132548007</v>
      </c>
      <c r="BL90" s="1117">
        <f t="shared" si="189"/>
        <v>0</v>
      </c>
      <c r="BM90" s="1117">
        <f t="shared" si="190"/>
        <v>0</v>
      </c>
      <c r="BN90" s="1117">
        <f t="shared" si="191"/>
        <v>132548007</v>
      </c>
      <c r="BO90" s="1118"/>
      <c r="BS90" s="1116">
        <f t="shared" si="192"/>
        <v>132548007</v>
      </c>
      <c r="BT90" s="1117">
        <f t="shared" si="193"/>
        <v>0</v>
      </c>
      <c r="BU90" s="1117">
        <f t="shared" si="194"/>
        <v>0</v>
      </c>
      <c r="BV90" s="1117">
        <f t="shared" si="195"/>
        <v>132548007</v>
      </c>
      <c r="BW90" s="1118"/>
      <c r="CA90" s="1116">
        <f t="shared" si="196"/>
        <v>132548007</v>
      </c>
      <c r="CB90" s="1117">
        <f t="shared" si="197"/>
        <v>0</v>
      </c>
      <c r="CC90" s="1117">
        <f t="shared" si="198"/>
        <v>0</v>
      </c>
      <c r="CD90" s="1117">
        <f t="shared" si="199"/>
        <v>132548007</v>
      </c>
      <c r="CE90" s="1118"/>
      <c r="CI90" s="1116">
        <f t="shared" si="200"/>
        <v>132548007</v>
      </c>
      <c r="CJ90" s="1117">
        <f t="shared" si="201"/>
        <v>0</v>
      </c>
      <c r="CK90" s="1117">
        <f t="shared" si="202"/>
        <v>0</v>
      </c>
      <c r="CL90" s="1117">
        <f t="shared" si="203"/>
        <v>132548007</v>
      </c>
      <c r="CM90" s="1118"/>
      <c r="CQ90" s="1116">
        <f t="shared" si="204"/>
        <v>132548007</v>
      </c>
      <c r="CR90" s="1117">
        <f t="shared" si="205"/>
        <v>0</v>
      </c>
      <c r="CS90" s="1117">
        <f t="shared" si="206"/>
        <v>0</v>
      </c>
      <c r="CT90" s="1117">
        <f t="shared" si="207"/>
        <v>132548007</v>
      </c>
      <c r="CU90" s="1118"/>
      <c r="CY90" s="1116">
        <f t="shared" si="208"/>
        <v>132548007</v>
      </c>
      <c r="CZ90" s="1117">
        <f t="shared" si="209"/>
        <v>0</v>
      </c>
      <c r="DA90" s="1117">
        <f t="shared" si="210"/>
        <v>0</v>
      </c>
      <c r="DB90" s="1117">
        <f t="shared" si="211"/>
        <v>132548007</v>
      </c>
      <c r="DC90" s="1118"/>
      <c r="DG90" s="1116">
        <f t="shared" si="212"/>
        <v>132548007</v>
      </c>
      <c r="DH90" s="1117">
        <f t="shared" si="213"/>
        <v>0</v>
      </c>
      <c r="DI90" s="1117">
        <f t="shared" si="214"/>
        <v>0</v>
      </c>
      <c r="DJ90" s="1117">
        <f t="shared" si="215"/>
        <v>132548007</v>
      </c>
      <c r="DK90" s="1118"/>
      <c r="DO90" s="1116">
        <f t="shared" si="216"/>
        <v>132548007</v>
      </c>
      <c r="DP90" s="1117">
        <f t="shared" si="217"/>
        <v>0</v>
      </c>
      <c r="DQ90" s="1117">
        <f t="shared" si="218"/>
        <v>0</v>
      </c>
      <c r="DR90" s="1117">
        <f t="shared" si="219"/>
        <v>132548007</v>
      </c>
      <c r="DS90" s="1118"/>
      <c r="DW90" s="1116">
        <f t="shared" si="220"/>
        <v>132548007</v>
      </c>
      <c r="DX90" s="1117">
        <f t="shared" si="221"/>
        <v>0</v>
      </c>
      <c r="DY90" s="1117">
        <f t="shared" si="222"/>
        <v>0</v>
      </c>
      <c r="DZ90" s="1117">
        <f t="shared" si="223"/>
        <v>132548007</v>
      </c>
      <c r="EA90" s="1118"/>
      <c r="EE90" s="1116">
        <f t="shared" si="224"/>
        <v>132548007</v>
      </c>
      <c r="EF90" s="1117">
        <f t="shared" si="225"/>
        <v>0</v>
      </c>
      <c r="EG90" s="1117">
        <f t="shared" si="226"/>
        <v>0</v>
      </c>
      <c r="EH90" s="1117">
        <f t="shared" si="227"/>
        <v>132548007</v>
      </c>
      <c r="EI90" s="1118"/>
      <c r="EM90" s="1116">
        <f t="shared" si="228"/>
        <v>132548007</v>
      </c>
      <c r="EN90" s="1117">
        <f t="shared" si="229"/>
        <v>0</v>
      </c>
      <c r="EO90" s="1117">
        <f t="shared" si="230"/>
        <v>0</v>
      </c>
      <c r="EP90" s="1117">
        <f t="shared" si="231"/>
        <v>132548007</v>
      </c>
      <c r="EQ90" s="1118"/>
      <c r="EU90" s="1116">
        <f t="shared" si="232"/>
        <v>132548007</v>
      </c>
      <c r="EV90" s="1117">
        <f t="shared" si="233"/>
        <v>0</v>
      </c>
      <c r="EW90" s="1117">
        <f t="shared" si="234"/>
        <v>0</v>
      </c>
      <c r="EX90" s="1117">
        <f t="shared" si="235"/>
        <v>132548007</v>
      </c>
      <c r="EY90" s="1118"/>
      <c r="FC90" s="1116">
        <f t="shared" si="236"/>
        <v>132548007</v>
      </c>
      <c r="FD90" s="1117">
        <f t="shared" si="237"/>
        <v>0</v>
      </c>
      <c r="FE90" s="1117">
        <f t="shared" si="238"/>
        <v>0</v>
      </c>
      <c r="FF90" s="1117">
        <f t="shared" si="239"/>
        <v>132548007</v>
      </c>
      <c r="FG90" s="1118"/>
      <c r="FK90" s="1116">
        <f t="shared" si="240"/>
        <v>132548007</v>
      </c>
      <c r="FL90" s="1117">
        <f t="shared" si="241"/>
        <v>0</v>
      </c>
      <c r="FM90" s="1117">
        <f t="shared" si="242"/>
        <v>0</v>
      </c>
      <c r="FN90" s="1117">
        <f t="shared" si="243"/>
        <v>132548007</v>
      </c>
      <c r="FO90" s="1118"/>
    </row>
    <row r="91" spans="1:171">
      <c r="A91" s="1439"/>
      <c r="B91" s="10" t="s">
        <v>224</v>
      </c>
      <c r="C91" s="888" t="s">
        <v>225</v>
      </c>
      <c r="D91" s="888"/>
      <c r="E91" s="182" t="str">
        <f>'Sch 1- Rate Base '!E91</f>
        <v>DIRECT</v>
      </c>
      <c r="F91" s="889"/>
      <c r="G91" s="182">
        <f>'Sch 1- Rate Base '!G91</f>
        <v>527520424</v>
      </c>
      <c r="H91" s="182">
        <f>'Sch 1- Rate Base '!H91</f>
        <v>95603687.228371158</v>
      </c>
      <c r="I91" s="182">
        <f>'Sch 1- Rate Base '!I91</f>
        <v>0</v>
      </c>
      <c r="J91" s="1424">
        <f>'Sch 1- Rate Base '!J91</f>
        <v>431916736.77162886</v>
      </c>
      <c r="K91" s="903">
        <f t="shared" si="163"/>
        <v>0</v>
      </c>
      <c r="O91" s="1116">
        <f t="shared" si="164"/>
        <v>527520424</v>
      </c>
      <c r="P91" s="1117">
        <f t="shared" si="165"/>
        <v>95603687.228371158</v>
      </c>
      <c r="Q91" s="1117">
        <f t="shared" si="166"/>
        <v>0</v>
      </c>
      <c r="R91" s="1117">
        <f t="shared" si="167"/>
        <v>431916736.77162886</v>
      </c>
      <c r="S91" s="1118"/>
      <c r="W91" s="1116">
        <f t="shared" si="168"/>
        <v>527520424</v>
      </c>
      <c r="X91" s="1117">
        <f t="shared" si="169"/>
        <v>95603687.228371158</v>
      </c>
      <c r="Y91" s="1117">
        <f t="shared" si="170"/>
        <v>0</v>
      </c>
      <c r="Z91" s="1117">
        <f t="shared" si="171"/>
        <v>431916736.77162886</v>
      </c>
      <c r="AA91" s="1118"/>
      <c r="AE91" s="1116">
        <f t="shared" si="172"/>
        <v>527520424</v>
      </c>
      <c r="AF91" s="1117">
        <f t="shared" si="173"/>
        <v>95603687.228371158</v>
      </c>
      <c r="AG91" s="1117">
        <f t="shared" si="174"/>
        <v>0</v>
      </c>
      <c r="AH91" s="1117">
        <f t="shared" si="175"/>
        <v>431916736.77162886</v>
      </c>
      <c r="AI91" s="1118"/>
      <c r="AM91" s="1116">
        <f t="shared" si="176"/>
        <v>527520424</v>
      </c>
      <c r="AN91" s="1117">
        <f t="shared" si="177"/>
        <v>95603687.228371158</v>
      </c>
      <c r="AO91" s="1117">
        <f t="shared" si="178"/>
        <v>0</v>
      </c>
      <c r="AP91" s="1117">
        <f t="shared" si="179"/>
        <v>431916736.77162886</v>
      </c>
      <c r="AQ91" s="1118"/>
      <c r="AU91" s="1116">
        <f t="shared" si="180"/>
        <v>527520424</v>
      </c>
      <c r="AV91" s="1117">
        <f t="shared" si="181"/>
        <v>95603687.228371158</v>
      </c>
      <c r="AW91" s="1117">
        <f t="shared" si="182"/>
        <v>0</v>
      </c>
      <c r="AX91" s="1117">
        <f t="shared" si="183"/>
        <v>431916736.77162886</v>
      </c>
      <c r="AY91" s="1118"/>
      <c r="BC91" s="1116">
        <f t="shared" si="184"/>
        <v>527520424</v>
      </c>
      <c r="BD91" s="1117">
        <f t="shared" si="185"/>
        <v>95603687.228371158</v>
      </c>
      <c r="BE91" s="1117">
        <f t="shared" si="186"/>
        <v>0</v>
      </c>
      <c r="BF91" s="1117">
        <f t="shared" si="187"/>
        <v>431916736.77162886</v>
      </c>
      <c r="BG91" s="1118"/>
      <c r="BK91" s="1116">
        <f t="shared" si="188"/>
        <v>527520424</v>
      </c>
      <c r="BL91" s="1117">
        <f t="shared" si="189"/>
        <v>95603687.228371158</v>
      </c>
      <c r="BM91" s="1117">
        <f t="shared" si="190"/>
        <v>0</v>
      </c>
      <c r="BN91" s="1117">
        <f t="shared" si="191"/>
        <v>431916736.77162886</v>
      </c>
      <c r="BO91" s="1118"/>
      <c r="BS91" s="1116">
        <f t="shared" si="192"/>
        <v>527520424</v>
      </c>
      <c r="BT91" s="1117">
        <f t="shared" si="193"/>
        <v>95603687.228371158</v>
      </c>
      <c r="BU91" s="1117">
        <f t="shared" si="194"/>
        <v>0</v>
      </c>
      <c r="BV91" s="1117">
        <f t="shared" si="195"/>
        <v>431916736.77162886</v>
      </c>
      <c r="BW91" s="1118"/>
      <c r="CA91" s="1116">
        <f t="shared" si="196"/>
        <v>527520424</v>
      </c>
      <c r="CB91" s="1117">
        <f t="shared" si="197"/>
        <v>95603687.228371158</v>
      </c>
      <c r="CC91" s="1117">
        <f t="shared" si="198"/>
        <v>0</v>
      </c>
      <c r="CD91" s="1117">
        <f t="shared" si="199"/>
        <v>431916736.77162886</v>
      </c>
      <c r="CE91" s="1118"/>
      <c r="CI91" s="1116">
        <f t="shared" si="200"/>
        <v>527520424</v>
      </c>
      <c r="CJ91" s="1117">
        <f t="shared" si="201"/>
        <v>95603687.228371158</v>
      </c>
      <c r="CK91" s="1117">
        <f t="shared" si="202"/>
        <v>0</v>
      </c>
      <c r="CL91" s="1117">
        <f t="shared" si="203"/>
        <v>431916736.77162886</v>
      </c>
      <c r="CM91" s="1118"/>
      <c r="CQ91" s="1116">
        <f t="shared" si="204"/>
        <v>527520424</v>
      </c>
      <c r="CR91" s="1117">
        <f t="shared" si="205"/>
        <v>95603687.228371158</v>
      </c>
      <c r="CS91" s="1117">
        <f t="shared" si="206"/>
        <v>0</v>
      </c>
      <c r="CT91" s="1117">
        <f t="shared" si="207"/>
        <v>431916736.77162886</v>
      </c>
      <c r="CU91" s="1118"/>
      <c r="CY91" s="1116">
        <f t="shared" si="208"/>
        <v>527520424</v>
      </c>
      <c r="CZ91" s="1117">
        <f t="shared" si="209"/>
        <v>95603687.228371158</v>
      </c>
      <c r="DA91" s="1117">
        <f t="shared" si="210"/>
        <v>0</v>
      </c>
      <c r="DB91" s="1117">
        <f t="shared" si="211"/>
        <v>431916736.77162886</v>
      </c>
      <c r="DC91" s="1118"/>
      <c r="DG91" s="1116">
        <f t="shared" si="212"/>
        <v>527520424</v>
      </c>
      <c r="DH91" s="1117">
        <f t="shared" si="213"/>
        <v>95603687.228371158</v>
      </c>
      <c r="DI91" s="1117">
        <f t="shared" si="214"/>
        <v>0</v>
      </c>
      <c r="DJ91" s="1117">
        <f t="shared" si="215"/>
        <v>431916736.77162886</v>
      </c>
      <c r="DK91" s="1118"/>
      <c r="DO91" s="1116">
        <f t="shared" si="216"/>
        <v>527520424</v>
      </c>
      <c r="DP91" s="1117">
        <f t="shared" si="217"/>
        <v>95603687.228371158</v>
      </c>
      <c r="DQ91" s="1117">
        <f t="shared" si="218"/>
        <v>0</v>
      </c>
      <c r="DR91" s="1117">
        <f t="shared" si="219"/>
        <v>431916736.77162886</v>
      </c>
      <c r="DS91" s="1118"/>
      <c r="DW91" s="1116">
        <f t="shared" si="220"/>
        <v>527520424</v>
      </c>
      <c r="DX91" s="1117">
        <f t="shared" si="221"/>
        <v>95603687.228371158</v>
      </c>
      <c r="DY91" s="1117">
        <f t="shared" si="222"/>
        <v>0</v>
      </c>
      <c r="DZ91" s="1117">
        <f t="shared" si="223"/>
        <v>431916736.77162886</v>
      </c>
      <c r="EA91" s="1118"/>
      <c r="EE91" s="1116">
        <f t="shared" si="224"/>
        <v>527520424</v>
      </c>
      <c r="EF91" s="1117">
        <f t="shared" si="225"/>
        <v>95603687.228371158</v>
      </c>
      <c r="EG91" s="1117">
        <f t="shared" si="226"/>
        <v>0</v>
      </c>
      <c r="EH91" s="1117">
        <f t="shared" si="227"/>
        <v>431916736.77162886</v>
      </c>
      <c r="EI91" s="1118"/>
      <c r="EM91" s="1116">
        <f t="shared" si="228"/>
        <v>527520424</v>
      </c>
      <c r="EN91" s="1117">
        <f t="shared" si="229"/>
        <v>95603687.228371158</v>
      </c>
      <c r="EO91" s="1117">
        <f t="shared" si="230"/>
        <v>0</v>
      </c>
      <c r="EP91" s="1117">
        <f t="shared" si="231"/>
        <v>431916736.77162886</v>
      </c>
      <c r="EQ91" s="1118"/>
      <c r="EU91" s="1116">
        <f t="shared" si="232"/>
        <v>527520424</v>
      </c>
      <c r="EV91" s="1117">
        <f t="shared" si="233"/>
        <v>95603687.228371158</v>
      </c>
      <c r="EW91" s="1117">
        <f t="shared" si="234"/>
        <v>0</v>
      </c>
      <c r="EX91" s="1117">
        <f t="shared" si="235"/>
        <v>431916736.77162886</v>
      </c>
      <c r="EY91" s="1118"/>
      <c r="FC91" s="1116">
        <f t="shared" si="236"/>
        <v>527520424</v>
      </c>
      <c r="FD91" s="1117">
        <f t="shared" si="237"/>
        <v>95603687.228371158</v>
      </c>
      <c r="FE91" s="1117">
        <f t="shared" si="238"/>
        <v>0</v>
      </c>
      <c r="FF91" s="1117">
        <f t="shared" si="239"/>
        <v>431916736.77162886</v>
      </c>
      <c r="FG91" s="1118"/>
      <c r="FK91" s="1116">
        <f t="shared" si="240"/>
        <v>527520424</v>
      </c>
      <c r="FL91" s="1117">
        <f t="shared" si="241"/>
        <v>95603687.228371158</v>
      </c>
      <c r="FM91" s="1117">
        <f t="shared" si="242"/>
        <v>0</v>
      </c>
      <c r="FN91" s="1117">
        <f t="shared" si="243"/>
        <v>431916736.77162886</v>
      </c>
      <c r="FO91" s="1118"/>
    </row>
    <row r="92" spans="1:171">
      <c r="A92" s="1439"/>
      <c r="B92" s="10" t="s">
        <v>71</v>
      </c>
      <c r="C92" s="888" t="s">
        <v>69</v>
      </c>
      <c r="D92" s="888">
        <v>114</v>
      </c>
      <c r="E92" s="182" t="str">
        <f>'Sch 1- Rate Base '!E92</f>
        <v>DIRECT</v>
      </c>
      <c r="F92" s="889"/>
      <c r="G92" s="182">
        <f>'Sch 1- Rate Base '!G92</f>
        <v>256800</v>
      </c>
      <c r="H92" s="182">
        <f>'Sch 1- Rate Base '!H92</f>
        <v>0</v>
      </c>
      <c r="I92" s="182">
        <f>'Sch 1- Rate Base '!I92</f>
        <v>0</v>
      </c>
      <c r="J92" s="1424">
        <f>'Sch 1- Rate Base '!J92</f>
        <v>256800</v>
      </c>
      <c r="K92" s="903">
        <f t="shared" si="163"/>
        <v>0</v>
      </c>
      <c r="O92" s="1116">
        <f t="shared" si="164"/>
        <v>256800</v>
      </c>
      <c r="P92" s="1117">
        <f t="shared" si="165"/>
        <v>0</v>
      </c>
      <c r="Q92" s="1117">
        <f t="shared" si="166"/>
        <v>0</v>
      </c>
      <c r="R92" s="1117">
        <f t="shared" si="167"/>
        <v>256800</v>
      </c>
      <c r="S92" s="1118"/>
      <c r="W92" s="1116">
        <f t="shared" si="168"/>
        <v>256800</v>
      </c>
      <c r="X92" s="1117">
        <f t="shared" si="169"/>
        <v>0</v>
      </c>
      <c r="Y92" s="1117">
        <f t="shared" si="170"/>
        <v>0</v>
      </c>
      <c r="Z92" s="1117">
        <f t="shared" si="171"/>
        <v>256800</v>
      </c>
      <c r="AA92" s="1118"/>
      <c r="AE92" s="1116">
        <f t="shared" si="172"/>
        <v>256800</v>
      </c>
      <c r="AF92" s="1117">
        <f t="shared" si="173"/>
        <v>0</v>
      </c>
      <c r="AG92" s="1117">
        <f t="shared" si="174"/>
        <v>0</v>
      </c>
      <c r="AH92" s="1117">
        <f t="shared" si="175"/>
        <v>256800</v>
      </c>
      <c r="AI92" s="1118"/>
      <c r="AM92" s="1116">
        <f t="shared" si="176"/>
        <v>256800</v>
      </c>
      <c r="AN92" s="1117">
        <f t="shared" si="177"/>
        <v>0</v>
      </c>
      <c r="AO92" s="1117">
        <f t="shared" si="178"/>
        <v>0</v>
      </c>
      <c r="AP92" s="1117">
        <f t="shared" si="179"/>
        <v>256800</v>
      </c>
      <c r="AQ92" s="1118"/>
      <c r="AU92" s="1116">
        <f t="shared" si="180"/>
        <v>256800</v>
      </c>
      <c r="AV92" s="1117">
        <f t="shared" si="181"/>
        <v>0</v>
      </c>
      <c r="AW92" s="1117">
        <f t="shared" si="182"/>
        <v>0</v>
      </c>
      <c r="AX92" s="1117">
        <f t="shared" si="183"/>
        <v>256800</v>
      </c>
      <c r="AY92" s="1118"/>
      <c r="BC92" s="1116">
        <f t="shared" si="184"/>
        <v>256800</v>
      </c>
      <c r="BD92" s="1117">
        <f t="shared" si="185"/>
        <v>0</v>
      </c>
      <c r="BE92" s="1117">
        <f t="shared" si="186"/>
        <v>0</v>
      </c>
      <c r="BF92" s="1117">
        <f t="shared" si="187"/>
        <v>256800</v>
      </c>
      <c r="BG92" s="1118"/>
      <c r="BK92" s="1116">
        <f t="shared" si="188"/>
        <v>256800</v>
      </c>
      <c r="BL92" s="1117">
        <f t="shared" si="189"/>
        <v>0</v>
      </c>
      <c r="BM92" s="1117">
        <f t="shared" si="190"/>
        <v>0</v>
      </c>
      <c r="BN92" s="1117">
        <f t="shared" si="191"/>
        <v>256800</v>
      </c>
      <c r="BO92" s="1118"/>
      <c r="BS92" s="1116">
        <f t="shared" si="192"/>
        <v>256800</v>
      </c>
      <c r="BT92" s="1117">
        <f t="shared" si="193"/>
        <v>0</v>
      </c>
      <c r="BU92" s="1117">
        <f t="shared" si="194"/>
        <v>0</v>
      </c>
      <c r="BV92" s="1117">
        <f t="shared" si="195"/>
        <v>256800</v>
      </c>
      <c r="BW92" s="1118"/>
      <c r="CA92" s="1116">
        <f t="shared" si="196"/>
        <v>256800</v>
      </c>
      <c r="CB92" s="1117">
        <f t="shared" si="197"/>
        <v>0</v>
      </c>
      <c r="CC92" s="1117">
        <f t="shared" si="198"/>
        <v>0</v>
      </c>
      <c r="CD92" s="1117">
        <f t="shared" si="199"/>
        <v>256800</v>
      </c>
      <c r="CE92" s="1118"/>
      <c r="CI92" s="1116">
        <f t="shared" si="200"/>
        <v>256800</v>
      </c>
      <c r="CJ92" s="1117">
        <f t="shared" si="201"/>
        <v>0</v>
      </c>
      <c r="CK92" s="1117">
        <f t="shared" si="202"/>
        <v>0</v>
      </c>
      <c r="CL92" s="1117">
        <f t="shared" si="203"/>
        <v>256800</v>
      </c>
      <c r="CM92" s="1118"/>
      <c r="CQ92" s="1116">
        <f t="shared" si="204"/>
        <v>256800</v>
      </c>
      <c r="CR92" s="1117">
        <f t="shared" si="205"/>
        <v>0</v>
      </c>
      <c r="CS92" s="1117">
        <f t="shared" si="206"/>
        <v>0</v>
      </c>
      <c r="CT92" s="1117">
        <f t="shared" si="207"/>
        <v>256800</v>
      </c>
      <c r="CU92" s="1118"/>
      <c r="CY92" s="1116">
        <f t="shared" si="208"/>
        <v>256800</v>
      </c>
      <c r="CZ92" s="1117">
        <f t="shared" si="209"/>
        <v>0</v>
      </c>
      <c r="DA92" s="1117">
        <f t="shared" si="210"/>
        <v>0</v>
      </c>
      <c r="DB92" s="1117">
        <f t="shared" si="211"/>
        <v>256800</v>
      </c>
      <c r="DC92" s="1118"/>
      <c r="DG92" s="1116">
        <f t="shared" si="212"/>
        <v>256800</v>
      </c>
      <c r="DH92" s="1117">
        <f t="shared" si="213"/>
        <v>0</v>
      </c>
      <c r="DI92" s="1117">
        <f t="shared" si="214"/>
        <v>0</v>
      </c>
      <c r="DJ92" s="1117">
        <f t="shared" si="215"/>
        <v>256800</v>
      </c>
      <c r="DK92" s="1118"/>
      <c r="DO92" s="1116">
        <f t="shared" si="216"/>
        <v>256800</v>
      </c>
      <c r="DP92" s="1117">
        <f t="shared" si="217"/>
        <v>0</v>
      </c>
      <c r="DQ92" s="1117">
        <f t="shared" si="218"/>
        <v>0</v>
      </c>
      <c r="DR92" s="1117">
        <f t="shared" si="219"/>
        <v>256800</v>
      </c>
      <c r="DS92" s="1118"/>
      <c r="DW92" s="1116">
        <f t="shared" si="220"/>
        <v>256800</v>
      </c>
      <c r="DX92" s="1117">
        <f t="shared" si="221"/>
        <v>0</v>
      </c>
      <c r="DY92" s="1117">
        <f t="shared" si="222"/>
        <v>0</v>
      </c>
      <c r="DZ92" s="1117">
        <f t="shared" si="223"/>
        <v>256800</v>
      </c>
      <c r="EA92" s="1118"/>
      <c r="EE92" s="1116">
        <f t="shared" si="224"/>
        <v>256800</v>
      </c>
      <c r="EF92" s="1117">
        <f t="shared" si="225"/>
        <v>0</v>
      </c>
      <c r="EG92" s="1117">
        <f t="shared" si="226"/>
        <v>0</v>
      </c>
      <c r="EH92" s="1117">
        <f t="shared" si="227"/>
        <v>256800</v>
      </c>
      <c r="EI92" s="1118"/>
      <c r="EM92" s="1116">
        <f t="shared" si="228"/>
        <v>256800</v>
      </c>
      <c r="EN92" s="1117">
        <f t="shared" si="229"/>
        <v>0</v>
      </c>
      <c r="EO92" s="1117">
        <f t="shared" si="230"/>
        <v>0</v>
      </c>
      <c r="EP92" s="1117">
        <f t="shared" si="231"/>
        <v>256800</v>
      </c>
      <c r="EQ92" s="1118"/>
      <c r="EU92" s="1116">
        <f t="shared" si="232"/>
        <v>256800</v>
      </c>
      <c r="EV92" s="1117">
        <f t="shared" si="233"/>
        <v>0</v>
      </c>
      <c r="EW92" s="1117">
        <f t="shared" si="234"/>
        <v>0</v>
      </c>
      <c r="EX92" s="1117">
        <f t="shared" si="235"/>
        <v>256800</v>
      </c>
      <c r="EY92" s="1118"/>
      <c r="FC92" s="1116">
        <f t="shared" si="236"/>
        <v>256800</v>
      </c>
      <c r="FD92" s="1117">
        <f t="shared" si="237"/>
        <v>0</v>
      </c>
      <c r="FE92" s="1117">
        <f t="shared" si="238"/>
        <v>0</v>
      </c>
      <c r="FF92" s="1117">
        <f t="shared" si="239"/>
        <v>256800</v>
      </c>
      <c r="FG92" s="1118"/>
      <c r="FK92" s="1116">
        <f t="shared" si="240"/>
        <v>256800</v>
      </c>
      <c r="FL92" s="1117">
        <f t="shared" si="241"/>
        <v>0</v>
      </c>
      <c r="FM92" s="1117">
        <f t="shared" si="242"/>
        <v>0</v>
      </c>
      <c r="FN92" s="1117">
        <f t="shared" si="243"/>
        <v>256800</v>
      </c>
      <c r="FO92" s="1118"/>
    </row>
    <row r="93" spans="1:171">
      <c r="A93" s="1439"/>
      <c r="B93" s="847" t="s">
        <v>104</v>
      </c>
      <c r="C93" s="914"/>
      <c r="D93" s="915"/>
      <c r="E93" s="915"/>
      <c r="F93" s="916"/>
      <c r="G93" s="923">
        <f>SUM(G87:G92)</f>
        <v>663253550</v>
      </c>
      <c r="H93" s="923">
        <f>SUM(H87:H92)</f>
        <v>95603687.228371158</v>
      </c>
      <c r="I93" s="923">
        <f>SUM(I87:I92)</f>
        <v>0</v>
      </c>
      <c r="J93" s="1431">
        <f>SUM(J87:J92)</f>
        <v>567649862.77162886</v>
      </c>
      <c r="K93" s="903"/>
      <c r="O93" s="1126">
        <f>SUM(O87:O92)</f>
        <v>663253550</v>
      </c>
      <c r="P93" s="1126">
        <f>SUM(P87:P92)</f>
        <v>95603687.228371158</v>
      </c>
      <c r="Q93" s="1126">
        <f>SUM(Q87:Q92)</f>
        <v>0</v>
      </c>
      <c r="R93" s="1126">
        <f>SUM(R87:R92)</f>
        <v>567649862.77162886</v>
      </c>
      <c r="S93" s="1118"/>
      <c r="W93" s="1126">
        <f>SUM(W87:W92)</f>
        <v>663253550</v>
      </c>
      <c r="X93" s="1126">
        <f>SUM(X87:X92)</f>
        <v>95603687.228371158</v>
      </c>
      <c r="Y93" s="1126">
        <f>SUM(Y87:Y92)</f>
        <v>0</v>
      </c>
      <c r="Z93" s="1126">
        <f>SUM(Z87:Z92)</f>
        <v>567649862.77162886</v>
      </c>
      <c r="AA93" s="1118"/>
      <c r="AE93" s="1126">
        <f>SUM(AE87:AE92)</f>
        <v>663253550</v>
      </c>
      <c r="AF93" s="1126">
        <f>SUM(AF87:AF92)</f>
        <v>95603687.228371158</v>
      </c>
      <c r="AG93" s="1126">
        <f>SUM(AG87:AG92)</f>
        <v>0</v>
      </c>
      <c r="AH93" s="1126">
        <f>SUM(AH87:AH92)</f>
        <v>567649862.77162886</v>
      </c>
      <c r="AI93" s="1118"/>
      <c r="AM93" s="1126">
        <f>SUM(AM87:AM92)</f>
        <v>663253550</v>
      </c>
      <c r="AN93" s="1126">
        <f>SUM(AN87:AN92)</f>
        <v>95603687.228371158</v>
      </c>
      <c r="AO93" s="1126">
        <f>SUM(AO87:AO92)</f>
        <v>0</v>
      </c>
      <c r="AP93" s="1126">
        <f>SUM(AP87:AP92)</f>
        <v>567649862.77162886</v>
      </c>
      <c r="AQ93" s="1118"/>
      <c r="AU93" s="1126">
        <f>SUM(AU87:AU92)</f>
        <v>663253550</v>
      </c>
      <c r="AV93" s="1126">
        <f>SUM(AV87:AV92)</f>
        <v>95603687.228371158</v>
      </c>
      <c r="AW93" s="1126">
        <f>SUM(AW87:AW92)</f>
        <v>0</v>
      </c>
      <c r="AX93" s="1126">
        <f>SUM(AX87:AX92)</f>
        <v>567649862.77162886</v>
      </c>
      <c r="AY93" s="1118"/>
      <c r="BC93" s="1126">
        <f>SUM(BC87:BC92)</f>
        <v>663253550</v>
      </c>
      <c r="BD93" s="1126">
        <f>SUM(BD87:BD92)</f>
        <v>95603687.228371158</v>
      </c>
      <c r="BE93" s="1126">
        <f>SUM(BE87:BE92)</f>
        <v>0</v>
      </c>
      <c r="BF93" s="1126">
        <f>SUM(BF87:BF92)</f>
        <v>567649862.77162886</v>
      </c>
      <c r="BG93" s="1118"/>
      <c r="BK93" s="1126">
        <f>SUM(BK87:BK92)</f>
        <v>663253550</v>
      </c>
      <c r="BL93" s="1126">
        <f>SUM(BL87:BL92)</f>
        <v>95603687.228371158</v>
      </c>
      <c r="BM93" s="1126">
        <f>SUM(BM87:BM92)</f>
        <v>0</v>
      </c>
      <c r="BN93" s="1126">
        <f>SUM(BN87:BN92)</f>
        <v>567649862.77162886</v>
      </c>
      <c r="BO93" s="1118"/>
      <c r="BS93" s="1126">
        <f>SUM(BS87:BS92)</f>
        <v>663253550</v>
      </c>
      <c r="BT93" s="1126">
        <f>SUM(BT87:BT92)</f>
        <v>95603687.228371158</v>
      </c>
      <c r="BU93" s="1126">
        <f>SUM(BU87:BU92)</f>
        <v>0</v>
      </c>
      <c r="BV93" s="1126">
        <f>SUM(BV87:BV92)</f>
        <v>567649862.77162886</v>
      </c>
      <c r="BW93" s="1118"/>
      <c r="CA93" s="1126">
        <f>SUM(CA87:CA92)</f>
        <v>663253550</v>
      </c>
      <c r="CB93" s="1126">
        <f>SUM(CB87:CB92)</f>
        <v>95603687.228371158</v>
      </c>
      <c r="CC93" s="1126">
        <f>SUM(CC87:CC92)</f>
        <v>0</v>
      </c>
      <c r="CD93" s="1126">
        <f>SUM(CD87:CD92)</f>
        <v>567649862.77162886</v>
      </c>
      <c r="CE93" s="1118"/>
      <c r="CI93" s="1126">
        <f>SUM(CI87:CI92)</f>
        <v>663253550</v>
      </c>
      <c r="CJ93" s="1126">
        <f>SUM(CJ87:CJ92)</f>
        <v>95603687.228371158</v>
      </c>
      <c r="CK93" s="1126">
        <f>SUM(CK87:CK92)</f>
        <v>0</v>
      </c>
      <c r="CL93" s="1126">
        <f>SUM(CL87:CL92)</f>
        <v>567649862.77162886</v>
      </c>
      <c r="CM93" s="1118"/>
      <c r="CQ93" s="1126">
        <f>SUM(CQ87:CQ92)</f>
        <v>663253550</v>
      </c>
      <c r="CR93" s="1126">
        <f>SUM(CR87:CR92)</f>
        <v>95603687.228371158</v>
      </c>
      <c r="CS93" s="1126">
        <f>SUM(CS87:CS92)</f>
        <v>0</v>
      </c>
      <c r="CT93" s="1126">
        <f>SUM(CT87:CT92)</f>
        <v>567649862.77162886</v>
      </c>
      <c r="CU93" s="1118"/>
      <c r="CY93" s="1126">
        <f>SUM(CY87:CY92)</f>
        <v>663253550</v>
      </c>
      <c r="CZ93" s="1126">
        <f>SUM(CZ87:CZ92)</f>
        <v>95603687.228371158</v>
      </c>
      <c r="DA93" s="1126">
        <f>SUM(DA87:DA92)</f>
        <v>0</v>
      </c>
      <c r="DB93" s="1126">
        <f>SUM(DB87:DB92)</f>
        <v>567649862.77162886</v>
      </c>
      <c r="DC93" s="1118"/>
      <c r="DG93" s="1126">
        <f>SUM(DG87:DG92)</f>
        <v>663253550</v>
      </c>
      <c r="DH93" s="1126">
        <f>SUM(DH87:DH92)</f>
        <v>95603687.228371158</v>
      </c>
      <c r="DI93" s="1126">
        <f>SUM(DI87:DI92)</f>
        <v>0</v>
      </c>
      <c r="DJ93" s="1126">
        <f>SUM(DJ87:DJ92)</f>
        <v>567649862.77162886</v>
      </c>
      <c r="DK93" s="1118"/>
      <c r="DO93" s="1126">
        <f>SUM(DO87:DO92)</f>
        <v>663253550</v>
      </c>
      <c r="DP93" s="1126">
        <f>SUM(DP87:DP92)</f>
        <v>95603687.228371158</v>
      </c>
      <c r="DQ93" s="1126">
        <f>SUM(DQ87:DQ92)</f>
        <v>0</v>
      </c>
      <c r="DR93" s="1126">
        <f>SUM(DR87:DR92)</f>
        <v>567649862.77162886</v>
      </c>
      <c r="DS93" s="1118"/>
      <c r="DW93" s="1126">
        <f>SUM(DW87:DW92)</f>
        <v>663253550</v>
      </c>
      <c r="DX93" s="1126">
        <f>SUM(DX87:DX92)</f>
        <v>95603687.228371158</v>
      </c>
      <c r="DY93" s="1126">
        <f>SUM(DY87:DY92)</f>
        <v>0</v>
      </c>
      <c r="DZ93" s="1126">
        <f>SUM(DZ87:DZ92)</f>
        <v>567649862.77162886</v>
      </c>
      <c r="EA93" s="1118"/>
      <c r="EE93" s="1126">
        <f>SUM(EE87:EE92)</f>
        <v>663253550</v>
      </c>
      <c r="EF93" s="1126">
        <f>SUM(EF87:EF92)</f>
        <v>95603687.228371158</v>
      </c>
      <c r="EG93" s="1126">
        <f>SUM(EG87:EG92)</f>
        <v>0</v>
      </c>
      <c r="EH93" s="1126">
        <f>SUM(EH87:EH92)</f>
        <v>567649862.77162886</v>
      </c>
      <c r="EI93" s="1118"/>
      <c r="EM93" s="1126">
        <f>SUM(EM87:EM92)</f>
        <v>663253550</v>
      </c>
      <c r="EN93" s="1126">
        <f>SUM(EN87:EN92)</f>
        <v>95603687.228371158</v>
      </c>
      <c r="EO93" s="1126">
        <f>SUM(EO87:EO92)</f>
        <v>0</v>
      </c>
      <c r="EP93" s="1126">
        <f>SUM(EP87:EP92)</f>
        <v>567649862.77162886</v>
      </c>
      <c r="EQ93" s="1118"/>
      <c r="EU93" s="1126">
        <f>SUM(EU87:EU92)</f>
        <v>663253550</v>
      </c>
      <c r="EV93" s="1126">
        <f>SUM(EV87:EV92)</f>
        <v>95603687.228371158</v>
      </c>
      <c r="EW93" s="1126">
        <f>SUM(EW87:EW92)</f>
        <v>0</v>
      </c>
      <c r="EX93" s="1126">
        <f>SUM(EX87:EX92)</f>
        <v>567649862.77162886</v>
      </c>
      <c r="EY93" s="1118"/>
      <c r="FC93" s="1126">
        <f>SUM(FC87:FC92)</f>
        <v>663253550</v>
      </c>
      <c r="FD93" s="1126">
        <f>SUM(FD87:FD92)</f>
        <v>95603687.228371158</v>
      </c>
      <c r="FE93" s="1126">
        <f>SUM(FE87:FE92)</f>
        <v>0</v>
      </c>
      <c r="FF93" s="1126">
        <f>SUM(FF87:FF92)</f>
        <v>567649862.77162886</v>
      </c>
      <c r="FG93" s="1118"/>
      <c r="FK93" s="1126">
        <f>SUM(FK87:FK92)</f>
        <v>663253550</v>
      </c>
      <c r="FL93" s="1126">
        <f>SUM(FL87:FL92)</f>
        <v>95603687.228371158</v>
      </c>
      <c r="FM93" s="1126">
        <f>SUM(FM87:FM92)</f>
        <v>0</v>
      </c>
      <c r="FN93" s="1126">
        <f>SUM(FN87:FN92)</f>
        <v>567649862.77162886</v>
      </c>
      <c r="FO93" s="1118"/>
    </row>
    <row r="94" spans="1:171">
      <c r="A94" s="1439"/>
      <c r="B94" s="847"/>
      <c r="C94" s="945"/>
      <c r="D94" s="946"/>
      <c r="E94" s="196"/>
      <c r="F94" s="196"/>
      <c r="G94" s="947"/>
      <c r="H94" s="947"/>
      <c r="I94" s="947"/>
      <c r="J94" s="1440"/>
      <c r="K94" s="903"/>
      <c r="O94" s="947"/>
      <c r="S94" s="1118"/>
      <c r="W94" s="947"/>
      <c r="AA94" s="1118"/>
      <c r="AE94" s="947"/>
      <c r="AI94" s="1118"/>
      <c r="AM94" s="947"/>
      <c r="AQ94" s="1118"/>
      <c r="AU94" s="947"/>
      <c r="AY94" s="1118"/>
      <c r="BC94" s="947"/>
      <c r="BG94" s="1118"/>
      <c r="BK94" s="947"/>
      <c r="BO94" s="1118"/>
      <c r="BS94" s="947"/>
      <c r="BW94" s="1118"/>
      <c r="CA94" s="947"/>
      <c r="CE94" s="1118"/>
      <c r="CI94" s="947"/>
      <c r="CM94" s="1118"/>
      <c r="CQ94" s="947"/>
      <c r="CU94" s="1118"/>
      <c r="CY94" s="947"/>
      <c r="DC94" s="1118"/>
      <c r="DG94" s="947"/>
      <c r="DK94" s="1118"/>
      <c r="DO94" s="947"/>
      <c r="DS94" s="1118"/>
      <c r="DW94" s="947"/>
      <c r="EA94" s="1118"/>
      <c r="EE94" s="947"/>
      <c r="EI94" s="1118"/>
      <c r="EM94" s="947"/>
      <c r="EQ94" s="1118"/>
      <c r="EU94" s="947"/>
      <c r="EY94" s="1118"/>
      <c r="FC94" s="947"/>
      <c r="FG94" s="1118"/>
      <c r="FK94" s="947"/>
      <c r="FO94" s="1118"/>
    </row>
    <row r="95" spans="1:171">
      <c r="A95" s="1368" t="s">
        <v>275</v>
      </c>
      <c r="B95" s="79"/>
      <c r="C95" s="940"/>
      <c r="D95" s="196"/>
      <c r="E95" s="196"/>
      <c r="F95" s="196"/>
      <c r="G95" s="949"/>
      <c r="H95" s="949"/>
      <c r="I95" s="949"/>
      <c r="J95" s="1441"/>
      <c r="K95" s="903"/>
      <c r="O95" s="1079"/>
      <c r="S95" s="1118"/>
      <c r="W95" s="1079"/>
      <c r="AA95" s="1118"/>
      <c r="AE95" s="1079"/>
      <c r="AI95" s="1118"/>
      <c r="AM95" s="1079"/>
      <c r="AQ95" s="1118"/>
      <c r="AU95" s="1079"/>
      <c r="AY95" s="1118"/>
      <c r="BC95" s="1079"/>
      <c r="BG95" s="1118"/>
      <c r="BK95" s="1079"/>
      <c r="BO95" s="1118"/>
      <c r="BS95" s="1079"/>
      <c r="BW95" s="1118"/>
      <c r="CA95" s="1079"/>
      <c r="CE95" s="1118"/>
      <c r="CI95" s="1079"/>
      <c r="CM95" s="1118"/>
      <c r="CQ95" s="1079"/>
      <c r="CU95" s="1118"/>
      <c r="CY95" s="1079"/>
      <c r="DC95" s="1118"/>
      <c r="DG95" s="1079"/>
      <c r="DK95" s="1118"/>
      <c r="DO95" s="1079"/>
      <c r="DS95" s="1118"/>
      <c r="DW95" s="1079"/>
      <c r="EA95" s="1118"/>
      <c r="EE95" s="1079"/>
      <c r="EI95" s="1118"/>
      <c r="EM95" s="1079"/>
      <c r="EQ95" s="1118"/>
      <c r="EU95" s="1079"/>
      <c r="EY95" s="1118"/>
      <c r="FC95" s="1079"/>
      <c r="FG95" s="1118"/>
      <c r="FK95" s="1079"/>
      <c r="FO95" s="1118"/>
    </row>
    <row r="96" spans="1:171">
      <c r="A96" s="1423"/>
      <c r="B96" s="913" t="s">
        <v>448</v>
      </c>
      <c r="C96" s="888" t="s">
        <v>78</v>
      </c>
      <c r="D96" s="888">
        <v>123</v>
      </c>
      <c r="E96" s="182" t="str">
        <f>'Sch 1- Rate Base '!E96</f>
        <v>DIRECT</v>
      </c>
      <c r="F96" s="889"/>
      <c r="G96" s="182">
        <f>'Sch 1- Rate Base '!G96</f>
        <v>11547000</v>
      </c>
      <c r="H96" s="182">
        <f>'Sch 1- Rate Base '!H96</f>
        <v>0</v>
      </c>
      <c r="I96" s="182">
        <f>'Sch 1- Rate Base '!I96</f>
        <v>0</v>
      </c>
      <c r="J96" s="1424">
        <f>'Sch 1- Rate Base '!J96</f>
        <v>11547000</v>
      </c>
      <c r="K96" s="903">
        <f>IF($E96="DIRECT",0,1)</f>
        <v>0</v>
      </c>
      <c r="O96" s="1116">
        <f>$G96</f>
        <v>11547000</v>
      </c>
      <c r="P96" s="1117">
        <f>VLOOKUP($E96,O$442:R$453,2,FALSE)*O96*($K96)+IF($G96&gt;0,($H96/$G96)*O96,0)*(1-$K96)</f>
        <v>0</v>
      </c>
      <c r="Q96" s="1117">
        <f>VLOOKUP($E96,O$442:R$453,3,FALSE)*O96*($K96)+IF($G96&gt;0,($I96/$G96)*O96,0)*(1-$K96)</f>
        <v>0</v>
      </c>
      <c r="R96" s="1117">
        <f>VLOOKUP($E96,O$442:R$453,4,FALSE)*O96*($K96)+(O96-P96-Q96)*(1-$K96)</f>
        <v>11547000</v>
      </c>
      <c r="S96" s="1118"/>
      <c r="W96" s="1116">
        <f>$G96</f>
        <v>11547000</v>
      </c>
      <c r="X96" s="1117">
        <f>VLOOKUP($E96,W$442:Z$453,2,FALSE)*W96*($K96)+IF($G96&gt;0,($H96/$G96)*W96,0)*(1-$K96)</f>
        <v>0</v>
      </c>
      <c r="Y96" s="1117">
        <f>VLOOKUP($E96,W$442:Z$453,3,FALSE)*W96*($K96)+IF($G96&gt;0,($I96/$G96)*W96,0)*(1-$K96)</f>
        <v>0</v>
      </c>
      <c r="Z96" s="1117">
        <f>VLOOKUP($E96,W$442:Z$453,4,FALSE)*W96*($K96)+(W96-X96-Y96)*(1-$K96)</f>
        <v>11547000</v>
      </c>
      <c r="AA96" s="1118"/>
      <c r="AE96" s="1116">
        <f>$G96</f>
        <v>11547000</v>
      </c>
      <c r="AF96" s="1117">
        <f>VLOOKUP($E96,AE$442:AH$453,2,FALSE)*AE96*($K96)+IF($G96&gt;0,($H96/$G96)*AE96,0)*(1-$K96)</f>
        <v>0</v>
      </c>
      <c r="AG96" s="1117">
        <f>VLOOKUP($E96,AE$442:AH$453,3,FALSE)*AE96*($K96)+IF($G96&gt;0,($I96/$G96)*AE96,0)*(1-$K96)</f>
        <v>0</v>
      </c>
      <c r="AH96" s="1117">
        <f>VLOOKUP($E96,AE$442:AH$453,4,FALSE)*AE96*($K96)+(AE96-AF96-AG96)*(1-$K96)</f>
        <v>11547000</v>
      </c>
      <c r="AI96" s="1118"/>
      <c r="AM96" s="1116">
        <f>$G96</f>
        <v>11547000</v>
      </c>
      <c r="AN96" s="1117">
        <f>VLOOKUP($E96,AM$442:AP$453,2,FALSE)*AM96*($K96)+IF($G96&gt;0,($H96/$G96)*AM96,0)*(1-$K96)</f>
        <v>0</v>
      </c>
      <c r="AO96" s="1117">
        <f>VLOOKUP($E96,AM$442:AP$453,3,FALSE)*AM96*($K96)+IF($G96&gt;0,($I96/$G96)*AM96,0)*(1-$K96)</f>
        <v>0</v>
      </c>
      <c r="AP96" s="1117">
        <f>VLOOKUP($E96,AM$442:AP$453,4,FALSE)*AM96*($K96)+(AM96-AN96-AO96)*(1-$K96)</f>
        <v>11547000</v>
      </c>
      <c r="AQ96" s="1118"/>
      <c r="AU96" s="1116">
        <f>$G96</f>
        <v>11547000</v>
      </c>
      <c r="AV96" s="1117">
        <f>VLOOKUP($E96,AU$442:AX$453,2,FALSE)*AU96*($K96)+IF($G96&gt;0,($H96/$G96)*AU96,0)*(1-$K96)</f>
        <v>0</v>
      </c>
      <c r="AW96" s="1117">
        <f>VLOOKUP($E96,AU$442:AX$453,3,FALSE)*AU96*($K96)+IF($G96&gt;0,($I96/$G96)*AU96,0)*(1-$K96)</f>
        <v>0</v>
      </c>
      <c r="AX96" s="1117">
        <f>VLOOKUP($E96,AU$442:AX$453,4,FALSE)*AU96*($K96)+(AU96-AV96-AW96)*(1-$K96)</f>
        <v>11547000</v>
      </c>
      <c r="AY96" s="1118"/>
      <c r="BC96" s="1116">
        <f>$G96</f>
        <v>11547000</v>
      </c>
      <c r="BD96" s="1117">
        <f>VLOOKUP($E96,BC$442:BF$453,2,FALSE)*BC96*($K96)+IF($G96&gt;0,($H96/$G96)*BC96,0)*(1-$K96)</f>
        <v>0</v>
      </c>
      <c r="BE96" s="1117">
        <f>VLOOKUP($E96,BC$442:BF$453,3,FALSE)*BC96*($K96)+IF($G96&gt;0,($I96/$G96)*BC96,0)*(1-$K96)</f>
        <v>0</v>
      </c>
      <c r="BF96" s="1117">
        <f>VLOOKUP($E96,BC$442:BF$453,4,FALSE)*BC96*($K96)+(BC96-BD96-BE96)*(1-$K96)</f>
        <v>11547000</v>
      </c>
      <c r="BG96" s="1118"/>
      <c r="BK96" s="1116">
        <f>$G96</f>
        <v>11547000</v>
      </c>
      <c r="BL96" s="1117">
        <f>VLOOKUP($E96,BK$442:BN$453,2,FALSE)*BK96*($K96)+IF($G96&gt;0,($H96/$G96)*BK96,0)*(1-$K96)</f>
        <v>0</v>
      </c>
      <c r="BM96" s="1117">
        <f>VLOOKUP($E96,BK$442:BN$453,3,FALSE)*BK96*($K96)+IF($G96&gt;0,($I96/$G96)*BK96,0)*(1-$K96)</f>
        <v>0</v>
      </c>
      <c r="BN96" s="1117">
        <f>VLOOKUP($E96,BK$442:BN$453,4,FALSE)*BK96*($K96)+(BK96-BL96-BM96)*(1-$K96)</f>
        <v>11547000</v>
      </c>
      <c r="BO96" s="1118"/>
      <c r="BS96" s="1116">
        <f>$G96</f>
        <v>11547000</v>
      </c>
      <c r="BT96" s="1117">
        <f>VLOOKUP($E96,BS$442:BV$453,2,FALSE)*BS96*($K96)+IF($G96&gt;0,($H96/$G96)*BS96,0)*(1-$K96)</f>
        <v>0</v>
      </c>
      <c r="BU96" s="1117">
        <f>VLOOKUP($E96,BS$442:BV$453,3,FALSE)*BS96*($K96)+IF($G96&gt;0,($I96/$G96)*BS96,0)*(1-$K96)</f>
        <v>0</v>
      </c>
      <c r="BV96" s="1117">
        <f>VLOOKUP($E96,BS$442:BV$453,4,FALSE)*BS96*($K96)+(BS96-BT96-BU96)*(1-$K96)</f>
        <v>11547000</v>
      </c>
      <c r="BW96" s="1118"/>
      <c r="CA96" s="1116">
        <f>$G96</f>
        <v>11547000</v>
      </c>
      <c r="CB96" s="1117">
        <f>VLOOKUP($E96,CA$442:CD$453,2,FALSE)*CA96*($K96)+IF($G96&gt;0,($H96/$G96)*CA96,0)*(1-$K96)</f>
        <v>0</v>
      </c>
      <c r="CC96" s="1117">
        <f>VLOOKUP($E96,CA$442:CD$453,3,FALSE)*CA96*($K96)+IF($G96&gt;0,($I96/$G96)*CA96,0)*(1-$K96)</f>
        <v>0</v>
      </c>
      <c r="CD96" s="1117">
        <f>VLOOKUP($E96,CA$442:CD$453,4,FALSE)*CA96*($K96)+(CA96-CB96-CC96)*(1-$K96)</f>
        <v>11547000</v>
      </c>
      <c r="CE96" s="1118"/>
      <c r="CI96" s="1116">
        <f>$G96</f>
        <v>11547000</v>
      </c>
      <c r="CJ96" s="1117">
        <f>VLOOKUP($E96,CI$442:CL$453,2,FALSE)*CI96*($K96)+IF($G96&gt;0,($H96/$G96)*CI96,0)*(1-$K96)</f>
        <v>0</v>
      </c>
      <c r="CK96" s="1117">
        <f>VLOOKUP($E96,CI$442:CL$453,3,FALSE)*CI96*($K96)+IF($G96&gt;0,($I96/$G96)*CI96,0)*(1-$K96)</f>
        <v>0</v>
      </c>
      <c r="CL96" s="1117">
        <f>VLOOKUP($E96,CI$442:CL$453,4,FALSE)*CI96*($K96)+(CI96-CJ96-CK96)*(1-$K96)</f>
        <v>11547000</v>
      </c>
      <c r="CM96" s="1118"/>
      <c r="CQ96" s="1116">
        <f>$G96</f>
        <v>11547000</v>
      </c>
      <c r="CR96" s="1117">
        <f>VLOOKUP($E96,CQ$442:CT$453,2,FALSE)*CQ96*($K96)+IF($G96&gt;0,($H96/$G96)*CQ96,0)*(1-$K96)</f>
        <v>0</v>
      </c>
      <c r="CS96" s="1117">
        <f>VLOOKUP($E96,CQ$442:CT$453,3,FALSE)*CQ96*($K96)+IF($G96&gt;0,($I96/$G96)*CQ96,0)*(1-$K96)</f>
        <v>0</v>
      </c>
      <c r="CT96" s="1117">
        <f>VLOOKUP($E96,CQ$442:CT$453,4,FALSE)*CQ96*($K96)+(CQ96-CR96-CS96)*(1-$K96)</f>
        <v>11547000</v>
      </c>
      <c r="CU96" s="1118"/>
      <c r="CY96" s="1116">
        <f>$G96</f>
        <v>11547000</v>
      </c>
      <c r="CZ96" s="1117">
        <f>VLOOKUP($E96,CY$442:DB$453,2,FALSE)*CY96*($K96)+IF($G96&gt;0,($H96/$G96)*CY96,0)*(1-$K96)</f>
        <v>0</v>
      </c>
      <c r="DA96" s="1117">
        <f>VLOOKUP($E96,CY$442:DB$453,3,FALSE)*CY96*($K96)+IF($G96&gt;0,($I96/$G96)*CY96,0)*(1-$K96)</f>
        <v>0</v>
      </c>
      <c r="DB96" s="1117">
        <f>VLOOKUP($E96,CY$442:DB$453,4,FALSE)*CY96*($K96)+(CY96-CZ96-DA96)*(1-$K96)</f>
        <v>11547000</v>
      </c>
      <c r="DC96" s="1118"/>
      <c r="DG96" s="1116">
        <f>$G96</f>
        <v>11547000</v>
      </c>
      <c r="DH96" s="1117">
        <f>VLOOKUP($E96,DG$442:DJ$453,2,FALSE)*DG96*($K96)+IF($G96&gt;0,($H96/$G96)*DG96,0)*(1-$K96)</f>
        <v>0</v>
      </c>
      <c r="DI96" s="1117">
        <f>VLOOKUP($E96,DG$442:DJ$453,3,FALSE)*DG96*($K96)+IF($G96&gt;0,($I96/$G96)*DG96,0)*(1-$K96)</f>
        <v>0</v>
      </c>
      <c r="DJ96" s="1117">
        <f>VLOOKUP($E96,DG$442:DJ$453,4,FALSE)*DG96*($K96)+(DG96-DH96-DI96)*(1-$K96)</f>
        <v>11547000</v>
      </c>
      <c r="DK96" s="1118"/>
      <c r="DO96" s="1116">
        <f>$G96</f>
        <v>11547000</v>
      </c>
      <c r="DP96" s="1117">
        <f>VLOOKUP($E96,DO$442:DR$453,2,FALSE)*DO96*($K96)+IF($G96&gt;0,($H96/$G96)*DO96,0)*(1-$K96)</f>
        <v>0</v>
      </c>
      <c r="DQ96" s="1117">
        <f>VLOOKUP($E96,DO$442:DR$453,3,FALSE)*DO96*($K96)+IF($G96&gt;0,($I96/$G96)*DO96,0)*(1-$K96)</f>
        <v>0</v>
      </c>
      <c r="DR96" s="1117">
        <f>VLOOKUP($E96,DO$442:DR$453,4,FALSE)*DO96*($K96)+(DO96-DP96-DQ96)*(1-$K96)</f>
        <v>11547000</v>
      </c>
      <c r="DS96" s="1118"/>
      <c r="DW96" s="1116">
        <f>$G96</f>
        <v>11547000</v>
      </c>
      <c r="DX96" s="1117">
        <f>VLOOKUP($E96,DW$442:DZ$453,2,FALSE)*DW96*($K96)+IF($G96&gt;0,($H96/$G96)*DW96,0)*(1-$K96)</f>
        <v>0</v>
      </c>
      <c r="DY96" s="1117">
        <f>VLOOKUP($E96,DW$442:DZ$453,3,FALSE)*DW96*($K96)+IF($G96&gt;0,($I96/$G96)*DW96,0)*(1-$K96)</f>
        <v>0</v>
      </c>
      <c r="DZ96" s="1117">
        <f>VLOOKUP($E96,DW$442:DZ$453,4,FALSE)*DW96*($K96)+(DW96-DX96-DY96)*(1-$K96)</f>
        <v>11547000</v>
      </c>
      <c r="EA96" s="1118"/>
      <c r="EE96" s="1116">
        <f>$G96</f>
        <v>11547000</v>
      </c>
      <c r="EF96" s="1117">
        <f>VLOOKUP($E96,EE$442:EH$453,2,FALSE)*EE96*($K96)+IF($G96&gt;0,($H96/$G96)*EE96,0)*(1-$K96)</f>
        <v>0</v>
      </c>
      <c r="EG96" s="1117">
        <f>VLOOKUP($E96,EE$442:EH$453,3,FALSE)*EE96*($K96)+IF($G96&gt;0,($I96/$G96)*EE96,0)*(1-$K96)</f>
        <v>0</v>
      </c>
      <c r="EH96" s="1117">
        <f>VLOOKUP($E96,EE$442:EH$453,4,FALSE)*EE96*($K96)+(EE96-EF96-EG96)*(1-$K96)</f>
        <v>11547000</v>
      </c>
      <c r="EI96" s="1118"/>
      <c r="EM96" s="1116">
        <f>$G96</f>
        <v>11547000</v>
      </c>
      <c r="EN96" s="1117">
        <f>VLOOKUP($E96,EM$442:EP$453,2,FALSE)*EM96*($K96)+IF($G96&gt;0,($H96/$G96)*EM96,0)*(1-$K96)</f>
        <v>0</v>
      </c>
      <c r="EO96" s="1117">
        <f>VLOOKUP($E96,EM$442:EP$453,3,FALSE)*EM96*($K96)+IF($G96&gt;0,($I96/$G96)*EM96,0)*(1-$K96)</f>
        <v>0</v>
      </c>
      <c r="EP96" s="1117">
        <f>VLOOKUP($E96,EM$442:EP$453,4,FALSE)*EM96*($K96)+(EM96-EN96-EO96)*(1-$K96)</f>
        <v>11547000</v>
      </c>
      <c r="EQ96" s="1118"/>
      <c r="EU96" s="1116">
        <f>$G96</f>
        <v>11547000</v>
      </c>
      <c r="EV96" s="1117">
        <f>VLOOKUP($E96,EU$442:EX$453,2,FALSE)*EU96*($K96)+IF($G96&gt;0,($H96/$G96)*EU96,0)*(1-$K96)</f>
        <v>0</v>
      </c>
      <c r="EW96" s="1117">
        <f>VLOOKUP($E96,EU$442:EX$453,3,FALSE)*EU96*($K96)+IF($G96&gt;0,($I96/$G96)*EU96,0)*(1-$K96)</f>
        <v>0</v>
      </c>
      <c r="EX96" s="1117">
        <f>VLOOKUP($E96,EU$442:EX$453,4,FALSE)*EU96*($K96)+(EU96-EV96-EW96)*(1-$K96)</f>
        <v>11547000</v>
      </c>
      <c r="EY96" s="1118"/>
      <c r="FC96" s="1116">
        <f>$G96</f>
        <v>11547000</v>
      </c>
      <c r="FD96" s="1117">
        <f>VLOOKUP($E96,FC$442:FF$453,2,FALSE)*FC96*($K96)+IF($G96&gt;0,($H96/$G96)*FC96,0)*(1-$K96)</f>
        <v>0</v>
      </c>
      <c r="FE96" s="1117">
        <f>VLOOKUP($E96,FC$442:FF$453,3,FALSE)*FC96*($K96)+IF($G96&gt;0,($I96/$G96)*FC96,0)*(1-$K96)</f>
        <v>0</v>
      </c>
      <c r="FF96" s="1117">
        <f>VLOOKUP($E96,FC$442:FF$453,4,FALSE)*FC96*($K96)+(FC96-FD96-FE96)*(1-$K96)</f>
        <v>11547000</v>
      </c>
      <c r="FG96" s="1118"/>
      <c r="FK96" s="1116">
        <f>$G96</f>
        <v>11547000</v>
      </c>
      <c r="FL96" s="1117">
        <f>VLOOKUP($E96,FK$442:FN$453,2,FALSE)*FK96*($K96)+IF($G96&gt;0,($H96/$G96)*FK96,0)*(1-$K96)</f>
        <v>0</v>
      </c>
      <c r="FM96" s="1117">
        <f>VLOOKUP($E96,FK$442:FN$453,3,FALSE)*FK96*($K96)+IF($G96&gt;0,($I96/$G96)*FK96,0)*(1-$K96)</f>
        <v>0</v>
      </c>
      <c r="FN96" s="1117">
        <f>VLOOKUP($E96,FK$442:FN$453,4,FALSE)*FK96*($K96)+(FK96-FL96-FM96)*(1-$K96)</f>
        <v>11547000</v>
      </c>
      <c r="FO96" s="1118"/>
    </row>
    <row r="97" spans="1:171">
      <c r="A97" s="1423"/>
      <c r="B97" s="10" t="s">
        <v>481</v>
      </c>
      <c r="C97" s="888" t="s">
        <v>78</v>
      </c>
      <c r="D97" s="888">
        <v>124</v>
      </c>
      <c r="E97" s="182" t="str">
        <f>'Sch 1- Rate Base '!E97</f>
        <v>DIST</v>
      </c>
      <c r="F97" s="889"/>
      <c r="G97" s="182">
        <f>'Sch 1- Rate Base '!G97</f>
        <v>14093.53</v>
      </c>
      <c r="H97" s="182">
        <f>'Sch 1- Rate Base '!H97</f>
        <v>0</v>
      </c>
      <c r="I97" s="182">
        <f>'Sch 1- Rate Base '!I97</f>
        <v>0</v>
      </c>
      <c r="J97" s="1424">
        <f>'Sch 1- Rate Base '!J97</f>
        <v>14093.53</v>
      </c>
      <c r="K97" s="903">
        <f>IF($E97="DIRECT",0,1)</f>
        <v>1</v>
      </c>
      <c r="O97" s="1116">
        <f>$G97</f>
        <v>14093.53</v>
      </c>
      <c r="P97" s="1117">
        <f>VLOOKUP($E97,O$442:R$453,2,FALSE)*O97*($K97)+IF($G97&gt;0,($H97/$G97)*O97,0)*(1-$K97)</f>
        <v>0</v>
      </c>
      <c r="Q97" s="1117">
        <f>VLOOKUP($E97,O$442:R$453,3,FALSE)*O97*($K97)+IF($G97&gt;0,($I97/$G97)*O97,0)*(1-$K97)</f>
        <v>0</v>
      </c>
      <c r="R97" s="1117">
        <f>VLOOKUP($E97,O$442:R$453,4,FALSE)*O97*($K97)+(O97-P97-Q97)*(1-$K97)</f>
        <v>14093.53</v>
      </c>
      <c r="S97" s="1118"/>
      <c r="W97" s="1116">
        <f>$G97</f>
        <v>14093.53</v>
      </c>
      <c r="X97" s="1117">
        <f>VLOOKUP($E97,W$442:Z$453,2,FALSE)*W97*($K97)+IF($G97&gt;0,($H97/$G97)*W97,0)*(1-$K97)</f>
        <v>0</v>
      </c>
      <c r="Y97" s="1117">
        <f>VLOOKUP($E97,W$442:Z$453,3,FALSE)*W97*($K97)+IF($G97&gt;0,($I97/$G97)*W97,0)*(1-$K97)</f>
        <v>0</v>
      </c>
      <c r="Z97" s="1117">
        <f>VLOOKUP($E97,W$442:Z$453,4,FALSE)*W97*($K97)+(W97-X97-Y97)*(1-$K97)</f>
        <v>14093.53</v>
      </c>
      <c r="AA97" s="1118"/>
      <c r="AE97" s="1116">
        <f>$G97</f>
        <v>14093.53</v>
      </c>
      <c r="AF97" s="1117">
        <f>VLOOKUP($E97,AE$442:AH$453,2,FALSE)*AE97*($K97)+IF($G97&gt;0,($H97/$G97)*AE97,0)*(1-$K97)</f>
        <v>0</v>
      </c>
      <c r="AG97" s="1117">
        <f>VLOOKUP($E97,AE$442:AH$453,3,FALSE)*AE97*($K97)+IF($G97&gt;0,($I97/$G97)*AE97,0)*(1-$K97)</f>
        <v>0</v>
      </c>
      <c r="AH97" s="1117">
        <f>VLOOKUP($E97,AE$442:AH$453,4,FALSE)*AE97*($K97)+(AE97-AF97-AG97)*(1-$K97)</f>
        <v>14093.53</v>
      </c>
      <c r="AI97" s="1118"/>
      <c r="AM97" s="1116">
        <f>$G97</f>
        <v>14093.53</v>
      </c>
      <c r="AN97" s="1117">
        <f>VLOOKUP($E97,AM$442:AP$453,2,FALSE)*AM97*($K97)+IF($G97&gt;0,($H97/$G97)*AM97,0)*(1-$K97)</f>
        <v>0</v>
      </c>
      <c r="AO97" s="1117">
        <f>VLOOKUP($E97,AM$442:AP$453,3,FALSE)*AM97*($K97)+IF($G97&gt;0,($I97/$G97)*AM97,0)*(1-$K97)</f>
        <v>0</v>
      </c>
      <c r="AP97" s="1117">
        <f>VLOOKUP($E97,AM$442:AP$453,4,FALSE)*AM97*($K97)+(AM97-AN97-AO97)*(1-$K97)</f>
        <v>14093.53</v>
      </c>
      <c r="AQ97" s="1118"/>
      <c r="AU97" s="1116">
        <f>$G97</f>
        <v>14093.53</v>
      </c>
      <c r="AV97" s="1117">
        <f>VLOOKUP($E97,AU$442:AX$453,2,FALSE)*AU97*($K97)+IF($G97&gt;0,($H97/$G97)*AU97,0)*(1-$K97)</f>
        <v>0</v>
      </c>
      <c r="AW97" s="1117">
        <f>VLOOKUP($E97,AU$442:AX$453,3,FALSE)*AU97*($K97)+IF($G97&gt;0,($I97/$G97)*AU97,0)*(1-$K97)</f>
        <v>0</v>
      </c>
      <c r="AX97" s="1117">
        <f>VLOOKUP($E97,AU$442:AX$453,4,FALSE)*AU97*($K97)+(AU97-AV97-AW97)*(1-$K97)</f>
        <v>14093.53</v>
      </c>
      <c r="AY97" s="1118"/>
      <c r="BC97" s="1116">
        <f>$G97</f>
        <v>14093.53</v>
      </c>
      <c r="BD97" s="1117">
        <f>VLOOKUP($E97,BC$442:BF$453,2,FALSE)*BC97*($K97)+IF($G97&gt;0,($H97/$G97)*BC97,0)*(1-$K97)</f>
        <v>0</v>
      </c>
      <c r="BE97" s="1117">
        <f>VLOOKUP($E97,BC$442:BF$453,3,FALSE)*BC97*($K97)+IF($G97&gt;0,($I97/$G97)*BC97,0)*(1-$K97)</f>
        <v>0</v>
      </c>
      <c r="BF97" s="1117">
        <f>VLOOKUP($E97,BC$442:BF$453,4,FALSE)*BC97*($K97)+(BC97-BD97-BE97)*(1-$K97)</f>
        <v>14093.53</v>
      </c>
      <c r="BG97" s="1118"/>
      <c r="BK97" s="1116">
        <f>$G97</f>
        <v>14093.53</v>
      </c>
      <c r="BL97" s="1117">
        <f>VLOOKUP($E97,BK$442:BN$453,2,FALSE)*BK97*($K97)+IF($G97&gt;0,($H97/$G97)*BK97,0)*(1-$K97)</f>
        <v>0</v>
      </c>
      <c r="BM97" s="1117">
        <f>VLOOKUP($E97,BK$442:BN$453,3,FALSE)*BK97*($K97)+IF($G97&gt;0,($I97/$G97)*BK97,0)*(1-$K97)</f>
        <v>0</v>
      </c>
      <c r="BN97" s="1117">
        <f>VLOOKUP($E97,BK$442:BN$453,4,FALSE)*BK97*($K97)+(BK97-BL97-BM97)*(1-$K97)</f>
        <v>14093.53</v>
      </c>
      <c r="BO97" s="1118"/>
      <c r="BS97" s="1116">
        <f>$G97</f>
        <v>14093.53</v>
      </c>
      <c r="BT97" s="1117">
        <f>VLOOKUP($E97,BS$442:BV$453,2,FALSE)*BS97*($K97)+IF($G97&gt;0,($H97/$G97)*BS97,0)*(1-$K97)</f>
        <v>0</v>
      </c>
      <c r="BU97" s="1117">
        <f>VLOOKUP($E97,BS$442:BV$453,3,FALSE)*BS97*($K97)+IF($G97&gt;0,($I97/$G97)*BS97,0)*(1-$K97)</f>
        <v>0</v>
      </c>
      <c r="BV97" s="1117">
        <f>VLOOKUP($E97,BS$442:BV$453,4,FALSE)*BS97*($K97)+(BS97-BT97-BU97)*(1-$K97)</f>
        <v>14093.53</v>
      </c>
      <c r="BW97" s="1118"/>
      <c r="CA97" s="1116">
        <f>$G97</f>
        <v>14093.53</v>
      </c>
      <c r="CB97" s="1117">
        <f>VLOOKUP($E97,CA$442:CD$453,2,FALSE)*CA97*($K97)+IF($G97&gt;0,($H97/$G97)*CA97,0)*(1-$K97)</f>
        <v>0</v>
      </c>
      <c r="CC97" s="1117">
        <f>VLOOKUP($E97,CA$442:CD$453,3,FALSE)*CA97*($K97)+IF($G97&gt;0,($I97/$G97)*CA97,0)*(1-$K97)</f>
        <v>0</v>
      </c>
      <c r="CD97" s="1117">
        <f>VLOOKUP($E97,CA$442:CD$453,4,FALSE)*CA97*($K97)+(CA97-CB97-CC97)*(1-$K97)</f>
        <v>14093.53</v>
      </c>
      <c r="CE97" s="1118"/>
      <c r="CI97" s="1116">
        <f>$G97</f>
        <v>14093.53</v>
      </c>
      <c r="CJ97" s="1117">
        <f>VLOOKUP($E97,CI$442:CL$453,2,FALSE)*CI97*($K97)+IF($G97&gt;0,($H97/$G97)*CI97,0)*(1-$K97)</f>
        <v>0</v>
      </c>
      <c r="CK97" s="1117">
        <f>VLOOKUP($E97,CI$442:CL$453,3,FALSE)*CI97*($K97)+IF($G97&gt;0,($I97/$G97)*CI97,0)*(1-$K97)</f>
        <v>0</v>
      </c>
      <c r="CL97" s="1117">
        <f>VLOOKUP($E97,CI$442:CL$453,4,FALSE)*CI97*($K97)+(CI97-CJ97-CK97)*(1-$K97)</f>
        <v>14093.53</v>
      </c>
      <c r="CM97" s="1118"/>
      <c r="CQ97" s="1116">
        <f>$G97</f>
        <v>14093.53</v>
      </c>
      <c r="CR97" s="1117">
        <f>VLOOKUP($E97,CQ$442:CT$453,2,FALSE)*CQ97*($K97)+IF($G97&gt;0,($H97/$G97)*CQ97,0)*(1-$K97)</f>
        <v>0</v>
      </c>
      <c r="CS97" s="1117">
        <f>VLOOKUP($E97,CQ$442:CT$453,3,FALSE)*CQ97*($K97)+IF($G97&gt;0,($I97/$G97)*CQ97,0)*(1-$K97)</f>
        <v>0</v>
      </c>
      <c r="CT97" s="1117">
        <f>VLOOKUP($E97,CQ$442:CT$453,4,FALSE)*CQ97*($K97)+(CQ97-CR97-CS97)*(1-$K97)</f>
        <v>14093.53</v>
      </c>
      <c r="CU97" s="1118"/>
      <c r="CY97" s="1116">
        <f>$G97</f>
        <v>14093.53</v>
      </c>
      <c r="CZ97" s="1117">
        <f>VLOOKUP($E97,CY$442:DB$453,2,FALSE)*CY97*($K97)+IF($G97&gt;0,($H97/$G97)*CY97,0)*(1-$K97)</f>
        <v>0</v>
      </c>
      <c r="DA97" s="1117">
        <f>VLOOKUP($E97,CY$442:DB$453,3,FALSE)*CY97*($K97)+IF($G97&gt;0,($I97/$G97)*CY97,0)*(1-$K97)</f>
        <v>0</v>
      </c>
      <c r="DB97" s="1117">
        <f>VLOOKUP($E97,CY$442:DB$453,4,FALSE)*CY97*($K97)+(CY97-CZ97-DA97)*(1-$K97)</f>
        <v>14093.53</v>
      </c>
      <c r="DC97" s="1118"/>
      <c r="DG97" s="1116">
        <f>$G97</f>
        <v>14093.53</v>
      </c>
      <c r="DH97" s="1117">
        <f>VLOOKUP($E97,DG$442:DJ$453,2,FALSE)*DG97*($K97)+IF($G97&gt;0,($H97/$G97)*DG97,0)*(1-$K97)</f>
        <v>0</v>
      </c>
      <c r="DI97" s="1117">
        <f>VLOOKUP($E97,DG$442:DJ$453,3,FALSE)*DG97*($K97)+IF($G97&gt;0,($I97/$G97)*DG97,0)*(1-$K97)</f>
        <v>0</v>
      </c>
      <c r="DJ97" s="1117">
        <f>VLOOKUP($E97,DG$442:DJ$453,4,FALSE)*DG97*($K97)+(DG97-DH97-DI97)*(1-$K97)</f>
        <v>14093.53</v>
      </c>
      <c r="DK97" s="1118"/>
      <c r="DO97" s="1116">
        <f>$G97</f>
        <v>14093.53</v>
      </c>
      <c r="DP97" s="1117">
        <f>VLOOKUP($E97,DO$442:DR$453,2,FALSE)*DO97*($K97)+IF($G97&gt;0,($H97/$G97)*DO97,0)*(1-$K97)</f>
        <v>0</v>
      </c>
      <c r="DQ97" s="1117">
        <f>VLOOKUP($E97,DO$442:DR$453,3,FALSE)*DO97*($K97)+IF($G97&gt;0,($I97/$G97)*DO97,0)*(1-$K97)</f>
        <v>0</v>
      </c>
      <c r="DR97" s="1117">
        <f>VLOOKUP($E97,DO$442:DR$453,4,FALSE)*DO97*($K97)+(DO97-DP97-DQ97)*(1-$K97)</f>
        <v>14093.53</v>
      </c>
      <c r="DS97" s="1118"/>
      <c r="DW97" s="1116">
        <f>$G97</f>
        <v>14093.53</v>
      </c>
      <c r="DX97" s="1117">
        <f>VLOOKUP($E97,DW$442:DZ$453,2,FALSE)*DW97*($K97)+IF($G97&gt;0,($H97/$G97)*DW97,0)*(1-$K97)</f>
        <v>0</v>
      </c>
      <c r="DY97" s="1117">
        <f>VLOOKUP($E97,DW$442:DZ$453,3,FALSE)*DW97*($K97)+IF($G97&gt;0,($I97/$G97)*DW97,0)*(1-$K97)</f>
        <v>0</v>
      </c>
      <c r="DZ97" s="1117">
        <f>VLOOKUP($E97,DW$442:DZ$453,4,FALSE)*DW97*($K97)+(DW97-DX97-DY97)*(1-$K97)</f>
        <v>14093.53</v>
      </c>
      <c r="EA97" s="1118"/>
      <c r="EE97" s="1116">
        <f>$G97</f>
        <v>14093.53</v>
      </c>
      <c r="EF97" s="1117">
        <f>VLOOKUP($E97,EE$442:EH$453,2,FALSE)*EE97*($K97)+IF($G97&gt;0,($H97/$G97)*EE97,0)*(1-$K97)</f>
        <v>0</v>
      </c>
      <c r="EG97" s="1117">
        <f>VLOOKUP($E97,EE$442:EH$453,3,FALSE)*EE97*($K97)+IF($G97&gt;0,($I97/$G97)*EE97,0)*(1-$K97)</f>
        <v>0</v>
      </c>
      <c r="EH97" s="1117">
        <f>VLOOKUP($E97,EE$442:EH$453,4,FALSE)*EE97*($K97)+(EE97-EF97-EG97)*(1-$K97)</f>
        <v>14093.53</v>
      </c>
      <c r="EI97" s="1118"/>
      <c r="EM97" s="1116">
        <f>$G97</f>
        <v>14093.53</v>
      </c>
      <c r="EN97" s="1117">
        <f>VLOOKUP($E97,EM$442:EP$453,2,FALSE)*EM97*($K97)+IF($G97&gt;0,($H97/$G97)*EM97,0)*(1-$K97)</f>
        <v>0</v>
      </c>
      <c r="EO97" s="1117">
        <f>VLOOKUP($E97,EM$442:EP$453,3,FALSE)*EM97*($K97)+IF($G97&gt;0,($I97/$G97)*EM97,0)*(1-$K97)</f>
        <v>0</v>
      </c>
      <c r="EP97" s="1117">
        <f>VLOOKUP($E97,EM$442:EP$453,4,FALSE)*EM97*($K97)+(EM97-EN97-EO97)*(1-$K97)</f>
        <v>14093.53</v>
      </c>
      <c r="EQ97" s="1118"/>
      <c r="EU97" s="1116">
        <f>$G97</f>
        <v>14093.53</v>
      </c>
      <c r="EV97" s="1117">
        <f>VLOOKUP($E97,EU$442:EX$453,2,FALSE)*EU97*($K97)+IF($G97&gt;0,($H97/$G97)*EU97,0)*(1-$K97)</f>
        <v>0</v>
      </c>
      <c r="EW97" s="1117">
        <f>VLOOKUP($E97,EU$442:EX$453,3,FALSE)*EU97*($K97)+IF($G97&gt;0,($I97/$G97)*EU97,0)*(1-$K97)</f>
        <v>0</v>
      </c>
      <c r="EX97" s="1117">
        <f>VLOOKUP($E97,EU$442:EX$453,4,FALSE)*EU97*($K97)+(EU97-EV97-EW97)*(1-$K97)</f>
        <v>14093.53</v>
      </c>
      <c r="EY97" s="1118"/>
      <c r="FC97" s="1116">
        <f>$G97</f>
        <v>14093.53</v>
      </c>
      <c r="FD97" s="1117">
        <f>VLOOKUP($E97,FC$442:FF$453,2,FALSE)*FC97*($K97)+IF($G97&gt;0,($H97/$G97)*FC97,0)*(1-$K97)</f>
        <v>0</v>
      </c>
      <c r="FE97" s="1117">
        <f>VLOOKUP($E97,FC$442:FF$453,3,FALSE)*FC97*($K97)+IF($G97&gt;0,($I97/$G97)*FC97,0)*(1-$K97)</f>
        <v>0</v>
      </c>
      <c r="FF97" s="1117">
        <f>VLOOKUP($E97,FC$442:FF$453,4,FALSE)*FC97*($K97)+(FC97-FD97-FE97)*(1-$K97)</f>
        <v>14093.53</v>
      </c>
      <c r="FG97" s="1118"/>
      <c r="FK97" s="1116">
        <f>$G97</f>
        <v>14093.53</v>
      </c>
      <c r="FL97" s="1117">
        <f>VLOOKUP($E97,FK$442:FN$453,2,FALSE)*FK97*($K97)+IF($G97&gt;0,($H97/$G97)*FK97,0)*(1-$K97)</f>
        <v>0</v>
      </c>
      <c r="FM97" s="1117">
        <f>VLOOKUP($E97,FK$442:FN$453,3,FALSE)*FK97*($K97)+IF($G97&gt;0,($I97/$G97)*FK97,0)*(1-$K97)</f>
        <v>0</v>
      </c>
      <c r="FN97" s="1117">
        <f>VLOOKUP($E97,FK$442:FN$453,4,FALSE)*FK97*($K97)+(FK97-FL97-FM97)*(1-$K97)</f>
        <v>14093.53</v>
      </c>
      <c r="FO97" s="1118"/>
    </row>
    <row r="98" spans="1:171">
      <c r="A98" s="1423"/>
      <c r="B98" s="79" t="s">
        <v>6</v>
      </c>
      <c r="C98" s="888" t="s">
        <v>78</v>
      </c>
      <c r="D98" s="888">
        <v>175</v>
      </c>
      <c r="E98" s="182" t="str">
        <f>'Sch 1- Rate Base '!E98</f>
        <v>DIST</v>
      </c>
      <c r="F98" s="889"/>
      <c r="G98" s="182">
        <f>'Sch 1- Rate Base '!G98</f>
        <v>0</v>
      </c>
      <c r="H98" s="182">
        <f>'Sch 1- Rate Base '!H98</f>
        <v>0</v>
      </c>
      <c r="I98" s="182">
        <f>'Sch 1- Rate Base '!I98</f>
        <v>0</v>
      </c>
      <c r="J98" s="1424">
        <f>'Sch 1- Rate Base '!J98</f>
        <v>0</v>
      </c>
      <c r="K98" s="903">
        <f>IF($E98="DIRECT",0,1)</f>
        <v>1</v>
      </c>
      <c r="O98" s="1116">
        <f>$G98</f>
        <v>0</v>
      </c>
      <c r="P98" s="1117">
        <f>VLOOKUP($E98,O$442:R$453,2,FALSE)*O98*($K98)+IF($G98&gt;0,($H98/$G98)*O98,0)*(1-$K98)</f>
        <v>0</v>
      </c>
      <c r="Q98" s="1117">
        <f>VLOOKUP($E98,O$442:R$453,3,FALSE)*O98*($K98)+IF($G98&gt;0,($I98/$G98)*O98,0)*(1-$K98)</f>
        <v>0</v>
      </c>
      <c r="R98" s="1117">
        <f>VLOOKUP($E98,O$442:R$453,4,FALSE)*O98*($K98)+(O98-P98-Q98)*(1-$K98)</f>
        <v>0</v>
      </c>
      <c r="S98" s="1118"/>
      <c r="W98" s="1116">
        <f>$G98</f>
        <v>0</v>
      </c>
      <c r="X98" s="1117">
        <f>VLOOKUP($E98,W$442:Z$453,2,FALSE)*W98*($K98)+IF($G98&gt;0,($H98/$G98)*W98,0)*(1-$K98)</f>
        <v>0</v>
      </c>
      <c r="Y98" s="1117">
        <f>VLOOKUP($E98,W$442:Z$453,3,FALSE)*W98*($K98)+IF($G98&gt;0,($I98/$G98)*W98,0)*(1-$K98)</f>
        <v>0</v>
      </c>
      <c r="Z98" s="1117">
        <f>VLOOKUP($E98,W$442:Z$453,4,FALSE)*W98*($K98)+(W98-X98-Y98)*(1-$K98)</f>
        <v>0</v>
      </c>
      <c r="AA98" s="1118"/>
      <c r="AE98" s="1116">
        <f>$G98</f>
        <v>0</v>
      </c>
      <c r="AF98" s="1117">
        <f>VLOOKUP($E98,AE$442:AH$453,2,FALSE)*AE98*($K98)+IF($G98&gt;0,($H98/$G98)*AE98,0)*(1-$K98)</f>
        <v>0</v>
      </c>
      <c r="AG98" s="1117">
        <f>VLOOKUP($E98,AE$442:AH$453,3,FALSE)*AE98*($K98)+IF($G98&gt;0,($I98/$G98)*AE98,0)*(1-$K98)</f>
        <v>0</v>
      </c>
      <c r="AH98" s="1117">
        <f>VLOOKUP($E98,AE$442:AH$453,4,FALSE)*AE98*($K98)+(AE98-AF98-AG98)*(1-$K98)</f>
        <v>0</v>
      </c>
      <c r="AI98" s="1118"/>
      <c r="AM98" s="1116">
        <f>$G98</f>
        <v>0</v>
      </c>
      <c r="AN98" s="1117">
        <f>VLOOKUP($E98,AM$442:AP$453,2,FALSE)*AM98*($K98)+IF($G98&gt;0,($H98/$G98)*AM98,0)*(1-$K98)</f>
        <v>0</v>
      </c>
      <c r="AO98" s="1117">
        <f>VLOOKUP($E98,AM$442:AP$453,3,FALSE)*AM98*($K98)+IF($G98&gt;0,($I98/$G98)*AM98,0)*(1-$K98)</f>
        <v>0</v>
      </c>
      <c r="AP98" s="1117">
        <f>VLOOKUP($E98,AM$442:AP$453,4,FALSE)*AM98*($K98)+(AM98-AN98-AO98)*(1-$K98)</f>
        <v>0</v>
      </c>
      <c r="AQ98" s="1118"/>
      <c r="AU98" s="1116">
        <f>$G98</f>
        <v>0</v>
      </c>
      <c r="AV98" s="1117">
        <f>VLOOKUP($E98,AU$442:AX$453,2,FALSE)*AU98*($K98)+IF($G98&gt;0,($H98/$G98)*AU98,0)*(1-$K98)</f>
        <v>0</v>
      </c>
      <c r="AW98" s="1117">
        <f>VLOOKUP($E98,AU$442:AX$453,3,FALSE)*AU98*($K98)+IF($G98&gt;0,($I98/$G98)*AU98,0)*(1-$K98)</f>
        <v>0</v>
      </c>
      <c r="AX98" s="1117">
        <f>VLOOKUP($E98,AU$442:AX$453,4,FALSE)*AU98*($K98)+(AU98-AV98-AW98)*(1-$K98)</f>
        <v>0</v>
      </c>
      <c r="AY98" s="1118"/>
      <c r="BC98" s="1116">
        <f>$G98</f>
        <v>0</v>
      </c>
      <c r="BD98" s="1117">
        <f>VLOOKUP($E98,BC$442:BF$453,2,FALSE)*BC98*($K98)+IF($G98&gt;0,($H98/$G98)*BC98,0)*(1-$K98)</f>
        <v>0</v>
      </c>
      <c r="BE98" s="1117">
        <f>VLOOKUP($E98,BC$442:BF$453,3,FALSE)*BC98*($K98)+IF($G98&gt;0,($I98/$G98)*BC98,0)*(1-$K98)</f>
        <v>0</v>
      </c>
      <c r="BF98" s="1117">
        <f>VLOOKUP($E98,BC$442:BF$453,4,FALSE)*BC98*($K98)+(BC98-BD98-BE98)*(1-$K98)</f>
        <v>0</v>
      </c>
      <c r="BG98" s="1118"/>
      <c r="BK98" s="1116">
        <f>$G98</f>
        <v>0</v>
      </c>
      <c r="BL98" s="1117">
        <f>VLOOKUP($E98,BK$442:BN$453,2,FALSE)*BK98*($K98)+IF($G98&gt;0,($H98/$G98)*BK98,0)*(1-$K98)</f>
        <v>0</v>
      </c>
      <c r="BM98" s="1117">
        <f>VLOOKUP($E98,BK$442:BN$453,3,FALSE)*BK98*($K98)+IF($G98&gt;0,($I98/$G98)*BK98,0)*(1-$K98)</f>
        <v>0</v>
      </c>
      <c r="BN98" s="1117">
        <f>VLOOKUP($E98,BK$442:BN$453,4,FALSE)*BK98*($K98)+(BK98-BL98-BM98)*(1-$K98)</f>
        <v>0</v>
      </c>
      <c r="BO98" s="1118"/>
      <c r="BS98" s="1116">
        <f>$G98</f>
        <v>0</v>
      </c>
      <c r="BT98" s="1117">
        <f>VLOOKUP($E98,BS$442:BV$453,2,FALSE)*BS98*($K98)+IF($G98&gt;0,($H98/$G98)*BS98,0)*(1-$K98)</f>
        <v>0</v>
      </c>
      <c r="BU98" s="1117">
        <f>VLOOKUP($E98,BS$442:BV$453,3,FALSE)*BS98*($K98)+IF($G98&gt;0,($I98/$G98)*BS98,0)*(1-$K98)</f>
        <v>0</v>
      </c>
      <c r="BV98" s="1117">
        <f>VLOOKUP($E98,BS$442:BV$453,4,FALSE)*BS98*($K98)+(BS98-BT98-BU98)*(1-$K98)</f>
        <v>0</v>
      </c>
      <c r="BW98" s="1118"/>
      <c r="CA98" s="1116">
        <f>$G98</f>
        <v>0</v>
      </c>
      <c r="CB98" s="1117">
        <f>VLOOKUP($E98,CA$442:CD$453,2,FALSE)*CA98*($K98)+IF($G98&gt;0,($H98/$G98)*CA98,0)*(1-$K98)</f>
        <v>0</v>
      </c>
      <c r="CC98" s="1117">
        <f>VLOOKUP($E98,CA$442:CD$453,3,FALSE)*CA98*($K98)+IF($G98&gt;0,($I98/$G98)*CA98,0)*(1-$K98)</f>
        <v>0</v>
      </c>
      <c r="CD98" s="1117">
        <f>VLOOKUP($E98,CA$442:CD$453,4,FALSE)*CA98*($K98)+(CA98-CB98-CC98)*(1-$K98)</f>
        <v>0</v>
      </c>
      <c r="CE98" s="1118"/>
      <c r="CI98" s="1116">
        <f>$G98</f>
        <v>0</v>
      </c>
      <c r="CJ98" s="1117">
        <f>VLOOKUP($E98,CI$442:CL$453,2,FALSE)*CI98*($K98)+IF($G98&gt;0,($H98/$G98)*CI98,0)*(1-$K98)</f>
        <v>0</v>
      </c>
      <c r="CK98" s="1117">
        <f>VLOOKUP($E98,CI$442:CL$453,3,FALSE)*CI98*($K98)+IF($G98&gt;0,($I98/$G98)*CI98,0)*(1-$K98)</f>
        <v>0</v>
      </c>
      <c r="CL98" s="1117">
        <f>VLOOKUP($E98,CI$442:CL$453,4,FALSE)*CI98*($K98)+(CI98-CJ98-CK98)*(1-$K98)</f>
        <v>0</v>
      </c>
      <c r="CM98" s="1118"/>
      <c r="CQ98" s="1116">
        <f>$G98</f>
        <v>0</v>
      </c>
      <c r="CR98" s="1117">
        <f>VLOOKUP($E98,CQ$442:CT$453,2,FALSE)*CQ98*($K98)+IF($G98&gt;0,($H98/$G98)*CQ98,0)*(1-$K98)</f>
        <v>0</v>
      </c>
      <c r="CS98" s="1117">
        <f>VLOOKUP($E98,CQ$442:CT$453,3,FALSE)*CQ98*($K98)+IF($G98&gt;0,($I98/$G98)*CQ98,0)*(1-$K98)</f>
        <v>0</v>
      </c>
      <c r="CT98" s="1117">
        <f>VLOOKUP($E98,CQ$442:CT$453,4,FALSE)*CQ98*($K98)+(CQ98-CR98-CS98)*(1-$K98)</f>
        <v>0</v>
      </c>
      <c r="CU98" s="1118"/>
      <c r="CY98" s="1116">
        <f>$G98</f>
        <v>0</v>
      </c>
      <c r="CZ98" s="1117">
        <f>VLOOKUP($E98,CY$442:DB$453,2,FALSE)*CY98*($K98)+IF($G98&gt;0,($H98/$G98)*CY98,0)*(1-$K98)</f>
        <v>0</v>
      </c>
      <c r="DA98" s="1117">
        <f>VLOOKUP($E98,CY$442:DB$453,3,FALSE)*CY98*($K98)+IF($G98&gt;0,($I98/$G98)*CY98,0)*(1-$K98)</f>
        <v>0</v>
      </c>
      <c r="DB98" s="1117">
        <f>VLOOKUP($E98,CY$442:DB$453,4,FALSE)*CY98*($K98)+(CY98-CZ98-DA98)*(1-$K98)</f>
        <v>0</v>
      </c>
      <c r="DC98" s="1118"/>
      <c r="DG98" s="1116">
        <f>$G98</f>
        <v>0</v>
      </c>
      <c r="DH98" s="1117">
        <f>VLOOKUP($E98,DG$442:DJ$453,2,FALSE)*DG98*($K98)+IF($G98&gt;0,($H98/$G98)*DG98,0)*(1-$K98)</f>
        <v>0</v>
      </c>
      <c r="DI98" s="1117">
        <f>VLOOKUP($E98,DG$442:DJ$453,3,FALSE)*DG98*($K98)+IF($G98&gt;0,($I98/$G98)*DG98,0)*(1-$K98)</f>
        <v>0</v>
      </c>
      <c r="DJ98" s="1117">
        <f>VLOOKUP($E98,DG$442:DJ$453,4,FALSE)*DG98*($K98)+(DG98-DH98-DI98)*(1-$K98)</f>
        <v>0</v>
      </c>
      <c r="DK98" s="1118"/>
      <c r="DO98" s="1116">
        <f>$G98</f>
        <v>0</v>
      </c>
      <c r="DP98" s="1117">
        <f>VLOOKUP($E98,DO$442:DR$453,2,FALSE)*DO98*($K98)+IF($G98&gt;0,($H98/$G98)*DO98,0)*(1-$K98)</f>
        <v>0</v>
      </c>
      <c r="DQ98" s="1117">
        <f>VLOOKUP($E98,DO$442:DR$453,3,FALSE)*DO98*($K98)+IF($G98&gt;0,($I98/$G98)*DO98,0)*(1-$K98)</f>
        <v>0</v>
      </c>
      <c r="DR98" s="1117">
        <f>VLOOKUP($E98,DO$442:DR$453,4,FALSE)*DO98*($K98)+(DO98-DP98-DQ98)*(1-$K98)</f>
        <v>0</v>
      </c>
      <c r="DS98" s="1118"/>
      <c r="DW98" s="1116">
        <f>$G98</f>
        <v>0</v>
      </c>
      <c r="DX98" s="1117">
        <f>VLOOKUP($E98,DW$442:DZ$453,2,FALSE)*DW98*($K98)+IF($G98&gt;0,($H98/$G98)*DW98,0)*(1-$K98)</f>
        <v>0</v>
      </c>
      <c r="DY98" s="1117">
        <f>VLOOKUP($E98,DW$442:DZ$453,3,FALSE)*DW98*($K98)+IF($G98&gt;0,($I98/$G98)*DW98,0)*(1-$K98)</f>
        <v>0</v>
      </c>
      <c r="DZ98" s="1117">
        <f>VLOOKUP($E98,DW$442:DZ$453,4,FALSE)*DW98*($K98)+(DW98-DX98-DY98)*(1-$K98)</f>
        <v>0</v>
      </c>
      <c r="EA98" s="1118"/>
      <c r="EE98" s="1116">
        <f>$G98</f>
        <v>0</v>
      </c>
      <c r="EF98" s="1117">
        <f>VLOOKUP($E98,EE$442:EH$453,2,FALSE)*EE98*($K98)+IF($G98&gt;0,($H98/$G98)*EE98,0)*(1-$K98)</f>
        <v>0</v>
      </c>
      <c r="EG98" s="1117">
        <f>VLOOKUP($E98,EE$442:EH$453,3,FALSE)*EE98*($K98)+IF($G98&gt;0,($I98/$G98)*EE98,0)*(1-$K98)</f>
        <v>0</v>
      </c>
      <c r="EH98" s="1117">
        <f>VLOOKUP($E98,EE$442:EH$453,4,FALSE)*EE98*($K98)+(EE98-EF98-EG98)*(1-$K98)</f>
        <v>0</v>
      </c>
      <c r="EI98" s="1118"/>
      <c r="EM98" s="1116">
        <f>$G98</f>
        <v>0</v>
      </c>
      <c r="EN98" s="1117">
        <f>VLOOKUP($E98,EM$442:EP$453,2,FALSE)*EM98*($K98)+IF($G98&gt;0,($H98/$G98)*EM98,0)*(1-$K98)</f>
        <v>0</v>
      </c>
      <c r="EO98" s="1117">
        <f>VLOOKUP($E98,EM$442:EP$453,3,FALSE)*EM98*($K98)+IF($G98&gt;0,($I98/$G98)*EM98,0)*(1-$K98)</f>
        <v>0</v>
      </c>
      <c r="EP98" s="1117">
        <f>VLOOKUP($E98,EM$442:EP$453,4,FALSE)*EM98*($K98)+(EM98-EN98-EO98)*(1-$K98)</f>
        <v>0</v>
      </c>
      <c r="EQ98" s="1118"/>
      <c r="EU98" s="1116">
        <f>$G98</f>
        <v>0</v>
      </c>
      <c r="EV98" s="1117">
        <f>VLOOKUP($E98,EU$442:EX$453,2,FALSE)*EU98*($K98)+IF($G98&gt;0,($H98/$G98)*EU98,0)*(1-$K98)</f>
        <v>0</v>
      </c>
      <c r="EW98" s="1117">
        <f>VLOOKUP($E98,EU$442:EX$453,3,FALSE)*EU98*($K98)+IF($G98&gt;0,($I98/$G98)*EU98,0)*(1-$K98)</f>
        <v>0</v>
      </c>
      <c r="EX98" s="1117">
        <f>VLOOKUP($E98,EU$442:EX$453,4,FALSE)*EU98*($K98)+(EU98-EV98-EW98)*(1-$K98)</f>
        <v>0</v>
      </c>
      <c r="EY98" s="1118"/>
      <c r="FC98" s="1116">
        <f>$G98</f>
        <v>0</v>
      </c>
      <c r="FD98" s="1117">
        <f>VLOOKUP($E98,FC$442:FF$453,2,FALSE)*FC98*($K98)+IF($G98&gt;0,($H98/$G98)*FC98,0)*(1-$K98)</f>
        <v>0</v>
      </c>
      <c r="FE98" s="1117">
        <f>VLOOKUP($E98,FC$442:FF$453,3,FALSE)*FC98*($K98)+IF($G98&gt;0,($I98/$G98)*FC98,0)*(1-$K98)</f>
        <v>0</v>
      </c>
      <c r="FF98" s="1117">
        <f>VLOOKUP($E98,FC$442:FF$453,4,FALSE)*FC98*($K98)+(FC98-FD98-FE98)*(1-$K98)</f>
        <v>0</v>
      </c>
      <c r="FG98" s="1118"/>
      <c r="FK98" s="1116">
        <f>$G98</f>
        <v>0</v>
      </c>
      <c r="FL98" s="1117">
        <f>VLOOKUP($E98,FK$442:FN$453,2,FALSE)*FK98*($K98)+IF($G98&gt;0,($H98/$G98)*FK98,0)*(1-$K98)</f>
        <v>0</v>
      </c>
      <c r="FM98" s="1117">
        <f>VLOOKUP($E98,FK$442:FN$453,3,FALSE)*FK98*($K98)+IF($G98&gt;0,($I98/$G98)*FK98,0)*(1-$K98)</f>
        <v>0</v>
      </c>
      <c r="FN98" s="1117">
        <f>VLOOKUP($E98,FK$442:FN$453,4,FALSE)*FK98*($K98)+(FK98-FL98-FM98)*(1-$K98)</f>
        <v>0</v>
      </c>
      <c r="FO98" s="1118"/>
    </row>
    <row r="99" spans="1:171">
      <c r="A99" s="1423"/>
      <c r="B99" s="79" t="s">
        <v>375</v>
      </c>
      <c r="C99" s="888" t="s">
        <v>78</v>
      </c>
      <c r="D99" s="888">
        <v>176</v>
      </c>
      <c r="E99" s="182" t="str">
        <f>'Sch 1- Rate Base '!E99</f>
        <v>DIST</v>
      </c>
      <c r="F99" s="889"/>
      <c r="G99" s="182">
        <f>'Sch 1- Rate Base '!G99</f>
        <v>0</v>
      </c>
      <c r="H99" s="182">
        <f>'Sch 1- Rate Base '!H99</f>
        <v>0</v>
      </c>
      <c r="I99" s="182">
        <f>'Sch 1- Rate Base '!I99</f>
        <v>0</v>
      </c>
      <c r="J99" s="1424">
        <f>'Sch 1- Rate Base '!J99</f>
        <v>0</v>
      </c>
      <c r="K99" s="903">
        <f>IF($E99="DIRECT",0,1)</f>
        <v>1</v>
      </c>
      <c r="O99" s="1116">
        <f>$G99</f>
        <v>0</v>
      </c>
      <c r="P99" s="1117">
        <f>VLOOKUP($E99,O$442:R$453,2,FALSE)*O99*($K99)+IF($G99&gt;0,($H99/$G99)*O99,0)*(1-$K99)</f>
        <v>0</v>
      </c>
      <c r="Q99" s="1117">
        <f>VLOOKUP($E99,O$442:R$453,3,FALSE)*O99*($K99)+IF($G99&gt;0,($I99/$G99)*O99,0)*(1-$K99)</f>
        <v>0</v>
      </c>
      <c r="R99" s="1117">
        <f>VLOOKUP($E99,O$442:R$453,4,FALSE)*O99*($K99)+(O99-P99-Q99)*(1-$K99)</f>
        <v>0</v>
      </c>
      <c r="S99" s="1118"/>
      <c r="W99" s="1116">
        <f>$G99</f>
        <v>0</v>
      </c>
      <c r="X99" s="1117">
        <f>VLOOKUP($E99,W$442:Z$453,2,FALSE)*W99*($K99)+IF($G99&gt;0,($H99/$G99)*W99,0)*(1-$K99)</f>
        <v>0</v>
      </c>
      <c r="Y99" s="1117">
        <f>VLOOKUP($E99,W$442:Z$453,3,FALSE)*W99*($K99)+IF($G99&gt;0,($I99/$G99)*W99,0)*(1-$K99)</f>
        <v>0</v>
      </c>
      <c r="Z99" s="1117">
        <f>VLOOKUP($E99,W$442:Z$453,4,FALSE)*W99*($K99)+(W99-X99-Y99)*(1-$K99)</f>
        <v>0</v>
      </c>
      <c r="AA99" s="1118"/>
      <c r="AE99" s="1116">
        <f>$G99</f>
        <v>0</v>
      </c>
      <c r="AF99" s="1117">
        <f>VLOOKUP($E99,AE$442:AH$453,2,FALSE)*AE99*($K99)+IF($G99&gt;0,($H99/$G99)*AE99,0)*(1-$K99)</f>
        <v>0</v>
      </c>
      <c r="AG99" s="1117">
        <f>VLOOKUP($E99,AE$442:AH$453,3,FALSE)*AE99*($K99)+IF($G99&gt;0,($I99/$G99)*AE99,0)*(1-$K99)</f>
        <v>0</v>
      </c>
      <c r="AH99" s="1117">
        <f>VLOOKUP($E99,AE$442:AH$453,4,FALSE)*AE99*($K99)+(AE99-AF99-AG99)*(1-$K99)</f>
        <v>0</v>
      </c>
      <c r="AI99" s="1118"/>
      <c r="AM99" s="1116">
        <f>$G99</f>
        <v>0</v>
      </c>
      <c r="AN99" s="1117">
        <f>VLOOKUP($E99,AM$442:AP$453,2,FALSE)*AM99*($K99)+IF($G99&gt;0,($H99/$G99)*AM99,0)*(1-$K99)</f>
        <v>0</v>
      </c>
      <c r="AO99" s="1117">
        <f>VLOOKUP($E99,AM$442:AP$453,3,FALSE)*AM99*($K99)+IF($G99&gt;0,($I99/$G99)*AM99,0)*(1-$K99)</f>
        <v>0</v>
      </c>
      <c r="AP99" s="1117">
        <f>VLOOKUP($E99,AM$442:AP$453,4,FALSE)*AM99*($K99)+(AM99-AN99-AO99)*(1-$K99)</f>
        <v>0</v>
      </c>
      <c r="AQ99" s="1118"/>
      <c r="AU99" s="1116">
        <f>$G99</f>
        <v>0</v>
      </c>
      <c r="AV99" s="1117">
        <f>VLOOKUP($E99,AU$442:AX$453,2,FALSE)*AU99*($K99)+IF($G99&gt;0,($H99/$G99)*AU99,0)*(1-$K99)</f>
        <v>0</v>
      </c>
      <c r="AW99" s="1117">
        <f>VLOOKUP($E99,AU$442:AX$453,3,FALSE)*AU99*($K99)+IF($G99&gt;0,($I99/$G99)*AU99,0)*(1-$K99)</f>
        <v>0</v>
      </c>
      <c r="AX99" s="1117">
        <f>VLOOKUP($E99,AU$442:AX$453,4,FALSE)*AU99*($K99)+(AU99-AV99-AW99)*(1-$K99)</f>
        <v>0</v>
      </c>
      <c r="AY99" s="1118"/>
      <c r="BC99" s="1116">
        <f>$G99</f>
        <v>0</v>
      </c>
      <c r="BD99" s="1117">
        <f>VLOOKUP($E99,BC$442:BF$453,2,FALSE)*BC99*($K99)+IF($G99&gt;0,($H99/$G99)*BC99,0)*(1-$K99)</f>
        <v>0</v>
      </c>
      <c r="BE99" s="1117">
        <f>VLOOKUP($E99,BC$442:BF$453,3,FALSE)*BC99*($K99)+IF($G99&gt;0,($I99/$G99)*BC99,0)*(1-$K99)</f>
        <v>0</v>
      </c>
      <c r="BF99" s="1117">
        <f>VLOOKUP($E99,BC$442:BF$453,4,FALSE)*BC99*($K99)+(BC99-BD99-BE99)*(1-$K99)</f>
        <v>0</v>
      </c>
      <c r="BG99" s="1118"/>
      <c r="BK99" s="1116">
        <f>$G99</f>
        <v>0</v>
      </c>
      <c r="BL99" s="1117">
        <f>VLOOKUP($E99,BK$442:BN$453,2,FALSE)*BK99*($K99)+IF($G99&gt;0,($H99/$G99)*BK99,0)*(1-$K99)</f>
        <v>0</v>
      </c>
      <c r="BM99" s="1117">
        <f>VLOOKUP($E99,BK$442:BN$453,3,FALSE)*BK99*($K99)+IF($G99&gt;0,($I99/$G99)*BK99,0)*(1-$K99)</f>
        <v>0</v>
      </c>
      <c r="BN99" s="1117">
        <f>VLOOKUP($E99,BK$442:BN$453,4,FALSE)*BK99*($K99)+(BK99-BL99-BM99)*(1-$K99)</f>
        <v>0</v>
      </c>
      <c r="BO99" s="1118"/>
      <c r="BS99" s="1116">
        <f>$G99</f>
        <v>0</v>
      </c>
      <c r="BT99" s="1117">
        <f>VLOOKUP($E99,BS$442:BV$453,2,FALSE)*BS99*($K99)+IF($G99&gt;0,($H99/$G99)*BS99,0)*(1-$K99)</f>
        <v>0</v>
      </c>
      <c r="BU99" s="1117">
        <f>VLOOKUP($E99,BS$442:BV$453,3,FALSE)*BS99*($K99)+IF($G99&gt;0,($I99/$G99)*BS99,0)*(1-$K99)</f>
        <v>0</v>
      </c>
      <c r="BV99" s="1117">
        <f>VLOOKUP($E99,BS$442:BV$453,4,FALSE)*BS99*($K99)+(BS99-BT99-BU99)*(1-$K99)</f>
        <v>0</v>
      </c>
      <c r="BW99" s="1118"/>
      <c r="CA99" s="1116">
        <f>$G99</f>
        <v>0</v>
      </c>
      <c r="CB99" s="1117">
        <f>VLOOKUP($E99,CA$442:CD$453,2,FALSE)*CA99*($K99)+IF($G99&gt;0,($H99/$G99)*CA99,0)*(1-$K99)</f>
        <v>0</v>
      </c>
      <c r="CC99" s="1117">
        <f>VLOOKUP($E99,CA$442:CD$453,3,FALSE)*CA99*($K99)+IF($G99&gt;0,($I99/$G99)*CA99,0)*(1-$K99)</f>
        <v>0</v>
      </c>
      <c r="CD99" s="1117">
        <f>VLOOKUP($E99,CA$442:CD$453,4,FALSE)*CA99*($K99)+(CA99-CB99-CC99)*(1-$K99)</f>
        <v>0</v>
      </c>
      <c r="CE99" s="1118"/>
      <c r="CI99" s="1116">
        <f>$G99</f>
        <v>0</v>
      </c>
      <c r="CJ99" s="1117">
        <f>VLOOKUP($E99,CI$442:CL$453,2,FALSE)*CI99*($K99)+IF($G99&gt;0,($H99/$G99)*CI99,0)*(1-$K99)</f>
        <v>0</v>
      </c>
      <c r="CK99" s="1117">
        <f>VLOOKUP($E99,CI$442:CL$453,3,FALSE)*CI99*($K99)+IF($G99&gt;0,($I99/$G99)*CI99,0)*(1-$K99)</f>
        <v>0</v>
      </c>
      <c r="CL99" s="1117">
        <f>VLOOKUP($E99,CI$442:CL$453,4,FALSE)*CI99*($K99)+(CI99-CJ99-CK99)*(1-$K99)</f>
        <v>0</v>
      </c>
      <c r="CM99" s="1118"/>
      <c r="CQ99" s="1116">
        <f>$G99</f>
        <v>0</v>
      </c>
      <c r="CR99" s="1117">
        <f>VLOOKUP($E99,CQ$442:CT$453,2,FALSE)*CQ99*($K99)+IF($G99&gt;0,($H99/$G99)*CQ99,0)*(1-$K99)</f>
        <v>0</v>
      </c>
      <c r="CS99" s="1117">
        <f>VLOOKUP($E99,CQ$442:CT$453,3,FALSE)*CQ99*($K99)+IF($G99&gt;0,($I99/$G99)*CQ99,0)*(1-$K99)</f>
        <v>0</v>
      </c>
      <c r="CT99" s="1117">
        <f>VLOOKUP($E99,CQ$442:CT$453,4,FALSE)*CQ99*($K99)+(CQ99-CR99-CS99)*(1-$K99)</f>
        <v>0</v>
      </c>
      <c r="CU99" s="1118"/>
      <c r="CY99" s="1116">
        <f>$G99</f>
        <v>0</v>
      </c>
      <c r="CZ99" s="1117">
        <f>VLOOKUP($E99,CY$442:DB$453,2,FALSE)*CY99*($K99)+IF($G99&gt;0,($H99/$G99)*CY99,0)*(1-$K99)</f>
        <v>0</v>
      </c>
      <c r="DA99" s="1117">
        <f>VLOOKUP($E99,CY$442:DB$453,3,FALSE)*CY99*($K99)+IF($G99&gt;0,($I99/$G99)*CY99,0)*(1-$K99)</f>
        <v>0</v>
      </c>
      <c r="DB99" s="1117">
        <f>VLOOKUP($E99,CY$442:DB$453,4,FALSE)*CY99*($K99)+(CY99-CZ99-DA99)*(1-$K99)</f>
        <v>0</v>
      </c>
      <c r="DC99" s="1118"/>
      <c r="DG99" s="1116">
        <f>$G99</f>
        <v>0</v>
      </c>
      <c r="DH99" s="1117">
        <f>VLOOKUP($E99,DG$442:DJ$453,2,FALSE)*DG99*($K99)+IF($G99&gt;0,($H99/$G99)*DG99,0)*(1-$K99)</f>
        <v>0</v>
      </c>
      <c r="DI99" s="1117">
        <f>VLOOKUP($E99,DG$442:DJ$453,3,FALSE)*DG99*($K99)+IF($G99&gt;0,($I99/$G99)*DG99,0)*(1-$K99)</f>
        <v>0</v>
      </c>
      <c r="DJ99" s="1117">
        <f>VLOOKUP($E99,DG$442:DJ$453,4,FALSE)*DG99*($K99)+(DG99-DH99-DI99)*(1-$K99)</f>
        <v>0</v>
      </c>
      <c r="DK99" s="1118"/>
      <c r="DO99" s="1116">
        <f>$G99</f>
        <v>0</v>
      </c>
      <c r="DP99" s="1117">
        <f>VLOOKUP($E99,DO$442:DR$453,2,FALSE)*DO99*($K99)+IF($G99&gt;0,($H99/$G99)*DO99,0)*(1-$K99)</f>
        <v>0</v>
      </c>
      <c r="DQ99" s="1117">
        <f>VLOOKUP($E99,DO$442:DR$453,3,FALSE)*DO99*($K99)+IF($G99&gt;0,($I99/$G99)*DO99,0)*(1-$K99)</f>
        <v>0</v>
      </c>
      <c r="DR99" s="1117">
        <f>VLOOKUP($E99,DO$442:DR$453,4,FALSE)*DO99*($K99)+(DO99-DP99-DQ99)*(1-$K99)</f>
        <v>0</v>
      </c>
      <c r="DS99" s="1118"/>
      <c r="DW99" s="1116">
        <f>$G99</f>
        <v>0</v>
      </c>
      <c r="DX99" s="1117">
        <f>VLOOKUP($E99,DW$442:DZ$453,2,FALSE)*DW99*($K99)+IF($G99&gt;0,($H99/$G99)*DW99,0)*(1-$K99)</f>
        <v>0</v>
      </c>
      <c r="DY99" s="1117">
        <f>VLOOKUP($E99,DW$442:DZ$453,3,FALSE)*DW99*($K99)+IF($G99&gt;0,($I99/$G99)*DW99,0)*(1-$K99)</f>
        <v>0</v>
      </c>
      <c r="DZ99" s="1117">
        <f>VLOOKUP($E99,DW$442:DZ$453,4,FALSE)*DW99*($K99)+(DW99-DX99-DY99)*(1-$K99)</f>
        <v>0</v>
      </c>
      <c r="EA99" s="1118"/>
      <c r="EE99" s="1116">
        <f>$G99</f>
        <v>0</v>
      </c>
      <c r="EF99" s="1117">
        <f>VLOOKUP($E99,EE$442:EH$453,2,FALSE)*EE99*($K99)+IF($G99&gt;0,($H99/$G99)*EE99,0)*(1-$K99)</f>
        <v>0</v>
      </c>
      <c r="EG99" s="1117">
        <f>VLOOKUP($E99,EE$442:EH$453,3,FALSE)*EE99*($K99)+IF($G99&gt;0,($I99/$G99)*EE99,0)*(1-$K99)</f>
        <v>0</v>
      </c>
      <c r="EH99" s="1117">
        <f>VLOOKUP($E99,EE$442:EH$453,4,FALSE)*EE99*($K99)+(EE99-EF99-EG99)*(1-$K99)</f>
        <v>0</v>
      </c>
      <c r="EI99" s="1118"/>
      <c r="EM99" s="1116">
        <f>$G99</f>
        <v>0</v>
      </c>
      <c r="EN99" s="1117">
        <f>VLOOKUP($E99,EM$442:EP$453,2,FALSE)*EM99*($K99)+IF($G99&gt;0,($H99/$G99)*EM99,0)*(1-$K99)</f>
        <v>0</v>
      </c>
      <c r="EO99" s="1117">
        <f>VLOOKUP($E99,EM$442:EP$453,3,FALSE)*EM99*($K99)+IF($G99&gt;0,($I99/$G99)*EM99,0)*(1-$K99)</f>
        <v>0</v>
      </c>
      <c r="EP99" s="1117">
        <f>VLOOKUP($E99,EM$442:EP$453,4,FALSE)*EM99*($K99)+(EM99-EN99-EO99)*(1-$K99)</f>
        <v>0</v>
      </c>
      <c r="EQ99" s="1118"/>
      <c r="EU99" s="1116">
        <f>$G99</f>
        <v>0</v>
      </c>
      <c r="EV99" s="1117">
        <f>VLOOKUP($E99,EU$442:EX$453,2,FALSE)*EU99*($K99)+IF($G99&gt;0,($H99/$G99)*EU99,0)*(1-$K99)</f>
        <v>0</v>
      </c>
      <c r="EW99" s="1117">
        <f>VLOOKUP($E99,EU$442:EX$453,3,FALSE)*EU99*($K99)+IF($G99&gt;0,($I99/$G99)*EU99,0)*(1-$K99)</f>
        <v>0</v>
      </c>
      <c r="EX99" s="1117">
        <f>VLOOKUP($E99,EU$442:EX$453,4,FALSE)*EU99*($K99)+(EU99-EV99-EW99)*(1-$K99)</f>
        <v>0</v>
      </c>
      <c r="EY99" s="1118"/>
      <c r="FC99" s="1116">
        <f>$G99</f>
        <v>0</v>
      </c>
      <c r="FD99" s="1117">
        <f>VLOOKUP($E99,FC$442:FF$453,2,FALSE)*FC99*($K99)+IF($G99&gt;0,($H99/$G99)*FC99,0)*(1-$K99)</f>
        <v>0</v>
      </c>
      <c r="FE99" s="1117">
        <f>VLOOKUP($E99,FC$442:FF$453,3,FALSE)*FC99*($K99)+IF($G99&gt;0,($I99/$G99)*FC99,0)*(1-$K99)</f>
        <v>0</v>
      </c>
      <c r="FF99" s="1117">
        <f>VLOOKUP($E99,FC$442:FF$453,4,FALSE)*FC99*($K99)+(FC99-FD99-FE99)*(1-$K99)</f>
        <v>0</v>
      </c>
      <c r="FG99" s="1118"/>
      <c r="FK99" s="1116">
        <f>$G99</f>
        <v>0</v>
      </c>
      <c r="FL99" s="1117">
        <f>VLOOKUP($E99,FK$442:FN$453,2,FALSE)*FK99*($K99)+IF($G99&gt;0,($H99/$G99)*FK99,0)*(1-$K99)</f>
        <v>0</v>
      </c>
      <c r="FM99" s="1117">
        <f>VLOOKUP($E99,FK$442:FN$453,3,FALSE)*FK99*($K99)+IF($G99&gt;0,($I99/$G99)*FK99,0)*(1-$K99)</f>
        <v>0</v>
      </c>
      <c r="FN99" s="1117">
        <f>VLOOKUP($E99,FK$442:FN$453,4,FALSE)*FK99*($K99)+(FK99-FL99-FM99)*(1-$K99)</f>
        <v>0</v>
      </c>
      <c r="FO99" s="1118"/>
    </row>
    <row r="100" spans="1:171">
      <c r="A100" s="1423"/>
      <c r="B100" s="847" t="s">
        <v>104</v>
      </c>
      <c r="C100" s="914"/>
      <c r="D100" s="915"/>
      <c r="E100" s="915"/>
      <c r="F100" s="916"/>
      <c r="G100" s="923">
        <f>SUM(G96:G99)</f>
        <v>11561093.529999999</v>
      </c>
      <c r="H100" s="923">
        <f>SUM(H96:H99)</f>
        <v>0</v>
      </c>
      <c r="I100" s="923">
        <f>SUM(I96:I99)</f>
        <v>0</v>
      </c>
      <c r="J100" s="1431">
        <f>SUM(J96:J99)</f>
        <v>11561093.529999999</v>
      </c>
      <c r="K100" s="903"/>
      <c r="O100" s="1127">
        <f>SUM(O96:O99)</f>
        <v>11561093.529999999</v>
      </c>
      <c r="P100" s="1127">
        <f>SUM(P96:P99)</f>
        <v>0</v>
      </c>
      <c r="Q100" s="1127">
        <f>SUM(Q96:Q99)</f>
        <v>0</v>
      </c>
      <c r="R100" s="1127">
        <f>SUM(R96:R99)</f>
        <v>11561093.529999999</v>
      </c>
      <c r="S100" s="1118"/>
      <c r="W100" s="1127">
        <f>SUM(W96:W99)</f>
        <v>11561093.529999999</v>
      </c>
      <c r="X100" s="1127">
        <f>SUM(X96:X99)</f>
        <v>0</v>
      </c>
      <c r="Y100" s="1127">
        <f>SUM(Y96:Y99)</f>
        <v>0</v>
      </c>
      <c r="Z100" s="1127">
        <f>SUM(Z96:Z99)</f>
        <v>11561093.529999999</v>
      </c>
      <c r="AA100" s="1118"/>
      <c r="AE100" s="1127">
        <f>SUM(AE96:AE99)</f>
        <v>11561093.529999999</v>
      </c>
      <c r="AF100" s="1127">
        <f>SUM(AF96:AF99)</f>
        <v>0</v>
      </c>
      <c r="AG100" s="1127">
        <f>SUM(AG96:AG99)</f>
        <v>0</v>
      </c>
      <c r="AH100" s="1127">
        <f>SUM(AH96:AH99)</f>
        <v>11561093.529999999</v>
      </c>
      <c r="AI100" s="1118"/>
      <c r="AM100" s="1127">
        <f>SUM(AM96:AM99)</f>
        <v>11561093.529999999</v>
      </c>
      <c r="AN100" s="1127">
        <f>SUM(AN96:AN99)</f>
        <v>0</v>
      </c>
      <c r="AO100" s="1127">
        <f>SUM(AO96:AO99)</f>
        <v>0</v>
      </c>
      <c r="AP100" s="1127">
        <f>SUM(AP96:AP99)</f>
        <v>11561093.529999999</v>
      </c>
      <c r="AQ100" s="1118"/>
      <c r="AU100" s="1127">
        <f>SUM(AU96:AU99)</f>
        <v>11561093.529999999</v>
      </c>
      <c r="AV100" s="1127">
        <f>SUM(AV96:AV99)</f>
        <v>0</v>
      </c>
      <c r="AW100" s="1127">
        <f>SUM(AW96:AW99)</f>
        <v>0</v>
      </c>
      <c r="AX100" s="1127">
        <f>SUM(AX96:AX99)</f>
        <v>11561093.529999999</v>
      </c>
      <c r="AY100" s="1118"/>
      <c r="BC100" s="1127">
        <f>SUM(BC96:BC99)</f>
        <v>11561093.529999999</v>
      </c>
      <c r="BD100" s="1127">
        <f>SUM(BD96:BD99)</f>
        <v>0</v>
      </c>
      <c r="BE100" s="1127">
        <f>SUM(BE96:BE99)</f>
        <v>0</v>
      </c>
      <c r="BF100" s="1127">
        <f>SUM(BF96:BF99)</f>
        <v>11561093.529999999</v>
      </c>
      <c r="BG100" s="1118"/>
      <c r="BK100" s="1127">
        <f>SUM(BK96:BK99)</f>
        <v>11561093.529999999</v>
      </c>
      <c r="BL100" s="1127">
        <f>SUM(BL96:BL99)</f>
        <v>0</v>
      </c>
      <c r="BM100" s="1127">
        <f>SUM(BM96:BM99)</f>
        <v>0</v>
      </c>
      <c r="BN100" s="1127">
        <f>SUM(BN96:BN99)</f>
        <v>11561093.529999999</v>
      </c>
      <c r="BO100" s="1118"/>
      <c r="BS100" s="1127">
        <f>SUM(BS96:BS99)</f>
        <v>11561093.529999999</v>
      </c>
      <c r="BT100" s="1127">
        <f>SUM(BT96:BT99)</f>
        <v>0</v>
      </c>
      <c r="BU100" s="1127">
        <f>SUM(BU96:BU99)</f>
        <v>0</v>
      </c>
      <c r="BV100" s="1127">
        <f>SUM(BV96:BV99)</f>
        <v>11561093.529999999</v>
      </c>
      <c r="BW100" s="1118"/>
      <c r="CA100" s="1127">
        <f>SUM(CA96:CA99)</f>
        <v>11561093.529999999</v>
      </c>
      <c r="CB100" s="1127">
        <f>SUM(CB96:CB99)</f>
        <v>0</v>
      </c>
      <c r="CC100" s="1127">
        <f>SUM(CC96:CC99)</f>
        <v>0</v>
      </c>
      <c r="CD100" s="1127">
        <f>SUM(CD96:CD99)</f>
        <v>11561093.529999999</v>
      </c>
      <c r="CE100" s="1118"/>
      <c r="CI100" s="1127">
        <f>SUM(CI96:CI99)</f>
        <v>11561093.529999999</v>
      </c>
      <c r="CJ100" s="1127">
        <f>SUM(CJ96:CJ99)</f>
        <v>0</v>
      </c>
      <c r="CK100" s="1127">
        <f>SUM(CK96:CK99)</f>
        <v>0</v>
      </c>
      <c r="CL100" s="1127">
        <f>SUM(CL96:CL99)</f>
        <v>11561093.529999999</v>
      </c>
      <c r="CM100" s="1118"/>
      <c r="CQ100" s="1127">
        <f>SUM(CQ96:CQ99)</f>
        <v>11561093.529999999</v>
      </c>
      <c r="CR100" s="1127">
        <f>SUM(CR96:CR99)</f>
        <v>0</v>
      </c>
      <c r="CS100" s="1127">
        <f>SUM(CS96:CS99)</f>
        <v>0</v>
      </c>
      <c r="CT100" s="1127">
        <f>SUM(CT96:CT99)</f>
        <v>11561093.529999999</v>
      </c>
      <c r="CU100" s="1118"/>
      <c r="CY100" s="1127">
        <f>SUM(CY96:CY99)</f>
        <v>11561093.529999999</v>
      </c>
      <c r="CZ100" s="1127">
        <f>SUM(CZ96:CZ99)</f>
        <v>0</v>
      </c>
      <c r="DA100" s="1127">
        <f>SUM(DA96:DA99)</f>
        <v>0</v>
      </c>
      <c r="DB100" s="1127">
        <f>SUM(DB96:DB99)</f>
        <v>11561093.529999999</v>
      </c>
      <c r="DC100" s="1118"/>
      <c r="DG100" s="1127">
        <f>SUM(DG96:DG99)</f>
        <v>11561093.529999999</v>
      </c>
      <c r="DH100" s="1127">
        <f>SUM(DH96:DH99)</f>
        <v>0</v>
      </c>
      <c r="DI100" s="1127">
        <f>SUM(DI96:DI99)</f>
        <v>0</v>
      </c>
      <c r="DJ100" s="1127">
        <f>SUM(DJ96:DJ99)</f>
        <v>11561093.529999999</v>
      </c>
      <c r="DK100" s="1118"/>
      <c r="DO100" s="1127">
        <f>SUM(DO96:DO99)</f>
        <v>11561093.529999999</v>
      </c>
      <c r="DP100" s="1127">
        <f>SUM(DP96:DP99)</f>
        <v>0</v>
      </c>
      <c r="DQ100" s="1127">
        <f>SUM(DQ96:DQ99)</f>
        <v>0</v>
      </c>
      <c r="DR100" s="1127">
        <f>SUM(DR96:DR99)</f>
        <v>11561093.529999999</v>
      </c>
      <c r="DS100" s="1118"/>
      <c r="DW100" s="1127">
        <f>SUM(DW96:DW99)</f>
        <v>11561093.529999999</v>
      </c>
      <c r="DX100" s="1127">
        <f>SUM(DX96:DX99)</f>
        <v>0</v>
      </c>
      <c r="DY100" s="1127">
        <f>SUM(DY96:DY99)</f>
        <v>0</v>
      </c>
      <c r="DZ100" s="1127">
        <f>SUM(DZ96:DZ99)</f>
        <v>11561093.529999999</v>
      </c>
      <c r="EA100" s="1118"/>
      <c r="EE100" s="1127">
        <f>SUM(EE96:EE99)</f>
        <v>11561093.529999999</v>
      </c>
      <c r="EF100" s="1127">
        <f>SUM(EF96:EF99)</f>
        <v>0</v>
      </c>
      <c r="EG100" s="1127">
        <f>SUM(EG96:EG99)</f>
        <v>0</v>
      </c>
      <c r="EH100" s="1127">
        <f>SUM(EH96:EH99)</f>
        <v>11561093.529999999</v>
      </c>
      <c r="EI100" s="1118"/>
      <c r="EM100" s="1127">
        <f>SUM(EM96:EM99)</f>
        <v>11561093.529999999</v>
      </c>
      <c r="EN100" s="1127">
        <f>SUM(EN96:EN99)</f>
        <v>0</v>
      </c>
      <c r="EO100" s="1127">
        <f>SUM(EO96:EO99)</f>
        <v>0</v>
      </c>
      <c r="EP100" s="1127">
        <f>SUM(EP96:EP99)</f>
        <v>11561093.529999999</v>
      </c>
      <c r="EQ100" s="1118"/>
      <c r="EU100" s="1127">
        <f>SUM(EU96:EU99)</f>
        <v>11561093.529999999</v>
      </c>
      <c r="EV100" s="1127">
        <f>SUM(EV96:EV99)</f>
        <v>0</v>
      </c>
      <c r="EW100" s="1127">
        <f>SUM(EW96:EW99)</f>
        <v>0</v>
      </c>
      <c r="EX100" s="1127">
        <f>SUM(EX96:EX99)</f>
        <v>11561093.529999999</v>
      </c>
      <c r="EY100" s="1118"/>
      <c r="FC100" s="1127">
        <f>SUM(FC96:FC99)</f>
        <v>11561093.529999999</v>
      </c>
      <c r="FD100" s="1127">
        <f>SUM(FD96:FD99)</f>
        <v>0</v>
      </c>
      <c r="FE100" s="1127">
        <f>SUM(FE96:FE99)</f>
        <v>0</v>
      </c>
      <c r="FF100" s="1127">
        <f>SUM(FF96:FF99)</f>
        <v>11561093.529999999</v>
      </c>
      <c r="FG100" s="1118"/>
      <c r="FK100" s="1127">
        <f>SUM(FK96:FK99)</f>
        <v>11561093.529999999</v>
      </c>
      <c r="FL100" s="1127">
        <f>SUM(FL96:FL99)</f>
        <v>0</v>
      </c>
      <c r="FM100" s="1127">
        <f>SUM(FM96:FM99)</f>
        <v>0</v>
      </c>
      <c r="FN100" s="1127">
        <f>SUM(FN96:FN99)</f>
        <v>11561093.529999999</v>
      </c>
      <c r="FO100" s="1118"/>
    </row>
    <row r="101" spans="1:171">
      <c r="A101" s="1442"/>
      <c r="B101" s="947"/>
      <c r="C101" s="947"/>
      <c r="D101" s="947"/>
      <c r="E101" s="947"/>
      <c r="F101" s="947"/>
      <c r="G101" s="947"/>
      <c r="H101" s="947"/>
      <c r="I101" s="947"/>
      <c r="J101" s="1440"/>
      <c r="K101" s="903"/>
      <c r="S101" s="1118"/>
      <c r="AA101" s="1118"/>
      <c r="AI101" s="1118"/>
      <c r="AQ101" s="1118"/>
      <c r="AY101" s="1118"/>
      <c r="BG101" s="1118"/>
      <c r="BO101" s="1118"/>
      <c r="BW101" s="1118"/>
      <c r="CE101" s="1118"/>
      <c r="CM101" s="1118"/>
      <c r="CU101" s="1118"/>
      <c r="DC101" s="1118"/>
      <c r="DK101" s="1118"/>
      <c r="DS101" s="1118"/>
      <c r="EA101" s="1118"/>
      <c r="EI101" s="1118"/>
      <c r="EQ101" s="1118"/>
      <c r="EY101" s="1118"/>
      <c r="FG101" s="1118"/>
      <c r="FO101" s="1118"/>
    </row>
    <row r="102" spans="1:171">
      <c r="A102" s="1365" t="s">
        <v>177</v>
      </c>
      <c r="B102" s="79"/>
      <c r="C102" s="940"/>
      <c r="D102" s="196"/>
      <c r="E102" s="196"/>
      <c r="F102" s="196"/>
      <c r="G102" s="952"/>
      <c r="H102" s="952"/>
      <c r="I102" s="952"/>
      <c r="J102" s="1443"/>
      <c r="K102" s="903"/>
      <c r="S102" s="1118"/>
      <c r="AA102" s="1118"/>
      <c r="AI102" s="1118"/>
      <c r="AQ102" s="1118"/>
      <c r="AY102" s="1118"/>
      <c r="BG102" s="1118"/>
      <c r="BO102" s="1118"/>
      <c r="BW102" s="1118"/>
      <c r="CE102" s="1118"/>
      <c r="CM102" s="1118"/>
      <c r="CU102" s="1118"/>
      <c r="DC102" s="1118"/>
      <c r="DK102" s="1118"/>
      <c r="DS102" s="1118"/>
      <c r="EA102" s="1118"/>
      <c r="EI102" s="1118"/>
      <c r="EQ102" s="1118"/>
      <c r="EY102" s="1118"/>
      <c r="FG102" s="1118"/>
      <c r="FO102" s="1118"/>
    </row>
    <row r="103" spans="1:171">
      <c r="A103" s="1444">
        <v>91000</v>
      </c>
      <c r="B103" s="10" t="s">
        <v>440</v>
      </c>
      <c r="C103" s="888" t="s">
        <v>78</v>
      </c>
      <c r="D103" s="888">
        <v>151</v>
      </c>
      <c r="E103" s="182" t="str">
        <f>'Sch 1- Rate Base '!E103</f>
        <v>PROD</v>
      </c>
      <c r="F103" s="889"/>
      <c r="G103" s="182">
        <f>'Sch 1- Rate Base '!G103</f>
        <v>4683150.17</v>
      </c>
      <c r="H103" s="182">
        <f>'Sch 1- Rate Base '!H103</f>
        <v>4683150.17</v>
      </c>
      <c r="I103" s="182">
        <f>'Sch 1- Rate Base '!I103</f>
        <v>0</v>
      </c>
      <c r="J103" s="1424">
        <f>'Sch 1- Rate Base '!J103</f>
        <v>0</v>
      </c>
      <c r="K103" s="903">
        <f t="shared" ref="K103:K115" si="244">IF($E103="DIRECT",0,1)</f>
        <v>1</v>
      </c>
      <c r="N103" s="1154">
        <f>VLOOKUP($A103,'New Resources - Group'!$A$4:$Y$133,N$2,FALSE)*N$1</f>
        <v>0</v>
      </c>
      <c r="O103" s="1116">
        <f t="shared" ref="O103:O108" si="245">$G103+N103</f>
        <v>4683150.17</v>
      </c>
      <c r="P103" s="1117">
        <f t="shared" ref="P103:P109" si="246">VLOOKUP($E103,O$442:R$453,2,FALSE)*O103*($K103)+IF($G103&gt;0,($H103/$G103)*O103,0)*(1-$K103)</f>
        <v>4683150.17</v>
      </c>
      <c r="Q103" s="1117">
        <f t="shared" ref="Q103:Q109" si="247">VLOOKUP($E103,O$442:R$453,3,FALSE)*O103*($K103)+IF($G103&gt;0,($I103/$G103)*O103,0)*(1-$K103)</f>
        <v>0</v>
      </c>
      <c r="R103" s="1117">
        <f t="shared" ref="R103:R110" si="248">VLOOKUP($E103,O$442:R$453,4,FALSE)*O103*($K103)+(O103-P103-Q103)*(1-$K103)</f>
        <v>0</v>
      </c>
      <c r="S103" s="1118"/>
      <c r="V103" s="1154">
        <f>VLOOKUP($A103,'New Resources - Group'!$A$4:$Y$133,V$2,FALSE)*V$1</f>
        <v>0</v>
      </c>
      <c r="W103" s="1116">
        <f t="shared" ref="W103:W108" si="249">$G103+V103</f>
        <v>4683150.17</v>
      </c>
      <c r="X103" s="1117">
        <f t="shared" ref="X103:X109" si="250">VLOOKUP($E103,W$442:Z$453,2,FALSE)*W103*($K103)+IF($G103&gt;0,($H103/$G103)*W103,0)*(1-$K103)</f>
        <v>4683150.17</v>
      </c>
      <c r="Y103" s="1117">
        <f t="shared" ref="Y103:Y109" si="251">VLOOKUP($E103,W$442:Z$453,3,FALSE)*W103*($K103)+IF($G103&gt;0,($I103/$G103)*W103,0)*(1-$K103)</f>
        <v>0</v>
      </c>
      <c r="Z103" s="1117">
        <f t="shared" ref="Z103:Z110" si="252">VLOOKUP($E103,W$442:Z$453,4,FALSE)*W103*($K103)+(W103-X103-Y103)*(1-$K103)</f>
        <v>0</v>
      </c>
      <c r="AA103" s="1118"/>
      <c r="AD103" s="1154">
        <f>VLOOKUP($A103,'New Resources - Group'!$A$4:$Y$133,AD$2,FALSE)*AD$1</f>
        <v>0</v>
      </c>
      <c r="AE103" s="1116">
        <f t="shared" ref="AE103:AE108" si="253">$G103+AD103</f>
        <v>4683150.17</v>
      </c>
      <c r="AF103" s="1117">
        <f t="shared" ref="AF103:AF109" si="254">VLOOKUP($E103,AE$442:AH$453,2,FALSE)*AE103*($K103)+IF($G103&gt;0,($H103/$G103)*AE103,0)*(1-$K103)</f>
        <v>4683150.17</v>
      </c>
      <c r="AG103" s="1117">
        <f t="shared" ref="AG103:AG109" si="255">VLOOKUP($E103,AE$442:AH$453,3,FALSE)*AE103*($K103)+IF($G103&gt;0,($I103/$G103)*AE103,0)*(1-$K103)</f>
        <v>0</v>
      </c>
      <c r="AH103" s="1117">
        <f t="shared" ref="AH103:AH110" si="256">VLOOKUP($E103,AE$442:AH$453,4,FALSE)*AE103*($K103)+(AE103-AF103-AG103)*(1-$K103)</f>
        <v>0</v>
      </c>
      <c r="AI103" s="1118"/>
      <c r="AL103" s="1154">
        <f>VLOOKUP($A103,'New Resources - Group'!$A$4:$Y$133,AL$2,FALSE)*AL$1</f>
        <v>0</v>
      </c>
      <c r="AM103" s="1116">
        <f t="shared" ref="AM103:AM108" si="257">$G103+AL103</f>
        <v>4683150.17</v>
      </c>
      <c r="AN103" s="1117">
        <f t="shared" ref="AN103:AN109" si="258">VLOOKUP($E103,AM$442:AP$453,2,FALSE)*AM103*($K103)+IF($G103&gt;0,($H103/$G103)*AM103,0)*(1-$K103)</f>
        <v>4683150.17</v>
      </c>
      <c r="AO103" s="1117">
        <f t="shared" ref="AO103:AO109" si="259">VLOOKUP($E103,AM$442:AP$453,3,FALSE)*AM103*($K103)+IF($G103&gt;0,($I103/$G103)*AM103,0)*(1-$K103)</f>
        <v>0</v>
      </c>
      <c r="AP103" s="1117">
        <f t="shared" ref="AP103:AP110" si="260">VLOOKUP($E103,AM$442:AP$453,4,FALSE)*AM103*($K103)+(AM103-AN103-AO103)*(1-$K103)</f>
        <v>0</v>
      </c>
      <c r="AQ103" s="1118"/>
      <c r="AT103" s="1154">
        <f>VLOOKUP($A103,'New Resources - Group'!$A$4:$Y$133,AT$2,FALSE)*AT$1</f>
        <v>0</v>
      </c>
      <c r="AU103" s="1116">
        <f t="shared" ref="AU103:AU108" si="261">$G103+AT103</f>
        <v>4683150.17</v>
      </c>
      <c r="AV103" s="1117">
        <f t="shared" ref="AV103:AV109" si="262">VLOOKUP($E103,AU$442:AX$453,2,FALSE)*AU103*($K103)+IF($G103&gt;0,($H103/$G103)*AU103,0)*(1-$K103)</f>
        <v>4683150.17</v>
      </c>
      <c r="AW103" s="1117">
        <f t="shared" ref="AW103:AW109" si="263">VLOOKUP($E103,AU$442:AX$453,3,FALSE)*AU103*($K103)+IF($G103&gt;0,($I103/$G103)*AU103,0)*(1-$K103)</f>
        <v>0</v>
      </c>
      <c r="AX103" s="1117">
        <f t="shared" ref="AX103:AX110" si="264">VLOOKUP($E103,AU$442:AX$453,4,FALSE)*AU103*($K103)+(AU103-AV103-AW103)*(1-$K103)</f>
        <v>0</v>
      </c>
      <c r="AY103" s="1118"/>
      <c r="BB103" s="1154">
        <f>VLOOKUP($A103,'New Resources - Group'!$A$4:$Y$133,BB$2,FALSE)*BB$1</f>
        <v>0</v>
      </c>
      <c r="BC103" s="1116">
        <f t="shared" ref="BC103:BC108" si="265">$G103+BB103</f>
        <v>4683150.17</v>
      </c>
      <c r="BD103" s="1117">
        <f t="shared" ref="BD103:BD109" si="266">VLOOKUP($E103,BC$442:BF$453,2,FALSE)*BC103*($K103)+IF($G103&gt;0,($H103/$G103)*BC103,0)*(1-$K103)</f>
        <v>4683150.17</v>
      </c>
      <c r="BE103" s="1117">
        <f t="shared" ref="BE103:BE109" si="267">VLOOKUP($E103,BC$442:BF$453,3,FALSE)*BC103*($K103)+IF($G103&gt;0,($I103/$G103)*BC103,0)*(1-$K103)</f>
        <v>0</v>
      </c>
      <c r="BF103" s="1117">
        <f t="shared" ref="BF103:BF110" si="268">VLOOKUP($E103,BC$442:BF$453,4,FALSE)*BC103*($K103)+(BC103-BD103-BE103)*(1-$K103)</f>
        <v>0</v>
      </c>
      <c r="BG103" s="1118"/>
      <c r="BJ103" s="1154">
        <f>VLOOKUP($A103,'New Resources - Group'!$A$4:$Y$133,BJ$2,FALSE)*BJ$1</f>
        <v>0</v>
      </c>
      <c r="BK103" s="1116">
        <f t="shared" ref="BK103:BK108" si="269">$G103+BJ103</f>
        <v>4683150.17</v>
      </c>
      <c r="BL103" s="1117">
        <f t="shared" ref="BL103:BL109" si="270">VLOOKUP($E103,BK$442:BN$453,2,FALSE)*BK103*($K103)+IF($G103&gt;0,($H103/$G103)*BK103,0)*(1-$K103)</f>
        <v>4683150.17</v>
      </c>
      <c r="BM103" s="1117">
        <f t="shared" ref="BM103:BM109" si="271">VLOOKUP($E103,BK$442:BN$453,3,FALSE)*BK103*($K103)+IF($G103&gt;0,($I103/$G103)*BK103,0)*(1-$K103)</f>
        <v>0</v>
      </c>
      <c r="BN103" s="1117">
        <f t="shared" ref="BN103:BN110" si="272">VLOOKUP($E103,BK$442:BN$453,4,FALSE)*BK103*($K103)+(BK103-BL103-BM103)*(1-$K103)</f>
        <v>0</v>
      </c>
      <c r="BO103" s="1118"/>
      <c r="BR103" s="1154">
        <f>VLOOKUP($A103,'New Resources - Group'!$A$4:$Y$133,BR$2,FALSE)*BR$1</f>
        <v>0</v>
      </c>
      <c r="BS103" s="1116">
        <f t="shared" ref="BS103:BS108" si="273">$G103+BR103</f>
        <v>4683150.17</v>
      </c>
      <c r="BT103" s="1117">
        <f t="shared" ref="BT103:BT109" si="274">VLOOKUP($E103,BS$442:BV$453,2,FALSE)*BS103*($K103)+IF($G103&gt;0,($H103/$G103)*BS103,0)*(1-$K103)</f>
        <v>4683150.17</v>
      </c>
      <c r="BU103" s="1117">
        <f t="shared" ref="BU103:BU109" si="275">VLOOKUP($E103,BS$442:BV$453,3,FALSE)*BS103*($K103)+IF($G103&gt;0,($I103/$G103)*BS103,0)*(1-$K103)</f>
        <v>0</v>
      </c>
      <c r="BV103" s="1117">
        <f t="shared" ref="BV103:BV110" si="276">VLOOKUP($E103,BS$442:BV$453,4,FALSE)*BS103*($K103)+(BS103-BT103-BU103)*(1-$K103)</f>
        <v>0</v>
      </c>
      <c r="BW103" s="1118"/>
      <c r="BZ103" s="1154">
        <f>VLOOKUP($A103,'New Resources - Group'!$A$4:$Y$133,BZ$2,FALSE)*BZ$1</f>
        <v>0</v>
      </c>
      <c r="CA103" s="1116">
        <f t="shared" ref="CA103:CA108" si="277">$G103+BZ103</f>
        <v>4683150.17</v>
      </c>
      <c r="CB103" s="1117">
        <f t="shared" ref="CB103:CB109" si="278">VLOOKUP($E103,CA$442:CD$453,2,FALSE)*CA103*($K103)+IF($G103&gt;0,($H103/$G103)*CA103,0)*(1-$K103)</f>
        <v>4683150.17</v>
      </c>
      <c r="CC103" s="1117">
        <f t="shared" ref="CC103:CC109" si="279">VLOOKUP($E103,CA$442:CD$453,3,FALSE)*CA103*($K103)+IF($G103&gt;0,($I103/$G103)*CA103,0)*(1-$K103)</f>
        <v>0</v>
      </c>
      <c r="CD103" s="1117">
        <f t="shared" ref="CD103:CD110" si="280">VLOOKUP($E103,CA$442:CD$453,4,FALSE)*CA103*($K103)+(CA103-CB103-CC103)*(1-$K103)</f>
        <v>0</v>
      </c>
      <c r="CE103" s="1118"/>
      <c r="CH103" s="1154">
        <f>VLOOKUP($A103,'New Resources - Group'!$A$4:$Y$133,CH$2,FALSE)*CH$1</f>
        <v>0</v>
      </c>
      <c r="CI103" s="1116">
        <f t="shared" ref="CI103:CI108" si="281">$G103+CH103</f>
        <v>4683150.17</v>
      </c>
      <c r="CJ103" s="1117">
        <f t="shared" ref="CJ103:CJ109" si="282">VLOOKUP($E103,CI$442:CL$453,2,FALSE)*CI103*($K103)+IF($G103&gt;0,($H103/$G103)*CI103,0)*(1-$K103)</f>
        <v>4683150.17</v>
      </c>
      <c r="CK103" s="1117">
        <f t="shared" ref="CK103:CK109" si="283">VLOOKUP($E103,CI$442:CL$453,3,FALSE)*CI103*($K103)+IF($G103&gt;0,($I103/$G103)*CI103,0)*(1-$K103)</f>
        <v>0</v>
      </c>
      <c r="CL103" s="1117">
        <f t="shared" ref="CL103:CL110" si="284">VLOOKUP($E103,CI$442:CL$453,4,FALSE)*CI103*($K103)+(CI103-CJ103-CK103)*(1-$K103)</f>
        <v>0</v>
      </c>
      <c r="CM103" s="1118"/>
      <c r="CP103" s="1154">
        <f>VLOOKUP($A103,'New Resources - Group'!$A$4:$Y$133,CP$2,FALSE)*CP$1</f>
        <v>0</v>
      </c>
      <c r="CQ103" s="1116">
        <f t="shared" ref="CQ103:CQ108" si="285">$G103+CP103</f>
        <v>4683150.17</v>
      </c>
      <c r="CR103" s="1117">
        <f t="shared" ref="CR103:CR109" si="286">VLOOKUP($E103,CQ$442:CT$453,2,FALSE)*CQ103*($K103)+IF($G103&gt;0,($H103/$G103)*CQ103,0)*(1-$K103)</f>
        <v>4683150.17</v>
      </c>
      <c r="CS103" s="1117">
        <f t="shared" ref="CS103:CS109" si="287">VLOOKUP($E103,CQ$442:CT$453,3,FALSE)*CQ103*($K103)+IF($G103&gt;0,($I103/$G103)*CQ103,0)*(1-$K103)</f>
        <v>0</v>
      </c>
      <c r="CT103" s="1117">
        <f t="shared" ref="CT103:CT110" si="288">VLOOKUP($E103,CQ$442:CT$453,4,FALSE)*CQ103*($K103)+(CQ103-CR103-CS103)*(1-$K103)</f>
        <v>0</v>
      </c>
      <c r="CU103" s="1118"/>
      <c r="CX103" s="1154">
        <f>VLOOKUP($A103,'New Resources - Group'!$A$4:$Y$133,CX$2,FALSE)*CX$1</f>
        <v>0</v>
      </c>
      <c r="CY103" s="1116">
        <f t="shared" ref="CY103:CY108" si="289">$G103+CX103</f>
        <v>4683150.17</v>
      </c>
      <c r="CZ103" s="1117">
        <f t="shared" ref="CZ103:CZ109" si="290">VLOOKUP($E103,CY$442:DB$453,2,FALSE)*CY103*($K103)+IF($G103&gt;0,($H103/$G103)*CY103,0)*(1-$K103)</f>
        <v>4683150.17</v>
      </c>
      <c r="DA103" s="1117">
        <f t="shared" ref="DA103:DA109" si="291">VLOOKUP($E103,CY$442:DB$453,3,FALSE)*CY103*($K103)+IF($G103&gt;0,($I103/$G103)*CY103,0)*(1-$K103)</f>
        <v>0</v>
      </c>
      <c r="DB103" s="1117">
        <f t="shared" ref="DB103:DB110" si="292">VLOOKUP($E103,CY$442:DB$453,4,FALSE)*CY103*($K103)+(CY103-CZ103-DA103)*(1-$K103)</f>
        <v>0</v>
      </c>
      <c r="DC103" s="1118"/>
      <c r="DF103" s="1154">
        <f>VLOOKUP($A103,'New Resources - Group'!$A$4:$Y$133,DF$2,FALSE)*DF$1</f>
        <v>0</v>
      </c>
      <c r="DG103" s="1116">
        <f t="shared" ref="DG103:DG108" si="293">$G103+DF103</f>
        <v>4683150.17</v>
      </c>
      <c r="DH103" s="1117">
        <f t="shared" ref="DH103:DH109" si="294">VLOOKUP($E103,DG$442:DJ$453,2,FALSE)*DG103*($K103)+IF($G103&gt;0,($H103/$G103)*DG103,0)*(1-$K103)</f>
        <v>4683150.17</v>
      </c>
      <c r="DI103" s="1117">
        <f t="shared" ref="DI103:DI109" si="295">VLOOKUP($E103,DG$442:DJ$453,3,FALSE)*DG103*($K103)+IF($G103&gt;0,($I103/$G103)*DG103,0)*(1-$K103)</f>
        <v>0</v>
      </c>
      <c r="DJ103" s="1117">
        <f t="shared" ref="DJ103:DJ110" si="296">VLOOKUP($E103,DG$442:DJ$453,4,FALSE)*DG103*($K103)+(DG103-DH103-DI103)*(1-$K103)</f>
        <v>0</v>
      </c>
      <c r="DK103" s="1118"/>
      <c r="DN103" s="1154">
        <f>VLOOKUP($A103,'New Resources - Group'!$A$4:$Y$133,DN$2,FALSE)*DN$1</f>
        <v>0</v>
      </c>
      <c r="DO103" s="1116">
        <f t="shared" ref="DO103:DO108" si="297">$G103+DN103</f>
        <v>4683150.17</v>
      </c>
      <c r="DP103" s="1117">
        <f t="shared" ref="DP103:DP109" si="298">VLOOKUP($E103,DO$442:DR$453,2,FALSE)*DO103*($K103)+IF($G103&gt;0,($H103/$G103)*DO103,0)*(1-$K103)</f>
        <v>4683150.17</v>
      </c>
      <c r="DQ103" s="1117">
        <f t="shared" ref="DQ103:DQ109" si="299">VLOOKUP($E103,DO$442:DR$453,3,FALSE)*DO103*($K103)+IF($G103&gt;0,($I103/$G103)*DO103,0)*(1-$K103)</f>
        <v>0</v>
      </c>
      <c r="DR103" s="1117">
        <f t="shared" ref="DR103:DR110" si="300">VLOOKUP($E103,DO$442:DR$453,4,FALSE)*DO103*($K103)+(DO103-DP103-DQ103)*(1-$K103)</f>
        <v>0</v>
      </c>
      <c r="DS103" s="1118"/>
      <c r="DV103" s="1154">
        <f>VLOOKUP($A103,'New Resources - Group'!$A$4:$Y$133,DV$2,FALSE)*DV$1</f>
        <v>0</v>
      </c>
      <c r="DW103" s="1116">
        <f t="shared" ref="DW103:DW108" si="301">$G103+DV103</f>
        <v>4683150.17</v>
      </c>
      <c r="DX103" s="1117">
        <f t="shared" ref="DX103:DX109" si="302">VLOOKUP($E103,DW$442:DZ$453,2,FALSE)*DW103*($K103)+IF($G103&gt;0,($H103/$G103)*DW103,0)*(1-$K103)</f>
        <v>4683150.17</v>
      </c>
      <c r="DY103" s="1117">
        <f t="shared" ref="DY103:DY109" si="303">VLOOKUP($E103,DW$442:DZ$453,3,FALSE)*DW103*($K103)+IF($G103&gt;0,($I103/$G103)*DW103,0)*(1-$K103)</f>
        <v>0</v>
      </c>
      <c r="DZ103" s="1117">
        <f t="shared" ref="DZ103:DZ110" si="304">VLOOKUP($E103,DW$442:DZ$453,4,FALSE)*DW103*($K103)+(DW103-DX103-DY103)*(1-$K103)</f>
        <v>0</v>
      </c>
      <c r="EA103" s="1118"/>
      <c r="ED103" s="1154">
        <f>VLOOKUP($A103,'New Resources - Group'!$A$4:$Y$133,ED$2,FALSE)*ED$1</f>
        <v>0</v>
      </c>
      <c r="EE103" s="1116">
        <f t="shared" ref="EE103:EE108" si="305">$G103+ED103</f>
        <v>4683150.17</v>
      </c>
      <c r="EF103" s="1117">
        <f t="shared" ref="EF103:EF109" si="306">VLOOKUP($E103,EE$442:EH$453,2,FALSE)*EE103*($K103)+IF($G103&gt;0,($H103/$G103)*EE103,0)*(1-$K103)</f>
        <v>4683150.17</v>
      </c>
      <c r="EG103" s="1117">
        <f t="shared" ref="EG103:EG109" si="307">VLOOKUP($E103,EE$442:EH$453,3,FALSE)*EE103*($K103)+IF($G103&gt;0,($I103/$G103)*EE103,0)*(1-$K103)</f>
        <v>0</v>
      </c>
      <c r="EH103" s="1117">
        <f t="shared" ref="EH103:EH110" si="308">VLOOKUP($E103,EE$442:EH$453,4,FALSE)*EE103*($K103)+(EE103-EF103-EG103)*(1-$K103)</f>
        <v>0</v>
      </c>
      <c r="EI103" s="1118"/>
      <c r="EL103" s="1154">
        <f>VLOOKUP($A103,'New Resources - Group'!$A$4:$Y$133,EL$2,FALSE)*EL$1</f>
        <v>0</v>
      </c>
      <c r="EM103" s="1116">
        <f t="shared" ref="EM103:EM108" si="309">$G103+EL103</f>
        <v>4683150.17</v>
      </c>
      <c r="EN103" s="1117">
        <f t="shared" ref="EN103:EN109" si="310">VLOOKUP($E103,EM$442:EP$453,2,FALSE)*EM103*($K103)+IF($G103&gt;0,($H103/$G103)*EM103,0)*(1-$K103)</f>
        <v>4683150.17</v>
      </c>
      <c r="EO103" s="1117">
        <f t="shared" ref="EO103:EO109" si="311">VLOOKUP($E103,EM$442:EP$453,3,FALSE)*EM103*($K103)+IF($G103&gt;0,($I103/$G103)*EM103,0)*(1-$K103)</f>
        <v>0</v>
      </c>
      <c r="EP103" s="1117">
        <f t="shared" ref="EP103:EP110" si="312">VLOOKUP($E103,EM$442:EP$453,4,FALSE)*EM103*($K103)+(EM103-EN103-EO103)*(1-$K103)</f>
        <v>0</v>
      </c>
      <c r="EQ103" s="1118"/>
      <c r="ET103" s="1154">
        <f>VLOOKUP($A103,'New Resources - Group'!$A$4:$Y$133,ET$2,FALSE)*ET$1</f>
        <v>0</v>
      </c>
      <c r="EU103" s="1116">
        <f t="shared" ref="EU103:EU108" si="313">$G103+ET103</f>
        <v>4683150.17</v>
      </c>
      <c r="EV103" s="1117">
        <f t="shared" ref="EV103:EV109" si="314">VLOOKUP($E103,EU$442:EX$453,2,FALSE)*EU103*($K103)+IF($G103&gt;0,($H103/$G103)*EU103,0)*(1-$K103)</f>
        <v>4683150.17</v>
      </c>
      <c r="EW103" s="1117">
        <f t="shared" ref="EW103:EW109" si="315">VLOOKUP($E103,EU$442:EX$453,3,FALSE)*EU103*($K103)+IF($G103&gt;0,($I103/$G103)*EU103,0)*(1-$K103)</f>
        <v>0</v>
      </c>
      <c r="EX103" s="1117">
        <f t="shared" ref="EX103:EX110" si="316">VLOOKUP($E103,EU$442:EX$453,4,FALSE)*EU103*($K103)+(EU103-EV103-EW103)*(1-$K103)</f>
        <v>0</v>
      </c>
      <c r="EY103" s="1118"/>
      <c r="FB103" s="1154">
        <f>VLOOKUP($A103,'New Resources - Group'!$A$4:$Y$133,FB$2,FALSE)*FB$1</f>
        <v>0</v>
      </c>
      <c r="FC103" s="1116">
        <f t="shared" ref="FC103:FC108" si="317">$G103+FB103</f>
        <v>4683150.17</v>
      </c>
      <c r="FD103" s="1117">
        <f t="shared" ref="FD103:FD109" si="318">VLOOKUP($E103,FC$442:FF$453,2,FALSE)*FC103*($K103)+IF($G103&gt;0,($H103/$G103)*FC103,0)*(1-$K103)</f>
        <v>4683150.17</v>
      </c>
      <c r="FE103" s="1117">
        <f t="shared" ref="FE103:FE109" si="319">VLOOKUP($E103,FC$442:FF$453,3,FALSE)*FC103*($K103)+IF($G103&gt;0,($I103/$G103)*FC103,0)*(1-$K103)</f>
        <v>0</v>
      </c>
      <c r="FF103" s="1117">
        <f t="shared" ref="FF103:FF110" si="320">VLOOKUP($E103,FC$442:FF$453,4,FALSE)*FC103*($K103)+(FC103-FD103-FE103)*(1-$K103)</f>
        <v>0</v>
      </c>
      <c r="FG103" s="1118"/>
      <c r="FJ103" s="1154">
        <f>VLOOKUP($A103,'New Resources - Group'!$A$4:$Y$133,FJ$2,FALSE)*FJ$1</f>
        <v>0</v>
      </c>
      <c r="FK103" s="1116">
        <f t="shared" ref="FK103:FK108" si="321">$G103+FJ103</f>
        <v>4683150.17</v>
      </c>
      <c r="FL103" s="1117">
        <f t="shared" ref="FL103:FL109" si="322">VLOOKUP($E103,FK$442:FN$453,2,FALSE)*FK103*($K103)+IF($G103&gt;0,($H103/$G103)*FK103,0)*(1-$K103)</f>
        <v>4683150.17</v>
      </c>
      <c r="FM103" s="1117">
        <f t="shared" ref="FM103:FM109" si="323">VLOOKUP($E103,FK$442:FN$453,3,FALSE)*FK103*($K103)+IF($G103&gt;0,($I103/$G103)*FK103,0)*(1-$K103)</f>
        <v>0</v>
      </c>
      <c r="FN103" s="1117">
        <f t="shared" ref="FN103:FN110" si="324">VLOOKUP($E103,FK$442:FN$453,4,FALSE)*FK103*($K103)+(FK103-FL103-FM103)*(1-$K103)</f>
        <v>0</v>
      </c>
      <c r="FO103" s="1118"/>
    </row>
    <row r="104" spans="1:171">
      <c r="A104" s="1445"/>
      <c r="B104" s="79" t="s">
        <v>7</v>
      </c>
      <c r="C104" s="888" t="s">
        <v>78</v>
      </c>
      <c r="D104" s="888">
        <v>152</v>
      </c>
      <c r="E104" s="182" t="str">
        <f>'Sch 1- Rate Base '!E104</f>
        <v>PROD</v>
      </c>
      <c r="F104" s="889"/>
      <c r="G104" s="182">
        <f>'Sch 1- Rate Base '!G104</f>
        <v>0</v>
      </c>
      <c r="H104" s="182">
        <f>'Sch 1- Rate Base '!H104</f>
        <v>0</v>
      </c>
      <c r="I104" s="182">
        <f>'Sch 1- Rate Base '!I104</f>
        <v>0</v>
      </c>
      <c r="J104" s="1424">
        <f>'Sch 1- Rate Base '!J104</f>
        <v>0</v>
      </c>
      <c r="K104" s="903">
        <f t="shared" si="244"/>
        <v>1</v>
      </c>
      <c r="N104" s="1116"/>
      <c r="O104" s="1116">
        <f t="shared" si="245"/>
        <v>0</v>
      </c>
      <c r="P104" s="1117">
        <f t="shared" si="246"/>
        <v>0</v>
      </c>
      <c r="Q104" s="1117">
        <f t="shared" si="247"/>
        <v>0</v>
      </c>
      <c r="R104" s="1117">
        <f t="shared" si="248"/>
        <v>0</v>
      </c>
      <c r="S104" s="1118"/>
      <c r="V104" s="1116"/>
      <c r="W104" s="1116">
        <f t="shared" si="249"/>
        <v>0</v>
      </c>
      <c r="X104" s="1117">
        <f t="shared" si="250"/>
        <v>0</v>
      </c>
      <c r="Y104" s="1117">
        <f t="shared" si="251"/>
        <v>0</v>
      </c>
      <c r="Z104" s="1117">
        <f t="shared" si="252"/>
        <v>0</v>
      </c>
      <c r="AA104" s="1118"/>
      <c r="AD104" s="1116"/>
      <c r="AE104" s="1116">
        <f t="shared" si="253"/>
        <v>0</v>
      </c>
      <c r="AF104" s="1117">
        <f t="shared" si="254"/>
        <v>0</v>
      </c>
      <c r="AG104" s="1117">
        <f t="shared" si="255"/>
        <v>0</v>
      </c>
      <c r="AH104" s="1117">
        <f t="shared" si="256"/>
        <v>0</v>
      </c>
      <c r="AI104" s="1118"/>
      <c r="AL104" s="1116"/>
      <c r="AM104" s="1116">
        <f t="shared" si="257"/>
        <v>0</v>
      </c>
      <c r="AN104" s="1117">
        <f t="shared" si="258"/>
        <v>0</v>
      </c>
      <c r="AO104" s="1117">
        <f t="shared" si="259"/>
        <v>0</v>
      </c>
      <c r="AP104" s="1117">
        <f t="shared" si="260"/>
        <v>0</v>
      </c>
      <c r="AQ104" s="1118"/>
      <c r="AT104" s="1116"/>
      <c r="AU104" s="1116">
        <f t="shared" si="261"/>
        <v>0</v>
      </c>
      <c r="AV104" s="1117">
        <f t="shared" si="262"/>
        <v>0</v>
      </c>
      <c r="AW104" s="1117">
        <f t="shared" si="263"/>
        <v>0</v>
      </c>
      <c r="AX104" s="1117">
        <f t="shared" si="264"/>
        <v>0</v>
      </c>
      <c r="AY104" s="1118"/>
      <c r="BB104" s="1116"/>
      <c r="BC104" s="1116">
        <f t="shared" si="265"/>
        <v>0</v>
      </c>
      <c r="BD104" s="1117">
        <f t="shared" si="266"/>
        <v>0</v>
      </c>
      <c r="BE104" s="1117">
        <f t="shared" si="267"/>
        <v>0</v>
      </c>
      <c r="BF104" s="1117">
        <f t="shared" si="268"/>
        <v>0</v>
      </c>
      <c r="BG104" s="1118"/>
      <c r="BJ104" s="1116"/>
      <c r="BK104" s="1116">
        <f t="shared" si="269"/>
        <v>0</v>
      </c>
      <c r="BL104" s="1117">
        <f t="shared" si="270"/>
        <v>0</v>
      </c>
      <c r="BM104" s="1117">
        <f t="shared" si="271"/>
        <v>0</v>
      </c>
      <c r="BN104" s="1117">
        <f t="shared" si="272"/>
        <v>0</v>
      </c>
      <c r="BO104" s="1118"/>
      <c r="BR104" s="1116"/>
      <c r="BS104" s="1116">
        <f t="shared" si="273"/>
        <v>0</v>
      </c>
      <c r="BT104" s="1117">
        <f t="shared" si="274"/>
        <v>0</v>
      </c>
      <c r="BU104" s="1117">
        <f t="shared" si="275"/>
        <v>0</v>
      </c>
      <c r="BV104" s="1117">
        <f t="shared" si="276"/>
        <v>0</v>
      </c>
      <c r="BW104" s="1118"/>
      <c r="BZ104" s="1116"/>
      <c r="CA104" s="1116">
        <f t="shared" si="277"/>
        <v>0</v>
      </c>
      <c r="CB104" s="1117">
        <f t="shared" si="278"/>
        <v>0</v>
      </c>
      <c r="CC104" s="1117">
        <f t="shared" si="279"/>
        <v>0</v>
      </c>
      <c r="CD104" s="1117">
        <f t="shared" si="280"/>
        <v>0</v>
      </c>
      <c r="CE104" s="1118"/>
      <c r="CH104" s="1116"/>
      <c r="CI104" s="1116">
        <f t="shared" si="281"/>
        <v>0</v>
      </c>
      <c r="CJ104" s="1117">
        <f t="shared" si="282"/>
        <v>0</v>
      </c>
      <c r="CK104" s="1117">
        <f t="shared" si="283"/>
        <v>0</v>
      </c>
      <c r="CL104" s="1117">
        <f t="shared" si="284"/>
        <v>0</v>
      </c>
      <c r="CM104" s="1118"/>
      <c r="CP104" s="1116"/>
      <c r="CQ104" s="1116">
        <f t="shared" si="285"/>
        <v>0</v>
      </c>
      <c r="CR104" s="1117">
        <f t="shared" si="286"/>
        <v>0</v>
      </c>
      <c r="CS104" s="1117">
        <f t="shared" si="287"/>
        <v>0</v>
      </c>
      <c r="CT104" s="1117">
        <f t="shared" si="288"/>
        <v>0</v>
      </c>
      <c r="CU104" s="1118"/>
      <c r="CX104" s="1116"/>
      <c r="CY104" s="1116">
        <f t="shared" si="289"/>
        <v>0</v>
      </c>
      <c r="CZ104" s="1117">
        <f t="shared" si="290"/>
        <v>0</v>
      </c>
      <c r="DA104" s="1117">
        <f t="shared" si="291"/>
        <v>0</v>
      </c>
      <c r="DB104" s="1117">
        <f t="shared" si="292"/>
        <v>0</v>
      </c>
      <c r="DC104" s="1118"/>
      <c r="DF104" s="1116"/>
      <c r="DG104" s="1116">
        <f t="shared" si="293"/>
        <v>0</v>
      </c>
      <c r="DH104" s="1117">
        <f t="shared" si="294"/>
        <v>0</v>
      </c>
      <c r="DI104" s="1117">
        <f t="shared" si="295"/>
        <v>0</v>
      </c>
      <c r="DJ104" s="1117">
        <f t="shared" si="296"/>
        <v>0</v>
      </c>
      <c r="DK104" s="1118"/>
      <c r="DN104" s="1116"/>
      <c r="DO104" s="1116">
        <f t="shared" si="297"/>
        <v>0</v>
      </c>
      <c r="DP104" s="1117">
        <f t="shared" si="298"/>
        <v>0</v>
      </c>
      <c r="DQ104" s="1117">
        <f t="shared" si="299"/>
        <v>0</v>
      </c>
      <c r="DR104" s="1117">
        <f t="shared" si="300"/>
        <v>0</v>
      </c>
      <c r="DS104" s="1118"/>
      <c r="DV104" s="1116"/>
      <c r="DW104" s="1116">
        <f t="shared" si="301"/>
        <v>0</v>
      </c>
      <c r="DX104" s="1117">
        <f t="shared" si="302"/>
        <v>0</v>
      </c>
      <c r="DY104" s="1117">
        <f t="shared" si="303"/>
        <v>0</v>
      </c>
      <c r="DZ104" s="1117">
        <f t="shared" si="304"/>
        <v>0</v>
      </c>
      <c r="EA104" s="1118"/>
      <c r="ED104" s="1116"/>
      <c r="EE104" s="1116">
        <f t="shared" si="305"/>
        <v>0</v>
      </c>
      <c r="EF104" s="1117">
        <f t="shared" si="306"/>
        <v>0</v>
      </c>
      <c r="EG104" s="1117">
        <f t="shared" si="307"/>
        <v>0</v>
      </c>
      <c r="EH104" s="1117">
        <f t="shared" si="308"/>
        <v>0</v>
      </c>
      <c r="EI104" s="1118"/>
      <c r="EL104" s="1116"/>
      <c r="EM104" s="1116">
        <f t="shared" si="309"/>
        <v>0</v>
      </c>
      <c r="EN104" s="1117">
        <f t="shared" si="310"/>
        <v>0</v>
      </c>
      <c r="EO104" s="1117">
        <f t="shared" si="311"/>
        <v>0</v>
      </c>
      <c r="EP104" s="1117">
        <f t="shared" si="312"/>
        <v>0</v>
      </c>
      <c r="EQ104" s="1118"/>
      <c r="ET104" s="1116"/>
      <c r="EU104" s="1116">
        <f t="shared" si="313"/>
        <v>0</v>
      </c>
      <c r="EV104" s="1117">
        <f t="shared" si="314"/>
        <v>0</v>
      </c>
      <c r="EW104" s="1117">
        <f t="shared" si="315"/>
        <v>0</v>
      </c>
      <c r="EX104" s="1117">
        <f t="shared" si="316"/>
        <v>0</v>
      </c>
      <c r="EY104" s="1118"/>
      <c r="FB104" s="1116"/>
      <c r="FC104" s="1116">
        <f t="shared" si="317"/>
        <v>0</v>
      </c>
      <c r="FD104" s="1117">
        <f t="shared" si="318"/>
        <v>0</v>
      </c>
      <c r="FE104" s="1117">
        <f t="shared" si="319"/>
        <v>0</v>
      </c>
      <c r="FF104" s="1117">
        <f t="shared" si="320"/>
        <v>0</v>
      </c>
      <c r="FG104" s="1118"/>
      <c r="FJ104" s="1116"/>
      <c r="FK104" s="1116">
        <f t="shared" si="321"/>
        <v>0</v>
      </c>
      <c r="FL104" s="1117">
        <f t="shared" si="322"/>
        <v>0</v>
      </c>
      <c r="FM104" s="1117">
        <f t="shared" si="323"/>
        <v>0</v>
      </c>
      <c r="FN104" s="1117">
        <f t="shared" si="324"/>
        <v>0</v>
      </c>
      <c r="FO104" s="1118"/>
    </row>
    <row r="105" spans="1:171">
      <c r="A105" s="1444">
        <v>92000</v>
      </c>
      <c r="B105" s="10" t="s">
        <v>79</v>
      </c>
      <c r="C105" s="888" t="s">
        <v>78</v>
      </c>
      <c r="D105" s="888">
        <v>154</v>
      </c>
      <c r="E105" s="182" t="str">
        <f>'Sch 1- Rate Base '!E105</f>
        <v>PTD</v>
      </c>
      <c r="F105" s="889"/>
      <c r="G105" s="182">
        <f>'Sch 1- Rate Base '!G105</f>
        <v>79492527.939999998</v>
      </c>
      <c r="H105" s="182">
        <f>'Sch 1- Rate Base '!H105</f>
        <v>25259610.746624589</v>
      </c>
      <c r="I105" s="182">
        <f>'Sch 1- Rate Base '!I105</f>
        <v>0</v>
      </c>
      <c r="J105" s="1424">
        <f>'Sch 1- Rate Base '!J105</f>
        <v>54232917.193375401</v>
      </c>
      <c r="K105" s="903">
        <f t="shared" si="244"/>
        <v>1</v>
      </c>
      <c r="N105" s="1154">
        <f>VLOOKUP($A105,'New Resources - Group'!$A$4:$Y$133,N$2,FALSE)*N$1</f>
        <v>0</v>
      </c>
      <c r="O105" s="1116">
        <f t="shared" si="245"/>
        <v>79492527.939999998</v>
      </c>
      <c r="P105" s="1117">
        <f t="shared" si="246"/>
        <v>25259610.746624589</v>
      </c>
      <c r="Q105" s="1117">
        <f t="shared" si="247"/>
        <v>16554910.044824857</v>
      </c>
      <c r="R105" s="1117">
        <f t="shared" si="248"/>
        <v>37678007.148550555</v>
      </c>
      <c r="S105" s="1118"/>
      <c r="V105" s="1154">
        <f>VLOOKUP($A105,'New Resources - Group'!$A$4:$Y$133,V$2,FALSE)*V$1</f>
        <v>0</v>
      </c>
      <c r="W105" s="1116">
        <f t="shared" si="249"/>
        <v>79492527.939999998</v>
      </c>
      <c r="X105" s="1117">
        <f t="shared" si="250"/>
        <v>25259610.746624589</v>
      </c>
      <c r="Y105" s="1117">
        <f t="shared" si="251"/>
        <v>16554910.044824857</v>
      </c>
      <c r="Z105" s="1117">
        <f t="shared" si="252"/>
        <v>37678007.148550555</v>
      </c>
      <c r="AA105" s="1118"/>
      <c r="AD105" s="1154">
        <f>VLOOKUP($A105,'New Resources - Group'!$A$4:$Y$133,AD$2,FALSE)*AD$1</f>
        <v>0</v>
      </c>
      <c r="AE105" s="1116">
        <f t="shared" si="253"/>
        <v>79492527.939999998</v>
      </c>
      <c r="AF105" s="1117">
        <f t="shared" si="254"/>
        <v>25259610.746624589</v>
      </c>
      <c r="AG105" s="1117">
        <f t="shared" si="255"/>
        <v>16554910.044824857</v>
      </c>
      <c r="AH105" s="1117">
        <f t="shared" si="256"/>
        <v>37678007.148550555</v>
      </c>
      <c r="AI105" s="1118"/>
      <c r="AL105" s="1154">
        <f>VLOOKUP($A105,'New Resources - Group'!$A$4:$Y$133,AL$2,FALSE)*AL$1</f>
        <v>0</v>
      </c>
      <c r="AM105" s="1116">
        <f t="shared" si="257"/>
        <v>79492527.939999998</v>
      </c>
      <c r="AN105" s="1117">
        <f t="shared" si="258"/>
        <v>25259610.746624589</v>
      </c>
      <c r="AO105" s="1117">
        <f t="shared" si="259"/>
        <v>16554910.044824857</v>
      </c>
      <c r="AP105" s="1117">
        <f t="shared" si="260"/>
        <v>37678007.148550555</v>
      </c>
      <c r="AQ105" s="1118"/>
      <c r="AT105" s="1154">
        <f>VLOOKUP($A105,'New Resources - Group'!$A$4:$Y$133,AT$2,FALSE)*AT$1</f>
        <v>0</v>
      </c>
      <c r="AU105" s="1116">
        <f t="shared" si="261"/>
        <v>79492527.939999998</v>
      </c>
      <c r="AV105" s="1117">
        <f t="shared" si="262"/>
        <v>25259610.746624589</v>
      </c>
      <c r="AW105" s="1117">
        <f t="shared" si="263"/>
        <v>16554910.044824857</v>
      </c>
      <c r="AX105" s="1117">
        <f t="shared" si="264"/>
        <v>37678007.148550555</v>
      </c>
      <c r="AY105" s="1118"/>
      <c r="BB105" s="1154">
        <f>VLOOKUP($A105,'New Resources - Group'!$A$4:$Y$133,BB$2,FALSE)*BB$1</f>
        <v>0</v>
      </c>
      <c r="BC105" s="1116">
        <f t="shared" si="265"/>
        <v>79492527.939999998</v>
      </c>
      <c r="BD105" s="1117">
        <f t="shared" si="266"/>
        <v>25259610.746624589</v>
      </c>
      <c r="BE105" s="1117">
        <f t="shared" si="267"/>
        <v>16554910.044824857</v>
      </c>
      <c r="BF105" s="1117">
        <f t="shared" si="268"/>
        <v>37678007.148550555</v>
      </c>
      <c r="BG105" s="1118"/>
      <c r="BJ105" s="1154">
        <f>VLOOKUP($A105,'New Resources - Group'!$A$4:$Y$133,BJ$2,FALSE)*BJ$1</f>
        <v>0</v>
      </c>
      <c r="BK105" s="1116">
        <f t="shared" si="269"/>
        <v>79492527.939999998</v>
      </c>
      <c r="BL105" s="1117">
        <f t="shared" si="270"/>
        <v>25259610.746624589</v>
      </c>
      <c r="BM105" s="1117">
        <f t="shared" si="271"/>
        <v>16554910.044824857</v>
      </c>
      <c r="BN105" s="1117">
        <f t="shared" si="272"/>
        <v>37678007.148550555</v>
      </c>
      <c r="BO105" s="1118"/>
      <c r="BR105" s="1154">
        <f>VLOOKUP($A105,'New Resources - Group'!$A$4:$Y$133,BR$2,FALSE)*BR$1</f>
        <v>0</v>
      </c>
      <c r="BS105" s="1116">
        <f t="shared" si="273"/>
        <v>79492527.939999998</v>
      </c>
      <c r="BT105" s="1117">
        <f t="shared" si="274"/>
        <v>25259610.746624589</v>
      </c>
      <c r="BU105" s="1117">
        <f t="shared" si="275"/>
        <v>16554910.044824857</v>
      </c>
      <c r="BV105" s="1117">
        <f t="shared" si="276"/>
        <v>37678007.148550555</v>
      </c>
      <c r="BW105" s="1118"/>
      <c r="BZ105" s="1154">
        <f>VLOOKUP($A105,'New Resources - Group'!$A$4:$Y$133,BZ$2,FALSE)*BZ$1</f>
        <v>0</v>
      </c>
      <c r="CA105" s="1116">
        <f t="shared" si="277"/>
        <v>79492527.939999998</v>
      </c>
      <c r="CB105" s="1117">
        <f t="shared" si="278"/>
        <v>25259610.746624589</v>
      </c>
      <c r="CC105" s="1117">
        <f t="shared" si="279"/>
        <v>16554910.044824857</v>
      </c>
      <c r="CD105" s="1117">
        <f t="shared" si="280"/>
        <v>37678007.148550555</v>
      </c>
      <c r="CE105" s="1118"/>
      <c r="CH105" s="1154">
        <f>VLOOKUP($A105,'New Resources - Group'!$A$4:$Y$133,CH$2,FALSE)*CH$1</f>
        <v>0</v>
      </c>
      <c r="CI105" s="1116">
        <f t="shared" si="281"/>
        <v>79492527.939999998</v>
      </c>
      <c r="CJ105" s="1117">
        <f t="shared" si="282"/>
        <v>25259610.746624589</v>
      </c>
      <c r="CK105" s="1117">
        <f t="shared" si="283"/>
        <v>16554910.044824857</v>
      </c>
      <c r="CL105" s="1117">
        <f t="shared" si="284"/>
        <v>37678007.148550555</v>
      </c>
      <c r="CM105" s="1118"/>
      <c r="CP105" s="1154">
        <f>VLOOKUP($A105,'New Resources - Group'!$A$4:$Y$133,CP$2,FALSE)*CP$1</f>
        <v>0</v>
      </c>
      <c r="CQ105" s="1116">
        <f t="shared" si="285"/>
        <v>79492527.939999998</v>
      </c>
      <c r="CR105" s="1117">
        <f t="shared" si="286"/>
        <v>25259610.746624589</v>
      </c>
      <c r="CS105" s="1117">
        <f t="shared" si="287"/>
        <v>16554910.044824857</v>
      </c>
      <c r="CT105" s="1117">
        <f t="shared" si="288"/>
        <v>37678007.148550555</v>
      </c>
      <c r="CU105" s="1118"/>
      <c r="CX105" s="1154">
        <f>VLOOKUP($A105,'New Resources - Group'!$A$4:$Y$133,CX$2,FALSE)*CX$1</f>
        <v>0</v>
      </c>
      <c r="CY105" s="1116">
        <f t="shared" si="289"/>
        <v>79492527.939999998</v>
      </c>
      <c r="CZ105" s="1117">
        <f t="shared" si="290"/>
        <v>25259610.746624589</v>
      </c>
      <c r="DA105" s="1117">
        <f t="shared" si="291"/>
        <v>16554910.044824857</v>
      </c>
      <c r="DB105" s="1117">
        <f t="shared" si="292"/>
        <v>37678007.148550555</v>
      </c>
      <c r="DC105" s="1118"/>
      <c r="DF105" s="1154">
        <f>VLOOKUP($A105,'New Resources - Group'!$A$4:$Y$133,DF$2,FALSE)*DF$1</f>
        <v>0</v>
      </c>
      <c r="DG105" s="1116">
        <f t="shared" si="293"/>
        <v>79492527.939999998</v>
      </c>
      <c r="DH105" s="1117">
        <f t="shared" si="294"/>
        <v>25259610.746624589</v>
      </c>
      <c r="DI105" s="1117">
        <f t="shared" si="295"/>
        <v>16554910.044824857</v>
      </c>
      <c r="DJ105" s="1117">
        <f t="shared" si="296"/>
        <v>37678007.148550555</v>
      </c>
      <c r="DK105" s="1118"/>
      <c r="DN105" s="1154">
        <f>VLOOKUP($A105,'New Resources - Group'!$A$4:$Y$133,DN$2,FALSE)*DN$1</f>
        <v>0</v>
      </c>
      <c r="DO105" s="1116">
        <f t="shared" si="297"/>
        <v>79492527.939999998</v>
      </c>
      <c r="DP105" s="1117">
        <f t="shared" si="298"/>
        <v>25259610.746624589</v>
      </c>
      <c r="DQ105" s="1117">
        <f t="shared" si="299"/>
        <v>16554910.044824857</v>
      </c>
      <c r="DR105" s="1117">
        <f t="shared" si="300"/>
        <v>37678007.148550555</v>
      </c>
      <c r="DS105" s="1118"/>
      <c r="DV105" s="1154">
        <f>VLOOKUP($A105,'New Resources - Group'!$A$4:$Y$133,DV$2,FALSE)*DV$1</f>
        <v>0</v>
      </c>
      <c r="DW105" s="1116">
        <f t="shared" si="301"/>
        <v>79492527.939999998</v>
      </c>
      <c r="DX105" s="1117">
        <f t="shared" si="302"/>
        <v>25259610.746624589</v>
      </c>
      <c r="DY105" s="1117">
        <f t="shared" si="303"/>
        <v>16554910.044824857</v>
      </c>
      <c r="DZ105" s="1117">
        <f t="shared" si="304"/>
        <v>37678007.148550555</v>
      </c>
      <c r="EA105" s="1118"/>
      <c r="ED105" s="1154">
        <f>VLOOKUP($A105,'New Resources - Group'!$A$4:$Y$133,ED$2,FALSE)*ED$1</f>
        <v>0</v>
      </c>
      <c r="EE105" s="1116">
        <f t="shared" si="305"/>
        <v>79492527.939999998</v>
      </c>
      <c r="EF105" s="1117">
        <f t="shared" si="306"/>
        <v>25259610.746624589</v>
      </c>
      <c r="EG105" s="1117">
        <f t="shared" si="307"/>
        <v>16554910.044824857</v>
      </c>
      <c r="EH105" s="1117">
        <f t="shared" si="308"/>
        <v>37678007.148550555</v>
      </c>
      <c r="EI105" s="1118"/>
      <c r="EL105" s="1154">
        <f>VLOOKUP($A105,'New Resources - Group'!$A$4:$Y$133,EL$2,FALSE)*EL$1</f>
        <v>0</v>
      </c>
      <c r="EM105" s="1116">
        <f t="shared" si="309"/>
        <v>79492527.939999998</v>
      </c>
      <c r="EN105" s="1117">
        <f t="shared" si="310"/>
        <v>25259610.746624589</v>
      </c>
      <c r="EO105" s="1117">
        <f t="shared" si="311"/>
        <v>16554910.044824857</v>
      </c>
      <c r="EP105" s="1117">
        <f t="shared" si="312"/>
        <v>37678007.148550555</v>
      </c>
      <c r="EQ105" s="1118"/>
      <c r="ET105" s="1154">
        <f>VLOOKUP($A105,'New Resources - Group'!$A$4:$Y$133,ET$2,FALSE)*ET$1</f>
        <v>0</v>
      </c>
      <c r="EU105" s="1116">
        <f t="shared" si="313"/>
        <v>79492527.939999998</v>
      </c>
      <c r="EV105" s="1117">
        <f t="shared" si="314"/>
        <v>25259610.746624589</v>
      </c>
      <c r="EW105" s="1117">
        <f t="shared" si="315"/>
        <v>16554910.044824857</v>
      </c>
      <c r="EX105" s="1117">
        <f t="shared" si="316"/>
        <v>37678007.148550555</v>
      </c>
      <c r="EY105" s="1118"/>
      <c r="FB105" s="1154">
        <f>VLOOKUP($A105,'New Resources - Group'!$A$4:$Y$133,FB$2,FALSE)*FB$1</f>
        <v>0</v>
      </c>
      <c r="FC105" s="1116">
        <f t="shared" si="317"/>
        <v>79492527.939999998</v>
      </c>
      <c r="FD105" s="1117">
        <f t="shared" si="318"/>
        <v>25259610.746624589</v>
      </c>
      <c r="FE105" s="1117">
        <f t="shared" si="319"/>
        <v>16554910.044824857</v>
      </c>
      <c r="FF105" s="1117">
        <f t="shared" si="320"/>
        <v>37678007.148550555</v>
      </c>
      <c r="FG105" s="1118"/>
      <c r="FJ105" s="1154">
        <f>VLOOKUP($A105,'New Resources - Group'!$A$4:$Y$133,FJ$2,FALSE)*FJ$1</f>
        <v>0</v>
      </c>
      <c r="FK105" s="1116">
        <f t="shared" si="321"/>
        <v>79492527.939999998</v>
      </c>
      <c r="FL105" s="1117">
        <f t="shared" si="322"/>
        <v>25259610.746624589</v>
      </c>
      <c r="FM105" s="1117">
        <f t="shared" si="323"/>
        <v>16554910.044824857</v>
      </c>
      <c r="FN105" s="1117">
        <f t="shared" si="324"/>
        <v>37678007.148550555</v>
      </c>
      <c r="FO105" s="1118"/>
    </row>
    <row r="106" spans="1:171">
      <c r="A106" s="1445"/>
      <c r="B106" s="10" t="s">
        <v>355</v>
      </c>
      <c r="C106" s="888" t="s">
        <v>255</v>
      </c>
      <c r="D106" s="888">
        <v>155</v>
      </c>
      <c r="E106" s="182" t="str">
        <f>'Sch 1- Rate Base '!E106</f>
        <v>DIST</v>
      </c>
      <c r="F106" s="889"/>
      <c r="G106" s="182">
        <f>'Sch 1- Rate Base '!G106</f>
        <v>0</v>
      </c>
      <c r="H106" s="182">
        <f>'Sch 1- Rate Base '!H106</f>
        <v>0</v>
      </c>
      <c r="I106" s="182">
        <f>'Sch 1- Rate Base '!I106</f>
        <v>0</v>
      </c>
      <c r="J106" s="1424">
        <f>'Sch 1- Rate Base '!J106</f>
        <v>0</v>
      </c>
      <c r="K106" s="903">
        <f t="shared" si="244"/>
        <v>1</v>
      </c>
      <c r="N106" s="1116"/>
      <c r="O106" s="1116">
        <f t="shared" si="245"/>
        <v>0</v>
      </c>
      <c r="P106" s="1117">
        <f t="shared" si="246"/>
        <v>0</v>
      </c>
      <c r="Q106" s="1117">
        <f t="shared" si="247"/>
        <v>0</v>
      </c>
      <c r="R106" s="1117">
        <f t="shared" si="248"/>
        <v>0</v>
      </c>
      <c r="S106" s="1118"/>
      <c r="V106" s="1116"/>
      <c r="W106" s="1116">
        <f t="shared" si="249"/>
        <v>0</v>
      </c>
      <c r="X106" s="1117">
        <f t="shared" si="250"/>
        <v>0</v>
      </c>
      <c r="Y106" s="1117">
        <f t="shared" si="251"/>
        <v>0</v>
      </c>
      <c r="Z106" s="1117">
        <f t="shared" si="252"/>
        <v>0</v>
      </c>
      <c r="AA106" s="1118"/>
      <c r="AD106" s="1116"/>
      <c r="AE106" s="1116">
        <f t="shared" si="253"/>
        <v>0</v>
      </c>
      <c r="AF106" s="1117">
        <f t="shared" si="254"/>
        <v>0</v>
      </c>
      <c r="AG106" s="1117">
        <f t="shared" si="255"/>
        <v>0</v>
      </c>
      <c r="AH106" s="1117">
        <f t="shared" si="256"/>
        <v>0</v>
      </c>
      <c r="AI106" s="1118"/>
      <c r="AL106" s="1116"/>
      <c r="AM106" s="1116">
        <f t="shared" si="257"/>
        <v>0</v>
      </c>
      <c r="AN106" s="1117">
        <f t="shared" si="258"/>
        <v>0</v>
      </c>
      <c r="AO106" s="1117">
        <f t="shared" si="259"/>
        <v>0</v>
      </c>
      <c r="AP106" s="1117">
        <f t="shared" si="260"/>
        <v>0</v>
      </c>
      <c r="AQ106" s="1118"/>
      <c r="AT106" s="1116"/>
      <c r="AU106" s="1116">
        <f t="shared" si="261"/>
        <v>0</v>
      </c>
      <c r="AV106" s="1117">
        <f t="shared" si="262"/>
        <v>0</v>
      </c>
      <c r="AW106" s="1117">
        <f t="shared" si="263"/>
        <v>0</v>
      </c>
      <c r="AX106" s="1117">
        <f t="shared" si="264"/>
        <v>0</v>
      </c>
      <c r="AY106" s="1118"/>
      <c r="BB106" s="1116"/>
      <c r="BC106" s="1116">
        <f t="shared" si="265"/>
        <v>0</v>
      </c>
      <c r="BD106" s="1117">
        <f t="shared" si="266"/>
        <v>0</v>
      </c>
      <c r="BE106" s="1117">
        <f t="shared" si="267"/>
        <v>0</v>
      </c>
      <c r="BF106" s="1117">
        <f t="shared" si="268"/>
        <v>0</v>
      </c>
      <c r="BG106" s="1118"/>
      <c r="BJ106" s="1116"/>
      <c r="BK106" s="1116">
        <f t="shared" si="269"/>
        <v>0</v>
      </c>
      <c r="BL106" s="1117">
        <f t="shared" si="270"/>
        <v>0</v>
      </c>
      <c r="BM106" s="1117">
        <f t="shared" si="271"/>
        <v>0</v>
      </c>
      <c r="BN106" s="1117">
        <f t="shared" si="272"/>
        <v>0</v>
      </c>
      <c r="BO106" s="1118"/>
      <c r="BR106" s="1116"/>
      <c r="BS106" s="1116">
        <f t="shared" si="273"/>
        <v>0</v>
      </c>
      <c r="BT106" s="1117">
        <f t="shared" si="274"/>
        <v>0</v>
      </c>
      <c r="BU106" s="1117">
        <f t="shared" si="275"/>
        <v>0</v>
      </c>
      <c r="BV106" s="1117">
        <f t="shared" si="276"/>
        <v>0</v>
      </c>
      <c r="BW106" s="1118"/>
      <c r="BZ106" s="1116"/>
      <c r="CA106" s="1116">
        <f t="shared" si="277"/>
        <v>0</v>
      </c>
      <c r="CB106" s="1117">
        <f t="shared" si="278"/>
        <v>0</v>
      </c>
      <c r="CC106" s="1117">
        <f t="shared" si="279"/>
        <v>0</v>
      </c>
      <c r="CD106" s="1117">
        <f t="shared" si="280"/>
        <v>0</v>
      </c>
      <c r="CE106" s="1118"/>
      <c r="CH106" s="1116"/>
      <c r="CI106" s="1116">
        <f t="shared" si="281"/>
        <v>0</v>
      </c>
      <c r="CJ106" s="1117">
        <f t="shared" si="282"/>
        <v>0</v>
      </c>
      <c r="CK106" s="1117">
        <f t="shared" si="283"/>
        <v>0</v>
      </c>
      <c r="CL106" s="1117">
        <f t="shared" si="284"/>
        <v>0</v>
      </c>
      <c r="CM106" s="1118"/>
      <c r="CP106" s="1116"/>
      <c r="CQ106" s="1116">
        <f t="shared" si="285"/>
        <v>0</v>
      </c>
      <c r="CR106" s="1117">
        <f t="shared" si="286"/>
        <v>0</v>
      </c>
      <c r="CS106" s="1117">
        <f t="shared" si="287"/>
        <v>0</v>
      </c>
      <c r="CT106" s="1117">
        <f t="shared" si="288"/>
        <v>0</v>
      </c>
      <c r="CU106" s="1118"/>
      <c r="CX106" s="1116"/>
      <c r="CY106" s="1116">
        <f t="shared" si="289"/>
        <v>0</v>
      </c>
      <c r="CZ106" s="1117">
        <f t="shared" si="290"/>
        <v>0</v>
      </c>
      <c r="DA106" s="1117">
        <f t="shared" si="291"/>
        <v>0</v>
      </c>
      <c r="DB106" s="1117">
        <f t="shared" si="292"/>
        <v>0</v>
      </c>
      <c r="DC106" s="1118"/>
      <c r="DF106" s="1116"/>
      <c r="DG106" s="1116">
        <f t="shared" si="293"/>
        <v>0</v>
      </c>
      <c r="DH106" s="1117">
        <f t="shared" si="294"/>
        <v>0</v>
      </c>
      <c r="DI106" s="1117">
        <f t="shared" si="295"/>
        <v>0</v>
      </c>
      <c r="DJ106" s="1117">
        <f t="shared" si="296"/>
        <v>0</v>
      </c>
      <c r="DK106" s="1118"/>
      <c r="DN106" s="1116"/>
      <c r="DO106" s="1116">
        <f t="shared" si="297"/>
        <v>0</v>
      </c>
      <c r="DP106" s="1117">
        <f t="shared" si="298"/>
        <v>0</v>
      </c>
      <c r="DQ106" s="1117">
        <f t="shared" si="299"/>
        <v>0</v>
      </c>
      <c r="DR106" s="1117">
        <f t="shared" si="300"/>
        <v>0</v>
      </c>
      <c r="DS106" s="1118"/>
      <c r="DV106" s="1116"/>
      <c r="DW106" s="1116">
        <f t="shared" si="301"/>
        <v>0</v>
      </c>
      <c r="DX106" s="1117">
        <f t="shared" si="302"/>
        <v>0</v>
      </c>
      <c r="DY106" s="1117">
        <f t="shared" si="303"/>
        <v>0</v>
      </c>
      <c r="DZ106" s="1117">
        <f t="shared" si="304"/>
        <v>0</v>
      </c>
      <c r="EA106" s="1118"/>
      <c r="ED106" s="1116"/>
      <c r="EE106" s="1116">
        <f t="shared" si="305"/>
        <v>0</v>
      </c>
      <c r="EF106" s="1117">
        <f t="shared" si="306"/>
        <v>0</v>
      </c>
      <c r="EG106" s="1117">
        <f t="shared" si="307"/>
        <v>0</v>
      </c>
      <c r="EH106" s="1117">
        <f t="shared" si="308"/>
        <v>0</v>
      </c>
      <c r="EI106" s="1118"/>
      <c r="EL106" s="1116"/>
      <c r="EM106" s="1116">
        <f t="shared" si="309"/>
        <v>0</v>
      </c>
      <c r="EN106" s="1117">
        <f t="shared" si="310"/>
        <v>0</v>
      </c>
      <c r="EO106" s="1117">
        <f t="shared" si="311"/>
        <v>0</v>
      </c>
      <c r="EP106" s="1117">
        <f t="shared" si="312"/>
        <v>0</v>
      </c>
      <c r="EQ106" s="1118"/>
      <c r="ET106" s="1116"/>
      <c r="EU106" s="1116">
        <f t="shared" si="313"/>
        <v>0</v>
      </c>
      <c r="EV106" s="1117">
        <f t="shared" si="314"/>
        <v>0</v>
      </c>
      <c r="EW106" s="1117">
        <f t="shared" si="315"/>
        <v>0</v>
      </c>
      <c r="EX106" s="1117">
        <f t="shared" si="316"/>
        <v>0</v>
      </c>
      <c r="EY106" s="1118"/>
      <c r="FB106" s="1116"/>
      <c r="FC106" s="1116">
        <f t="shared" si="317"/>
        <v>0</v>
      </c>
      <c r="FD106" s="1117">
        <f t="shared" si="318"/>
        <v>0</v>
      </c>
      <c r="FE106" s="1117">
        <f t="shared" si="319"/>
        <v>0</v>
      </c>
      <c r="FF106" s="1117">
        <f t="shared" si="320"/>
        <v>0</v>
      </c>
      <c r="FG106" s="1118"/>
      <c r="FJ106" s="1116"/>
      <c r="FK106" s="1116">
        <f t="shared" si="321"/>
        <v>0</v>
      </c>
      <c r="FL106" s="1117">
        <f t="shared" si="322"/>
        <v>0</v>
      </c>
      <c r="FM106" s="1117">
        <f t="shared" si="323"/>
        <v>0</v>
      </c>
      <c r="FN106" s="1117">
        <f t="shared" si="324"/>
        <v>0</v>
      </c>
      <c r="FO106" s="1118"/>
    </row>
    <row r="107" spans="1:171">
      <c r="A107" s="1445"/>
      <c r="B107" s="10" t="s">
        <v>356</v>
      </c>
      <c r="C107" s="888" t="s">
        <v>78</v>
      </c>
      <c r="D107" s="888">
        <v>156</v>
      </c>
      <c r="E107" s="182" t="str">
        <f>'Sch 1- Rate Base '!E107</f>
        <v>DIST</v>
      </c>
      <c r="F107" s="889"/>
      <c r="G107" s="182">
        <f>'Sch 1- Rate Base '!G107</f>
        <v>0</v>
      </c>
      <c r="H107" s="182">
        <f>'Sch 1- Rate Base '!H107</f>
        <v>0</v>
      </c>
      <c r="I107" s="182">
        <f>'Sch 1- Rate Base '!I107</f>
        <v>0</v>
      </c>
      <c r="J107" s="1424">
        <f>'Sch 1- Rate Base '!J107</f>
        <v>0</v>
      </c>
      <c r="K107" s="903">
        <f t="shared" si="244"/>
        <v>1</v>
      </c>
      <c r="N107" s="1116"/>
      <c r="O107" s="1116">
        <f t="shared" si="245"/>
        <v>0</v>
      </c>
      <c r="P107" s="1117">
        <f t="shared" si="246"/>
        <v>0</v>
      </c>
      <c r="Q107" s="1117">
        <f t="shared" si="247"/>
        <v>0</v>
      </c>
      <c r="R107" s="1117">
        <f t="shared" si="248"/>
        <v>0</v>
      </c>
      <c r="S107" s="1118"/>
      <c r="V107" s="1116"/>
      <c r="W107" s="1116">
        <f t="shared" si="249"/>
        <v>0</v>
      </c>
      <c r="X107" s="1117">
        <f t="shared" si="250"/>
        <v>0</v>
      </c>
      <c r="Y107" s="1117">
        <f t="shared" si="251"/>
        <v>0</v>
      </c>
      <c r="Z107" s="1117">
        <f t="shared" si="252"/>
        <v>0</v>
      </c>
      <c r="AA107" s="1118"/>
      <c r="AD107" s="1116"/>
      <c r="AE107" s="1116">
        <f t="shared" si="253"/>
        <v>0</v>
      </c>
      <c r="AF107" s="1117">
        <f t="shared" si="254"/>
        <v>0</v>
      </c>
      <c r="AG107" s="1117">
        <f t="shared" si="255"/>
        <v>0</v>
      </c>
      <c r="AH107" s="1117">
        <f t="shared" si="256"/>
        <v>0</v>
      </c>
      <c r="AI107" s="1118"/>
      <c r="AL107" s="1116"/>
      <c r="AM107" s="1116">
        <f t="shared" si="257"/>
        <v>0</v>
      </c>
      <c r="AN107" s="1117">
        <f t="shared" si="258"/>
        <v>0</v>
      </c>
      <c r="AO107" s="1117">
        <f t="shared" si="259"/>
        <v>0</v>
      </c>
      <c r="AP107" s="1117">
        <f t="shared" si="260"/>
        <v>0</v>
      </c>
      <c r="AQ107" s="1118"/>
      <c r="AT107" s="1116"/>
      <c r="AU107" s="1116">
        <f t="shared" si="261"/>
        <v>0</v>
      </c>
      <c r="AV107" s="1117">
        <f t="shared" si="262"/>
        <v>0</v>
      </c>
      <c r="AW107" s="1117">
        <f t="shared" si="263"/>
        <v>0</v>
      </c>
      <c r="AX107" s="1117">
        <f t="shared" si="264"/>
        <v>0</v>
      </c>
      <c r="AY107" s="1118"/>
      <c r="BB107" s="1116"/>
      <c r="BC107" s="1116">
        <f t="shared" si="265"/>
        <v>0</v>
      </c>
      <c r="BD107" s="1117">
        <f t="shared" si="266"/>
        <v>0</v>
      </c>
      <c r="BE107" s="1117">
        <f t="shared" si="267"/>
        <v>0</v>
      </c>
      <c r="BF107" s="1117">
        <f t="shared" si="268"/>
        <v>0</v>
      </c>
      <c r="BG107" s="1118"/>
      <c r="BJ107" s="1116"/>
      <c r="BK107" s="1116">
        <f t="shared" si="269"/>
        <v>0</v>
      </c>
      <c r="BL107" s="1117">
        <f t="shared" si="270"/>
        <v>0</v>
      </c>
      <c r="BM107" s="1117">
        <f t="shared" si="271"/>
        <v>0</v>
      </c>
      <c r="BN107" s="1117">
        <f t="shared" si="272"/>
        <v>0</v>
      </c>
      <c r="BO107" s="1118"/>
      <c r="BR107" s="1116"/>
      <c r="BS107" s="1116">
        <f t="shared" si="273"/>
        <v>0</v>
      </c>
      <c r="BT107" s="1117">
        <f t="shared" si="274"/>
        <v>0</v>
      </c>
      <c r="BU107" s="1117">
        <f t="shared" si="275"/>
        <v>0</v>
      </c>
      <c r="BV107" s="1117">
        <f t="shared" si="276"/>
        <v>0</v>
      </c>
      <c r="BW107" s="1118"/>
      <c r="BZ107" s="1116"/>
      <c r="CA107" s="1116">
        <f t="shared" si="277"/>
        <v>0</v>
      </c>
      <c r="CB107" s="1117">
        <f t="shared" si="278"/>
        <v>0</v>
      </c>
      <c r="CC107" s="1117">
        <f t="shared" si="279"/>
        <v>0</v>
      </c>
      <c r="CD107" s="1117">
        <f t="shared" si="280"/>
        <v>0</v>
      </c>
      <c r="CE107" s="1118"/>
      <c r="CH107" s="1116"/>
      <c r="CI107" s="1116">
        <f t="shared" si="281"/>
        <v>0</v>
      </c>
      <c r="CJ107" s="1117">
        <f t="shared" si="282"/>
        <v>0</v>
      </c>
      <c r="CK107" s="1117">
        <f t="shared" si="283"/>
        <v>0</v>
      </c>
      <c r="CL107" s="1117">
        <f t="shared" si="284"/>
        <v>0</v>
      </c>
      <c r="CM107" s="1118"/>
      <c r="CP107" s="1116"/>
      <c r="CQ107" s="1116">
        <f t="shared" si="285"/>
        <v>0</v>
      </c>
      <c r="CR107" s="1117">
        <f t="shared" si="286"/>
        <v>0</v>
      </c>
      <c r="CS107" s="1117">
        <f t="shared" si="287"/>
        <v>0</v>
      </c>
      <c r="CT107" s="1117">
        <f t="shared" si="288"/>
        <v>0</v>
      </c>
      <c r="CU107" s="1118"/>
      <c r="CX107" s="1116"/>
      <c r="CY107" s="1116">
        <f t="shared" si="289"/>
        <v>0</v>
      </c>
      <c r="CZ107" s="1117">
        <f t="shared" si="290"/>
        <v>0</v>
      </c>
      <c r="DA107" s="1117">
        <f t="shared" si="291"/>
        <v>0</v>
      </c>
      <c r="DB107" s="1117">
        <f t="shared" si="292"/>
        <v>0</v>
      </c>
      <c r="DC107" s="1118"/>
      <c r="DF107" s="1116"/>
      <c r="DG107" s="1116">
        <f t="shared" si="293"/>
        <v>0</v>
      </c>
      <c r="DH107" s="1117">
        <f t="shared" si="294"/>
        <v>0</v>
      </c>
      <c r="DI107" s="1117">
        <f t="shared" si="295"/>
        <v>0</v>
      </c>
      <c r="DJ107" s="1117">
        <f t="shared" si="296"/>
        <v>0</v>
      </c>
      <c r="DK107" s="1118"/>
      <c r="DN107" s="1116"/>
      <c r="DO107" s="1116">
        <f t="shared" si="297"/>
        <v>0</v>
      </c>
      <c r="DP107" s="1117">
        <f t="shared" si="298"/>
        <v>0</v>
      </c>
      <c r="DQ107" s="1117">
        <f t="shared" si="299"/>
        <v>0</v>
      </c>
      <c r="DR107" s="1117">
        <f t="shared" si="300"/>
        <v>0</v>
      </c>
      <c r="DS107" s="1118"/>
      <c r="DV107" s="1116"/>
      <c r="DW107" s="1116">
        <f t="shared" si="301"/>
        <v>0</v>
      </c>
      <c r="DX107" s="1117">
        <f t="shared" si="302"/>
        <v>0</v>
      </c>
      <c r="DY107" s="1117">
        <f t="shared" si="303"/>
        <v>0</v>
      </c>
      <c r="DZ107" s="1117">
        <f t="shared" si="304"/>
        <v>0</v>
      </c>
      <c r="EA107" s="1118"/>
      <c r="ED107" s="1116"/>
      <c r="EE107" s="1116">
        <f t="shared" si="305"/>
        <v>0</v>
      </c>
      <c r="EF107" s="1117">
        <f t="shared" si="306"/>
        <v>0</v>
      </c>
      <c r="EG107" s="1117">
        <f t="shared" si="307"/>
        <v>0</v>
      </c>
      <c r="EH107" s="1117">
        <f t="shared" si="308"/>
        <v>0</v>
      </c>
      <c r="EI107" s="1118"/>
      <c r="EL107" s="1116"/>
      <c r="EM107" s="1116">
        <f t="shared" si="309"/>
        <v>0</v>
      </c>
      <c r="EN107" s="1117">
        <f t="shared" si="310"/>
        <v>0</v>
      </c>
      <c r="EO107" s="1117">
        <f t="shared" si="311"/>
        <v>0</v>
      </c>
      <c r="EP107" s="1117">
        <f t="shared" si="312"/>
        <v>0</v>
      </c>
      <c r="EQ107" s="1118"/>
      <c r="ET107" s="1116"/>
      <c r="EU107" s="1116">
        <f t="shared" si="313"/>
        <v>0</v>
      </c>
      <c r="EV107" s="1117">
        <f t="shared" si="314"/>
        <v>0</v>
      </c>
      <c r="EW107" s="1117">
        <f t="shared" si="315"/>
        <v>0</v>
      </c>
      <c r="EX107" s="1117">
        <f t="shared" si="316"/>
        <v>0</v>
      </c>
      <c r="EY107" s="1118"/>
      <c r="FB107" s="1116"/>
      <c r="FC107" s="1116">
        <f t="shared" si="317"/>
        <v>0</v>
      </c>
      <c r="FD107" s="1117">
        <f t="shared" si="318"/>
        <v>0</v>
      </c>
      <c r="FE107" s="1117">
        <f t="shared" si="319"/>
        <v>0</v>
      </c>
      <c r="FF107" s="1117">
        <f t="shared" si="320"/>
        <v>0</v>
      </c>
      <c r="FG107" s="1118"/>
      <c r="FJ107" s="1116"/>
      <c r="FK107" s="1116">
        <f t="shared" si="321"/>
        <v>0</v>
      </c>
      <c r="FL107" s="1117">
        <f t="shared" si="322"/>
        <v>0</v>
      </c>
      <c r="FM107" s="1117">
        <f t="shared" si="323"/>
        <v>0</v>
      </c>
      <c r="FN107" s="1117">
        <f t="shared" si="324"/>
        <v>0</v>
      </c>
      <c r="FO107" s="1118"/>
    </row>
    <row r="108" spans="1:171">
      <c r="A108" s="1444">
        <v>93000</v>
      </c>
      <c r="B108" s="10" t="s">
        <v>357</v>
      </c>
      <c r="C108" s="888" t="s">
        <v>255</v>
      </c>
      <c r="D108" s="888">
        <v>158.1</v>
      </c>
      <c r="E108" s="182" t="str">
        <f>'Sch 1- Rate Base '!E108</f>
        <v>PROD</v>
      </c>
      <c r="F108" s="889"/>
      <c r="G108" s="182">
        <f>'Sch 1- Rate Base '!G108</f>
        <v>30071678.350000001</v>
      </c>
      <c r="H108" s="182">
        <f>'Sch 1- Rate Base '!H108</f>
        <v>30071678.350000001</v>
      </c>
      <c r="I108" s="182">
        <f>'Sch 1- Rate Base '!I108</f>
        <v>0</v>
      </c>
      <c r="J108" s="1424">
        <f>'Sch 1- Rate Base '!J108</f>
        <v>0</v>
      </c>
      <c r="K108" s="903">
        <f t="shared" si="244"/>
        <v>1</v>
      </c>
      <c r="N108" s="1154">
        <f>VLOOKUP($A108,'New Resources - Group'!$A$4:$Y$133,N$2,FALSE)*N$1</f>
        <v>0</v>
      </c>
      <c r="O108" s="1116">
        <f t="shared" si="245"/>
        <v>30071678.350000001</v>
      </c>
      <c r="P108" s="1117">
        <f t="shared" si="246"/>
        <v>30071678.350000001</v>
      </c>
      <c r="Q108" s="1117">
        <f t="shared" si="247"/>
        <v>0</v>
      </c>
      <c r="R108" s="1117">
        <f t="shared" si="248"/>
        <v>0</v>
      </c>
      <c r="S108" s="1118"/>
      <c r="V108" s="1154">
        <f>VLOOKUP($A108,'New Resources - Group'!$A$4:$Y$133,V$2,FALSE)*V$1</f>
        <v>0</v>
      </c>
      <c r="W108" s="1116">
        <f t="shared" si="249"/>
        <v>30071678.350000001</v>
      </c>
      <c r="X108" s="1117">
        <f t="shared" si="250"/>
        <v>30071678.350000001</v>
      </c>
      <c r="Y108" s="1117">
        <f t="shared" si="251"/>
        <v>0</v>
      </c>
      <c r="Z108" s="1117">
        <f t="shared" si="252"/>
        <v>0</v>
      </c>
      <c r="AA108" s="1118"/>
      <c r="AD108" s="1154">
        <f>VLOOKUP($A108,'New Resources - Group'!$A$4:$Y$133,AD$2,FALSE)*AD$1</f>
        <v>0</v>
      </c>
      <c r="AE108" s="1116">
        <f t="shared" si="253"/>
        <v>30071678.350000001</v>
      </c>
      <c r="AF108" s="1117">
        <f t="shared" si="254"/>
        <v>30071678.350000001</v>
      </c>
      <c r="AG108" s="1117">
        <f t="shared" si="255"/>
        <v>0</v>
      </c>
      <c r="AH108" s="1117">
        <f t="shared" si="256"/>
        <v>0</v>
      </c>
      <c r="AI108" s="1118"/>
      <c r="AL108" s="1154">
        <f>VLOOKUP($A108,'New Resources - Group'!$A$4:$Y$133,AL$2,FALSE)*AL$1</f>
        <v>0</v>
      </c>
      <c r="AM108" s="1116">
        <f t="shared" si="257"/>
        <v>30071678.350000001</v>
      </c>
      <c r="AN108" s="1117">
        <f t="shared" si="258"/>
        <v>30071678.350000001</v>
      </c>
      <c r="AO108" s="1117">
        <f t="shared" si="259"/>
        <v>0</v>
      </c>
      <c r="AP108" s="1117">
        <f t="shared" si="260"/>
        <v>0</v>
      </c>
      <c r="AQ108" s="1118"/>
      <c r="AT108" s="1154">
        <f>VLOOKUP($A108,'New Resources - Group'!$A$4:$Y$133,AT$2,FALSE)*AT$1</f>
        <v>0</v>
      </c>
      <c r="AU108" s="1116">
        <f t="shared" si="261"/>
        <v>30071678.350000001</v>
      </c>
      <c r="AV108" s="1117">
        <f t="shared" si="262"/>
        <v>30071678.350000001</v>
      </c>
      <c r="AW108" s="1117">
        <f t="shared" si="263"/>
        <v>0</v>
      </c>
      <c r="AX108" s="1117">
        <f t="shared" si="264"/>
        <v>0</v>
      </c>
      <c r="AY108" s="1118"/>
      <c r="BB108" s="1154">
        <f>VLOOKUP($A108,'New Resources - Group'!$A$4:$Y$133,BB$2,FALSE)*BB$1</f>
        <v>0</v>
      </c>
      <c r="BC108" s="1116">
        <f t="shared" si="265"/>
        <v>30071678.350000001</v>
      </c>
      <c r="BD108" s="1117">
        <f t="shared" si="266"/>
        <v>30071678.350000001</v>
      </c>
      <c r="BE108" s="1117">
        <f t="shared" si="267"/>
        <v>0</v>
      </c>
      <c r="BF108" s="1117">
        <f t="shared" si="268"/>
        <v>0</v>
      </c>
      <c r="BG108" s="1118"/>
      <c r="BJ108" s="1154">
        <f>VLOOKUP($A108,'New Resources - Group'!$A$4:$Y$133,BJ$2,FALSE)*BJ$1</f>
        <v>0</v>
      </c>
      <c r="BK108" s="1116">
        <f t="shared" si="269"/>
        <v>30071678.350000001</v>
      </c>
      <c r="BL108" s="1117">
        <f t="shared" si="270"/>
        <v>30071678.350000001</v>
      </c>
      <c r="BM108" s="1117">
        <f t="shared" si="271"/>
        <v>0</v>
      </c>
      <c r="BN108" s="1117">
        <f t="shared" si="272"/>
        <v>0</v>
      </c>
      <c r="BO108" s="1118"/>
      <c r="BR108" s="1154">
        <f>VLOOKUP($A108,'New Resources - Group'!$A$4:$Y$133,BR$2,FALSE)*BR$1</f>
        <v>0</v>
      </c>
      <c r="BS108" s="1116">
        <f t="shared" si="273"/>
        <v>30071678.350000001</v>
      </c>
      <c r="BT108" s="1117">
        <f t="shared" si="274"/>
        <v>30071678.350000001</v>
      </c>
      <c r="BU108" s="1117">
        <f t="shared" si="275"/>
        <v>0</v>
      </c>
      <c r="BV108" s="1117">
        <f t="shared" si="276"/>
        <v>0</v>
      </c>
      <c r="BW108" s="1118"/>
      <c r="BZ108" s="1154">
        <f>VLOOKUP($A108,'New Resources - Group'!$A$4:$Y$133,BZ$2,FALSE)*BZ$1</f>
        <v>0</v>
      </c>
      <c r="CA108" s="1116">
        <f t="shared" si="277"/>
        <v>30071678.350000001</v>
      </c>
      <c r="CB108" s="1117">
        <f t="shared" si="278"/>
        <v>30071678.350000001</v>
      </c>
      <c r="CC108" s="1117">
        <f t="shared" si="279"/>
        <v>0</v>
      </c>
      <c r="CD108" s="1117">
        <f t="shared" si="280"/>
        <v>0</v>
      </c>
      <c r="CE108" s="1118"/>
      <c r="CH108" s="1154">
        <f>VLOOKUP($A108,'New Resources - Group'!$A$4:$Y$133,CH$2,FALSE)*CH$1</f>
        <v>0</v>
      </c>
      <c r="CI108" s="1116">
        <f t="shared" si="281"/>
        <v>30071678.350000001</v>
      </c>
      <c r="CJ108" s="1117">
        <f t="shared" si="282"/>
        <v>30071678.350000001</v>
      </c>
      <c r="CK108" s="1117">
        <f t="shared" si="283"/>
        <v>0</v>
      </c>
      <c r="CL108" s="1117">
        <f t="shared" si="284"/>
        <v>0</v>
      </c>
      <c r="CM108" s="1118"/>
      <c r="CP108" s="1154">
        <f>VLOOKUP($A108,'New Resources - Group'!$A$4:$Y$133,CP$2,FALSE)*CP$1</f>
        <v>0</v>
      </c>
      <c r="CQ108" s="1116">
        <f t="shared" si="285"/>
        <v>30071678.350000001</v>
      </c>
      <c r="CR108" s="1117">
        <f t="shared" si="286"/>
        <v>30071678.350000001</v>
      </c>
      <c r="CS108" s="1117">
        <f t="shared" si="287"/>
        <v>0</v>
      </c>
      <c r="CT108" s="1117">
        <f t="shared" si="288"/>
        <v>0</v>
      </c>
      <c r="CU108" s="1118"/>
      <c r="CX108" s="1154">
        <f>VLOOKUP($A108,'New Resources - Group'!$A$4:$Y$133,CX$2,FALSE)*CX$1</f>
        <v>0</v>
      </c>
      <c r="CY108" s="1116">
        <f t="shared" si="289"/>
        <v>30071678.350000001</v>
      </c>
      <c r="CZ108" s="1117">
        <f t="shared" si="290"/>
        <v>30071678.350000001</v>
      </c>
      <c r="DA108" s="1117">
        <f t="shared" si="291"/>
        <v>0</v>
      </c>
      <c r="DB108" s="1117">
        <f t="shared" si="292"/>
        <v>0</v>
      </c>
      <c r="DC108" s="1118"/>
      <c r="DF108" s="1154">
        <f>VLOOKUP($A108,'New Resources - Group'!$A$4:$Y$133,DF$2,FALSE)*DF$1</f>
        <v>0</v>
      </c>
      <c r="DG108" s="1116">
        <f t="shared" si="293"/>
        <v>30071678.350000001</v>
      </c>
      <c r="DH108" s="1117">
        <f t="shared" si="294"/>
        <v>30071678.350000001</v>
      </c>
      <c r="DI108" s="1117">
        <f t="shared" si="295"/>
        <v>0</v>
      </c>
      <c r="DJ108" s="1117">
        <f t="shared" si="296"/>
        <v>0</v>
      </c>
      <c r="DK108" s="1118"/>
      <c r="DN108" s="1154">
        <f>VLOOKUP($A108,'New Resources - Group'!$A$4:$Y$133,DN$2,FALSE)*DN$1</f>
        <v>0</v>
      </c>
      <c r="DO108" s="1116">
        <f t="shared" si="297"/>
        <v>30071678.350000001</v>
      </c>
      <c r="DP108" s="1117">
        <f t="shared" si="298"/>
        <v>30071678.350000001</v>
      </c>
      <c r="DQ108" s="1117">
        <f t="shared" si="299"/>
        <v>0</v>
      </c>
      <c r="DR108" s="1117">
        <f t="shared" si="300"/>
        <v>0</v>
      </c>
      <c r="DS108" s="1118"/>
      <c r="DV108" s="1154">
        <f>VLOOKUP($A108,'New Resources - Group'!$A$4:$Y$133,DV$2,FALSE)*DV$1</f>
        <v>0</v>
      </c>
      <c r="DW108" s="1116">
        <f t="shared" si="301"/>
        <v>30071678.350000001</v>
      </c>
      <c r="DX108" s="1117">
        <f t="shared" si="302"/>
        <v>30071678.350000001</v>
      </c>
      <c r="DY108" s="1117">
        <f t="shared" si="303"/>
        <v>0</v>
      </c>
      <c r="DZ108" s="1117">
        <f t="shared" si="304"/>
        <v>0</v>
      </c>
      <c r="EA108" s="1118"/>
      <c r="ED108" s="1154">
        <f>VLOOKUP($A108,'New Resources - Group'!$A$4:$Y$133,ED$2,FALSE)*ED$1</f>
        <v>0</v>
      </c>
      <c r="EE108" s="1116">
        <f t="shared" si="305"/>
        <v>30071678.350000001</v>
      </c>
      <c r="EF108" s="1117">
        <f t="shared" si="306"/>
        <v>30071678.350000001</v>
      </c>
      <c r="EG108" s="1117">
        <f t="shared" si="307"/>
        <v>0</v>
      </c>
      <c r="EH108" s="1117">
        <f t="shared" si="308"/>
        <v>0</v>
      </c>
      <c r="EI108" s="1118"/>
      <c r="EL108" s="1154">
        <f>VLOOKUP($A108,'New Resources - Group'!$A$4:$Y$133,EL$2,FALSE)*EL$1</f>
        <v>0</v>
      </c>
      <c r="EM108" s="1116">
        <f t="shared" si="309"/>
        <v>30071678.350000001</v>
      </c>
      <c r="EN108" s="1117">
        <f t="shared" si="310"/>
        <v>30071678.350000001</v>
      </c>
      <c r="EO108" s="1117">
        <f t="shared" si="311"/>
        <v>0</v>
      </c>
      <c r="EP108" s="1117">
        <f t="shared" si="312"/>
        <v>0</v>
      </c>
      <c r="EQ108" s="1118"/>
      <c r="ET108" s="1154">
        <f>VLOOKUP($A108,'New Resources - Group'!$A$4:$Y$133,ET$2,FALSE)*ET$1</f>
        <v>0</v>
      </c>
      <c r="EU108" s="1116">
        <f t="shared" si="313"/>
        <v>30071678.350000001</v>
      </c>
      <c r="EV108" s="1117">
        <f t="shared" si="314"/>
        <v>30071678.350000001</v>
      </c>
      <c r="EW108" s="1117">
        <f t="shared" si="315"/>
        <v>0</v>
      </c>
      <c r="EX108" s="1117">
        <f t="shared" si="316"/>
        <v>0</v>
      </c>
      <c r="EY108" s="1118"/>
      <c r="FB108" s="1154">
        <f>VLOOKUP($A108,'New Resources - Group'!$A$4:$Y$133,FB$2,FALSE)*FB$1</f>
        <v>0</v>
      </c>
      <c r="FC108" s="1116">
        <f t="shared" si="317"/>
        <v>30071678.350000001</v>
      </c>
      <c r="FD108" s="1117">
        <f t="shared" si="318"/>
        <v>30071678.350000001</v>
      </c>
      <c r="FE108" s="1117">
        <f t="shared" si="319"/>
        <v>0</v>
      </c>
      <c r="FF108" s="1117">
        <f t="shared" si="320"/>
        <v>0</v>
      </c>
      <c r="FG108" s="1118"/>
      <c r="FJ108" s="1154">
        <f>VLOOKUP($A108,'New Resources - Group'!$A$4:$Y$133,FJ$2,FALSE)*FJ$1</f>
        <v>0</v>
      </c>
      <c r="FK108" s="1116">
        <f t="shared" si="321"/>
        <v>30071678.350000001</v>
      </c>
      <c r="FL108" s="1117">
        <f t="shared" si="322"/>
        <v>30071678.350000001</v>
      </c>
      <c r="FM108" s="1117">
        <f t="shared" si="323"/>
        <v>0</v>
      </c>
      <c r="FN108" s="1117">
        <f t="shared" si="324"/>
        <v>0</v>
      </c>
      <c r="FO108" s="1118"/>
    </row>
    <row r="109" spans="1:171">
      <c r="A109" s="1423"/>
      <c r="B109" s="10" t="s">
        <v>178</v>
      </c>
      <c r="C109" s="888" t="s">
        <v>255</v>
      </c>
      <c r="D109" s="888">
        <v>158.19999999999999</v>
      </c>
      <c r="E109" s="182" t="str">
        <f>'Sch 1- Rate Base '!E109</f>
        <v>PROD</v>
      </c>
      <c r="F109" s="889"/>
      <c r="G109" s="182">
        <f>'Sch 1- Rate Base '!G109</f>
        <v>0</v>
      </c>
      <c r="H109" s="182">
        <f>'Sch 1- Rate Base '!H109</f>
        <v>0</v>
      </c>
      <c r="I109" s="182">
        <f>'Sch 1- Rate Base '!I109</f>
        <v>0</v>
      </c>
      <c r="J109" s="1424">
        <f>'Sch 1- Rate Base '!J109</f>
        <v>0</v>
      </c>
      <c r="K109" s="903">
        <f t="shared" si="244"/>
        <v>1</v>
      </c>
      <c r="O109" s="1116">
        <f t="shared" ref="O109:O115" si="325">$G109</f>
        <v>0</v>
      </c>
      <c r="P109" s="1117">
        <f t="shared" si="246"/>
        <v>0</v>
      </c>
      <c r="Q109" s="1117">
        <f t="shared" si="247"/>
        <v>0</v>
      </c>
      <c r="R109" s="1117">
        <f t="shared" si="248"/>
        <v>0</v>
      </c>
      <c r="S109" s="1118"/>
      <c r="W109" s="1116">
        <f t="shared" ref="W109:W115" si="326">$G109</f>
        <v>0</v>
      </c>
      <c r="X109" s="1117">
        <f t="shared" si="250"/>
        <v>0</v>
      </c>
      <c r="Y109" s="1117">
        <f t="shared" si="251"/>
        <v>0</v>
      </c>
      <c r="Z109" s="1117">
        <f t="shared" si="252"/>
        <v>0</v>
      </c>
      <c r="AA109" s="1118"/>
      <c r="AE109" s="1116">
        <f t="shared" ref="AE109:AE115" si="327">$G109</f>
        <v>0</v>
      </c>
      <c r="AF109" s="1117">
        <f t="shared" si="254"/>
        <v>0</v>
      </c>
      <c r="AG109" s="1117">
        <f t="shared" si="255"/>
        <v>0</v>
      </c>
      <c r="AH109" s="1117">
        <f t="shared" si="256"/>
        <v>0</v>
      </c>
      <c r="AI109" s="1118"/>
      <c r="AM109" s="1116">
        <f t="shared" ref="AM109:AM115" si="328">$G109</f>
        <v>0</v>
      </c>
      <c r="AN109" s="1117">
        <f t="shared" si="258"/>
        <v>0</v>
      </c>
      <c r="AO109" s="1117">
        <f t="shared" si="259"/>
        <v>0</v>
      </c>
      <c r="AP109" s="1117">
        <f t="shared" si="260"/>
        <v>0</v>
      </c>
      <c r="AQ109" s="1118"/>
      <c r="AU109" s="1116">
        <f t="shared" ref="AU109:AU115" si="329">$G109</f>
        <v>0</v>
      </c>
      <c r="AV109" s="1117">
        <f t="shared" si="262"/>
        <v>0</v>
      </c>
      <c r="AW109" s="1117">
        <f t="shared" si="263"/>
        <v>0</v>
      </c>
      <c r="AX109" s="1117">
        <f t="shared" si="264"/>
        <v>0</v>
      </c>
      <c r="AY109" s="1118"/>
      <c r="BC109" s="1116">
        <f t="shared" ref="BC109:BC115" si="330">$G109</f>
        <v>0</v>
      </c>
      <c r="BD109" s="1117">
        <f t="shared" si="266"/>
        <v>0</v>
      </c>
      <c r="BE109" s="1117">
        <f t="shared" si="267"/>
        <v>0</v>
      </c>
      <c r="BF109" s="1117">
        <f t="shared" si="268"/>
        <v>0</v>
      </c>
      <c r="BG109" s="1118"/>
      <c r="BK109" s="1116">
        <f t="shared" ref="BK109:BK115" si="331">$G109</f>
        <v>0</v>
      </c>
      <c r="BL109" s="1117">
        <f t="shared" si="270"/>
        <v>0</v>
      </c>
      <c r="BM109" s="1117">
        <f t="shared" si="271"/>
        <v>0</v>
      </c>
      <c r="BN109" s="1117">
        <f t="shared" si="272"/>
        <v>0</v>
      </c>
      <c r="BO109" s="1118"/>
      <c r="BS109" s="1116">
        <f t="shared" ref="BS109:BS115" si="332">$G109</f>
        <v>0</v>
      </c>
      <c r="BT109" s="1117">
        <f t="shared" si="274"/>
        <v>0</v>
      </c>
      <c r="BU109" s="1117">
        <f t="shared" si="275"/>
        <v>0</v>
      </c>
      <c r="BV109" s="1117">
        <f t="shared" si="276"/>
        <v>0</v>
      </c>
      <c r="BW109" s="1118"/>
      <c r="CA109" s="1116">
        <f t="shared" ref="CA109:CA115" si="333">$G109</f>
        <v>0</v>
      </c>
      <c r="CB109" s="1117">
        <f t="shared" si="278"/>
        <v>0</v>
      </c>
      <c r="CC109" s="1117">
        <f t="shared" si="279"/>
        <v>0</v>
      </c>
      <c r="CD109" s="1117">
        <f t="shared" si="280"/>
        <v>0</v>
      </c>
      <c r="CE109" s="1118"/>
      <c r="CI109" s="1116">
        <f t="shared" ref="CI109:CI115" si="334">$G109</f>
        <v>0</v>
      </c>
      <c r="CJ109" s="1117">
        <f t="shared" si="282"/>
        <v>0</v>
      </c>
      <c r="CK109" s="1117">
        <f t="shared" si="283"/>
        <v>0</v>
      </c>
      <c r="CL109" s="1117">
        <f t="shared" si="284"/>
        <v>0</v>
      </c>
      <c r="CM109" s="1118"/>
      <c r="CQ109" s="1116">
        <f t="shared" ref="CQ109:CQ115" si="335">$G109</f>
        <v>0</v>
      </c>
      <c r="CR109" s="1117">
        <f t="shared" si="286"/>
        <v>0</v>
      </c>
      <c r="CS109" s="1117">
        <f t="shared" si="287"/>
        <v>0</v>
      </c>
      <c r="CT109" s="1117">
        <f t="shared" si="288"/>
        <v>0</v>
      </c>
      <c r="CU109" s="1118"/>
      <c r="CY109" s="1116">
        <f t="shared" ref="CY109:CY115" si="336">$G109</f>
        <v>0</v>
      </c>
      <c r="CZ109" s="1117">
        <f t="shared" si="290"/>
        <v>0</v>
      </c>
      <c r="DA109" s="1117">
        <f t="shared" si="291"/>
        <v>0</v>
      </c>
      <c r="DB109" s="1117">
        <f t="shared" si="292"/>
        <v>0</v>
      </c>
      <c r="DC109" s="1118"/>
      <c r="DG109" s="1116">
        <f t="shared" ref="DG109:DG115" si="337">$G109</f>
        <v>0</v>
      </c>
      <c r="DH109" s="1117">
        <f t="shared" si="294"/>
        <v>0</v>
      </c>
      <c r="DI109" s="1117">
        <f t="shared" si="295"/>
        <v>0</v>
      </c>
      <c r="DJ109" s="1117">
        <f t="shared" si="296"/>
        <v>0</v>
      </c>
      <c r="DK109" s="1118"/>
      <c r="DO109" s="1116">
        <f t="shared" ref="DO109:DO115" si="338">$G109</f>
        <v>0</v>
      </c>
      <c r="DP109" s="1117">
        <f t="shared" si="298"/>
        <v>0</v>
      </c>
      <c r="DQ109" s="1117">
        <f t="shared" si="299"/>
        <v>0</v>
      </c>
      <c r="DR109" s="1117">
        <f t="shared" si="300"/>
        <v>0</v>
      </c>
      <c r="DS109" s="1118"/>
      <c r="DW109" s="1116">
        <f t="shared" ref="DW109:DW115" si="339">$G109</f>
        <v>0</v>
      </c>
      <c r="DX109" s="1117">
        <f t="shared" si="302"/>
        <v>0</v>
      </c>
      <c r="DY109" s="1117">
        <f t="shared" si="303"/>
        <v>0</v>
      </c>
      <c r="DZ109" s="1117">
        <f t="shared" si="304"/>
        <v>0</v>
      </c>
      <c r="EA109" s="1118"/>
      <c r="EE109" s="1116">
        <f t="shared" ref="EE109:EE115" si="340">$G109</f>
        <v>0</v>
      </c>
      <c r="EF109" s="1117">
        <f t="shared" si="306"/>
        <v>0</v>
      </c>
      <c r="EG109" s="1117">
        <f t="shared" si="307"/>
        <v>0</v>
      </c>
      <c r="EH109" s="1117">
        <f t="shared" si="308"/>
        <v>0</v>
      </c>
      <c r="EI109" s="1118"/>
      <c r="EM109" s="1116">
        <f t="shared" ref="EM109:EM115" si="341">$G109</f>
        <v>0</v>
      </c>
      <c r="EN109" s="1117">
        <f t="shared" si="310"/>
        <v>0</v>
      </c>
      <c r="EO109" s="1117">
        <f t="shared" si="311"/>
        <v>0</v>
      </c>
      <c r="EP109" s="1117">
        <f t="shared" si="312"/>
        <v>0</v>
      </c>
      <c r="EQ109" s="1118"/>
      <c r="EU109" s="1116">
        <f t="shared" ref="EU109:EU115" si="342">$G109</f>
        <v>0</v>
      </c>
      <c r="EV109" s="1117">
        <f t="shared" si="314"/>
        <v>0</v>
      </c>
      <c r="EW109" s="1117">
        <f t="shared" si="315"/>
        <v>0</v>
      </c>
      <c r="EX109" s="1117">
        <f t="shared" si="316"/>
        <v>0</v>
      </c>
      <c r="EY109" s="1118"/>
      <c r="FC109" s="1116">
        <f t="shared" ref="FC109:FC115" si="343">$G109</f>
        <v>0</v>
      </c>
      <c r="FD109" s="1117">
        <f t="shared" si="318"/>
        <v>0</v>
      </c>
      <c r="FE109" s="1117">
        <f t="shared" si="319"/>
        <v>0</v>
      </c>
      <c r="FF109" s="1117">
        <f t="shared" si="320"/>
        <v>0</v>
      </c>
      <c r="FG109" s="1118"/>
      <c r="FK109" s="1116">
        <f t="shared" ref="FK109:FK115" si="344">$G109</f>
        <v>0</v>
      </c>
      <c r="FL109" s="1117">
        <f t="shared" si="322"/>
        <v>0</v>
      </c>
      <c r="FM109" s="1117">
        <f t="shared" si="323"/>
        <v>0</v>
      </c>
      <c r="FN109" s="1117">
        <f t="shared" si="324"/>
        <v>0</v>
      </c>
      <c r="FO109" s="1118"/>
    </row>
    <row r="110" spans="1:171">
      <c r="A110" s="1423"/>
      <c r="B110" s="10" t="s">
        <v>55</v>
      </c>
      <c r="C110" s="888" t="s">
        <v>78</v>
      </c>
      <c r="D110" s="888">
        <v>163</v>
      </c>
      <c r="E110" s="182" t="str">
        <f>'Sch 1- Rate Base '!E110</f>
        <v>PTD</v>
      </c>
      <c r="F110" s="889"/>
      <c r="G110" s="182">
        <f>'Sch 1- Rate Base '!G110</f>
        <v>0</v>
      </c>
      <c r="H110" s="182">
        <f>'Sch 1- Rate Base '!H110</f>
        <v>0</v>
      </c>
      <c r="I110" s="182">
        <f>'Sch 1- Rate Base '!I110</f>
        <v>0</v>
      </c>
      <c r="J110" s="1424">
        <f>'Sch 1- Rate Base '!J110</f>
        <v>0</v>
      </c>
      <c r="K110" s="903">
        <f t="shared" si="244"/>
        <v>1</v>
      </c>
      <c r="O110" s="1116">
        <f t="shared" si="325"/>
        <v>0</v>
      </c>
      <c r="P110" s="1117">
        <f t="shared" ref="P110:P115" si="345">VLOOKUP($E110,O$442:R$453,2,FALSE)*O110*($K110)+IF($G110&lt;&gt;0,($H110/$G110)*O110,0)*(1-$K110)</f>
        <v>0</v>
      </c>
      <c r="Q110" s="1117">
        <f t="shared" ref="Q110:Q115" si="346">VLOOKUP($E110,O$442:R$453,3,FALSE)*O110*($K110)+IF($G110&lt;&gt;0,($I110/$G110)*O110,0)*(1-$K110)</f>
        <v>0</v>
      </c>
      <c r="R110" s="1117">
        <f t="shared" si="248"/>
        <v>0</v>
      </c>
      <c r="S110" s="1118"/>
      <c r="W110" s="1116">
        <f t="shared" si="326"/>
        <v>0</v>
      </c>
      <c r="X110" s="1117">
        <f t="shared" ref="X110:X115" si="347">VLOOKUP($E110,W$442:Z$453,2,FALSE)*W110*($K110)+IF($G110&lt;&gt;0,($H110/$G110)*W110,0)*(1-$K110)</f>
        <v>0</v>
      </c>
      <c r="Y110" s="1117">
        <f t="shared" ref="Y110:Y115" si="348">VLOOKUP($E110,W$442:Z$453,3,FALSE)*W110*($K110)+IF($G110&lt;&gt;0,($I110/$G110)*W110,0)*(1-$K110)</f>
        <v>0</v>
      </c>
      <c r="Z110" s="1117">
        <f t="shared" si="252"/>
        <v>0</v>
      </c>
      <c r="AA110" s="1118"/>
      <c r="AE110" s="1116">
        <f t="shared" si="327"/>
        <v>0</v>
      </c>
      <c r="AF110" s="1117">
        <f t="shared" ref="AF110:AF115" si="349">VLOOKUP($E110,AE$442:AH$453,2,FALSE)*AE110*($K110)+IF($G110&lt;&gt;0,($H110/$G110)*AE110,0)*(1-$K110)</f>
        <v>0</v>
      </c>
      <c r="AG110" s="1117">
        <f t="shared" ref="AG110:AG115" si="350">VLOOKUP($E110,AE$442:AH$453,3,FALSE)*AE110*($K110)+IF($G110&lt;&gt;0,($I110/$G110)*AE110,0)*(1-$K110)</f>
        <v>0</v>
      </c>
      <c r="AH110" s="1117">
        <f t="shared" si="256"/>
        <v>0</v>
      </c>
      <c r="AI110" s="1118"/>
      <c r="AM110" s="1116">
        <f t="shared" si="328"/>
        <v>0</v>
      </c>
      <c r="AN110" s="1117">
        <f t="shared" ref="AN110:AN115" si="351">VLOOKUP($E110,AM$442:AP$453,2,FALSE)*AM110*($K110)+IF($G110&lt;&gt;0,($H110/$G110)*AM110,0)*(1-$K110)</f>
        <v>0</v>
      </c>
      <c r="AO110" s="1117">
        <f t="shared" ref="AO110:AO115" si="352">VLOOKUP($E110,AM$442:AP$453,3,FALSE)*AM110*($K110)+IF($G110&lt;&gt;0,($I110/$G110)*AM110,0)*(1-$K110)</f>
        <v>0</v>
      </c>
      <c r="AP110" s="1117">
        <f t="shared" si="260"/>
        <v>0</v>
      </c>
      <c r="AQ110" s="1118"/>
      <c r="AU110" s="1116">
        <f t="shared" si="329"/>
        <v>0</v>
      </c>
      <c r="AV110" s="1117">
        <f t="shared" ref="AV110:AV115" si="353">VLOOKUP($E110,AU$442:AX$453,2,FALSE)*AU110*($K110)+IF($G110&lt;&gt;0,($H110/$G110)*AU110,0)*(1-$K110)</f>
        <v>0</v>
      </c>
      <c r="AW110" s="1117">
        <f t="shared" ref="AW110:AW115" si="354">VLOOKUP($E110,AU$442:AX$453,3,FALSE)*AU110*($K110)+IF($G110&lt;&gt;0,($I110/$G110)*AU110,0)*(1-$K110)</f>
        <v>0</v>
      </c>
      <c r="AX110" s="1117">
        <f t="shared" si="264"/>
        <v>0</v>
      </c>
      <c r="AY110" s="1118"/>
      <c r="BC110" s="1116">
        <f t="shared" si="330"/>
        <v>0</v>
      </c>
      <c r="BD110" s="1117">
        <f t="shared" ref="BD110:BD115" si="355">VLOOKUP($E110,BC$442:BF$453,2,FALSE)*BC110*($K110)+IF($G110&lt;&gt;0,($H110/$G110)*BC110,0)*(1-$K110)</f>
        <v>0</v>
      </c>
      <c r="BE110" s="1117">
        <f t="shared" ref="BE110:BE115" si="356">VLOOKUP($E110,BC$442:BF$453,3,FALSE)*BC110*($K110)+IF($G110&lt;&gt;0,($I110/$G110)*BC110,0)*(1-$K110)</f>
        <v>0</v>
      </c>
      <c r="BF110" s="1117">
        <f t="shared" si="268"/>
        <v>0</v>
      </c>
      <c r="BG110" s="1118"/>
      <c r="BK110" s="1116">
        <f t="shared" si="331"/>
        <v>0</v>
      </c>
      <c r="BL110" s="1117">
        <f t="shared" ref="BL110:BL115" si="357">VLOOKUP($E110,BK$442:BN$453,2,FALSE)*BK110*($K110)+IF($G110&lt;&gt;0,($H110/$G110)*BK110,0)*(1-$K110)</f>
        <v>0</v>
      </c>
      <c r="BM110" s="1117">
        <f t="shared" ref="BM110:BM115" si="358">VLOOKUP($E110,BK$442:BN$453,3,FALSE)*BK110*($K110)+IF($G110&lt;&gt;0,($I110/$G110)*BK110,0)*(1-$K110)</f>
        <v>0</v>
      </c>
      <c r="BN110" s="1117">
        <f t="shared" si="272"/>
        <v>0</v>
      </c>
      <c r="BO110" s="1118"/>
      <c r="BS110" s="1116">
        <f t="shared" si="332"/>
        <v>0</v>
      </c>
      <c r="BT110" s="1117">
        <f t="shared" ref="BT110:BT115" si="359">VLOOKUP($E110,BS$442:BV$453,2,FALSE)*BS110*($K110)+IF($G110&lt;&gt;0,($H110/$G110)*BS110,0)*(1-$K110)</f>
        <v>0</v>
      </c>
      <c r="BU110" s="1117">
        <f t="shared" ref="BU110:BU115" si="360">VLOOKUP($E110,BS$442:BV$453,3,FALSE)*BS110*($K110)+IF($G110&lt;&gt;0,($I110/$G110)*BS110,0)*(1-$K110)</f>
        <v>0</v>
      </c>
      <c r="BV110" s="1117">
        <f t="shared" si="276"/>
        <v>0</v>
      </c>
      <c r="BW110" s="1118"/>
      <c r="CA110" s="1116">
        <f t="shared" si="333"/>
        <v>0</v>
      </c>
      <c r="CB110" s="1117">
        <f t="shared" ref="CB110:CB115" si="361">VLOOKUP($E110,CA$442:CD$453,2,FALSE)*CA110*($K110)+IF($G110&lt;&gt;0,($H110/$G110)*CA110,0)*(1-$K110)</f>
        <v>0</v>
      </c>
      <c r="CC110" s="1117">
        <f t="shared" ref="CC110:CC115" si="362">VLOOKUP($E110,CA$442:CD$453,3,FALSE)*CA110*($K110)+IF($G110&lt;&gt;0,($I110/$G110)*CA110,0)*(1-$K110)</f>
        <v>0</v>
      </c>
      <c r="CD110" s="1117">
        <f t="shared" si="280"/>
        <v>0</v>
      </c>
      <c r="CE110" s="1118"/>
      <c r="CI110" s="1116">
        <f t="shared" si="334"/>
        <v>0</v>
      </c>
      <c r="CJ110" s="1117">
        <f t="shared" ref="CJ110:CJ115" si="363">VLOOKUP($E110,CI$442:CL$453,2,FALSE)*CI110*($K110)+IF($G110&lt;&gt;0,($H110/$G110)*CI110,0)*(1-$K110)</f>
        <v>0</v>
      </c>
      <c r="CK110" s="1117">
        <f t="shared" ref="CK110:CK115" si="364">VLOOKUP($E110,CI$442:CL$453,3,FALSE)*CI110*($K110)+IF($G110&lt;&gt;0,($I110/$G110)*CI110,0)*(1-$K110)</f>
        <v>0</v>
      </c>
      <c r="CL110" s="1117">
        <f t="shared" si="284"/>
        <v>0</v>
      </c>
      <c r="CM110" s="1118"/>
      <c r="CQ110" s="1116">
        <f t="shared" si="335"/>
        <v>0</v>
      </c>
      <c r="CR110" s="1117">
        <f t="shared" ref="CR110:CR115" si="365">VLOOKUP($E110,CQ$442:CT$453,2,FALSE)*CQ110*($K110)+IF($G110&lt;&gt;0,($H110/$G110)*CQ110,0)*(1-$K110)</f>
        <v>0</v>
      </c>
      <c r="CS110" s="1117">
        <f t="shared" ref="CS110:CS115" si="366">VLOOKUP($E110,CQ$442:CT$453,3,FALSE)*CQ110*($K110)+IF($G110&lt;&gt;0,($I110/$G110)*CQ110,0)*(1-$K110)</f>
        <v>0</v>
      </c>
      <c r="CT110" s="1117">
        <f t="shared" si="288"/>
        <v>0</v>
      </c>
      <c r="CU110" s="1118"/>
      <c r="CY110" s="1116">
        <f t="shared" si="336"/>
        <v>0</v>
      </c>
      <c r="CZ110" s="1117">
        <f t="shared" ref="CZ110:CZ115" si="367">VLOOKUP($E110,CY$442:DB$453,2,FALSE)*CY110*($K110)+IF($G110&lt;&gt;0,($H110/$G110)*CY110,0)*(1-$K110)</f>
        <v>0</v>
      </c>
      <c r="DA110" s="1117">
        <f t="shared" ref="DA110:DA115" si="368">VLOOKUP($E110,CY$442:DB$453,3,FALSE)*CY110*($K110)+IF($G110&lt;&gt;0,($I110/$G110)*CY110,0)*(1-$K110)</f>
        <v>0</v>
      </c>
      <c r="DB110" s="1117">
        <f t="shared" si="292"/>
        <v>0</v>
      </c>
      <c r="DC110" s="1118"/>
      <c r="DG110" s="1116">
        <f t="shared" si="337"/>
        <v>0</v>
      </c>
      <c r="DH110" s="1117">
        <f t="shared" ref="DH110:DH115" si="369">VLOOKUP($E110,DG$442:DJ$453,2,FALSE)*DG110*($K110)+IF($G110&lt;&gt;0,($H110/$G110)*DG110,0)*(1-$K110)</f>
        <v>0</v>
      </c>
      <c r="DI110" s="1117">
        <f t="shared" ref="DI110:DI115" si="370">VLOOKUP($E110,DG$442:DJ$453,3,FALSE)*DG110*($K110)+IF($G110&lt;&gt;0,($I110/$G110)*DG110,0)*(1-$K110)</f>
        <v>0</v>
      </c>
      <c r="DJ110" s="1117">
        <f t="shared" si="296"/>
        <v>0</v>
      </c>
      <c r="DK110" s="1118"/>
      <c r="DO110" s="1116">
        <f t="shared" si="338"/>
        <v>0</v>
      </c>
      <c r="DP110" s="1117">
        <f t="shared" ref="DP110:DP115" si="371">VLOOKUP($E110,DO$442:DR$453,2,FALSE)*DO110*($K110)+IF($G110&lt;&gt;0,($H110/$G110)*DO110,0)*(1-$K110)</f>
        <v>0</v>
      </c>
      <c r="DQ110" s="1117">
        <f t="shared" ref="DQ110:DQ115" si="372">VLOOKUP($E110,DO$442:DR$453,3,FALSE)*DO110*($K110)+IF($G110&lt;&gt;0,($I110/$G110)*DO110,0)*(1-$K110)</f>
        <v>0</v>
      </c>
      <c r="DR110" s="1117">
        <f t="shared" si="300"/>
        <v>0</v>
      </c>
      <c r="DS110" s="1118"/>
      <c r="DW110" s="1116">
        <f t="shared" si="339"/>
        <v>0</v>
      </c>
      <c r="DX110" s="1117">
        <f t="shared" ref="DX110:DX115" si="373">VLOOKUP($E110,DW$442:DZ$453,2,FALSE)*DW110*($K110)+IF($G110&lt;&gt;0,($H110/$G110)*DW110,0)*(1-$K110)</f>
        <v>0</v>
      </c>
      <c r="DY110" s="1117">
        <f t="shared" ref="DY110:DY115" si="374">VLOOKUP($E110,DW$442:DZ$453,3,FALSE)*DW110*($K110)+IF($G110&lt;&gt;0,($I110/$G110)*DW110,0)*(1-$K110)</f>
        <v>0</v>
      </c>
      <c r="DZ110" s="1117">
        <f t="shared" si="304"/>
        <v>0</v>
      </c>
      <c r="EA110" s="1118"/>
      <c r="EE110" s="1116">
        <f t="shared" si="340"/>
        <v>0</v>
      </c>
      <c r="EF110" s="1117">
        <f t="shared" ref="EF110:EF115" si="375">VLOOKUP($E110,EE$442:EH$453,2,FALSE)*EE110*($K110)+IF($G110&lt;&gt;0,($H110/$G110)*EE110,0)*(1-$K110)</f>
        <v>0</v>
      </c>
      <c r="EG110" s="1117">
        <f t="shared" ref="EG110:EG115" si="376">VLOOKUP($E110,EE$442:EH$453,3,FALSE)*EE110*($K110)+IF($G110&lt;&gt;0,($I110/$G110)*EE110,0)*(1-$K110)</f>
        <v>0</v>
      </c>
      <c r="EH110" s="1117">
        <f t="shared" si="308"/>
        <v>0</v>
      </c>
      <c r="EI110" s="1118"/>
      <c r="EM110" s="1116">
        <f t="shared" si="341"/>
        <v>0</v>
      </c>
      <c r="EN110" s="1117">
        <f t="shared" ref="EN110:EN115" si="377">VLOOKUP($E110,EM$442:EP$453,2,FALSE)*EM110*($K110)+IF($G110&lt;&gt;0,($H110/$G110)*EM110,0)*(1-$K110)</f>
        <v>0</v>
      </c>
      <c r="EO110" s="1117">
        <f t="shared" ref="EO110:EO115" si="378">VLOOKUP($E110,EM$442:EP$453,3,FALSE)*EM110*($K110)+IF($G110&lt;&gt;0,($I110/$G110)*EM110,0)*(1-$K110)</f>
        <v>0</v>
      </c>
      <c r="EP110" s="1117">
        <f t="shared" si="312"/>
        <v>0</v>
      </c>
      <c r="EQ110" s="1118"/>
      <c r="EU110" s="1116">
        <f t="shared" si="342"/>
        <v>0</v>
      </c>
      <c r="EV110" s="1117">
        <f t="shared" ref="EV110:EV115" si="379">VLOOKUP($E110,EU$442:EX$453,2,FALSE)*EU110*($K110)+IF($G110&lt;&gt;0,($H110/$G110)*EU110,0)*(1-$K110)</f>
        <v>0</v>
      </c>
      <c r="EW110" s="1117">
        <f t="shared" ref="EW110:EW115" si="380">VLOOKUP($E110,EU$442:EX$453,3,FALSE)*EU110*($K110)+IF($G110&lt;&gt;0,($I110/$G110)*EU110,0)*(1-$K110)</f>
        <v>0</v>
      </c>
      <c r="EX110" s="1117">
        <f t="shared" si="316"/>
        <v>0</v>
      </c>
      <c r="EY110" s="1118"/>
      <c r="FC110" s="1116">
        <f t="shared" si="343"/>
        <v>0</v>
      </c>
      <c r="FD110" s="1117">
        <f t="shared" ref="FD110:FD115" si="381">VLOOKUP($E110,FC$442:FF$453,2,FALSE)*FC110*($K110)+IF($G110&lt;&gt;0,($H110/$G110)*FC110,0)*(1-$K110)</f>
        <v>0</v>
      </c>
      <c r="FE110" s="1117">
        <f t="shared" ref="FE110:FE115" si="382">VLOOKUP($E110,FC$442:FF$453,3,FALSE)*FC110*($K110)+IF($G110&lt;&gt;0,($I110/$G110)*FC110,0)*(1-$K110)</f>
        <v>0</v>
      </c>
      <c r="FF110" s="1117">
        <f t="shared" si="320"/>
        <v>0</v>
      </c>
      <c r="FG110" s="1118"/>
      <c r="FK110" s="1116">
        <f t="shared" si="344"/>
        <v>0</v>
      </c>
      <c r="FL110" s="1117">
        <f t="shared" ref="FL110:FL115" si="383">VLOOKUP($E110,FK$442:FN$453,2,FALSE)*FK110*($K110)+IF($G110&lt;&gt;0,($H110/$G110)*FK110,0)*(1-$K110)</f>
        <v>0</v>
      </c>
      <c r="FM110" s="1117">
        <f t="shared" ref="FM110:FM115" si="384">VLOOKUP($E110,FK$442:FN$453,3,FALSE)*FK110*($K110)+IF($G110&lt;&gt;0,($I110/$G110)*FK110,0)*(1-$K110)</f>
        <v>0</v>
      </c>
      <c r="FN110" s="1117">
        <f t="shared" si="324"/>
        <v>0</v>
      </c>
      <c r="FO110" s="1118"/>
    </row>
    <row r="111" spans="1:171">
      <c r="A111" s="1423"/>
      <c r="B111" s="10" t="s">
        <v>8</v>
      </c>
      <c r="C111" s="888" t="s">
        <v>78</v>
      </c>
      <c r="D111" s="888">
        <v>165</v>
      </c>
      <c r="E111" s="182" t="str">
        <f>'Sch 1- Rate Base '!E111</f>
        <v>PTD</v>
      </c>
      <c r="F111" s="889"/>
      <c r="G111" s="182">
        <f>'Sch 1- Rate Base '!G111</f>
        <v>50221551.920000002</v>
      </c>
      <c r="H111" s="182">
        <f>'Sch 1- Rate Base '!H111</f>
        <v>15958441.446825081</v>
      </c>
      <c r="I111" s="182">
        <f>'Sch 1- Rate Base '!I111</f>
        <v>0</v>
      </c>
      <c r="J111" s="1424">
        <f>'Sch 1- Rate Base '!J111</f>
        <v>34263110.473174915</v>
      </c>
      <c r="K111" s="903">
        <f t="shared" si="244"/>
        <v>1</v>
      </c>
      <c r="O111" s="1116">
        <f t="shared" si="325"/>
        <v>50221551.920000002</v>
      </c>
      <c r="P111" s="1117">
        <f t="shared" si="345"/>
        <v>15958441.446825081</v>
      </c>
      <c r="Q111" s="1117">
        <f t="shared" si="346"/>
        <v>10459011.631566703</v>
      </c>
      <c r="R111" s="1117">
        <f>VLOOKUP($E111,O$442:R$453,4,FALSE)*O111*($K111)+(O111-P111-Q111)*(1-$K111)</f>
        <v>23804098.841608215</v>
      </c>
      <c r="S111" s="1118"/>
      <c r="W111" s="1116">
        <f t="shared" si="326"/>
        <v>50221551.920000002</v>
      </c>
      <c r="X111" s="1117">
        <f t="shared" si="347"/>
        <v>15958441.446825081</v>
      </c>
      <c r="Y111" s="1117">
        <f t="shared" si="348"/>
        <v>10459011.631566703</v>
      </c>
      <c r="Z111" s="1117">
        <f>VLOOKUP($E111,W$442:Z$453,4,FALSE)*W111*($K111)+(W111-X111-Y111)*(1-$K111)</f>
        <v>23804098.841608215</v>
      </c>
      <c r="AA111" s="1118"/>
      <c r="AE111" s="1116">
        <f t="shared" si="327"/>
        <v>50221551.920000002</v>
      </c>
      <c r="AF111" s="1117">
        <f t="shared" si="349"/>
        <v>15958441.446825081</v>
      </c>
      <c r="AG111" s="1117">
        <f t="shared" si="350"/>
        <v>10459011.631566703</v>
      </c>
      <c r="AH111" s="1117">
        <f>VLOOKUP($E111,AE$442:AH$453,4,FALSE)*AE111*($K111)+(AE111-AF111-AG111)*(1-$K111)</f>
        <v>23804098.841608215</v>
      </c>
      <c r="AI111" s="1118"/>
      <c r="AM111" s="1116">
        <f t="shared" si="328"/>
        <v>50221551.920000002</v>
      </c>
      <c r="AN111" s="1117">
        <f t="shared" si="351"/>
        <v>15958441.446825081</v>
      </c>
      <c r="AO111" s="1117">
        <f t="shared" si="352"/>
        <v>10459011.631566703</v>
      </c>
      <c r="AP111" s="1117">
        <f>VLOOKUP($E111,AM$442:AP$453,4,FALSE)*AM111*($K111)+(AM111-AN111-AO111)*(1-$K111)</f>
        <v>23804098.841608215</v>
      </c>
      <c r="AQ111" s="1118"/>
      <c r="AU111" s="1116">
        <f t="shared" si="329"/>
        <v>50221551.920000002</v>
      </c>
      <c r="AV111" s="1117">
        <f t="shared" si="353"/>
        <v>15958441.446825081</v>
      </c>
      <c r="AW111" s="1117">
        <f t="shared" si="354"/>
        <v>10459011.631566703</v>
      </c>
      <c r="AX111" s="1117">
        <f>VLOOKUP($E111,AU$442:AX$453,4,FALSE)*AU111*($K111)+(AU111-AV111-AW111)*(1-$K111)</f>
        <v>23804098.841608215</v>
      </c>
      <c r="AY111" s="1118"/>
      <c r="BC111" s="1116">
        <f t="shared" si="330"/>
        <v>50221551.920000002</v>
      </c>
      <c r="BD111" s="1117">
        <f t="shared" si="355"/>
        <v>15958441.446825081</v>
      </c>
      <c r="BE111" s="1117">
        <f t="shared" si="356"/>
        <v>10459011.631566703</v>
      </c>
      <c r="BF111" s="1117">
        <f>VLOOKUP($E111,BC$442:BF$453,4,FALSE)*BC111*($K111)+(BC111-BD111-BE111)*(1-$K111)</f>
        <v>23804098.841608215</v>
      </c>
      <c r="BG111" s="1118"/>
      <c r="BK111" s="1116">
        <f t="shared" si="331"/>
        <v>50221551.920000002</v>
      </c>
      <c r="BL111" s="1117">
        <f t="shared" si="357"/>
        <v>15958441.446825081</v>
      </c>
      <c r="BM111" s="1117">
        <f t="shared" si="358"/>
        <v>10459011.631566703</v>
      </c>
      <c r="BN111" s="1117">
        <f>VLOOKUP($E111,BK$442:BN$453,4,FALSE)*BK111*($K111)+(BK111-BL111-BM111)*(1-$K111)</f>
        <v>23804098.841608215</v>
      </c>
      <c r="BO111" s="1118"/>
      <c r="BS111" s="1116">
        <f t="shared" si="332"/>
        <v>50221551.920000002</v>
      </c>
      <c r="BT111" s="1117">
        <f t="shared" si="359"/>
        <v>15958441.446825081</v>
      </c>
      <c r="BU111" s="1117">
        <f t="shared" si="360"/>
        <v>10459011.631566703</v>
      </c>
      <c r="BV111" s="1117">
        <f>VLOOKUP($E111,BS$442:BV$453,4,FALSE)*BS111*($K111)+(BS111-BT111-BU111)*(1-$K111)</f>
        <v>23804098.841608215</v>
      </c>
      <c r="BW111" s="1118"/>
      <c r="CA111" s="1116">
        <f t="shared" si="333"/>
        <v>50221551.920000002</v>
      </c>
      <c r="CB111" s="1117">
        <f t="shared" si="361"/>
        <v>15958441.446825081</v>
      </c>
      <c r="CC111" s="1117">
        <f t="shared" si="362"/>
        <v>10459011.631566703</v>
      </c>
      <c r="CD111" s="1117">
        <f>VLOOKUP($E111,CA$442:CD$453,4,FALSE)*CA111*($K111)+(CA111-CB111-CC111)*(1-$K111)</f>
        <v>23804098.841608215</v>
      </c>
      <c r="CE111" s="1118"/>
      <c r="CI111" s="1116">
        <f t="shared" si="334"/>
        <v>50221551.920000002</v>
      </c>
      <c r="CJ111" s="1117">
        <f t="shared" si="363"/>
        <v>15958441.446825081</v>
      </c>
      <c r="CK111" s="1117">
        <f t="shared" si="364"/>
        <v>10459011.631566703</v>
      </c>
      <c r="CL111" s="1117">
        <f>VLOOKUP($E111,CI$442:CL$453,4,FALSE)*CI111*($K111)+(CI111-CJ111-CK111)*(1-$K111)</f>
        <v>23804098.841608215</v>
      </c>
      <c r="CM111" s="1118"/>
      <c r="CQ111" s="1116">
        <f t="shared" si="335"/>
        <v>50221551.920000002</v>
      </c>
      <c r="CR111" s="1117">
        <f t="shared" si="365"/>
        <v>15958441.446825081</v>
      </c>
      <c r="CS111" s="1117">
        <f t="shared" si="366"/>
        <v>10459011.631566703</v>
      </c>
      <c r="CT111" s="1117">
        <f>VLOOKUP($E111,CQ$442:CT$453,4,FALSE)*CQ111*($K111)+(CQ111-CR111-CS111)*(1-$K111)</f>
        <v>23804098.841608215</v>
      </c>
      <c r="CU111" s="1118"/>
      <c r="CY111" s="1116">
        <f t="shared" si="336"/>
        <v>50221551.920000002</v>
      </c>
      <c r="CZ111" s="1117">
        <f t="shared" si="367"/>
        <v>15958441.446825081</v>
      </c>
      <c r="DA111" s="1117">
        <f t="shared" si="368"/>
        <v>10459011.631566703</v>
      </c>
      <c r="DB111" s="1117">
        <f>VLOOKUP($E111,CY$442:DB$453,4,FALSE)*CY111*($K111)+(CY111-CZ111-DA111)*(1-$K111)</f>
        <v>23804098.841608215</v>
      </c>
      <c r="DC111" s="1118"/>
      <c r="DG111" s="1116">
        <f t="shared" si="337"/>
        <v>50221551.920000002</v>
      </c>
      <c r="DH111" s="1117">
        <f t="shared" si="369"/>
        <v>15958441.446825081</v>
      </c>
      <c r="DI111" s="1117">
        <f t="shared" si="370"/>
        <v>10459011.631566703</v>
      </c>
      <c r="DJ111" s="1117">
        <f>VLOOKUP($E111,DG$442:DJ$453,4,FALSE)*DG111*($K111)+(DG111-DH111-DI111)*(1-$K111)</f>
        <v>23804098.841608215</v>
      </c>
      <c r="DK111" s="1118"/>
      <c r="DO111" s="1116">
        <f t="shared" si="338"/>
        <v>50221551.920000002</v>
      </c>
      <c r="DP111" s="1117">
        <f t="shared" si="371"/>
        <v>15958441.446825081</v>
      </c>
      <c r="DQ111" s="1117">
        <f t="shared" si="372"/>
        <v>10459011.631566703</v>
      </c>
      <c r="DR111" s="1117">
        <f>VLOOKUP($E111,DO$442:DR$453,4,FALSE)*DO111*($K111)+(DO111-DP111-DQ111)*(1-$K111)</f>
        <v>23804098.841608215</v>
      </c>
      <c r="DS111" s="1118"/>
      <c r="DW111" s="1116">
        <f t="shared" si="339"/>
        <v>50221551.920000002</v>
      </c>
      <c r="DX111" s="1117">
        <f t="shared" si="373"/>
        <v>15958441.446825081</v>
      </c>
      <c r="DY111" s="1117">
        <f t="shared" si="374"/>
        <v>10459011.631566703</v>
      </c>
      <c r="DZ111" s="1117">
        <f>VLOOKUP($E111,DW$442:DZ$453,4,FALSE)*DW111*($K111)+(DW111-DX111-DY111)*(1-$K111)</f>
        <v>23804098.841608215</v>
      </c>
      <c r="EA111" s="1118"/>
      <c r="EE111" s="1116">
        <f t="shared" si="340"/>
        <v>50221551.920000002</v>
      </c>
      <c r="EF111" s="1117">
        <f t="shared" si="375"/>
        <v>15958441.446825081</v>
      </c>
      <c r="EG111" s="1117">
        <f t="shared" si="376"/>
        <v>10459011.631566703</v>
      </c>
      <c r="EH111" s="1117">
        <f>VLOOKUP($E111,EE$442:EH$453,4,FALSE)*EE111*($K111)+(EE111-EF111-EG111)*(1-$K111)</f>
        <v>23804098.841608215</v>
      </c>
      <c r="EI111" s="1118"/>
      <c r="EM111" s="1116">
        <f t="shared" si="341"/>
        <v>50221551.920000002</v>
      </c>
      <c r="EN111" s="1117">
        <f t="shared" si="377"/>
        <v>15958441.446825081</v>
      </c>
      <c r="EO111" s="1117">
        <f t="shared" si="378"/>
        <v>10459011.631566703</v>
      </c>
      <c r="EP111" s="1117">
        <f>VLOOKUP($E111,EM$442:EP$453,4,FALSE)*EM111*($K111)+(EM111-EN111-EO111)*(1-$K111)</f>
        <v>23804098.841608215</v>
      </c>
      <c r="EQ111" s="1118"/>
      <c r="EU111" s="1116">
        <f t="shared" si="342"/>
        <v>50221551.920000002</v>
      </c>
      <c r="EV111" s="1117">
        <f t="shared" si="379"/>
        <v>15958441.446825081</v>
      </c>
      <c r="EW111" s="1117">
        <f t="shared" si="380"/>
        <v>10459011.631566703</v>
      </c>
      <c r="EX111" s="1117">
        <f>VLOOKUP($E111,EU$442:EX$453,4,FALSE)*EU111*($K111)+(EU111-EV111-EW111)*(1-$K111)</f>
        <v>23804098.841608215</v>
      </c>
      <c r="EY111" s="1118"/>
      <c r="FC111" s="1116">
        <f t="shared" si="343"/>
        <v>50221551.920000002</v>
      </c>
      <c r="FD111" s="1117">
        <f t="shared" si="381"/>
        <v>15958441.446825081</v>
      </c>
      <c r="FE111" s="1117">
        <f t="shared" si="382"/>
        <v>10459011.631566703</v>
      </c>
      <c r="FF111" s="1117">
        <f>VLOOKUP($E111,FC$442:FF$453,4,FALSE)*FC111*($K111)+(FC111-FD111-FE111)*(1-$K111)</f>
        <v>23804098.841608215</v>
      </c>
      <c r="FG111" s="1118"/>
      <c r="FK111" s="1116">
        <f t="shared" si="344"/>
        <v>50221551.920000002</v>
      </c>
      <c r="FL111" s="1117">
        <f t="shared" si="383"/>
        <v>15958441.446825081</v>
      </c>
      <c r="FM111" s="1117">
        <f t="shared" si="384"/>
        <v>10459011.631566703</v>
      </c>
      <c r="FN111" s="1117">
        <f>VLOOKUP($E111,FK$442:FN$453,4,FALSE)*FK111*($K111)+(FK111-FL111-FM111)*(1-$K111)</f>
        <v>23804098.841608215</v>
      </c>
      <c r="FO111" s="1118"/>
    </row>
    <row r="112" spans="1:171">
      <c r="A112" s="1423"/>
      <c r="B112" s="79" t="s">
        <v>9</v>
      </c>
      <c r="C112" s="888" t="s">
        <v>78</v>
      </c>
      <c r="D112" s="888">
        <v>175</v>
      </c>
      <c r="E112" s="182" t="str">
        <f>'Sch 1- Rate Base '!E112</f>
        <v>DIST</v>
      </c>
      <c r="F112" s="889"/>
      <c r="G112" s="182">
        <f>'Sch 1- Rate Base '!G112</f>
        <v>11821032.84</v>
      </c>
      <c r="H112" s="182">
        <f>'Sch 1- Rate Base '!H112</f>
        <v>0</v>
      </c>
      <c r="I112" s="182">
        <f>'Sch 1- Rate Base '!I112</f>
        <v>0</v>
      </c>
      <c r="J112" s="1424">
        <f>'Sch 1- Rate Base '!J112</f>
        <v>11821032.84</v>
      </c>
      <c r="K112" s="903">
        <f t="shared" si="244"/>
        <v>1</v>
      </c>
      <c r="O112" s="1116">
        <f t="shared" si="325"/>
        <v>11821032.84</v>
      </c>
      <c r="P112" s="1117">
        <f t="shared" si="345"/>
        <v>0</v>
      </c>
      <c r="Q112" s="1117">
        <f t="shared" si="346"/>
        <v>0</v>
      </c>
      <c r="R112" s="1117">
        <f>VLOOKUP($E112,O$442:R$453,4,FALSE)*O112*($K112)+(O112-P112-Q112)*(1-$K112)</f>
        <v>11821032.84</v>
      </c>
      <c r="S112" s="1118"/>
      <c r="W112" s="1116">
        <f t="shared" si="326"/>
        <v>11821032.84</v>
      </c>
      <c r="X112" s="1117">
        <f t="shared" si="347"/>
        <v>0</v>
      </c>
      <c r="Y112" s="1117">
        <f t="shared" si="348"/>
        <v>0</v>
      </c>
      <c r="Z112" s="1117">
        <f>VLOOKUP($E112,W$442:Z$453,4,FALSE)*W112*($K112)+(W112-X112-Y112)*(1-$K112)</f>
        <v>11821032.84</v>
      </c>
      <c r="AA112" s="1118"/>
      <c r="AE112" s="1116">
        <f t="shared" si="327"/>
        <v>11821032.84</v>
      </c>
      <c r="AF112" s="1117">
        <f t="shared" si="349"/>
        <v>0</v>
      </c>
      <c r="AG112" s="1117">
        <f t="shared" si="350"/>
        <v>0</v>
      </c>
      <c r="AH112" s="1117">
        <f>VLOOKUP($E112,AE$442:AH$453,4,FALSE)*AE112*($K112)+(AE112-AF112-AG112)*(1-$K112)</f>
        <v>11821032.84</v>
      </c>
      <c r="AI112" s="1118"/>
      <c r="AM112" s="1116">
        <f t="shared" si="328"/>
        <v>11821032.84</v>
      </c>
      <c r="AN112" s="1117">
        <f t="shared" si="351"/>
        <v>0</v>
      </c>
      <c r="AO112" s="1117">
        <f t="shared" si="352"/>
        <v>0</v>
      </c>
      <c r="AP112" s="1117">
        <f>VLOOKUP($E112,AM$442:AP$453,4,FALSE)*AM112*($K112)+(AM112-AN112-AO112)*(1-$K112)</f>
        <v>11821032.84</v>
      </c>
      <c r="AQ112" s="1118"/>
      <c r="AU112" s="1116">
        <f t="shared" si="329"/>
        <v>11821032.84</v>
      </c>
      <c r="AV112" s="1117">
        <f t="shared" si="353"/>
        <v>0</v>
      </c>
      <c r="AW112" s="1117">
        <f t="shared" si="354"/>
        <v>0</v>
      </c>
      <c r="AX112" s="1117">
        <f>VLOOKUP($E112,AU$442:AX$453,4,FALSE)*AU112*($K112)+(AU112-AV112-AW112)*(1-$K112)</f>
        <v>11821032.84</v>
      </c>
      <c r="AY112" s="1118"/>
      <c r="BC112" s="1116">
        <f t="shared" si="330"/>
        <v>11821032.84</v>
      </c>
      <c r="BD112" s="1117">
        <f t="shared" si="355"/>
        <v>0</v>
      </c>
      <c r="BE112" s="1117">
        <f t="shared" si="356"/>
        <v>0</v>
      </c>
      <c r="BF112" s="1117">
        <f>VLOOKUP($E112,BC$442:BF$453,4,FALSE)*BC112*($K112)+(BC112-BD112-BE112)*(1-$K112)</f>
        <v>11821032.84</v>
      </c>
      <c r="BG112" s="1118"/>
      <c r="BK112" s="1116">
        <f t="shared" si="331"/>
        <v>11821032.84</v>
      </c>
      <c r="BL112" s="1117">
        <f t="shared" si="357"/>
        <v>0</v>
      </c>
      <c r="BM112" s="1117">
        <f t="shared" si="358"/>
        <v>0</v>
      </c>
      <c r="BN112" s="1117">
        <f>VLOOKUP($E112,BK$442:BN$453,4,FALSE)*BK112*($K112)+(BK112-BL112-BM112)*(1-$K112)</f>
        <v>11821032.84</v>
      </c>
      <c r="BO112" s="1118"/>
      <c r="BS112" s="1116">
        <f t="shared" si="332"/>
        <v>11821032.84</v>
      </c>
      <c r="BT112" s="1117">
        <f t="shared" si="359"/>
        <v>0</v>
      </c>
      <c r="BU112" s="1117">
        <f t="shared" si="360"/>
        <v>0</v>
      </c>
      <c r="BV112" s="1117">
        <f>VLOOKUP($E112,BS$442:BV$453,4,FALSE)*BS112*($K112)+(BS112-BT112-BU112)*(1-$K112)</f>
        <v>11821032.84</v>
      </c>
      <c r="BW112" s="1118"/>
      <c r="CA112" s="1116">
        <f t="shared" si="333"/>
        <v>11821032.84</v>
      </c>
      <c r="CB112" s="1117">
        <f t="shared" si="361"/>
        <v>0</v>
      </c>
      <c r="CC112" s="1117">
        <f t="shared" si="362"/>
        <v>0</v>
      </c>
      <c r="CD112" s="1117">
        <f>VLOOKUP($E112,CA$442:CD$453,4,FALSE)*CA112*($K112)+(CA112-CB112-CC112)*(1-$K112)</f>
        <v>11821032.84</v>
      </c>
      <c r="CE112" s="1118"/>
      <c r="CI112" s="1116">
        <f t="shared" si="334"/>
        <v>11821032.84</v>
      </c>
      <c r="CJ112" s="1117">
        <f t="shared" si="363"/>
        <v>0</v>
      </c>
      <c r="CK112" s="1117">
        <f t="shared" si="364"/>
        <v>0</v>
      </c>
      <c r="CL112" s="1117">
        <f>VLOOKUP($E112,CI$442:CL$453,4,FALSE)*CI112*($K112)+(CI112-CJ112-CK112)*(1-$K112)</f>
        <v>11821032.84</v>
      </c>
      <c r="CM112" s="1118"/>
      <c r="CQ112" s="1116">
        <f t="shared" si="335"/>
        <v>11821032.84</v>
      </c>
      <c r="CR112" s="1117">
        <f t="shared" si="365"/>
        <v>0</v>
      </c>
      <c r="CS112" s="1117">
        <f t="shared" si="366"/>
        <v>0</v>
      </c>
      <c r="CT112" s="1117">
        <f>VLOOKUP($E112,CQ$442:CT$453,4,FALSE)*CQ112*($K112)+(CQ112-CR112-CS112)*(1-$K112)</f>
        <v>11821032.84</v>
      </c>
      <c r="CU112" s="1118"/>
      <c r="CY112" s="1116">
        <f t="shared" si="336"/>
        <v>11821032.84</v>
      </c>
      <c r="CZ112" s="1117">
        <f t="shared" si="367"/>
        <v>0</v>
      </c>
      <c r="DA112" s="1117">
        <f t="shared" si="368"/>
        <v>0</v>
      </c>
      <c r="DB112" s="1117">
        <f>VLOOKUP($E112,CY$442:DB$453,4,FALSE)*CY112*($K112)+(CY112-CZ112-DA112)*(1-$K112)</f>
        <v>11821032.84</v>
      </c>
      <c r="DC112" s="1118"/>
      <c r="DG112" s="1116">
        <f t="shared" si="337"/>
        <v>11821032.84</v>
      </c>
      <c r="DH112" s="1117">
        <f t="shared" si="369"/>
        <v>0</v>
      </c>
      <c r="DI112" s="1117">
        <f t="shared" si="370"/>
        <v>0</v>
      </c>
      <c r="DJ112" s="1117">
        <f>VLOOKUP($E112,DG$442:DJ$453,4,FALSE)*DG112*($K112)+(DG112-DH112-DI112)*(1-$K112)</f>
        <v>11821032.84</v>
      </c>
      <c r="DK112" s="1118"/>
      <c r="DO112" s="1116">
        <f t="shared" si="338"/>
        <v>11821032.84</v>
      </c>
      <c r="DP112" s="1117">
        <f t="shared" si="371"/>
        <v>0</v>
      </c>
      <c r="DQ112" s="1117">
        <f t="shared" si="372"/>
        <v>0</v>
      </c>
      <c r="DR112" s="1117">
        <f>VLOOKUP($E112,DO$442:DR$453,4,FALSE)*DO112*($K112)+(DO112-DP112-DQ112)*(1-$K112)</f>
        <v>11821032.84</v>
      </c>
      <c r="DS112" s="1118"/>
      <c r="DW112" s="1116">
        <f t="shared" si="339"/>
        <v>11821032.84</v>
      </c>
      <c r="DX112" s="1117">
        <f t="shared" si="373"/>
        <v>0</v>
      </c>
      <c r="DY112" s="1117">
        <f t="shared" si="374"/>
        <v>0</v>
      </c>
      <c r="DZ112" s="1117">
        <f>VLOOKUP($E112,DW$442:DZ$453,4,FALSE)*DW112*($K112)+(DW112-DX112-DY112)*(1-$K112)</f>
        <v>11821032.84</v>
      </c>
      <c r="EA112" s="1118"/>
      <c r="EE112" s="1116">
        <f t="shared" si="340"/>
        <v>11821032.84</v>
      </c>
      <c r="EF112" s="1117">
        <f t="shared" si="375"/>
        <v>0</v>
      </c>
      <c r="EG112" s="1117">
        <f t="shared" si="376"/>
        <v>0</v>
      </c>
      <c r="EH112" s="1117">
        <f>VLOOKUP($E112,EE$442:EH$453,4,FALSE)*EE112*($K112)+(EE112-EF112-EG112)*(1-$K112)</f>
        <v>11821032.84</v>
      </c>
      <c r="EI112" s="1118"/>
      <c r="EM112" s="1116">
        <f t="shared" si="341"/>
        <v>11821032.84</v>
      </c>
      <c r="EN112" s="1117">
        <f t="shared" si="377"/>
        <v>0</v>
      </c>
      <c r="EO112" s="1117">
        <f t="shared" si="378"/>
        <v>0</v>
      </c>
      <c r="EP112" s="1117">
        <f>VLOOKUP($E112,EM$442:EP$453,4,FALSE)*EM112*($K112)+(EM112-EN112-EO112)*(1-$K112)</f>
        <v>11821032.84</v>
      </c>
      <c r="EQ112" s="1118"/>
      <c r="EU112" s="1116">
        <f t="shared" si="342"/>
        <v>11821032.84</v>
      </c>
      <c r="EV112" s="1117">
        <f t="shared" si="379"/>
        <v>0</v>
      </c>
      <c r="EW112" s="1117">
        <f t="shared" si="380"/>
        <v>0</v>
      </c>
      <c r="EX112" s="1117">
        <f>VLOOKUP($E112,EU$442:EX$453,4,FALSE)*EU112*($K112)+(EU112-EV112-EW112)*(1-$K112)</f>
        <v>11821032.84</v>
      </c>
      <c r="EY112" s="1118"/>
      <c r="FC112" s="1116">
        <f t="shared" si="343"/>
        <v>11821032.84</v>
      </c>
      <c r="FD112" s="1117">
        <f t="shared" si="381"/>
        <v>0</v>
      </c>
      <c r="FE112" s="1117">
        <f t="shared" si="382"/>
        <v>0</v>
      </c>
      <c r="FF112" s="1117">
        <f>VLOOKUP($E112,FC$442:FF$453,4,FALSE)*FC112*($K112)+(FC112-FD112-FE112)*(1-$K112)</f>
        <v>11821032.84</v>
      </c>
      <c r="FG112" s="1118"/>
      <c r="FK112" s="1116">
        <f t="shared" si="344"/>
        <v>11821032.84</v>
      </c>
      <c r="FL112" s="1117">
        <f t="shared" si="383"/>
        <v>0</v>
      </c>
      <c r="FM112" s="1117">
        <f t="shared" si="384"/>
        <v>0</v>
      </c>
      <c r="FN112" s="1117">
        <f>VLOOKUP($E112,FK$442:FN$453,4,FALSE)*FK112*($K112)+(FK112-FL112-FM112)*(1-$K112)</f>
        <v>11821032.84</v>
      </c>
      <c r="FO112" s="1118"/>
    </row>
    <row r="113" spans="1:171">
      <c r="A113" s="1423"/>
      <c r="B113" s="79" t="s">
        <v>626</v>
      </c>
      <c r="C113" s="888" t="s">
        <v>255</v>
      </c>
      <c r="D113" s="888">
        <v>175</v>
      </c>
      <c r="E113" s="182" t="str">
        <f>'Sch 1- Rate Base '!E113</f>
        <v>DIST</v>
      </c>
      <c r="F113" s="889"/>
      <c r="G113" s="182">
        <f>'Sch 1- Rate Base '!G113</f>
        <v>0</v>
      </c>
      <c r="H113" s="182">
        <f>'Sch 1- Rate Base '!H113</f>
        <v>0</v>
      </c>
      <c r="I113" s="182">
        <f>'Sch 1- Rate Base '!I113</f>
        <v>0</v>
      </c>
      <c r="J113" s="1424">
        <f>'Sch 1- Rate Base '!J113</f>
        <v>0</v>
      </c>
      <c r="K113" s="903">
        <f t="shared" si="244"/>
        <v>1</v>
      </c>
      <c r="O113" s="1116">
        <f t="shared" si="325"/>
        <v>0</v>
      </c>
      <c r="P113" s="1117">
        <f t="shared" si="345"/>
        <v>0</v>
      </c>
      <c r="Q113" s="1117">
        <f t="shared" si="346"/>
        <v>0</v>
      </c>
      <c r="R113" s="1117">
        <f>VLOOKUP($E113,O$442:R$453,4,FALSE)*O113*($K113)+(O113-P113-Q113)*(1-$K113)</f>
        <v>0</v>
      </c>
      <c r="S113" s="1118"/>
      <c r="W113" s="1116">
        <f t="shared" si="326"/>
        <v>0</v>
      </c>
      <c r="X113" s="1117">
        <f t="shared" si="347"/>
        <v>0</v>
      </c>
      <c r="Y113" s="1117">
        <f t="shared" si="348"/>
        <v>0</v>
      </c>
      <c r="Z113" s="1117">
        <f>VLOOKUP($E113,W$442:Z$453,4,FALSE)*W113*($K113)+(W113-X113-Y113)*(1-$K113)</f>
        <v>0</v>
      </c>
      <c r="AA113" s="1118"/>
      <c r="AE113" s="1116">
        <f t="shared" si="327"/>
        <v>0</v>
      </c>
      <c r="AF113" s="1117">
        <f t="shared" si="349"/>
        <v>0</v>
      </c>
      <c r="AG113" s="1117">
        <f t="shared" si="350"/>
        <v>0</v>
      </c>
      <c r="AH113" s="1117">
        <f>VLOOKUP($E113,AE$442:AH$453,4,FALSE)*AE113*($K113)+(AE113-AF113-AG113)*(1-$K113)</f>
        <v>0</v>
      </c>
      <c r="AI113" s="1118"/>
      <c r="AM113" s="1116">
        <f t="shared" si="328"/>
        <v>0</v>
      </c>
      <c r="AN113" s="1117">
        <f t="shared" si="351"/>
        <v>0</v>
      </c>
      <c r="AO113" s="1117">
        <f t="shared" si="352"/>
        <v>0</v>
      </c>
      <c r="AP113" s="1117">
        <f>VLOOKUP($E113,AM$442:AP$453,4,FALSE)*AM113*($K113)+(AM113-AN113-AO113)*(1-$K113)</f>
        <v>0</v>
      </c>
      <c r="AQ113" s="1118"/>
      <c r="AU113" s="1116">
        <f t="shared" si="329"/>
        <v>0</v>
      </c>
      <c r="AV113" s="1117">
        <f t="shared" si="353"/>
        <v>0</v>
      </c>
      <c r="AW113" s="1117">
        <f t="shared" si="354"/>
        <v>0</v>
      </c>
      <c r="AX113" s="1117">
        <f>VLOOKUP($E113,AU$442:AX$453,4,FALSE)*AU113*($K113)+(AU113-AV113-AW113)*(1-$K113)</f>
        <v>0</v>
      </c>
      <c r="AY113" s="1118"/>
      <c r="BC113" s="1116">
        <f t="shared" si="330"/>
        <v>0</v>
      </c>
      <c r="BD113" s="1117">
        <f t="shared" si="355"/>
        <v>0</v>
      </c>
      <c r="BE113" s="1117">
        <f t="shared" si="356"/>
        <v>0</v>
      </c>
      <c r="BF113" s="1117">
        <f>VLOOKUP($E113,BC$442:BF$453,4,FALSE)*BC113*($K113)+(BC113-BD113-BE113)*(1-$K113)</f>
        <v>0</v>
      </c>
      <c r="BG113" s="1118"/>
      <c r="BK113" s="1116">
        <f t="shared" si="331"/>
        <v>0</v>
      </c>
      <c r="BL113" s="1117">
        <f t="shared" si="357"/>
        <v>0</v>
      </c>
      <c r="BM113" s="1117">
        <f t="shared" si="358"/>
        <v>0</v>
      </c>
      <c r="BN113" s="1117">
        <f>VLOOKUP($E113,BK$442:BN$453,4,FALSE)*BK113*($K113)+(BK113-BL113-BM113)*(1-$K113)</f>
        <v>0</v>
      </c>
      <c r="BO113" s="1118"/>
      <c r="BS113" s="1116">
        <f t="shared" si="332"/>
        <v>0</v>
      </c>
      <c r="BT113" s="1117">
        <f t="shared" si="359"/>
        <v>0</v>
      </c>
      <c r="BU113" s="1117">
        <f t="shared" si="360"/>
        <v>0</v>
      </c>
      <c r="BV113" s="1117">
        <f>VLOOKUP($E113,BS$442:BV$453,4,FALSE)*BS113*($K113)+(BS113-BT113-BU113)*(1-$K113)</f>
        <v>0</v>
      </c>
      <c r="BW113" s="1118"/>
      <c r="CA113" s="1116">
        <f t="shared" si="333"/>
        <v>0</v>
      </c>
      <c r="CB113" s="1117">
        <f t="shared" si="361"/>
        <v>0</v>
      </c>
      <c r="CC113" s="1117">
        <f t="shared" si="362"/>
        <v>0</v>
      </c>
      <c r="CD113" s="1117">
        <f>VLOOKUP($E113,CA$442:CD$453,4,FALSE)*CA113*($K113)+(CA113-CB113-CC113)*(1-$K113)</f>
        <v>0</v>
      </c>
      <c r="CE113" s="1118"/>
      <c r="CI113" s="1116">
        <f t="shared" si="334"/>
        <v>0</v>
      </c>
      <c r="CJ113" s="1117">
        <f t="shared" si="363"/>
        <v>0</v>
      </c>
      <c r="CK113" s="1117">
        <f t="shared" si="364"/>
        <v>0</v>
      </c>
      <c r="CL113" s="1117">
        <f>VLOOKUP($E113,CI$442:CL$453,4,FALSE)*CI113*($K113)+(CI113-CJ113-CK113)*(1-$K113)</f>
        <v>0</v>
      </c>
      <c r="CM113" s="1118"/>
      <c r="CQ113" s="1116">
        <f t="shared" si="335"/>
        <v>0</v>
      </c>
      <c r="CR113" s="1117">
        <f t="shared" si="365"/>
        <v>0</v>
      </c>
      <c r="CS113" s="1117">
        <f t="shared" si="366"/>
        <v>0</v>
      </c>
      <c r="CT113" s="1117">
        <f>VLOOKUP($E113,CQ$442:CT$453,4,FALSE)*CQ113*($K113)+(CQ113-CR113-CS113)*(1-$K113)</f>
        <v>0</v>
      </c>
      <c r="CU113" s="1118"/>
      <c r="CY113" s="1116">
        <f t="shared" si="336"/>
        <v>0</v>
      </c>
      <c r="CZ113" s="1117">
        <f t="shared" si="367"/>
        <v>0</v>
      </c>
      <c r="DA113" s="1117">
        <f t="shared" si="368"/>
        <v>0</v>
      </c>
      <c r="DB113" s="1117">
        <f>VLOOKUP($E113,CY$442:DB$453,4,FALSE)*CY113*($K113)+(CY113-CZ113-DA113)*(1-$K113)</f>
        <v>0</v>
      </c>
      <c r="DC113" s="1118"/>
      <c r="DG113" s="1116">
        <f t="shared" si="337"/>
        <v>0</v>
      </c>
      <c r="DH113" s="1117">
        <f t="shared" si="369"/>
        <v>0</v>
      </c>
      <c r="DI113" s="1117">
        <f t="shared" si="370"/>
        <v>0</v>
      </c>
      <c r="DJ113" s="1117">
        <f>VLOOKUP($E113,DG$442:DJ$453,4,FALSE)*DG113*($K113)+(DG113-DH113-DI113)*(1-$K113)</f>
        <v>0</v>
      </c>
      <c r="DK113" s="1118"/>
      <c r="DO113" s="1116">
        <f t="shared" si="338"/>
        <v>0</v>
      </c>
      <c r="DP113" s="1117">
        <f t="shared" si="371"/>
        <v>0</v>
      </c>
      <c r="DQ113" s="1117">
        <f t="shared" si="372"/>
        <v>0</v>
      </c>
      <c r="DR113" s="1117">
        <f>VLOOKUP($E113,DO$442:DR$453,4,FALSE)*DO113*($K113)+(DO113-DP113-DQ113)*(1-$K113)</f>
        <v>0</v>
      </c>
      <c r="DS113" s="1118"/>
      <c r="DW113" s="1116">
        <f t="shared" si="339"/>
        <v>0</v>
      </c>
      <c r="DX113" s="1117">
        <f t="shared" si="373"/>
        <v>0</v>
      </c>
      <c r="DY113" s="1117">
        <f t="shared" si="374"/>
        <v>0</v>
      </c>
      <c r="DZ113" s="1117">
        <f>VLOOKUP($E113,DW$442:DZ$453,4,FALSE)*DW113*($K113)+(DW113-DX113-DY113)*(1-$K113)</f>
        <v>0</v>
      </c>
      <c r="EA113" s="1118"/>
      <c r="EE113" s="1116">
        <f t="shared" si="340"/>
        <v>0</v>
      </c>
      <c r="EF113" s="1117">
        <f t="shared" si="375"/>
        <v>0</v>
      </c>
      <c r="EG113" s="1117">
        <f t="shared" si="376"/>
        <v>0</v>
      </c>
      <c r="EH113" s="1117">
        <f>VLOOKUP($E113,EE$442:EH$453,4,FALSE)*EE113*($K113)+(EE113-EF113-EG113)*(1-$K113)</f>
        <v>0</v>
      </c>
      <c r="EI113" s="1118"/>
      <c r="EM113" s="1116">
        <f t="shared" si="341"/>
        <v>0</v>
      </c>
      <c r="EN113" s="1117">
        <f t="shared" si="377"/>
        <v>0</v>
      </c>
      <c r="EO113" s="1117">
        <f t="shared" si="378"/>
        <v>0</v>
      </c>
      <c r="EP113" s="1117">
        <f>VLOOKUP($E113,EM$442:EP$453,4,FALSE)*EM113*($K113)+(EM113-EN113-EO113)*(1-$K113)</f>
        <v>0</v>
      </c>
      <c r="EQ113" s="1118"/>
      <c r="EU113" s="1116">
        <f t="shared" si="342"/>
        <v>0</v>
      </c>
      <c r="EV113" s="1117">
        <f t="shared" si="379"/>
        <v>0</v>
      </c>
      <c r="EW113" s="1117">
        <f t="shared" si="380"/>
        <v>0</v>
      </c>
      <c r="EX113" s="1117">
        <f>VLOOKUP($E113,EU$442:EX$453,4,FALSE)*EU113*($K113)+(EU113-EV113-EW113)*(1-$K113)</f>
        <v>0</v>
      </c>
      <c r="EY113" s="1118"/>
      <c r="FC113" s="1116">
        <f t="shared" si="343"/>
        <v>0</v>
      </c>
      <c r="FD113" s="1117">
        <f t="shared" si="381"/>
        <v>0</v>
      </c>
      <c r="FE113" s="1117">
        <f t="shared" si="382"/>
        <v>0</v>
      </c>
      <c r="FF113" s="1117">
        <f>VLOOKUP($E113,FC$442:FF$453,4,FALSE)*FC113*($K113)+(FC113-FD113-FE113)*(1-$K113)</f>
        <v>0</v>
      </c>
      <c r="FG113" s="1118"/>
      <c r="FK113" s="1116">
        <f t="shared" si="344"/>
        <v>0</v>
      </c>
      <c r="FL113" s="1117">
        <f t="shared" si="383"/>
        <v>0</v>
      </c>
      <c r="FM113" s="1117">
        <f t="shared" si="384"/>
        <v>0</v>
      </c>
      <c r="FN113" s="1117">
        <f>VLOOKUP($E113,FK$442:FN$453,4,FALSE)*FK113*($K113)+(FK113-FL113-FM113)*(1-$K113)</f>
        <v>0</v>
      </c>
      <c r="FO113" s="1118"/>
    </row>
    <row r="114" spans="1:171">
      <c r="A114" s="1423"/>
      <c r="B114" s="79" t="s">
        <v>334</v>
      </c>
      <c r="C114" s="954" t="s">
        <v>78</v>
      </c>
      <c r="D114" s="954">
        <v>176</v>
      </c>
      <c r="E114" s="182" t="str">
        <f>'Sch 1- Rate Base '!E114</f>
        <v>DIST</v>
      </c>
      <c r="F114" s="889"/>
      <c r="G114" s="182">
        <f>'Sch 1- Rate Base '!G114</f>
        <v>0</v>
      </c>
      <c r="H114" s="182">
        <f>'Sch 1- Rate Base '!H114</f>
        <v>0</v>
      </c>
      <c r="I114" s="182">
        <f>'Sch 1- Rate Base '!I114</f>
        <v>0</v>
      </c>
      <c r="J114" s="1424">
        <f>'Sch 1- Rate Base '!J114</f>
        <v>0</v>
      </c>
      <c r="K114" s="903">
        <f t="shared" si="244"/>
        <v>1</v>
      </c>
      <c r="O114" s="1116">
        <f t="shared" si="325"/>
        <v>0</v>
      </c>
      <c r="P114" s="1117">
        <f t="shared" si="345"/>
        <v>0</v>
      </c>
      <c r="Q114" s="1117">
        <f t="shared" si="346"/>
        <v>0</v>
      </c>
      <c r="R114" s="1117">
        <f>VLOOKUP($E114,O$442:R$453,4,FALSE)*O114*($K114)+(O114-P114-Q114)*(1-$K114)</f>
        <v>0</v>
      </c>
      <c r="S114" s="1118"/>
      <c r="W114" s="1116">
        <f t="shared" si="326"/>
        <v>0</v>
      </c>
      <c r="X114" s="1117">
        <f t="shared" si="347"/>
        <v>0</v>
      </c>
      <c r="Y114" s="1117">
        <f t="shared" si="348"/>
        <v>0</v>
      </c>
      <c r="Z114" s="1117">
        <f>VLOOKUP($E114,W$442:Z$453,4,FALSE)*W114*($K114)+(W114-X114-Y114)*(1-$K114)</f>
        <v>0</v>
      </c>
      <c r="AA114" s="1118"/>
      <c r="AE114" s="1116">
        <f t="shared" si="327"/>
        <v>0</v>
      </c>
      <c r="AF114" s="1117">
        <f t="shared" si="349"/>
        <v>0</v>
      </c>
      <c r="AG114" s="1117">
        <f t="shared" si="350"/>
        <v>0</v>
      </c>
      <c r="AH114" s="1117">
        <f>VLOOKUP($E114,AE$442:AH$453,4,FALSE)*AE114*($K114)+(AE114-AF114-AG114)*(1-$K114)</f>
        <v>0</v>
      </c>
      <c r="AI114" s="1118"/>
      <c r="AM114" s="1116">
        <f t="shared" si="328"/>
        <v>0</v>
      </c>
      <c r="AN114" s="1117">
        <f t="shared" si="351"/>
        <v>0</v>
      </c>
      <c r="AO114" s="1117">
        <f t="shared" si="352"/>
        <v>0</v>
      </c>
      <c r="AP114" s="1117">
        <f>VLOOKUP($E114,AM$442:AP$453,4,FALSE)*AM114*($K114)+(AM114-AN114-AO114)*(1-$K114)</f>
        <v>0</v>
      </c>
      <c r="AQ114" s="1118"/>
      <c r="AU114" s="1116">
        <f t="shared" si="329"/>
        <v>0</v>
      </c>
      <c r="AV114" s="1117">
        <f t="shared" si="353"/>
        <v>0</v>
      </c>
      <c r="AW114" s="1117">
        <f t="shared" si="354"/>
        <v>0</v>
      </c>
      <c r="AX114" s="1117">
        <f>VLOOKUP($E114,AU$442:AX$453,4,FALSE)*AU114*($K114)+(AU114-AV114-AW114)*(1-$K114)</f>
        <v>0</v>
      </c>
      <c r="AY114" s="1118"/>
      <c r="BC114" s="1116">
        <f t="shared" si="330"/>
        <v>0</v>
      </c>
      <c r="BD114" s="1117">
        <f t="shared" si="355"/>
        <v>0</v>
      </c>
      <c r="BE114" s="1117">
        <f t="shared" si="356"/>
        <v>0</v>
      </c>
      <c r="BF114" s="1117">
        <f>VLOOKUP($E114,BC$442:BF$453,4,FALSE)*BC114*($K114)+(BC114-BD114-BE114)*(1-$K114)</f>
        <v>0</v>
      </c>
      <c r="BG114" s="1118"/>
      <c r="BK114" s="1116">
        <f t="shared" si="331"/>
        <v>0</v>
      </c>
      <c r="BL114" s="1117">
        <f t="shared" si="357"/>
        <v>0</v>
      </c>
      <c r="BM114" s="1117">
        <f t="shared" si="358"/>
        <v>0</v>
      </c>
      <c r="BN114" s="1117">
        <f>VLOOKUP($E114,BK$442:BN$453,4,FALSE)*BK114*($K114)+(BK114-BL114-BM114)*(1-$K114)</f>
        <v>0</v>
      </c>
      <c r="BO114" s="1118"/>
      <c r="BS114" s="1116">
        <f t="shared" si="332"/>
        <v>0</v>
      </c>
      <c r="BT114" s="1117">
        <f t="shared" si="359"/>
        <v>0</v>
      </c>
      <c r="BU114" s="1117">
        <f t="shared" si="360"/>
        <v>0</v>
      </c>
      <c r="BV114" s="1117">
        <f>VLOOKUP($E114,BS$442:BV$453,4,FALSE)*BS114*($K114)+(BS114-BT114-BU114)*(1-$K114)</f>
        <v>0</v>
      </c>
      <c r="BW114" s="1118"/>
      <c r="CA114" s="1116">
        <f t="shared" si="333"/>
        <v>0</v>
      </c>
      <c r="CB114" s="1117">
        <f t="shared" si="361"/>
        <v>0</v>
      </c>
      <c r="CC114" s="1117">
        <f t="shared" si="362"/>
        <v>0</v>
      </c>
      <c r="CD114" s="1117">
        <f>VLOOKUP($E114,CA$442:CD$453,4,FALSE)*CA114*($K114)+(CA114-CB114-CC114)*(1-$K114)</f>
        <v>0</v>
      </c>
      <c r="CE114" s="1118"/>
      <c r="CI114" s="1116">
        <f t="shared" si="334"/>
        <v>0</v>
      </c>
      <c r="CJ114" s="1117">
        <f t="shared" si="363"/>
        <v>0</v>
      </c>
      <c r="CK114" s="1117">
        <f t="shared" si="364"/>
        <v>0</v>
      </c>
      <c r="CL114" s="1117">
        <f>VLOOKUP($E114,CI$442:CL$453,4,FALSE)*CI114*($K114)+(CI114-CJ114-CK114)*(1-$K114)</f>
        <v>0</v>
      </c>
      <c r="CM114" s="1118"/>
      <c r="CQ114" s="1116">
        <f t="shared" si="335"/>
        <v>0</v>
      </c>
      <c r="CR114" s="1117">
        <f t="shared" si="365"/>
        <v>0</v>
      </c>
      <c r="CS114" s="1117">
        <f t="shared" si="366"/>
        <v>0</v>
      </c>
      <c r="CT114" s="1117">
        <f>VLOOKUP($E114,CQ$442:CT$453,4,FALSE)*CQ114*($K114)+(CQ114-CR114-CS114)*(1-$K114)</f>
        <v>0</v>
      </c>
      <c r="CU114" s="1118"/>
      <c r="CY114" s="1116">
        <f t="shared" si="336"/>
        <v>0</v>
      </c>
      <c r="CZ114" s="1117">
        <f t="shared" si="367"/>
        <v>0</v>
      </c>
      <c r="DA114" s="1117">
        <f t="shared" si="368"/>
        <v>0</v>
      </c>
      <c r="DB114" s="1117">
        <f>VLOOKUP($E114,CY$442:DB$453,4,FALSE)*CY114*($K114)+(CY114-CZ114-DA114)*(1-$K114)</f>
        <v>0</v>
      </c>
      <c r="DC114" s="1118"/>
      <c r="DG114" s="1116">
        <f t="shared" si="337"/>
        <v>0</v>
      </c>
      <c r="DH114" s="1117">
        <f t="shared" si="369"/>
        <v>0</v>
      </c>
      <c r="DI114" s="1117">
        <f t="shared" si="370"/>
        <v>0</v>
      </c>
      <c r="DJ114" s="1117">
        <f>VLOOKUP($E114,DG$442:DJ$453,4,FALSE)*DG114*($K114)+(DG114-DH114-DI114)*(1-$K114)</f>
        <v>0</v>
      </c>
      <c r="DK114" s="1118"/>
      <c r="DO114" s="1116">
        <f t="shared" si="338"/>
        <v>0</v>
      </c>
      <c r="DP114" s="1117">
        <f t="shared" si="371"/>
        <v>0</v>
      </c>
      <c r="DQ114" s="1117">
        <f t="shared" si="372"/>
        <v>0</v>
      </c>
      <c r="DR114" s="1117">
        <f>VLOOKUP($E114,DO$442:DR$453,4,FALSE)*DO114*($K114)+(DO114-DP114-DQ114)*(1-$K114)</f>
        <v>0</v>
      </c>
      <c r="DS114" s="1118"/>
      <c r="DW114" s="1116">
        <f t="shared" si="339"/>
        <v>0</v>
      </c>
      <c r="DX114" s="1117">
        <f t="shared" si="373"/>
        <v>0</v>
      </c>
      <c r="DY114" s="1117">
        <f t="shared" si="374"/>
        <v>0</v>
      </c>
      <c r="DZ114" s="1117">
        <f>VLOOKUP($E114,DW$442:DZ$453,4,FALSE)*DW114*($K114)+(DW114-DX114-DY114)*(1-$K114)</f>
        <v>0</v>
      </c>
      <c r="EA114" s="1118"/>
      <c r="EE114" s="1116">
        <f t="shared" si="340"/>
        <v>0</v>
      </c>
      <c r="EF114" s="1117">
        <f t="shared" si="375"/>
        <v>0</v>
      </c>
      <c r="EG114" s="1117">
        <f t="shared" si="376"/>
        <v>0</v>
      </c>
      <c r="EH114" s="1117">
        <f>VLOOKUP($E114,EE$442:EH$453,4,FALSE)*EE114*($K114)+(EE114-EF114-EG114)*(1-$K114)</f>
        <v>0</v>
      </c>
      <c r="EI114" s="1118"/>
      <c r="EM114" s="1116">
        <f t="shared" si="341"/>
        <v>0</v>
      </c>
      <c r="EN114" s="1117">
        <f t="shared" si="377"/>
        <v>0</v>
      </c>
      <c r="EO114" s="1117">
        <f t="shared" si="378"/>
        <v>0</v>
      </c>
      <c r="EP114" s="1117">
        <f>VLOOKUP($E114,EM$442:EP$453,4,FALSE)*EM114*($K114)+(EM114-EN114-EO114)*(1-$K114)</f>
        <v>0</v>
      </c>
      <c r="EQ114" s="1118"/>
      <c r="EU114" s="1116">
        <f t="shared" si="342"/>
        <v>0</v>
      </c>
      <c r="EV114" s="1117">
        <f t="shared" si="379"/>
        <v>0</v>
      </c>
      <c r="EW114" s="1117">
        <f t="shared" si="380"/>
        <v>0</v>
      </c>
      <c r="EX114" s="1117">
        <f>VLOOKUP($E114,EU$442:EX$453,4,FALSE)*EU114*($K114)+(EU114-EV114-EW114)*(1-$K114)</f>
        <v>0</v>
      </c>
      <c r="EY114" s="1118"/>
      <c r="FC114" s="1116">
        <f t="shared" si="343"/>
        <v>0</v>
      </c>
      <c r="FD114" s="1117">
        <f t="shared" si="381"/>
        <v>0</v>
      </c>
      <c r="FE114" s="1117">
        <f t="shared" si="382"/>
        <v>0</v>
      </c>
      <c r="FF114" s="1117">
        <f>VLOOKUP($E114,FC$442:FF$453,4,FALSE)*FC114*($K114)+(FC114-FD114-FE114)*(1-$K114)</f>
        <v>0</v>
      </c>
      <c r="FG114" s="1118"/>
      <c r="FK114" s="1116">
        <f t="shared" si="344"/>
        <v>0</v>
      </c>
      <c r="FL114" s="1117">
        <f t="shared" si="383"/>
        <v>0</v>
      </c>
      <c r="FM114" s="1117">
        <f t="shared" si="384"/>
        <v>0</v>
      </c>
      <c r="FN114" s="1117">
        <f>VLOOKUP($E114,FK$442:FN$453,4,FALSE)*FK114*($K114)+(FK114-FL114-FM114)*(1-$K114)</f>
        <v>0</v>
      </c>
      <c r="FO114" s="1118"/>
    </row>
    <row r="115" spans="1:171">
      <c r="A115" s="1423"/>
      <c r="B115" s="79" t="s">
        <v>627</v>
      </c>
      <c r="C115" s="954" t="s">
        <v>255</v>
      </c>
      <c r="D115" s="954">
        <v>176</v>
      </c>
      <c r="E115" s="182" t="str">
        <f>'Sch 1- Rate Base '!E115</f>
        <v>DIST</v>
      </c>
      <c r="F115" s="889"/>
      <c r="G115" s="182">
        <f>'Sch 1- Rate Base '!G115</f>
        <v>0</v>
      </c>
      <c r="H115" s="182">
        <f>'Sch 1- Rate Base '!H115</f>
        <v>0</v>
      </c>
      <c r="I115" s="182">
        <f>'Sch 1- Rate Base '!I115</f>
        <v>0</v>
      </c>
      <c r="J115" s="1424">
        <f>'Sch 1- Rate Base '!J115</f>
        <v>0</v>
      </c>
      <c r="K115" s="903">
        <f t="shared" si="244"/>
        <v>1</v>
      </c>
      <c r="O115" s="1116">
        <f t="shared" si="325"/>
        <v>0</v>
      </c>
      <c r="P115" s="1117">
        <f t="shared" si="345"/>
        <v>0</v>
      </c>
      <c r="Q115" s="1117">
        <f t="shared" si="346"/>
        <v>0</v>
      </c>
      <c r="R115" s="1117">
        <f>VLOOKUP($E115,O$442:R$453,4,FALSE)*O115*($K115)+(O115-P115-Q115)*(1-$K115)</f>
        <v>0</v>
      </c>
      <c r="S115" s="1118"/>
      <c r="W115" s="1116">
        <f t="shared" si="326"/>
        <v>0</v>
      </c>
      <c r="X115" s="1117">
        <f t="shared" si="347"/>
        <v>0</v>
      </c>
      <c r="Y115" s="1117">
        <f t="shared" si="348"/>
        <v>0</v>
      </c>
      <c r="Z115" s="1117">
        <f>VLOOKUP($E115,W$442:Z$453,4,FALSE)*W115*($K115)+(W115-X115-Y115)*(1-$K115)</f>
        <v>0</v>
      </c>
      <c r="AA115" s="1118"/>
      <c r="AE115" s="1116">
        <f t="shared" si="327"/>
        <v>0</v>
      </c>
      <c r="AF115" s="1117">
        <f t="shared" si="349"/>
        <v>0</v>
      </c>
      <c r="AG115" s="1117">
        <f t="shared" si="350"/>
        <v>0</v>
      </c>
      <c r="AH115" s="1117">
        <f>VLOOKUP($E115,AE$442:AH$453,4,FALSE)*AE115*($K115)+(AE115-AF115-AG115)*(1-$K115)</f>
        <v>0</v>
      </c>
      <c r="AI115" s="1118"/>
      <c r="AM115" s="1116">
        <f t="shared" si="328"/>
        <v>0</v>
      </c>
      <c r="AN115" s="1117">
        <f t="shared" si="351"/>
        <v>0</v>
      </c>
      <c r="AO115" s="1117">
        <f t="shared" si="352"/>
        <v>0</v>
      </c>
      <c r="AP115" s="1117">
        <f>VLOOKUP($E115,AM$442:AP$453,4,FALSE)*AM115*($K115)+(AM115-AN115-AO115)*(1-$K115)</f>
        <v>0</v>
      </c>
      <c r="AQ115" s="1118"/>
      <c r="AU115" s="1116">
        <f t="shared" si="329"/>
        <v>0</v>
      </c>
      <c r="AV115" s="1117">
        <f t="shared" si="353"/>
        <v>0</v>
      </c>
      <c r="AW115" s="1117">
        <f t="shared" si="354"/>
        <v>0</v>
      </c>
      <c r="AX115" s="1117">
        <f>VLOOKUP($E115,AU$442:AX$453,4,FALSE)*AU115*($K115)+(AU115-AV115-AW115)*(1-$K115)</f>
        <v>0</v>
      </c>
      <c r="AY115" s="1118"/>
      <c r="BC115" s="1116">
        <f t="shared" si="330"/>
        <v>0</v>
      </c>
      <c r="BD115" s="1117">
        <f t="shared" si="355"/>
        <v>0</v>
      </c>
      <c r="BE115" s="1117">
        <f t="shared" si="356"/>
        <v>0</v>
      </c>
      <c r="BF115" s="1117">
        <f>VLOOKUP($E115,BC$442:BF$453,4,FALSE)*BC115*($K115)+(BC115-BD115-BE115)*(1-$K115)</f>
        <v>0</v>
      </c>
      <c r="BG115" s="1118"/>
      <c r="BK115" s="1116">
        <f t="shared" si="331"/>
        <v>0</v>
      </c>
      <c r="BL115" s="1117">
        <f t="shared" si="357"/>
        <v>0</v>
      </c>
      <c r="BM115" s="1117">
        <f t="shared" si="358"/>
        <v>0</v>
      </c>
      <c r="BN115" s="1117">
        <f>VLOOKUP($E115,BK$442:BN$453,4,FALSE)*BK115*($K115)+(BK115-BL115-BM115)*(1-$K115)</f>
        <v>0</v>
      </c>
      <c r="BO115" s="1118"/>
      <c r="BS115" s="1116">
        <f t="shared" si="332"/>
        <v>0</v>
      </c>
      <c r="BT115" s="1117">
        <f t="shared" si="359"/>
        <v>0</v>
      </c>
      <c r="BU115" s="1117">
        <f t="shared" si="360"/>
        <v>0</v>
      </c>
      <c r="BV115" s="1117">
        <f>VLOOKUP($E115,BS$442:BV$453,4,FALSE)*BS115*($K115)+(BS115-BT115-BU115)*(1-$K115)</f>
        <v>0</v>
      </c>
      <c r="BW115" s="1118"/>
      <c r="CA115" s="1116">
        <f t="shared" si="333"/>
        <v>0</v>
      </c>
      <c r="CB115" s="1117">
        <f t="shared" si="361"/>
        <v>0</v>
      </c>
      <c r="CC115" s="1117">
        <f t="shared" si="362"/>
        <v>0</v>
      </c>
      <c r="CD115" s="1117">
        <f>VLOOKUP($E115,CA$442:CD$453,4,FALSE)*CA115*($K115)+(CA115-CB115-CC115)*(1-$K115)</f>
        <v>0</v>
      </c>
      <c r="CE115" s="1118"/>
      <c r="CI115" s="1116">
        <f t="shared" si="334"/>
        <v>0</v>
      </c>
      <c r="CJ115" s="1117">
        <f t="shared" si="363"/>
        <v>0</v>
      </c>
      <c r="CK115" s="1117">
        <f t="shared" si="364"/>
        <v>0</v>
      </c>
      <c r="CL115" s="1117">
        <f>VLOOKUP($E115,CI$442:CL$453,4,FALSE)*CI115*($K115)+(CI115-CJ115-CK115)*(1-$K115)</f>
        <v>0</v>
      </c>
      <c r="CM115" s="1118"/>
      <c r="CQ115" s="1116">
        <f t="shared" si="335"/>
        <v>0</v>
      </c>
      <c r="CR115" s="1117">
        <f t="shared" si="365"/>
        <v>0</v>
      </c>
      <c r="CS115" s="1117">
        <f t="shared" si="366"/>
        <v>0</v>
      </c>
      <c r="CT115" s="1117">
        <f>VLOOKUP($E115,CQ$442:CT$453,4,FALSE)*CQ115*($K115)+(CQ115-CR115-CS115)*(1-$K115)</f>
        <v>0</v>
      </c>
      <c r="CU115" s="1118"/>
      <c r="CY115" s="1116">
        <f t="shared" si="336"/>
        <v>0</v>
      </c>
      <c r="CZ115" s="1117">
        <f t="shared" si="367"/>
        <v>0</v>
      </c>
      <c r="DA115" s="1117">
        <f t="shared" si="368"/>
        <v>0</v>
      </c>
      <c r="DB115" s="1117">
        <f>VLOOKUP($E115,CY$442:DB$453,4,FALSE)*CY115*($K115)+(CY115-CZ115-DA115)*(1-$K115)</f>
        <v>0</v>
      </c>
      <c r="DC115" s="1118"/>
      <c r="DG115" s="1116">
        <f t="shared" si="337"/>
        <v>0</v>
      </c>
      <c r="DH115" s="1117">
        <f t="shared" si="369"/>
        <v>0</v>
      </c>
      <c r="DI115" s="1117">
        <f t="shared" si="370"/>
        <v>0</v>
      </c>
      <c r="DJ115" s="1117">
        <f>VLOOKUP($E115,DG$442:DJ$453,4,FALSE)*DG115*($K115)+(DG115-DH115-DI115)*(1-$K115)</f>
        <v>0</v>
      </c>
      <c r="DK115" s="1118"/>
      <c r="DO115" s="1116">
        <f t="shared" si="338"/>
        <v>0</v>
      </c>
      <c r="DP115" s="1117">
        <f t="shared" si="371"/>
        <v>0</v>
      </c>
      <c r="DQ115" s="1117">
        <f t="shared" si="372"/>
        <v>0</v>
      </c>
      <c r="DR115" s="1117">
        <f>VLOOKUP($E115,DO$442:DR$453,4,FALSE)*DO115*($K115)+(DO115-DP115-DQ115)*(1-$K115)</f>
        <v>0</v>
      </c>
      <c r="DS115" s="1118"/>
      <c r="DW115" s="1116">
        <f t="shared" si="339"/>
        <v>0</v>
      </c>
      <c r="DX115" s="1117">
        <f t="shared" si="373"/>
        <v>0</v>
      </c>
      <c r="DY115" s="1117">
        <f t="shared" si="374"/>
        <v>0</v>
      </c>
      <c r="DZ115" s="1117">
        <f>VLOOKUP($E115,DW$442:DZ$453,4,FALSE)*DW115*($K115)+(DW115-DX115-DY115)*(1-$K115)</f>
        <v>0</v>
      </c>
      <c r="EA115" s="1118"/>
      <c r="EE115" s="1116">
        <f t="shared" si="340"/>
        <v>0</v>
      </c>
      <c r="EF115" s="1117">
        <f t="shared" si="375"/>
        <v>0</v>
      </c>
      <c r="EG115" s="1117">
        <f t="shared" si="376"/>
        <v>0</v>
      </c>
      <c r="EH115" s="1117">
        <f>VLOOKUP($E115,EE$442:EH$453,4,FALSE)*EE115*($K115)+(EE115-EF115-EG115)*(1-$K115)</f>
        <v>0</v>
      </c>
      <c r="EI115" s="1118"/>
      <c r="EM115" s="1116">
        <f t="shared" si="341"/>
        <v>0</v>
      </c>
      <c r="EN115" s="1117">
        <f t="shared" si="377"/>
        <v>0</v>
      </c>
      <c r="EO115" s="1117">
        <f t="shared" si="378"/>
        <v>0</v>
      </c>
      <c r="EP115" s="1117">
        <f>VLOOKUP($E115,EM$442:EP$453,4,FALSE)*EM115*($K115)+(EM115-EN115-EO115)*(1-$K115)</f>
        <v>0</v>
      </c>
      <c r="EQ115" s="1118"/>
      <c r="EU115" s="1116">
        <f t="shared" si="342"/>
        <v>0</v>
      </c>
      <c r="EV115" s="1117">
        <f t="shared" si="379"/>
        <v>0</v>
      </c>
      <c r="EW115" s="1117">
        <f t="shared" si="380"/>
        <v>0</v>
      </c>
      <c r="EX115" s="1117">
        <f>VLOOKUP($E115,EU$442:EX$453,4,FALSE)*EU115*($K115)+(EU115-EV115-EW115)*(1-$K115)</f>
        <v>0</v>
      </c>
      <c r="EY115" s="1118"/>
      <c r="FC115" s="1116">
        <f t="shared" si="343"/>
        <v>0</v>
      </c>
      <c r="FD115" s="1117">
        <f t="shared" si="381"/>
        <v>0</v>
      </c>
      <c r="FE115" s="1117">
        <f t="shared" si="382"/>
        <v>0</v>
      </c>
      <c r="FF115" s="1117">
        <f>VLOOKUP($E115,FC$442:FF$453,4,FALSE)*FC115*($K115)+(FC115-FD115-FE115)*(1-$K115)</f>
        <v>0</v>
      </c>
      <c r="FG115" s="1118"/>
      <c r="FK115" s="1116">
        <f t="shared" si="344"/>
        <v>0</v>
      </c>
      <c r="FL115" s="1117">
        <f t="shared" si="383"/>
        <v>0</v>
      </c>
      <c r="FM115" s="1117">
        <f t="shared" si="384"/>
        <v>0</v>
      </c>
      <c r="FN115" s="1117">
        <f>VLOOKUP($E115,FK$442:FN$453,4,FALSE)*FK115*($K115)+(FK115-FL115-FM115)*(1-$K115)</f>
        <v>0</v>
      </c>
      <c r="FO115" s="1118"/>
    </row>
    <row r="116" spans="1:171">
      <c r="A116" s="1423"/>
      <c r="B116" s="847" t="s">
        <v>104</v>
      </c>
      <c r="C116" s="914"/>
      <c r="D116" s="915"/>
      <c r="E116" s="915"/>
      <c r="F116" s="916"/>
      <c r="G116" s="923">
        <f>SUM(G103:G112,G114)-G113-G115</f>
        <v>176289941.22</v>
      </c>
      <c r="H116" s="923">
        <f>SUM(H103:H112,H114)-H113-H115</f>
        <v>75972880.713449672</v>
      </c>
      <c r="I116" s="923">
        <f>SUM(I103:I112,I114)-I113-I115</f>
        <v>0</v>
      </c>
      <c r="J116" s="1431">
        <f>SUM(J103:J112,J114)-J113-J115</f>
        <v>100317060.50655031</v>
      </c>
      <c r="K116" s="903"/>
      <c r="O116" s="1127">
        <f>SUM(O103:O112,O114)-O113-O115</f>
        <v>176289941.22</v>
      </c>
      <c r="P116" s="1127">
        <f>SUM(P103:P112,P114)-P113-P115</f>
        <v>75972880.713449672</v>
      </c>
      <c r="Q116" s="1127">
        <f>SUM(Q103:Q112,Q114)-Q113-Q115</f>
        <v>27013921.676391561</v>
      </c>
      <c r="R116" s="1127">
        <f>SUM(R103:R112,R114)-R113-R115</f>
        <v>73303138.83015877</v>
      </c>
      <c r="S116" s="1118"/>
      <c r="W116" s="1127">
        <f>SUM(W103:W112,W114)-W113-W115</f>
        <v>176289941.22</v>
      </c>
      <c r="X116" s="1127">
        <f>SUM(X103:X112,X114)-X113-X115</f>
        <v>75972880.713449672</v>
      </c>
      <c r="Y116" s="1127">
        <f>SUM(Y103:Y112,Y114)-Y113-Y115</f>
        <v>27013921.676391561</v>
      </c>
      <c r="Z116" s="1127">
        <f>SUM(Z103:Z112,Z114)-Z113-Z115</f>
        <v>73303138.83015877</v>
      </c>
      <c r="AA116" s="1118"/>
      <c r="AE116" s="1127">
        <f>SUM(AE103:AE112,AE114)-AE113-AE115</f>
        <v>176289941.22</v>
      </c>
      <c r="AF116" s="1127">
        <f>SUM(AF103:AF112,AF114)-AF113-AF115</f>
        <v>75972880.713449672</v>
      </c>
      <c r="AG116" s="1127">
        <f>SUM(AG103:AG112,AG114)-AG113-AG115</f>
        <v>27013921.676391561</v>
      </c>
      <c r="AH116" s="1127">
        <f>SUM(AH103:AH112,AH114)-AH113-AH115</f>
        <v>73303138.83015877</v>
      </c>
      <c r="AI116" s="1118"/>
      <c r="AM116" s="1127">
        <f>SUM(AM103:AM112,AM114)-AM113-AM115</f>
        <v>176289941.22</v>
      </c>
      <c r="AN116" s="1127">
        <f>SUM(AN103:AN112,AN114)-AN113-AN115</f>
        <v>75972880.713449672</v>
      </c>
      <c r="AO116" s="1127">
        <f>SUM(AO103:AO112,AO114)-AO113-AO115</f>
        <v>27013921.676391561</v>
      </c>
      <c r="AP116" s="1127">
        <f>SUM(AP103:AP112,AP114)-AP113-AP115</f>
        <v>73303138.83015877</v>
      </c>
      <c r="AQ116" s="1118"/>
      <c r="AU116" s="1127">
        <f>SUM(AU103:AU112,AU114)-AU113-AU115</f>
        <v>176289941.22</v>
      </c>
      <c r="AV116" s="1127">
        <f>SUM(AV103:AV112,AV114)-AV113-AV115</f>
        <v>75972880.713449672</v>
      </c>
      <c r="AW116" s="1127">
        <f>SUM(AW103:AW112,AW114)-AW113-AW115</f>
        <v>27013921.676391561</v>
      </c>
      <c r="AX116" s="1127">
        <f>SUM(AX103:AX112,AX114)-AX113-AX115</f>
        <v>73303138.83015877</v>
      </c>
      <c r="AY116" s="1118"/>
      <c r="BC116" s="1127">
        <f>SUM(BC103:BC112,BC114)-BC113-BC115</f>
        <v>176289941.22</v>
      </c>
      <c r="BD116" s="1127">
        <f>SUM(BD103:BD112,BD114)-BD113-BD115</f>
        <v>75972880.713449672</v>
      </c>
      <c r="BE116" s="1127">
        <f>SUM(BE103:BE112,BE114)-BE113-BE115</f>
        <v>27013921.676391561</v>
      </c>
      <c r="BF116" s="1127">
        <f>SUM(BF103:BF112,BF114)-BF113-BF115</f>
        <v>73303138.83015877</v>
      </c>
      <c r="BG116" s="1118"/>
      <c r="BK116" s="1127">
        <f>SUM(BK103:BK112,BK114)-BK113-BK115</f>
        <v>176289941.22</v>
      </c>
      <c r="BL116" s="1127">
        <f>SUM(BL103:BL112,BL114)-BL113-BL115</f>
        <v>75972880.713449672</v>
      </c>
      <c r="BM116" s="1127">
        <f>SUM(BM103:BM112,BM114)-BM113-BM115</f>
        <v>27013921.676391561</v>
      </c>
      <c r="BN116" s="1127">
        <f>SUM(BN103:BN112,BN114)-BN113-BN115</f>
        <v>73303138.83015877</v>
      </c>
      <c r="BO116" s="1118"/>
      <c r="BS116" s="1127">
        <f>SUM(BS103:BS112,BS114)-BS113-BS115</f>
        <v>176289941.22</v>
      </c>
      <c r="BT116" s="1127">
        <f>SUM(BT103:BT112,BT114)-BT113-BT115</f>
        <v>75972880.713449672</v>
      </c>
      <c r="BU116" s="1127">
        <f>SUM(BU103:BU112,BU114)-BU113-BU115</f>
        <v>27013921.676391561</v>
      </c>
      <c r="BV116" s="1127">
        <f>SUM(BV103:BV112,BV114)-BV113-BV115</f>
        <v>73303138.83015877</v>
      </c>
      <c r="BW116" s="1118"/>
      <c r="CA116" s="1127">
        <f>SUM(CA103:CA112,CA114)-CA113-CA115</f>
        <v>176289941.22</v>
      </c>
      <c r="CB116" s="1127">
        <f>SUM(CB103:CB112,CB114)-CB113-CB115</f>
        <v>75972880.713449672</v>
      </c>
      <c r="CC116" s="1127">
        <f>SUM(CC103:CC112,CC114)-CC113-CC115</f>
        <v>27013921.676391561</v>
      </c>
      <c r="CD116" s="1127">
        <f>SUM(CD103:CD112,CD114)-CD113-CD115</f>
        <v>73303138.83015877</v>
      </c>
      <c r="CE116" s="1118"/>
      <c r="CI116" s="1127">
        <f>SUM(CI103:CI112,CI114)-CI113-CI115</f>
        <v>176289941.22</v>
      </c>
      <c r="CJ116" s="1127">
        <f>SUM(CJ103:CJ112,CJ114)-CJ113-CJ115</f>
        <v>75972880.713449672</v>
      </c>
      <c r="CK116" s="1127">
        <f>SUM(CK103:CK112,CK114)-CK113-CK115</f>
        <v>27013921.676391561</v>
      </c>
      <c r="CL116" s="1127">
        <f>SUM(CL103:CL112,CL114)-CL113-CL115</f>
        <v>73303138.83015877</v>
      </c>
      <c r="CM116" s="1118"/>
      <c r="CQ116" s="1127">
        <f>SUM(CQ103:CQ112,CQ114)-CQ113-CQ115</f>
        <v>176289941.22</v>
      </c>
      <c r="CR116" s="1127">
        <f>SUM(CR103:CR112,CR114)-CR113-CR115</f>
        <v>75972880.713449672</v>
      </c>
      <c r="CS116" s="1127">
        <f>SUM(CS103:CS112,CS114)-CS113-CS115</f>
        <v>27013921.676391561</v>
      </c>
      <c r="CT116" s="1127">
        <f>SUM(CT103:CT112,CT114)-CT113-CT115</f>
        <v>73303138.83015877</v>
      </c>
      <c r="CU116" s="1118"/>
      <c r="CY116" s="1127">
        <f>SUM(CY103:CY112,CY114)-CY113-CY115</f>
        <v>176289941.22</v>
      </c>
      <c r="CZ116" s="1127">
        <f>SUM(CZ103:CZ112,CZ114)-CZ113-CZ115</f>
        <v>75972880.713449672</v>
      </c>
      <c r="DA116" s="1127">
        <f>SUM(DA103:DA112,DA114)-DA113-DA115</f>
        <v>27013921.676391561</v>
      </c>
      <c r="DB116" s="1127">
        <f>SUM(DB103:DB112,DB114)-DB113-DB115</f>
        <v>73303138.83015877</v>
      </c>
      <c r="DC116" s="1118"/>
      <c r="DG116" s="1127">
        <f>SUM(DG103:DG112,DG114)-DG113-DG115</f>
        <v>176289941.22</v>
      </c>
      <c r="DH116" s="1127">
        <f>SUM(DH103:DH112,DH114)-DH113-DH115</f>
        <v>75972880.713449672</v>
      </c>
      <c r="DI116" s="1127">
        <f>SUM(DI103:DI112,DI114)-DI113-DI115</f>
        <v>27013921.676391561</v>
      </c>
      <c r="DJ116" s="1127">
        <f>SUM(DJ103:DJ112,DJ114)-DJ113-DJ115</f>
        <v>73303138.83015877</v>
      </c>
      <c r="DK116" s="1118"/>
      <c r="DO116" s="1127">
        <f>SUM(DO103:DO112,DO114)-DO113-DO115</f>
        <v>176289941.22</v>
      </c>
      <c r="DP116" s="1127">
        <f>SUM(DP103:DP112,DP114)-DP113-DP115</f>
        <v>75972880.713449672</v>
      </c>
      <c r="DQ116" s="1127">
        <f>SUM(DQ103:DQ112,DQ114)-DQ113-DQ115</f>
        <v>27013921.676391561</v>
      </c>
      <c r="DR116" s="1127">
        <f>SUM(DR103:DR112,DR114)-DR113-DR115</f>
        <v>73303138.83015877</v>
      </c>
      <c r="DS116" s="1118"/>
      <c r="DW116" s="1127">
        <f>SUM(DW103:DW112,DW114)-DW113-DW115</f>
        <v>176289941.22</v>
      </c>
      <c r="DX116" s="1127">
        <f>SUM(DX103:DX112,DX114)-DX113-DX115</f>
        <v>75972880.713449672</v>
      </c>
      <c r="DY116" s="1127">
        <f>SUM(DY103:DY112,DY114)-DY113-DY115</f>
        <v>27013921.676391561</v>
      </c>
      <c r="DZ116" s="1127">
        <f>SUM(DZ103:DZ112,DZ114)-DZ113-DZ115</f>
        <v>73303138.83015877</v>
      </c>
      <c r="EA116" s="1118"/>
      <c r="EE116" s="1127">
        <f>SUM(EE103:EE112,EE114)-EE113-EE115</f>
        <v>176289941.22</v>
      </c>
      <c r="EF116" s="1127">
        <f>SUM(EF103:EF112,EF114)-EF113-EF115</f>
        <v>75972880.713449672</v>
      </c>
      <c r="EG116" s="1127">
        <f>SUM(EG103:EG112,EG114)-EG113-EG115</f>
        <v>27013921.676391561</v>
      </c>
      <c r="EH116" s="1127">
        <f>SUM(EH103:EH112,EH114)-EH113-EH115</f>
        <v>73303138.83015877</v>
      </c>
      <c r="EI116" s="1118"/>
      <c r="EM116" s="1127">
        <f>SUM(EM103:EM112,EM114)-EM113-EM115</f>
        <v>176289941.22</v>
      </c>
      <c r="EN116" s="1127">
        <f>SUM(EN103:EN112,EN114)-EN113-EN115</f>
        <v>75972880.713449672</v>
      </c>
      <c r="EO116" s="1127">
        <f>SUM(EO103:EO112,EO114)-EO113-EO115</f>
        <v>27013921.676391561</v>
      </c>
      <c r="EP116" s="1127">
        <f>SUM(EP103:EP112,EP114)-EP113-EP115</f>
        <v>73303138.83015877</v>
      </c>
      <c r="EQ116" s="1118"/>
      <c r="EU116" s="1127">
        <f>SUM(EU103:EU112,EU114)-EU113-EU115</f>
        <v>176289941.22</v>
      </c>
      <c r="EV116" s="1127">
        <f>SUM(EV103:EV112,EV114)-EV113-EV115</f>
        <v>75972880.713449672</v>
      </c>
      <c r="EW116" s="1127">
        <f>SUM(EW103:EW112,EW114)-EW113-EW115</f>
        <v>27013921.676391561</v>
      </c>
      <c r="EX116" s="1127">
        <f>SUM(EX103:EX112,EX114)-EX113-EX115</f>
        <v>73303138.83015877</v>
      </c>
      <c r="EY116" s="1118"/>
      <c r="FC116" s="1127">
        <f>SUM(FC103:FC112,FC114)-FC113-FC115</f>
        <v>176289941.22</v>
      </c>
      <c r="FD116" s="1127">
        <f>SUM(FD103:FD112,FD114)-FD113-FD115</f>
        <v>75972880.713449672</v>
      </c>
      <c r="FE116" s="1127">
        <f>SUM(FE103:FE112,FE114)-FE113-FE115</f>
        <v>27013921.676391561</v>
      </c>
      <c r="FF116" s="1127">
        <f>SUM(FF103:FF112,FF114)-FF113-FF115</f>
        <v>73303138.83015877</v>
      </c>
      <c r="FG116" s="1118"/>
      <c r="FK116" s="1127">
        <f>SUM(FK103:FK112,FK114)-FK113-FK115</f>
        <v>176289941.22</v>
      </c>
      <c r="FL116" s="1127">
        <f>SUM(FL103:FL112,FL114)-FL113-FL115</f>
        <v>75972880.713449672</v>
      </c>
      <c r="FM116" s="1127">
        <f>SUM(FM103:FM112,FM114)-FM113-FM115</f>
        <v>27013921.676391561</v>
      </c>
      <c r="FN116" s="1127">
        <f>SUM(FN103:FN112,FN114)-FN113-FN115</f>
        <v>73303138.83015877</v>
      </c>
      <c r="FO116" s="1118"/>
    </row>
    <row r="117" spans="1:171" ht="16.5" thickBot="1">
      <c r="A117" s="1446"/>
      <c r="B117" s="956"/>
      <c r="C117" s="957"/>
      <c r="D117" s="957"/>
      <c r="E117" s="957"/>
      <c r="F117" s="957"/>
      <c r="G117" s="958"/>
      <c r="H117" s="958"/>
      <c r="I117" s="958"/>
      <c r="J117" s="1447"/>
      <c r="K117" s="903"/>
      <c r="S117" s="1118"/>
      <c r="AA117" s="1118"/>
      <c r="AI117" s="1118"/>
      <c r="AQ117" s="1118"/>
      <c r="AY117" s="1118"/>
      <c r="BG117" s="1118"/>
      <c r="BO117" s="1118"/>
      <c r="BW117" s="1118"/>
      <c r="CE117" s="1118"/>
      <c r="CM117" s="1118"/>
      <c r="CU117" s="1118"/>
      <c r="DC117" s="1118"/>
      <c r="DK117" s="1118"/>
      <c r="DS117" s="1118"/>
      <c r="EA117" s="1118"/>
      <c r="EI117" s="1118"/>
      <c r="EQ117" s="1118"/>
      <c r="EY117" s="1118"/>
      <c r="FG117" s="1118"/>
      <c r="FO117" s="1118"/>
    </row>
    <row r="118" spans="1:171" ht="16.5" thickTop="1">
      <c r="A118" s="1448" t="s">
        <v>179</v>
      </c>
      <c r="B118" s="79"/>
      <c r="C118" s="940"/>
      <c r="D118" s="196"/>
      <c r="E118" s="196"/>
      <c r="F118" s="196"/>
      <c r="G118" s="921"/>
      <c r="H118" s="198"/>
      <c r="I118" s="198"/>
      <c r="J118" s="1429"/>
      <c r="K118" s="903"/>
      <c r="S118" s="1118"/>
      <c r="AA118" s="1118"/>
      <c r="AI118" s="1118"/>
      <c r="AQ118" s="1118"/>
      <c r="AY118" s="1118"/>
      <c r="BG118" s="1118"/>
      <c r="BO118" s="1118"/>
      <c r="BW118" s="1118"/>
      <c r="CE118" s="1118"/>
      <c r="CM118" s="1118"/>
      <c r="CU118" s="1118"/>
      <c r="DC118" s="1118"/>
      <c r="DK118" s="1118"/>
      <c r="DS118" s="1118"/>
      <c r="EA118" s="1118"/>
      <c r="EI118" s="1118"/>
      <c r="EQ118" s="1118"/>
      <c r="EY118" s="1118"/>
      <c r="FG118" s="1118"/>
      <c r="FO118" s="1118"/>
    </row>
    <row r="119" spans="1:171">
      <c r="A119" s="1423"/>
      <c r="B119" s="79" t="s">
        <v>10</v>
      </c>
      <c r="C119" s="888" t="s">
        <v>78</v>
      </c>
      <c r="D119" s="888">
        <v>181</v>
      </c>
      <c r="E119" s="182" t="str">
        <f>'Sch 1- Rate Base '!E119</f>
        <v>PTDG</v>
      </c>
      <c r="F119" s="889"/>
      <c r="G119" s="182">
        <f>'Sch 1- Rate Base '!G119</f>
        <v>21586300.960000001</v>
      </c>
      <c r="H119" s="182">
        <f>'Sch 1- Rate Base '!H119</f>
        <v>6869251.0323689282</v>
      </c>
      <c r="I119" s="182">
        <f>'Sch 1- Rate Base '!I119</f>
        <v>0</v>
      </c>
      <c r="J119" s="1424">
        <f>'Sch 1- Rate Base '!J119</f>
        <v>14717049.925413068</v>
      </c>
      <c r="K119" s="903">
        <f t="shared" ref="K119:K132" si="385">IF($E119="DIRECT",0,1)</f>
        <v>1</v>
      </c>
      <c r="O119" s="1116">
        <f t="shared" ref="O119:O132" si="386">$G119</f>
        <v>21586300.960000001</v>
      </c>
      <c r="P119" s="1117">
        <f>VLOOKUP($E119,O$442:R$453,2,FALSE)*O119*($K119)+IF($G119&lt;&gt;0,($H119/$G119)*O119,0)*(1-$K119)</f>
        <v>6869251.0323689282</v>
      </c>
      <c r="Q119" s="1117">
        <f>VLOOKUP($E119,O$442:R$453,3,FALSE)*O119*($K119)+IF($G119&lt;&gt;0,($I119/$G119)*O119,0)*(1-$K119)</f>
        <v>4439852.9881553221</v>
      </c>
      <c r="R119" s="1117">
        <f>VLOOKUP($E119,O$442:R$453,4,FALSE)*O119*($K119)+(O119-P119-Q119)*(1-$K119)</f>
        <v>10277196.939475752</v>
      </c>
      <c r="S119" s="1118"/>
      <c r="W119" s="1116">
        <f t="shared" ref="W119:W132" si="387">$G119</f>
        <v>21586300.960000001</v>
      </c>
      <c r="X119" s="1117">
        <f>VLOOKUP($E119,W$442:Z$453,2,FALSE)*W119*($K119)+IF($G119&lt;&gt;0,($H119/$G119)*W119,0)*(1-$K119)</f>
        <v>6869251.0323689282</v>
      </c>
      <c r="Y119" s="1117">
        <f>VLOOKUP($E119,W$442:Z$453,3,FALSE)*W119*($K119)+IF($G119&lt;&gt;0,($I119/$G119)*W119,0)*(1-$K119)</f>
        <v>4439852.9881553221</v>
      </c>
      <c r="Z119" s="1117">
        <f>VLOOKUP($E119,W$442:Z$453,4,FALSE)*W119*($K119)+(W119-X119-Y119)*(1-$K119)</f>
        <v>10277196.939475752</v>
      </c>
      <c r="AA119" s="1118"/>
      <c r="AE119" s="1116">
        <f t="shared" ref="AE119:AE132" si="388">$G119</f>
        <v>21586300.960000001</v>
      </c>
      <c r="AF119" s="1117">
        <f>VLOOKUP($E119,AE$442:AH$453,2,FALSE)*AE119*($K119)+IF($G119&lt;&gt;0,($H119/$G119)*AE119,0)*(1-$K119)</f>
        <v>6869251.0323689282</v>
      </c>
      <c r="AG119" s="1117">
        <f>VLOOKUP($E119,AE$442:AH$453,3,FALSE)*AE119*($K119)+IF($G119&lt;&gt;0,($I119/$G119)*AE119,0)*(1-$K119)</f>
        <v>4439852.9881553221</v>
      </c>
      <c r="AH119" s="1117">
        <f>VLOOKUP($E119,AE$442:AH$453,4,FALSE)*AE119*($K119)+(AE119-AF119-AG119)*(1-$K119)</f>
        <v>10277196.939475752</v>
      </c>
      <c r="AI119" s="1118"/>
      <c r="AM119" s="1116">
        <f t="shared" ref="AM119:AM132" si="389">$G119</f>
        <v>21586300.960000001</v>
      </c>
      <c r="AN119" s="1117">
        <f>VLOOKUP($E119,AM$442:AP$453,2,FALSE)*AM119*($K119)+IF($G119&lt;&gt;0,($H119/$G119)*AM119,0)*(1-$K119)</f>
        <v>6869251.0323689282</v>
      </c>
      <c r="AO119" s="1117">
        <f>VLOOKUP($E119,AM$442:AP$453,3,FALSE)*AM119*($K119)+IF($G119&lt;&gt;0,($I119/$G119)*AM119,0)*(1-$K119)</f>
        <v>4439852.9881553221</v>
      </c>
      <c r="AP119" s="1117">
        <f>VLOOKUP($E119,AM$442:AP$453,4,FALSE)*AM119*($K119)+(AM119-AN119-AO119)*(1-$K119)</f>
        <v>10277196.939475752</v>
      </c>
      <c r="AQ119" s="1118"/>
      <c r="AU119" s="1116">
        <f t="shared" ref="AU119:AU132" si="390">$G119</f>
        <v>21586300.960000001</v>
      </c>
      <c r="AV119" s="1117">
        <f>VLOOKUP($E119,AU$442:AX$453,2,FALSE)*AU119*($K119)+IF($G119&lt;&gt;0,($H119/$G119)*AU119,0)*(1-$K119)</f>
        <v>6869251.0323689282</v>
      </c>
      <c r="AW119" s="1117">
        <f>VLOOKUP($E119,AU$442:AX$453,3,FALSE)*AU119*($K119)+IF($G119&lt;&gt;0,($I119/$G119)*AU119,0)*(1-$K119)</f>
        <v>4439852.9881553221</v>
      </c>
      <c r="AX119" s="1117">
        <f>VLOOKUP($E119,AU$442:AX$453,4,FALSE)*AU119*($K119)+(AU119-AV119-AW119)*(1-$K119)</f>
        <v>10277196.939475752</v>
      </c>
      <c r="AY119" s="1118"/>
      <c r="BC119" s="1116">
        <f t="shared" ref="BC119:BC132" si="391">$G119</f>
        <v>21586300.960000001</v>
      </c>
      <c r="BD119" s="1117">
        <f>VLOOKUP($E119,BC$442:BF$453,2,FALSE)*BC119*($K119)+IF($G119&lt;&gt;0,($H119/$G119)*BC119,0)*(1-$K119)</f>
        <v>6869251.0323689282</v>
      </c>
      <c r="BE119" s="1117">
        <f>VLOOKUP($E119,BC$442:BF$453,3,FALSE)*BC119*($K119)+IF($G119&lt;&gt;0,($I119/$G119)*BC119,0)*(1-$K119)</f>
        <v>4439852.9881553221</v>
      </c>
      <c r="BF119" s="1117">
        <f>VLOOKUP($E119,BC$442:BF$453,4,FALSE)*BC119*($K119)+(BC119-BD119-BE119)*(1-$K119)</f>
        <v>10277196.939475752</v>
      </c>
      <c r="BG119" s="1118"/>
      <c r="BK119" s="1116">
        <f t="shared" ref="BK119:BK132" si="392">$G119</f>
        <v>21586300.960000001</v>
      </c>
      <c r="BL119" s="1117">
        <f>VLOOKUP($E119,BK$442:BN$453,2,FALSE)*BK119*($K119)+IF($G119&lt;&gt;0,($H119/$G119)*BK119,0)*(1-$K119)</f>
        <v>6869251.0323689282</v>
      </c>
      <c r="BM119" s="1117">
        <f>VLOOKUP($E119,BK$442:BN$453,3,FALSE)*BK119*($K119)+IF($G119&lt;&gt;0,($I119/$G119)*BK119,0)*(1-$K119)</f>
        <v>4439852.9881553221</v>
      </c>
      <c r="BN119" s="1117">
        <f>VLOOKUP($E119,BK$442:BN$453,4,FALSE)*BK119*($K119)+(BK119-BL119-BM119)*(1-$K119)</f>
        <v>10277196.939475752</v>
      </c>
      <c r="BO119" s="1118"/>
      <c r="BS119" s="1116">
        <f t="shared" ref="BS119:BS132" si="393">$G119</f>
        <v>21586300.960000001</v>
      </c>
      <c r="BT119" s="1117">
        <f>VLOOKUP($E119,BS$442:BV$453,2,FALSE)*BS119*($K119)+IF($G119&lt;&gt;0,($H119/$G119)*BS119,0)*(1-$K119)</f>
        <v>6869251.0323689282</v>
      </c>
      <c r="BU119" s="1117">
        <f>VLOOKUP($E119,BS$442:BV$453,3,FALSE)*BS119*($K119)+IF($G119&lt;&gt;0,($I119/$G119)*BS119,0)*(1-$K119)</f>
        <v>4439852.9881553221</v>
      </c>
      <c r="BV119" s="1117">
        <f>VLOOKUP($E119,BS$442:BV$453,4,FALSE)*BS119*($K119)+(BS119-BT119-BU119)*(1-$K119)</f>
        <v>10277196.939475752</v>
      </c>
      <c r="BW119" s="1118"/>
      <c r="CA119" s="1116">
        <f t="shared" ref="CA119:CA132" si="394">$G119</f>
        <v>21586300.960000001</v>
      </c>
      <c r="CB119" s="1117">
        <f>VLOOKUP($E119,CA$442:CD$453,2,FALSE)*CA119*($K119)+IF($G119&lt;&gt;0,($H119/$G119)*CA119,0)*(1-$K119)</f>
        <v>6869251.0323689282</v>
      </c>
      <c r="CC119" s="1117">
        <f>VLOOKUP($E119,CA$442:CD$453,3,FALSE)*CA119*($K119)+IF($G119&lt;&gt;0,($I119/$G119)*CA119,0)*(1-$K119)</f>
        <v>4439852.9881553221</v>
      </c>
      <c r="CD119" s="1117">
        <f>VLOOKUP($E119,CA$442:CD$453,4,FALSE)*CA119*($K119)+(CA119-CB119-CC119)*(1-$K119)</f>
        <v>10277196.939475752</v>
      </c>
      <c r="CE119" s="1118"/>
      <c r="CI119" s="1116">
        <f t="shared" ref="CI119:CI132" si="395">$G119</f>
        <v>21586300.960000001</v>
      </c>
      <c r="CJ119" s="1117">
        <f>VLOOKUP($E119,CI$442:CL$453,2,FALSE)*CI119*($K119)+IF($G119&lt;&gt;0,($H119/$G119)*CI119,0)*(1-$K119)</f>
        <v>6869251.0323689282</v>
      </c>
      <c r="CK119" s="1117">
        <f>VLOOKUP($E119,CI$442:CL$453,3,FALSE)*CI119*($K119)+IF($G119&lt;&gt;0,($I119/$G119)*CI119,0)*(1-$K119)</f>
        <v>4439852.9881553221</v>
      </c>
      <c r="CL119" s="1117">
        <f>VLOOKUP($E119,CI$442:CL$453,4,FALSE)*CI119*($K119)+(CI119-CJ119-CK119)*(1-$K119)</f>
        <v>10277196.939475752</v>
      </c>
      <c r="CM119" s="1118"/>
      <c r="CQ119" s="1116">
        <f t="shared" ref="CQ119:CQ132" si="396">$G119</f>
        <v>21586300.960000001</v>
      </c>
      <c r="CR119" s="1117">
        <f>VLOOKUP($E119,CQ$442:CT$453,2,FALSE)*CQ119*($K119)+IF($G119&lt;&gt;0,($H119/$G119)*CQ119,0)*(1-$K119)</f>
        <v>6869251.0323689282</v>
      </c>
      <c r="CS119" s="1117">
        <f>VLOOKUP($E119,CQ$442:CT$453,3,FALSE)*CQ119*($K119)+IF($G119&lt;&gt;0,($I119/$G119)*CQ119,0)*(1-$K119)</f>
        <v>4439852.9881553221</v>
      </c>
      <c r="CT119" s="1117">
        <f>VLOOKUP($E119,CQ$442:CT$453,4,FALSE)*CQ119*($K119)+(CQ119-CR119-CS119)*(1-$K119)</f>
        <v>10277196.939475752</v>
      </c>
      <c r="CU119" s="1118"/>
      <c r="CY119" s="1116">
        <f t="shared" ref="CY119:CY132" si="397">$G119</f>
        <v>21586300.960000001</v>
      </c>
      <c r="CZ119" s="1117">
        <f>VLOOKUP($E119,CY$442:DB$453,2,FALSE)*CY119*($K119)+IF($G119&lt;&gt;0,($H119/$G119)*CY119,0)*(1-$K119)</f>
        <v>6869251.0323689282</v>
      </c>
      <c r="DA119" s="1117">
        <f>VLOOKUP($E119,CY$442:DB$453,3,FALSE)*CY119*($K119)+IF($G119&lt;&gt;0,($I119/$G119)*CY119,0)*(1-$K119)</f>
        <v>4439852.9881553221</v>
      </c>
      <c r="DB119" s="1117">
        <f>VLOOKUP($E119,CY$442:DB$453,4,FALSE)*CY119*($K119)+(CY119-CZ119-DA119)*(1-$K119)</f>
        <v>10277196.939475752</v>
      </c>
      <c r="DC119" s="1118"/>
      <c r="DG119" s="1116">
        <f t="shared" ref="DG119:DG132" si="398">$G119</f>
        <v>21586300.960000001</v>
      </c>
      <c r="DH119" s="1117">
        <f>VLOOKUP($E119,DG$442:DJ$453,2,FALSE)*DG119*($K119)+IF($G119&lt;&gt;0,($H119/$G119)*DG119,0)*(1-$K119)</f>
        <v>6869251.0323689282</v>
      </c>
      <c r="DI119" s="1117">
        <f>VLOOKUP($E119,DG$442:DJ$453,3,FALSE)*DG119*($K119)+IF($G119&lt;&gt;0,($I119/$G119)*DG119,0)*(1-$K119)</f>
        <v>4439852.9881553221</v>
      </c>
      <c r="DJ119" s="1117">
        <f>VLOOKUP($E119,DG$442:DJ$453,4,FALSE)*DG119*($K119)+(DG119-DH119-DI119)*(1-$K119)</f>
        <v>10277196.939475752</v>
      </c>
      <c r="DK119" s="1118"/>
      <c r="DO119" s="1116">
        <f t="shared" ref="DO119:DO132" si="399">$G119</f>
        <v>21586300.960000001</v>
      </c>
      <c r="DP119" s="1117">
        <f>VLOOKUP($E119,DO$442:DR$453,2,FALSE)*DO119*($K119)+IF($G119&lt;&gt;0,($H119/$G119)*DO119,0)*(1-$K119)</f>
        <v>6869251.0323689282</v>
      </c>
      <c r="DQ119" s="1117">
        <f>VLOOKUP($E119,DO$442:DR$453,3,FALSE)*DO119*($K119)+IF($G119&lt;&gt;0,($I119/$G119)*DO119,0)*(1-$K119)</f>
        <v>4439852.9881553221</v>
      </c>
      <c r="DR119" s="1117">
        <f>VLOOKUP($E119,DO$442:DR$453,4,FALSE)*DO119*($K119)+(DO119-DP119-DQ119)*(1-$K119)</f>
        <v>10277196.939475752</v>
      </c>
      <c r="DS119" s="1118"/>
      <c r="DW119" s="1116">
        <f t="shared" ref="DW119:DW132" si="400">$G119</f>
        <v>21586300.960000001</v>
      </c>
      <c r="DX119" s="1117">
        <f>VLOOKUP($E119,DW$442:DZ$453,2,FALSE)*DW119*($K119)+IF($G119&lt;&gt;0,($H119/$G119)*DW119,0)*(1-$K119)</f>
        <v>6869251.0323689282</v>
      </c>
      <c r="DY119" s="1117">
        <f>VLOOKUP($E119,DW$442:DZ$453,3,FALSE)*DW119*($K119)+IF($G119&lt;&gt;0,($I119/$G119)*DW119,0)*(1-$K119)</f>
        <v>4439852.9881553221</v>
      </c>
      <c r="DZ119" s="1117">
        <f>VLOOKUP($E119,DW$442:DZ$453,4,FALSE)*DW119*($K119)+(DW119-DX119-DY119)*(1-$K119)</f>
        <v>10277196.939475752</v>
      </c>
      <c r="EA119" s="1118"/>
      <c r="EE119" s="1116">
        <f t="shared" ref="EE119:EE132" si="401">$G119</f>
        <v>21586300.960000001</v>
      </c>
      <c r="EF119" s="1117">
        <f>VLOOKUP($E119,EE$442:EH$453,2,FALSE)*EE119*($K119)+IF($G119&lt;&gt;0,($H119/$G119)*EE119,0)*(1-$K119)</f>
        <v>6869251.0323689282</v>
      </c>
      <c r="EG119" s="1117">
        <f>VLOOKUP($E119,EE$442:EH$453,3,FALSE)*EE119*($K119)+IF($G119&lt;&gt;0,($I119/$G119)*EE119,0)*(1-$K119)</f>
        <v>4439852.9881553221</v>
      </c>
      <c r="EH119" s="1117">
        <f>VLOOKUP($E119,EE$442:EH$453,4,FALSE)*EE119*($K119)+(EE119-EF119-EG119)*(1-$K119)</f>
        <v>10277196.939475752</v>
      </c>
      <c r="EI119" s="1118"/>
      <c r="EM119" s="1116">
        <f t="shared" ref="EM119:EM132" si="402">$G119</f>
        <v>21586300.960000001</v>
      </c>
      <c r="EN119" s="1117">
        <f>VLOOKUP($E119,EM$442:EP$453,2,FALSE)*EM119*($K119)+IF($G119&lt;&gt;0,($H119/$G119)*EM119,0)*(1-$K119)</f>
        <v>6869251.0323689282</v>
      </c>
      <c r="EO119" s="1117">
        <f>VLOOKUP($E119,EM$442:EP$453,3,FALSE)*EM119*($K119)+IF($G119&lt;&gt;0,($I119/$G119)*EM119,0)*(1-$K119)</f>
        <v>4439852.9881553221</v>
      </c>
      <c r="EP119" s="1117">
        <f>VLOOKUP($E119,EM$442:EP$453,4,FALSE)*EM119*($K119)+(EM119-EN119-EO119)*(1-$K119)</f>
        <v>10277196.939475752</v>
      </c>
      <c r="EQ119" s="1118"/>
      <c r="EU119" s="1116">
        <f t="shared" ref="EU119:EU132" si="403">$G119</f>
        <v>21586300.960000001</v>
      </c>
      <c r="EV119" s="1117">
        <f>VLOOKUP($E119,EU$442:EX$453,2,FALSE)*EU119*($K119)+IF($G119&lt;&gt;0,($H119/$G119)*EU119,0)*(1-$K119)</f>
        <v>6869251.0323689282</v>
      </c>
      <c r="EW119" s="1117">
        <f>VLOOKUP($E119,EU$442:EX$453,3,FALSE)*EU119*($K119)+IF($G119&lt;&gt;0,($I119/$G119)*EU119,0)*(1-$K119)</f>
        <v>4439852.9881553221</v>
      </c>
      <c r="EX119" s="1117">
        <f>VLOOKUP($E119,EU$442:EX$453,4,FALSE)*EU119*($K119)+(EU119-EV119-EW119)*(1-$K119)</f>
        <v>10277196.939475752</v>
      </c>
      <c r="EY119" s="1118"/>
      <c r="FC119" s="1116">
        <f t="shared" ref="FC119:FC132" si="404">$G119</f>
        <v>21586300.960000001</v>
      </c>
      <c r="FD119" s="1117">
        <f>VLOOKUP($E119,FC$442:FF$453,2,FALSE)*FC119*($K119)+IF($G119&lt;&gt;0,($H119/$G119)*FC119,0)*(1-$K119)</f>
        <v>6869251.0323689282</v>
      </c>
      <c r="FE119" s="1117">
        <f>VLOOKUP($E119,FC$442:FF$453,3,FALSE)*FC119*($K119)+IF($G119&lt;&gt;0,($I119/$G119)*FC119,0)*(1-$K119)</f>
        <v>4439852.9881553221</v>
      </c>
      <c r="FF119" s="1117">
        <f>VLOOKUP($E119,FC$442:FF$453,4,FALSE)*FC119*($K119)+(FC119-FD119-FE119)*(1-$K119)</f>
        <v>10277196.939475752</v>
      </c>
      <c r="FG119" s="1118"/>
      <c r="FK119" s="1116">
        <f t="shared" ref="FK119:FK132" si="405">$G119</f>
        <v>21586300.960000001</v>
      </c>
      <c r="FL119" s="1117">
        <f>VLOOKUP($E119,FK$442:FN$453,2,FALSE)*FK119*($K119)+IF($G119&lt;&gt;0,($H119/$G119)*FK119,0)*(1-$K119)</f>
        <v>6869251.0323689282</v>
      </c>
      <c r="FM119" s="1117">
        <f>VLOOKUP($E119,FK$442:FN$453,3,FALSE)*FK119*($K119)+IF($G119&lt;&gt;0,($I119/$G119)*FK119,0)*(1-$K119)</f>
        <v>4439852.9881553221</v>
      </c>
      <c r="FN119" s="1117">
        <f>VLOOKUP($E119,FK$442:FN$453,4,FALSE)*FK119*($K119)+(FK119-FL119-FM119)*(1-$K119)</f>
        <v>10277196.939475752</v>
      </c>
      <c r="FO119" s="1118"/>
    </row>
    <row r="120" spans="1:171">
      <c r="A120" s="1423"/>
      <c r="B120" s="79" t="s">
        <v>11</v>
      </c>
      <c r="C120" s="888" t="s">
        <v>78</v>
      </c>
      <c r="D120" s="888">
        <v>182.1</v>
      </c>
      <c r="E120" s="182" t="str">
        <f>'Sch 1- Rate Base '!E120</f>
        <v>DIRECT</v>
      </c>
      <c r="F120" s="889"/>
      <c r="G120" s="182">
        <f>'Sch 1- Rate Base '!G120</f>
        <v>0</v>
      </c>
      <c r="H120" s="182">
        <f>'Sch 1- Rate Base '!H120</f>
        <v>0</v>
      </c>
      <c r="I120" s="182">
        <f>'Sch 1- Rate Base '!I120</f>
        <v>0</v>
      </c>
      <c r="J120" s="1424">
        <f>'Sch 1- Rate Base '!J120</f>
        <v>0</v>
      </c>
      <c r="K120" s="903">
        <f t="shared" si="385"/>
        <v>0</v>
      </c>
      <c r="O120" s="1116">
        <f t="shared" si="386"/>
        <v>0</v>
      </c>
      <c r="P120" s="1117">
        <f t="shared" ref="P120:P132" si="406">VLOOKUP($E120,O$442:R$453,2,FALSE)*O120*($K120)+IF($G120&lt;&gt;0,($H120/$G120)*O120,0)*(1-$K120)</f>
        <v>0</v>
      </c>
      <c r="Q120" s="1117">
        <f t="shared" ref="Q120:Q132" si="407">VLOOKUP($E120,O$442:R$453,3,FALSE)*O120*($K120)+IF($G120&lt;&gt;0,($I120/$G120)*O120,0)*(1-$K120)</f>
        <v>0</v>
      </c>
      <c r="R120" s="1117">
        <f t="shared" ref="R120:R132" si="408">VLOOKUP($E120,O$442:R$453,4,FALSE)*O120*($K120)+(O120-P120-Q120)*(1-$K120)</f>
        <v>0</v>
      </c>
      <c r="S120" s="1118"/>
      <c r="W120" s="1116">
        <f t="shared" si="387"/>
        <v>0</v>
      </c>
      <c r="X120" s="1117">
        <f t="shared" ref="X120:X132" si="409">VLOOKUP($E120,W$442:Z$453,2,FALSE)*W120*($K120)+IF($G120&lt;&gt;0,($H120/$G120)*W120,0)*(1-$K120)</f>
        <v>0</v>
      </c>
      <c r="Y120" s="1117">
        <f t="shared" ref="Y120:Y132" si="410">VLOOKUP($E120,W$442:Z$453,3,FALSE)*W120*($K120)+IF($G120&lt;&gt;0,($I120/$G120)*W120,0)*(1-$K120)</f>
        <v>0</v>
      </c>
      <c r="Z120" s="1117">
        <f t="shared" ref="Z120:Z132" si="411">VLOOKUP($E120,W$442:Z$453,4,FALSE)*W120*($K120)+(W120-X120-Y120)*(1-$K120)</f>
        <v>0</v>
      </c>
      <c r="AA120" s="1118"/>
      <c r="AE120" s="1116">
        <f t="shared" si="388"/>
        <v>0</v>
      </c>
      <c r="AF120" s="1117">
        <f t="shared" ref="AF120:AF132" si="412">VLOOKUP($E120,AE$442:AH$453,2,FALSE)*AE120*($K120)+IF($G120&lt;&gt;0,($H120/$G120)*AE120,0)*(1-$K120)</f>
        <v>0</v>
      </c>
      <c r="AG120" s="1117">
        <f t="shared" ref="AG120:AG132" si="413">VLOOKUP($E120,AE$442:AH$453,3,FALSE)*AE120*($K120)+IF($G120&lt;&gt;0,($I120/$G120)*AE120,0)*(1-$K120)</f>
        <v>0</v>
      </c>
      <c r="AH120" s="1117">
        <f t="shared" ref="AH120:AH132" si="414">VLOOKUP($E120,AE$442:AH$453,4,FALSE)*AE120*($K120)+(AE120-AF120-AG120)*(1-$K120)</f>
        <v>0</v>
      </c>
      <c r="AI120" s="1118"/>
      <c r="AM120" s="1116">
        <f t="shared" si="389"/>
        <v>0</v>
      </c>
      <c r="AN120" s="1117">
        <f t="shared" ref="AN120:AN132" si="415">VLOOKUP($E120,AM$442:AP$453,2,FALSE)*AM120*($K120)+IF($G120&lt;&gt;0,($H120/$G120)*AM120,0)*(1-$K120)</f>
        <v>0</v>
      </c>
      <c r="AO120" s="1117">
        <f t="shared" ref="AO120:AO132" si="416">VLOOKUP($E120,AM$442:AP$453,3,FALSE)*AM120*($K120)+IF($G120&lt;&gt;0,($I120/$G120)*AM120,0)*(1-$K120)</f>
        <v>0</v>
      </c>
      <c r="AP120" s="1117">
        <f t="shared" ref="AP120:AP132" si="417">VLOOKUP($E120,AM$442:AP$453,4,FALSE)*AM120*($K120)+(AM120-AN120-AO120)*(1-$K120)</f>
        <v>0</v>
      </c>
      <c r="AQ120" s="1118"/>
      <c r="AU120" s="1116">
        <f t="shared" si="390"/>
        <v>0</v>
      </c>
      <c r="AV120" s="1117">
        <f t="shared" ref="AV120:AV132" si="418">VLOOKUP($E120,AU$442:AX$453,2,FALSE)*AU120*($K120)+IF($G120&lt;&gt;0,($H120/$G120)*AU120,0)*(1-$K120)</f>
        <v>0</v>
      </c>
      <c r="AW120" s="1117">
        <f t="shared" ref="AW120:AW132" si="419">VLOOKUP($E120,AU$442:AX$453,3,FALSE)*AU120*($K120)+IF($G120&lt;&gt;0,($I120/$G120)*AU120,0)*(1-$K120)</f>
        <v>0</v>
      </c>
      <c r="AX120" s="1117">
        <f t="shared" ref="AX120:AX132" si="420">VLOOKUP($E120,AU$442:AX$453,4,FALSE)*AU120*($K120)+(AU120-AV120-AW120)*(1-$K120)</f>
        <v>0</v>
      </c>
      <c r="AY120" s="1118"/>
      <c r="BC120" s="1116">
        <f t="shared" si="391"/>
        <v>0</v>
      </c>
      <c r="BD120" s="1117">
        <f t="shared" ref="BD120:BD132" si="421">VLOOKUP($E120,BC$442:BF$453,2,FALSE)*BC120*($K120)+IF($G120&lt;&gt;0,($H120/$G120)*BC120,0)*(1-$K120)</f>
        <v>0</v>
      </c>
      <c r="BE120" s="1117">
        <f t="shared" ref="BE120:BE132" si="422">VLOOKUP($E120,BC$442:BF$453,3,FALSE)*BC120*($K120)+IF($G120&lt;&gt;0,($I120/$G120)*BC120,0)*(1-$K120)</f>
        <v>0</v>
      </c>
      <c r="BF120" s="1117">
        <f t="shared" ref="BF120:BF132" si="423">VLOOKUP($E120,BC$442:BF$453,4,FALSE)*BC120*($K120)+(BC120-BD120-BE120)*(1-$K120)</f>
        <v>0</v>
      </c>
      <c r="BG120" s="1118"/>
      <c r="BK120" s="1116">
        <f t="shared" si="392"/>
        <v>0</v>
      </c>
      <c r="BL120" s="1117">
        <f t="shared" ref="BL120:BL132" si="424">VLOOKUP($E120,BK$442:BN$453,2,FALSE)*BK120*($K120)+IF($G120&lt;&gt;0,($H120/$G120)*BK120,0)*(1-$K120)</f>
        <v>0</v>
      </c>
      <c r="BM120" s="1117">
        <f t="shared" ref="BM120:BM132" si="425">VLOOKUP($E120,BK$442:BN$453,3,FALSE)*BK120*($K120)+IF($G120&lt;&gt;0,($I120/$G120)*BK120,0)*(1-$K120)</f>
        <v>0</v>
      </c>
      <c r="BN120" s="1117">
        <f t="shared" ref="BN120:BN132" si="426">VLOOKUP($E120,BK$442:BN$453,4,FALSE)*BK120*($K120)+(BK120-BL120-BM120)*(1-$K120)</f>
        <v>0</v>
      </c>
      <c r="BO120" s="1118"/>
      <c r="BS120" s="1116">
        <f t="shared" si="393"/>
        <v>0</v>
      </c>
      <c r="BT120" s="1117">
        <f t="shared" ref="BT120:BT132" si="427">VLOOKUP($E120,BS$442:BV$453,2,FALSE)*BS120*($K120)+IF($G120&lt;&gt;0,($H120/$G120)*BS120,0)*(1-$K120)</f>
        <v>0</v>
      </c>
      <c r="BU120" s="1117">
        <f t="shared" ref="BU120:BU132" si="428">VLOOKUP($E120,BS$442:BV$453,3,FALSE)*BS120*($K120)+IF($G120&lt;&gt;0,($I120/$G120)*BS120,0)*(1-$K120)</f>
        <v>0</v>
      </c>
      <c r="BV120" s="1117">
        <f t="shared" ref="BV120:BV132" si="429">VLOOKUP($E120,BS$442:BV$453,4,FALSE)*BS120*($K120)+(BS120-BT120-BU120)*(1-$K120)</f>
        <v>0</v>
      </c>
      <c r="BW120" s="1118"/>
      <c r="CA120" s="1116">
        <f t="shared" si="394"/>
        <v>0</v>
      </c>
      <c r="CB120" s="1117">
        <f t="shared" ref="CB120:CB132" si="430">VLOOKUP($E120,CA$442:CD$453,2,FALSE)*CA120*($K120)+IF($G120&lt;&gt;0,($H120/$G120)*CA120,0)*(1-$K120)</f>
        <v>0</v>
      </c>
      <c r="CC120" s="1117">
        <f t="shared" ref="CC120:CC132" si="431">VLOOKUP($E120,CA$442:CD$453,3,FALSE)*CA120*($K120)+IF($G120&lt;&gt;0,($I120/$G120)*CA120,0)*(1-$K120)</f>
        <v>0</v>
      </c>
      <c r="CD120" s="1117">
        <f t="shared" ref="CD120:CD132" si="432">VLOOKUP($E120,CA$442:CD$453,4,FALSE)*CA120*($K120)+(CA120-CB120-CC120)*(1-$K120)</f>
        <v>0</v>
      </c>
      <c r="CE120" s="1118"/>
      <c r="CI120" s="1116">
        <f t="shared" si="395"/>
        <v>0</v>
      </c>
      <c r="CJ120" s="1117">
        <f t="shared" ref="CJ120:CJ132" si="433">VLOOKUP($E120,CI$442:CL$453,2,FALSE)*CI120*($K120)+IF($G120&lt;&gt;0,($H120/$G120)*CI120,0)*(1-$K120)</f>
        <v>0</v>
      </c>
      <c r="CK120" s="1117">
        <f t="shared" ref="CK120:CK132" si="434">VLOOKUP($E120,CI$442:CL$453,3,FALSE)*CI120*($K120)+IF($G120&lt;&gt;0,($I120/$G120)*CI120,0)*(1-$K120)</f>
        <v>0</v>
      </c>
      <c r="CL120" s="1117">
        <f t="shared" ref="CL120:CL132" si="435">VLOOKUP($E120,CI$442:CL$453,4,FALSE)*CI120*($K120)+(CI120-CJ120-CK120)*(1-$K120)</f>
        <v>0</v>
      </c>
      <c r="CM120" s="1118"/>
      <c r="CQ120" s="1116">
        <f t="shared" si="396"/>
        <v>0</v>
      </c>
      <c r="CR120" s="1117">
        <f t="shared" ref="CR120:CR132" si="436">VLOOKUP($E120,CQ$442:CT$453,2,FALSE)*CQ120*($K120)+IF($G120&lt;&gt;0,($H120/$G120)*CQ120,0)*(1-$K120)</f>
        <v>0</v>
      </c>
      <c r="CS120" s="1117">
        <f t="shared" ref="CS120:CS132" si="437">VLOOKUP($E120,CQ$442:CT$453,3,FALSE)*CQ120*($K120)+IF($G120&lt;&gt;0,($I120/$G120)*CQ120,0)*(1-$K120)</f>
        <v>0</v>
      </c>
      <c r="CT120" s="1117">
        <f t="shared" ref="CT120:CT132" si="438">VLOOKUP($E120,CQ$442:CT$453,4,FALSE)*CQ120*($K120)+(CQ120-CR120-CS120)*(1-$K120)</f>
        <v>0</v>
      </c>
      <c r="CU120" s="1118"/>
      <c r="CY120" s="1116">
        <f t="shared" si="397"/>
        <v>0</v>
      </c>
      <c r="CZ120" s="1117">
        <f t="shared" ref="CZ120:CZ132" si="439">VLOOKUP($E120,CY$442:DB$453,2,FALSE)*CY120*($K120)+IF($G120&lt;&gt;0,($H120/$G120)*CY120,0)*(1-$K120)</f>
        <v>0</v>
      </c>
      <c r="DA120" s="1117">
        <f t="shared" ref="DA120:DA132" si="440">VLOOKUP($E120,CY$442:DB$453,3,FALSE)*CY120*($K120)+IF($G120&lt;&gt;0,($I120/$G120)*CY120,0)*(1-$K120)</f>
        <v>0</v>
      </c>
      <c r="DB120" s="1117">
        <f t="shared" ref="DB120:DB132" si="441">VLOOKUP($E120,CY$442:DB$453,4,FALSE)*CY120*($K120)+(CY120-CZ120-DA120)*(1-$K120)</f>
        <v>0</v>
      </c>
      <c r="DC120" s="1118"/>
      <c r="DG120" s="1116">
        <f t="shared" si="398"/>
        <v>0</v>
      </c>
      <c r="DH120" s="1117">
        <f t="shared" ref="DH120:DH132" si="442">VLOOKUP($E120,DG$442:DJ$453,2,FALSE)*DG120*($K120)+IF($G120&lt;&gt;0,($H120/$G120)*DG120,0)*(1-$K120)</f>
        <v>0</v>
      </c>
      <c r="DI120" s="1117">
        <f t="shared" ref="DI120:DI132" si="443">VLOOKUP($E120,DG$442:DJ$453,3,FALSE)*DG120*($K120)+IF($G120&lt;&gt;0,($I120/$G120)*DG120,0)*(1-$K120)</f>
        <v>0</v>
      </c>
      <c r="DJ120" s="1117">
        <f t="shared" ref="DJ120:DJ132" si="444">VLOOKUP($E120,DG$442:DJ$453,4,FALSE)*DG120*($K120)+(DG120-DH120-DI120)*(1-$K120)</f>
        <v>0</v>
      </c>
      <c r="DK120" s="1118"/>
      <c r="DO120" s="1116">
        <f t="shared" si="399"/>
        <v>0</v>
      </c>
      <c r="DP120" s="1117">
        <f t="shared" ref="DP120:DP132" si="445">VLOOKUP($E120,DO$442:DR$453,2,FALSE)*DO120*($K120)+IF($G120&lt;&gt;0,($H120/$G120)*DO120,0)*(1-$K120)</f>
        <v>0</v>
      </c>
      <c r="DQ120" s="1117">
        <f t="shared" ref="DQ120:DQ132" si="446">VLOOKUP($E120,DO$442:DR$453,3,FALSE)*DO120*($K120)+IF($G120&lt;&gt;0,($I120/$G120)*DO120,0)*(1-$K120)</f>
        <v>0</v>
      </c>
      <c r="DR120" s="1117">
        <f t="shared" ref="DR120:DR132" si="447">VLOOKUP($E120,DO$442:DR$453,4,FALSE)*DO120*($K120)+(DO120-DP120-DQ120)*(1-$K120)</f>
        <v>0</v>
      </c>
      <c r="DS120" s="1118"/>
      <c r="DW120" s="1116">
        <f t="shared" si="400"/>
        <v>0</v>
      </c>
      <c r="DX120" s="1117">
        <f t="shared" ref="DX120:DX132" si="448">VLOOKUP($E120,DW$442:DZ$453,2,FALSE)*DW120*($K120)+IF($G120&lt;&gt;0,($H120/$G120)*DW120,0)*(1-$K120)</f>
        <v>0</v>
      </c>
      <c r="DY120" s="1117">
        <f t="shared" ref="DY120:DY132" si="449">VLOOKUP($E120,DW$442:DZ$453,3,FALSE)*DW120*($K120)+IF($G120&lt;&gt;0,($I120/$G120)*DW120,0)*(1-$K120)</f>
        <v>0</v>
      </c>
      <c r="DZ120" s="1117">
        <f t="shared" ref="DZ120:DZ132" si="450">VLOOKUP($E120,DW$442:DZ$453,4,FALSE)*DW120*($K120)+(DW120-DX120-DY120)*(1-$K120)</f>
        <v>0</v>
      </c>
      <c r="EA120" s="1118"/>
      <c r="EE120" s="1116">
        <f t="shared" si="401"/>
        <v>0</v>
      </c>
      <c r="EF120" s="1117">
        <f t="shared" ref="EF120:EF132" si="451">VLOOKUP($E120,EE$442:EH$453,2,FALSE)*EE120*($K120)+IF($G120&lt;&gt;0,($H120/$G120)*EE120,0)*(1-$K120)</f>
        <v>0</v>
      </c>
      <c r="EG120" s="1117">
        <f t="shared" ref="EG120:EG132" si="452">VLOOKUP($E120,EE$442:EH$453,3,FALSE)*EE120*($K120)+IF($G120&lt;&gt;0,($I120/$G120)*EE120,0)*(1-$K120)</f>
        <v>0</v>
      </c>
      <c r="EH120" s="1117">
        <f t="shared" ref="EH120:EH132" si="453">VLOOKUP($E120,EE$442:EH$453,4,FALSE)*EE120*($K120)+(EE120-EF120-EG120)*(1-$K120)</f>
        <v>0</v>
      </c>
      <c r="EI120" s="1118"/>
      <c r="EM120" s="1116">
        <f t="shared" si="402"/>
        <v>0</v>
      </c>
      <c r="EN120" s="1117">
        <f t="shared" ref="EN120:EN132" si="454">VLOOKUP($E120,EM$442:EP$453,2,FALSE)*EM120*($K120)+IF($G120&lt;&gt;0,($H120/$G120)*EM120,0)*(1-$K120)</f>
        <v>0</v>
      </c>
      <c r="EO120" s="1117">
        <f t="shared" ref="EO120:EO132" si="455">VLOOKUP($E120,EM$442:EP$453,3,FALSE)*EM120*($K120)+IF($G120&lt;&gt;0,($I120/$G120)*EM120,0)*(1-$K120)</f>
        <v>0</v>
      </c>
      <c r="EP120" s="1117">
        <f t="shared" ref="EP120:EP132" si="456">VLOOKUP($E120,EM$442:EP$453,4,FALSE)*EM120*($K120)+(EM120-EN120-EO120)*(1-$K120)</f>
        <v>0</v>
      </c>
      <c r="EQ120" s="1118"/>
      <c r="EU120" s="1116">
        <f t="shared" si="403"/>
        <v>0</v>
      </c>
      <c r="EV120" s="1117">
        <f t="shared" ref="EV120:EV132" si="457">VLOOKUP($E120,EU$442:EX$453,2,FALSE)*EU120*($K120)+IF($G120&lt;&gt;0,($H120/$G120)*EU120,0)*(1-$K120)</f>
        <v>0</v>
      </c>
      <c r="EW120" s="1117">
        <f t="shared" ref="EW120:EW132" si="458">VLOOKUP($E120,EU$442:EX$453,3,FALSE)*EU120*($K120)+IF($G120&lt;&gt;0,($I120/$G120)*EU120,0)*(1-$K120)</f>
        <v>0</v>
      </c>
      <c r="EX120" s="1117">
        <f t="shared" ref="EX120:EX132" si="459">VLOOKUP($E120,EU$442:EX$453,4,FALSE)*EU120*($K120)+(EU120-EV120-EW120)*(1-$K120)</f>
        <v>0</v>
      </c>
      <c r="EY120" s="1118"/>
      <c r="FC120" s="1116">
        <f t="shared" si="404"/>
        <v>0</v>
      </c>
      <c r="FD120" s="1117">
        <f t="shared" ref="FD120:FD132" si="460">VLOOKUP($E120,FC$442:FF$453,2,FALSE)*FC120*($K120)+IF($G120&lt;&gt;0,($H120/$G120)*FC120,0)*(1-$K120)</f>
        <v>0</v>
      </c>
      <c r="FE120" s="1117">
        <f t="shared" ref="FE120:FE132" si="461">VLOOKUP($E120,FC$442:FF$453,3,FALSE)*FC120*($K120)+IF($G120&lt;&gt;0,($I120/$G120)*FC120,0)*(1-$K120)</f>
        <v>0</v>
      </c>
      <c r="FF120" s="1117">
        <f t="shared" ref="FF120:FF132" si="462">VLOOKUP($E120,FC$442:FF$453,4,FALSE)*FC120*($K120)+(FC120-FD120-FE120)*(1-$K120)</f>
        <v>0</v>
      </c>
      <c r="FG120" s="1118"/>
      <c r="FK120" s="1116">
        <f t="shared" si="405"/>
        <v>0</v>
      </c>
      <c r="FL120" s="1117">
        <f t="shared" ref="FL120:FL132" si="463">VLOOKUP($E120,FK$442:FN$453,2,FALSE)*FK120*($K120)+IF($G120&lt;&gt;0,($H120/$G120)*FK120,0)*(1-$K120)</f>
        <v>0</v>
      </c>
      <c r="FM120" s="1117">
        <f t="shared" ref="FM120:FM132" si="464">VLOOKUP($E120,FK$442:FN$453,3,FALSE)*FK120*($K120)+IF($G120&lt;&gt;0,($I120/$G120)*FK120,0)*(1-$K120)</f>
        <v>0</v>
      </c>
      <c r="FN120" s="1117">
        <f t="shared" ref="FN120:FN132" si="465">VLOOKUP($E120,FK$442:FN$453,4,FALSE)*FK120*($K120)+(FK120-FL120-FM120)*(1-$K120)</f>
        <v>0</v>
      </c>
      <c r="FO120" s="1118"/>
    </row>
    <row r="121" spans="1:171">
      <c r="A121" s="1423"/>
      <c r="B121" s="79" t="s">
        <v>12</v>
      </c>
      <c r="C121" s="888" t="s">
        <v>78</v>
      </c>
      <c r="D121" s="888">
        <v>182.2</v>
      </c>
      <c r="E121" s="182" t="str">
        <f>'Sch 1- Rate Base '!E121</f>
        <v>DIRECT</v>
      </c>
      <c r="F121" s="889"/>
      <c r="G121" s="182">
        <f>'Sch 1- Rate Base '!G121</f>
        <v>0</v>
      </c>
      <c r="H121" s="182">
        <f>'Sch 1- Rate Base '!H121</f>
        <v>0</v>
      </c>
      <c r="I121" s="182">
        <f>'Sch 1- Rate Base '!I121</f>
        <v>0</v>
      </c>
      <c r="J121" s="1424">
        <f>'Sch 1- Rate Base '!J121</f>
        <v>0</v>
      </c>
      <c r="K121" s="903">
        <f t="shared" si="385"/>
        <v>0</v>
      </c>
      <c r="O121" s="1116">
        <f t="shared" si="386"/>
        <v>0</v>
      </c>
      <c r="P121" s="1117">
        <f t="shared" si="406"/>
        <v>0</v>
      </c>
      <c r="Q121" s="1117">
        <f t="shared" si="407"/>
        <v>0</v>
      </c>
      <c r="R121" s="1117">
        <f t="shared" si="408"/>
        <v>0</v>
      </c>
      <c r="S121" s="1118"/>
      <c r="W121" s="1116">
        <f t="shared" si="387"/>
        <v>0</v>
      </c>
      <c r="X121" s="1117">
        <f t="shared" si="409"/>
        <v>0</v>
      </c>
      <c r="Y121" s="1117">
        <f t="shared" si="410"/>
        <v>0</v>
      </c>
      <c r="Z121" s="1117">
        <f t="shared" si="411"/>
        <v>0</v>
      </c>
      <c r="AA121" s="1118"/>
      <c r="AE121" s="1116">
        <f t="shared" si="388"/>
        <v>0</v>
      </c>
      <c r="AF121" s="1117">
        <f t="shared" si="412"/>
        <v>0</v>
      </c>
      <c r="AG121" s="1117">
        <f t="shared" si="413"/>
        <v>0</v>
      </c>
      <c r="AH121" s="1117">
        <f t="shared" si="414"/>
        <v>0</v>
      </c>
      <c r="AI121" s="1118"/>
      <c r="AM121" s="1116">
        <f t="shared" si="389"/>
        <v>0</v>
      </c>
      <c r="AN121" s="1117">
        <f t="shared" si="415"/>
        <v>0</v>
      </c>
      <c r="AO121" s="1117">
        <f t="shared" si="416"/>
        <v>0</v>
      </c>
      <c r="AP121" s="1117">
        <f t="shared" si="417"/>
        <v>0</v>
      </c>
      <c r="AQ121" s="1118"/>
      <c r="AU121" s="1116">
        <f t="shared" si="390"/>
        <v>0</v>
      </c>
      <c r="AV121" s="1117">
        <f t="shared" si="418"/>
        <v>0</v>
      </c>
      <c r="AW121" s="1117">
        <f t="shared" si="419"/>
        <v>0</v>
      </c>
      <c r="AX121" s="1117">
        <f t="shared" si="420"/>
        <v>0</v>
      </c>
      <c r="AY121" s="1118"/>
      <c r="BC121" s="1116">
        <f t="shared" si="391"/>
        <v>0</v>
      </c>
      <c r="BD121" s="1117">
        <f t="shared" si="421"/>
        <v>0</v>
      </c>
      <c r="BE121" s="1117">
        <f t="shared" si="422"/>
        <v>0</v>
      </c>
      <c r="BF121" s="1117">
        <f t="shared" si="423"/>
        <v>0</v>
      </c>
      <c r="BG121" s="1118"/>
      <c r="BK121" s="1116">
        <f t="shared" si="392"/>
        <v>0</v>
      </c>
      <c r="BL121" s="1117">
        <f t="shared" si="424"/>
        <v>0</v>
      </c>
      <c r="BM121" s="1117">
        <f t="shared" si="425"/>
        <v>0</v>
      </c>
      <c r="BN121" s="1117">
        <f t="shared" si="426"/>
        <v>0</v>
      </c>
      <c r="BO121" s="1118"/>
      <c r="BS121" s="1116">
        <f t="shared" si="393"/>
        <v>0</v>
      </c>
      <c r="BT121" s="1117">
        <f t="shared" si="427"/>
        <v>0</v>
      </c>
      <c r="BU121" s="1117">
        <f t="shared" si="428"/>
        <v>0</v>
      </c>
      <c r="BV121" s="1117">
        <f t="shared" si="429"/>
        <v>0</v>
      </c>
      <c r="BW121" s="1118"/>
      <c r="CA121" s="1116">
        <f t="shared" si="394"/>
        <v>0</v>
      </c>
      <c r="CB121" s="1117">
        <f t="shared" si="430"/>
        <v>0</v>
      </c>
      <c r="CC121" s="1117">
        <f t="shared" si="431"/>
        <v>0</v>
      </c>
      <c r="CD121" s="1117">
        <f t="shared" si="432"/>
        <v>0</v>
      </c>
      <c r="CE121" s="1118"/>
      <c r="CI121" s="1116">
        <f t="shared" si="395"/>
        <v>0</v>
      </c>
      <c r="CJ121" s="1117">
        <f t="shared" si="433"/>
        <v>0</v>
      </c>
      <c r="CK121" s="1117">
        <f t="shared" si="434"/>
        <v>0</v>
      </c>
      <c r="CL121" s="1117">
        <f t="shared" si="435"/>
        <v>0</v>
      </c>
      <c r="CM121" s="1118"/>
      <c r="CQ121" s="1116">
        <f t="shared" si="396"/>
        <v>0</v>
      </c>
      <c r="CR121" s="1117">
        <f t="shared" si="436"/>
        <v>0</v>
      </c>
      <c r="CS121" s="1117">
        <f t="shared" si="437"/>
        <v>0</v>
      </c>
      <c r="CT121" s="1117">
        <f t="shared" si="438"/>
        <v>0</v>
      </c>
      <c r="CU121" s="1118"/>
      <c r="CY121" s="1116">
        <f t="shared" si="397"/>
        <v>0</v>
      </c>
      <c r="CZ121" s="1117">
        <f t="shared" si="439"/>
        <v>0</v>
      </c>
      <c r="DA121" s="1117">
        <f t="shared" si="440"/>
        <v>0</v>
      </c>
      <c r="DB121" s="1117">
        <f t="shared" si="441"/>
        <v>0</v>
      </c>
      <c r="DC121" s="1118"/>
      <c r="DG121" s="1116">
        <f t="shared" si="398"/>
        <v>0</v>
      </c>
      <c r="DH121" s="1117">
        <f t="shared" si="442"/>
        <v>0</v>
      </c>
      <c r="DI121" s="1117">
        <f t="shared" si="443"/>
        <v>0</v>
      </c>
      <c r="DJ121" s="1117">
        <f t="shared" si="444"/>
        <v>0</v>
      </c>
      <c r="DK121" s="1118"/>
      <c r="DO121" s="1116">
        <f t="shared" si="399"/>
        <v>0</v>
      </c>
      <c r="DP121" s="1117">
        <f t="shared" si="445"/>
        <v>0</v>
      </c>
      <c r="DQ121" s="1117">
        <f t="shared" si="446"/>
        <v>0</v>
      </c>
      <c r="DR121" s="1117">
        <f t="shared" si="447"/>
        <v>0</v>
      </c>
      <c r="DS121" s="1118"/>
      <c r="DW121" s="1116">
        <f t="shared" si="400"/>
        <v>0</v>
      </c>
      <c r="DX121" s="1117">
        <f t="shared" si="448"/>
        <v>0</v>
      </c>
      <c r="DY121" s="1117">
        <f t="shared" si="449"/>
        <v>0</v>
      </c>
      <c r="DZ121" s="1117">
        <f t="shared" si="450"/>
        <v>0</v>
      </c>
      <c r="EA121" s="1118"/>
      <c r="EE121" s="1116">
        <f t="shared" si="401"/>
        <v>0</v>
      </c>
      <c r="EF121" s="1117">
        <f t="shared" si="451"/>
        <v>0</v>
      </c>
      <c r="EG121" s="1117">
        <f t="shared" si="452"/>
        <v>0</v>
      </c>
      <c r="EH121" s="1117">
        <f t="shared" si="453"/>
        <v>0</v>
      </c>
      <c r="EI121" s="1118"/>
      <c r="EM121" s="1116">
        <f t="shared" si="402"/>
        <v>0</v>
      </c>
      <c r="EN121" s="1117">
        <f t="shared" si="454"/>
        <v>0</v>
      </c>
      <c r="EO121" s="1117">
        <f t="shared" si="455"/>
        <v>0</v>
      </c>
      <c r="EP121" s="1117">
        <f t="shared" si="456"/>
        <v>0</v>
      </c>
      <c r="EQ121" s="1118"/>
      <c r="EU121" s="1116">
        <f t="shared" si="403"/>
        <v>0</v>
      </c>
      <c r="EV121" s="1117">
        <f t="shared" si="457"/>
        <v>0</v>
      </c>
      <c r="EW121" s="1117">
        <f t="shared" si="458"/>
        <v>0</v>
      </c>
      <c r="EX121" s="1117">
        <f t="shared" si="459"/>
        <v>0</v>
      </c>
      <c r="EY121" s="1118"/>
      <c r="FC121" s="1116">
        <f t="shared" si="404"/>
        <v>0</v>
      </c>
      <c r="FD121" s="1117">
        <f t="shared" si="460"/>
        <v>0</v>
      </c>
      <c r="FE121" s="1117">
        <f t="shared" si="461"/>
        <v>0</v>
      </c>
      <c r="FF121" s="1117">
        <f t="shared" si="462"/>
        <v>0</v>
      </c>
      <c r="FG121" s="1118"/>
      <c r="FK121" s="1116">
        <f t="shared" si="405"/>
        <v>0</v>
      </c>
      <c r="FL121" s="1117">
        <f t="shared" si="463"/>
        <v>0</v>
      </c>
      <c r="FM121" s="1117">
        <f t="shared" si="464"/>
        <v>0</v>
      </c>
      <c r="FN121" s="1117">
        <f t="shared" si="465"/>
        <v>0</v>
      </c>
      <c r="FO121" s="1118"/>
    </row>
    <row r="122" spans="1:171">
      <c r="A122" s="1423"/>
      <c r="B122" s="79" t="s">
        <v>13</v>
      </c>
      <c r="C122" s="888" t="s">
        <v>78</v>
      </c>
      <c r="D122" s="888">
        <v>182.3</v>
      </c>
      <c r="E122" s="182" t="str">
        <f>'Sch 1- Rate Base '!E122</f>
        <v>DIRECT</v>
      </c>
      <c r="F122" s="889"/>
      <c r="G122" s="182">
        <f>'Sch 1- Rate Base '!G122</f>
        <v>898192106.79999995</v>
      </c>
      <c r="H122" s="182">
        <f>'Sch 1- Rate Base '!H122</f>
        <v>60503537</v>
      </c>
      <c r="I122" s="182">
        <f>'Sch 1- Rate Base '!I122</f>
        <v>0</v>
      </c>
      <c r="J122" s="1424">
        <f>'Sch 1- Rate Base '!J122</f>
        <v>837688570</v>
      </c>
      <c r="K122" s="903">
        <f t="shared" si="385"/>
        <v>0</v>
      </c>
      <c r="O122" s="1116">
        <f t="shared" si="386"/>
        <v>898192106.79999995</v>
      </c>
      <c r="P122" s="1117">
        <f t="shared" si="406"/>
        <v>60503537.000000007</v>
      </c>
      <c r="Q122" s="1117">
        <f t="shared" si="407"/>
        <v>0</v>
      </c>
      <c r="R122" s="1117">
        <f t="shared" si="408"/>
        <v>837688569.79999995</v>
      </c>
      <c r="S122" s="1118"/>
      <c r="W122" s="1116">
        <f t="shared" si="387"/>
        <v>898192106.79999995</v>
      </c>
      <c r="X122" s="1117">
        <f t="shared" si="409"/>
        <v>60503537.000000007</v>
      </c>
      <c r="Y122" s="1117">
        <f t="shared" si="410"/>
        <v>0</v>
      </c>
      <c r="Z122" s="1117">
        <f t="shared" si="411"/>
        <v>837688569.79999995</v>
      </c>
      <c r="AA122" s="1118"/>
      <c r="AE122" s="1116">
        <f t="shared" si="388"/>
        <v>898192106.79999995</v>
      </c>
      <c r="AF122" s="1117">
        <f t="shared" si="412"/>
        <v>60503537.000000007</v>
      </c>
      <c r="AG122" s="1117">
        <f t="shared" si="413"/>
        <v>0</v>
      </c>
      <c r="AH122" s="1117">
        <f t="shared" si="414"/>
        <v>837688569.79999995</v>
      </c>
      <c r="AI122" s="1118"/>
      <c r="AM122" s="1116">
        <f t="shared" si="389"/>
        <v>898192106.79999995</v>
      </c>
      <c r="AN122" s="1117">
        <f t="shared" si="415"/>
        <v>60503537.000000007</v>
      </c>
      <c r="AO122" s="1117">
        <f t="shared" si="416"/>
        <v>0</v>
      </c>
      <c r="AP122" s="1117">
        <f t="shared" si="417"/>
        <v>837688569.79999995</v>
      </c>
      <c r="AQ122" s="1118"/>
      <c r="AU122" s="1116">
        <f t="shared" si="390"/>
        <v>898192106.79999995</v>
      </c>
      <c r="AV122" s="1117">
        <f t="shared" si="418"/>
        <v>60503537.000000007</v>
      </c>
      <c r="AW122" s="1117">
        <f t="shared" si="419"/>
        <v>0</v>
      </c>
      <c r="AX122" s="1117">
        <f t="shared" si="420"/>
        <v>837688569.79999995</v>
      </c>
      <c r="AY122" s="1118"/>
      <c r="BC122" s="1116">
        <f t="shared" si="391"/>
        <v>898192106.79999995</v>
      </c>
      <c r="BD122" s="1117">
        <f t="shared" si="421"/>
        <v>60503537.000000007</v>
      </c>
      <c r="BE122" s="1117">
        <f t="shared" si="422"/>
        <v>0</v>
      </c>
      <c r="BF122" s="1117">
        <f t="shared" si="423"/>
        <v>837688569.79999995</v>
      </c>
      <c r="BG122" s="1118"/>
      <c r="BK122" s="1116">
        <f t="shared" si="392"/>
        <v>898192106.79999995</v>
      </c>
      <c r="BL122" s="1117">
        <f t="shared" si="424"/>
        <v>60503537.000000007</v>
      </c>
      <c r="BM122" s="1117">
        <f t="shared" si="425"/>
        <v>0</v>
      </c>
      <c r="BN122" s="1117">
        <f t="shared" si="426"/>
        <v>837688569.79999995</v>
      </c>
      <c r="BO122" s="1118"/>
      <c r="BS122" s="1116">
        <f t="shared" si="393"/>
        <v>898192106.79999995</v>
      </c>
      <c r="BT122" s="1117">
        <f t="shared" si="427"/>
        <v>60503537.000000007</v>
      </c>
      <c r="BU122" s="1117">
        <f t="shared" si="428"/>
        <v>0</v>
      </c>
      <c r="BV122" s="1117">
        <f t="shared" si="429"/>
        <v>837688569.79999995</v>
      </c>
      <c r="BW122" s="1118"/>
      <c r="CA122" s="1116">
        <f t="shared" si="394"/>
        <v>898192106.79999995</v>
      </c>
      <c r="CB122" s="1117">
        <f t="shared" si="430"/>
        <v>60503537.000000007</v>
      </c>
      <c r="CC122" s="1117">
        <f t="shared" si="431"/>
        <v>0</v>
      </c>
      <c r="CD122" s="1117">
        <f t="shared" si="432"/>
        <v>837688569.79999995</v>
      </c>
      <c r="CE122" s="1118"/>
      <c r="CI122" s="1116">
        <f t="shared" si="395"/>
        <v>898192106.79999995</v>
      </c>
      <c r="CJ122" s="1117">
        <f t="shared" si="433"/>
        <v>60503537.000000007</v>
      </c>
      <c r="CK122" s="1117">
        <f t="shared" si="434"/>
        <v>0</v>
      </c>
      <c r="CL122" s="1117">
        <f t="shared" si="435"/>
        <v>837688569.79999995</v>
      </c>
      <c r="CM122" s="1118"/>
      <c r="CQ122" s="1116">
        <f t="shared" si="396"/>
        <v>898192106.79999995</v>
      </c>
      <c r="CR122" s="1117">
        <f t="shared" si="436"/>
        <v>60503537.000000007</v>
      </c>
      <c r="CS122" s="1117">
        <f t="shared" si="437"/>
        <v>0</v>
      </c>
      <c r="CT122" s="1117">
        <f t="shared" si="438"/>
        <v>837688569.79999995</v>
      </c>
      <c r="CU122" s="1118"/>
      <c r="CY122" s="1116">
        <f t="shared" si="397"/>
        <v>898192106.79999995</v>
      </c>
      <c r="CZ122" s="1117">
        <f t="shared" si="439"/>
        <v>60503537.000000007</v>
      </c>
      <c r="DA122" s="1117">
        <f t="shared" si="440"/>
        <v>0</v>
      </c>
      <c r="DB122" s="1117">
        <f t="shared" si="441"/>
        <v>837688569.79999995</v>
      </c>
      <c r="DC122" s="1118"/>
      <c r="DG122" s="1116">
        <f t="shared" si="398"/>
        <v>898192106.79999995</v>
      </c>
      <c r="DH122" s="1117">
        <f t="shared" si="442"/>
        <v>60503537.000000007</v>
      </c>
      <c r="DI122" s="1117">
        <f t="shared" si="443"/>
        <v>0</v>
      </c>
      <c r="DJ122" s="1117">
        <f t="shared" si="444"/>
        <v>837688569.79999995</v>
      </c>
      <c r="DK122" s="1118"/>
      <c r="DO122" s="1116">
        <f t="shared" si="399"/>
        <v>898192106.79999995</v>
      </c>
      <c r="DP122" s="1117">
        <f t="shared" si="445"/>
        <v>60503537.000000007</v>
      </c>
      <c r="DQ122" s="1117">
        <f t="shared" si="446"/>
        <v>0</v>
      </c>
      <c r="DR122" s="1117">
        <f t="shared" si="447"/>
        <v>837688569.79999995</v>
      </c>
      <c r="DS122" s="1118"/>
      <c r="DW122" s="1116">
        <f t="shared" si="400"/>
        <v>898192106.79999995</v>
      </c>
      <c r="DX122" s="1117">
        <f t="shared" si="448"/>
        <v>60503537.000000007</v>
      </c>
      <c r="DY122" s="1117">
        <f t="shared" si="449"/>
        <v>0</v>
      </c>
      <c r="DZ122" s="1117">
        <f t="shared" si="450"/>
        <v>837688569.79999995</v>
      </c>
      <c r="EA122" s="1118"/>
      <c r="EE122" s="1116">
        <f t="shared" si="401"/>
        <v>898192106.79999995</v>
      </c>
      <c r="EF122" s="1117">
        <f t="shared" si="451"/>
        <v>60503537.000000007</v>
      </c>
      <c r="EG122" s="1117">
        <f t="shared" si="452"/>
        <v>0</v>
      </c>
      <c r="EH122" s="1117">
        <f t="shared" si="453"/>
        <v>837688569.79999995</v>
      </c>
      <c r="EI122" s="1118"/>
      <c r="EM122" s="1116">
        <f t="shared" si="402"/>
        <v>898192106.79999995</v>
      </c>
      <c r="EN122" s="1117">
        <f t="shared" si="454"/>
        <v>60503537.000000007</v>
      </c>
      <c r="EO122" s="1117">
        <f t="shared" si="455"/>
        <v>0</v>
      </c>
      <c r="EP122" s="1117">
        <f t="shared" si="456"/>
        <v>837688569.79999995</v>
      </c>
      <c r="EQ122" s="1118"/>
      <c r="EU122" s="1116">
        <f t="shared" si="403"/>
        <v>898192106.79999995</v>
      </c>
      <c r="EV122" s="1117">
        <f t="shared" si="457"/>
        <v>60503537.000000007</v>
      </c>
      <c r="EW122" s="1117">
        <f t="shared" si="458"/>
        <v>0</v>
      </c>
      <c r="EX122" s="1117">
        <f t="shared" si="459"/>
        <v>837688569.79999995</v>
      </c>
      <c r="EY122" s="1118"/>
      <c r="FC122" s="1116">
        <f t="shared" si="404"/>
        <v>898192106.79999995</v>
      </c>
      <c r="FD122" s="1117">
        <f t="shared" si="460"/>
        <v>60503537.000000007</v>
      </c>
      <c r="FE122" s="1117">
        <f t="shared" si="461"/>
        <v>0</v>
      </c>
      <c r="FF122" s="1117">
        <f t="shared" si="462"/>
        <v>837688569.79999995</v>
      </c>
      <c r="FG122" s="1118"/>
      <c r="FK122" s="1116">
        <f t="shared" si="405"/>
        <v>898192106.79999995</v>
      </c>
      <c r="FL122" s="1117">
        <f t="shared" si="463"/>
        <v>60503537.000000007</v>
      </c>
      <c r="FM122" s="1117">
        <f t="shared" si="464"/>
        <v>0</v>
      </c>
      <c r="FN122" s="1117">
        <f t="shared" si="465"/>
        <v>837688569.79999995</v>
      </c>
      <c r="FO122" s="1118"/>
    </row>
    <row r="123" spans="1:171">
      <c r="A123" s="1423"/>
      <c r="B123" s="79" t="s">
        <v>628</v>
      </c>
      <c r="C123" s="888" t="s">
        <v>78</v>
      </c>
      <c r="D123" s="888">
        <v>183</v>
      </c>
      <c r="E123" s="182" t="str">
        <f>'Sch 1- Rate Base '!E123</f>
        <v>DIST</v>
      </c>
      <c r="F123" s="889"/>
      <c r="G123" s="182">
        <f>'Sch 1- Rate Base '!G123</f>
        <v>0</v>
      </c>
      <c r="H123" s="182">
        <f>'Sch 1- Rate Base '!H123</f>
        <v>0</v>
      </c>
      <c r="I123" s="182">
        <f>'Sch 1- Rate Base '!I123</f>
        <v>0</v>
      </c>
      <c r="J123" s="1424">
        <f>'Sch 1- Rate Base '!J123</f>
        <v>0</v>
      </c>
      <c r="K123" s="903">
        <f t="shared" si="385"/>
        <v>1</v>
      </c>
      <c r="O123" s="1116">
        <f t="shared" si="386"/>
        <v>0</v>
      </c>
      <c r="P123" s="1117">
        <f t="shared" si="406"/>
        <v>0</v>
      </c>
      <c r="Q123" s="1117">
        <f t="shared" si="407"/>
        <v>0</v>
      </c>
      <c r="R123" s="1117">
        <f t="shared" si="408"/>
        <v>0</v>
      </c>
      <c r="S123" s="1118"/>
      <c r="W123" s="1116">
        <f t="shared" si="387"/>
        <v>0</v>
      </c>
      <c r="X123" s="1117">
        <f t="shared" si="409"/>
        <v>0</v>
      </c>
      <c r="Y123" s="1117">
        <f t="shared" si="410"/>
        <v>0</v>
      </c>
      <c r="Z123" s="1117">
        <f t="shared" si="411"/>
        <v>0</v>
      </c>
      <c r="AA123" s="1118"/>
      <c r="AE123" s="1116">
        <f t="shared" si="388"/>
        <v>0</v>
      </c>
      <c r="AF123" s="1117">
        <f t="shared" si="412"/>
        <v>0</v>
      </c>
      <c r="AG123" s="1117">
        <f t="shared" si="413"/>
        <v>0</v>
      </c>
      <c r="AH123" s="1117">
        <f t="shared" si="414"/>
        <v>0</v>
      </c>
      <c r="AI123" s="1118"/>
      <c r="AM123" s="1116">
        <f t="shared" si="389"/>
        <v>0</v>
      </c>
      <c r="AN123" s="1117">
        <f t="shared" si="415"/>
        <v>0</v>
      </c>
      <c r="AO123" s="1117">
        <f t="shared" si="416"/>
        <v>0</v>
      </c>
      <c r="AP123" s="1117">
        <f t="shared" si="417"/>
        <v>0</v>
      </c>
      <c r="AQ123" s="1118"/>
      <c r="AU123" s="1116">
        <f t="shared" si="390"/>
        <v>0</v>
      </c>
      <c r="AV123" s="1117">
        <f t="shared" si="418"/>
        <v>0</v>
      </c>
      <c r="AW123" s="1117">
        <f t="shared" si="419"/>
        <v>0</v>
      </c>
      <c r="AX123" s="1117">
        <f t="shared" si="420"/>
        <v>0</v>
      </c>
      <c r="AY123" s="1118"/>
      <c r="BC123" s="1116">
        <f t="shared" si="391"/>
        <v>0</v>
      </c>
      <c r="BD123" s="1117">
        <f t="shared" si="421"/>
        <v>0</v>
      </c>
      <c r="BE123" s="1117">
        <f t="shared" si="422"/>
        <v>0</v>
      </c>
      <c r="BF123" s="1117">
        <f t="shared" si="423"/>
        <v>0</v>
      </c>
      <c r="BG123" s="1118"/>
      <c r="BK123" s="1116">
        <f t="shared" si="392"/>
        <v>0</v>
      </c>
      <c r="BL123" s="1117">
        <f t="shared" si="424"/>
        <v>0</v>
      </c>
      <c r="BM123" s="1117">
        <f t="shared" si="425"/>
        <v>0</v>
      </c>
      <c r="BN123" s="1117">
        <f t="shared" si="426"/>
        <v>0</v>
      </c>
      <c r="BO123" s="1118"/>
      <c r="BS123" s="1116">
        <f t="shared" si="393"/>
        <v>0</v>
      </c>
      <c r="BT123" s="1117">
        <f t="shared" si="427"/>
        <v>0</v>
      </c>
      <c r="BU123" s="1117">
        <f t="shared" si="428"/>
        <v>0</v>
      </c>
      <c r="BV123" s="1117">
        <f t="shared" si="429"/>
        <v>0</v>
      </c>
      <c r="BW123" s="1118"/>
      <c r="CA123" s="1116">
        <f t="shared" si="394"/>
        <v>0</v>
      </c>
      <c r="CB123" s="1117">
        <f t="shared" si="430"/>
        <v>0</v>
      </c>
      <c r="CC123" s="1117">
        <f t="shared" si="431"/>
        <v>0</v>
      </c>
      <c r="CD123" s="1117">
        <f t="shared" si="432"/>
        <v>0</v>
      </c>
      <c r="CE123" s="1118"/>
      <c r="CI123" s="1116">
        <f t="shared" si="395"/>
        <v>0</v>
      </c>
      <c r="CJ123" s="1117">
        <f t="shared" si="433"/>
        <v>0</v>
      </c>
      <c r="CK123" s="1117">
        <f t="shared" si="434"/>
        <v>0</v>
      </c>
      <c r="CL123" s="1117">
        <f t="shared" si="435"/>
        <v>0</v>
      </c>
      <c r="CM123" s="1118"/>
      <c r="CQ123" s="1116">
        <f t="shared" si="396"/>
        <v>0</v>
      </c>
      <c r="CR123" s="1117">
        <f t="shared" si="436"/>
        <v>0</v>
      </c>
      <c r="CS123" s="1117">
        <f t="shared" si="437"/>
        <v>0</v>
      </c>
      <c r="CT123" s="1117">
        <f t="shared" si="438"/>
        <v>0</v>
      </c>
      <c r="CU123" s="1118"/>
      <c r="CY123" s="1116">
        <f t="shared" si="397"/>
        <v>0</v>
      </c>
      <c r="CZ123" s="1117">
        <f t="shared" si="439"/>
        <v>0</v>
      </c>
      <c r="DA123" s="1117">
        <f t="shared" si="440"/>
        <v>0</v>
      </c>
      <c r="DB123" s="1117">
        <f t="shared" si="441"/>
        <v>0</v>
      </c>
      <c r="DC123" s="1118"/>
      <c r="DG123" s="1116">
        <f t="shared" si="398"/>
        <v>0</v>
      </c>
      <c r="DH123" s="1117">
        <f t="shared" si="442"/>
        <v>0</v>
      </c>
      <c r="DI123" s="1117">
        <f t="shared" si="443"/>
        <v>0</v>
      </c>
      <c r="DJ123" s="1117">
        <f t="shared" si="444"/>
        <v>0</v>
      </c>
      <c r="DK123" s="1118"/>
      <c r="DO123" s="1116">
        <f t="shared" si="399"/>
        <v>0</v>
      </c>
      <c r="DP123" s="1117">
        <f t="shared" si="445"/>
        <v>0</v>
      </c>
      <c r="DQ123" s="1117">
        <f t="shared" si="446"/>
        <v>0</v>
      </c>
      <c r="DR123" s="1117">
        <f t="shared" si="447"/>
        <v>0</v>
      </c>
      <c r="DS123" s="1118"/>
      <c r="DW123" s="1116">
        <f t="shared" si="400"/>
        <v>0</v>
      </c>
      <c r="DX123" s="1117">
        <f t="shared" si="448"/>
        <v>0</v>
      </c>
      <c r="DY123" s="1117">
        <f t="shared" si="449"/>
        <v>0</v>
      </c>
      <c r="DZ123" s="1117">
        <f t="shared" si="450"/>
        <v>0</v>
      </c>
      <c r="EA123" s="1118"/>
      <c r="EE123" s="1116">
        <f t="shared" si="401"/>
        <v>0</v>
      </c>
      <c r="EF123" s="1117">
        <f t="shared" si="451"/>
        <v>0</v>
      </c>
      <c r="EG123" s="1117">
        <f t="shared" si="452"/>
        <v>0</v>
      </c>
      <c r="EH123" s="1117">
        <f t="shared" si="453"/>
        <v>0</v>
      </c>
      <c r="EI123" s="1118"/>
      <c r="EM123" s="1116">
        <f t="shared" si="402"/>
        <v>0</v>
      </c>
      <c r="EN123" s="1117">
        <f t="shared" si="454"/>
        <v>0</v>
      </c>
      <c r="EO123" s="1117">
        <f t="shared" si="455"/>
        <v>0</v>
      </c>
      <c r="EP123" s="1117">
        <f t="shared" si="456"/>
        <v>0</v>
      </c>
      <c r="EQ123" s="1118"/>
      <c r="EU123" s="1116">
        <f t="shared" si="403"/>
        <v>0</v>
      </c>
      <c r="EV123" s="1117">
        <f t="shared" si="457"/>
        <v>0</v>
      </c>
      <c r="EW123" s="1117">
        <f t="shared" si="458"/>
        <v>0</v>
      </c>
      <c r="EX123" s="1117">
        <f t="shared" si="459"/>
        <v>0</v>
      </c>
      <c r="EY123" s="1118"/>
      <c r="FC123" s="1116">
        <f t="shared" si="404"/>
        <v>0</v>
      </c>
      <c r="FD123" s="1117">
        <f t="shared" si="460"/>
        <v>0</v>
      </c>
      <c r="FE123" s="1117">
        <f t="shared" si="461"/>
        <v>0</v>
      </c>
      <c r="FF123" s="1117">
        <f t="shared" si="462"/>
        <v>0</v>
      </c>
      <c r="FG123" s="1118"/>
      <c r="FK123" s="1116">
        <f t="shared" si="405"/>
        <v>0</v>
      </c>
      <c r="FL123" s="1117">
        <f t="shared" si="463"/>
        <v>0</v>
      </c>
      <c r="FM123" s="1117">
        <f t="shared" si="464"/>
        <v>0</v>
      </c>
      <c r="FN123" s="1117">
        <f t="shared" si="465"/>
        <v>0</v>
      </c>
      <c r="FO123" s="1118"/>
    </row>
    <row r="124" spans="1:171">
      <c r="A124" s="1423"/>
      <c r="B124" s="79" t="s">
        <v>14</v>
      </c>
      <c r="C124" s="888" t="s">
        <v>78</v>
      </c>
      <c r="D124" s="888">
        <v>183.1</v>
      </c>
      <c r="E124" s="182" t="str">
        <f>'Sch 1- Rate Base '!E124</f>
        <v>DIST</v>
      </c>
      <c r="F124" s="889"/>
      <c r="G124" s="182">
        <f>'Sch 1- Rate Base '!G124</f>
        <v>0</v>
      </c>
      <c r="H124" s="182">
        <f>'Sch 1- Rate Base '!H124</f>
        <v>0</v>
      </c>
      <c r="I124" s="182">
        <f>'Sch 1- Rate Base '!I124</f>
        <v>0</v>
      </c>
      <c r="J124" s="1424">
        <f>'Sch 1- Rate Base '!J124</f>
        <v>0</v>
      </c>
      <c r="K124" s="903">
        <f t="shared" si="385"/>
        <v>1</v>
      </c>
      <c r="O124" s="1116">
        <f t="shared" si="386"/>
        <v>0</v>
      </c>
      <c r="P124" s="1117">
        <f t="shared" si="406"/>
        <v>0</v>
      </c>
      <c r="Q124" s="1117">
        <f t="shared" si="407"/>
        <v>0</v>
      </c>
      <c r="R124" s="1117">
        <f t="shared" si="408"/>
        <v>0</v>
      </c>
      <c r="S124" s="1118"/>
      <c r="W124" s="1116">
        <f t="shared" si="387"/>
        <v>0</v>
      </c>
      <c r="X124" s="1117">
        <f t="shared" si="409"/>
        <v>0</v>
      </c>
      <c r="Y124" s="1117">
        <f t="shared" si="410"/>
        <v>0</v>
      </c>
      <c r="Z124" s="1117">
        <f t="shared" si="411"/>
        <v>0</v>
      </c>
      <c r="AA124" s="1118"/>
      <c r="AE124" s="1116">
        <f t="shared" si="388"/>
        <v>0</v>
      </c>
      <c r="AF124" s="1117">
        <f t="shared" si="412"/>
        <v>0</v>
      </c>
      <c r="AG124" s="1117">
        <f t="shared" si="413"/>
        <v>0</v>
      </c>
      <c r="AH124" s="1117">
        <f t="shared" si="414"/>
        <v>0</v>
      </c>
      <c r="AI124" s="1118"/>
      <c r="AM124" s="1116">
        <f t="shared" si="389"/>
        <v>0</v>
      </c>
      <c r="AN124" s="1117">
        <f t="shared" si="415"/>
        <v>0</v>
      </c>
      <c r="AO124" s="1117">
        <f t="shared" si="416"/>
        <v>0</v>
      </c>
      <c r="AP124" s="1117">
        <f t="shared" si="417"/>
        <v>0</v>
      </c>
      <c r="AQ124" s="1118"/>
      <c r="AU124" s="1116">
        <f t="shared" si="390"/>
        <v>0</v>
      </c>
      <c r="AV124" s="1117">
        <f t="shared" si="418"/>
        <v>0</v>
      </c>
      <c r="AW124" s="1117">
        <f t="shared" si="419"/>
        <v>0</v>
      </c>
      <c r="AX124" s="1117">
        <f t="shared" si="420"/>
        <v>0</v>
      </c>
      <c r="AY124" s="1118"/>
      <c r="BC124" s="1116">
        <f t="shared" si="391"/>
        <v>0</v>
      </c>
      <c r="BD124" s="1117">
        <f t="shared" si="421"/>
        <v>0</v>
      </c>
      <c r="BE124" s="1117">
        <f t="shared" si="422"/>
        <v>0</v>
      </c>
      <c r="BF124" s="1117">
        <f t="shared" si="423"/>
        <v>0</v>
      </c>
      <c r="BG124" s="1118"/>
      <c r="BK124" s="1116">
        <f t="shared" si="392"/>
        <v>0</v>
      </c>
      <c r="BL124" s="1117">
        <f t="shared" si="424"/>
        <v>0</v>
      </c>
      <c r="BM124" s="1117">
        <f t="shared" si="425"/>
        <v>0</v>
      </c>
      <c r="BN124" s="1117">
        <f t="shared" si="426"/>
        <v>0</v>
      </c>
      <c r="BO124" s="1118"/>
      <c r="BS124" s="1116">
        <f t="shared" si="393"/>
        <v>0</v>
      </c>
      <c r="BT124" s="1117">
        <f t="shared" si="427"/>
        <v>0</v>
      </c>
      <c r="BU124" s="1117">
        <f t="shared" si="428"/>
        <v>0</v>
      </c>
      <c r="BV124" s="1117">
        <f t="shared" si="429"/>
        <v>0</v>
      </c>
      <c r="BW124" s="1118"/>
      <c r="CA124" s="1116">
        <f t="shared" si="394"/>
        <v>0</v>
      </c>
      <c r="CB124" s="1117">
        <f t="shared" si="430"/>
        <v>0</v>
      </c>
      <c r="CC124" s="1117">
        <f t="shared" si="431"/>
        <v>0</v>
      </c>
      <c r="CD124" s="1117">
        <f t="shared" si="432"/>
        <v>0</v>
      </c>
      <c r="CE124" s="1118"/>
      <c r="CI124" s="1116">
        <f t="shared" si="395"/>
        <v>0</v>
      </c>
      <c r="CJ124" s="1117">
        <f t="shared" si="433"/>
        <v>0</v>
      </c>
      <c r="CK124" s="1117">
        <f t="shared" si="434"/>
        <v>0</v>
      </c>
      <c r="CL124" s="1117">
        <f t="shared" si="435"/>
        <v>0</v>
      </c>
      <c r="CM124" s="1118"/>
      <c r="CQ124" s="1116">
        <f t="shared" si="396"/>
        <v>0</v>
      </c>
      <c r="CR124" s="1117">
        <f t="shared" si="436"/>
        <v>0</v>
      </c>
      <c r="CS124" s="1117">
        <f t="shared" si="437"/>
        <v>0</v>
      </c>
      <c r="CT124" s="1117">
        <f t="shared" si="438"/>
        <v>0</v>
      </c>
      <c r="CU124" s="1118"/>
      <c r="CY124" s="1116">
        <f t="shared" si="397"/>
        <v>0</v>
      </c>
      <c r="CZ124" s="1117">
        <f t="shared" si="439"/>
        <v>0</v>
      </c>
      <c r="DA124" s="1117">
        <f t="shared" si="440"/>
        <v>0</v>
      </c>
      <c r="DB124" s="1117">
        <f t="shared" si="441"/>
        <v>0</v>
      </c>
      <c r="DC124" s="1118"/>
      <c r="DG124" s="1116">
        <f t="shared" si="398"/>
        <v>0</v>
      </c>
      <c r="DH124" s="1117">
        <f t="shared" si="442"/>
        <v>0</v>
      </c>
      <c r="DI124" s="1117">
        <f t="shared" si="443"/>
        <v>0</v>
      </c>
      <c r="DJ124" s="1117">
        <f t="shared" si="444"/>
        <v>0</v>
      </c>
      <c r="DK124" s="1118"/>
      <c r="DO124" s="1116">
        <f t="shared" si="399"/>
        <v>0</v>
      </c>
      <c r="DP124" s="1117">
        <f t="shared" si="445"/>
        <v>0</v>
      </c>
      <c r="DQ124" s="1117">
        <f t="shared" si="446"/>
        <v>0</v>
      </c>
      <c r="DR124" s="1117">
        <f t="shared" si="447"/>
        <v>0</v>
      </c>
      <c r="DS124" s="1118"/>
      <c r="DW124" s="1116">
        <f t="shared" si="400"/>
        <v>0</v>
      </c>
      <c r="DX124" s="1117">
        <f t="shared" si="448"/>
        <v>0</v>
      </c>
      <c r="DY124" s="1117">
        <f t="shared" si="449"/>
        <v>0</v>
      </c>
      <c r="DZ124" s="1117">
        <f t="shared" si="450"/>
        <v>0</v>
      </c>
      <c r="EA124" s="1118"/>
      <c r="EE124" s="1116">
        <f t="shared" si="401"/>
        <v>0</v>
      </c>
      <c r="EF124" s="1117">
        <f t="shared" si="451"/>
        <v>0</v>
      </c>
      <c r="EG124" s="1117">
        <f t="shared" si="452"/>
        <v>0</v>
      </c>
      <c r="EH124" s="1117">
        <f t="shared" si="453"/>
        <v>0</v>
      </c>
      <c r="EI124" s="1118"/>
      <c r="EM124" s="1116">
        <f t="shared" si="402"/>
        <v>0</v>
      </c>
      <c r="EN124" s="1117">
        <f t="shared" si="454"/>
        <v>0</v>
      </c>
      <c r="EO124" s="1117">
        <f t="shared" si="455"/>
        <v>0</v>
      </c>
      <c r="EP124" s="1117">
        <f t="shared" si="456"/>
        <v>0</v>
      </c>
      <c r="EQ124" s="1118"/>
      <c r="EU124" s="1116">
        <f t="shared" si="403"/>
        <v>0</v>
      </c>
      <c r="EV124" s="1117">
        <f t="shared" si="457"/>
        <v>0</v>
      </c>
      <c r="EW124" s="1117">
        <f t="shared" si="458"/>
        <v>0</v>
      </c>
      <c r="EX124" s="1117">
        <f t="shared" si="459"/>
        <v>0</v>
      </c>
      <c r="EY124" s="1118"/>
      <c r="FC124" s="1116">
        <f t="shared" si="404"/>
        <v>0</v>
      </c>
      <c r="FD124" s="1117">
        <f t="shared" si="460"/>
        <v>0</v>
      </c>
      <c r="FE124" s="1117">
        <f t="shared" si="461"/>
        <v>0</v>
      </c>
      <c r="FF124" s="1117">
        <f t="shared" si="462"/>
        <v>0</v>
      </c>
      <c r="FG124" s="1118"/>
      <c r="FK124" s="1116">
        <f t="shared" si="405"/>
        <v>0</v>
      </c>
      <c r="FL124" s="1117">
        <f t="shared" si="463"/>
        <v>0</v>
      </c>
      <c r="FM124" s="1117">
        <f t="shared" si="464"/>
        <v>0</v>
      </c>
      <c r="FN124" s="1117">
        <f t="shared" si="465"/>
        <v>0</v>
      </c>
      <c r="FO124" s="1118"/>
    </row>
    <row r="125" spans="1:171">
      <c r="A125" s="1423"/>
      <c r="B125" s="79" t="s">
        <v>449</v>
      </c>
      <c r="C125" s="888" t="s">
        <v>78</v>
      </c>
      <c r="D125" s="888">
        <v>183.2</v>
      </c>
      <c r="E125" s="182" t="str">
        <f>'Sch 1- Rate Base '!E125</f>
        <v>DIST</v>
      </c>
      <c r="F125" s="889"/>
      <c r="G125" s="182">
        <f>'Sch 1- Rate Base '!G125</f>
        <v>0</v>
      </c>
      <c r="H125" s="182">
        <f>'Sch 1- Rate Base '!H125</f>
        <v>0</v>
      </c>
      <c r="I125" s="182">
        <f>'Sch 1- Rate Base '!I125</f>
        <v>0</v>
      </c>
      <c r="J125" s="1424">
        <f>'Sch 1- Rate Base '!J125</f>
        <v>0</v>
      </c>
      <c r="K125" s="903">
        <f t="shared" si="385"/>
        <v>1</v>
      </c>
      <c r="O125" s="1116">
        <f t="shared" si="386"/>
        <v>0</v>
      </c>
      <c r="P125" s="1117">
        <f t="shared" si="406"/>
        <v>0</v>
      </c>
      <c r="Q125" s="1117">
        <f t="shared" si="407"/>
        <v>0</v>
      </c>
      <c r="R125" s="1117">
        <f t="shared" si="408"/>
        <v>0</v>
      </c>
      <c r="S125" s="1118"/>
      <c r="W125" s="1116">
        <f t="shared" si="387"/>
        <v>0</v>
      </c>
      <c r="X125" s="1117">
        <f t="shared" si="409"/>
        <v>0</v>
      </c>
      <c r="Y125" s="1117">
        <f t="shared" si="410"/>
        <v>0</v>
      </c>
      <c r="Z125" s="1117">
        <f t="shared" si="411"/>
        <v>0</v>
      </c>
      <c r="AA125" s="1118"/>
      <c r="AE125" s="1116">
        <f t="shared" si="388"/>
        <v>0</v>
      </c>
      <c r="AF125" s="1117">
        <f t="shared" si="412"/>
        <v>0</v>
      </c>
      <c r="AG125" s="1117">
        <f t="shared" si="413"/>
        <v>0</v>
      </c>
      <c r="AH125" s="1117">
        <f t="shared" si="414"/>
        <v>0</v>
      </c>
      <c r="AI125" s="1118"/>
      <c r="AM125" s="1116">
        <f t="shared" si="389"/>
        <v>0</v>
      </c>
      <c r="AN125" s="1117">
        <f t="shared" si="415"/>
        <v>0</v>
      </c>
      <c r="AO125" s="1117">
        <f t="shared" si="416"/>
        <v>0</v>
      </c>
      <c r="AP125" s="1117">
        <f t="shared" si="417"/>
        <v>0</v>
      </c>
      <c r="AQ125" s="1118"/>
      <c r="AU125" s="1116">
        <f t="shared" si="390"/>
        <v>0</v>
      </c>
      <c r="AV125" s="1117">
        <f t="shared" si="418"/>
        <v>0</v>
      </c>
      <c r="AW125" s="1117">
        <f t="shared" si="419"/>
        <v>0</v>
      </c>
      <c r="AX125" s="1117">
        <f t="shared" si="420"/>
        <v>0</v>
      </c>
      <c r="AY125" s="1118"/>
      <c r="BC125" s="1116">
        <f t="shared" si="391"/>
        <v>0</v>
      </c>
      <c r="BD125" s="1117">
        <f t="shared" si="421"/>
        <v>0</v>
      </c>
      <c r="BE125" s="1117">
        <f t="shared" si="422"/>
        <v>0</v>
      </c>
      <c r="BF125" s="1117">
        <f t="shared" si="423"/>
        <v>0</v>
      </c>
      <c r="BG125" s="1118"/>
      <c r="BK125" s="1116">
        <f t="shared" si="392"/>
        <v>0</v>
      </c>
      <c r="BL125" s="1117">
        <f t="shared" si="424"/>
        <v>0</v>
      </c>
      <c r="BM125" s="1117">
        <f t="shared" si="425"/>
        <v>0</v>
      </c>
      <c r="BN125" s="1117">
        <f t="shared" si="426"/>
        <v>0</v>
      </c>
      <c r="BO125" s="1118"/>
      <c r="BS125" s="1116">
        <f t="shared" si="393"/>
        <v>0</v>
      </c>
      <c r="BT125" s="1117">
        <f t="shared" si="427"/>
        <v>0</v>
      </c>
      <c r="BU125" s="1117">
        <f t="shared" si="428"/>
        <v>0</v>
      </c>
      <c r="BV125" s="1117">
        <f t="shared" si="429"/>
        <v>0</v>
      </c>
      <c r="BW125" s="1118"/>
      <c r="CA125" s="1116">
        <f t="shared" si="394"/>
        <v>0</v>
      </c>
      <c r="CB125" s="1117">
        <f t="shared" si="430"/>
        <v>0</v>
      </c>
      <c r="CC125" s="1117">
        <f t="shared" si="431"/>
        <v>0</v>
      </c>
      <c r="CD125" s="1117">
        <f t="shared" si="432"/>
        <v>0</v>
      </c>
      <c r="CE125" s="1118"/>
      <c r="CI125" s="1116">
        <f t="shared" si="395"/>
        <v>0</v>
      </c>
      <c r="CJ125" s="1117">
        <f t="shared" si="433"/>
        <v>0</v>
      </c>
      <c r="CK125" s="1117">
        <f t="shared" si="434"/>
        <v>0</v>
      </c>
      <c r="CL125" s="1117">
        <f t="shared" si="435"/>
        <v>0</v>
      </c>
      <c r="CM125" s="1118"/>
      <c r="CQ125" s="1116">
        <f t="shared" si="396"/>
        <v>0</v>
      </c>
      <c r="CR125" s="1117">
        <f t="shared" si="436"/>
        <v>0</v>
      </c>
      <c r="CS125" s="1117">
        <f t="shared" si="437"/>
        <v>0</v>
      </c>
      <c r="CT125" s="1117">
        <f t="shared" si="438"/>
        <v>0</v>
      </c>
      <c r="CU125" s="1118"/>
      <c r="CY125" s="1116">
        <f t="shared" si="397"/>
        <v>0</v>
      </c>
      <c r="CZ125" s="1117">
        <f t="shared" si="439"/>
        <v>0</v>
      </c>
      <c r="DA125" s="1117">
        <f t="shared" si="440"/>
        <v>0</v>
      </c>
      <c r="DB125" s="1117">
        <f t="shared" si="441"/>
        <v>0</v>
      </c>
      <c r="DC125" s="1118"/>
      <c r="DG125" s="1116">
        <f t="shared" si="398"/>
        <v>0</v>
      </c>
      <c r="DH125" s="1117">
        <f t="shared" si="442"/>
        <v>0</v>
      </c>
      <c r="DI125" s="1117">
        <f t="shared" si="443"/>
        <v>0</v>
      </c>
      <c r="DJ125" s="1117">
        <f t="shared" si="444"/>
        <v>0</v>
      </c>
      <c r="DK125" s="1118"/>
      <c r="DO125" s="1116">
        <f t="shared" si="399"/>
        <v>0</v>
      </c>
      <c r="DP125" s="1117">
        <f t="shared" si="445"/>
        <v>0</v>
      </c>
      <c r="DQ125" s="1117">
        <f t="shared" si="446"/>
        <v>0</v>
      </c>
      <c r="DR125" s="1117">
        <f t="shared" si="447"/>
        <v>0</v>
      </c>
      <c r="DS125" s="1118"/>
      <c r="DW125" s="1116">
        <f t="shared" si="400"/>
        <v>0</v>
      </c>
      <c r="DX125" s="1117">
        <f t="shared" si="448"/>
        <v>0</v>
      </c>
      <c r="DY125" s="1117">
        <f t="shared" si="449"/>
        <v>0</v>
      </c>
      <c r="DZ125" s="1117">
        <f t="shared" si="450"/>
        <v>0</v>
      </c>
      <c r="EA125" s="1118"/>
      <c r="EE125" s="1116">
        <f t="shared" si="401"/>
        <v>0</v>
      </c>
      <c r="EF125" s="1117">
        <f t="shared" si="451"/>
        <v>0</v>
      </c>
      <c r="EG125" s="1117">
        <f t="shared" si="452"/>
        <v>0</v>
      </c>
      <c r="EH125" s="1117">
        <f t="shared" si="453"/>
        <v>0</v>
      </c>
      <c r="EI125" s="1118"/>
      <c r="EM125" s="1116">
        <f t="shared" si="402"/>
        <v>0</v>
      </c>
      <c r="EN125" s="1117">
        <f t="shared" si="454"/>
        <v>0</v>
      </c>
      <c r="EO125" s="1117">
        <f t="shared" si="455"/>
        <v>0</v>
      </c>
      <c r="EP125" s="1117">
        <f t="shared" si="456"/>
        <v>0</v>
      </c>
      <c r="EQ125" s="1118"/>
      <c r="EU125" s="1116">
        <f t="shared" si="403"/>
        <v>0</v>
      </c>
      <c r="EV125" s="1117">
        <f t="shared" si="457"/>
        <v>0</v>
      </c>
      <c r="EW125" s="1117">
        <f t="shared" si="458"/>
        <v>0</v>
      </c>
      <c r="EX125" s="1117">
        <f t="shared" si="459"/>
        <v>0</v>
      </c>
      <c r="EY125" s="1118"/>
      <c r="FC125" s="1116">
        <f t="shared" si="404"/>
        <v>0</v>
      </c>
      <c r="FD125" s="1117">
        <f t="shared" si="460"/>
        <v>0</v>
      </c>
      <c r="FE125" s="1117">
        <f t="shared" si="461"/>
        <v>0</v>
      </c>
      <c r="FF125" s="1117">
        <f t="shared" si="462"/>
        <v>0</v>
      </c>
      <c r="FG125" s="1118"/>
      <c r="FK125" s="1116">
        <f t="shared" si="405"/>
        <v>0</v>
      </c>
      <c r="FL125" s="1117">
        <f t="shared" si="463"/>
        <v>0</v>
      </c>
      <c r="FM125" s="1117">
        <f t="shared" si="464"/>
        <v>0</v>
      </c>
      <c r="FN125" s="1117">
        <f t="shared" si="465"/>
        <v>0</v>
      </c>
      <c r="FO125" s="1118"/>
    </row>
    <row r="126" spans="1:171">
      <c r="A126" s="1423"/>
      <c r="B126" s="79" t="s">
        <v>15</v>
      </c>
      <c r="C126" s="888" t="s">
        <v>78</v>
      </c>
      <c r="D126" s="888">
        <v>184</v>
      </c>
      <c r="E126" s="182" t="str">
        <f>'Sch 1- Rate Base '!E126</f>
        <v>DIST</v>
      </c>
      <c r="F126" s="889"/>
      <c r="G126" s="182">
        <f>'Sch 1- Rate Base '!G126</f>
        <v>858506.23</v>
      </c>
      <c r="H126" s="182">
        <f>'Sch 1- Rate Base '!H126</f>
        <v>0</v>
      </c>
      <c r="I126" s="182">
        <f>'Sch 1- Rate Base '!I126</f>
        <v>0</v>
      </c>
      <c r="J126" s="1424">
        <f>'Sch 1- Rate Base '!J126</f>
        <v>858506.23</v>
      </c>
      <c r="K126" s="903">
        <f t="shared" si="385"/>
        <v>1</v>
      </c>
      <c r="O126" s="1116">
        <f t="shared" si="386"/>
        <v>858506.23</v>
      </c>
      <c r="P126" s="1117">
        <f t="shared" si="406"/>
        <v>0</v>
      </c>
      <c r="Q126" s="1117">
        <f t="shared" si="407"/>
        <v>0</v>
      </c>
      <c r="R126" s="1117">
        <f t="shared" si="408"/>
        <v>858506.23</v>
      </c>
      <c r="S126" s="1118"/>
      <c r="W126" s="1116">
        <f t="shared" si="387"/>
        <v>858506.23</v>
      </c>
      <c r="X126" s="1117">
        <f t="shared" si="409"/>
        <v>0</v>
      </c>
      <c r="Y126" s="1117">
        <f t="shared" si="410"/>
        <v>0</v>
      </c>
      <c r="Z126" s="1117">
        <f t="shared" si="411"/>
        <v>858506.23</v>
      </c>
      <c r="AA126" s="1118"/>
      <c r="AE126" s="1116">
        <f t="shared" si="388"/>
        <v>858506.23</v>
      </c>
      <c r="AF126" s="1117">
        <f t="shared" si="412"/>
        <v>0</v>
      </c>
      <c r="AG126" s="1117">
        <f t="shared" si="413"/>
        <v>0</v>
      </c>
      <c r="AH126" s="1117">
        <f t="shared" si="414"/>
        <v>858506.23</v>
      </c>
      <c r="AI126" s="1118"/>
      <c r="AM126" s="1116">
        <f t="shared" si="389"/>
        <v>858506.23</v>
      </c>
      <c r="AN126" s="1117">
        <f t="shared" si="415"/>
        <v>0</v>
      </c>
      <c r="AO126" s="1117">
        <f t="shared" si="416"/>
        <v>0</v>
      </c>
      <c r="AP126" s="1117">
        <f t="shared" si="417"/>
        <v>858506.23</v>
      </c>
      <c r="AQ126" s="1118"/>
      <c r="AU126" s="1116">
        <f t="shared" si="390"/>
        <v>858506.23</v>
      </c>
      <c r="AV126" s="1117">
        <f t="shared" si="418"/>
        <v>0</v>
      </c>
      <c r="AW126" s="1117">
        <f t="shared" si="419"/>
        <v>0</v>
      </c>
      <c r="AX126" s="1117">
        <f t="shared" si="420"/>
        <v>858506.23</v>
      </c>
      <c r="AY126" s="1118"/>
      <c r="BC126" s="1116">
        <f t="shared" si="391"/>
        <v>858506.23</v>
      </c>
      <c r="BD126" s="1117">
        <f t="shared" si="421"/>
        <v>0</v>
      </c>
      <c r="BE126" s="1117">
        <f t="shared" si="422"/>
        <v>0</v>
      </c>
      <c r="BF126" s="1117">
        <f t="shared" si="423"/>
        <v>858506.23</v>
      </c>
      <c r="BG126" s="1118"/>
      <c r="BK126" s="1116">
        <f t="shared" si="392"/>
        <v>858506.23</v>
      </c>
      <c r="BL126" s="1117">
        <f t="shared" si="424"/>
        <v>0</v>
      </c>
      <c r="BM126" s="1117">
        <f t="shared" si="425"/>
        <v>0</v>
      </c>
      <c r="BN126" s="1117">
        <f t="shared" si="426"/>
        <v>858506.23</v>
      </c>
      <c r="BO126" s="1118"/>
      <c r="BS126" s="1116">
        <f t="shared" si="393"/>
        <v>858506.23</v>
      </c>
      <c r="BT126" s="1117">
        <f t="shared" si="427"/>
        <v>0</v>
      </c>
      <c r="BU126" s="1117">
        <f t="shared" si="428"/>
        <v>0</v>
      </c>
      <c r="BV126" s="1117">
        <f t="shared" si="429"/>
        <v>858506.23</v>
      </c>
      <c r="BW126" s="1118"/>
      <c r="CA126" s="1116">
        <f t="shared" si="394"/>
        <v>858506.23</v>
      </c>
      <c r="CB126" s="1117">
        <f t="shared" si="430"/>
        <v>0</v>
      </c>
      <c r="CC126" s="1117">
        <f t="shared" si="431"/>
        <v>0</v>
      </c>
      <c r="CD126" s="1117">
        <f t="shared" si="432"/>
        <v>858506.23</v>
      </c>
      <c r="CE126" s="1118"/>
      <c r="CI126" s="1116">
        <f t="shared" si="395"/>
        <v>858506.23</v>
      </c>
      <c r="CJ126" s="1117">
        <f t="shared" si="433"/>
        <v>0</v>
      </c>
      <c r="CK126" s="1117">
        <f t="shared" si="434"/>
        <v>0</v>
      </c>
      <c r="CL126" s="1117">
        <f t="shared" si="435"/>
        <v>858506.23</v>
      </c>
      <c r="CM126" s="1118"/>
      <c r="CQ126" s="1116">
        <f t="shared" si="396"/>
        <v>858506.23</v>
      </c>
      <c r="CR126" s="1117">
        <f t="shared" si="436"/>
        <v>0</v>
      </c>
      <c r="CS126" s="1117">
        <f t="shared" si="437"/>
        <v>0</v>
      </c>
      <c r="CT126" s="1117">
        <f t="shared" si="438"/>
        <v>858506.23</v>
      </c>
      <c r="CU126" s="1118"/>
      <c r="CY126" s="1116">
        <f t="shared" si="397"/>
        <v>858506.23</v>
      </c>
      <c r="CZ126" s="1117">
        <f t="shared" si="439"/>
        <v>0</v>
      </c>
      <c r="DA126" s="1117">
        <f t="shared" si="440"/>
        <v>0</v>
      </c>
      <c r="DB126" s="1117">
        <f t="shared" si="441"/>
        <v>858506.23</v>
      </c>
      <c r="DC126" s="1118"/>
      <c r="DG126" s="1116">
        <f t="shared" si="398"/>
        <v>858506.23</v>
      </c>
      <c r="DH126" s="1117">
        <f t="shared" si="442"/>
        <v>0</v>
      </c>
      <c r="DI126" s="1117">
        <f t="shared" si="443"/>
        <v>0</v>
      </c>
      <c r="DJ126" s="1117">
        <f t="shared" si="444"/>
        <v>858506.23</v>
      </c>
      <c r="DK126" s="1118"/>
      <c r="DO126" s="1116">
        <f t="shared" si="399"/>
        <v>858506.23</v>
      </c>
      <c r="DP126" s="1117">
        <f t="shared" si="445"/>
        <v>0</v>
      </c>
      <c r="DQ126" s="1117">
        <f t="shared" si="446"/>
        <v>0</v>
      </c>
      <c r="DR126" s="1117">
        <f t="shared" si="447"/>
        <v>858506.23</v>
      </c>
      <c r="DS126" s="1118"/>
      <c r="DW126" s="1116">
        <f t="shared" si="400"/>
        <v>858506.23</v>
      </c>
      <c r="DX126" s="1117">
        <f t="shared" si="448"/>
        <v>0</v>
      </c>
      <c r="DY126" s="1117">
        <f t="shared" si="449"/>
        <v>0</v>
      </c>
      <c r="DZ126" s="1117">
        <f t="shared" si="450"/>
        <v>858506.23</v>
      </c>
      <c r="EA126" s="1118"/>
      <c r="EE126" s="1116">
        <f t="shared" si="401"/>
        <v>858506.23</v>
      </c>
      <c r="EF126" s="1117">
        <f t="shared" si="451"/>
        <v>0</v>
      </c>
      <c r="EG126" s="1117">
        <f t="shared" si="452"/>
        <v>0</v>
      </c>
      <c r="EH126" s="1117">
        <f t="shared" si="453"/>
        <v>858506.23</v>
      </c>
      <c r="EI126" s="1118"/>
      <c r="EM126" s="1116">
        <f t="shared" si="402"/>
        <v>858506.23</v>
      </c>
      <c r="EN126" s="1117">
        <f t="shared" si="454"/>
        <v>0</v>
      </c>
      <c r="EO126" s="1117">
        <f t="shared" si="455"/>
        <v>0</v>
      </c>
      <c r="EP126" s="1117">
        <f t="shared" si="456"/>
        <v>858506.23</v>
      </c>
      <c r="EQ126" s="1118"/>
      <c r="EU126" s="1116">
        <f t="shared" si="403"/>
        <v>858506.23</v>
      </c>
      <c r="EV126" s="1117">
        <f t="shared" si="457"/>
        <v>0</v>
      </c>
      <c r="EW126" s="1117">
        <f t="shared" si="458"/>
        <v>0</v>
      </c>
      <c r="EX126" s="1117">
        <f t="shared" si="459"/>
        <v>858506.23</v>
      </c>
      <c r="EY126" s="1118"/>
      <c r="FC126" s="1116">
        <f t="shared" si="404"/>
        <v>858506.23</v>
      </c>
      <c r="FD126" s="1117">
        <f t="shared" si="460"/>
        <v>0</v>
      </c>
      <c r="FE126" s="1117">
        <f t="shared" si="461"/>
        <v>0</v>
      </c>
      <c r="FF126" s="1117">
        <f t="shared" si="462"/>
        <v>858506.23</v>
      </c>
      <c r="FG126" s="1118"/>
      <c r="FK126" s="1116">
        <f t="shared" si="405"/>
        <v>858506.23</v>
      </c>
      <c r="FL126" s="1117">
        <f t="shared" si="463"/>
        <v>0</v>
      </c>
      <c r="FM126" s="1117">
        <f t="shared" si="464"/>
        <v>0</v>
      </c>
      <c r="FN126" s="1117">
        <f t="shared" si="465"/>
        <v>858506.23</v>
      </c>
      <c r="FO126" s="1118"/>
    </row>
    <row r="127" spans="1:171">
      <c r="A127" s="1423"/>
      <c r="B127" s="79" t="s">
        <v>16</v>
      </c>
      <c r="C127" s="888" t="s">
        <v>78</v>
      </c>
      <c r="D127" s="888">
        <v>185</v>
      </c>
      <c r="E127" s="182" t="str">
        <f>'Sch 1- Rate Base '!E127</f>
        <v>PTDG</v>
      </c>
      <c r="F127" s="889"/>
      <c r="G127" s="182">
        <f>'Sch 1- Rate Base '!G127</f>
        <v>0</v>
      </c>
      <c r="H127" s="182">
        <f>'Sch 1- Rate Base '!H127</f>
        <v>0</v>
      </c>
      <c r="I127" s="182">
        <f>'Sch 1- Rate Base '!I127</f>
        <v>0</v>
      </c>
      <c r="J127" s="1424">
        <f>'Sch 1- Rate Base '!J127</f>
        <v>0</v>
      </c>
      <c r="K127" s="903">
        <f t="shared" si="385"/>
        <v>1</v>
      </c>
      <c r="O127" s="1116">
        <f t="shared" si="386"/>
        <v>0</v>
      </c>
      <c r="P127" s="1117">
        <f t="shared" si="406"/>
        <v>0</v>
      </c>
      <c r="Q127" s="1117">
        <f t="shared" si="407"/>
        <v>0</v>
      </c>
      <c r="R127" s="1117">
        <f t="shared" si="408"/>
        <v>0</v>
      </c>
      <c r="S127" s="1118"/>
      <c r="W127" s="1116">
        <f t="shared" si="387"/>
        <v>0</v>
      </c>
      <c r="X127" s="1117">
        <f t="shared" si="409"/>
        <v>0</v>
      </c>
      <c r="Y127" s="1117">
        <f t="shared" si="410"/>
        <v>0</v>
      </c>
      <c r="Z127" s="1117">
        <f t="shared" si="411"/>
        <v>0</v>
      </c>
      <c r="AA127" s="1118"/>
      <c r="AE127" s="1116">
        <f t="shared" si="388"/>
        <v>0</v>
      </c>
      <c r="AF127" s="1117">
        <f t="shared" si="412"/>
        <v>0</v>
      </c>
      <c r="AG127" s="1117">
        <f t="shared" si="413"/>
        <v>0</v>
      </c>
      <c r="AH127" s="1117">
        <f t="shared" si="414"/>
        <v>0</v>
      </c>
      <c r="AI127" s="1118"/>
      <c r="AM127" s="1116">
        <f t="shared" si="389"/>
        <v>0</v>
      </c>
      <c r="AN127" s="1117">
        <f t="shared" si="415"/>
        <v>0</v>
      </c>
      <c r="AO127" s="1117">
        <f t="shared" si="416"/>
        <v>0</v>
      </c>
      <c r="AP127" s="1117">
        <f t="shared" si="417"/>
        <v>0</v>
      </c>
      <c r="AQ127" s="1118"/>
      <c r="AU127" s="1116">
        <f t="shared" si="390"/>
        <v>0</v>
      </c>
      <c r="AV127" s="1117">
        <f t="shared" si="418"/>
        <v>0</v>
      </c>
      <c r="AW127" s="1117">
        <f t="shared" si="419"/>
        <v>0</v>
      </c>
      <c r="AX127" s="1117">
        <f t="shared" si="420"/>
        <v>0</v>
      </c>
      <c r="AY127" s="1118"/>
      <c r="BC127" s="1116">
        <f t="shared" si="391"/>
        <v>0</v>
      </c>
      <c r="BD127" s="1117">
        <f t="shared" si="421"/>
        <v>0</v>
      </c>
      <c r="BE127" s="1117">
        <f t="shared" si="422"/>
        <v>0</v>
      </c>
      <c r="BF127" s="1117">
        <f t="shared" si="423"/>
        <v>0</v>
      </c>
      <c r="BG127" s="1118"/>
      <c r="BK127" s="1116">
        <f t="shared" si="392"/>
        <v>0</v>
      </c>
      <c r="BL127" s="1117">
        <f t="shared" si="424"/>
        <v>0</v>
      </c>
      <c r="BM127" s="1117">
        <f t="shared" si="425"/>
        <v>0</v>
      </c>
      <c r="BN127" s="1117">
        <f t="shared" si="426"/>
        <v>0</v>
      </c>
      <c r="BO127" s="1118"/>
      <c r="BS127" s="1116">
        <f t="shared" si="393"/>
        <v>0</v>
      </c>
      <c r="BT127" s="1117">
        <f t="shared" si="427"/>
        <v>0</v>
      </c>
      <c r="BU127" s="1117">
        <f t="shared" si="428"/>
        <v>0</v>
      </c>
      <c r="BV127" s="1117">
        <f t="shared" si="429"/>
        <v>0</v>
      </c>
      <c r="BW127" s="1118"/>
      <c r="CA127" s="1116">
        <f t="shared" si="394"/>
        <v>0</v>
      </c>
      <c r="CB127" s="1117">
        <f t="shared" si="430"/>
        <v>0</v>
      </c>
      <c r="CC127" s="1117">
        <f t="shared" si="431"/>
        <v>0</v>
      </c>
      <c r="CD127" s="1117">
        <f t="shared" si="432"/>
        <v>0</v>
      </c>
      <c r="CE127" s="1118"/>
      <c r="CI127" s="1116">
        <f t="shared" si="395"/>
        <v>0</v>
      </c>
      <c r="CJ127" s="1117">
        <f t="shared" si="433"/>
        <v>0</v>
      </c>
      <c r="CK127" s="1117">
        <f t="shared" si="434"/>
        <v>0</v>
      </c>
      <c r="CL127" s="1117">
        <f t="shared" si="435"/>
        <v>0</v>
      </c>
      <c r="CM127" s="1118"/>
      <c r="CQ127" s="1116">
        <f t="shared" si="396"/>
        <v>0</v>
      </c>
      <c r="CR127" s="1117">
        <f t="shared" si="436"/>
        <v>0</v>
      </c>
      <c r="CS127" s="1117">
        <f t="shared" si="437"/>
        <v>0</v>
      </c>
      <c r="CT127" s="1117">
        <f t="shared" si="438"/>
        <v>0</v>
      </c>
      <c r="CU127" s="1118"/>
      <c r="CY127" s="1116">
        <f t="shared" si="397"/>
        <v>0</v>
      </c>
      <c r="CZ127" s="1117">
        <f t="shared" si="439"/>
        <v>0</v>
      </c>
      <c r="DA127" s="1117">
        <f t="shared" si="440"/>
        <v>0</v>
      </c>
      <c r="DB127" s="1117">
        <f t="shared" si="441"/>
        <v>0</v>
      </c>
      <c r="DC127" s="1118"/>
      <c r="DG127" s="1116">
        <f t="shared" si="398"/>
        <v>0</v>
      </c>
      <c r="DH127" s="1117">
        <f t="shared" si="442"/>
        <v>0</v>
      </c>
      <c r="DI127" s="1117">
        <f t="shared" si="443"/>
        <v>0</v>
      </c>
      <c r="DJ127" s="1117">
        <f t="shared" si="444"/>
        <v>0</v>
      </c>
      <c r="DK127" s="1118"/>
      <c r="DO127" s="1116">
        <f t="shared" si="399"/>
        <v>0</v>
      </c>
      <c r="DP127" s="1117">
        <f t="shared" si="445"/>
        <v>0</v>
      </c>
      <c r="DQ127" s="1117">
        <f t="shared" si="446"/>
        <v>0</v>
      </c>
      <c r="DR127" s="1117">
        <f t="shared" si="447"/>
        <v>0</v>
      </c>
      <c r="DS127" s="1118"/>
      <c r="DW127" s="1116">
        <f t="shared" si="400"/>
        <v>0</v>
      </c>
      <c r="DX127" s="1117">
        <f t="shared" si="448"/>
        <v>0</v>
      </c>
      <c r="DY127" s="1117">
        <f t="shared" si="449"/>
        <v>0</v>
      </c>
      <c r="DZ127" s="1117">
        <f t="shared" si="450"/>
        <v>0</v>
      </c>
      <c r="EA127" s="1118"/>
      <c r="EE127" s="1116">
        <f t="shared" si="401"/>
        <v>0</v>
      </c>
      <c r="EF127" s="1117">
        <f t="shared" si="451"/>
        <v>0</v>
      </c>
      <c r="EG127" s="1117">
        <f t="shared" si="452"/>
        <v>0</v>
      </c>
      <c r="EH127" s="1117">
        <f t="shared" si="453"/>
        <v>0</v>
      </c>
      <c r="EI127" s="1118"/>
      <c r="EM127" s="1116">
        <f t="shared" si="402"/>
        <v>0</v>
      </c>
      <c r="EN127" s="1117">
        <f t="shared" si="454"/>
        <v>0</v>
      </c>
      <c r="EO127" s="1117">
        <f t="shared" si="455"/>
        <v>0</v>
      </c>
      <c r="EP127" s="1117">
        <f t="shared" si="456"/>
        <v>0</v>
      </c>
      <c r="EQ127" s="1118"/>
      <c r="EU127" s="1116">
        <f t="shared" si="403"/>
        <v>0</v>
      </c>
      <c r="EV127" s="1117">
        <f t="shared" si="457"/>
        <v>0</v>
      </c>
      <c r="EW127" s="1117">
        <f t="shared" si="458"/>
        <v>0</v>
      </c>
      <c r="EX127" s="1117">
        <f t="shared" si="459"/>
        <v>0</v>
      </c>
      <c r="EY127" s="1118"/>
      <c r="FC127" s="1116">
        <f t="shared" si="404"/>
        <v>0</v>
      </c>
      <c r="FD127" s="1117">
        <f t="shared" si="460"/>
        <v>0</v>
      </c>
      <c r="FE127" s="1117">
        <f t="shared" si="461"/>
        <v>0</v>
      </c>
      <c r="FF127" s="1117">
        <f t="shared" si="462"/>
        <v>0</v>
      </c>
      <c r="FG127" s="1118"/>
      <c r="FK127" s="1116">
        <f t="shared" si="405"/>
        <v>0</v>
      </c>
      <c r="FL127" s="1117">
        <f t="shared" si="463"/>
        <v>0</v>
      </c>
      <c r="FM127" s="1117">
        <f t="shared" si="464"/>
        <v>0</v>
      </c>
      <c r="FN127" s="1117">
        <f t="shared" si="465"/>
        <v>0</v>
      </c>
      <c r="FO127" s="1118"/>
    </row>
    <row r="128" spans="1:171">
      <c r="A128" s="1423"/>
      <c r="B128" s="79" t="s">
        <v>17</v>
      </c>
      <c r="C128" s="888" t="s">
        <v>78</v>
      </c>
      <c r="D128" s="888">
        <v>186</v>
      </c>
      <c r="E128" s="182" t="str">
        <f>'Sch 1- Rate Base '!E128</f>
        <v>DIRECT</v>
      </c>
      <c r="F128" s="889"/>
      <c r="G128" s="182">
        <f>'Sch 1- Rate Base '!G128</f>
        <v>87517903.719999999</v>
      </c>
      <c r="H128" s="182">
        <f>'Sch 1- Rate Base '!H128</f>
        <v>744171.25</v>
      </c>
      <c r="I128" s="182">
        <f>'Sch 1- Rate Base '!I128</f>
        <v>0</v>
      </c>
      <c r="J128" s="1424">
        <f>'Sch 1- Rate Base '!J128</f>
        <v>86773731.969999999</v>
      </c>
      <c r="K128" s="903">
        <f t="shared" si="385"/>
        <v>0</v>
      </c>
      <c r="O128" s="1116">
        <f t="shared" si="386"/>
        <v>87517903.719999999</v>
      </c>
      <c r="P128" s="1117">
        <f t="shared" si="406"/>
        <v>744171.25</v>
      </c>
      <c r="Q128" s="1117">
        <f t="shared" si="407"/>
        <v>0</v>
      </c>
      <c r="R128" s="1117">
        <f t="shared" si="408"/>
        <v>86773732.469999999</v>
      </c>
      <c r="S128" s="1118"/>
      <c r="W128" s="1116">
        <f t="shared" si="387"/>
        <v>87517903.719999999</v>
      </c>
      <c r="X128" s="1117">
        <f t="shared" si="409"/>
        <v>744171.25</v>
      </c>
      <c r="Y128" s="1117">
        <f t="shared" si="410"/>
        <v>0</v>
      </c>
      <c r="Z128" s="1117">
        <f t="shared" si="411"/>
        <v>86773732.469999999</v>
      </c>
      <c r="AA128" s="1118"/>
      <c r="AE128" s="1116">
        <f t="shared" si="388"/>
        <v>87517903.719999999</v>
      </c>
      <c r="AF128" s="1117">
        <f t="shared" si="412"/>
        <v>744171.25</v>
      </c>
      <c r="AG128" s="1117">
        <f t="shared" si="413"/>
        <v>0</v>
      </c>
      <c r="AH128" s="1117">
        <f t="shared" si="414"/>
        <v>86773732.469999999</v>
      </c>
      <c r="AI128" s="1118"/>
      <c r="AM128" s="1116">
        <f t="shared" si="389"/>
        <v>87517903.719999999</v>
      </c>
      <c r="AN128" s="1117">
        <f t="shared" si="415"/>
        <v>744171.25</v>
      </c>
      <c r="AO128" s="1117">
        <f t="shared" si="416"/>
        <v>0</v>
      </c>
      <c r="AP128" s="1117">
        <f t="shared" si="417"/>
        <v>86773732.469999999</v>
      </c>
      <c r="AQ128" s="1118"/>
      <c r="AU128" s="1116">
        <f t="shared" si="390"/>
        <v>87517903.719999999</v>
      </c>
      <c r="AV128" s="1117">
        <f t="shared" si="418"/>
        <v>744171.25</v>
      </c>
      <c r="AW128" s="1117">
        <f t="shared" si="419"/>
        <v>0</v>
      </c>
      <c r="AX128" s="1117">
        <f t="shared" si="420"/>
        <v>86773732.469999999</v>
      </c>
      <c r="AY128" s="1118"/>
      <c r="BC128" s="1116">
        <f t="shared" si="391"/>
        <v>87517903.719999999</v>
      </c>
      <c r="BD128" s="1117">
        <f t="shared" si="421"/>
        <v>744171.25</v>
      </c>
      <c r="BE128" s="1117">
        <f t="shared" si="422"/>
        <v>0</v>
      </c>
      <c r="BF128" s="1117">
        <f t="shared" si="423"/>
        <v>86773732.469999999</v>
      </c>
      <c r="BG128" s="1118"/>
      <c r="BK128" s="1116">
        <f t="shared" si="392"/>
        <v>87517903.719999999</v>
      </c>
      <c r="BL128" s="1117">
        <f t="shared" si="424"/>
        <v>744171.25</v>
      </c>
      <c r="BM128" s="1117">
        <f t="shared" si="425"/>
        <v>0</v>
      </c>
      <c r="BN128" s="1117">
        <f t="shared" si="426"/>
        <v>86773732.469999999</v>
      </c>
      <c r="BO128" s="1118"/>
      <c r="BS128" s="1116">
        <f t="shared" si="393"/>
        <v>87517903.719999999</v>
      </c>
      <c r="BT128" s="1117">
        <f t="shared" si="427"/>
        <v>744171.25</v>
      </c>
      <c r="BU128" s="1117">
        <f t="shared" si="428"/>
        <v>0</v>
      </c>
      <c r="BV128" s="1117">
        <f t="shared" si="429"/>
        <v>86773732.469999999</v>
      </c>
      <c r="BW128" s="1118"/>
      <c r="CA128" s="1116">
        <f t="shared" si="394"/>
        <v>87517903.719999999</v>
      </c>
      <c r="CB128" s="1117">
        <f t="shared" si="430"/>
        <v>744171.25</v>
      </c>
      <c r="CC128" s="1117">
        <f t="shared" si="431"/>
        <v>0</v>
      </c>
      <c r="CD128" s="1117">
        <f t="shared" si="432"/>
        <v>86773732.469999999</v>
      </c>
      <c r="CE128" s="1118"/>
      <c r="CI128" s="1116">
        <f t="shared" si="395"/>
        <v>87517903.719999999</v>
      </c>
      <c r="CJ128" s="1117">
        <f t="shared" si="433"/>
        <v>744171.25</v>
      </c>
      <c r="CK128" s="1117">
        <f t="shared" si="434"/>
        <v>0</v>
      </c>
      <c r="CL128" s="1117">
        <f t="shared" si="435"/>
        <v>86773732.469999999</v>
      </c>
      <c r="CM128" s="1118"/>
      <c r="CQ128" s="1116">
        <f t="shared" si="396"/>
        <v>87517903.719999999</v>
      </c>
      <c r="CR128" s="1117">
        <f t="shared" si="436"/>
        <v>744171.25</v>
      </c>
      <c r="CS128" s="1117">
        <f t="shared" si="437"/>
        <v>0</v>
      </c>
      <c r="CT128" s="1117">
        <f t="shared" si="438"/>
        <v>86773732.469999999</v>
      </c>
      <c r="CU128" s="1118"/>
      <c r="CY128" s="1116">
        <f t="shared" si="397"/>
        <v>87517903.719999999</v>
      </c>
      <c r="CZ128" s="1117">
        <f t="shared" si="439"/>
        <v>744171.25</v>
      </c>
      <c r="DA128" s="1117">
        <f t="shared" si="440"/>
        <v>0</v>
      </c>
      <c r="DB128" s="1117">
        <f t="shared" si="441"/>
        <v>86773732.469999999</v>
      </c>
      <c r="DC128" s="1118"/>
      <c r="DG128" s="1116">
        <f t="shared" si="398"/>
        <v>87517903.719999999</v>
      </c>
      <c r="DH128" s="1117">
        <f t="shared" si="442"/>
        <v>744171.25</v>
      </c>
      <c r="DI128" s="1117">
        <f t="shared" si="443"/>
        <v>0</v>
      </c>
      <c r="DJ128" s="1117">
        <f t="shared" si="444"/>
        <v>86773732.469999999</v>
      </c>
      <c r="DK128" s="1118"/>
      <c r="DO128" s="1116">
        <f t="shared" si="399"/>
        <v>87517903.719999999</v>
      </c>
      <c r="DP128" s="1117">
        <f t="shared" si="445"/>
        <v>744171.25</v>
      </c>
      <c r="DQ128" s="1117">
        <f t="shared" si="446"/>
        <v>0</v>
      </c>
      <c r="DR128" s="1117">
        <f t="shared" si="447"/>
        <v>86773732.469999999</v>
      </c>
      <c r="DS128" s="1118"/>
      <c r="DW128" s="1116">
        <f t="shared" si="400"/>
        <v>87517903.719999999</v>
      </c>
      <c r="DX128" s="1117">
        <f t="shared" si="448"/>
        <v>744171.25</v>
      </c>
      <c r="DY128" s="1117">
        <f t="shared" si="449"/>
        <v>0</v>
      </c>
      <c r="DZ128" s="1117">
        <f t="shared" si="450"/>
        <v>86773732.469999999</v>
      </c>
      <c r="EA128" s="1118"/>
      <c r="EE128" s="1116">
        <f t="shared" si="401"/>
        <v>87517903.719999999</v>
      </c>
      <c r="EF128" s="1117">
        <f t="shared" si="451"/>
        <v>744171.25</v>
      </c>
      <c r="EG128" s="1117">
        <f t="shared" si="452"/>
        <v>0</v>
      </c>
      <c r="EH128" s="1117">
        <f t="shared" si="453"/>
        <v>86773732.469999999</v>
      </c>
      <c r="EI128" s="1118"/>
      <c r="EM128" s="1116">
        <f t="shared" si="402"/>
        <v>87517903.719999999</v>
      </c>
      <c r="EN128" s="1117">
        <f t="shared" si="454"/>
        <v>744171.25</v>
      </c>
      <c r="EO128" s="1117">
        <f t="shared" si="455"/>
        <v>0</v>
      </c>
      <c r="EP128" s="1117">
        <f t="shared" si="456"/>
        <v>86773732.469999999</v>
      </c>
      <c r="EQ128" s="1118"/>
      <c r="EU128" s="1116">
        <f t="shared" si="403"/>
        <v>87517903.719999999</v>
      </c>
      <c r="EV128" s="1117">
        <f t="shared" si="457"/>
        <v>744171.25</v>
      </c>
      <c r="EW128" s="1117">
        <f t="shared" si="458"/>
        <v>0</v>
      </c>
      <c r="EX128" s="1117">
        <f t="shared" si="459"/>
        <v>86773732.469999999</v>
      </c>
      <c r="EY128" s="1118"/>
      <c r="FC128" s="1116">
        <f t="shared" si="404"/>
        <v>87517903.719999999</v>
      </c>
      <c r="FD128" s="1117">
        <f t="shared" si="460"/>
        <v>744171.25</v>
      </c>
      <c r="FE128" s="1117">
        <f t="shared" si="461"/>
        <v>0</v>
      </c>
      <c r="FF128" s="1117">
        <f t="shared" si="462"/>
        <v>86773732.469999999</v>
      </c>
      <c r="FG128" s="1118"/>
      <c r="FK128" s="1116">
        <f t="shared" si="405"/>
        <v>87517903.719999999</v>
      </c>
      <c r="FL128" s="1117">
        <f t="shared" si="463"/>
        <v>744171.25</v>
      </c>
      <c r="FM128" s="1117">
        <f t="shared" si="464"/>
        <v>0</v>
      </c>
      <c r="FN128" s="1117">
        <f t="shared" si="465"/>
        <v>86773732.469999999</v>
      </c>
      <c r="FO128" s="1118"/>
    </row>
    <row r="129" spans="1:171">
      <c r="A129" s="1423"/>
      <c r="B129" s="79" t="s">
        <v>18</v>
      </c>
      <c r="C129" s="888" t="s">
        <v>78</v>
      </c>
      <c r="D129" s="888">
        <v>187</v>
      </c>
      <c r="E129" s="182" t="str">
        <f>'Sch 1- Rate Base '!E129</f>
        <v>DIRECT</v>
      </c>
      <c r="F129" s="889"/>
      <c r="G129" s="182">
        <f>'Sch 1- Rate Base '!G129</f>
        <v>0</v>
      </c>
      <c r="H129" s="182">
        <f>'Sch 1- Rate Base '!H129</f>
        <v>0</v>
      </c>
      <c r="I129" s="182">
        <f>'Sch 1- Rate Base '!I129</f>
        <v>0</v>
      </c>
      <c r="J129" s="1424">
        <f>'Sch 1- Rate Base '!J129</f>
        <v>0</v>
      </c>
      <c r="K129" s="903">
        <f t="shared" si="385"/>
        <v>0</v>
      </c>
      <c r="O129" s="1116">
        <f t="shared" si="386"/>
        <v>0</v>
      </c>
      <c r="P129" s="1117">
        <f t="shared" si="406"/>
        <v>0</v>
      </c>
      <c r="Q129" s="1117">
        <f t="shared" si="407"/>
        <v>0</v>
      </c>
      <c r="R129" s="1117">
        <f t="shared" si="408"/>
        <v>0</v>
      </c>
      <c r="S129" s="1118"/>
      <c r="W129" s="1116">
        <f t="shared" si="387"/>
        <v>0</v>
      </c>
      <c r="X129" s="1117">
        <f t="shared" si="409"/>
        <v>0</v>
      </c>
      <c r="Y129" s="1117">
        <f t="shared" si="410"/>
        <v>0</v>
      </c>
      <c r="Z129" s="1117">
        <f t="shared" si="411"/>
        <v>0</v>
      </c>
      <c r="AA129" s="1118"/>
      <c r="AE129" s="1116">
        <f t="shared" si="388"/>
        <v>0</v>
      </c>
      <c r="AF129" s="1117">
        <f t="shared" si="412"/>
        <v>0</v>
      </c>
      <c r="AG129" s="1117">
        <f t="shared" si="413"/>
        <v>0</v>
      </c>
      <c r="AH129" s="1117">
        <f t="shared" si="414"/>
        <v>0</v>
      </c>
      <c r="AI129" s="1118"/>
      <c r="AM129" s="1116">
        <f t="shared" si="389"/>
        <v>0</v>
      </c>
      <c r="AN129" s="1117">
        <f t="shared" si="415"/>
        <v>0</v>
      </c>
      <c r="AO129" s="1117">
        <f t="shared" si="416"/>
        <v>0</v>
      </c>
      <c r="AP129" s="1117">
        <f t="shared" si="417"/>
        <v>0</v>
      </c>
      <c r="AQ129" s="1118"/>
      <c r="AU129" s="1116">
        <f t="shared" si="390"/>
        <v>0</v>
      </c>
      <c r="AV129" s="1117">
        <f t="shared" si="418"/>
        <v>0</v>
      </c>
      <c r="AW129" s="1117">
        <f t="shared" si="419"/>
        <v>0</v>
      </c>
      <c r="AX129" s="1117">
        <f t="shared" si="420"/>
        <v>0</v>
      </c>
      <c r="AY129" s="1118"/>
      <c r="BC129" s="1116">
        <f t="shared" si="391"/>
        <v>0</v>
      </c>
      <c r="BD129" s="1117">
        <f t="shared" si="421"/>
        <v>0</v>
      </c>
      <c r="BE129" s="1117">
        <f t="shared" si="422"/>
        <v>0</v>
      </c>
      <c r="BF129" s="1117">
        <f t="shared" si="423"/>
        <v>0</v>
      </c>
      <c r="BG129" s="1118"/>
      <c r="BK129" s="1116">
        <f t="shared" si="392"/>
        <v>0</v>
      </c>
      <c r="BL129" s="1117">
        <f t="shared" si="424"/>
        <v>0</v>
      </c>
      <c r="BM129" s="1117">
        <f t="shared" si="425"/>
        <v>0</v>
      </c>
      <c r="BN129" s="1117">
        <f t="shared" si="426"/>
        <v>0</v>
      </c>
      <c r="BO129" s="1118"/>
      <c r="BS129" s="1116">
        <f t="shared" si="393"/>
        <v>0</v>
      </c>
      <c r="BT129" s="1117">
        <f t="shared" si="427"/>
        <v>0</v>
      </c>
      <c r="BU129" s="1117">
        <f t="shared" si="428"/>
        <v>0</v>
      </c>
      <c r="BV129" s="1117">
        <f t="shared" si="429"/>
        <v>0</v>
      </c>
      <c r="BW129" s="1118"/>
      <c r="CA129" s="1116">
        <f t="shared" si="394"/>
        <v>0</v>
      </c>
      <c r="CB129" s="1117">
        <f t="shared" si="430"/>
        <v>0</v>
      </c>
      <c r="CC129" s="1117">
        <f t="shared" si="431"/>
        <v>0</v>
      </c>
      <c r="CD129" s="1117">
        <f t="shared" si="432"/>
        <v>0</v>
      </c>
      <c r="CE129" s="1118"/>
      <c r="CI129" s="1116">
        <f t="shared" si="395"/>
        <v>0</v>
      </c>
      <c r="CJ129" s="1117">
        <f t="shared" si="433"/>
        <v>0</v>
      </c>
      <c r="CK129" s="1117">
        <f t="shared" si="434"/>
        <v>0</v>
      </c>
      <c r="CL129" s="1117">
        <f t="shared" si="435"/>
        <v>0</v>
      </c>
      <c r="CM129" s="1118"/>
      <c r="CQ129" s="1116">
        <f t="shared" si="396"/>
        <v>0</v>
      </c>
      <c r="CR129" s="1117">
        <f t="shared" si="436"/>
        <v>0</v>
      </c>
      <c r="CS129" s="1117">
        <f t="shared" si="437"/>
        <v>0</v>
      </c>
      <c r="CT129" s="1117">
        <f t="shared" si="438"/>
        <v>0</v>
      </c>
      <c r="CU129" s="1118"/>
      <c r="CY129" s="1116">
        <f t="shared" si="397"/>
        <v>0</v>
      </c>
      <c r="CZ129" s="1117">
        <f t="shared" si="439"/>
        <v>0</v>
      </c>
      <c r="DA129" s="1117">
        <f t="shared" si="440"/>
        <v>0</v>
      </c>
      <c r="DB129" s="1117">
        <f t="shared" si="441"/>
        <v>0</v>
      </c>
      <c r="DC129" s="1118"/>
      <c r="DG129" s="1116">
        <f t="shared" si="398"/>
        <v>0</v>
      </c>
      <c r="DH129" s="1117">
        <f t="shared" si="442"/>
        <v>0</v>
      </c>
      <c r="DI129" s="1117">
        <f t="shared" si="443"/>
        <v>0</v>
      </c>
      <c r="DJ129" s="1117">
        <f t="shared" si="444"/>
        <v>0</v>
      </c>
      <c r="DK129" s="1118"/>
      <c r="DO129" s="1116">
        <f t="shared" si="399"/>
        <v>0</v>
      </c>
      <c r="DP129" s="1117">
        <f t="shared" si="445"/>
        <v>0</v>
      </c>
      <c r="DQ129" s="1117">
        <f t="shared" si="446"/>
        <v>0</v>
      </c>
      <c r="DR129" s="1117">
        <f t="shared" si="447"/>
        <v>0</v>
      </c>
      <c r="DS129" s="1118"/>
      <c r="DW129" s="1116">
        <f t="shared" si="400"/>
        <v>0</v>
      </c>
      <c r="DX129" s="1117">
        <f t="shared" si="448"/>
        <v>0</v>
      </c>
      <c r="DY129" s="1117">
        <f t="shared" si="449"/>
        <v>0</v>
      </c>
      <c r="DZ129" s="1117">
        <f t="shared" si="450"/>
        <v>0</v>
      </c>
      <c r="EA129" s="1118"/>
      <c r="EE129" s="1116">
        <f t="shared" si="401"/>
        <v>0</v>
      </c>
      <c r="EF129" s="1117">
        <f t="shared" si="451"/>
        <v>0</v>
      </c>
      <c r="EG129" s="1117">
        <f t="shared" si="452"/>
        <v>0</v>
      </c>
      <c r="EH129" s="1117">
        <f t="shared" si="453"/>
        <v>0</v>
      </c>
      <c r="EI129" s="1118"/>
      <c r="EM129" s="1116">
        <f t="shared" si="402"/>
        <v>0</v>
      </c>
      <c r="EN129" s="1117">
        <f t="shared" si="454"/>
        <v>0</v>
      </c>
      <c r="EO129" s="1117">
        <f t="shared" si="455"/>
        <v>0</v>
      </c>
      <c r="EP129" s="1117">
        <f t="shared" si="456"/>
        <v>0</v>
      </c>
      <c r="EQ129" s="1118"/>
      <c r="EU129" s="1116">
        <f t="shared" si="403"/>
        <v>0</v>
      </c>
      <c r="EV129" s="1117">
        <f t="shared" si="457"/>
        <v>0</v>
      </c>
      <c r="EW129" s="1117">
        <f t="shared" si="458"/>
        <v>0</v>
      </c>
      <c r="EX129" s="1117">
        <f t="shared" si="459"/>
        <v>0</v>
      </c>
      <c r="EY129" s="1118"/>
      <c r="FC129" s="1116">
        <f t="shared" si="404"/>
        <v>0</v>
      </c>
      <c r="FD129" s="1117">
        <f t="shared" si="460"/>
        <v>0</v>
      </c>
      <c r="FE129" s="1117">
        <f t="shared" si="461"/>
        <v>0</v>
      </c>
      <c r="FF129" s="1117">
        <f t="shared" si="462"/>
        <v>0</v>
      </c>
      <c r="FG129" s="1118"/>
      <c r="FK129" s="1116">
        <f t="shared" si="405"/>
        <v>0</v>
      </c>
      <c r="FL129" s="1117">
        <f t="shared" si="463"/>
        <v>0</v>
      </c>
      <c r="FM129" s="1117">
        <f t="shared" si="464"/>
        <v>0</v>
      </c>
      <c r="FN129" s="1117">
        <f t="shared" si="465"/>
        <v>0</v>
      </c>
      <c r="FO129" s="1118"/>
    </row>
    <row r="130" spans="1:171">
      <c r="A130" s="1423"/>
      <c r="B130" s="79" t="s">
        <v>19</v>
      </c>
      <c r="C130" s="888" t="s">
        <v>78</v>
      </c>
      <c r="D130" s="888">
        <v>188</v>
      </c>
      <c r="E130" s="182" t="str">
        <f>'Sch 1- Rate Base '!E130</f>
        <v>DIST</v>
      </c>
      <c r="F130" s="889"/>
      <c r="G130" s="182">
        <f>'Sch 1- Rate Base '!G130</f>
        <v>0</v>
      </c>
      <c r="H130" s="182">
        <f>'Sch 1- Rate Base '!H130</f>
        <v>0</v>
      </c>
      <c r="I130" s="182">
        <f>'Sch 1- Rate Base '!I130</f>
        <v>0</v>
      </c>
      <c r="J130" s="1424">
        <f>'Sch 1- Rate Base '!J130</f>
        <v>0</v>
      </c>
      <c r="K130" s="903">
        <f t="shared" si="385"/>
        <v>1</v>
      </c>
      <c r="O130" s="1116">
        <f t="shared" si="386"/>
        <v>0</v>
      </c>
      <c r="P130" s="1117">
        <f t="shared" si="406"/>
        <v>0</v>
      </c>
      <c r="Q130" s="1117">
        <f t="shared" si="407"/>
        <v>0</v>
      </c>
      <c r="R130" s="1117">
        <f t="shared" si="408"/>
        <v>0</v>
      </c>
      <c r="S130" s="1118"/>
      <c r="W130" s="1116">
        <f t="shared" si="387"/>
        <v>0</v>
      </c>
      <c r="X130" s="1117">
        <f t="shared" si="409"/>
        <v>0</v>
      </c>
      <c r="Y130" s="1117">
        <f t="shared" si="410"/>
        <v>0</v>
      </c>
      <c r="Z130" s="1117">
        <f t="shared" si="411"/>
        <v>0</v>
      </c>
      <c r="AA130" s="1118"/>
      <c r="AE130" s="1116">
        <f t="shared" si="388"/>
        <v>0</v>
      </c>
      <c r="AF130" s="1117">
        <f t="shared" si="412"/>
        <v>0</v>
      </c>
      <c r="AG130" s="1117">
        <f t="shared" si="413"/>
        <v>0</v>
      </c>
      <c r="AH130" s="1117">
        <f t="shared" si="414"/>
        <v>0</v>
      </c>
      <c r="AI130" s="1118"/>
      <c r="AM130" s="1116">
        <f t="shared" si="389"/>
        <v>0</v>
      </c>
      <c r="AN130" s="1117">
        <f t="shared" si="415"/>
        <v>0</v>
      </c>
      <c r="AO130" s="1117">
        <f t="shared" si="416"/>
        <v>0</v>
      </c>
      <c r="AP130" s="1117">
        <f t="shared" si="417"/>
        <v>0</v>
      </c>
      <c r="AQ130" s="1118"/>
      <c r="AU130" s="1116">
        <f t="shared" si="390"/>
        <v>0</v>
      </c>
      <c r="AV130" s="1117">
        <f t="shared" si="418"/>
        <v>0</v>
      </c>
      <c r="AW130" s="1117">
        <f t="shared" si="419"/>
        <v>0</v>
      </c>
      <c r="AX130" s="1117">
        <f t="shared" si="420"/>
        <v>0</v>
      </c>
      <c r="AY130" s="1118"/>
      <c r="BC130" s="1116">
        <f t="shared" si="391"/>
        <v>0</v>
      </c>
      <c r="BD130" s="1117">
        <f t="shared" si="421"/>
        <v>0</v>
      </c>
      <c r="BE130" s="1117">
        <f t="shared" si="422"/>
        <v>0</v>
      </c>
      <c r="BF130" s="1117">
        <f t="shared" si="423"/>
        <v>0</v>
      </c>
      <c r="BG130" s="1118"/>
      <c r="BK130" s="1116">
        <f t="shared" si="392"/>
        <v>0</v>
      </c>
      <c r="BL130" s="1117">
        <f t="shared" si="424"/>
        <v>0</v>
      </c>
      <c r="BM130" s="1117">
        <f t="shared" si="425"/>
        <v>0</v>
      </c>
      <c r="BN130" s="1117">
        <f t="shared" si="426"/>
        <v>0</v>
      </c>
      <c r="BO130" s="1118"/>
      <c r="BS130" s="1116">
        <f t="shared" si="393"/>
        <v>0</v>
      </c>
      <c r="BT130" s="1117">
        <f t="shared" si="427"/>
        <v>0</v>
      </c>
      <c r="BU130" s="1117">
        <f t="shared" si="428"/>
        <v>0</v>
      </c>
      <c r="BV130" s="1117">
        <f t="shared" si="429"/>
        <v>0</v>
      </c>
      <c r="BW130" s="1118"/>
      <c r="CA130" s="1116">
        <f t="shared" si="394"/>
        <v>0</v>
      </c>
      <c r="CB130" s="1117">
        <f t="shared" si="430"/>
        <v>0</v>
      </c>
      <c r="CC130" s="1117">
        <f t="shared" si="431"/>
        <v>0</v>
      </c>
      <c r="CD130" s="1117">
        <f t="shared" si="432"/>
        <v>0</v>
      </c>
      <c r="CE130" s="1118"/>
      <c r="CI130" s="1116">
        <f t="shared" si="395"/>
        <v>0</v>
      </c>
      <c r="CJ130" s="1117">
        <f t="shared" si="433"/>
        <v>0</v>
      </c>
      <c r="CK130" s="1117">
        <f t="shared" si="434"/>
        <v>0</v>
      </c>
      <c r="CL130" s="1117">
        <f t="shared" si="435"/>
        <v>0</v>
      </c>
      <c r="CM130" s="1118"/>
      <c r="CQ130" s="1116">
        <f t="shared" si="396"/>
        <v>0</v>
      </c>
      <c r="CR130" s="1117">
        <f t="shared" si="436"/>
        <v>0</v>
      </c>
      <c r="CS130" s="1117">
        <f t="shared" si="437"/>
        <v>0</v>
      </c>
      <c r="CT130" s="1117">
        <f t="shared" si="438"/>
        <v>0</v>
      </c>
      <c r="CU130" s="1118"/>
      <c r="CY130" s="1116">
        <f t="shared" si="397"/>
        <v>0</v>
      </c>
      <c r="CZ130" s="1117">
        <f t="shared" si="439"/>
        <v>0</v>
      </c>
      <c r="DA130" s="1117">
        <f t="shared" si="440"/>
        <v>0</v>
      </c>
      <c r="DB130" s="1117">
        <f t="shared" si="441"/>
        <v>0</v>
      </c>
      <c r="DC130" s="1118"/>
      <c r="DG130" s="1116">
        <f t="shared" si="398"/>
        <v>0</v>
      </c>
      <c r="DH130" s="1117">
        <f t="shared" si="442"/>
        <v>0</v>
      </c>
      <c r="DI130" s="1117">
        <f t="shared" si="443"/>
        <v>0</v>
      </c>
      <c r="DJ130" s="1117">
        <f t="shared" si="444"/>
        <v>0</v>
      </c>
      <c r="DK130" s="1118"/>
      <c r="DO130" s="1116">
        <f t="shared" si="399"/>
        <v>0</v>
      </c>
      <c r="DP130" s="1117">
        <f t="shared" si="445"/>
        <v>0</v>
      </c>
      <c r="DQ130" s="1117">
        <f t="shared" si="446"/>
        <v>0</v>
      </c>
      <c r="DR130" s="1117">
        <f t="shared" si="447"/>
        <v>0</v>
      </c>
      <c r="DS130" s="1118"/>
      <c r="DW130" s="1116">
        <f t="shared" si="400"/>
        <v>0</v>
      </c>
      <c r="DX130" s="1117">
        <f t="shared" si="448"/>
        <v>0</v>
      </c>
      <c r="DY130" s="1117">
        <f t="shared" si="449"/>
        <v>0</v>
      </c>
      <c r="DZ130" s="1117">
        <f t="shared" si="450"/>
        <v>0</v>
      </c>
      <c r="EA130" s="1118"/>
      <c r="EE130" s="1116">
        <f t="shared" si="401"/>
        <v>0</v>
      </c>
      <c r="EF130" s="1117">
        <f t="shared" si="451"/>
        <v>0</v>
      </c>
      <c r="EG130" s="1117">
        <f t="shared" si="452"/>
        <v>0</v>
      </c>
      <c r="EH130" s="1117">
        <f t="shared" si="453"/>
        <v>0</v>
      </c>
      <c r="EI130" s="1118"/>
      <c r="EM130" s="1116">
        <f t="shared" si="402"/>
        <v>0</v>
      </c>
      <c r="EN130" s="1117">
        <f t="shared" si="454"/>
        <v>0</v>
      </c>
      <c r="EO130" s="1117">
        <f t="shared" si="455"/>
        <v>0</v>
      </c>
      <c r="EP130" s="1117">
        <f t="shared" si="456"/>
        <v>0</v>
      </c>
      <c r="EQ130" s="1118"/>
      <c r="EU130" s="1116">
        <f t="shared" si="403"/>
        <v>0</v>
      </c>
      <c r="EV130" s="1117">
        <f t="shared" si="457"/>
        <v>0</v>
      </c>
      <c r="EW130" s="1117">
        <f t="shared" si="458"/>
        <v>0</v>
      </c>
      <c r="EX130" s="1117">
        <f t="shared" si="459"/>
        <v>0</v>
      </c>
      <c r="EY130" s="1118"/>
      <c r="FC130" s="1116">
        <f t="shared" si="404"/>
        <v>0</v>
      </c>
      <c r="FD130" s="1117">
        <f t="shared" si="460"/>
        <v>0</v>
      </c>
      <c r="FE130" s="1117">
        <f t="shared" si="461"/>
        <v>0</v>
      </c>
      <c r="FF130" s="1117">
        <f t="shared" si="462"/>
        <v>0</v>
      </c>
      <c r="FG130" s="1118"/>
      <c r="FK130" s="1116">
        <f t="shared" si="405"/>
        <v>0</v>
      </c>
      <c r="FL130" s="1117">
        <f t="shared" si="463"/>
        <v>0</v>
      </c>
      <c r="FM130" s="1117">
        <f t="shared" si="464"/>
        <v>0</v>
      </c>
      <c r="FN130" s="1117">
        <f t="shared" si="465"/>
        <v>0</v>
      </c>
      <c r="FO130" s="1118"/>
    </row>
    <row r="131" spans="1:171">
      <c r="A131" s="1423"/>
      <c r="B131" s="79" t="s">
        <v>20</v>
      </c>
      <c r="C131" s="888" t="s">
        <v>78</v>
      </c>
      <c r="D131" s="888">
        <v>189</v>
      </c>
      <c r="E131" s="182" t="str">
        <f>'Sch 1- Rate Base '!E131</f>
        <v>PTDG</v>
      </c>
      <c r="F131" s="889"/>
      <c r="G131" s="182">
        <f>'Sch 1- Rate Base '!G131</f>
        <v>5701050.9199999999</v>
      </c>
      <c r="H131" s="182">
        <f>'Sch 1- Rate Base '!H131</f>
        <v>1814203.8318823581</v>
      </c>
      <c r="I131" s="182">
        <f>'Sch 1- Rate Base '!I131</f>
        <v>0</v>
      </c>
      <c r="J131" s="1424">
        <f>'Sch 1- Rate Base '!J131</f>
        <v>3886847.0875318553</v>
      </c>
      <c r="K131" s="903">
        <f t="shared" si="385"/>
        <v>1</v>
      </c>
      <c r="O131" s="1116">
        <f t="shared" si="386"/>
        <v>5701050.9199999999</v>
      </c>
      <c r="P131" s="1117">
        <f t="shared" si="406"/>
        <v>1814203.8318823581</v>
      </c>
      <c r="Q131" s="1117">
        <f t="shared" si="407"/>
        <v>1172587.5595680403</v>
      </c>
      <c r="R131" s="1117">
        <f t="shared" si="408"/>
        <v>2714259.5285496023</v>
      </c>
      <c r="S131" s="1118"/>
      <c r="W131" s="1116">
        <f t="shared" si="387"/>
        <v>5701050.9199999999</v>
      </c>
      <c r="X131" s="1117">
        <f t="shared" si="409"/>
        <v>1814203.8318823581</v>
      </c>
      <c r="Y131" s="1117">
        <f t="shared" si="410"/>
        <v>1172587.5595680403</v>
      </c>
      <c r="Z131" s="1117">
        <f t="shared" si="411"/>
        <v>2714259.5285496023</v>
      </c>
      <c r="AA131" s="1118"/>
      <c r="AE131" s="1116">
        <f t="shared" si="388"/>
        <v>5701050.9199999999</v>
      </c>
      <c r="AF131" s="1117">
        <f t="shared" si="412"/>
        <v>1814203.8318823581</v>
      </c>
      <c r="AG131" s="1117">
        <f t="shared" si="413"/>
        <v>1172587.5595680403</v>
      </c>
      <c r="AH131" s="1117">
        <f t="shared" si="414"/>
        <v>2714259.5285496023</v>
      </c>
      <c r="AI131" s="1118"/>
      <c r="AM131" s="1116">
        <f t="shared" si="389"/>
        <v>5701050.9199999999</v>
      </c>
      <c r="AN131" s="1117">
        <f t="shared" si="415"/>
        <v>1814203.8318823581</v>
      </c>
      <c r="AO131" s="1117">
        <f t="shared" si="416"/>
        <v>1172587.5595680403</v>
      </c>
      <c r="AP131" s="1117">
        <f t="shared" si="417"/>
        <v>2714259.5285496023</v>
      </c>
      <c r="AQ131" s="1118"/>
      <c r="AU131" s="1116">
        <f t="shared" si="390"/>
        <v>5701050.9199999999</v>
      </c>
      <c r="AV131" s="1117">
        <f t="shared" si="418"/>
        <v>1814203.8318823581</v>
      </c>
      <c r="AW131" s="1117">
        <f t="shared" si="419"/>
        <v>1172587.5595680403</v>
      </c>
      <c r="AX131" s="1117">
        <f t="shared" si="420"/>
        <v>2714259.5285496023</v>
      </c>
      <c r="AY131" s="1118"/>
      <c r="BC131" s="1116">
        <f t="shared" si="391"/>
        <v>5701050.9199999999</v>
      </c>
      <c r="BD131" s="1117">
        <f t="shared" si="421"/>
        <v>1814203.8318823581</v>
      </c>
      <c r="BE131" s="1117">
        <f t="shared" si="422"/>
        <v>1172587.5595680403</v>
      </c>
      <c r="BF131" s="1117">
        <f t="shared" si="423"/>
        <v>2714259.5285496023</v>
      </c>
      <c r="BG131" s="1118"/>
      <c r="BK131" s="1116">
        <f t="shared" si="392"/>
        <v>5701050.9199999999</v>
      </c>
      <c r="BL131" s="1117">
        <f t="shared" si="424"/>
        <v>1814203.8318823581</v>
      </c>
      <c r="BM131" s="1117">
        <f t="shared" si="425"/>
        <v>1172587.5595680403</v>
      </c>
      <c r="BN131" s="1117">
        <f t="shared" si="426"/>
        <v>2714259.5285496023</v>
      </c>
      <c r="BO131" s="1118"/>
      <c r="BS131" s="1116">
        <f t="shared" si="393"/>
        <v>5701050.9199999999</v>
      </c>
      <c r="BT131" s="1117">
        <f t="shared" si="427"/>
        <v>1814203.8318823581</v>
      </c>
      <c r="BU131" s="1117">
        <f t="shared" si="428"/>
        <v>1172587.5595680403</v>
      </c>
      <c r="BV131" s="1117">
        <f t="shared" si="429"/>
        <v>2714259.5285496023</v>
      </c>
      <c r="BW131" s="1118"/>
      <c r="CA131" s="1116">
        <f t="shared" si="394"/>
        <v>5701050.9199999999</v>
      </c>
      <c r="CB131" s="1117">
        <f t="shared" si="430"/>
        <v>1814203.8318823581</v>
      </c>
      <c r="CC131" s="1117">
        <f t="shared" si="431"/>
        <v>1172587.5595680403</v>
      </c>
      <c r="CD131" s="1117">
        <f t="shared" si="432"/>
        <v>2714259.5285496023</v>
      </c>
      <c r="CE131" s="1118"/>
      <c r="CI131" s="1116">
        <f t="shared" si="395"/>
        <v>5701050.9199999999</v>
      </c>
      <c r="CJ131" s="1117">
        <f t="shared" si="433"/>
        <v>1814203.8318823581</v>
      </c>
      <c r="CK131" s="1117">
        <f t="shared" si="434"/>
        <v>1172587.5595680403</v>
      </c>
      <c r="CL131" s="1117">
        <f t="shared" si="435"/>
        <v>2714259.5285496023</v>
      </c>
      <c r="CM131" s="1118"/>
      <c r="CQ131" s="1116">
        <f t="shared" si="396"/>
        <v>5701050.9199999999</v>
      </c>
      <c r="CR131" s="1117">
        <f t="shared" si="436"/>
        <v>1814203.8318823581</v>
      </c>
      <c r="CS131" s="1117">
        <f t="shared" si="437"/>
        <v>1172587.5595680403</v>
      </c>
      <c r="CT131" s="1117">
        <f t="shared" si="438"/>
        <v>2714259.5285496023</v>
      </c>
      <c r="CU131" s="1118"/>
      <c r="CY131" s="1116">
        <f t="shared" si="397"/>
        <v>5701050.9199999999</v>
      </c>
      <c r="CZ131" s="1117">
        <f t="shared" si="439"/>
        <v>1814203.8318823581</v>
      </c>
      <c r="DA131" s="1117">
        <f t="shared" si="440"/>
        <v>1172587.5595680403</v>
      </c>
      <c r="DB131" s="1117">
        <f t="shared" si="441"/>
        <v>2714259.5285496023</v>
      </c>
      <c r="DC131" s="1118"/>
      <c r="DG131" s="1116">
        <f t="shared" si="398"/>
        <v>5701050.9199999999</v>
      </c>
      <c r="DH131" s="1117">
        <f t="shared" si="442"/>
        <v>1814203.8318823581</v>
      </c>
      <c r="DI131" s="1117">
        <f t="shared" si="443"/>
        <v>1172587.5595680403</v>
      </c>
      <c r="DJ131" s="1117">
        <f t="shared" si="444"/>
        <v>2714259.5285496023</v>
      </c>
      <c r="DK131" s="1118"/>
      <c r="DO131" s="1116">
        <f t="shared" si="399"/>
        <v>5701050.9199999999</v>
      </c>
      <c r="DP131" s="1117">
        <f t="shared" si="445"/>
        <v>1814203.8318823581</v>
      </c>
      <c r="DQ131" s="1117">
        <f t="shared" si="446"/>
        <v>1172587.5595680403</v>
      </c>
      <c r="DR131" s="1117">
        <f t="shared" si="447"/>
        <v>2714259.5285496023</v>
      </c>
      <c r="DS131" s="1118"/>
      <c r="DW131" s="1116">
        <f t="shared" si="400"/>
        <v>5701050.9199999999</v>
      </c>
      <c r="DX131" s="1117">
        <f t="shared" si="448"/>
        <v>1814203.8318823581</v>
      </c>
      <c r="DY131" s="1117">
        <f t="shared" si="449"/>
        <v>1172587.5595680403</v>
      </c>
      <c r="DZ131" s="1117">
        <f t="shared" si="450"/>
        <v>2714259.5285496023</v>
      </c>
      <c r="EA131" s="1118"/>
      <c r="EE131" s="1116">
        <f t="shared" si="401"/>
        <v>5701050.9199999999</v>
      </c>
      <c r="EF131" s="1117">
        <f t="shared" si="451"/>
        <v>1814203.8318823581</v>
      </c>
      <c r="EG131" s="1117">
        <f t="shared" si="452"/>
        <v>1172587.5595680403</v>
      </c>
      <c r="EH131" s="1117">
        <f t="shared" si="453"/>
        <v>2714259.5285496023</v>
      </c>
      <c r="EI131" s="1118"/>
      <c r="EM131" s="1116">
        <f t="shared" si="402"/>
        <v>5701050.9199999999</v>
      </c>
      <c r="EN131" s="1117">
        <f t="shared" si="454"/>
        <v>1814203.8318823581</v>
      </c>
      <c r="EO131" s="1117">
        <f t="shared" si="455"/>
        <v>1172587.5595680403</v>
      </c>
      <c r="EP131" s="1117">
        <f t="shared" si="456"/>
        <v>2714259.5285496023</v>
      </c>
      <c r="EQ131" s="1118"/>
      <c r="EU131" s="1116">
        <f t="shared" si="403"/>
        <v>5701050.9199999999</v>
      </c>
      <c r="EV131" s="1117">
        <f t="shared" si="457"/>
        <v>1814203.8318823581</v>
      </c>
      <c r="EW131" s="1117">
        <f t="shared" si="458"/>
        <v>1172587.5595680403</v>
      </c>
      <c r="EX131" s="1117">
        <f t="shared" si="459"/>
        <v>2714259.5285496023</v>
      </c>
      <c r="EY131" s="1118"/>
      <c r="FC131" s="1116">
        <f t="shared" si="404"/>
        <v>5701050.9199999999</v>
      </c>
      <c r="FD131" s="1117">
        <f t="shared" si="460"/>
        <v>1814203.8318823581</v>
      </c>
      <c r="FE131" s="1117">
        <f t="shared" si="461"/>
        <v>1172587.5595680403</v>
      </c>
      <c r="FF131" s="1117">
        <f t="shared" si="462"/>
        <v>2714259.5285496023</v>
      </c>
      <c r="FG131" s="1118"/>
      <c r="FK131" s="1116">
        <f t="shared" si="405"/>
        <v>5701050.9199999999</v>
      </c>
      <c r="FL131" s="1117">
        <f t="shared" si="463"/>
        <v>1814203.8318823581</v>
      </c>
      <c r="FM131" s="1117">
        <f t="shared" si="464"/>
        <v>1172587.5595680403</v>
      </c>
      <c r="FN131" s="1117">
        <f t="shared" si="465"/>
        <v>2714259.5285496023</v>
      </c>
      <c r="FO131" s="1118"/>
    </row>
    <row r="132" spans="1:171">
      <c r="A132" s="1423"/>
      <c r="B132" s="79" t="s">
        <v>21</v>
      </c>
      <c r="C132" s="888" t="s">
        <v>78</v>
      </c>
      <c r="D132" s="888">
        <v>190</v>
      </c>
      <c r="E132" s="182" t="str">
        <f>'Sch 1- Rate Base '!E132</f>
        <v>DIST</v>
      </c>
      <c r="F132" s="889"/>
      <c r="G132" s="182">
        <f>'Sch 1- Rate Base '!G132</f>
        <v>214152187.74000001</v>
      </c>
      <c r="H132" s="182">
        <f>'Sch 1- Rate Base '!H132</f>
        <v>0</v>
      </c>
      <c r="I132" s="182">
        <f>'Sch 1- Rate Base '!I132</f>
        <v>0</v>
      </c>
      <c r="J132" s="1424">
        <f>'Sch 1- Rate Base '!J132</f>
        <v>214152187.74000001</v>
      </c>
      <c r="K132" s="903">
        <f t="shared" si="385"/>
        <v>1</v>
      </c>
      <c r="O132" s="1116">
        <f t="shared" si="386"/>
        <v>214152187.74000001</v>
      </c>
      <c r="P132" s="1117">
        <f t="shared" si="406"/>
        <v>0</v>
      </c>
      <c r="Q132" s="1117">
        <f t="shared" si="407"/>
        <v>0</v>
      </c>
      <c r="R132" s="1117">
        <f t="shared" si="408"/>
        <v>214152187.74000001</v>
      </c>
      <c r="S132" s="1118"/>
      <c r="W132" s="1116">
        <f t="shared" si="387"/>
        <v>214152187.74000001</v>
      </c>
      <c r="X132" s="1117">
        <f t="shared" si="409"/>
        <v>0</v>
      </c>
      <c r="Y132" s="1117">
        <f t="shared" si="410"/>
        <v>0</v>
      </c>
      <c r="Z132" s="1117">
        <f t="shared" si="411"/>
        <v>214152187.74000001</v>
      </c>
      <c r="AA132" s="1118"/>
      <c r="AE132" s="1116">
        <f t="shared" si="388"/>
        <v>214152187.74000001</v>
      </c>
      <c r="AF132" s="1117">
        <f t="shared" si="412"/>
        <v>0</v>
      </c>
      <c r="AG132" s="1117">
        <f t="shared" si="413"/>
        <v>0</v>
      </c>
      <c r="AH132" s="1117">
        <f t="shared" si="414"/>
        <v>214152187.74000001</v>
      </c>
      <c r="AI132" s="1118"/>
      <c r="AM132" s="1116">
        <f t="shared" si="389"/>
        <v>214152187.74000001</v>
      </c>
      <c r="AN132" s="1117">
        <f t="shared" si="415"/>
        <v>0</v>
      </c>
      <c r="AO132" s="1117">
        <f t="shared" si="416"/>
        <v>0</v>
      </c>
      <c r="AP132" s="1117">
        <f t="shared" si="417"/>
        <v>214152187.74000001</v>
      </c>
      <c r="AQ132" s="1118"/>
      <c r="AU132" s="1116">
        <f t="shared" si="390"/>
        <v>214152187.74000001</v>
      </c>
      <c r="AV132" s="1117">
        <f t="shared" si="418"/>
        <v>0</v>
      </c>
      <c r="AW132" s="1117">
        <f t="shared" si="419"/>
        <v>0</v>
      </c>
      <c r="AX132" s="1117">
        <f t="shared" si="420"/>
        <v>214152187.74000001</v>
      </c>
      <c r="AY132" s="1118"/>
      <c r="BC132" s="1116">
        <f t="shared" si="391"/>
        <v>214152187.74000001</v>
      </c>
      <c r="BD132" s="1117">
        <f t="shared" si="421"/>
        <v>0</v>
      </c>
      <c r="BE132" s="1117">
        <f t="shared" si="422"/>
        <v>0</v>
      </c>
      <c r="BF132" s="1117">
        <f t="shared" si="423"/>
        <v>214152187.74000001</v>
      </c>
      <c r="BG132" s="1118"/>
      <c r="BK132" s="1116">
        <f t="shared" si="392"/>
        <v>214152187.74000001</v>
      </c>
      <c r="BL132" s="1117">
        <f t="shared" si="424"/>
        <v>0</v>
      </c>
      <c r="BM132" s="1117">
        <f t="shared" si="425"/>
        <v>0</v>
      </c>
      <c r="BN132" s="1117">
        <f t="shared" si="426"/>
        <v>214152187.74000001</v>
      </c>
      <c r="BO132" s="1118"/>
      <c r="BS132" s="1116">
        <f t="shared" si="393"/>
        <v>214152187.74000001</v>
      </c>
      <c r="BT132" s="1117">
        <f t="shared" si="427"/>
        <v>0</v>
      </c>
      <c r="BU132" s="1117">
        <f t="shared" si="428"/>
        <v>0</v>
      </c>
      <c r="BV132" s="1117">
        <f t="shared" si="429"/>
        <v>214152187.74000001</v>
      </c>
      <c r="BW132" s="1118"/>
      <c r="CA132" s="1116">
        <f t="shared" si="394"/>
        <v>214152187.74000001</v>
      </c>
      <c r="CB132" s="1117">
        <f t="shared" si="430"/>
        <v>0</v>
      </c>
      <c r="CC132" s="1117">
        <f t="shared" si="431"/>
        <v>0</v>
      </c>
      <c r="CD132" s="1117">
        <f t="shared" si="432"/>
        <v>214152187.74000001</v>
      </c>
      <c r="CE132" s="1118"/>
      <c r="CI132" s="1116">
        <f t="shared" si="395"/>
        <v>214152187.74000001</v>
      </c>
      <c r="CJ132" s="1117">
        <f t="shared" si="433"/>
        <v>0</v>
      </c>
      <c r="CK132" s="1117">
        <f t="shared" si="434"/>
        <v>0</v>
      </c>
      <c r="CL132" s="1117">
        <f t="shared" si="435"/>
        <v>214152187.74000001</v>
      </c>
      <c r="CM132" s="1118"/>
      <c r="CQ132" s="1116">
        <f t="shared" si="396"/>
        <v>214152187.74000001</v>
      </c>
      <c r="CR132" s="1117">
        <f t="shared" si="436"/>
        <v>0</v>
      </c>
      <c r="CS132" s="1117">
        <f t="shared" si="437"/>
        <v>0</v>
      </c>
      <c r="CT132" s="1117">
        <f t="shared" si="438"/>
        <v>214152187.74000001</v>
      </c>
      <c r="CU132" s="1118"/>
      <c r="CY132" s="1116">
        <f t="shared" si="397"/>
        <v>214152187.74000001</v>
      </c>
      <c r="CZ132" s="1117">
        <f t="shared" si="439"/>
        <v>0</v>
      </c>
      <c r="DA132" s="1117">
        <f t="shared" si="440"/>
        <v>0</v>
      </c>
      <c r="DB132" s="1117">
        <f t="shared" si="441"/>
        <v>214152187.74000001</v>
      </c>
      <c r="DC132" s="1118"/>
      <c r="DG132" s="1116">
        <f t="shared" si="398"/>
        <v>214152187.74000001</v>
      </c>
      <c r="DH132" s="1117">
        <f t="shared" si="442"/>
        <v>0</v>
      </c>
      <c r="DI132" s="1117">
        <f t="shared" si="443"/>
        <v>0</v>
      </c>
      <c r="DJ132" s="1117">
        <f t="shared" si="444"/>
        <v>214152187.74000001</v>
      </c>
      <c r="DK132" s="1118"/>
      <c r="DO132" s="1116">
        <f t="shared" si="399"/>
        <v>214152187.74000001</v>
      </c>
      <c r="DP132" s="1117">
        <f t="shared" si="445"/>
        <v>0</v>
      </c>
      <c r="DQ132" s="1117">
        <f t="shared" si="446"/>
        <v>0</v>
      </c>
      <c r="DR132" s="1117">
        <f t="shared" si="447"/>
        <v>214152187.74000001</v>
      </c>
      <c r="DS132" s="1118"/>
      <c r="DW132" s="1116">
        <f t="shared" si="400"/>
        <v>214152187.74000001</v>
      </c>
      <c r="DX132" s="1117">
        <f t="shared" si="448"/>
        <v>0</v>
      </c>
      <c r="DY132" s="1117">
        <f t="shared" si="449"/>
        <v>0</v>
      </c>
      <c r="DZ132" s="1117">
        <f t="shared" si="450"/>
        <v>214152187.74000001</v>
      </c>
      <c r="EA132" s="1118"/>
      <c r="EE132" s="1116">
        <f t="shared" si="401"/>
        <v>214152187.74000001</v>
      </c>
      <c r="EF132" s="1117">
        <f t="shared" si="451"/>
        <v>0</v>
      </c>
      <c r="EG132" s="1117">
        <f t="shared" si="452"/>
        <v>0</v>
      </c>
      <c r="EH132" s="1117">
        <f t="shared" si="453"/>
        <v>214152187.74000001</v>
      </c>
      <c r="EI132" s="1118"/>
      <c r="EM132" s="1116">
        <f t="shared" si="402"/>
        <v>214152187.74000001</v>
      </c>
      <c r="EN132" s="1117">
        <f t="shared" si="454"/>
        <v>0</v>
      </c>
      <c r="EO132" s="1117">
        <f t="shared" si="455"/>
        <v>0</v>
      </c>
      <c r="EP132" s="1117">
        <f t="shared" si="456"/>
        <v>214152187.74000001</v>
      </c>
      <c r="EQ132" s="1118"/>
      <c r="EU132" s="1116">
        <f t="shared" si="403"/>
        <v>214152187.74000001</v>
      </c>
      <c r="EV132" s="1117">
        <f t="shared" si="457"/>
        <v>0</v>
      </c>
      <c r="EW132" s="1117">
        <f t="shared" si="458"/>
        <v>0</v>
      </c>
      <c r="EX132" s="1117">
        <f t="shared" si="459"/>
        <v>214152187.74000001</v>
      </c>
      <c r="EY132" s="1118"/>
      <c r="FC132" s="1116">
        <f t="shared" si="404"/>
        <v>214152187.74000001</v>
      </c>
      <c r="FD132" s="1117">
        <f t="shared" si="460"/>
        <v>0</v>
      </c>
      <c r="FE132" s="1117">
        <f t="shared" si="461"/>
        <v>0</v>
      </c>
      <c r="FF132" s="1117">
        <f t="shared" si="462"/>
        <v>214152187.74000001</v>
      </c>
      <c r="FG132" s="1118"/>
      <c r="FK132" s="1116">
        <f t="shared" si="405"/>
        <v>214152187.74000001</v>
      </c>
      <c r="FL132" s="1117">
        <f t="shared" si="463"/>
        <v>0</v>
      </c>
      <c r="FM132" s="1117">
        <f t="shared" si="464"/>
        <v>0</v>
      </c>
      <c r="FN132" s="1117">
        <f t="shared" si="465"/>
        <v>214152187.74000001</v>
      </c>
      <c r="FO132" s="1118"/>
    </row>
    <row r="133" spans="1:171">
      <c r="A133" s="1362"/>
      <c r="B133" s="847" t="s">
        <v>104</v>
      </c>
      <c r="C133" s="914"/>
      <c r="D133" s="915"/>
      <c r="E133" s="915"/>
      <c r="F133" s="916"/>
      <c r="G133" s="923">
        <f>SUM(G119:G132)</f>
        <v>1228008056.3699999</v>
      </c>
      <c r="H133" s="923">
        <f>SUM(H119:H132)</f>
        <v>69931163.114251286</v>
      </c>
      <c r="I133" s="923">
        <f>SUM(I119:I132)</f>
        <v>0</v>
      </c>
      <c r="J133" s="1431">
        <f>SUM(J119:J132)</f>
        <v>1158076892.9529448</v>
      </c>
      <c r="K133" s="903"/>
      <c r="O133" s="1130">
        <f>SUM(O119:O132)</f>
        <v>1228008056.3699999</v>
      </c>
      <c r="P133" s="1130">
        <f>SUM(P119:P132)</f>
        <v>69931163.114251286</v>
      </c>
      <c r="Q133" s="1130">
        <f>SUM(Q119:Q132)</f>
        <v>5612440.5477233622</v>
      </c>
      <c r="R133" s="1130">
        <f>SUM(R119:R132)</f>
        <v>1152464452.7080255</v>
      </c>
      <c r="S133" s="1118"/>
      <c r="W133" s="1130">
        <f>SUM(W119:W132)</f>
        <v>1228008056.3699999</v>
      </c>
      <c r="X133" s="1130">
        <f>SUM(X119:X132)</f>
        <v>69931163.114251286</v>
      </c>
      <c r="Y133" s="1130">
        <f>SUM(Y119:Y132)</f>
        <v>5612440.5477233622</v>
      </c>
      <c r="Z133" s="1130">
        <f>SUM(Z119:Z132)</f>
        <v>1152464452.7080255</v>
      </c>
      <c r="AA133" s="1118"/>
      <c r="AE133" s="1130">
        <f>SUM(AE119:AE132)</f>
        <v>1228008056.3699999</v>
      </c>
      <c r="AF133" s="1130">
        <f>SUM(AF119:AF132)</f>
        <v>69931163.114251286</v>
      </c>
      <c r="AG133" s="1130">
        <f>SUM(AG119:AG132)</f>
        <v>5612440.5477233622</v>
      </c>
      <c r="AH133" s="1130">
        <f>SUM(AH119:AH132)</f>
        <v>1152464452.7080255</v>
      </c>
      <c r="AI133" s="1118"/>
      <c r="AM133" s="1130">
        <f>SUM(AM119:AM132)</f>
        <v>1228008056.3699999</v>
      </c>
      <c r="AN133" s="1130">
        <f>SUM(AN119:AN132)</f>
        <v>69931163.114251286</v>
      </c>
      <c r="AO133" s="1130">
        <f>SUM(AO119:AO132)</f>
        <v>5612440.5477233622</v>
      </c>
      <c r="AP133" s="1130">
        <f>SUM(AP119:AP132)</f>
        <v>1152464452.7080255</v>
      </c>
      <c r="AQ133" s="1118"/>
      <c r="AU133" s="1130">
        <f>SUM(AU119:AU132)</f>
        <v>1228008056.3699999</v>
      </c>
      <c r="AV133" s="1130">
        <f>SUM(AV119:AV132)</f>
        <v>69931163.114251286</v>
      </c>
      <c r="AW133" s="1130">
        <f>SUM(AW119:AW132)</f>
        <v>5612440.5477233622</v>
      </c>
      <c r="AX133" s="1130">
        <f>SUM(AX119:AX132)</f>
        <v>1152464452.7080255</v>
      </c>
      <c r="AY133" s="1118"/>
      <c r="BC133" s="1130">
        <f>SUM(BC119:BC132)</f>
        <v>1228008056.3699999</v>
      </c>
      <c r="BD133" s="1130">
        <f>SUM(BD119:BD132)</f>
        <v>69931163.114251286</v>
      </c>
      <c r="BE133" s="1130">
        <f>SUM(BE119:BE132)</f>
        <v>5612440.5477233622</v>
      </c>
      <c r="BF133" s="1130">
        <f>SUM(BF119:BF132)</f>
        <v>1152464452.7080255</v>
      </c>
      <c r="BG133" s="1118"/>
      <c r="BK133" s="1130">
        <f>SUM(BK119:BK132)</f>
        <v>1228008056.3699999</v>
      </c>
      <c r="BL133" s="1130">
        <f>SUM(BL119:BL132)</f>
        <v>69931163.114251286</v>
      </c>
      <c r="BM133" s="1130">
        <f>SUM(BM119:BM132)</f>
        <v>5612440.5477233622</v>
      </c>
      <c r="BN133" s="1130">
        <f>SUM(BN119:BN132)</f>
        <v>1152464452.7080255</v>
      </c>
      <c r="BO133" s="1118"/>
      <c r="BS133" s="1130">
        <f>SUM(BS119:BS132)</f>
        <v>1228008056.3699999</v>
      </c>
      <c r="BT133" s="1130">
        <f>SUM(BT119:BT132)</f>
        <v>69931163.114251286</v>
      </c>
      <c r="BU133" s="1130">
        <f>SUM(BU119:BU132)</f>
        <v>5612440.5477233622</v>
      </c>
      <c r="BV133" s="1130">
        <f>SUM(BV119:BV132)</f>
        <v>1152464452.7080255</v>
      </c>
      <c r="BW133" s="1118"/>
      <c r="CA133" s="1130">
        <f>SUM(CA119:CA132)</f>
        <v>1228008056.3699999</v>
      </c>
      <c r="CB133" s="1130">
        <f>SUM(CB119:CB132)</f>
        <v>69931163.114251286</v>
      </c>
      <c r="CC133" s="1130">
        <f>SUM(CC119:CC132)</f>
        <v>5612440.5477233622</v>
      </c>
      <c r="CD133" s="1130">
        <f>SUM(CD119:CD132)</f>
        <v>1152464452.7080255</v>
      </c>
      <c r="CE133" s="1118"/>
      <c r="CI133" s="1130">
        <f>SUM(CI119:CI132)</f>
        <v>1228008056.3699999</v>
      </c>
      <c r="CJ133" s="1130">
        <f>SUM(CJ119:CJ132)</f>
        <v>69931163.114251286</v>
      </c>
      <c r="CK133" s="1130">
        <f>SUM(CK119:CK132)</f>
        <v>5612440.5477233622</v>
      </c>
      <c r="CL133" s="1130">
        <f>SUM(CL119:CL132)</f>
        <v>1152464452.7080255</v>
      </c>
      <c r="CM133" s="1118"/>
      <c r="CQ133" s="1130">
        <f>SUM(CQ119:CQ132)</f>
        <v>1228008056.3699999</v>
      </c>
      <c r="CR133" s="1130">
        <f>SUM(CR119:CR132)</f>
        <v>69931163.114251286</v>
      </c>
      <c r="CS133" s="1130">
        <f>SUM(CS119:CS132)</f>
        <v>5612440.5477233622</v>
      </c>
      <c r="CT133" s="1130">
        <f>SUM(CT119:CT132)</f>
        <v>1152464452.7080255</v>
      </c>
      <c r="CU133" s="1118"/>
      <c r="CY133" s="1130">
        <f>SUM(CY119:CY132)</f>
        <v>1228008056.3699999</v>
      </c>
      <c r="CZ133" s="1130">
        <f>SUM(CZ119:CZ132)</f>
        <v>69931163.114251286</v>
      </c>
      <c r="DA133" s="1130">
        <f>SUM(DA119:DA132)</f>
        <v>5612440.5477233622</v>
      </c>
      <c r="DB133" s="1130">
        <f>SUM(DB119:DB132)</f>
        <v>1152464452.7080255</v>
      </c>
      <c r="DC133" s="1118"/>
      <c r="DG133" s="1130">
        <f>SUM(DG119:DG132)</f>
        <v>1228008056.3699999</v>
      </c>
      <c r="DH133" s="1130">
        <f>SUM(DH119:DH132)</f>
        <v>69931163.114251286</v>
      </c>
      <c r="DI133" s="1130">
        <f>SUM(DI119:DI132)</f>
        <v>5612440.5477233622</v>
      </c>
      <c r="DJ133" s="1130">
        <f>SUM(DJ119:DJ132)</f>
        <v>1152464452.7080255</v>
      </c>
      <c r="DK133" s="1118"/>
      <c r="DO133" s="1130">
        <f>SUM(DO119:DO132)</f>
        <v>1228008056.3699999</v>
      </c>
      <c r="DP133" s="1130">
        <f>SUM(DP119:DP132)</f>
        <v>69931163.114251286</v>
      </c>
      <c r="DQ133" s="1130">
        <f>SUM(DQ119:DQ132)</f>
        <v>5612440.5477233622</v>
      </c>
      <c r="DR133" s="1130">
        <f>SUM(DR119:DR132)</f>
        <v>1152464452.7080255</v>
      </c>
      <c r="DS133" s="1118"/>
      <c r="DW133" s="1130">
        <f>SUM(DW119:DW132)</f>
        <v>1228008056.3699999</v>
      </c>
      <c r="DX133" s="1130">
        <f>SUM(DX119:DX132)</f>
        <v>69931163.114251286</v>
      </c>
      <c r="DY133" s="1130">
        <f>SUM(DY119:DY132)</f>
        <v>5612440.5477233622</v>
      </c>
      <c r="DZ133" s="1130">
        <f>SUM(DZ119:DZ132)</f>
        <v>1152464452.7080255</v>
      </c>
      <c r="EA133" s="1118"/>
      <c r="EE133" s="1130">
        <f>SUM(EE119:EE132)</f>
        <v>1228008056.3699999</v>
      </c>
      <c r="EF133" s="1130">
        <f>SUM(EF119:EF132)</f>
        <v>69931163.114251286</v>
      </c>
      <c r="EG133" s="1130">
        <f>SUM(EG119:EG132)</f>
        <v>5612440.5477233622</v>
      </c>
      <c r="EH133" s="1130">
        <f>SUM(EH119:EH132)</f>
        <v>1152464452.7080255</v>
      </c>
      <c r="EI133" s="1118"/>
      <c r="EM133" s="1130">
        <f>SUM(EM119:EM132)</f>
        <v>1228008056.3699999</v>
      </c>
      <c r="EN133" s="1130">
        <f>SUM(EN119:EN132)</f>
        <v>69931163.114251286</v>
      </c>
      <c r="EO133" s="1130">
        <f>SUM(EO119:EO132)</f>
        <v>5612440.5477233622</v>
      </c>
      <c r="EP133" s="1130">
        <f>SUM(EP119:EP132)</f>
        <v>1152464452.7080255</v>
      </c>
      <c r="EQ133" s="1118"/>
      <c r="EU133" s="1130">
        <f>SUM(EU119:EU132)</f>
        <v>1228008056.3699999</v>
      </c>
      <c r="EV133" s="1130">
        <f>SUM(EV119:EV132)</f>
        <v>69931163.114251286</v>
      </c>
      <c r="EW133" s="1130">
        <f>SUM(EW119:EW132)</f>
        <v>5612440.5477233622</v>
      </c>
      <c r="EX133" s="1130">
        <f>SUM(EX119:EX132)</f>
        <v>1152464452.7080255</v>
      </c>
      <c r="EY133" s="1118"/>
      <c r="FC133" s="1130">
        <f>SUM(FC119:FC132)</f>
        <v>1228008056.3699999</v>
      </c>
      <c r="FD133" s="1130">
        <f>SUM(FD119:FD132)</f>
        <v>69931163.114251286</v>
      </c>
      <c r="FE133" s="1130">
        <f>SUM(FE119:FE132)</f>
        <v>5612440.5477233622</v>
      </c>
      <c r="FF133" s="1130">
        <f>SUM(FF119:FF132)</f>
        <v>1152464452.7080255</v>
      </c>
      <c r="FG133" s="1118"/>
      <c r="FK133" s="1130">
        <f>SUM(FK119:FK132)</f>
        <v>1228008056.3699999</v>
      </c>
      <c r="FL133" s="1130">
        <f>SUM(FL119:FL132)</f>
        <v>69931163.114251286</v>
      </c>
      <c r="FM133" s="1130">
        <f>SUM(FM119:FM132)</f>
        <v>5612440.5477233622</v>
      </c>
      <c r="FN133" s="1130">
        <f>SUM(FN119:FN132)</f>
        <v>1152464452.7080255</v>
      </c>
      <c r="FO133" s="1118"/>
    </row>
    <row r="134" spans="1:171">
      <c r="A134" s="1449"/>
      <c r="B134" s="937"/>
      <c r="C134" s="945"/>
      <c r="D134" s="946"/>
      <c r="E134" s="196"/>
      <c r="F134" s="196"/>
      <c r="G134" s="334"/>
      <c r="H134" s="334"/>
      <c r="I134" s="334"/>
      <c r="J134" s="1367"/>
      <c r="K134" s="903"/>
      <c r="O134" s="1079"/>
      <c r="S134" s="1118"/>
      <c r="W134" s="1079"/>
      <c r="AA134" s="1118"/>
      <c r="AE134" s="1079"/>
      <c r="AI134" s="1118"/>
      <c r="AM134" s="1079"/>
      <c r="AQ134" s="1118"/>
      <c r="AU134" s="1079"/>
      <c r="AY134" s="1118"/>
      <c r="BC134" s="1079"/>
      <c r="BG134" s="1118"/>
      <c r="BK134" s="1079"/>
      <c r="BO134" s="1118"/>
      <c r="BS134" s="1079"/>
      <c r="BW134" s="1118"/>
      <c r="CA134" s="1079"/>
      <c r="CE134" s="1118"/>
      <c r="CI134" s="1079"/>
      <c r="CM134" s="1118"/>
      <c r="CQ134" s="1079"/>
      <c r="CU134" s="1118"/>
      <c r="CY134" s="1079"/>
      <c r="DC134" s="1118"/>
      <c r="DG134" s="1079"/>
      <c r="DK134" s="1118"/>
      <c r="DO134" s="1079"/>
      <c r="DS134" s="1118"/>
      <c r="DW134" s="1079"/>
      <c r="EA134" s="1118"/>
      <c r="EE134" s="1079"/>
      <c r="EI134" s="1118"/>
      <c r="EM134" s="1079"/>
      <c r="EQ134" s="1118"/>
      <c r="EU134" s="1079"/>
      <c r="EY134" s="1118"/>
      <c r="FC134" s="1079"/>
      <c r="FG134" s="1118"/>
      <c r="FK134" s="1079"/>
      <c r="FO134" s="1118"/>
    </row>
    <row r="135" spans="1:171">
      <c r="A135" s="1450" t="s">
        <v>74</v>
      </c>
      <c r="B135" s="64"/>
      <c r="C135" s="914"/>
      <c r="D135" s="915"/>
      <c r="E135" s="915"/>
      <c r="F135" s="916"/>
      <c r="G135" s="923">
        <f>+G84+G93+G100+G116+G133</f>
        <v>2120706298.0987499</v>
      </c>
      <c r="H135" s="923">
        <f>+H84+H93+H100+H116+H133</f>
        <v>258351130.39916536</v>
      </c>
      <c r="I135" s="923">
        <f>+I84+I93+I100+I116+I133</f>
        <v>0</v>
      </c>
      <c r="J135" s="1431">
        <f>+J84+J93+J100+J116+J133</f>
        <v>1862355167.3967447</v>
      </c>
      <c r="K135" s="903"/>
      <c r="O135" s="1131">
        <f>+O84+O93+O100+O116+O133</f>
        <v>2120706298.0987499</v>
      </c>
      <c r="P135" s="1131">
        <f>+P84+P93+P100+P116+P133</f>
        <v>258351130.39916536</v>
      </c>
      <c r="Q135" s="1131">
        <f>+Q84+Q93+Q100+Q116+Q133</f>
        <v>35754650.448760785</v>
      </c>
      <c r="R135" s="1131">
        <f>+R84+R93+R100+R116+R133</f>
        <v>1826600517.250824</v>
      </c>
      <c r="S135" s="1118"/>
      <c r="W135" s="1131">
        <f>+W84+W93+W100+W116+W133</f>
        <v>2120706298.0987499</v>
      </c>
      <c r="X135" s="1131">
        <f>+X84+X93+X100+X116+X133</f>
        <v>258351130.39916536</v>
      </c>
      <c r="Y135" s="1131">
        <f>+Y84+Y93+Y100+Y116+Y133</f>
        <v>35754650.448760785</v>
      </c>
      <c r="Z135" s="1131">
        <f>+Z84+Z93+Z100+Z116+Z133</f>
        <v>1826600517.250824</v>
      </c>
      <c r="AA135" s="1118"/>
      <c r="AE135" s="1131">
        <f>+AE84+AE93+AE100+AE116+AE133</f>
        <v>2120706298.0987499</v>
      </c>
      <c r="AF135" s="1131">
        <f>+AF84+AF93+AF100+AF116+AF133</f>
        <v>258351130.39916536</v>
      </c>
      <c r="AG135" s="1131">
        <f>+AG84+AG93+AG100+AG116+AG133</f>
        <v>35754650.448760785</v>
      </c>
      <c r="AH135" s="1131">
        <f>+AH84+AH93+AH100+AH116+AH133</f>
        <v>1826600517.250824</v>
      </c>
      <c r="AI135" s="1118"/>
      <c r="AM135" s="1131">
        <f>+AM84+AM93+AM100+AM116+AM133</f>
        <v>2120706298.0987499</v>
      </c>
      <c r="AN135" s="1131">
        <f>+AN84+AN93+AN100+AN116+AN133</f>
        <v>258351130.39916536</v>
      </c>
      <c r="AO135" s="1131">
        <f>+AO84+AO93+AO100+AO116+AO133</f>
        <v>35754650.448760785</v>
      </c>
      <c r="AP135" s="1131">
        <f>+AP84+AP93+AP100+AP116+AP133</f>
        <v>1826600517.250824</v>
      </c>
      <c r="AQ135" s="1118"/>
      <c r="AU135" s="1131">
        <f>+AU84+AU93+AU100+AU116+AU133</f>
        <v>2120706298.0987499</v>
      </c>
      <c r="AV135" s="1131">
        <f>+AV84+AV93+AV100+AV116+AV133</f>
        <v>258351130.39916536</v>
      </c>
      <c r="AW135" s="1131">
        <f>+AW84+AW93+AW100+AW116+AW133</f>
        <v>35754650.448760785</v>
      </c>
      <c r="AX135" s="1131">
        <f>+AX84+AX93+AX100+AX116+AX133</f>
        <v>1826600517.250824</v>
      </c>
      <c r="AY135" s="1118"/>
      <c r="BC135" s="1131">
        <f>+BC84+BC93+BC100+BC116+BC133</f>
        <v>2120706298.0987499</v>
      </c>
      <c r="BD135" s="1131">
        <f>+BD84+BD93+BD100+BD116+BD133</f>
        <v>258351130.39916536</v>
      </c>
      <c r="BE135" s="1131">
        <f>+BE84+BE93+BE100+BE116+BE133</f>
        <v>35754650.448760785</v>
      </c>
      <c r="BF135" s="1131">
        <f>+BF84+BF93+BF100+BF116+BF133</f>
        <v>1826600517.250824</v>
      </c>
      <c r="BG135" s="1118"/>
      <c r="BK135" s="1131">
        <f>+BK84+BK93+BK100+BK116+BK133</f>
        <v>2120706298.0987499</v>
      </c>
      <c r="BL135" s="1131">
        <f>+BL84+BL93+BL100+BL116+BL133</f>
        <v>258351130.39916536</v>
      </c>
      <c r="BM135" s="1131">
        <f>+BM84+BM93+BM100+BM116+BM133</f>
        <v>35754650.448760785</v>
      </c>
      <c r="BN135" s="1131">
        <f>+BN84+BN93+BN100+BN116+BN133</f>
        <v>1826600517.250824</v>
      </c>
      <c r="BO135" s="1118"/>
      <c r="BS135" s="1131">
        <f>+BS84+BS93+BS100+BS116+BS133</f>
        <v>2120706298.0987499</v>
      </c>
      <c r="BT135" s="1131">
        <f>+BT84+BT93+BT100+BT116+BT133</f>
        <v>258351130.39916536</v>
      </c>
      <c r="BU135" s="1131">
        <f>+BU84+BU93+BU100+BU116+BU133</f>
        <v>35754650.448760785</v>
      </c>
      <c r="BV135" s="1131">
        <f>+BV84+BV93+BV100+BV116+BV133</f>
        <v>1826600517.250824</v>
      </c>
      <c r="BW135" s="1118"/>
      <c r="CA135" s="1131">
        <f>+CA84+CA93+CA100+CA116+CA133</f>
        <v>2120706298.0987499</v>
      </c>
      <c r="CB135" s="1131">
        <f>+CB84+CB93+CB100+CB116+CB133</f>
        <v>258351130.39916536</v>
      </c>
      <c r="CC135" s="1131">
        <f>+CC84+CC93+CC100+CC116+CC133</f>
        <v>35754650.448760785</v>
      </c>
      <c r="CD135" s="1131">
        <f>+CD84+CD93+CD100+CD116+CD133</f>
        <v>1826600517.250824</v>
      </c>
      <c r="CE135" s="1118"/>
      <c r="CI135" s="1131">
        <f>+CI84+CI93+CI100+CI116+CI133</f>
        <v>2120706298.0987499</v>
      </c>
      <c r="CJ135" s="1131">
        <f>+CJ84+CJ93+CJ100+CJ116+CJ133</f>
        <v>258351130.39916536</v>
      </c>
      <c r="CK135" s="1131">
        <f>+CK84+CK93+CK100+CK116+CK133</f>
        <v>35754650.448760785</v>
      </c>
      <c r="CL135" s="1131">
        <f>+CL84+CL93+CL100+CL116+CL133</f>
        <v>1826600517.250824</v>
      </c>
      <c r="CM135" s="1118"/>
      <c r="CQ135" s="1131">
        <f>+CQ84+CQ93+CQ100+CQ116+CQ133</f>
        <v>2120706298.0987499</v>
      </c>
      <c r="CR135" s="1131">
        <f>+CR84+CR93+CR100+CR116+CR133</f>
        <v>258351130.39916536</v>
      </c>
      <c r="CS135" s="1131">
        <f>+CS84+CS93+CS100+CS116+CS133</f>
        <v>35754650.448760785</v>
      </c>
      <c r="CT135" s="1131">
        <f>+CT84+CT93+CT100+CT116+CT133</f>
        <v>1826600517.250824</v>
      </c>
      <c r="CU135" s="1118"/>
      <c r="CY135" s="1131">
        <f>+CY84+CY93+CY100+CY116+CY133</f>
        <v>2120706298.0987499</v>
      </c>
      <c r="CZ135" s="1131">
        <f>+CZ84+CZ93+CZ100+CZ116+CZ133</f>
        <v>258351130.39916536</v>
      </c>
      <c r="DA135" s="1131">
        <f>+DA84+DA93+DA100+DA116+DA133</f>
        <v>35754650.448760785</v>
      </c>
      <c r="DB135" s="1131">
        <f>+DB84+DB93+DB100+DB116+DB133</f>
        <v>1826600517.250824</v>
      </c>
      <c r="DC135" s="1118"/>
      <c r="DG135" s="1131">
        <f>+DG84+DG93+DG100+DG116+DG133</f>
        <v>2120706298.0987499</v>
      </c>
      <c r="DH135" s="1131">
        <f>+DH84+DH93+DH100+DH116+DH133</f>
        <v>258351130.39916536</v>
      </c>
      <c r="DI135" s="1131">
        <f>+DI84+DI93+DI100+DI116+DI133</f>
        <v>35754650.448760785</v>
      </c>
      <c r="DJ135" s="1131">
        <f>+DJ84+DJ93+DJ100+DJ116+DJ133</f>
        <v>1826600517.250824</v>
      </c>
      <c r="DK135" s="1118"/>
      <c r="DO135" s="1131">
        <f>+DO84+DO93+DO100+DO116+DO133</f>
        <v>2120706298.0987499</v>
      </c>
      <c r="DP135" s="1131">
        <f>+DP84+DP93+DP100+DP116+DP133</f>
        <v>258351130.39916536</v>
      </c>
      <c r="DQ135" s="1131">
        <f>+DQ84+DQ93+DQ100+DQ116+DQ133</f>
        <v>35754650.448760785</v>
      </c>
      <c r="DR135" s="1131">
        <f>+DR84+DR93+DR100+DR116+DR133</f>
        <v>1826600517.250824</v>
      </c>
      <c r="DS135" s="1118"/>
      <c r="DW135" s="1131">
        <f>+DW84+DW93+DW100+DW116+DW133</f>
        <v>2120706298.0987499</v>
      </c>
      <c r="DX135" s="1131">
        <f>+DX84+DX93+DX100+DX116+DX133</f>
        <v>258351130.39916536</v>
      </c>
      <c r="DY135" s="1131">
        <f>+DY84+DY93+DY100+DY116+DY133</f>
        <v>35754650.448760785</v>
      </c>
      <c r="DZ135" s="1131">
        <f>+DZ84+DZ93+DZ100+DZ116+DZ133</f>
        <v>1826600517.250824</v>
      </c>
      <c r="EA135" s="1118"/>
      <c r="EE135" s="1131">
        <f>+EE84+EE93+EE100+EE116+EE133</f>
        <v>2120706298.0987499</v>
      </c>
      <c r="EF135" s="1131">
        <f>+EF84+EF93+EF100+EF116+EF133</f>
        <v>258351130.39916536</v>
      </c>
      <c r="EG135" s="1131">
        <f>+EG84+EG93+EG100+EG116+EG133</f>
        <v>35754650.448760785</v>
      </c>
      <c r="EH135" s="1131">
        <f>+EH84+EH93+EH100+EH116+EH133</f>
        <v>1826600517.250824</v>
      </c>
      <c r="EI135" s="1118"/>
      <c r="EM135" s="1131">
        <f>+EM84+EM93+EM100+EM116+EM133</f>
        <v>2120706298.0987499</v>
      </c>
      <c r="EN135" s="1131">
        <f>+EN84+EN93+EN100+EN116+EN133</f>
        <v>258351130.39916536</v>
      </c>
      <c r="EO135" s="1131">
        <f>+EO84+EO93+EO100+EO116+EO133</f>
        <v>35754650.448760785</v>
      </c>
      <c r="EP135" s="1131">
        <f>+EP84+EP93+EP100+EP116+EP133</f>
        <v>1826600517.250824</v>
      </c>
      <c r="EQ135" s="1118"/>
      <c r="EU135" s="1131">
        <f>+EU84+EU93+EU100+EU116+EU133</f>
        <v>2120706298.0987499</v>
      </c>
      <c r="EV135" s="1131">
        <f>+EV84+EV93+EV100+EV116+EV133</f>
        <v>258351130.39916536</v>
      </c>
      <c r="EW135" s="1131">
        <f>+EW84+EW93+EW100+EW116+EW133</f>
        <v>35754650.448760785</v>
      </c>
      <c r="EX135" s="1131">
        <f>+EX84+EX93+EX100+EX116+EX133</f>
        <v>1826600517.250824</v>
      </c>
      <c r="EY135" s="1118"/>
      <c r="FC135" s="1131">
        <f>+FC84+FC93+FC100+FC116+FC133</f>
        <v>2120706298.0987499</v>
      </c>
      <c r="FD135" s="1131">
        <f>+FD84+FD93+FD100+FD116+FD133</f>
        <v>258351130.39916536</v>
      </c>
      <c r="FE135" s="1131">
        <f>+FE84+FE93+FE100+FE116+FE133</f>
        <v>35754650.448760785</v>
      </c>
      <c r="FF135" s="1131">
        <f>+FF84+FF93+FF100+FF116+FF133</f>
        <v>1826600517.250824</v>
      </c>
      <c r="FG135" s="1118"/>
      <c r="FK135" s="1131">
        <f>+FK84+FK93+FK100+FK116+FK133</f>
        <v>2120706298.0987499</v>
      </c>
      <c r="FL135" s="1131">
        <f>+FL84+FL93+FL100+FL116+FL133</f>
        <v>258351130.39916536</v>
      </c>
      <c r="FM135" s="1131">
        <f>+FM84+FM93+FM100+FM116+FM133</f>
        <v>35754650.448760785</v>
      </c>
      <c r="FN135" s="1131">
        <f>+FN84+FN93+FN100+FN116+FN133</f>
        <v>1826600517.250824</v>
      </c>
      <c r="FO135" s="1118"/>
    </row>
    <row r="136" spans="1:171" ht="16.5" thickBot="1">
      <c r="A136" s="1451"/>
      <c r="B136" s="931"/>
      <c r="C136" s="932"/>
      <c r="D136" s="932"/>
      <c r="E136" s="931"/>
      <c r="F136" s="931"/>
      <c r="G136" s="965"/>
      <c r="H136" s="965"/>
      <c r="I136" s="965"/>
      <c r="J136" s="1452"/>
      <c r="K136" s="903"/>
      <c r="S136" s="1118"/>
      <c r="AA136" s="1118"/>
      <c r="AI136" s="1118"/>
      <c r="AQ136" s="1118"/>
      <c r="AY136" s="1118"/>
      <c r="BG136" s="1118"/>
      <c r="BO136" s="1118"/>
      <c r="BW136" s="1118"/>
      <c r="CE136" s="1118"/>
      <c r="CM136" s="1118"/>
      <c r="CU136" s="1118"/>
      <c r="DC136" s="1118"/>
      <c r="DK136" s="1118"/>
      <c r="DS136" s="1118"/>
      <c r="EA136" s="1118"/>
      <c r="EI136" s="1118"/>
      <c r="EQ136" s="1118"/>
      <c r="EY136" s="1118"/>
      <c r="FG136" s="1118"/>
      <c r="FO136" s="1118"/>
    </row>
    <row r="137" spans="1:171" ht="16.5" thickTop="1">
      <c r="A137" s="1453" t="s">
        <v>75</v>
      </c>
      <c r="B137" s="64"/>
      <c r="C137" s="55"/>
      <c r="D137" s="196"/>
      <c r="E137" s="196"/>
      <c r="F137" s="196"/>
      <c r="G137" s="910"/>
      <c r="H137" s="910"/>
      <c r="I137" s="910"/>
      <c r="J137" s="1426"/>
      <c r="K137" s="903"/>
      <c r="S137" s="1118"/>
      <c r="AA137" s="1118"/>
      <c r="AI137" s="1118"/>
      <c r="AQ137" s="1118"/>
      <c r="AY137" s="1118"/>
      <c r="BG137" s="1118"/>
      <c r="BO137" s="1118"/>
      <c r="BW137" s="1118"/>
      <c r="CE137" s="1118"/>
      <c r="CM137" s="1118"/>
      <c r="CU137" s="1118"/>
      <c r="DC137" s="1118"/>
      <c r="DK137" s="1118"/>
      <c r="DS137" s="1118"/>
      <c r="EA137" s="1118"/>
      <c r="EI137" s="1118"/>
      <c r="EQ137" s="1118"/>
      <c r="EY137" s="1118"/>
      <c r="FG137" s="1118"/>
      <c r="FO137" s="1118"/>
    </row>
    <row r="138" spans="1:171">
      <c r="A138" s="1423"/>
      <c r="B138" s="847" t="s">
        <v>438</v>
      </c>
      <c r="C138" s="196"/>
      <c r="D138" s="968"/>
      <c r="E138" s="196"/>
      <c r="F138" s="196"/>
      <c r="G138" s="198"/>
      <c r="H138" s="198"/>
      <c r="I138" s="198"/>
      <c r="J138" s="1429"/>
      <c r="K138" s="903"/>
      <c r="S138" s="1118"/>
      <c r="AA138" s="1118"/>
      <c r="AI138" s="1118"/>
      <c r="AQ138" s="1118"/>
      <c r="AY138" s="1118"/>
      <c r="BG138" s="1118"/>
      <c r="BO138" s="1118"/>
      <c r="BW138" s="1118"/>
      <c r="CE138" s="1118"/>
      <c r="CM138" s="1118"/>
      <c r="CU138" s="1118"/>
      <c r="DC138" s="1118"/>
      <c r="DK138" s="1118"/>
      <c r="DS138" s="1118"/>
      <c r="EA138" s="1118"/>
      <c r="EI138" s="1118"/>
      <c r="EQ138" s="1118"/>
      <c r="EY138" s="1118"/>
      <c r="FG138" s="1118"/>
      <c r="FO138" s="1118"/>
    </row>
    <row r="139" spans="1:171">
      <c r="A139" s="1439"/>
      <c r="B139" s="79" t="s">
        <v>332</v>
      </c>
      <c r="C139" s="888" t="s">
        <v>81</v>
      </c>
      <c r="D139" s="888">
        <v>244</v>
      </c>
      <c r="E139" s="182" t="str">
        <f>'Sch 1- Rate Base '!E139</f>
        <v>DIST</v>
      </c>
      <c r="F139" s="889"/>
      <c r="G139" s="182">
        <f>'Sch 1- Rate Base '!G139</f>
        <v>35118959.25</v>
      </c>
      <c r="H139" s="182">
        <f>'Sch 1- Rate Base '!H139</f>
        <v>0</v>
      </c>
      <c r="I139" s="182">
        <f>'Sch 1- Rate Base '!I139</f>
        <v>0</v>
      </c>
      <c r="J139" s="1424">
        <f>'Sch 1- Rate Base '!J139</f>
        <v>35118959.25</v>
      </c>
      <c r="K139" s="903">
        <f>IF($E139="DIRECT",0,1)</f>
        <v>1</v>
      </c>
      <c r="O139" s="1116">
        <f>$G139</f>
        <v>35118959.25</v>
      </c>
      <c r="P139" s="1117">
        <f>VLOOKUP($E139,O$442:R$453,2,FALSE)*O139*($K139)+IF($G139&lt;&gt;0,($H139/$G139)*O139,0)*(1-$K139)</f>
        <v>0</v>
      </c>
      <c r="Q139" s="1117">
        <f>VLOOKUP($E139,O$442:R$453,3,FALSE)*O139*($K139)+IF($G139&lt;&gt;0,($I139/$G139)*O139,0)*(1-$K139)</f>
        <v>0</v>
      </c>
      <c r="R139" s="1117">
        <f>VLOOKUP($E139,O$442:R$453,4,FALSE)*O139*($K139)+(O139-P139-Q139)*(1-$K139)</f>
        <v>35118959.25</v>
      </c>
      <c r="S139" s="1118"/>
      <c r="W139" s="1116">
        <f>$G139</f>
        <v>35118959.25</v>
      </c>
      <c r="X139" s="1117">
        <f>VLOOKUP($E139,W$442:Z$453,2,FALSE)*W139*($K139)+IF($G139&lt;&gt;0,($H139/$G139)*W139,0)*(1-$K139)</f>
        <v>0</v>
      </c>
      <c r="Y139" s="1117">
        <f>VLOOKUP($E139,W$442:Z$453,3,FALSE)*W139*($K139)+IF($G139&lt;&gt;0,($I139/$G139)*W139,0)*(1-$K139)</f>
        <v>0</v>
      </c>
      <c r="Z139" s="1117">
        <f>VLOOKUP($E139,W$442:Z$453,4,FALSE)*W139*($K139)+(W139-X139-Y139)*(1-$K139)</f>
        <v>35118959.25</v>
      </c>
      <c r="AA139" s="1118"/>
      <c r="AE139" s="1116">
        <f>$G139</f>
        <v>35118959.25</v>
      </c>
      <c r="AF139" s="1117">
        <f>VLOOKUP($E139,AE$442:AH$453,2,FALSE)*AE139*($K139)+IF($G139&lt;&gt;0,($H139/$G139)*AE139,0)*(1-$K139)</f>
        <v>0</v>
      </c>
      <c r="AG139" s="1117">
        <f>VLOOKUP($E139,AE$442:AH$453,3,FALSE)*AE139*($K139)+IF($G139&lt;&gt;0,($I139/$G139)*AE139,0)*(1-$K139)</f>
        <v>0</v>
      </c>
      <c r="AH139" s="1117">
        <f>VLOOKUP($E139,AE$442:AH$453,4,FALSE)*AE139*($K139)+(AE139-AF139-AG139)*(1-$K139)</f>
        <v>35118959.25</v>
      </c>
      <c r="AI139" s="1118"/>
      <c r="AM139" s="1116">
        <f>$G139</f>
        <v>35118959.25</v>
      </c>
      <c r="AN139" s="1117">
        <f>VLOOKUP($E139,AM$442:AP$453,2,FALSE)*AM139*($K139)+IF($G139&lt;&gt;0,($H139/$G139)*AM139,0)*(1-$K139)</f>
        <v>0</v>
      </c>
      <c r="AO139" s="1117">
        <f>VLOOKUP($E139,AM$442:AP$453,3,FALSE)*AM139*($K139)+IF($G139&lt;&gt;0,($I139/$G139)*AM139,0)*(1-$K139)</f>
        <v>0</v>
      </c>
      <c r="AP139" s="1117">
        <f>VLOOKUP($E139,AM$442:AP$453,4,FALSE)*AM139*($K139)+(AM139-AN139-AO139)*(1-$K139)</f>
        <v>35118959.25</v>
      </c>
      <c r="AQ139" s="1118"/>
      <c r="AU139" s="1116">
        <f>$G139</f>
        <v>35118959.25</v>
      </c>
      <c r="AV139" s="1117">
        <f>VLOOKUP($E139,AU$442:AX$453,2,FALSE)*AU139*($K139)+IF($G139&lt;&gt;0,($H139/$G139)*AU139,0)*(1-$K139)</f>
        <v>0</v>
      </c>
      <c r="AW139" s="1117">
        <f>VLOOKUP($E139,AU$442:AX$453,3,FALSE)*AU139*($K139)+IF($G139&lt;&gt;0,($I139/$G139)*AU139,0)*(1-$K139)</f>
        <v>0</v>
      </c>
      <c r="AX139" s="1117">
        <f>VLOOKUP($E139,AU$442:AX$453,4,FALSE)*AU139*($K139)+(AU139-AV139-AW139)*(1-$K139)</f>
        <v>35118959.25</v>
      </c>
      <c r="AY139" s="1118"/>
      <c r="BC139" s="1116">
        <f>$G139</f>
        <v>35118959.25</v>
      </c>
      <c r="BD139" s="1117">
        <f>VLOOKUP($E139,BC$442:BF$453,2,FALSE)*BC139*($K139)+IF($G139&lt;&gt;0,($H139/$G139)*BC139,0)*(1-$K139)</f>
        <v>0</v>
      </c>
      <c r="BE139" s="1117">
        <f>VLOOKUP($E139,BC$442:BF$453,3,FALSE)*BC139*($K139)+IF($G139&lt;&gt;0,($I139/$G139)*BC139,0)*(1-$K139)</f>
        <v>0</v>
      </c>
      <c r="BF139" s="1117">
        <f>VLOOKUP($E139,BC$442:BF$453,4,FALSE)*BC139*($K139)+(BC139-BD139-BE139)*(1-$K139)</f>
        <v>35118959.25</v>
      </c>
      <c r="BG139" s="1118"/>
      <c r="BK139" s="1116">
        <f>$G139</f>
        <v>35118959.25</v>
      </c>
      <c r="BL139" s="1117">
        <f>VLOOKUP($E139,BK$442:BN$453,2,FALSE)*BK139*($K139)+IF($G139&lt;&gt;0,($H139/$G139)*BK139,0)*(1-$K139)</f>
        <v>0</v>
      </c>
      <c r="BM139" s="1117">
        <f>VLOOKUP($E139,BK$442:BN$453,3,FALSE)*BK139*($K139)+IF($G139&lt;&gt;0,($I139/$G139)*BK139,0)*(1-$K139)</f>
        <v>0</v>
      </c>
      <c r="BN139" s="1117">
        <f>VLOOKUP($E139,BK$442:BN$453,4,FALSE)*BK139*($K139)+(BK139-BL139-BM139)*(1-$K139)</f>
        <v>35118959.25</v>
      </c>
      <c r="BO139" s="1118"/>
      <c r="BS139" s="1116">
        <f>$G139</f>
        <v>35118959.25</v>
      </c>
      <c r="BT139" s="1117">
        <f>VLOOKUP($E139,BS$442:BV$453,2,FALSE)*BS139*($K139)+IF($G139&lt;&gt;0,($H139/$G139)*BS139,0)*(1-$K139)</f>
        <v>0</v>
      </c>
      <c r="BU139" s="1117">
        <f>VLOOKUP($E139,BS$442:BV$453,3,FALSE)*BS139*($K139)+IF($G139&lt;&gt;0,($I139/$G139)*BS139,0)*(1-$K139)</f>
        <v>0</v>
      </c>
      <c r="BV139" s="1117">
        <f>VLOOKUP($E139,BS$442:BV$453,4,FALSE)*BS139*($K139)+(BS139-BT139-BU139)*(1-$K139)</f>
        <v>35118959.25</v>
      </c>
      <c r="BW139" s="1118"/>
      <c r="CA139" s="1116">
        <f>$G139</f>
        <v>35118959.25</v>
      </c>
      <c r="CB139" s="1117">
        <f>VLOOKUP($E139,CA$442:CD$453,2,FALSE)*CA139*($K139)+IF($G139&lt;&gt;0,($H139/$G139)*CA139,0)*(1-$K139)</f>
        <v>0</v>
      </c>
      <c r="CC139" s="1117">
        <f>VLOOKUP($E139,CA$442:CD$453,3,FALSE)*CA139*($K139)+IF($G139&lt;&gt;0,($I139/$G139)*CA139,0)*(1-$K139)</f>
        <v>0</v>
      </c>
      <c r="CD139" s="1117">
        <f>VLOOKUP($E139,CA$442:CD$453,4,FALSE)*CA139*($K139)+(CA139-CB139-CC139)*(1-$K139)</f>
        <v>35118959.25</v>
      </c>
      <c r="CE139" s="1118"/>
      <c r="CI139" s="1116">
        <f>$G139</f>
        <v>35118959.25</v>
      </c>
      <c r="CJ139" s="1117">
        <f>VLOOKUP($E139,CI$442:CL$453,2,FALSE)*CI139*($K139)+IF($G139&lt;&gt;0,($H139/$G139)*CI139,0)*(1-$K139)</f>
        <v>0</v>
      </c>
      <c r="CK139" s="1117">
        <f>VLOOKUP($E139,CI$442:CL$453,3,FALSE)*CI139*($K139)+IF($G139&lt;&gt;0,($I139/$G139)*CI139,0)*(1-$K139)</f>
        <v>0</v>
      </c>
      <c r="CL139" s="1117">
        <f>VLOOKUP($E139,CI$442:CL$453,4,FALSE)*CI139*($K139)+(CI139-CJ139-CK139)*(1-$K139)</f>
        <v>35118959.25</v>
      </c>
      <c r="CM139" s="1118"/>
      <c r="CQ139" s="1116">
        <f>$G139</f>
        <v>35118959.25</v>
      </c>
      <c r="CR139" s="1117">
        <f>VLOOKUP($E139,CQ$442:CT$453,2,FALSE)*CQ139*($K139)+IF($G139&lt;&gt;0,($H139/$G139)*CQ139,0)*(1-$K139)</f>
        <v>0</v>
      </c>
      <c r="CS139" s="1117">
        <f>VLOOKUP($E139,CQ$442:CT$453,3,FALSE)*CQ139*($K139)+IF($G139&lt;&gt;0,($I139/$G139)*CQ139,0)*(1-$K139)</f>
        <v>0</v>
      </c>
      <c r="CT139" s="1117">
        <f>VLOOKUP($E139,CQ$442:CT$453,4,FALSE)*CQ139*($K139)+(CQ139-CR139-CS139)*(1-$K139)</f>
        <v>35118959.25</v>
      </c>
      <c r="CU139" s="1118"/>
      <c r="CY139" s="1116">
        <f>$G139</f>
        <v>35118959.25</v>
      </c>
      <c r="CZ139" s="1117">
        <f>VLOOKUP($E139,CY$442:DB$453,2,FALSE)*CY139*($K139)+IF($G139&lt;&gt;0,($H139/$G139)*CY139,0)*(1-$K139)</f>
        <v>0</v>
      </c>
      <c r="DA139" s="1117">
        <f>VLOOKUP($E139,CY$442:DB$453,3,FALSE)*CY139*($K139)+IF($G139&lt;&gt;0,($I139/$G139)*CY139,0)*(1-$K139)</f>
        <v>0</v>
      </c>
      <c r="DB139" s="1117">
        <f>VLOOKUP($E139,CY$442:DB$453,4,FALSE)*CY139*($K139)+(CY139-CZ139-DA139)*(1-$K139)</f>
        <v>35118959.25</v>
      </c>
      <c r="DC139" s="1118"/>
      <c r="DG139" s="1116">
        <f>$G139</f>
        <v>35118959.25</v>
      </c>
      <c r="DH139" s="1117">
        <f>VLOOKUP($E139,DG$442:DJ$453,2,FALSE)*DG139*($K139)+IF($G139&lt;&gt;0,($H139/$G139)*DG139,0)*(1-$K139)</f>
        <v>0</v>
      </c>
      <c r="DI139" s="1117">
        <f>VLOOKUP($E139,DG$442:DJ$453,3,FALSE)*DG139*($K139)+IF($G139&lt;&gt;0,($I139/$G139)*DG139,0)*(1-$K139)</f>
        <v>0</v>
      </c>
      <c r="DJ139" s="1117">
        <f>VLOOKUP($E139,DG$442:DJ$453,4,FALSE)*DG139*($K139)+(DG139-DH139-DI139)*(1-$K139)</f>
        <v>35118959.25</v>
      </c>
      <c r="DK139" s="1118"/>
      <c r="DO139" s="1116">
        <f>$G139</f>
        <v>35118959.25</v>
      </c>
      <c r="DP139" s="1117">
        <f>VLOOKUP($E139,DO$442:DR$453,2,FALSE)*DO139*($K139)+IF($G139&lt;&gt;0,($H139/$G139)*DO139,0)*(1-$K139)</f>
        <v>0</v>
      </c>
      <c r="DQ139" s="1117">
        <f>VLOOKUP($E139,DO$442:DR$453,3,FALSE)*DO139*($K139)+IF($G139&lt;&gt;0,($I139/$G139)*DO139,0)*(1-$K139)</f>
        <v>0</v>
      </c>
      <c r="DR139" s="1117">
        <f>VLOOKUP($E139,DO$442:DR$453,4,FALSE)*DO139*($K139)+(DO139-DP139-DQ139)*(1-$K139)</f>
        <v>35118959.25</v>
      </c>
      <c r="DS139" s="1118"/>
      <c r="DW139" s="1116">
        <f>$G139</f>
        <v>35118959.25</v>
      </c>
      <c r="DX139" s="1117">
        <f>VLOOKUP($E139,DW$442:DZ$453,2,FALSE)*DW139*($K139)+IF($G139&lt;&gt;0,($H139/$G139)*DW139,0)*(1-$K139)</f>
        <v>0</v>
      </c>
      <c r="DY139" s="1117">
        <f>VLOOKUP($E139,DW$442:DZ$453,3,FALSE)*DW139*($K139)+IF($G139&lt;&gt;0,($I139/$G139)*DW139,0)*(1-$K139)</f>
        <v>0</v>
      </c>
      <c r="DZ139" s="1117">
        <f>VLOOKUP($E139,DW$442:DZ$453,4,FALSE)*DW139*($K139)+(DW139-DX139-DY139)*(1-$K139)</f>
        <v>35118959.25</v>
      </c>
      <c r="EA139" s="1118"/>
      <c r="EE139" s="1116">
        <f>$G139</f>
        <v>35118959.25</v>
      </c>
      <c r="EF139" s="1117">
        <f>VLOOKUP($E139,EE$442:EH$453,2,FALSE)*EE139*($K139)+IF($G139&lt;&gt;0,($H139/$G139)*EE139,0)*(1-$K139)</f>
        <v>0</v>
      </c>
      <c r="EG139" s="1117">
        <f>VLOOKUP($E139,EE$442:EH$453,3,FALSE)*EE139*($K139)+IF($G139&lt;&gt;0,($I139/$G139)*EE139,0)*(1-$K139)</f>
        <v>0</v>
      </c>
      <c r="EH139" s="1117">
        <f>VLOOKUP($E139,EE$442:EH$453,4,FALSE)*EE139*($K139)+(EE139-EF139-EG139)*(1-$K139)</f>
        <v>35118959.25</v>
      </c>
      <c r="EI139" s="1118"/>
      <c r="EM139" s="1116">
        <f>$G139</f>
        <v>35118959.25</v>
      </c>
      <c r="EN139" s="1117">
        <f>VLOOKUP($E139,EM$442:EP$453,2,FALSE)*EM139*($K139)+IF($G139&lt;&gt;0,($H139/$G139)*EM139,0)*(1-$K139)</f>
        <v>0</v>
      </c>
      <c r="EO139" s="1117">
        <f>VLOOKUP($E139,EM$442:EP$453,3,FALSE)*EM139*($K139)+IF($G139&lt;&gt;0,($I139/$G139)*EM139,0)*(1-$K139)</f>
        <v>0</v>
      </c>
      <c r="EP139" s="1117">
        <f>VLOOKUP($E139,EM$442:EP$453,4,FALSE)*EM139*($K139)+(EM139-EN139-EO139)*(1-$K139)</f>
        <v>35118959.25</v>
      </c>
      <c r="EQ139" s="1118"/>
      <c r="EU139" s="1116">
        <f>$G139</f>
        <v>35118959.25</v>
      </c>
      <c r="EV139" s="1117">
        <f>VLOOKUP($E139,EU$442:EX$453,2,FALSE)*EU139*($K139)+IF($G139&lt;&gt;0,($H139/$G139)*EU139,0)*(1-$K139)</f>
        <v>0</v>
      </c>
      <c r="EW139" s="1117">
        <f>VLOOKUP($E139,EU$442:EX$453,3,FALSE)*EU139*($K139)+IF($G139&lt;&gt;0,($I139/$G139)*EU139,0)*(1-$K139)</f>
        <v>0</v>
      </c>
      <c r="EX139" s="1117">
        <f>VLOOKUP($E139,EU$442:EX$453,4,FALSE)*EU139*($K139)+(EU139-EV139-EW139)*(1-$K139)</f>
        <v>35118959.25</v>
      </c>
      <c r="EY139" s="1118"/>
      <c r="FC139" s="1116">
        <f>$G139</f>
        <v>35118959.25</v>
      </c>
      <c r="FD139" s="1117">
        <f>VLOOKUP($E139,FC$442:FF$453,2,FALSE)*FC139*($K139)+IF($G139&lt;&gt;0,($H139/$G139)*FC139,0)*(1-$K139)</f>
        <v>0</v>
      </c>
      <c r="FE139" s="1117">
        <f>VLOOKUP($E139,FC$442:FF$453,3,FALSE)*FC139*($K139)+IF($G139&lt;&gt;0,($I139/$G139)*FC139,0)*(1-$K139)</f>
        <v>0</v>
      </c>
      <c r="FF139" s="1117">
        <f>VLOOKUP($E139,FC$442:FF$453,4,FALSE)*FC139*($K139)+(FC139-FD139-FE139)*(1-$K139)</f>
        <v>35118959.25</v>
      </c>
      <c r="FG139" s="1118"/>
      <c r="FK139" s="1116">
        <f>$G139</f>
        <v>35118959.25</v>
      </c>
      <c r="FL139" s="1117">
        <f>VLOOKUP($E139,FK$442:FN$453,2,FALSE)*FK139*($K139)+IF($G139&lt;&gt;0,($H139/$G139)*FK139,0)*(1-$K139)</f>
        <v>0</v>
      </c>
      <c r="FM139" s="1117">
        <f>VLOOKUP($E139,FK$442:FN$453,3,FALSE)*FK139*($K139)+IF($G139&lt;&gt;0,($I139/$G139)*FK139,0)*(1-$K139)</f>
        <v>0</v>
      </c>
      <c r="FN139" s="1117">
        <f>VLOOKUP($E139,FK$442:FN$453,4,FALSE)*FK139*($K139)+(FK139-FL139-FM139)*(1-$K139)</f>
        <v>35118959.25</v>
      </c>
      <c r="FO139" s="1118"/>
    </row>
    <row r="140" spans="1:171">
      <c r="A140" s="1439"/>
      <c r="B140" s="969" t="s">
        <v>629</v>
      </c>
      <c r="C140" s="888" t="s">
        <v>348</v>
      </c>
      <c r="D140" s="888">
        <v>244</v>
      </c>
      <c r="E140" s="182" t="str">
        <f>'Sch 1- Rate Base '!E140</f>
        <v>DIST</v>
      </c>
      <c r="F140" s="889"/>
      <c r="G140" s="182">
        <f>'Sch 1- Rate Base '!G140</f>
        <v>17902180</v>
      </c>
      <c r="H140" s="182">
        <f>'Sch 1- Rate Base '!H140</f>
        <v>0</v>
      </c>
      <c r="I140" s="182">
        <f>'Sch 1- Rate Base '!I140</f>
        <v>0</v>
      </c>
      <c r="J140" s="1424">
        <f>'Sch 1- Rate Base '!J140</f>
        <v>17902180</v>
      </c>
      <c r="K140" s="903">
        <f>IF($E140="DIRECT",0,1)</f>
        <v>1</v>
      </c>
      <c r="O140" s="1116">
        <f>$G140</f>
        <v>17902180</v>
      </c>
      <c r="P140" s="1117">
        <f>VLOOKUP($E140,O$442:R$453,2,FALSE)*O140*($K140)+IF($G140&lt;&gt;0,($H140/$G140)*O140,0)*(1-$K140)</f>
        <v>0</v>
      </c>
      <c r="Q140" s="1117">
        <f>VLOOKUP($E140,O$442:R$453,3,FALSE)*O140*($K140)+IF($G140&lt;&gt;0,($I140/$G140)*O140,0)*(1-$K140)</f>
        <v>0</v>
      </c>
      <c r="R140" s="1117">
        <f>VLOOKUP($E140,O$442:R$453,4,FALSE)*O140*($K140)+(O140-P140-Q140)*(1-$K140)</f>
        <v>17902180</v>
      </c>
      <c r="S140" s="1118"/>
      <c r="W140" s="1116">
        <f>$G140</f>
        <v>17902180</v>
      </c>
      <c r="X140" s="1117">
        <f>VLOOKUP($E140,W$442:Z$453,2,FALSE)*W140*($K140)+IF($G140&lt;&gt;0,($H140/$G140)*W140,0)*(1-$K140)</f>
        <v>0</v>
      </c>
      <c r="Y140" s="1117">
        <f>VLOOKUP($E140,W$442:Z$453,3,FALSE)*W140*($K140)+IF($G140&lt;&gt;0,($I140/$G140)*W140,0)*(1-$K140)</f>
        <v>0</v>
      </c>
      <c r="Z140" s="1117">
        <f>VLOOKUP($E140,W$442:Z$453,4,FALSE)*W140*($K140)+(W140-X140-Y140)*(1-$K140)</f>
        <v>17902180</v>
      </c>
      <c r="AA140" s="1118"/>
      <c r="AE140" s="1116">
        <f>$G140</f>
        <v>17902180</v>
      </c>
      <c r="AF140" s="1117">
        <f>VLOOKUP($E140,AE$442:AH$453,2,FALSE)*AE140*($K140)+IF($G140&lt;&gt;0,($H140/$G140)*AE140,0)*(1-$K140)</f>
        <v>0</v>
      </c>
      <c r="AG140" s="1117">
        <f>VLOOKUP($E140,AE$442:AH$453,3,FALSE)*AE140*($K140)+IF($G140&lt;&gt;0,($I140/$G140)*AE140,0)*(1-$K140)</f>
        <v>0</v>
      </c>
      <c r="AH140" s="1117">
        <f>VLOOKUP($E140,AE$442:AH$453,4,FALSE)*AE140*($K140)+(AE140-AF140-AG140)*(1-$K140)</f>
        <v>17902180</v>
      </c>
      <c r="AI140" s="1118"/>
      <c r="AM140" s="1116">
        <f>$G140</f>
        <v>17902180</v>
      </c>
      <c r="AN140" s="1117">
        <f>VLOOKUP($E140,AM$442:AP$453,2,FALSE)*AM140*($K140)+IF($G140&lt;&gt;0,($H140/$G140)*AM140,0)*(1-$K140)</f>
        <v>0</v>
      </c>
      <c r="AO140" s="1117">
        <f>VLOOKUP($E140,AM$442:AP$453,3,FALSE)*AM140*($K140)+IF($G140&lt;&gt;0,($I140/$G140)*AM140,0)*(1-$K140)</f>
        <v>0</v>
      </c>
      <c r="AP140" s="1117">
        <f>VLOOKUP($E140,AM$442:AP$453,4,FALSE)*AM140*($K140)+(AM140-AN140-AO140)*(1-$K140)</f>
        <v>17902180</v>
      </c>
      <c r="AQ140" s="1118"/>
      <c r="AU140" s="1116">
        <f>$G140</f>
        <v>17902180</v>
      </c>
      <c r="AV140" s="1117">
        <f>VLOOKUP($E140,AU$442:AX$453,2,FALSE)*AU140*($K140)+IF($G140&lt;&gt;0,($H140/$G140)*AU140,0)*(1-$K140)</f>
        <v>0</v>
      </c>
      <c r="AW140" s="1117">
        <f>VLOOKUP($E140,AU$442:AX$453,3,FALSE)*AU140*($K140)+IF($G140&lt;&gt;0,($I140/$G140)*AU140,0)*(1-$K140)</f>
        <v>0</v>
      </c>
      <c r="AX140" s="1117">
        <f>VLOOKUP($E140,AU$442:AX$453,4,FALSE)*AU140*($K140)+(AU140-AV140-AW140)*(1-$K140)</f>
        <v>17902180</v>
      </c>
      <c r="AY140" s="1118"/>
      <c r="BC140" s="1116">
        <f>$G140</f>
        <v>17902180</v>
      </c>
      <c r="BD140" s="1117">
        <f>VLOOKUP($E140,BC$442:BF$453,2,FALSE)*BC140*($K140)+IF($G140&lt;&gt;0,($H140/$G140)*BC140,0)*(1-$K140)</f>
        <v>0</v>
      </c>
      <c r="BE140" s="1117">
        <f>VLOOKUP($E140,BC$442:BF$453,3,FALSE)*BC140*($K140)+IF($G140&lt;&gt;0,($I140/$G140)*BC140,0)*(1-$K140)</f>
        <v>0</v>
      </c>
      <c r="BF140" s="1117">
        <f>VLOOKUP($E140,BC$442:BF$453,4,FALSE)*BC140*($K140)+(BC140-BD140-BE140)*(1-$K140)</f>
        <v>17902180</v>
      </c>
      <c r="BG140" s="1118"/>
      <c r="BK140" s="1116">
        <f>$G140</f>
        <v>17902180</v>
      </c>
      <c r="BL140" s="1117">
        <f>VLOOKUP($E140,BK$442:BN$453,2,FALSE)*BK140*($K140)+IF($G140&lt;&gt;0,($H140/$G140)*BK140,0)*(1-$K140)</f>
        <v>0</v>
      </c>
      <c r="BM140" s="1117">
        <f>VLOOKUP($E140,BK$442:BN$453,3,FALSE)*BK140*($K140)+IF($G140&lt;&gt;0,($I140/$G140)*BK140,0)*(1-$K140)</f>
        <v>0</v>
      </c>
      <c r="BN140" s="1117">
        <f>VLOOKUP($E140,BK$442:BN$453,4,FALSE)*BK140*($K140)+(BK140-BL140-BM140)*(1-$K140)</f>
        <v>17902180</v>
      </c>
      <c r="BO140" s="1118"/>
      <c r="BS140" s="1116">
        <f>$G140</f>
        <v>17902180</v>
      </c>
      <c r="BT140" s="1117">
        <f>VLOOKUP($E140,BS$442:BV$453,2,FALSE)*BS140*($K140)+IF($G140&lt;&gt;0,($H140/$G140)*BS140,0)*(1-$K140)</f>
        <v>0</v>
      </c>
      <c r="BU140" s="1117">
        <f>VLOOKUP($E140,BS$442:BV$453,3,FALSE)*BS140*($K140)+IF($G140&lt;&gt;0,($I140/$G140)*BS140,0)*(1-$K140)</f>
        <v>0</v>
      </c>
      <c r="BV140" s="1117">
        <f>VLOOKUP($E140,BS$442:BV$453,4,FALSE)*BS140*($K140)+(BS140-BT140-BU140)*(1-$K140)</f>
        <v>17902180</v>
      </c>
      <c r="BW140" s="1118"/>
      <c r="CA140" s="1116">
        <f>$G140</f>
        <v>17902180</v>
      </c>
      <c r="CB140" s="1117">
        <f>VLOOKUP($E140,CA$442:CD$453,2,FALSE)*CA140*($K140)+IF($G140&lt;&gt;0,($H140/$G140)*CA140,0)*(1-$K140)</f>
        <v>0</v>
      </c>
      <c r="CC140" s="1117">
        <f>VLOOKUP($E140,CA$442:CD$453,3,FALSE)*CA140*($K140)+IF($G140&lt;&gt;0,($I140/$G140)*CA140,0)*(1-$K140)</f>
        <v>0</v>
      </c>
      <c r="CD140" s="1117">
        <f>VLOOKUP($E140,CA$442:CD$453,4,FALSE)*CA140*($K140)+(CA140-CB140-CC140)*(1-$K140)</f>
        <v>17902180</v>
      </c>
      <c r="CE140" s="1118"/>
      <c r="CI140" s="1116">
        <f>$G140</f>
        <v>17902180</v>
      </c>
      <c r="CJ140" s="1117">
        <f>VLOOKUP($E140,CI$442:CL$453,2,FALSE)*CI140*($K140)+IF($G140&lt;&gt;0,($H140/$G140)*CI140,0)*(1-$K140)</f>
        <v>0</v>
      </c>
      <c r="CK140" s="1117">
        <f>VLOOKUP($E140,CI$442:CL$453,3,FALSE)*CI140*($K140)+IF($G140&lt;&gt;0,($I140/$G140)*CI140,0)*(1-$K140)</f>
        <v>0</v>
      </c>
      <c r="CL140" s="1117">
        <f>VLOOKUP($E140,CI$442:CL$453,4,FALSE)*CI140*($K140)+(CI140-CJ140-CK140)*(1-$K140)</f>
        <v>17902180</v>
      </c>
      <c r="CM140" s="1118"/>
      <c r="CQ140" s="1116">
        <f>$G140</f>
        <v>17902180</v>
      </c>
      <c r="CR140" s="1117">
        <f>VLOOKUP($E140,CQ$442:CT$453,2,FALSE)*CQ140*($K140)+IF($G140&lt;&gt;0,($H140/$G140)*CQ140,0)*(1-$K140)</f>
        <v>0</v>
      </c>
      <c r="CS140" s="1117">
        <f>VLOOKUP($E140,CQ$442:CT$453,3,FALSE)*CQ140*($K140)+IF($G140&lt;&gt;0,($I140/$G140)*CQ140,0)*(1-$K140)</f>
        <v>0</v>
      </c>
      <c r="CT140" s="1117">
        <f>VLOOKUP($E140,CQ$442:CT$453,4,FALSE)*CQ140*($K140)+(CQ140-CR140-CS140)*(1-$K140)</f>
        <v>17902180</v>
      </c>
      <c r="CU140" s="1118"/>
      <c r="CY140" s="1116">
        <f>$G140</f>
        <v>17902180</v>
      </c>
      <c r="CZ140" s="1117">
        <f>VLOOKUP($E140,CY$442:DB$453,2,FALSE)*CY140*($K140)+IF($G140&lt;&gt;0,($H140/$G140)*CY140,0)*(1-$K140)</f>
        <v>0</v>
      </c>
      <c r="DA140" s="1117">
        <f>VLOOKUP($E140,CY$442:DB$453,3,FALSE)*CY140*($K140)+IF($G140&lt;&gt;0,($I140/$G140)*CY140,0)*(1-$K140)</f>
        <v>0</v>
      </c>
      <c r="DB140" s="1117">
        <f>VLOOKUP($E140,CY$442:DB$453,4,FALSE)*CY140*($K140)+(CY140-CZ140-DA140)*(1-$K140)</f>
        <v>17902180</v>
      </c>
      <c r="DC140" s="1118"/>
      <c r="DG140" s="1116">
        <f>$G140</f>
        <v>17902180</v>
      </c>
      <c r="DH140" s="1117">
        <f>VLOOKUP($E140,DG$442:DJ$453,2,FALSE)*DG140*($K140)+IF($G140&lt;&gt;0,($H140/$G140)*DG140,0)*(1-$K140)</f>
        <v>0</v>
      </c>
      <c r="DI140" s="1117">
        <f>VLOOKUP($E140,DG$442:DJ$453,3,FALSE)*DG140*($K140)+IF($G140&lt;&gt;0,($I140/$G140)*DG140,0)*(1-$K140)</f>
        <v>0</v>
      </c>
      <c r="DJ140" s="1117">
        <f>VLOOKUP($E140,DG$442:DJ$453,4,FALSE)*DG140*($K140)+(DG140-DH140-DI140)*(1-$K140)</f>
        <v>17902180</v>
      </c>
      <c r="DK140" s="1118"/>
      <c r="DO140" s="1116">
        <f>$G140</f>
        <v>17902180</v>
      </c>
      <c r="DP140" s="1117">
        <f>VLOOKUP($E140,DO$442:DR$453,2,FALSE)*DO140*($K140)+IF($G140&lt;&gt;0,($H140/$G140)*DO140,0)*(1-$K140)</f>
        <v>0</v>
      </c>
      <c r="DQ140" s="1117">
        <f>VLOOKUP($E140,DO$442:DR$453,3,FALSE)*DO140*($K140)+IF($G140&lt;&gt;0,($I140/$G140)*DO140,0)*(1-$K140)</f>
        <v>0</v>
      </c>
      <c r="DR140" s="1117">
        <f>VLOOKUP($E140,DO$442:DR$453,4,FALSE)*DO140*($K140)+(DO140-DP140-DQ140)*(1-$K140)</f>
        <v>17902180</v>
      </c>
      <c r="DS140" s="1118"/>
      <c r="DW140" s="1116">
        <f>$G140</f>
        <v>17902180</v>
      </c>
      <c r="DX140" s="1117">
        <f>VLOOKUP($E140,DW$442:DZ$453,2,FALSE)*DW140*($K140)+IF($G140&lt;&gt;0,($H140/$G140)*DW140,0)*(1-$K140)</f>
        <v>0</v>
      </c>
      <c r="DY140" s="1117">
        <f>VLOOKUP($E140,DW$442:DZ$453,3,FALSE)*DW140*($K140)+IF($G140&lt;&gt;0,($I140/$G140)*DW140,0)*(1-$K140)</f>
        <v>0</v>
      </c>
      <c r="DZ140" s="1117">
        <f>VLOOKUP($E140,DW$442:DZ$453,4,FALSE)*DW140*($K140)+(DW140-DX140-DY140)*(1-$K140)</f>
        <v>17902180</v>
      </c>
      <c r="EA140" s="1118"/>
      <c r="EE140" s="1116">
        <f>$G140</f>
        <v>17902180</v>
      </c>
      <c r="EF140" s="1117">
        <f>VLOOKUP($E140,EE$442:EH$453,2,FALSE)*EE140*($K140)+IF($G140&lt;&gt;0,($H140/$G140)*EE140,0)*(1-$K140)</f>
        <v>0</v>
      </c>
      <c r="EG140" s="1117">
        <f>VLOOKUP($E140,EE$442:EH$453,3,FALSE)*EE140*($K140)+IF($G140&lt;&gt;0,($I140/$G140)*EE140,0)*(1-$K140)</f>
        <v>0</v>
      </c>
      <c r="EH140" s="1117">
        <f>VLOOKUP($E140,EE$442:EH$453,4,FALSE)*EE140*($K140)+(EE140-EF140-EG140)*(1-$K140)</f>
        <v>17902180</v>
      </c>
      <c r="EI140" s="1118"/>
      <c r="EM140" s="1116">
        <f>$G140</f>
        <v>17902180</v>
      </c>
      <c r="EN140" s="1117">
        <f>VLOOKUP($E140,EM$442:EP$453,2,FALSE)*EM140*($K140)+IF($G140&lt;&gt;0,($H140/$G140)*EM140,0)*(1-$K140)</f>
        <v>0</v>
      </c>
      <c r="EO140" s="1117">
        <f>VLOOKUP($E140,EM$442:EP$453,3,FALSE)*EM140*($K140)+IF($G140&lt;&gt;0,($I140/$G140)*EM140,0)*(1-$K140)</f>
        <v>0</v>
      </c>
      <c r="EP140" s="1117">
        <f>VLOOKUP($E140,EM$442:EP$453,4,FALSE)*EM140*($K140)+(EM140-EN140-EO140)*(1-$K140)</f>
        <v>17902180</v>
      </c>
      <c r="EQ140" s="1118"/>
      <c r="EU140" s="1116">
        <f>$G140</f>
        <v>17902180</v>
      </c>
      <c r="EV140" s="1117">
        <f>VLOOKUP($E140,EU$442:EX$453,2,FALSE)*EU140*($K140)+IF($G140&lt;&gt;0,($H140/$G140)*EU140,0)*(1-$K140)</f>
        <v>0</v>
      </c>
      <c r="EW140" s="1117">
        <f>VLOOKUP($E140,EU$442:EX$453,3,FALSE)*EU140*($K140)+IF($G140&lt;&gt;0,($I140/$G140)*EU140,0)*(1-$K140)</f>
        <v>0</v>
      </c>
      <c r="EX140" s="1117">
        <f>VLOOKUP($E140,EU$442:EX$453,4,FALSE)*EU140*($K140)+(EU140-EV140-EW140)*(1-$K140)</f>
        <v>17902180</v>
      </c>
      <c r="EY140" s="1118"/>
      <c r="FC140" s="1116">
        <f>$G140</f>
        <v>17902180</v>
      </c>
      <c r="FD140" s="1117">
        <f>VLOOKUP($E140,FC$442:FF$453,2,FALSE)*FC140*($K140)+IF($G140&lt;&gt;0,($H140/$G140)*FC140,0)*(1-$K140)</f>
        <v>0</v>
      </c>
      <c r="FE140" s="1117">
        <f>VLOOKUP($E140,FC$442:FF$453,3,FALSE)*FC140*($K140)+IF($G140&lt;&gt;0,($I140/$G140)*FC140,0)*(1-$K140)</f>
        <v>0</v>
      </c>
      <c r="FF140" s="1117">
        <f>VLOOKUP($E140,FC$442:FF$453,4,FALSE)*FC140*($K140)+(FC140-FD140-FE140)*(1-$K140)</f>
        <v>17902180</v>
      </c>
      <c r="FG140" s="1118"/>
      <c r="FK140" s="1116">
        <f>$G140</f>
        <v>17902180</v>
      </c>
      <c r="FL140" s="1117">
        <f>VLOOKUP($E140,FK$442:FN$453,2,FALSE)*FK140*($K140)+IF($G140&lt;&gt;0,($H140/$G140)*FK140,0)*(1-$K140)</f>
        <v>0</v>
      </c>
      <c r="FM140" s="1117">
        <f>VLOOKUP($E140,FK$442:FN$453,3,FALSE)*FK140*($K140)+IF($G140&lt;&gt;0,($I140/$G140)*FK140,0)*(1-$K140)</f>
        <v>0</v>
      </c>
      <c r="FN140" s="1117">
        <f>VLOOKUP($E140,FK$442:FN$453,4,FALSE)*FK140*($K140)+(FK140-FL140-FM140)*(1-$K140)</f>
        <v>17902180</v>
      </c>
      <c r="FO140" s="1118"/>
    </row>
    <row r="141" spans="1:171">
      <c r="A141" s="1439"/>
      <c r="B141" s="79" t="s">
        <v>333</v>
      </c>
      <c r="C141" s="888" t="s">
        <v>376</v>
      </c>
      <c r="D141" s="888">
        <v>245</v>
      </c>
      <c r="E141" s="182" t="str">
        <f>'Sch 1- Rate Base '!E141</f>
        <v>DIST</v>
      </c>
      <c r="F141" s="889"/>
      <c r="G141" s="182">
        <f>'Sch 1- Rate Base '!G141</f>
        <v>0</v>
      </c>
      <c r="H141" s="182">
        <f>'Sch 1- Rate Base '!H141</f>
        <v>0</v>
      </c>
      <c r="I141" s="182">
        <f>'Sch 1- Rate Base '!I141</f>
        <v>0</v>
      </c>
      <c r="J141" s="1424">
        <f>'Sch 1- Rate Base '!J141</f>
        <v>0</v>
      </c>
      <c r="K141" s="903">
        <f>IF($E141="DIRECT",0,1)</f>
        <v>1</v>
      </c>
      <c r="O141" s="1116">
        <f>$G141</f>
        <v>0</v>
      </c>
      <c r="P141" s="1117">
        <f>VLOOKUP($E141,O$442:R$453,2,FALSE)*O141*($K141)+IF($G141&lt;&gt;0,($H141/$G141)*O141,0)*(1-$K141)</f>
        <v>0</v>
      </c>
      <c r="Q141" s="1117">
        <f>VLOOKUP($E141,O$442:R$453,3,FALSE)*O141*($K141)+IF($G141&lt;&gt;0,($I141/$G141)*O141,0)*(1-$K141)</f>
        <v>0</v>
      </c>
      <c r="R141" s="1117">
        <f>VLOOKUP($E141,O$442:R$453,4,FALSE)*O141*($K141)+(O141-P141-Q141)*(1-$K141)</f>
        <v>0</v>
      </c>
      <c r="S141" s="1118"/>
      <c r="W141" s="1116">
        <f>$G141</f>
        <v>0</v>
      </c>
      <c r="X141" s="1117">
        <f>VLOOKUP($E141,W$442:Z$453,2,FALSE)*W141*($K141)+IF($G141&lt;&gt;0,($H141/$G141)*W141,0)*(1-$K141)</f>
        <v>0</v>
      </c>
      <c r="Y141" s="1117">
        <f>VLOOKUP($E141,W$442:Z$453,3,FALSE)*W141*($K141)+IF($G141&lt;&gt;0,($I141/$G141)*W141,0)*(1-$K141)</f>
        <v>0</v>
      </c>
      <c r="Z141" s="1117">
        <f>VLOOKUP($E141,W$442:Z$453,4,FALSE)*W141*($K141)+(W141-X141-Y141)*(1-$K141)</f>
        <v>0</v>
      </c>
      <c r="AA141" s="1118"/>
      <c r="AE141" s="1116">
        <f>$G141</f>
        <v>0</v>
      </c>
      <c r="AF141" s="1117">
        <f>VLOOKUP($E141,AE$442:AH$453,2,FALSE)*AE141*($K141)+IF($G141&lt;&gt;0,($H141/$G141)*AE141,0)*(1-$K141)</f>
        <v>0</v>
      </c>
      <c r="AG141" s="1117">
        <f>VLOOKUP($E141,AE$442:AH$453,3,FALSE)*AE141*($K141)+IF($G141&lt;&gt;0,($I141/$G141)*AE141,0)*(1-$K141)</f>
        <v>0</v>
      </c>
      <c r="AH141" s="1117">
        <f>VLOOKUP($E141,AE$442:AH$453,4,FALSE)*AE141*($K141)+(AE141-AF141-AG141)*(1-$K141)</f>
        <v>0</v>
      </c>
      <c r="AI141" s="1118"/>
      <c r="AM141" s="1116">
        <f>$G141</f>
        <v>0</v>
      </c>
      <c r="AN141" s="1117">
        <f>VLOOKUP($E141,AM$442:AP$453,2,FALSE)*AM141*($K141)+IF($G141&lt;&gt;0,($H141/$G141)*AM141,0)*(1-$K141)</f>
        <v>0</v>
      </c>
      <c r="AO141" s="1117">
        <f>VLOOKUP($E141,AM$442:AP$453,3,FALSE)*AM141*($K141)+IF($G141&lt;&gt;0,($I141/$G141)*AM141,0)*(1-$K141)</f>
        <v>0</v>
      </c>
      <c r="AP141" s="1117">
        <f>VLOOKUP($E141,AM$442:AP$453,4,FALSE)*AM141*($K141)+(AM141-AN141-AO141)*(1-$K141)</f>
        <v>0</v>
      </c>
      <c r="AQ141" s="1118"/>
      <c r="AU141" s="1116">
        <f>$G141</f>
        <v>0</v>
      </c>
      <c r="AV141" s="1117">
        <f>VLOOKUP($E141,AU$442:AX$453,2,FALSE)*AU141*($K141)+IF($G141&lt;&gt;0,($H141/$G141)*AU141,0)*(1-$K141)</f>
        <v>0</v>
      </c>
      <c r="AW141" s="1117">
        <f>VLOOKUP($E141,AU$442:AX$453,3,FALSE)*AU141*($K141)+IF($G141&lt;&gt;0,($I141/$G141)*AU141,0)*(1-$K141)</f>
        <v>0</v>
      </c>
      <c r="AX141" s="1117">
        <f>VLOOKUP($E141,AU$442:AX$453,4,FALSE)*AU141*($K141)+(AU141-AV141-AW141)*(1-$K141)</f>
        <v>0</v>
      </c>
      <c r="AY141" s="1118"/>
      <c r="BC141" s="1116">
        <f>$G141</f>
        <v>0</v>
      </c>
      <c r="BD141" s="1117">
        <f>VLOOKUP($E141,BC$442:BF$453,2,FALSE)*BC141*($K141)+IF($G141&lt;&gt;0,($H141/$G141)*BC141,0)*(1-$K141)</f>
        <v>0</v>
      </c>
      <c r="BE141" s="1117">
        <f>VLOOKUP($E141,BC$442:BF$453,3,FALSE)*BC141*($K141)+IF($G141&lt;&gt;0,($I141/$G141)*BC141,0)*(1-$K141)</f>
        <v>0</v>
      </c>
      <c r="BF141" s="1117">
        <f>VLOOKUP($E141,BC$442:BF$453,4,FALSE)*BC141*($K141)+(BC141-BD141-BE141)*(1-$K141)</f>
        <v>0</v>
      </c>
      <c r="BG141" s="1118"/>
      <c r="BK141" s="1116">
        <f>$G141</f>
        <v>0</v>
      </c>
      <c r="BL141" s="1117">
        <f>VLOOKUP($E141,BK$442:BN$453,2,FALSE)*BK141*($K141)+IF($G141&lt;&gt;0,($H141/$G141)*BK141,0)*(1-$K141)</f>
        <v>0</v>
      </c>
      <c r="BM141" s="1117">
        <f>VLOOKUP($E141,BK$442:BN$453,3,FALSE)*BK141*($K141)+IF($G141&lt;&gt;0,($I141/$G141)*BK141,0)*(1-$K141)</f>
        <v>0</v>
      </c>
      <c r="BN141" s="1117">
        <f>VLOOKUP($E141,BK$442:BN$453,4,FALSE)*BK141*($K141)+(BK141-BL141-BM141)*(1-$K141)</f>
        <v>0</v>
      </c>
      <c r="BO141" s="1118"/>
      <c r="BS141" s="1116">
        <f>$G141</f>
        <v>0</v>
      </c>
      <c r="BT141" s="1117">
        <f>VLOOKUP($E141,BS$442:BV$453,2,FALSE)*BS141*($K141)+IF($G141&lt;&gt;0,($H141/$G141)*BS141,0)*(1-$K141)</f>
        <v>0</v>
      </c>
      <c r="BU141" s="1117">
        <f>VLOOKUP($E141,BS$442:BV$453,3,FALSE)*BS141*($K141)+IF($G141&lt;&gt;0,($I141/$G141)*BS141,0)*(1-$K141)</f>
        <v>0</v>
      </c>
      <c r="BV141" s="1117">
        <f>VLOOKUP($E141,BS$442:BV$453,4,FALSE)*BS141*($K141)+(BS141-BT141-BU141)*(1-$K141)</f>
        <v>0</v>
      </c>
      <c r="BW141" s="1118"/>
      <c r="CA141" s="1116">
        <f>$G141</f>
        <v>0</v>
      </c>
      <c r="CB141" s="1117">
        <f>VLOOKUP($E141,CA$442:CD$453,2,FALSE)*CA141*($K141)+IF($G141&lt;&gt;0,($H141/$G141)*CA141,0)*(1-$K141)</f>
        <v>0</v>
      </c>
      <c r="CC141" s="1117">
        <f>VLOOKUP($E141,CA$442:CD$453,3,FALSE)*CA141*($K141)+IF($G141&lt;&gt;0,($I141/$G141)*CA141,0)*(1-$K141)</f>
        <v>0</v>
      </c>
      <c r="CD141" s="1117">
        <f>VLOOKUP($E141,CA$442:CD$453,4,FALSE)*CA141*($K141)+(CA141-CB141-CC141)*(1-$K141)</f>
        <v>0</v>
      </c>
      <c r="CE141" s="1118"/>
      <c r="CI141" s="1116">
        <f>$G141</f>
        <v>0</v>
      </c>
      <c r="CJ141" s="1117">
        <f>VLOOKUP($E141,CI$442:CL$453,2,FALSE)*CI141*($K141)+IF($G141&lt;&gt;0,($H141/$G141)*CI141,0)*(1-$K141)</f>
        <v>0</v>
      </c>
      <c r="CK141" s="1117">
        <f>VLOOKUP($E141,CI$442:CL$453,3,FALSE)*CI141*($K141)+IF($G141&lt;&gt;0,($I141/$G141)*CI141,0)*(1-$K141)</f>
        <v>0</v>
      </c>
      <c r="CL141" s="1117">
        <f>VLOOKUP($E141,CI$442:CL$453,4,FALSE)*CI141*($K141)+(CI141-CJ141-CK141)*(1-$K141)</f>
        <v>0</v>
      </c>
      <c r="CM141" s="1118"/>
      <c r="CQ141" s="1116">
        <f>$G141</f>
        <v>0</v>
      </c>
      <c r="CR141" s="1117">
        <f>VLOOKUP($E141,CQ$442:CT$453,2,FALSE)*CQ141*($K141)+IF($G141&lt;&gt;0,($H141/$G141)*CQ141,0)*(1-$K141)</f>
        <v>0</v>
      </c>
      <c r="CS141" s="1117">
        <f>VLOOKUP($E141,CQ$442:CT$453,3,FALSE)*CQ141*($K141)+IF($G141&lt;&gt;0,($I141/$G141)*CQ141,0)*(1-$K141)</f>
        <v>0</v>
      </c>
      <c r="CT141" s="1117">
        <f>VLOOKUP($E141,CQ$442:CT$453,4,FALSE)*CQ141*($K141)+(CQ141-CR141-CS141)*(1-$K141)</f>
        <v>0</v>
      </c>
      <c r="CU141" s="1118"/>
      <c r="CY141" s="1116">
        <f>$G141</f>
        <v>0</v>
      </c>
      <c r="CZ141" s="1117">
        <f>VLOOKUP($E141,CY$442:DB$453,2,FALSE)*CY141*($K141)+IF($G141&lt;&gt;0,($H141/$G141)*CY141,0)*(1-$K141)</f>
        <v>0</v>
      </c>
      <c r="DA141" s="1117">
        <f>VLOOKUP($E141,CY$442:DB$453,3,FALSE)*CY141*($K141)+IF($G141&lt;&gt;0,($I141/$G141)*CY141,0)*(1-$K141)</f>
        <v>0</v>
      </c>
      <c r="DB141" s="1117">
        <f>VLOOKUP($E141,CY$442:DB$453,4,FALSE)*CY141*($K141)+(CY141-CZ141-DA141)*(1-$K141)</f>
        <v>0</v>
      </c>
      <c r="DC141" s="1118"/>
      <c r="DG141" s="1116">
        <f>$G141</f>
        <v>0</v>
      </c>
      <c r="DH141" s="1117">
        <f>VLOOKUP($E141,DG$442:DJ$453,2,FALSE)*DG141*($K141)+IF($G141&lt;&gt;0,($H141/$G141)*DG141,0)*(1-$K141)</f>
        <v>0</v>
      </c>
      <c r="DI141" s="1117">
        <f>VLOOKUP($E141,DG$442:DJ$453,3,FALSE)*DG141*($K141)+IF($G141&lt;&gt;0,($I141/$G141)*DG141,0)*(1-$K141)</f>
        <v>0</v>
      </c>
      <c r="DJ141" s="1117">
        <f>VLOOKUP($E141,DG$442:DJ$453,4,FALSE)*DG141*($K141)+(DG141-DH141-DI141)*(1-$K141)</f>
        <v>0</v>
      </c>
      <c r="DK141" s="1118"/>
      <c r="DO141" s="1116">
        <f>$G141</f>
        <v>0</v>
      </c>
      <c r="DP141" s="1117">
        <f>VLOOKUP($E141,DO$442:DR$453,2,FALSE)*DO141*($K141)+IF($G141&lt;&gt;0,($H141/$G141)*DO141,0)*(1-$K141)</f>
        <v>0</v>
      </c>
      <c r="DQ141" s="1117">
        <f>VLOOKUP($E141,DO$442:DR$453,3,FALSE)*DO141*($K141)+IF($G141&lt;&gt;0,($I141/$G141)*DO141,0)*(1-$K141)</f>
        <v>0</v>
      </c>
      <c r="DR141" s="1117">
        <f>VLOOKUP($E141,DO$442:DR$453,4,FALSE)*DO141*($K141)+(DO141-DP141-DQ141)*(1-$K141)</f>
        <v>0</v>
      </c>
      <c r="DS141" s="1118"/>
      <c r="DW141" s="1116">
        <f>$G141</f>
        <v>0</v>
      </c>
      <c r="DX141" s="1117">
        <f>VLOOKUP($E141,DW$442:DZ$453,2,FALSE)*DW141*($K141)+IF($G141&lt;&gt;0,($H141/$G141)*DW141,0)*(1-$K141)</f>
        <v>0</v>
      </c>
      <c r="DY141" s="1117">
        <f>VLOOKUP($E141,DW$442:DZ$453,3,FALSE)*DW141*($K141)+IF($G141&lt;&gt;0,($I141/$G141)*DW141,0)*(1-$K141)</f>
        <v>0</v>
      </c>
      <c r="DZ141" s="1117">
        <f>VLOOKUP($E141,DW$442:DZ$453,4,FALSE)*DW141*($K141)+(DW141-DX141-DY141)*(1-$K141)</f>
        <v>0</v>
      </c>
      <c r="EA141" s="1118"/>
      <c r="EE141" s="1116">
        <f>$G141</f>
        <v>0</v>
      </c>
      <c r="EF141" s="1117">
        <f>VLOOKUP($E141,EE$442:EH$453,2,FALSE)*EE141*($K141)+IF($G141&lt;&gt;0,($H141/$G141)*EE141,0)*(1-$K141)</f>
        <v>0</v>
      </c>
      <c r="EG141" s="1117">
        <f>VLOOKUP($E141,EE$442:EH$453,3,FALSE)*EE141*($K141)+IF($G141&lt;&gt;0,($I141/$G141)*EE141,0)*(1-$K141)</f>
        <v>0</v>
      </c>
      <c r="EH141" s="1117">
        <f>VLOOKUP($E141,EE$442:EH$453,4,FALSE)*EE141*($K141)+(EE141-EF141-EG141)*(1-$K141)</f>
        <v>0</v>
      </c>
      <c r="EI141" s="1118"/>
      <c r="EM141" s="1116">
        <f>$G141</f>
        <v>0</v>
      </c>
      <c r="EN141" s="1117">
        <f>VLOOKUP($E141,EM$442:EP$453,2,FALSE)*EM141*($K141)+IF($G141&lt;&gt;0,($H141/$G141)*EM141,0)*(1-$K141)</f>
        <v>0</v>
      </c>
      <c r="EO141" s="1117">
        <f>VLOOKUP($E141,EM$442:EP$453,3,FALSE)*EM141*($K141)+IF($G141&lt;&gt;0,($I141/$G141)*EM141,0)*(1-$K141)</f>
        <v>0</v>
      </c>
      <c r="EP141" s="1117">
        <f>VLOOKUP($E141,EM$442:EP$453,4,FALSE)*EM141*($K141)+(EM141-EN141-EO141)*(1-$K141)</f>
        <v>0</v>
      </c>
      <c r="EQ141" s="1118"/>
      <c r="EU141" s="1116">
        <f>$G141</f>
        <v>0</v>
      </c>
      <c r="EV141" s="1117">
        <f>VLOOKUP($E141,EU$442:EX$453,2,FALSE)*EU141*($K141)+IF($G141&lt;&gt;0,($H141/$G141)*EU141,0)*(1-$K141)</f>
        <v>0</v>
      </c>
      <c r="EW141" s="1117">
        <f>VLOOKUP($E141,EU$442:EX$453,3,FALSE)*EU141*($K141)+IF($G141&lt;&gt;0,($I141/$G141)*EU141,0)*(1-$K141)</f>
        <v>0</v>
      </c>
      <c r="EX141" s="1117">
        <f>VLOOKUP($E141,EU$442:EX$453,4,FALSE)*EU141*($K141)+(EU141-EV141-EW141)*(1-$K141)</f>
        <v>0</v>
      </c>
      <c r="EY141" s="1118"/>
      <c r="FC141" s="1116">
        <f>$G141</f>
        <v>0</v>
      </c>
      <c r="FD141" s="1117">
        <f>VLOOKUP($E141,FC$442:FF$453,2,FALSE)*FC141*($K141)+IF($G141&lt;&gt;0,($H141/$G141)*FC141,0)*(1-$K141)</f>
        <v>0</v>
      </c>
      <c r="FE141" s="1117">
        <f>VLOOKUP($E141,FC$442:FF$453,3,FALSE)*FC141*($K141)+IF($G141&lt;&gt;0,($I141/$G141)*FC141,0)*(1-$K141)</f>
        <v>0</v>
      </c>
      <c r="FF141" s="1117">
        <f>VLOOKUP($E141,FC$442:FF$453,4,FALSE)*FC141*($K141)+(FC141-FD141-FE141)*(1-$K141)</f>
        <v>0</v>
      </c>
      <c r="FG141" s="1118"/>
      <c r="FK141" s="1116">
        <f>$G141</f>
        <v>0</v>
      </c>
      <c r="FL141" s="1117">
        <f>VLOOKUP($E141,FK$442:FN$453,2,FALSE)*FK141*($K141)+IF($G141&lt;&gt;0,($H141/$G141)*FK141,0)*(1-$K141)</f>
        <v>0</v>
      </c>
      <c r="FM141" s="1117">
        <f>VLOOKUP($E141,FK$442:FN$453,3,FALSE)*FK141*($K141)+IF($G141&lt;&gt;0,($I141/$G141)*FK141,0)*(1-$K141)</f>
        <v>0</v>
      </c>
      <c r="FN141" s="1117">
        <f>VLOOKUP($E141,FK$442:FN$453,4,FALSE)*FK141*($K141)+(FK141-FL141-FM141)*(1-$K141)</f>
        <v>0</v>
      </c>
      <c r="FO141" s="1118"/>
    </row>
    <row r="142" spans="1:171">
      <c r="A142" s="1439"/>
      <c r="B142" s="969" t="s">
        <v>630</v>
      </c>
      <c r="C142" s="888" t="s">
        <v>348</v>
      </c>
      <c r="D142" s="888">
        <v>245</v>
      </c>
      <c r="E142" s="182" t="str">
        <f>'Sch 1- Rate Base '!E142</f>
        <v>DIST</v>
      </c>
      <c r="F142" s="889"/>
      <c r="G142" s="182">
        <f>'Sch 1- Rate Base '!G142</f>
        <v>0</v>
      </c>
      <c r="H142" s="182">
        <f>'Sch 1- Rate Base '!H142</f>
        <v>0</v>
      </c>
      <c r="I142" s="182">
        <f>'Sch 1- Rate Base '!I142</f>
        <v>0</v>
      </c>
      <c r="J142" s="1424">
        <f>'Sch 1- Rate Base '!J142</f>
        <v>0</v>
      </c>
      <c r="K142" s="903">
        <f>IF($E142="DIRECT",0,1)</f>
        <v>1</v>
      </c>
      <c r="O142" s="1116">
        <f>$G142</f>
        <v>0</v>
      </c>
      <c r="P142" s="1117">
        <f>VLOOKUP($E142,O$442:R$453,2,FALSE)*O142*($K142)+IF($G142&lt;&gt;0,($H142/$G142)*O142,0)*(1-$K142)</f>
        <v>0</v>
      </c>
      <c r="Q142" s="1117">
        <f>VLOOKUP($E142,O$442:R$453,3,FALSE)*O142*($K142)+IF($G142&lt;&gt;0,($I142/$G142)*O142,0)*(1-$K142)</f>
        <v>0</v>
      </c>
      <c r="R142" s="1117">
        <f>VLOOKUP($E142,O$442:R$453,4,FALSE)*O142*($K142)+(O142-P142-Q142)*(1-$K142)</f>
        <v>0</v>
      </c>
      <c r="S142" s="1118"/>
      <c r="W142" s="1116">
        <f>$G142</f>
        <v>0</v>
      </c>
      <c r="X142" s="1117">
        <f>VLOOKUP($E142,W$442:Z$453,2,FALSE)*W142*($K142)+IF($G142&lt;&gt;0,($H142/$G142)*W142,0)*(1-$K142)</f>
        <v>0</v>
      </c>
      <c r="Y142" s="1117">
        <f>VLOOKUP($E142,W$442:Z$453,3,FALSE)*W142*($K142)+IF($G142&lt;&gt;0,($I142/$G142)*W142,0)*(1-$K142)</f>
        <v>0</v>
      </c>
      <c r="Z142" s="1117">
        <f>VLOOKUP($E142,W$442:Z$453,4,FALSE)*W142*($K142)+(W142-X142-Y142)*(1-$K142)</f>
        <v>0</v>
      </c>
      <c r="AA142" s="1118"/>
      <c r="AE142" s="1116">
        <f>$G142</f>
        <v>0</v>
      </c>
      <c r="AF142" s="1117">
        <f>VLOOKUP($E142,AE$442:AH$453,2,FALSE)*AE142*($K142)+IF($G142&lt;&gt;0,($H142/$G142)*AE142,0)*(1-$K142)</f>
        <v>0</v>
      </c>
      <c r="AG142" s="1117">
        <f>VLOOKUP($E142,AE$442:AH$453,3,FALSE)*AE142*($K142)+IF($G142&lt;&gt;0,($I142/$G142)*AE142,0)*(1-$K142)</f>
        <v>0</v>
      </c>
      <c r="AH142" s="1117">
        <f>VLOOKUP($E142,AE$442:AH$453,4,FALSE)*AE142*($K142)+(AE142-AF142-AG142)*(1-$K142)</f>
        <v>0</v>
      </c>
      <c r="AI142" s="1118"/>
      <c r="AM142" s="1116">
        <f>$G142</f>
        <v>0</v>
      </c>
      <c r="AN142" s="1117">
        <f>VLOOKUP($E142,AM$442:AP$453,2,FALSE)*AM142*($K142)+IF($G142&lt;&gt;0,($H142/$G142)*AM142,0)*(1-$K142)</f>
        <v>0</v>
      </c>
      <c r="AO142" s="1117">
        <f>VLOOKUP($E142,AM$442:AP$453,3,FALSE)*AM142*($K142)+IF($G142&lt;&gt;0,($I142/$G142)*AM142,0)*(1-$K142)</f>
        <v>0</v>
      </c>
      <c r="AP142" s="1117">
        <f>VLOOKUP($E142,AM$442:AP$453,4,FALSE)*AM142*($K142)+(AM142-AN142-AO142)*(1-$K142)</f>
        <v>0</v>
      </c>
      <c r="AQ142" s="1118"/>
      <c r="AU142" s="1116">
        <f>$G142</f>
        <v>0</v>
      </c>
      <c r="AV142" s="1117">
        <f>VLOOKUP($E142,AU$442:AX$453,2,FALSE)*AU142*($K142)+IF($G142&lt;&gt;0,($H142/$G142)*AU142,0)*(1-$K142)</f>
        <v>0</v>
      </c>
      <c r="AW142" s="1117">
        <f>VLOOKUP($E142,AU$442:AX$453,3,FALSE)*AU142*($K142)+IF($G142&lt;&gt;0,($I142/$G142)*AU142,0)*(1-$K142)</f>
        <v>0</v>
      </c>
      <c r="AX142" s="1117">
        <f>VLOOKUP($E142,AU$442:AX$453,4,FALSE)*AU142*($K142)+(AU142-AV142-AW142)*(1-$K142)</f>
        <v>0</v>
      </c>
      <c r="AY142" s="1118"/>
      <c r="BC142" s="1116">
        <f>$G142</f>
        <v>0</v>
      </c>
      <c r="BD142" s="1117">
        <f>VLOOKUP($E142,BC$442:BF$453,2,FALSE)*BC142*($K142)+IF($G142&lt;&gt;0,($H142/$G142)*BC142,0)*(1-$K142)</f>
        <v>0</v>
      </c>
      <c r="BE142" s="1117">
        <f>VLOOKUP($E142,BC$442:BF$453,3,FALSE)*BC142*($K142)+IF($G142&lt;&gt;0,($I142/$G142)*BC142,0)*(1-$K142)</f>
        <v>0</v>
      </c>
      <c r="BF142" s="1117">
        <f>VLOOKUP($E142,BC$442:BF$453,4,FALSE)*BC142*($K142)+(BC142-BD142-BE142)*(1-$K142)</f>
        <v>0</v>
      </c>
      <c r="BG142" s="1118"/>
      <c r="BK142" s="1116">
        <f>$G142</f>
        <v>0</v>
      </c>
      <c r="BL142" s="1117">
        <f>VLOOKUP($E142,BK$442:BN$453,2,FALSE)*BK142*($K142)+IF($G142&lt;&gt;0,($H142/$G142)*BK142,0)*(1-$K142)</f>
        <v>0</v>
      </c>
      <c r="BM142" s="1117">
        <f>VLOOKUP($E142,BK$442:BN$453,3,FALSE)*BK142*($K142)+IF($G142&lt;&gt;0,($I142/$G142)*BK142,0)*(1-$K142)</f>
        <v>0</v>
      </c>
      <c r="BN142" s="1117">
        <f>VLOOKUP($E142,BK$442:BN$453,4,FALSE)*BK142*($K142)+(BK142-BL142-BM142)*(1-$K142)</f>
        <v>0</v>
      </c>
      <c r="BO142" s="1118"/>
      <c r="BS142" s="1116">
        <f>$G142</f>
        <v>0</v>
      </c>
      <c r="BT142" s="1117">
        <f>VLOOKUP($E142,BS$442:BV$453,2,FALSE)*BS142*($K142)+IF($G142&lt;&gt;0,($H142/$G142)*BS142,0)*(1-$K142)</f>
        <v>0</v>
      </c>
      <c r="BU142" s="1117">
        <f>VLOOKUP($E142,BS$442:BV$453,3,FALSE)*BS142*($K142)+IF($G142&lt;&gt;0,($I142/$G142)*BS142,0)*(1-$K142)</f>
        <v>0</v>
      </c>
      <c r="BV142" s="1117">
        <f>VLOOKUP($E142,BS$442:BV$453,4,FALSE)*BS142*($K142)+(BS142-BT142-BU142)*(1-$K142)</f>
        <v>0</v>
      </c>
      <c r="BW142" s="1118"/>
      <c r="CA142" s="1116">
        <f>$G142</f>
        <v>0</v>
      </c>
      <c r="CB142" s="1117">
        <f>VLOOKUP($E142,CA$442:CD$453,2,FALSE)*CA142*($K142)+IF($G142&lt;&gt;0,($H142/$G142)*CA142,0)*(1-$K142)</f>
        <v>0</v>
      </c>
      <c r="CC142" s="1117">
        <f>VLOOKUP($E142,CA$442:CD$453,3,FALSE)*CA142*($K142)+IF($G142&lt;&gt;0,($I142/$G142)*CA142,0)*(1-$K142)</f>
        <v>0</v>
      </c>
      <c r="CD142" s="1117">
        <f>VLOOKUP($E142,CA$442:CD$453,4,FALSE)*CA142*($K142)+(CA142-CB142-CC142)*(1-$K142)</f>
        <v>0</v>
      </c>
      <c r="CE142" s="1118"/>
      <c r="CI142" s="1116">
        <f>$G142</f>
        <v>0</v>
      </c>
      <c r="CJ142" s="1117">
        <f>VLOOKUP($E142,CI$442:CL$453,2,FALSE)*CI142*($K142)+IF($G142&lt;&gt;0,($H142/$G142)*CI142,0)*(1-$K142)</f>
        <v>0</v>
      </c>
      <c r="CK142" s="1117">
        <f>VLOOKUP($E142,CI$442:CL$453,3,FALSE)*CI142*($K142)+IF($G142&lt;&gt;0,($I142/$G142)*CI142,0)*(1-$K142)</f>
        <v>0</v>
      </c>
      <c r="CL142" s="1117">
        <f>VLOOKUP($E142,CI$442:CL$453,4,FALSE)*CI142*($K142)+(CI142-CJ142-CK142)*(1-$K142)</f>
        <v>0</v>
      </c>
      <c r="CM142" s="1118"/>
      <c r="CQ142" s="1116">
        <f>$G142</f>
        <v>0</v>
      </c>
      <c r="CR142" s="1117">
        <f>VLOOKUP($E142,CQ$442:CT$453,2,FALSE)*CQ142*($K142)+IF($G142&lt;&gt;0,($H142/$G142)*CQ142,0)*(1-$K142)</f>
        <v>0</v>
      </c>
      <c r="CS142" s="1117">
        <f>VLOOKUP($E142,CQ$442:CT$453,3,FALSE)*CQ142*($K142)+IF($G142&lt;&gt;0,($I142/$G142)*CQ142,0)*(1-$K142)</f>
        <v>0</v>
      </c>
      <c r="CT142" s="1117">
        <f>VLOOKUP($E142,CQ$442:CT$453,4,FALSE)*CQ142*($K142)+(CQ142-CR142-CS142)*(1-$K142)</f>
        <v>0</v>
      </c>
      <c r="CU142" s="1118"/>
      <c r="CY142" s="1116">
        <f>$G142</f>
        <v>0</v>
      </c>
      <c r="CZ142" s="1117">
        <f>VLOOKUP($E142,CY$442:DB$453,2,FALSE)*CY142*($K142)+IF($G142&lt;&gt;0,($H142/$G142)*CY142,0)*(1-$K142)</f>
        <v>0</v>
      </c>
      <c r="DA142" s="1117">
        <f>VLOOKUP($E142,CY$442:DB$453,3,FALSE)*CY142*($K142)+IF($G142&lt;&gt;0,($I142/$G142)*CY142,0)*(1-$K142)</f>
        <v>0</v>
      </c>
      <c r="DB142" s="1117">
        <f>VLOOKUP($E142,CY$442:DB$453,4,FALSE)*CY142*($K142)+(CY142-CZ142-DA142)*(1-$K142)</f>
        <v>0</v>
      </c>
      <c r="DC142" s="1118"/>
      <c r="DG142" s="1116">
        <f>$G142</f>
        <v>0</v>
      </c>
      <c r="DH142" s="1117">
        <f>VLOOKUP($E142,DG$442:DJ$453,2,FALSE)*DG142*($K142)+IF($G142&lt;&gt;0,($H142/$G142)*DG142,0)*(1-$K142)</f>
        <v>0</v>
      </c>
      <c r="DI142" s="1117">
        <f>VLOOKUP($E142,DG$442:DJ$453,3,FALSE)*DG142*($K142)+IF($G142&lt;&gt;0,($I142/$G142)*DG142,0)*(1-$K142)</f>
        <v>0</v>
      </c>
      <c r="DJ142" s="1117">
        <f>VLOOKUP($E142,DG$442:DJ$453,4,FALSE)*DG142*($K142)+(DG142-DH142-DI142)*(1-$K142)</f>
        <v>0</v>
      </c>
      <c r="DK142" s="1118"/>
      <c r="DO142" s="1116">
        <f>$G142</f>
        <v>0</v>
      </c>
      <c r="DP142" s="1117">
        <f>VLOOKUP($E142,DO$442:DR$453,2,FALSE)*DO142*($K142)+IF($G142&lt;&gt;0,($H142/$G142)*DO142,0)*(1-$K142)</f>
        <v>0</v>
      </c>
      <c r="DQ142" s="1117">
        <f>VLOOKUP($E142,DO$442:DR$453,3,FALSE)*DO142*($K142)+IF($G142&lt;&gt;0,($I142/$G142)*DO142,0)*(1-$K142)</f>
        <v>0</v>
      </c>
      <c r="DR142" s="1117">
        <f>VLOOKUP($E142,DO$442:DR$453,4,FALSE)*DO142*($K142)+(DO142-DP142-DQ142)*(1-$K142)</f>
        <v>0</v>
      </c>
      <c r="DS142" s="1118"/>
      <c r="DW142" s="1116">
        <f>$G142</f>
        <v>0</v>
      </c>
      <c r="DX142" s="1117">
        <f>VLOOKUP($E142,DW$442:DZ$453,2,FALSE)*DW142*($K142)+IF($G142&lt;&gt;0,($H142/$G142)*DW142,0)*(1-$K142)</f>
        <v>0</v>
      </c>
      <c r="DY142" s="1117">
        <f>VLOOKUP($E142,DW$442:DZ$453,3,FALSE)*DW142*($K142)+IF($G142&lt;&gt;0,($I142/$G142)*DW142,0)*(1-$K142)</f>
        <v>0</v>
      </c>
      <c r="DZ142" s="1117">
        <f>VLOOKUP($E142,DW$442:DZ$453,4,FALSE)*DW142*($K142)+(DW142-DX142-DY142)*(1-$K142)</f>
        <v>0</v>
      </c>
      <c r="EA142" s="1118"/>
      <c r="EE142" s="1116">
        <f>$G142</f>
        <v>0</v>
      </c>
      <c r="EF142" s="1117">
        <f>VLOOKUP($E142,EE$442:EH$453,2,FALSE)*EE142*($K142)+IF($G142&lt;&gt;0,($H142/$G142)*EE142,0)*(1-$K142)</f>
        <v>0</v>
      </c>
      <c r="EG142" s="1117">
        <f>VLOOKUP($E142,EE$442:EH$453,3,FALSE)*EE142*($K142)+IF($G142&lt;&gt;0,($I142/$G142)*EE142,0)*(1-$K142)</f>
        <v>0</v>
      </c>
      <c r="EH142" s="1117">
        <f>VLOOKUP($E142,EE$442:EH$453,4,FALSE)*EE142*($K142)+(EE142-EF142-EG142)*(1-$K142)</f>
        <v>0</v>
      </c>
      <c r="EI142" s="1118"/>
      <c r="EM142" s="1116">
        <f>$G142</f>
        <v>0</v>
      </c>
      <c r="EN142" s="1117">
        <f>VLOOKUP($E142,EM$442:EP$453,2,FALSE)*EM142*($K142)+IF($G142&lt;&gt;0,($H142/$G142)*EM142,0)*(1-$K142)</f>
        <v>0</v>
      </c>
      <c r="EO142" s="1117">
        <f>VLOOKUP($E142,EM$442:EP$453,3,FALSE)*EM142*($K142)+IF($G142&lt;&gt;0,($I142/$G142)*EM142,0)*(1-$K142)</f>
        <v>0</v>
      </c>
      <c r="EP142" s="1117">
        <f>VLOOKUP($E142,EM$442:EP$453,4,FALSE)*EM142*($K142)+(EM142-EN142-EO142)*(1-$K142)</f>
        <v>0</v>
      </c>
      <c r="EQ142" s="1118"/>
      <c r="EU142" s="1116">
        <f>$G142</f>
        <v>0</v>
      </c>
      <c r="EV142" s="1117">
        <f>VLOOKUP($E142,EU$442:EX$453,2,FALSE)*EU142*($K142)+IF($G142&lt;&gt;0,($H142/$G142)*EU142,0)*(1-$K142)</f>
        <v>0</v>
      </c>
      <c r="EW142" s="1117">
        <f>VLOOKUP($E142,EU$442:EX$453,3,FALSE)*EU142*($K142)+IF($G142&lt;&gt;0,($I142/$G142)*EU142,0)*(1-$K142)</f>
        <v>0</v>
      </c>
      <c r="EX142" s="1117">
        <f>VLOOKUP($E142,EU$442:EX$453,4,FALSE)*EU142*($K142)+(EU142-EV142-EW142)*(1-$K142)</f>
        <v>0</v>
      </c>
      <c r="EY142" s="1118"/>
      <c r="FC142" s="1116">
        <f>$G142</f>
        <v>0</v>
      </c>
      <c r="FD142" s="1117">
        <f>VLOOKUP($E142,FC$442:FF$453,2,FALSE)*FC142*($K142)+IF($G142&lt;&gt;0,($H142/$G142)*FC142,0)*(1-$K142)</f>
        <v>0</v>
      </c>
      <c r="FE142" s="1117">
        <f>VLOOKUP($E142,FC$442:FF$453,3,FALSE)*FC142*($K142)+IF($G142&lt;&gt;0,($I142/$G142)*FC142,0)*(1-$K142)</f>
        <v>0</v>
      </c>
      <c r="FF142" s="1117">
        <f>VLOOKUP($E142,FC$442:FF$453,4,FALSE)*FC142*($K142)+(FC142-FD142-FE142)*(1-$K142)</f>
        <v>0</v>
      </c>
      <c r="FG142" s="1118"/>
      <c r="FK142" s="1116">
        <f>$G142</f>
        <v>0</v>
      </c>
      <c r="FL142" s="1117">
        <f>VLOOKUP($E142,FK$442:FN$453,2,FALSE)*FK142*($K142)+IF($G142&lt;&gt;0,($H142/$G142)*FK142,0)*(1-$K142)</f>
        <v>0</v>
      </c>
      <c r="FM142" s="1117">
        <f>VLOOKUP($E142,FK$442:FN$453,3,FALSE)*FK142*($K142)+IF($G142&lt;&gt;0,($I142/$G142)*FK142,0)*(1-$K142)</f>
        <v>0</v>
      </c>
      <c r="FN142" s="1117">
        <f>VLOOKUP($E142,FK$442:FN$453,4,FALSE)*FK142*($K142)+(FK142-FL142-FM142)*(1-$K142)</f>
        <v>0</v>
      </c>
      <c r="FO142" s="1118"/>
    </row>
    <row r="143" spans="1:171">
      <c r="A143" s="1439"/>
      <c r="B143" s="847" t="s">
        <v>104</v>
      </c>
      <c r="C143" s="914"/>
      <c r="D143" s="915"/>
      <c r="E143" s="915"/>
      <c r="F143" s="916"/>
      <c r="G143" s="923">
        <f>G139-G140+G141-G142</f>
        <v>17216779.25</v>
      </c>
      <c r="H143" s="923">
        <f>H139-H140+H141-H142</f>
        <v>0</v>
      </c>
      <c r="I143" s="923">
        <f>I139-I140+I141-I142</f>
        <v>0</v>
      </c>
      <c r="J143" s="1431">
        <f>J139-J140+J141-J142</f>
        <v>17216779.25</v>
      </c>
      <c r="K143" s="903"/>
      <c r="O143" s="1132">
        <f>O139-O140+O141-O142</f>
        <v>17216779.25</v>
      </c>
      <c r="P143" s="1132">
        <f>P139-P140+P141-P142</f>
        <v>0</v>
      </c>
      <c r="Q143" s="1132">
        <f>Q139-Q140+Q141-Q142</f>
        <v>0</v>
      </c>
      <c r="R143" s="1132">
        <f>R139-R140+R141-R142</f>
        <v>17216779.25</v>
      </c>
      <c r="S143" s="1118"/>
      <c r="W143" s="1132">
        <f>W139-W140+W141-W142</f>
        <v>17216779.25</v>
      </c>
      <c r="X143" s="1132">
        <f>X139-X140+X141-X142</f>
        <v>0</v>
      </c>
      <c r="Y143" s="1132">
        <f>Y139-Y140+Y141-Y142</f>
        <v>0</v>
      </c>
      <c r="Z143" s="1132">
        <f>Z139-Z140+Z141-Z142</f>
        <v>17216779.25</v>
      </c>
      <c r="AA143" s="1118"/>
      <c r="AE143" s="1132">
        <f>AE139-AE140+AE141-AE142</f>
        <v>17216779.25</v>
      </c>
      <c r="AF143" s="1132">
        <f>AF139-AF140+AF141-AF142</f>
        <v>0</v>
      </c>
      <c r="AG143" s="1132">
        <f>AG139-AG140+AG141-AG142</f>
        <v>0</v>
      </c>
      <c r="AH143" s="1132">
        <f>AH139-AH140+AH141-AH142</f>
        <v>17216779.25</v>
      </c>
      <c r="AI143" s="1118"/>
      <c r="AM143" s="1132">
        <f>AM139-AM140+AM141-AM142</f>
        <v>17216779.25</v>
      </c>
      <c r="AN143" s="1132">
        <f>AN139-AN140+AN141-AN142</f>
        <v>0</v>
      </c>
      <c r="AO143" s="1132">
        <f>AO139-AO140+AO141-AO142</f>
        <v>0</v>
      </c>
      <c r="AP143" s="1132">
        <f>AP139-AP140+AP141-AP142</f>
        <v>17216779.25</v>
      </c>
      <c r="AQ143" s="1118"/>
      <c r="AU143" s="1132">
        <f>AU139-AU140+AU141-AU142</f>
        <v>17216779.25</v>
      </c>
      <c r="AV143" s="1132">
        <f>AV139-AV140+AV141-AV142</f>
        <v>0</v>
      </c>
      <c r="AW143" s="1132">
        <f>AW139-AW140+AW141-AW142</f>
        <v>0</v>
      </c>
      <c r="AX143" s="1132">
        <f>AX139-AX140+AX141-AX142</f>
        <v>17216779.25</v>
      </c>
      <c r="AY143" s="1118"/>
      <c r="BC143" s="1132">
        <f>BC139-BC140+BC141-BC142</f>
        <v>17216779.25</v>
      </c>
      <c r="BD143" s="1132">
        <f>BD139-BD140+BD141-BD142</f>
        <v>0</v>
      </c>
      <c r="BE143" s="1132">
        <f>BE139-BE140+BE141-BE142</f>
        <v>0</v>
      </c>
      <c r="BF143" s="1132">
        <f>BF139-BF140+BF141-BF142</f>
        <v>17216779.25</v>
      </c>
      <c r="BG143" s="1118"/>
      <c r="BK143" s="1132">
        <f>BK139-BK140+BK141-BK142</f>
        <v>17216779.25</v>
      </c>
      <c r="BL143" s="1132">
        <f>BL139-BL140+BL141-BL142</f>
        <v>0</v>
      </c>
      <c r="BM143" s="1132">
        <f>BM139-BM140+BM141-BM142</f>
        <v>0</v>
      </c>
      <c r="BN143" s="1132">
        <f>BN139-BN140+BN141-BN142</f>
        <v>17216779.25</v>
      </c>
      <c r="BO143" s="1118"/>
      <c r="BS143" s="1132">
        <f>BS139-BS140+BS141-BS142</f>
        <v>17216779.25</v>
      </c>
      <c r="BT143" s="1132">
        <f>BT139-BT140+BT141-BT142</f>
        <v>0</v>
      </c>
      <c r="BU143" s="1132">
        <f>BU139-BU140+BU141-BU142</f>
        <v>0</v>
      </c>
      <c r="BV143" s="1132">
        <f>BV139-BV140+BV141-BV142</f>
        <v>17216779.25</v>
      </c>
      <c r="BW143" s="1118"/>
      <c r="CA143" s="1132">
        <f>CA139-CA140+CA141-CA142</f>
        <v>17216779.25</v>
      </c>
      <c r="CB143" s="1132">
        <f>CB139-CB140+CB141-CB142</f>
        <v>0</v>
      </c>
      <c r="CC143" s="1132">
        <f>CC139-CC140+CC141-CC142</f>
        <v>0</v>
      </c>
      <c r="CD143" s="1132">
        <f>CD139-CD140+CD141-CD142</f>
        <v>17216779.25</v>
      </c>
      <c r="CE143" s="1118"/>
      <c r="CI143" s="1132">
        <f>CI139-CI140+CI141-CI142</f>
        <v>17216779.25</v>
      </c>
      <c r="CJ143" s="1132">
        <f>CJ139-CJ140+CJ141-CJ142</f>
        <v>0</v>
      </c>
      <c r="CK143" s="1132">
        <f>CK139-CK140+CK141-CK142</f>
        <v>0</v>
      </c>
      <c r="CL143" s="1132">
        <f>CL139-CL140+CL141-CL142</f>
        <v>17216779.25</v>
      </c>
      <c r="CM143" s="1118"/>
      <c r="CQ143" s="1132">
        <f>CQ139-CQ140+CQ141-CQ142</f>
        <v>17216779.25</v>
      </c>
      <c r="CR143" s="1132">
        <f>CR139-CR140+CR141-CR142</f>
        <v>0</v>
      </c>
      <c r="CS143" s="1132">
        <f>CS139-CS140+CS141-CS142</f>
        <v>0</v>
      </c>
      <c r="CT143" s="1132">
        <f>CT139-CT140+CT141-CT142</f>
        <v>17216779.25</v>
      </c>
      <c r="CU143" s="1118"/>
      <c r="CY143" s="1132">
        <f>CY139-CY140+CY141-CY142</f>
        <v>17216779.25</v>
      </c>
      <c r="CZ143" s="1132">
        <f>CZ139-CZ140+CZ141-CZ142</f>
        <v>0</v>
      </c>
      <c r="DA143" s="1132">
        <f>DA139-DA140+DA141-DA142</f>
        <v>0</v>
      </c>
      <c r="DB143" s="1132">
        <f>DB139-DB140+DB141-DB142</f>
        <v>17216779.25</v>
      </c>
      <c r="DC143" s="1118"/>
      <c r="DG143" s="1132">
        <f>DG139-DG140+DG141-DG142</f>
        <v>17216779.25</v>
      </c>
      <c r="DH143" s="1132">
        <f>DH139-DH140+DH141-DH142</f>
        <v>0</v>
      </c>
      <c r="DI143" s="1132">
        <f>DI139-DI140+DI141-DI142</f>
        <v>0</v>
      </c>
      <c r="DJ143" s="1132">
        <f>DJ139-DJ140+DJ141-DJ142</f>
        <v>17216779.25</v>
      </c>
      <c r="DK143" s="1118"/>
      <c r="DO143" s="1132">
        <f>DO139-DO140+DO141-DO142</f>
        <v>17216779.25</v>
      </c>
      <c r="DP143" s="1132">
        <f>DP139-DP140+DP141-DP142</f>
        <v>0</v>
      </c>
      <c r="DQ143" s="1132">
        <f>DQ139-DQ140+DQ141-DQ142</f>
        <v>0</v>
      </c>
      <c r="DR143" s="1132">
        <f>DR139-DR140+DR141-DR142</f>
        <v>17216779.25</v>
      </c>
      <c r="DS143" s="1118"/>
      <c r="DW143" s="1132">
        <f>DW139-DW140+DW141-DW142</f>
        <v>17216779.25</v>
      </c>
      <c r="DX143" s="1132">
        <f>DX139-DX140+DX141-DX142</f>
        <v>0</v>
      </c>
      <c r="DY143" s="1132">
        <f>DY139-DY140+DY141-DY142</f>
        <v>0</v>
      </c>
      <c r="DZ143" s="1132">
        <f>DZ139-DZ140+DZ141-DZ142</f>
        <v>17216779.25</v>
      </c>
      <c r="EA143" s="1118"/>
      <c r="EE143" s="1132">
        <f>EE139-EE140+EE141-EE142</f>
        <v>17216779.25</v>
      </c>
      <c r="EF143" s="1132">
        <f>EF139-EF140+EF141-EF142</f>
        <v>0</v>
      </c>
      <c r="EG143" s="1132">
        <f>EG139-EG140+EG141-EG142</f>
        <v>0</v>
      </c>
      <c r="EH143" s="1132">
        <f>EH139-EH140+EH141-EH142</f>
        <v>17216779.25</v>
      </c>
      <c r="EI143" s="1118"/>
      <c r="EM143" s="1132">
        <f>EM139-EM140+EM141-EM142</f>
        <v>17216779.25</v>
      </c>
      <c r="EN143" s="1132">
        <f>EN139-EN140+EN141-EN142</f>
        <v>0</v>
      </c>
      <c r="EO143" s="1132">
        <f>EO139-EO140+EO141-EO142</f>
        <v>0</v>
      </c>
      <c r="EP143" s="1132">
        <f>EP139-EP140+EP141-EP142</f>
        <v>17216779.25</v>
      </c>
      <c r="EQ143" s="1118"/>
      <c r="EU143" s="1132">
        <f>EU139-EU140+EU141-EU142</f>
        <v>17216779.25</v>
      </c>
      <c r="EV143" s="1132">
        <f>EV139-EV140+EV141-EV142</f>
        <v>0</v>
      </c>
      <c r="EW143" s="1132">
        <f>EW139-EW140+EW141-EW142</f>
        <v>0</v>
      </c>
      <c r="EX143" s="1132">
        <f>EX139-EX140+EX141-EX142</f>
        <v>17216779.25</v>
      </c>
      <c r="EY143" s="1118"/>
      <c r="FC143" s="1132">
        <f>FC139-FC140+FC141-FC142</f>
        <v>17216779.25</v>
      </c>
      <c r="FD143" s="1132">
        <f>FD139-FD140+FD141-FD142</f>
        <v>0</v>
      </c>
      <c r="FE143" s="1132">
        <f>FE139-FE140+FE141-FE142</f>
        <v>0</v>
      </c>
      <c r="FF143" s="1132">
        <f>FF139-FF140+FF141-FF142</f>
        <v>17216779.25</v>
      </c>
      <c r="FG143" s="1118"/>
      <c r="FK143" s="1132">
        <f>FK139-FK140+FK141-FK142</f>
        <v>17216779.25</v>
      </c>
      <c r="FL143" s="1132">
        <f>FL139-FL140+FL141-FL142</f>
        <v>0</v>
      </c>
      <c r="FM143" s="1132">
        <f>FM139-FM140+FM141-FM142</f>
        <v>0</v>
      </c>
      <c r="FN143" s="1132">
        <f>FN139-FN140+FN141-FN142</f>
        <v>17216779.25</v>
      </c>
      <c r="FO143" s="1118"/>
    </row>
    <row r="144" spans="1:171">
      <c r="A144" s="1439"/>
      <c r="B144" s="847" t="s">
        <v>439</v>
      </c>
      <c r="C144" s="196"/>
      <c r="D144" s="968"/>
      <c r="E144" s="196"/>
      <c r="F144" s="196"/>
      <c r="G144" s="910"/>
      <c r="H144" s="198"/>
      <c r="I144" s="198"/>
      <c r="J144" s="1429"/>
      <c r="K144" s="903"/>
      <c r="O144" s="1079"/>
      <c r="S144" s="1118"/>
      <c r="W144" s="1079"/>
      <c r="AA144" s="1118"/>
      <c r="AE144" s="1079"/>
      <c r="AI144" s="1118"/>
      <c r="AM144" s="1079"/>
      <c r="AQ144" s="1118"/>
      <c r="AU144" s="1079"/>
      <c r="AY144" s="1118"/>
      <c r="BC144" s="1079"/>
      <c r="BG144" s="1118"/>
      <c r="BK144" s="1079"/>
      <c r="BO144" s="1118"/>
      <c r="BS144" s="1079"/>
      <c r="BW144" s="1118"/>
      <c r="CA144" s="1079"/>
      <c r="CE144" s="1118"/>
      <c r="CI144" s="1079"/>
      <c r="CM144" s="1118"/>
      <c r="CQ144" s="1079"/>
      <c r="CU144" s="1118"/>
      <c r="CY144" s="1079"/>
      <c r="DC144" s="1118"/>
      <c r="DG144" s="1079"/>
      <c r="DK144" s="1118"/>
      <c r="DO144" s="1079"/>
      <c r="DS144" s="1118"/>
      <c r="DW144" s="1079"/>
      <c r="EA144" s="1118"/>
      <c r="EE144" s="1079"/>
      <c r="EI144" s="1118"/>
      <c r="EM144" s="1079"/>
      <c r="EQ144" s="1118"/>
      <c r="EU144" s="1079"/>
      <c r="EY144" s="1118"/>
      <c r="FC144" s="1079"/>
      <c r="FG144" s="1118"/>
      <c r="FK144" s="1079"/>
      <c r="FO144" s="1118"/>
    </row>
    <row r="145" spans="1:171">
      <c r="A145" s="1423"/>
      <c r="B145" s="79" t="s">
        <v>377</v>
      </c>
      <c r="C145" s="888" t="s">
        <v>81</v>
      </c>
      <c r="D145" s="888">
        <v>244</v>
      </c>
      <c r="E145" s="182" t="str">
        <f>'Sch 1- Rate Base '!E145</f>
        <v>DIST</v>
      </c>
      <c r="F145" s="889"/>
      <c r="G145" s="182">
        <f>'Sch 1- Rate Base '!G145</f>
        <v>0</v>
      </c>
      <c r="H145" s="182">
        <f>'Sch 1- Rate Base '!H145</f>
        <v>0</v>
      </c>
      <c r="I145" s="182">
        <f>'Sch 1- Rate Base '!I145</f>
        <v>0</v>
      </c>
      <c r="J145" s="1424">
        <f>'Sch 1- Rate Base '!J145</f>
        <v>0</v>
      </c>
      <c r="K145" s="903">
        <f t="shared" ref="K145:K155" si="466">IF($E145="DIRECT",0,1)</f>
        <v>1</v>
      </c>
      <c r="O145" s="1116"/>
      <c r="S145" s="1118"/>
      <c r="W145" s="1116"/>
      <c r="AA145" s="1118"/>
      <c r="AE145" s="1116"/>
      <c r="AI145" s="1118"/>
      <c r="AM145" s="1116"/>
      <c r="AQ145" s="1118"/>
      <c r="AU145" s="1116"/>
      <c r="AY145" s="1118"/>
      <c r="BC145" s="1116"/>
      <c r="BG145" s="1118"/>
      <c r="BK145" s="1116"/>
      <c r="BO145" s="1118"/>
      <c r="BS145" s="1116"/>
      <c r="BW145" s="1118"/>
      <c r="CA145" s="1116"/>
      <c r="CE145" s="1118"/>
      <c r="CI145" s="1116"/>
      <c r="CM145" s="1118"/>
      <c r="CQ145" s="1116"/>
      <c r="CU145" s="1118"/>
      <c r="CY145" s="1116"/>
      <c r="DC145" s="1118"/>
      <c r="DG145" s="1116"/>
      <c r="DK145" s="1118"/>
      <c r="DO145" s="1116"/>
      <c r="DS145" s="1118"/>
      <c r="DW145" s="1116"/>
      <c r="EA145" s="1118"/>
      <c r="EE145" s="1116"/>
      <c r="EI145" s="1118"/>
      <c r="EM145" s="1116"/>
      <c r="EQ145" s="1118"/>
      <c r="EU145" s="1116"/>
      <c r="EY145" s="1118"/>
      <c r="FC145" s="1116"/>
      <c r="FG145" s="1118"/>
      <c r="FK145" s="1116"/>
      <c r="FO145" s="1118"/>
    </row>
    <row r="146" spans="1:171">
      <c r="A146" s="1423"/>
      <c r="B146" s="79" t="s">
        <v>378</v>
      </c>
      <c r="C146" s="888" t="s">
        <v>348</v>
      </c>
      <c r="D146" s="888">
        <v>245</v>
      </c>
      <c r="E146" s="182" t="str">
        <f>'Sch 1- Rate Base '!E146</f>
        <v>DIST</v>
      </c>
      <c r="F146" s="889"/>
      <c r="G146" s="182">
        <f>'Sch 1- Rate Base '!G146</f>
        <v>0</v>
      </c>
      <c r="H146" s="182">
        <f>'Sch 1- Rate Base '!H146</f>
        <v>0</v>
      </c>
      <c r="I146" s="182">
        <f>'Sch 1- Rate Base '!I146</f>
        <v>0</v>
      </c>
      <c r="J146" s="1424">
        <f>'Sch 1- Rate Base '!J146</f>
        <v>0</v>
      </c>
      <c r="K146" s="903">
        <f t="shared" si="466"/>
        <v>1</v>
      </c>
      <c r="O146" s="1116"/>
      <c r="S146" s="1118"/>
      <c r="W146" s="1116"/>
      <c r="AA146" s="1118"/>
      <c r="AE146" s="1116"/>
      <c r="AI146" s="1118"/>
      <c r="AM146" s="1116"/>
      <c r="AQ146" s="1118"/>
      <c r="AU146" s="1116"/>
      <c r="AY146" s="1118"/>
      <c r="BC146" s="1116"/>
      <c r="BG146" s="1118"/>
      <c r="BK146" s="1116"/>
      <c r="BO146" s="1118"/>
      <c r="BS146" s="1116"/>
      <c r="BW146" s="1118"/>
      <c r="CA146" s="1116"/>
      <c r="CE146" s="1118"/>
      <c r="CI146" s="1116"/>
      <c r="CM146" s="1118"/>
      <c r="CQ146" s="1116"/>
      <c r="CU146" s="1118"/>
      <c r="CY146" s="1116"/>
      <c r="DC146" s="1118"/>
      <c r="DG146" s="1116"/>
      <c r="DK146" s="1118"/>
      <c r="DO146" s="1116"/>
      <c r="DS146" s="1118"/>
      <c r="DW146" s="1116"/>
      <c r="EA146" s="1118"/>
      <c r="EE146" s="1116"/>
      <c r="EI146" s="1118"/>
      <c r="EM146" s="1116"/>
      <c r="EQ146" s="1118"/>
      <c r="EU146" s="1116"/>
      <c r="EY146" s="1118"/>
      <c r="FC146" s="1116"/>
      <c r="FG146" s="1118"/>
      <c r="FK146" s="1116"/>
      <c r="FO146" s="1118"/>
    </row>
    <row r="147" spans="1:171">
      <c r="A147" s="1423"/>
      <c r="B147" s="79" t="s">
        <v>22</v>
      </c>
      <c r="C147" s="888" t="s">
        <v>81</v>
      </c>
      <c r="D147" s="888">
        <v>252</v>
      </c>
      <c r="E147" s="182" t="str">
        <f>'Sch 1- Rate Base '!E147</f>
        <v>DIST</v>
      </c>
      <c r="F147" s="889"/>
      <c r="G147" s="182">
        <f>'Sch 1- Rate Base '!G147</f>
        <v>4436512.88</v>
      </c>
      <c r="H147" s="182">
        <f>'Sch 1- Rate Base '!H147</f>
        <v>0</v>
      </c>
      <c r="I147" s="182">
        <f>'Sch 1- Rate Base '!I147</f>
        <v>0</v>
      </c>
      <c r="J147" s="1424">
        <f>'Sch 1- Rate Base '!J147</f>
        <v>4436512.88</v>
      </c>
      <c r="K147" s="903">
        <f t="shared" si="466"/>
        <v>1</v>
      </c>
      <c r="O147" s="1116">
        <f t="shared" ref="O147:O155" si="467">$G147</f>
        <v>4436512.88</v>
      </c>
      <c r="P147" s="1117">
        <f t="shared" ref="P147:P155" si="468">VLOOKUP($E147,O$442:R$453,2,FALSE)*O147*($K147)+IF($G147&lt;&gt;0,($H147/$G147)*O147,0)*(1-$K147)</f>
        <v>0</v>
      </c>
      <c r="Q147" s="1117">
        <f t="shared" ref="Q147:Q155" si="469">VLOOKUP($E147,O$442:R$453,3,FALSE)*O147*($K147)+IF($G147&lt;&gt;0,($I147/$G147)*O147,0)*(1-$K147)</f>
        <v>0</v>
      </c>
      <c r="R147" s="1117">
        <f t="shared" ref="R147:R155" si="470">VLOOKUP($E147,O$442:R$453,4,FALSE)*O147*($K147)+(O147-P147-Q147)*(1-$K147)</f>
        <v>4436512.88</v>
      </c>
      <c r="S147" s="1118"/>
      <c r="W147" s="1116">
        <f t="shared" ref="W147:W155" si="471">$G147</f>
        <v>4436512.88</v>
      </c>
      <c r="X147" s="1117">
        <f t="shared" ref="X147:X155" si="472">VLOOKUP($E147,W$442:Z$453,2,FALSE)*W147*($K147)+IF($G147&lt;&gt;0,($H147/$G147)*W147,0)*(1-$K147)</f>
        <v>0</v>
      </c>
      <c r="Y147" s="1117">
        <f t="shared" ref="Y147:Y155" si="473">VLOOKUP($E147,W$442:Z$453,3,FALSE)*W147*($K147)+IF($G147&lt;&gt;0,($I147/$G147)*W147,0)*(1-$K147)</f>
        <v>0</v>
      </c>
      <c r="Z147" s="1117">
        <f t="shared" ref="Z147:Z155" si="474">VLOOKUP($E147,W$442:Z$453,4,FALSE)*W147*($K147)+(W147-X147-Y147)*(1-$K147)</f>
        <v>4436512.88</v>
      </c>
      <c r="AA147" s="1118"/>
      <c r="AE147" s="1116">
        <f t="shared" ref="AE147:AE155" si="475">$G147</f>
        <v>4436512.88</v>
      </c>
      <c r="AF147" s="1117">
        <f t="shared" ref="AF147:AF155" si="476">VLOOKUP($E147,AE$442:AH$453,2,FALSE)*AE147*($K147)+IF($G147&lt;&gt;0,($H147/$G147)*AE147,0)*(1-$K147)</f>
        <v>0</v>
      </c>
      <c r="AG147" s="1117">
        <f t="shared" ref="AG147:AG155" si="477">VLOOKUP($E147,AE$442:AH$453,3,FALSE)*AE147*($K147)+IF($G147&lt;&gt;0,($I147/$G147)*AE147,0)*(1-$K147)</f>
        <v>0</v>
      </c>
      <c r="AH147" s="1117">
        <f t="shared" ref="AH147:AH155" si="478">VLOOKUP($E147,AE$442:AH$453,4,FALSE)*AE147*($K147)+(AE147-AF147-AG147)*(1-$K147)</f>
        <v>4436512.88</v>
      </c>
      <c r="AI147" s="1118"/>
      <c r="AM147" s="1116">
        <f t="shared" ref="AM147:AM155" si="479">$G147</f>
        <v>4436512.88</v>
      </c>
      <c r="AN147" s="1117">
        <f t="shared" ref="AN147:AN155" si="480">VLOOKUP($E147,AM$442:AP$453,2,FALSE)*AM147*($K147)+IF($G147&lt;&gt;0,($H147/$G147)*AM147,0)*(1-$K147)</f>
        <v>0</v>
      </c>
      <c r="AO147" s="1117">
        <f t="shared" ref="AO147:AO155" si="481">VLOOKUP($E147,AM$442:AP$453,3,FALSE)*AM147*($K147)+IF($G147&lt;&gt;0,($I147/$G147)*AM147,0)*(1-$K147)</f>
        <v>0</v>
      </c>
      <c r="AP147" s="1117">
        <f t="shared" ref="AP147:AP155" si="482">VLOOKUP($E147,AM$442:AP$453,4,FALSE)*AM147*($K147)+(AM147-AN147-AO147)*(1-$K147)</f>
        <v>4436512.88</v>
      </c>
      <c r="AQ147" s="1118"/>
      <c r="AU147" s="1116">
        <f t="shared" ref="AU147:AU155" si="483">$G147</f>
        <v>4436512.88</v>
      </c>
      <c r="AV147" s="1117">
        <f t="shared" ref="AV147:AV155" si="484">VLOOKUP($E147,AU$442:AX$453,2,FALSE)*AU147*($K147)+IF($G147&lt;&gt;0,($H147/$G147)*AU147,0)*(1-$K147)</f>
        <v>0</v>
      </c>
      <c r="AW147" s="1117">
        <f t="shared" ref="AW147:AW155" si="485">VLOOKUP($E147,AU$442:AX$453,3,FALSE)*AU147*($K147)+IF($G147&lt;&gt;0,($I147/$G147)*AU147,0)*(1-$K147)</f>
        <v>0</v>
      </c>
      <c r="AX147" s="1117">
        <f t="shared" ref="AX147:AX155" si="486">VLOOKUP($E147,AU$442:AX$453,4,FALSE)*AU147*($K147)+(AU147-AV147-AW147)*(1-$K147)</f>
        <v>4436512.88</v>
      </c>
      <c r="AY147" s="1118"/>
      <c r="BC147" s="1116">
        <f t="shared" ref="BC147:BC155" si="487">$G147</f>
        <v>4436512.88</v>
      </c>
      <c r="BD147" s="1117">
        <f t="shared" ref="BD147:BD155" si="488">VLOOKUP($E147,BC$442:BF$453,2,FALSE)*BC147*($K147)+IF($G147&lt;&gt;0,($H147/$G147)*BC147,0)*(1-$K147)</f>
        <v>0</v>
      </c>
      <c r="BE147" s="1117">
        <f t="shared" ref="BE147:BE155" si="489">VLOOKUP($E147,BC$442:BF$453,3,FALSE)*BC147*($K147)+IF($G147&lt;&gt;0,($I147/$G147)*BC147,0)*(1-$K147)</f>
        <v>0</v>
      </c>
      <c r="BF147" s="1117">
        <f t="shared" ref="BF147:BF155" si="490">VLOOKUP($E147,BC$442:BF$453,4,FALSE)*BC147*($K147)+(BC147-BD147-BE147)*(1-$K147)</f>
        <v>4436512.88</v>
      </c>
      <c r="BG147" s="1118"/>
      <c r="BK147" s="1116">
        <f t="shared" ref="BK147:BK155" si="491">$G147</f>
        <v>4436512.88</v>
      </c>
      <c r="BL147" s="1117">
        <f t="shared" ref="BL147:BL155" si="492">VLOOKUP($E147,BK$442:BN$453,2,FALSE)*BK147*($K147)+IF($G147&lt;&gt;0,($H147/$G147)*BK147,0)*(1-$K147)</f>
        <v>0</v>
      </c>
      <c r="BM147" s="1117">
        <f t="shared" ref="BM147:BM155" si="493">VLOOKUP($E147,BK$442:BN$453,3,FALSE)*BK147*($K147)+IF($G147&lt;&gt;0,($I147/$G147)*BK147,0)*(1-$K147)</f>
        <v>0</v>
      </c>
      <c r="BN147" s="1117">
        <f t="shared" ref="BN147:BN155" si="494">VLOOKUP($E147,BK$442:BN$453,4,FALSE)*BK147*($K147)+(BK147-BL147-BM147)*(1-$K147)</f>
        <v>4436512.88</v>
      </c>
      <c r="BO147" s="1118"/>
      <c r="BS147" s="1116">
        <f t="shared" ref="BS147:BS155" si="495">$G147</f>
        <v>4436512.88</v>
      </c>
      <c r="BT147" s="1117">
        <f t="shared" ref="BT147:BT155" si="496">VLOOKUP($E147,BS$442:BV$453,2,FALSE)*BS147*($K147)+IF($G147&lt;&gt;0,($H147/$G147)*BS147,0)*(1-$K147)</f>
        <v>0</v>
      </c>
      <c r="BU147" s="1117">
        <f t="shared" ref="BU147:BU155" si="497">VLOOKUP($E147,BS$442:BV$453,3,FALSE)*BS147*($K147)+IF($G147&lt;&gt;0,($I147/$G147)*BS147,0)*(1-$K147)</f>
        <v>0</v>
      </c>
      <c r="BV147" s="1117">
        <f t="shared" ref="BV147:BV155" si="498">VLOOKUP($E147,BS$442:BV$453,4,FALSE)*BS147*($K147)+(BS147-BT147-BU147)*(1-$K147)</f>
        <v>4436512.88</v>
      </c>
      <c r="BW147" s="1118"/>
      <c r="CA147" s="1116">
        <f t="shared" ref="CA147:CA155" si="499">$G147</f>
        <v>4436512.88</v>
      </c>
      <c r="CB147" s="1117">
        <f t="shared" ref="CB147:CB155" si="500">VLOOKUP($E147,CA$442:CD$453,2,FALSE)*CA147*($K147)+IF($G147&lt;&gt;0,($H147/$G147)*CA147,0)*(1-$K147)</f>
        <v>0</v>
      </c>
      <c r="CC147" s="1117">
        <f t="shared" ref="CC147:CC155" si="501">VLOOKUP($E147,CA$442:CD$453,3,FALSE)*CA147*($K147)+IF($G147&lt;&gt;0,($I147/$G147)*CA147,0)*(1-$K147)</f>
        <v>0</v>
      </c>
      <c r="CD147" s="1117">
        <f t="shared" ref="CD147:CD155" si="502">VLOOKUP($E147,CA$442:CD$453,4,FALSE)*CA147*($K147)+(CA147-CB147-CC147)*(1-$K147)</f>
        <v>4436512.88</v>
      </c>
      <c r="CE147" s="1118"/>
      <c r="CI147" s="1116">
        <f t="shared" ref="CI147:CI155" si="503">$G147</f>
        <v>4436512.88</v>
      </c>
      <c r="CJ147" s="1117">
        <f t="shared" ref="CJ147:CJ155" si="504">VLOOKUP($E147,CI$442:CL$453,2,FALSE)*CI147*($K147)+IF($G147&lt;&gt;0,($H147/$G147)*CI147,0)*(1-$K147)</f>
        <v>0</v>
      </c>
      <c r="CK147" s="1117">
        <f t="shared" ref="CK147:CK155" si="505">VLOOKUP($E147,CI$442:CL$453,3,FALSE)*CI147*($K147)+IF($G147&lt;&gt;0,($I147/$G147)*CI147,0)*(1-$K147)</f>
        <v>0</v>
      </c>
      <c r="CL147" s="1117">
        <f t="shared" ref="CL147:CL155" si="506">VLOOKUP($E147,CI$442:CL$453,4,FALSE)*CI147*($K147)+(CI147-CJ147-CK147)*(1-$K147)</f>
        <v>4436512.88</v>
      </c>
      <c r="CM147" s="1118"/>
      <c r="CQ147" s="1116">
        <f t="shared" ref="CQ147:CQ155" si="507">$G147</f>
        <v>4436512.88</v>
      </c>
      <c r="CR147" s="1117">
        <f t="shared" ref="CR147:CR155" si="508">VLOOKUP($E147,CQ$442:CT$453,2,FALSE)*CQ147*($K147)+IF($G147&lt;&gt;0,($H147/$G147)*CQ147,0)*(1-$K147)</f>
        <v>0</v>
      </c>
      <c r="CS147" s="1117">
        <f t="shared" ref="CS147:CS155" si="509">VLOOKUP($E147,CQ$442:CT$453,3,FALSE)*CQ147*($K147)+IF($G147&lt;&gt;0,($I147/$G147)*CQ147,0)*(1-$K147)</f>
        <v>0</v>
      </c>
      <c r="CT147" s="1117">
        <f t="shared" ref="CT147:CT155" si="510">VLOOKUP($E147,CQ$442:CT$453,4,FALSE)*CQ147*($K147)+(CQ147-CR147-CS147)*(1-$K147)</f>
        <v>4436512.88</v>
      </c>
      <c r="CU147" s="1118"/>
      <c r="CY147" s="1116">
        <f t="shared" ref="CY147:CY155" si="511">$G147</f>
        <v>4436512.88</v>
      </c>
      <c r="CZ147" s="1117">
        <f t="shared" ref="CZ147:CZ155" si="512">VLOOKUP($E147,CY$442:DB$453,2,FALSE)*CY147*($K147)+IF($G147&lt;&gt;0,($H147/$G147)*CY147,0)*(1-$K147)</f>
        <v>0</v>
      </c>
      <c r="DA147" s="1117">
        <f t="shared" ref="DA147:DA155" si="513">VLOOKUP($E147,CY$442:DB$453,3,FALSE)*CY147*($K147)+IF($G147&lt;&gt;0,($I147/$G147)*CY147,0)*(1-$K147)</f>
        <v>0</v>
      </c>
      <c r="DB147" s="1117">
        <f t="shared" ref="DB147:DB155" si="514">VLOOKUP($E147,CY$442:DB$453,4,FALSE)*CY147*($K147)+(CY147-CZ147-DA147)*(1-$K147)</f>
        <v>4436512.88</v>
      </c>
      <c r="DC147" s="1118"/>
      <c r="DG147" s="1116">
        <f t="shared" ref="DG147:DG155" si="515">$G147</f>
        <v>4436512.88</v>
      </c>
      <c r="DH147" s="1117">
        <f t="shared" ref="DH147:DH155" si="516">VLOOKUP($E147,DG$442:DJ$453,2,FALSE)*DG147*($K147)+IF($G147&lt;&gt;0,($H147/$G147)*DG147,0)*(1-$K147)</f>
        <v>0</v>
      </c>
      <c r="DI147" s="1117">
        <f t="shared" ref="DI147:DI155" si="517">VLOOKUP($E147,DG$442:DJ$453,3,FALSE)*DG147*($K147)+IF($G147&lt;&gt;0,($I147/$G147)*DG147,0)*(1-$K147)</f>
        <v>0</v>
      </c>
      <c r="DJ147" s="1117">
        <f t="shared" ref="DJ147:DJ155" si="518">VLOOKUP($E147,DG$442:DJ$453,4,FALSE)*DG147*($K147)+(DG147-DH147-DI147)*(1-$K147)</f>
        <v>4436512.88</v>
      </c>
      <c r="DK147" s="1118"/>
      <c r="DO147" s="1116">
        <f t="shared" ref="DO147:DO155" si="519">$G147</f>
        <v>4436512.88</v>
      </c>
      <c r="DP147" s="1117">
        <f t="shared" ref="DP147:DP155" si="520">VLOOKUP($E147,DO$442:DR$453,2,FALSE)*DO147*($K147)+IF($G147&lt;&gt;0,($H147/$G147)*DO147,0)*(1-$K147)</f>
        <v>0</v>
      </c>
      <c r="DQ147" s="1117">
        <f t="shared" ref="DQ147:DQ155" si="521">VLOOKUP($E147,DO$442:DR$453,3,FALSE)*DO147*($K147)+IF($G147&lt;&gt;0,($I147/$G147)*DO147,0)*(1-$K147)</f>
        <v>0</v>
      </c>
      <c r="DR147" s="1117">
        <f t="shared" ref="DR147:DR155" si="522">VLOOKUP($E147,DO$442:DR$453,4,FALSE)*DO147*($K147)+(DO147-DP147-DQ147)*(1-$K147)</f>
        <v>4436512.88</v>
      </c>
      <c r="DS147" s="1118"/>
      <c r="DW147" s="1116">
        <f t="shared" ref="DW147:DW155" si="523">$G147</f>
        <v>4436512.88</v>
      </c>
      <c r="DX147" s="1117">
        <f t="shared" ref="DX147:DX155" si="524">VLOOKUP($E147,DW$442:DZ$453,2,FALSE)*DW147*($K147)+IF($G147&lt;&gt;0,($H147/$G147)*DW147,0)*(1-$K147)</f>
        <v>0</v>
      </c>
      <c r="DY147" s="1117">
        <f t="shared" ref="DY147:DY155" si="525">VLOOKUP($E147,DW$442:DZ$453,3,FALSE)*DW147*($K147)+IF($G147&lt;&gt;0,($I147/$G147)*DW147,0)*(1-$K147)</f>
        <v>0</v>
      </c>
      <c r="DZ147" s="1117">
        <f t="shared" ref="DZ147:DZ155" si="526">VLOOKUP($E147,DW$442:DZ$453,4,FALSE)*DW147*($K147)+(DW147-DX147-DY147)*(1-$K147)</f>
        <v>4436512.88</v>
      </c>
      <c r="EA147" s="1118"/>
      <c r="EE147" s="1116">
        <f t="shared" ref="EE147:EE155" si="527">$G147</f>
        <v>4436512.88</v>
      </c>
      <c r="EF147" s="1117">
        <f t="shared" ref="EF147:EF155" si="528">VLOOKUP($E147,EE$442:EH$453,2,FALSE)*EE147*($K147)+IF($G147&lt;&gt;0,($H147/$G147)*EE147,0)*(1-$K147)</f>
        <v>0</v>
      </c>
      <c r="EG147" s="1117">
        <f t="shared" ref="EG147:EG155" si="529">VLOOKUP($E147,EE$442:EH$453,3,FALSE)*EE147*($K147)+IF($G147&lt;&gt;0,($I147/$G147)*EE147,0)*(1-$K147)</f>
        <v>0</v>
      </c>
      <c r="EH147" s="1117">
        <f t="shared" ref="EH147:EH155" si="530">VLOOKUP($E147,EE$442:EH$453,4,FALSE)*EE147*($K147)+(EE147-EF147-EG147)*(1-$K147)</f>
        <v>4436512.88</v>
      </c>
      <c r="EI147" s="1118"/>
      <c r="EM147" s="1116">
        <f t="shared" ref="EM147:EM155" si="531">$G147</f>
        <v>4436512.88</v>
      </c>
      <c r="EN147" s="1117">
        <f t="shared" ref="EN147:EN155" si="532">VLOOKUP($E147,EM$442:EP$453,2,FALSE)*EM147*($K147)+IF($G147&lt;&gt;0,($H147/$G147)*EM147,0)*(1-$K147)</f>
        <v>0</v>
      </c>
      <c r="EO147" s="1117">
        <f t="shared" ref="EO147:EO155" si="533">VLOOKUP($E147,EM$442:EP$453,3,FALSE)*EM147*($K147)+IF($G147&lt;&gt;0,($I147/$G147)*EM147,0)*(1-$K147)</f>
        <v>0</v>
      </c>
      <c r="EP147" s="1117">
        <f t="shared" ref="EP147:EP155" si="534">VLOOKUP($E147,EM$442:EP$453,4,FALSE)*EM147*($K147)+(EM147-EN147-EO147)*(1-$K147)</f>
        <v>4436512.88</v>
      </c>
      <c r="EQ147" s="1118"/>
      <c r="EU147" s="1116">
        <f t="shared" ref="EU147:EU155" si="535">$G147</f>
        <v>4436512.88</v>
      </c>
      <c r="EV147" s="1117">
        <f t="shared" ref="EV147:EV155" si="536">VLOOKUP($E147,EU$442:EX$453,2,FALSE)*EU147*($K147)+IF($G147&lt;&gt;0,($H147/$G147)*EU147,0)*(1-$K147)</f>
        <v>0</v>
      </c>
      <c r="EW147" s="1117">
        <f t="shared" ref="EW147:EW155" si="537">VLOOKUP($E147,EU$442:EX$453,3,FALSE)*EU147*($K147)+IF($G147&lt;&gt;0,($I147/$G147)*EU147,0)*(1-$K147)</f>
        <v>0</v>
      </c>
      <c r="EX147" s="1117">
        <f t="shared" ref="EX147:EX155" si="538">VLOOKUP($E147,EU$442:EX$453,4,FALSE)*EU147*($K147)+(EU147-EV147-EW147)*(1-$K147)</f>
        <v>4436512.88</v>
      </c>
      <c r="EY147" s="1118"/>
      <c r="FC147" s="1116">
        <f t="shared" ref="FC147:FC155" si="539">$G147</f>
        <v>4436512.88</v>
      </c>
      <c r="FD147" s="1117">
        <f t="shared" ref="FD147:FD155" si="540">VLOOKUP($E147,FC$442:FF$453,2,FALSE)*FC147*($K147)+IF($G147&lt;&gt;0,($H147/$G147)*FC147,0)*(1-$K147)</f>
        <v>0</v>
      </c>
      <c r="FE147" s="1117">
        <f t="shared" ref="FE147:FE155" si="541">VLOOKUP($E147,FC$442:FF$453,3,FALSE)*FC147*($K147)+IF($G147&lt;&gt;0,($I147/$G147)*FC147,0)*(1-$K147)</f>
        <v>0</v>
      </c>
      <c r="FF147" s="1117">
        <f t="shared" ref="FF147:FF155" si="542">VLOOKUP($E147,FC$442:FF$453,4,FALSE)*FC147*($K147)+(FC147-FD147-FE147)*(1-$K147)</f>
        <v>4436512.88</v>
      </c>
      <c r="FG147" s="1118"/>
      <c r="FK147" s="1116">
        <f t="shared" ref="FK147:FK155" si="543">$G147</f>
        <v>4436512.88</v>
      </c>
      <c r="FL147" s="1117">
        <f t="shared" ref="FL147:FL155" si="544">VLOOKUP($E147,FK$442:FN$453,2,FALSE)*FK147*($K147)+IF($G147&lt;&gt;0,($H147/$G147)*FK147,0)*(1-$K147)</f>
        <v>0</v>
      </c>
      <c r="FM147" s="1117">
        <f t="shared" ref="FM147:FM155" si="545">VLOOKUP($E147,FK$442:FN$453,3,FALSE)*FK147*($K147)+IF($G147&lt;&gt;0,($I147/$G147)*FK147,0)*(1-$K147)</f>
        <v>0</v>
      </c>
      <c r="FN147" s="1117">
        <f t="shared" ref="FN147:FN155" si="546">VLOOKUP($E147,FK$442:FN$453,4,FALSE)*FK147*($K147)+(FK147-FL147-FM147)*(1-$K147)</f>
        <v>4436512.88</v>
      </c>
      <c r="FO147" s="1118"/>
    </row>
    <row r="148" spans="1:171">
      <c r="A148" s="1423"/>
      <c r="B148" s="79" t="s">
        <v>25</v>
      </c>
      <c r="C148" s="888" t="s">
        <v>81</v>
      </c>
      <c r="D148" s="888">
        <v>253</v>
      </c>
      <c r="E148" s="182" t="str">
        <f>'Sch 1- Rate Base '!E148</f>
        <v>DIRECT</v>
      </c>
      <c r="F148" s="889"/>
      <c r="G148" s="182">
        <f>'Sch 1- Rate Base '!G148</f>
        <v>32918242.530000001</v>
      </c>
      <c r="H148" s="182">
        <f>'Sch 1- Rate Base '!H148</f>
        <v>0</v>
      </c>
      <c r="I148" s="182">
        <f>'Sch 1- Rate Base '!I148</f>
        <v>0</v>
      </c>
      <c r="J148" s="1424">
        <f>'Sch 1- Rate Base '!J148</f>
        <v>32918243</v>
      </c>
      <c r="K148" s="903">
        <f t="shared" si="466"/>
        <v>0</v>
      </c>
      <c r="O148" s="1116">
        <f t="shared" si="467"/>
        <v>32918242.530000001</v>
      </c>
      <c r="P148" s="1117">
        <f t="shared" si="468"/>
        <v>0</v>
      </c>
      <c r="Q148" s="1117">
        <f t="shared" si="469"/>
        <v>0</v>
      </c>
      <c r="R148" s="1117">
        <f t="shared" si="470"/>
        <v>32918242.530000001</v>
      </c>
      <c r="S148" s="1118"/>
      <c r="W148" s="1116">
        <f t="shared" si="471"/>
        <v>32918242.530000001</v>
      </c>
      <c r="X148" s="1117">
        <f t="shared" si="472"/>
        <v>0</v>
      </c>
      <c r="Y148" s="1117">
        <f t="shared" si="473"/>
        <v>0</v>
      </c>
      <c r="Z148" s="1117">
        <f t="shared" si="474"/>
        <v>32918242.530000001</v>
      </c>
      <c r="AA148" s="1118"/>
      <c r="AE148" s="1116">
        <f t="shared" si="475"/>
        <v>32918242.530000001</v>
      </c>
      <c r="AF148" s="1117">
        <f t="shared" si="476"/>
        <v>0</v>
      </c>
      <c r="AG148" s="1117">
        <f t="shared" si="477"/>
        <v>0</v>
      </c>
      <c r="AH148" s="1117">
        <f t="shared" si="478"/>
        <v>32918242.530000001</v>
      </c>
      <c r="AI148" s="1118"/>
      <c r="AM148" s="1116">
        <f t="shared" si="479"/>
        <v>32918242.530000001</v>
      </c>
      <c r="AN148" s="1117">
        <f t="shared" si="480"/>
        <v>0</v>
      </c>
      <c r="AO148" s="1117">
        <f t="shared" si="481"/>
        <v>0</v>
      </c>
      <c r="AP148" s="1117">
        <f t="shared" si="482"/>
        <v>32918242.530000001</v>
      </c>
      <c r="AQ148" s="1118"/>
      <c r="AU148" s="1116">
        <f t="shared" si="483"/>
        <v>32918242.530000001</v>
      </c>
      <c r="AV148" s="1117">
        <f t="shared" si="484"/>
        <v>0</v>
      </c>
      <c r="AW148" s="1117">
        <f t="shared" si="485"/>
        <v>0</v>
      </c>
      <c r="AX148" s="1117">
        <f t="shared" si="486"/>
        <v>32918242.530000001</v>
      </c>
      <c r="AY148" s="1118"/>
      <c r="BC148" s="1116">
        <f t="shared" si="487"/>
        <v>32918242.530000001</v>
      </c>
      <c r="BD148" s="1117">
        <f t="shared" si="488"/>
        <v>0</v>
      </c>
      <c r="BE148" s="1117">
        <f t="shared" si="489"/>
        <v>0</v>
      </c>
      <c r="BF148" s="1117">
        <f t="shared" si="490"/>
        <v>32918242.530000001</v>
      </c>
      <c r="BG148" s="1118"/>
      <c r="BK148" s="1116">
        <f t="shared" si="491"/>
        <v>32918242.530000001</v>
      </c>
      <c r="BL148" s="1117">
        <f t="shared" si="492"/>
        <v>0</v>
      </c>
      <c r="BM148" s="1117">
        <f t="shared" si="493"/>
        <v>0</v>
      </c>
      <c r="BN148" s="1117">
        <f t="shared" si="494"/>
        <v>32918242.530000001</v>
      </c>
      <c r="BO148" s="1118"/>
      <c r="BS148" s="1116">
        <f t="shared" si="495"/>
        <v>32918242.530000001</v>
      </c>
      <c r="BT148" s="1117">
        <f t="shared" si="496"/>
        <v>0</v>
      </c>
      <c r="BU148" s="1117">
        <f t="shared" si="497"/>
        <v>0</v>
      </c>
      <c r="BV148" s="1117">
        <f t="shared" si="498"/>
        <v>32918242.530000001</v>
      </c>
      <c r="BW148" s="1118"/>
      <c r="CA148" s="1116">
        <f t="shared" si="499"/>
        <v>32918242.530000001</v>
      </c>
      <c r="CB148" s="1117">
        <f t="shared" si="500"/>
        <v>0</v>
      </c>
      <c r="CC148" s="1117">
        <f t="shared" si="501"/>
        <v>0</v>
      </c>
      <c r="CD148" s="1117">
        <f t="shared" si="502"/>
        <v>32918242.530000001</v>
      </c>
      <c r="CE148" s="1118"/>
      <c r="CI148" s="1116">
        <f t="shared" si="503"/>
        <v>32918242.530000001</v>
      </c>
      <c r="CJ148" s="1117">
        <f t="shared" si="504"/>
        <v>0</v>
      </c>
      <c r="CK148" s="1117">
        <f t="shared" si="505"/>
        <v>0</v>
      </c>
      <c r="CL148" s="1117">
        <f t="shared" si="506"/>
        <v>32918242.530000001</v>
      </c>
      <c r="CM148" s="1118"/>
      <c r="CQ148" s="1116">
        <f t="shared" si="507"/>
        <v>32918242.530000001</v>
      </c>
      <c r="CR148" s="1117">
        <f t="shared" si="508"/>
        <v>0</v>
      </c>
      <c r="CS148" s="1117">
        <f t="shared" si="509"/>
        <v>0</v>
      </c>
      <c r="CT148" s="1117">
        <f t="shared" si="510"/>
        <v>32918242.530000001</v>
      </c>
      <c r="CU148" s="1118"/>
      <c r="CY148" s="1116">
        <f t="shared" si="511"/>
        <v>32918242.530000001</v>
      </c>
      <c r="CZ148" s="1117">
        <f t="shared" si="512"/>
        <v>0</v>
      </c>
      <c r="DA148" s="1117">
        <f t="shared" si="513"/>
        <v>0</v>
      </c>
      <c r="DB148" s="1117">
        <f t="shared" si="514"/>
        <v>32918242.530000001</v>
      </c>
      <c r="DC148" s="1118"/>
      <c r="DG148" s="1116">
        <f t="shared" si="515"/>
        <v>32918242.530000001</v>
      </c>
      <c r="DH148" s="1117">
        <f t="shared" si="516"/>
        <v>0</v>
      </c>
      <c r="DI148" s="1117">
        <f t="shared" si="517"/>
        <v>0</v>
      </c>
      <c r="DJ148" s="1117">
        <f t="shared" si="518"/>
        <v>32918242.530000001</v>
      </c>
      <c r="DK148" s="1118"/>
      <c r="DO148" s="1116">
        <f t="shared" si="519"/>
        <v>32918242.530000001</v>
      </c>
      <c r="DP148" s="1117">
        <f t="shared" si="520"/>
        <v>0</v>
      </c>
      <c r="DQ148" s="1117">
        <f t="shared" si="521"/>
        <v>0</v>
      </c>
      <c r="DR148" s="1117">
        <f t="shared" si="522"/>
        <v>32918242.530000001</v>
      </c>
      <c r="DS148" s="1118"/>
      <c r="DW148" s="1116">
        <f t="shared" si="523"/>
        <v>32918242.530000001</v>
      </c>
      <c r="DX148" s="1117">
        <f t="shared" si="524"/>
        <v>0</v>
      </c>
      <c r="DY148" s="1117">
        <f t="shared" si="525"/>
        <v>0</v>
      </c>
      <c r="DZ148" s="1117">
        <f t="shared" si="526"/>
        <v>32918242.530000001</v>
      </c>
      <c r="EA148" s="1118"/>
      <c r="EE148" s="1116">
        <f t="shared" si="527"/>
        <v>32918242.530000001</v>
      </c>
      <c r="EF148" s="1117">
        <f t="shared" si="528"/>
        <v>0</v>
      </c>
      <c r="EG148" s="1117">
        <f t="shared" si="529"/>
        <v>0</v>
      </c>
      <c r="EH148" s="1117">
        <f t="shared" si="530"/>
        <v>32918242.530000001</v>
      </c>
      <c r="EI148" s="1118"/>
      <c r="EM148" s="1116">
        <f t="shared" si="531"/>
        <v>32918242.530000001</v>
      </c>
      <c r="EN148" s="1117">
        <f t="shared" si="532"/>
        <v>0</v>
      </c>
      <c r="EO148" s="1117">
        <f t="shared" si="533"/>
        <v>0</v>
      </c>
      <c r="EP148" s="1117">
        <f t="shared" si="534"/>
        <v>32918242.530000001</v>
      </c>
      <c r="EQ148" s="1118"/>
      <c r="EU148" s="1116">
        <f t="shared" si="535"/>
        <v>32918242.530000001</v>
      </c>
      <c r="EV148" s="1117">
        <f t="shared" si="536"/>
        <v>0</v>
      </c>
      <c r="EW148" s="1117">
        <f t="shared" si="537"/>
        <v>0</v>
      </c>
      <c r="EX148" s="1117">
        <f t="shared" si="538"/>
        <v>32918242.530000001</v>
      </c>
      <c r="EY148" s="1118"/>
      <c r="FC148" s="1116">
        <f t="shared" si="539"/>
        <v>32918242.530000001</v>
      </c>
      <c r="FD148" s="1117">
        <f t="shared" si="540"/>
        <v>0</v>
      </c>
      <c r="FE148" s="1117">
        <f t="shared" si="541"/>
        <v>0</v>
      </c>
      <c r="FF148" s="1117">
        <f t="shared" si="542"/>
        <v>32918242.530000001</v>
      </c>
      <c r="FG148" s="1118"/>
      <c r="FK148" s="1116">
        <f t="shared" si="543"/>
        <v>32918242.530000001</v>
      </c>
      <c r="FL148" s="1117">
        <f t="shared" si="544"/>
        <v>0</v>
      </c>
      <c r="FM148" s="1117">
        <f t="shared" si="545"/>
        <v>0</v>
      </c>
      <c r="FN148" s="1117">
        <f t="shared" si="546"/>
        <v>32918242.530000001</v>
      </c>
      <c r="FO148" s="1118"/>
    </row>
    <row r="149" spans="1:171">
      <c r="A149" s="1423"/>
      <c r="B149" s="79" t="s">
        <v>26</v>
      </c>
      <c r="C149" s="888" t="s">
        <v>81</v>
      </c>
      <c r="D149" s="888">
        <v>254</v>
      </c>
      <c r="E149" s="182" t="str">
        <f>'Sch 1- Rate Base '!E149</f>
        <v>DIRECT</v>
      </c>
      <c r="F149" s="889"/>
      <c r="G149" s="182">
        <f>'Sch 1- Rate Base '!G149</f>
        <v>479233915.16999996</v>
      </c>
      <c r="H149" s="182">
        <f>'Sch 1- Rate Base '!H149</f>
        <v>440276</v>
      </c>
      <c r="I149" s="182">
        <f>'Sch 1- Rate Base '!I149</f>
        <v>0</v>
      </c>
      <c r="J149" s="1424">
        <f>'Sch 1- Rate Base '!J149</f>
        <v>478793639</v>
      </c>
      <c r="K149" s="903">
        <f t="shared" si="466"/>
        <v>0</v>
      </c>
      <c r="O149" s="1116">
        <f t="shared" si="467"/>
        <v>479233915.16999996</v>
      </c>
      <c r="P149" s="1117">
        <f t="shared" si="468"/>
        <v>440276</v>
      </c>
      <c r="Q149" s="1117">
        <f t="shared" si="469"/>
        <v>0</v>
      </c>
      <c r="R149" s="1117">
        <f t="shared" si="470"/>
        <v>478793639.16999996</v>
      </c>
      <c r="S149" s="1118"/>
      <c r="W149" s="1116">
        <f t="shared" si="471"/>
        <v>479233915.16999996</v>
      </c>
      <c r="X149" s="1117">
        <f t="shared" si="472"/>
        <v>440276</v>
      </c>
      <c r="Y149" s="1117">
        <f t="shared" si="473"/>
        <v>0</v>
      </c>
      <c r="Z149" s="1117">
        <f t="shared" si="474"/>
        <v>478793639.16999996</v>
      </c>
      <c r="AA149" s="1118"/>
      <c r="AE149" s="1116">
        <f t="shared" si="475"/>
        <v>479233915.16999996</v>
      </c>
      <c r="AF149" s="1117">
        <f t="shared" si="476"/>
        <v>440276</v>
      </c>
      <c r="AG149" s="1117">
        <f t="shared" si="477"/>
        <v>0</v>
      </c>
      <c r="AH149" s="1117">
        <f t="shared" si="478"/>
        <v>478793639.16999996</v>
      </c>
      <c r="AI149" s="1118"/>
      <c r="AM149" s="1116">
        <f t="shared" si="479"/>
        <v>479233915.16999996</v>
      </c>
      <c r="AN149" s="1117">
        <f t="shared" si="480"/>
        <v>440276</v>
      </c>
      <c r="AO149" s="1117">
        <f t="shared" si="481"/>
        <v>0</v>
      </c>
      <c r="AP149" s="1117">
        <f t="shared" si="482"/>
        <v>478793639.16999996</v>
      </c>
      <c r="AQ149" s="1118"/>
      <c r="AU149" s="1116">
        <f t="shared" si="483"/>
        <v>479233915.16999996</v>
      </c>
      <c r="AV149" s="1117">
        <f t="shared" si="484"/>
        <v>440276</v>
      </c>
      <c r="AW149" s="1117">
        <f t="shared" si="485"/>
        <v>0</v>
      </c>
      <c r="AX149" s="1117">
        <f t="shared" si="486"/>
        <v>478793639.16999996</v>
      </c>
      <c r="AY149" s="1118"/>
      <c r="BC149" s="1116">
        <f t="shared" si="487"/>
        <v>479233915.16999996</v>
      </c>
      <c r="BD149" s="1117">
        <f t="shared" si="488"/>
        <v>440276</v>
      </c>
      <c r="BE149" s="1117">
        <f t="shared" si="489"/>
        <v>0</v>
      </c>
      <c r="BF149" s="1117">
        <f t="shared" si="490"/>
        <v>478793639.16999996</v>
      </c>
      <c r="BG149" s="1118"/>
      <c r="BK149" s="1116">
        <f t="shared" si="491"/>
        <v>479233915.16999996</v>
      </c>
      <c r="BL149" s="1117">
        <f t="shared" si="492"/>
        <v>440276</v>
      </c>
      <c r="BM149" s="1117">
        <f t="shared" si="493"/>
        <v>0</v>
      </c>
      <c r="BN149" s="1117">
        <f t="shared" si="494"/>
        <v>478793639.16999996</v>
      </c>
      <c r="BO149" s="1118"/>
      <c r="BS149" s="1116">
        <f t="shared" si="495"/>
        <v>479233915.16999996</v>
      </c>
      <c r="BT149" s="1117">
        <f t="shared" si="496"/>
        <v>440276</v>
      </c>
      <c r="BU149" s="1117">
        <f t="shared" si="497"/>
        <v>0</v>
      </c>
      <c r="BV149" s="1117">
        <f t="shared" si="498"/>
        <v>478793639.16999996</v>
      </c>
      <c r="BW149" s="1118"/>
      <c r="CA149" s="1116">
        <f t="shared" si="499"/>
        <v>479233915.16999996</v>
      </c>
      <c r="CB149" s="1117">
        <f t="shared" si="500"/>
        <v>440276</v>
      </c>
      <c r="CC149" s="1117">
        <f t="shared" si="501"/>
        <v>0</v>
      </c>
      <c r="CD149" s="1117">
        <f t="shared" si="502"/>
        <v>478793639.16999996</v>
      </c>
      <c r="CE149" s="1118"/>
      <c r="CI149" s="1116">
        <f t="shared" si="503"/>
        <v>479233915.16999996</v>
      </c>
      <c r="CJ149" s="1117">
        <f t="shared" si="504"/>
        <v>440276</v>
      </c>
      <c r="CK149" s="1117">
        <f t="shared" si="505"/>
        <v>0</v>
      </c>
      <c r="CL149" s="1117">
        <f t="shared" si="506"/>
        <v>478793639.16999996</v>
      </c>
      <c r="CM149" s="1118"/>
      <c r="CQ149" s="1116">
        <f t="shared" si="507"/>
        <v>479233915.16999996</v>
      </c>
      <c r="CR149" s="1117">
        <f t="shared" si="508"/>
        <v>440276</v>
      </c>
      <c r="CS149" s="1117">
        <f t="shared" si="509"/>
        <v>0</v>
      </c>
      <c r="CT149" s="1117">
        <f t="shared" si="510"/>
        <v>478793639.16999996</v>
      </c>
      <c r="CU149" s="1118"/>
      <c r="CY149" s="1116">
        <f t="shared" si="511"/>
        <v>479233915.16999996</v>
      </c>
      <c r="CZ149" s="1117">
        <f t="shared" si="512"/>
        <v>440276</v>
      </c>
      <c r="DA149" s="1117">
        <f t="shared" si="513"/>
        <v>0</v>
      </c>
      <c r="DB149" s="1117">
        <f t="shared" si="514"/>
        <v>478793639.16999996</v>
      </c>
      <c r="DC149" s="1118"/>
      <c r="DG149" s="1116">
        <f t="shared" si="515"/>
        <v>479233915.16999996</v>
      </c>
      <c r="DH149" s="1117">
        <f t="shared" si="516"/>
        <v>440276</v>
      </c>
      <c r="DI149" s="1117">
        <f t="shared" si="517"/>
        <v>0</v>
      </c>
      <c r="DJ149" s="1117">
        <f t="shared" si="518"/>
        <v>478793639.16999996</v>
      </c>
      <c r="DK149" s="1118"/>
      <c r="DO149" s="1116">
        <f t="shared" si="519"/>
        <v>479233915.16999996</v>
      </c>
      <c r="DP149" s="1117">
        <f t="shared" si="520"/>
        <v>440276</v>
      </c>
      <c r="DQ149" s="1117">
        <f t="shared" si="521"/>
        <v>0</v>
      </c>
      <c r="DR149" s="1117">
        <f t="shared" si="522"/>
        <v>478793639.16999996</v>
      </c>
      <c r="DS149" s="1118"/>
      <c r="DW149" s="1116">
        <f t="shared" si="523"/>
        <v>479233915.16999996</v>
      </c>
      <c r="DX149" s="1117">
        <f t="shared" si="524"/>
        <v>440276</v>
      </c>
      <c r="DY149" s="1117">
        <f t="shared" si="525"/>
        <v>0</v>
      </c>
      <c r="DZ149" s="1117">
        <f t="shared" si="526"/>
        <v>478793639.16999996</v>
      </c>
      <c r="EA149" s="1118"/>
      <c r="EE149" s="1116">
        <f t="shared" si="527"/>
        <v>479233915.16999996</v>
      </c>
      <c r="EF149" s="1117">
        <f t="shared" si="528"/>
        <v>440276</v>
      </c>
      <c r="EG149" s="1117">
        <f t="shared" si="529"/>
        <v>0</v>
      </c>
      <c r="EH149" s="1117">
        <f t="shared" si="530"/>
        <v>478793639.16999996</v>
      </c>
      <c r="EI149" s="1118"/>
      <c r="EM149" s="1116">
        <f t="shared" si="531"/>
        <v>479233915.16999996</v>
      </c>
      <c r="EN149" s="1117">
        <f t="shared" si="532"/>
        <v>440276</v>
      </c>
      <c r="EO149" s="1117">
        <f t="shared" si="533"/>
        <v>0</v>
      </c>
      <c r="EP149" s="1117">
        <f t="shared" si="534"/>
        <v>478793639.16999996</v>
      </c>
      <c r="EQ149" s="1118"/>
      <c r="EU149" s="1116">
        <f t="shared" si="535"/>
        <v>479233915.16999996</v>
      </c>
      <c r="EV149" s="1117">
        <f t="shared" si="536"/>
        <v>440276</v>
      </c>
      <c r="EW149" s="1117">
        <f t="shared" si="537"/>
        <v>0</v>
      </c>
      <c r="EX149" s="1117">
        <f t="shared" si="538"/>
        <v>478793639.16999996</v>
      </c>
      <c r="EY149" s="1118"/>
      <c r="FC149" s="1116">
        <f t="shared" si="539"/>
        <v>479233915.16999996</v>
      </c>
      <c r="FD149" s="1117">
        <f t="shared" si="540"/>
        <v>440276</v>
      </c>
      <c r="FE149" s="1117">
        <f t="shared" si="541"/>
        <v>0</v>
      </c>
      <c r="FF149" s="1117">
        <f t="shared" si="542"/>
        <v>478793639.16999996</v>
      </c>
      <c r="FG149" s="1118"/>
      <c r="FK149" s="1116">
        <f t="shared" si="543"/>
        <v>479233915.16999996</v>
      </c>
      <c r="FL149" s="1117">
        <f t="shared" si="544"/>
        <v>440276</v>
      </c>
      <c r="FM149" s="1117">
        <f t="shared" si="545"/>
        <v>0</v>
      </c>
      <c r="FN149" s="1117">
        <f t="shared" si="546"/>
        <v>478793639.16999996</v>
      </c>
      <c r="FO149" s="1118"/>
    </row>
    <row r="150" spans="1:171">
      <c r="A150" s="1423"/>
      <c r="B150" s="79" t="s">
        <v>23</v>
      </c>
      <c r="C150" s="888" t="s">
        <v>81</v>
      </c>
      <c r="D150" s="888">
        <v>255</v>
      </c>
      <c r="E150" s="182" t="str">
        <f>'Sch 1- Rate Base '!E150</f>
        <v>DIST</v>
      </c>
      <c r="F150" s="889"/>
      <c r="G150" s="182">
        <f>'Sch 1- Rate Base '!G150</f>
        <v>28233162.039999999</v>
      </c>
      <c r="H150" s="182">
        <f>'Sch 1- Rate Base '!H150</f>
        <v>0</v>
      </c>
      <c r="I150" s="182">
        <f>'Sch 1- Rate Base '!I150</f>
        <v>0</v>
      </c>
      <c r="J150" s="1424">
        <f>'Sch 1- Rate Base '!J150</f>
        <v>28233162.039999999</v>
      </c>
      <c r="K150" s="903">
        <f t="shared" si="466"/>
        <v>1</v>
      </c>
      <c r="O150" s="1116">
        <f t="shared" si="467"/>
        <v>28233162.039999999</v>
      </c>
      <c r="P150" s="1117">
        <f t="shared" si="468"/>
        <v>0</v>
      </c>
      <c r="Q150" s="1117">
        <f t="shared" si="469"/>
        <v>0</v>
      </c>
      <c r="R150" s="1117">
        <f t="shared" si="470"/>
        <v>28233162.039999999</v>
      </c>
      <c r="S150" s="1118"/>
      <c r="W150" s="1116">
        <f t="shared" si="471"/>
        <v>28233162.039999999</v>
      </c>
      <c r="X150" s="1117">
        <f t="shared" si="472"/>
        <v>0</v>
      </c>
      <c r="Y150" s="1117">
        <f t="shared" si="473"/>
        <v>0</v>
      </c>
      <c r="Z150" s="1117">
        <f t="shared" si="474"/>
        <v>28233162.039999999</v>
      </c>
      <c r="AA150" s="1118"/>
      <c r="AE150" s="1116">
        <f t="shared" si="475"/>
        <v>28233162.039999999</v>
      </c>
      <c r="AF150" s="1117">
        <f t="shared" si="476"/>
        <v>0</v>
      </c>
      <c r="AG150" s="1117">
        <f t="shared" si="477"/>
        <v>0</v>
      </c>
      <c r="AH150" s="1117">
        <f t="shared" si="478"/>
        <v>28233162.039999999</v>
      </c>
      <c r="AI150" s="1118"/>
      <c r="AM150" s="1116">
        <f t="shared" si="479"/>
        <v>28233162.039999999</v>
      </c>
      <c r="AN150" s="1117">
        <f t="shared" si="480"/>
        <v>0</v>
      </c>
      <c r="AO150" s="1117">
        <f t="shared" si="481"/>
        <v>0</v>
      </c>
      <c r="AP150" s="1117">
        <f t="shared" si="482"/>
        <v>28233162.039999999</v>
      </c>
      <c r="AQ150" s="1118"/>
      <c r="AU150" s="1116">
        <f t="shared" si="483"/>
        <v>28233162.039999999</v>
      </c>
      <c r="AV150" s="1117">
        <f t="shared" si="484"/>
        <v>0</v>
      </c>
      <c r="AW150" s="1117">
        <f t="shared" si="485"/>
        <v>0</v>
      </c>
      <c r="AX150" s="1117">
        <f t="shared" si="486"/>
        <v>28233162.039999999</v>
      </c>
      <c r="AY150" s="1118"/>
      <c r="BC150" s="1116">
        <f t="shared" si="487"/>
        <v>28233162.039999999</v>
      </c>
      <c r="BD150" s="1117">
        <f t="shared" si="488"/>
        <v>0</v>
      </c>
      <c r="BE150" s="1117">
        <f t="shared" si="489"/>
        <v>0</v>
      </c>
      <c r="BF150" s="1117">
        <f t="shared" si="490"/>
        <v>28233162.039999999</v>
      </c>
      <c r="BG150" s="1118"/>
      <c r="BK150" s="1116">
        <f t="shared" si="491"/>
        <v>28233162.039999999</v>
      </c>
      <c r="BL150" s="1117">
        <f t="shared" si="492"/>
        <v>0</v>
      </c>
      <c r="BM150" s="1117">
        <f t="shared" si="493"/>
        <v>0</v>
      </c>
      <c r="BN150" s="1117">
        <f t="shared" si="494"/>
        <v>28233162.039999999</v>
      </c>
      <c r="BO150" s="1118"/>
      <c r="BS150" s="1116">
        <f t="shared" si="495"/>
        <v>28233162.039999999</v>
      </c>
      <c r="BT150" s="1117">
        <f t="shared" si="496"/>
        <v>0</v>
      </c>
      <c r="BU150" s="1117">
        <f t="shared" si="497"/>
        <v>0</v>
      </c>
      <c r="BV150" s="1117">
        <f t="shared" si="498"/>
        <v>28233162.039999999</v>
      </c>
      <c r="BW150" s="1118"/>
      <c r="CA150" s="1116">
        <f t="shared" si="499"/>
        <v>28233162.039999999</v>
      </c>
      <c r="CB150" s="1117">
        <f t="shared" si="500"/>
        <v>0</v>
      </c>
      <c r="CC150" s="1117">
        <f t="shared" si="501"/>
        <v>0</v>
      </c>
      <c r="CD150" s="1117">
        <f t="shared" si="502"/>
        <v>28233162.039999999</v>
      </c>
      <c r="CE150" s="1118"/>
      <c r="CI150" s="1116">
        <f t="shared" si="503"/>
        <v>28233162.039999999</v>
      </c>
      <c r="CJ150" s="1117">
        <f t="shared" si="504"/>
        <v>0</v>
      </c>
      <c r="CK150" s="1117">
        <f t="shared" si="505"/>
        <v>0</v>
      </c>
      <c r="CL150" s="1117">
        <f t="shared" si="506"/>
        <v>28233162.039999999</v>
      </c>
      <c r="CM150" s="1118"/>
      <c r="CQ150" s="1116">
        <f t="shared" si="507"/>
        <v>28233162.039999999</v>
      </c>
      <c r="CR150" s="1117">
        <f t="shared" si="508"/>
        <v>0</v>
      </c>
      <c r="CS150" s="1117">
        <f t="shared" si="509"/>
        <v>0</v>
      </c>
      <c r="CT150" s="1117">
        <f t="shared" si="510"/>
        <v>28233162.039999999</v>
      </c>
      <c r="CU150" s="1118"/>
      <c r="CY150" s="1116">
        <f t="shared" si="511"/>
        <v>28233162.039999999</v>
      </c>
      <c r="CZ150" s="1117">
        <f t="shared" si="512"/>
        <v>0</v>
      </c>
      <c r="DA150" s="1117">
        <f t="shared" si="513"/>
        <v>0</v>
      </c>
      <c r="DB150" s="1117">
        <f t="shared" si="514"/>
        <v>28233162.039999999</v>
      </c>
      <c r="DC150" s="1118"/>
      <c r="DG150" s="1116">
        <f t="shared" si="515"/>
        <v>28233162.039999999</v>
      </c>
      <c r="DH150" s="1117">
        <f t="shared" si="516"/>
        <v>0</v>
      </c>
      <c r="DI150" s="1117">
        <f t="shared" si="517"/>
        <v>0</v>
      </c>
      <c r="DJ150" s="1117">
        <f t="shared" si="518"/>
        <v>28233162.039999999</v>
      </c>
      <c r="DK150" s="1118"/>
      <c r="DO150" s="1116">
        <f t="shared" si="519"/>
        <v>28233162.039999999</v>
      </c>
      <c r="DP150" s="1117">
        <f t="shared" si="520"/>
        <v>0</v>
      </c>
      <c r="DQ150" s="1117">
        <f t="shared" si="521"/>
        <v>0</v>
      </c>
      <c r="DR150" s="1117">
        <f t="shared" si="522"/>
        <v>28233162.039999999</v>
      </c>
      <c r="DS150" s="1118"/>
      <c r="DW150" s="1116">
        <f t="shared" si="523"/>
        <v>28233162.039999999</v>
      </c>
      <c r="DX150" s="1117">
        <f t="shared" si="524"/>
        <v>0</v>
      </c>
      <c r="DY150" s="1117">
        <f t="shared" si="525"/>
        <v>0</v>
      </c>
      <c r="DZ150" s="1117">
        <f t="shared" si="526"/>
        <v>28233162.039999999</v>
      </c>
      <c r="EA150" s="1118"/>
      <c r="EE150" s="1116">
        <f t="shared" si="527"/>
        <v>28233162.039999999</v>
      </c>
      <c r="EF150" s="1117">
        <f t="shared" si="528"/>
        <v>0</v>
      </c>
      <c r="EG150" s="1117">
        <f t="shared" si="529"/>
        <v>0</v>
      </c>
      <c r="EH150" s="1117">
        <f t="shared" si="530"/>
        <v>28233162.039999999</v>
      </c>
      <c r="EI150" s="1118"/>
      <c r="EM150" s="1116">
        <f t="shared" si="531"/>
        <v>28233162.039999999</v>
      </c>
      <c r="EN150" s="1117">
        <f t="shared" si="532"/>
        <v>0</v>
      </c>
      <c r="EO150" s="1117">
        <f t="shared" si="533"/>
        <v>0</v>
      </c>
      <c r="EP150" s="1117">
        <f t="shared" si="534"/>
        <v>28233162.039999999</v>
      </c>
      <c r="EQ150" s="1118"/>
      <c r="EU150" s="1116">
        <f t="shared" si="535"/>
        <v>28233162.039999999</v>
      </c>
      <c r="EV150" s="1117">
        <f t="shared" si="536"/>
        <v>0</v>
      </c>
      <c r="EW150" s="1117">
        <f t="shared" si="537"/>
        <v>0</v>
      </c>
      <c r="EX150" s="1117">
        <f t="shared" si="538"/>
        <v>28233162.039999999</v>
      </c>
      <c r="EY150" s="1118"/>
      <c r="FC150" s="1116">
        <f t="shared" si="539"/>
        <v>28233162.039999999</v>
      </c>
      <c r="FD150" s="1117">
        <f t="shared" si="540"/>
        <v>0</v>
      </c>
      <c r="FE150" s="1117">
        <f t="shared" si="541"/>
        <v>0</v>
      </c>
      <c r="FF150" s="1117">
        <f t="shared" si="542"/>
        <v>28233162.039999999</v>
      </c>
      <c r="FG150" s="1118"/>
      <c r="FK150" s="1116">
        <f t="shared" si="543"/>
        <v>28233162.039999999</v>
      </c>
      <c r="FL150" s="1117">
        <f t="shared" si="544"/>
        <v>0</v>
      </c>
      <c r="FM150" s="1117">
        <f t="shared" si="545"/>
        <v>0</v>
      </c>
      <c r="FN150" s="1117">
        <f t="shared" si="546"/>
        <v>28233162.039999999</v>
      </c>
      <c r="FO150" s="1118"/>
    </row>
    <row r="151" spans="1:171">
      <c r="A151" s="1423"/>
      <c r="B151" s="79" t="s">
        <v>24</v>
      </c>
      <c r="C151" s="888" t="s">
        <v>81</v>
      </c>
      <c r="D151" s="888">
        <v>256</v>
      </c>
      <c r="E151" s="182" t="str">
        <f>'Sch 1- Rate Base '!E151</f>
        <v>DIRECT</v>
      </c>
      <c r="F151" s="889"/>
      <c r="G151" s="182">
        <f>'Sch 1- Rate Base '!G151</f>
        <v>0</v>
      </c>
      <c r="H151" s="182">
        <f>'Sch 1- Rate Base '!H151</f>
        <v>0</v>
      </c>
      <c r="I151" s="182">
        <f>'Sch 1- Rate Base '!I151</f>
        <v>0</v>
      </c>
      <c r="J151" s="1424">
        <f>'Sch 1- Rate Base '!J151</f>
        <v>0</v>
      </c>
      <c r="K151" s="903">
        <f t="shared" si="466"/>
        <v>0</v>
      </c>
      <c r="O151" s="1116">
        <f t="shared" si="467"/>
        <v>0</v>
      </c>
      <c r="P151" s="1117">
        <f t="shared" si="468"/>
        <v>0</v>
      </c>
      <c r="Q151" s="1117">
        <f t="shared" si="469"/>
        <v>0</v>
      </c>
      <c r="R151" s="1117">
        <f t="shared" si="470"/>
        <v>0</v>
      </c>
      <c r="S151" s="1118"/>
      <c r="W151" s="1116">
        <f t="shared" si="471"/>
        <v>0</v>
      </c>
      <c r="X151" s="1117">
        <f t="shared" si="472"/>
        <v>0</v>
      </c>
      <c r="Y151" s="1117">
        <f t="shared" si="473"/>
        <v>0</v>
      </c>
      <c r="Z151" s="1117">
        <f t="shared" si="474"/>
        <v>0</v>
      </c>
      <c r="AA151" s="1118"/>
      <c r="AE151" s="1116">
        <f t="shared" si="475"/>
        <v>0</v>
      </c>
      <c r="AF151" s="1117">
        <f t="shared" si="476"/>
        <v>0</v>
      </c>
      <c r="AG151" s="1117">
        <f t="shared" si="477"/>
        <v>0</v>
      </c>
      <c r="AH151" s="1117">
        <f t="shared" si="478"/>
        <v>0</v>
      </c>
      <c r="AI151" s="1118"/>
      <c r="AM151" s="1116">
        <f t="shared" si="479"/>
        <v>0</v>
      </c>
      <c r="AN151" s="1117">
        <f t="shared" si="480"/>
        <v>0</v>
      </c>
      <c r="AO151" s="1117">
        <f t="shared" si="481"/>
        <v>0</v>
      </c>
      <c r="AP151" s="1117">
        <f t="shared" si="482"/>
        <v>0</v>
      </c>
      <c r="AQ151" s="1118"/>
      <c r="AU151" s="1116">
        <f t="shared" si="483"/>
        <v>0</v>
      </c>
      <c r="AV151" s="1117">
        <f t="shared" si="484"/>
        <v>0</v>
      </c>
      <c r="AW151" s="1117">
        <f t="shared" si="485"/>
        <v>0</v>
      </c>
      <c r="AX151" s="1117">
        <f t="shared" si="486"/>
        <v>0</v>
      </c>
      <c r="AY151" s="1118"/>
      <c r="BC151" s="1116">
        <f t="shared" si="487"/>
        <v>0</v>
      </c>
      <c r="BD151" s="1117">
        <f t="shared" si="488"/>
        <v>0</v>
      </c>
      <c r="BE151" s="1117">
        <f t="shared" si="489"/>
        <v>0</v>
      </c>
      <c r="BF151" s="1117">
        <f t="shared" si="490"/>
        <v>0</v>
      </c>
      <c r="BG151" s="1118"/>
      <c r="BK151" s="1116">
        <f t="shared" si="491"/>
        <v>0</v>
      </c>
      <c r="BL151" s="1117">
        <f t="shared" si="492"/>
        <v>0</v>
      </c>
      <c r="BM151" s="1117">
        <f t="shared" si="493"/>
        <v>0</v>
      </c>
      <c r="BN151" s="1117">
        <f t="shared" si="494"/>
        <v>0</v>
      </c>
      <c r="BO151" s="1118"/>
      <c r="BS151" s="1116">
        <f t="shared" si="495"/>
        <v>0</v>
      </c>
      <c r="BT151" s="1117">
        <f t="shared" si="496"/>
        <v>0</v>
      </c>
      <c r="BU151" s="1117">
        <f t="shared" si="497"/>
        <v>0</v>
      </c>
      <c r="BV151" s="1117">
        <f t="shared" si="498"/>
        <v>0</v>
      </c>
      <c r="BW151" s="1118"/>
      <c r="CA151" s="1116">
        <f t="shared" si="499"/>
        <v>0</v>
      </c>
      <c r="CB151" s="1117">
        <f t="shared" si="500"/>
        <v>0</v>
      </c>
      <c r="CC151" s="1117">
        <f t="shared" si="501"/>
        <v>0</v>
      </c>
      <c r="CD151" s="1117">
        <f t="shared" si="502"/>
        <v>0</v>
      </c>
      <c r="CE151" s="1118"/>
      <c r="CI151" s="1116">
        <f t="shared" si="503"/>
        <v>0</v>
      </c>
      <c r="CJ151" s="1117">
        <f t="shared" si="504"/>
        <v>0</v>
      </c>
      <c r="CK151" s="1117">
        <f t="shared" si="505"/>
        <v>0</v>
      </c>
      <c r="CL151" s="1117">
        <f t="shared" si="506"/>
        <v>0</v>
      </c>
      <c r="CM151" s="1118"/>
      <c r="CQ151" s="1116">
        <f t="shared" si="507"/>
        <v>0</v>
      </c>
      <c r="CR151" s="1117">
        <f t="shared" si="508"/>
        <v>0</v>
      </c>
      <c r="CS151" s="1117">
        <f t="shared" si="509"/>
        <v>0</v>
      </c>
      <c r="CT151" s="1117">
        <f t="shared" si="510"/>
        <v>0</v>
      </c>
      <c r="CU151" s="1118"/>
      <c r="CY151" s="1116">
        <f t="shared" si="511"/>
        <v>0</v>
      </c>
      <c r="CZ151" s="1117">
        <f t="shared" si="512"/>
        <v>0</v>
      </c>
      <c r="DA151" s="1117">
        <f t="shared" si="513"/>
        <v>0</v>
      </c>
      <c r="DB151" s="1117">
        <f t="shared" si="514"/>
        <v>0</v>
      </c>
      <c r="DC151" s="1118"/>
      <c r="DG151" s="1116">
        <f t="shared" si="515"/>
        <v>0</v>
      </c>
      <c r="DH151" s="1117">
        <f t="shared" si="516"/>
        <v>0</v>
      </c>
      <c r="DI151" s="1117">
        <f t="shared" si="517"/>
        <v>0</v>
      </c>
      <c r="DJ151" s="1117">
        <f t="shared" si="518"/>
        <v>0</v>
      </c>
      <c r="DK151" s="1118"/>
      <c r="DO151" s="1116">
        <f t="shared" si="519"/>
        <v>0</v>
      </c>
      <c r="DP151" s="1117">
        <f t="shared" si="520"/>
        <v>0</v>
      </c>
      <c r="DQ151" s="1117">
        <f t="shared" si="521"/>
        <v>0</v>
      </c>
      <c r="DR151" s="1117">
        <f t="shared" si="522"/>
        <v>0</v>
      </c>
      <c r="DS151" s="1118"/>
      <c r="DW151" s="1116">
        <f t="shared" si="523"/>
        <v>0</v>
      </c>
      <c r="DX151" s="1117">
        <f t="shared" si="524"/>
        <v>0</v>
      </c>
      <c r="DY151" s="1117">
        <f t="shared" si="525"/>
        <v>0</v>
      </c>
      <c r="DZ151" s="1117">
        <f t="shared" si="526"/>
        <v>0</v>
      </c>
      <c r="EA151" s="1118"/>
      <c r="EE151" s="1116">
        <f t="shared" si="527"/>
        <v>0</v>
      </c>
      <c r="EF151" s="1117">
        <f t="shared" si="528"/>
        <v>0</v>
      </c>
      <c r="EG151" s="1117">
        <f t="shared" si="529"/>
        <v>0</v>
      </c>
      <c r="EH151" s="1117">
        <f t="shared" si="530"/>
        <v>0</v>
      </c>
      <c r="EI151" s="1118"/>
      <c r="EM151" s="1116">
        <f t="shared" si="531"/>
        <v>0</v>
      </c>
      <c r="EN151" s="1117">
        <f t="shared" si="532"/>
        <v>0</v>
      </c>
      <c r="EO151" s="1117">
        <f t="shared" si="533"/>
        <v>0</v>
      </c>
      <c r="EP151" s="1117">
        <f t="shared" si="534"/>
        <v>0</v>
      </c>
      <c r="EQ151" s="1118"/>
      <c r="EU151" s="1116">
        <f t="shared" si="535"/>
        <v>0</v>
      </c>
      <c r="EV151" s="1117">
        <f t="shared" si="536"/>
        <v>0</v>
      </c>
      <c r="EW151" s="1117">
        <f t="shared" si="537"/>
        <v>0</v>
      </c>
      <c r="EX151" s="1117">
        <f t="shared" si="538"/>
        <v>0</v>
      </c>
      <c r="EY151" s="1118"/>
      <c r="FC151" s="1116">
        <f t="shared" si="539"/>
        <v>0</v>
      </c>
      <c r="FD151" s="1117">
        <f t="shared" si="540"/>
        <v>0</v>
      </c>
      <c r="FE151" s="1117">
        <f t="shared" si="541"/>
        <v>0</v>
      </c>
      <c r="FF151" s="1117">
        <f t="shared" si="542"/>
        <v>0</v>
      </c>
      <c r="FG151" s="1118"/>
      <c r="FK151" s="1116">
        <f t="shared" si="543"/>
        <v>0</v>
      </c>
      <c r="FL151" s="1117">
        <f t="shared" si="544"/>
        <v>0</v>
      </c>
      <c r="FM151" s="1117">
        <f t="shared" si="545"/>
        <v>0</v>
      </c>
      <c r="FN151" s="1117">
        <f t="shared" si="546"/>
        <v>0</v>
      </c>
      <c r="FO151" s="1118"/>
    </row>
    <row r="152" spans="1:171">
      <c r="A152" s="1423"/>
      <c r="B152" s="79" t="s">
        <v>27</v>
      </c>
      <c r="C152" s="888" t="s">
        <v>81</v>
      </c>
      <c r="D152" s="888">
        <v>257</v>
      </c>
      <c r="E152" s="182" t="str">
        <f>'Sch 1- Rate Base '!E152</f>
        <v>PTDG</v>
      </c>
      <c r="F152" s="889"/>
      <c r="G152" s="182">
        <f>'Sch 1- Rate Base '!G152</f>
        <v>942383.92</v>
      </c>
      <c r="H152" s="182">
        <f>'Sch 1- Rate Base '!H152</f>
        <v>299887.95798517752</v>
      </c>
      <c r="I152" s="182">
        <f>'Sch 1- Rate Base '!I152</f>
        <v>0</v>
      </c>
      <c r="J152" s="1424">
        <f>'Sch 1- Rate Base '!J152</f>
        <v>642495.96191799198</v>
      </c>
      <c r="K152" s="903">
        <f t="shared" si="466"/>
        <v>1</v>
      </c>
      <c r="O152" s="1116">
        <f t="shared" si="467"/>
        <v>942383.92</v>
      </c>
      <c r="P152" s="1117">
        <f t="shared" si="468"/>
        <v>299887.95798517752</v>
      </c>
      <c r="Q152" s="1117">
        <f t="shared" si="469"/>
        <v>193828.7653338419</v>
      </c>
      <c r="R152" s="1117">
        <f t="shared" si="470"/>
        <v>448667.19668098073</v>
      </c>
      <c r="S152" s="1118"/>
      <c r="W152" s="1116">
        <f t="shared" si="471"/>
        <v>942383.92</v>
      </c>
      <c r="X152" s="1117">
        <f t="shared" si="472"/>
        <v>299887.95798517752</v>
      </c>
      <c r="Y152" s="1117">
        <f t="shared" si="473"/>
        <v>193828.7653338419</v>
      </c>
      <c r="Z152" s="1117">
        <f t="shared" si="474"/>
        <v>448667.19668098073</v>
      </c>
      <c r="AA152" s="1118"/>
      <c r="AE152" s="1116">
        <f t="shared" si="475"/>
        <v>942383.92</v>
      </c>
      <c r="AF152" s="1117">
        <f t="shared" si="476"/>
        <v>299887.95798517752</v>
      </c>
      <c r="AG152" s="1117">
        <f t="shared" si="477"/>
        <v>193828.7653338419</v>
      </c>
      <c r="AH152" s="1117">
        <f t="shared" si="478"/>
        <v>448667.19668098073</v>
      </c>
      <c r="AI152" s="1118"/>
      <c r="AM152" s="1116">
        <f t="shared" si="479"/>
        <v>942383.92</v>
      </c>
      <c r="AN152" s="1117">
        <f t="shared" si="480"/>
        <v>299887.95798517752</v>
      </c>
      <c r="AO152" s="1117">
        <f t="shared" si="481"/>
        <v>193828.7653338419</v>
      </c>
      <c r="AP152" s="1117">
        <f t="shared" si="482"/>
        <v>448667.19668098073</v>
      </c>
      <c r="AQ152" s="1118"/>
      <c r="AU152" s="1116">
        <f t="shared" si="483"/>
        <v>942383.92</v>
      </c>
      <c r="AV152" s="1117">
        <f t="shared" si="484"/>
        <v>299887.95798517752</v>
      </c>
      <c r="AW152" s="1117">
        <f t="shared" si="485"/>
        <v>193828.7653338419</v>
      </c>
      <c r="AX152" s="1117">
        <f t="shared" si="486"/>
        <v>448667.19668098073</v>
      </c>
      <c r="AY152" s="1118"/>
      <c r="BC152" s="1116">
        <f t="shared" si="487"/>
        <v>942383.92</v>
      </c>
      <c r="BD152" s="1117">
        <f t="shared" si="488"/>
        <v>299887.95798517752</v>
      </c>
      <c r="BE152" s="1117">
        <f t="shared" si="489"/>
        <v>193828.7653338419</v>
      </c>
      <c r="BF152" s="1117">
        <f t="shared" si="490"/>
        <v>448667.19668098073</v>
      </c>
      <c r="BG152" s="1118"/>
      <c r="BK152" s="1116">
        <f t="shared" si="491"/>
        <v>942383.92</v>
      </c>
      <c r="BL152" s="1117">
        <f t="shared" si="492"/>
        <v>299887.95798517752</v>
      </c>
      <c r="BM152" s="1117">
        <f t="shared" si="493"/>
        <v>193828.7653338419</v>
      </c>
      <c r="BN152" s="1117">
        <f t="shared" si="494"/>
        <v>448667.19668098073</v>
      </c>
      <c r="BO152" s="1118"/>
      <c r="BS152" s="1116">
        <f t="shared" si="495"/>
        <v>942383.92</v>
      </c>
      <c r="BT152" s="1117">
        <f t="shared" si="496"/>
        <v>299887.95798517752</v>
      </c>
      <c r="BU152" s="1117">
        <f t="shared" si="497"/>
        <v>193828.7653338419</v>
      </c>
      <c r="BV152" s="1117">
        <f t="shared" si="498"/>
        <v>448667.19668098073</v>
      </c>
      <c r="BW152" s="1118"/>
      <c r="CA152" s="1116">
        <f t="shared" si="499"/>
        <v>942383.92</v>
      </c>
      <c r="CB152" s="1117">
        <f t="shared" si="500"/>
        <v>299887.95798517752</v>
      </c>
      <c r="CC152" s="1117">
        <f t="shared" si="501"/>
        <v>193828.7653338419</v>
      </c>
      <c r="CD152" s="1117">
        <f t="shared" si="502"/>
        <v>448667.19668098073</v>
      </c>
      <c r="CE152" s="1118"/>
      <c r="CI152" s="1116">
        <f t="shared" si="503"/>
        <v>942383.92</v>
      </c>
      <c r="CJ152" s="1117">
        <f t="shared" si="504"/>
        <v>299887.95798517752</v>
      </c>
      <c r="CK152" s="1117">
        <f t="shared" si="505"/>
        <v>193828.7653338419</v>
      </c>
      <c r="CL152" s="1117">
        <f t="shared" si="506"/>
        <v>448667.19668098073</v>
      </c>
      <c r="CM152" s="1118"/>
      <c r="CQ152" s="1116">
        <f t="shared" si="507"/>
        <v>942383.92</v>
      </c>
      <c r="CR152" s="1117">
        <f t="shared" si="508"/>
        <v>299887.95798517752</v>
      </c>
      <c r="CS152" s="1117">
        <f t="shared" si="509"/>
        <v>193828.7653338419</v>
      </c>
      <c r="CT152" s="1117">
        <f t="shared" si="510"/>
        <v>448667.19668098073</v>
      </c>
      <c r="CU152" s="1118"/>
      <c r="CY152" s="1116">
        <f t="shared" si="511"/>
        <v>942383.92</v>
      </c>
      <c r="CZ152" s="1117">
        <f t="shared" si="512"/>
        <v>299887.95798517752</v>
      </c>
      <c r="DA152" s="1117">
        <f t="shared" si="513"/>
        <v>193828.7653338419</v>
      </c>
      <c r="DB152" s="1117">
        <f t="shared" si="514"/>
        <v>448667.19668098073</v>
      </c>
      <c r="DC152" s="1118"/>
      <c r="DG152" s="1116">
        <f t="shared" si="515"/>
        <v>942383.92</v>
      </c>
      <c r="DH152" s="1117">
        <f t="shared" si="516"/>
        <v>299887.95798517752</v>
      </c>
      <c r="DI152" s="1117">
        <f t="shared" si="517"/>
        <v>193828.7653338419</v>
      </c>
      <c r="DJ152" s="1117">
        <f t="shared" si="518"/>
        <v>448667.19668098073</v>
      </c>
      <c r="DK152" s="1118"/>
      <c r="DO152" s="1116">
        <f t="shared" si="519"/>
        <v>942383.92</v>
      </c>
      <c r="DP152" s="1117">
        <f t="shared" si="520"/>
        <v>299887.95798517752</v>
      </c>
      <c r="DQ152" s="1117">
        <f t="shared" si="521"/>
        <v>193828.7653338419</v>
      </c>
      <c r="DR152" s="1117">
        <f t="shared" si="522"/>
        <v>448667.19668098073</v>
      </c>
      <c r="DS152" s="1118"/>
      <c r="DW152" s="1116">
        <f t="shared" si="523"/>
        <v>942383.92</v>
      </c>
      <c r="DX152" s="1117">
        <f t="shared" si="524"/>
        <v>299887.95798517752</v>
      </c>
      <c r="DY152" s="1117">
        <f t="shared" si="525"/>
        <v>193828.7653338419</v>
      </c>
      <c r="DZ152" s="1117">
        <f t="shared" si="526"/>
        <v>448667.19668098073</v>
      </c>
      <c r="EA152" s="1118"/>
      <c r="EE152" s="1116">
        <f t="shared" si="527"/>
        <v>942383.92</v>
      </c>
      <c r="EF152" s="1117">
        <f t="shared" si="528"/>
        <v>299887.95798517752</v>
      </c>
      <c r="EG152" s="1117">
        <f t="shared" si="529"/>
        <v>193828.7653338419</v>
      </c>
      <c r="EH152" s="1117">
        <f t="shared" si="530"/>
        <v>448667.19668098073</v>
      </c>
      <c r="EI152" s="1118"/>
      <c r="EM152" s="1116">
        <f t="shared" si="531"/>
        <v>942383.92</v>
      </c>
      <c r="EN152" s="1117">
        <f t="shared" si="532"/>
        <v>299887.95798517752</v>
      </c>
      <c r="EO152" s="1117">
        <f t="shared" si="533"/>
        <v>193828.7653338419</v>
      </c>
      <c r="EP152" s="1117">
        <f t="shared" si="534"/>
        <v>448667.19668098073</v>
      </c>
      <c r="EQ152" s="1118"/>
      <c r="EU152" s="1116">
        <f t="shared" si="535"/>
        <v>942383.92</v>
      </c>
      <c r="EV152" s="1117">
        <f t="shared" si="536"/>
        <v>299887.95798517752</v>
      </c>
      <c r="EW152" s="1117">
        <f t="shared" si="537"/>
        <v>193828.7653338419</v>
      </c>
      <c r="EX152" s="1117">
        <f t="shared" si="538"/>
        <v>448667.19668098073</v>
      </c>
      <c r="EY152" s="1118"/>
      <c r="FC152" s="1116">
        <f t="shared" si="539"/>
        <v>942383.92</v>
      </c>
      <c r="FD152" s="1117">
        <f t="shared" si="540"/>
        <v>299887.95798517752</v>
      </c>
      <c r="FE152" s="1117">
        <f t="shared" si="541"/>
        <v>193828.7653338419</v>
      </c>
      <c r="FF152" s="1117">
        <f t="shared" si="542"/>
        <v>448667.19668098073</v>
      </c>
      <c r="FG152" s="1118"/>
      <c r="FK152" s="1116">
        <f t="shared" si="543"/>
        <v>942383.92</v>
      </c>
      <c r="FL152" s="1117">
        <f t="shared" si="544"/>
        <v>299887.95798517752</v>
      </c>
      <c r="FM152" s="1117">
        <f t="shared" si="545"/>
        <v>193828.7653338419</v>
      </c>
      <c r="FN152" s="1117">
        <f t="shared" si="546"/>
        <v>448667.19668098073</v>
      </c>
      <c r="FO152" s="1118"/>
    </row>
    <row r="153" spans="1:171">
      <c r="A153" s="1423"/>
      <c r="B153" s="79" t="s">
        <v>31</v>
      </c>
      <c r="C153" s="888" t="s">
        <v>81</v>
      </c>
      <c r="D153" s="888">
        <v>281</v>
      </c>
      <c r="E153" s="182" t="str">
        <f>'Sch 1- Rate Base '!E153</f>
        <v>DIST</v>
      </c>
      <c r="F153" s="889"/>
      <c r="G153" s="182">
        <f>'Sch 1- Rate Base '!G153</f>
        <v>0</v>
      </c>
      <c r="H153" s="182">
        <f>'Sch 1- Rate Base '!H153</f>
        <v>0</v>
      </c>
      <c r="I153" s="182">
        <f>'Sch 1- Rate Base '!I153</f>
        <v>0</v>
      </c>
      <c r="J153" s="1424">
        <f>'Sch 1- Rate Base '!J153</f>
        <v>0</v>
      </c>
      <c r="K153" s="903">
        <f t="shared" si="466"/>
        <v>1</v>
      </c>
      <c r="O153" s="1116">
        <f t="shared" si="467"/>
        <v>0</v>
      </c>
      <c r="P153" s="1117">
        <f t="shared" si="468"/>
        <v>0</v>
      </c>
      <c r="Q153" s="1117">
        <f t="shared" si="469"/>
        <v>0</v>
      </c>
      <c r="R153" s="1117">
        <f t="shared" si="470"/>
        <v>0</v>
      </c>
      <c r="S153" s="1118"/>
      <c r="W153" s="1116">
        <f t="shared" si="471"/>
        <v>0</v>
      </c>
      <c r="X153" s="1117">
        <f t="shared" si="472"/>
        <v>0</v>
      </c>
      <c r="Y153" s="1117">
        <f t="shared" si="473"/>
        <v>0</v>
      </c>
      <c r="Z153" s="1117">
        <f t="shared" si="474"/>
        <v>0</v>
      </c>
      <c r="AA153" s="1118"/>
      <c r="AE153" s="1116">
        <f t="shared" si="475"/>
        <v>0</v>
      </c>
      <c r="AF153" s="1117">
        <f t="shared" si="476"/>
        <v>0</v>
      </c>
      <c r="AG153" s="1117">
        <f t="shared" si="477"/>
        <v>0</v>
      </c>
      <c r="AH153" s="1117">
        <f t="shared" si="478"/>
        <v>0</v>
      </c>
      <c r="AI153" s="1118"/>
      <c r="AM153" s="1116">
        <f t="shared" si="479"/>
        <v>0</v>
      </c>
      <c r="AN153" s="1117">
        <f t="shared" si="480"/>
        <v>0</v>
      </c>
      <c r="AO153" s="1117">
        <f t="shared" si="481"/>
        <v>0</v>
      </c>
      <c r="AP153" s="1117">
        <f t="shared" si="482"/>
        <v>0</v>
      </c>
      <c r="AQ153" s="1118"/>
      <c r="AU153" s="1116">
        <f t="shared" si="483"/>
        <v>0</v>
      </c>
      <c r="AV153" s="1117">
        <f t="shared" si="484"/>
        <v>0</v>
      </c>
      <c r="AW153" s="1117">
        <f t="shared" si="485"/>
        <v>0</v>
      </c>
      <c r="AX153" s="1117">
        <f t="shared" si="486"/>
        <v>0</v>
      </c>
      <c r="AY153" s="1118"/>
      <c r="BC153" s="1116">
        <f t="shared" si="487"/>
        <v>0</v>
      </c>
      <c r="BD153" s="1117">
        <f t="shared" si="488"/>
        <v>0</v>
      </c>
      <c r="BE153" s="1117">
        <f t="shared" si="489"/>
        <v>0</v>
      </c>
      <c r="BF153" s="1117">
        <f t="shared" si="490"/>
        <v>0</v>
      </c>
      <c r="BG153" s="1118"/>
      <c r="BK153" s="1116">
        <f t="shared" si="491"/>
        <v>0</v>
      </c>
      <c r="BL153" s="1117">
        <f t="shared" si="492"/>
        <v>0</v>
      </c>
      <c r="BM153" s="1117">
        <f t="shared" si="493"/>
        <v>0</v>
      </c>
      <c r="BN153" s="1117">
        <f t="shared" si="494"/>
        <v>0</v>
      </c>
      <c r="BO153" s="1118"/>
      <c r="BS153" s="1116">
        <f t="shared" si="495"/>
        <v>0</v>
      </c>
      <c r="BT153" s="1117">
        <f t="shared" si="496"/>
        <v>0</v>
      </c>
      <c r="BU153" s="1117">
        <f t="shared" si="497"/>
        <v>0</v>
      </c>
      <c r="BV153" s="1117">
        <f t="shared" si="498"/>
        <v>0</v>
      </c>
      <c r="BW153" s="1118"/>
      <c r="CA153" s="1116">
        <f t="shared" si="499"/>
        <v>0</v>
      </c>
      <c r="CB153" s="1117">
        <f t="shared" si="500"/>
        <v>0</v>
      </c>
      <c r="CC153" s="1117">
        <f t="shared" si="501"/>
        <v>0</v>
      </c>
      <c r="CD153" s="1117">
        <f t="shared" si="502"/>
        <v>0</v>
      </c>
      <c r="CE153" s="1118"/>
      <c r="CI153" s="1116">
        <f t="shared" si="503"/>
        <v>0</v>
      </c>
      <c r="CJ153" s="1117">
        <f t="shared" si="504"/>
        <v>0</v>
      </c>
      <c r="CK153" s="1117">
        <f t="shared" si="505"/>
        <v>0</v>
      </c>
      <c r="CL153" s="1117">
        <f t="shared" si="506"/>
        <v>0</v>
      </c>
      <c r="CM153" s="1118"/>
      <c r="CQ153" s="1116">
        <f t="shared" si="507"/>
        <v>0</v>
      </c>
      <c r="CR153" s="1117">
        <f t="shared" si="508"/>
        <v>0</v>
      </c>
      <c r="CS153" s="1117">
        <f t="shared" si="509"/>
        <v>0</v>
      </c>
      <c r="CT153" s="1117">
        <f t="shared" si="510"/>
        <v>0</v>
      </c>
      <c r="CU153" s="1118"/>
      <c r="CY153" s="1116">
        <f t="shared" si="511"/>
        <v>0</v>
      </c>
      <c r="CZ153" s="1117">
        <f t="shared" si="512"/>
        <v>0</v>
      </c>
      <c r="DA153" s="1117">
        <f t="shared" si="513"/>
        <v>0</v>
      </c>
      <c r="DB153" s="1117">
        <f t="shared" si="514"/>
        <v>0</v>
      </c>
      <c r="DC153" s="1118"/>
      <c r="DG153" s="1116">
        <f t="shared" si="515"/>
        <v>0</v>
      </c>
      <c r="DH153" s="1117">
        <f t="shared" si="516"/>
        <v>0</v>
      </c>
      <c r="DI153" s="1117">
        <f t="shared" si="517"/>
        <v>0</v>
      </c>
      <c r="DJ153" s="1117">
        <f t="shared" si="518"/>
        <v>0</v>
      </c>
      <c r="DK153" s="1118"/>
      <c r="DO153" s="1116">
        <f t="shared" si="519"/>
        <v>0</v>
      </c>
      <c r="DP153" s="1117">
        <f t="shared" si="520"/>
        <v>0</v>
      </c>
      <c r="DQ153" s="1117">
        <f t="shared" si="521"/>
        <v>0</v>
      </c>
      <c r="DR153" s="1117">
        <f t="shared" si="522"/>
        <v>0</v>
      </c>
      <c r="DS153" s="1118"/>
      <c r="DW153" s="1116">
        <f t="shared" si="523"/>
        <v>0</v>
      </c>
      <c r="DX153" s="1117">
        <f t="shared" si="524"/>
        <v>0</v>
      </c>
      <c r="DY153" s="1117">
        <f t="shared" si="525"/>
        <v>0</v>
      </c>
      <c r="DZ153" s="1117">
        <f t="shared" si="526"/>
        <v>0</v>
      </c>
      <c r="EA153" s="1118"/>
      <c r="EE153" s="1116">
        <f t="shared" si="527"/>
        <v>0</v>
      </c>
      <c r="EF153" s="1117">
        <f t="shared" si="528"/>
        <v>0</v>
      </c>
      <c r="EG153" s="1117">
        <f t="shared" si="529"/>
        <v>0</v>
      </c>
      <c r="EH153" s="1117">
        <f t="shared" si="530"/>
        <v>0</v>
      </c>
      <c r="EI153" s="1118"/>
      <c r="EM153" s="1116">
        <f t="shared" si="531"/>
        <v>0</v>
      </c>
      <c r="EN153" s="1117">
        <f t="shared" si="532"/>
        <v>0</v>
      </c>
      <c r="EO153" s="1117">
        <f t="shared" si="533"/>
        <v>0</v>
      </c>
      <c r="EP153" s="1117">
        <f t="shared" si="534"/>
        <v>0</v>
      </c>
      <c r="EQ153" s="1118"/>
      <c r="EU153" s="1116">
        <f t="shared" si="535"/>
        <v>0</v>
      </c>
      <c r="EV153" s="1117">
        <f t="shared" si="536"/>
        <v>0</v>
      </c>
      <c r="EW153" s="1117">
        <f t="shared" si="537"/>
        <v>0</v>
      </c>
      <c r="EX153" s="1117">
        <f t="shared" si="538"/>
        <v>0</v>
      </c>
      <c r="EY153" s="1118"/>
      <c r="FC153" s="1116">
        <f t="shared" si="539"/>
        <v>0</v>
      </c>
      <c r="FD153" s="1117">
        <f t="shared" si="540"/>
        <v>0</v>
      </c>
      <c r="FE153" s="1117">
        <f t="shared" si="541"/>
        <v>0</v>
      </c>
      <c r="FF153" s="1117">
        <f t="shared" si="542"/>
        <v>0</v>
      </c>
      <c r="FG153" s="1118"/>
      <c r="FK153" s="1116">
        <f t="shared" si="543"/>
        <v>0</v>
      </c>
      <c r="FL153" s="1117">
        <f t="shared" si="544"/>
        <v>0</v>
      </c>
      <c r="FM153" s="1117">
        <f t="shared" si="545"/>
        <v>0</v>
      </c>
      <c r="FN153" s="1117">
        <f t="shared" si="546"/>
        <v>0</v>
      </c>
      <c r="FO153" s="1118"/>
    </row>
    <row r="154" spans="1:171">
      <c r="A154" s="1423"/>
      <c r="B154" s="79" t="s">
        <v>32</v>
      </c>
      <c r="C154" s="888" t="s">
        <v>81</v>
      </c>
      <c r="D154" s="888">
        <v>282</v>
      </c>
      <c r="E154" s="182" t="str">
        <f>'Sch 1- Rate Base '!E154</f>
        <v>DIST</v>
      </c>
      <c r="F154" s="889"/>
      <c r="G154" s="182">
        <f>'Sch 1- Rate Base '!G154</f>
        <v>653219869.71000004</v>
      </c>
      <c r="H154" s="182">
        <f>'Sch 1- Rate Base '!H154</f>
        <v>0</v>
      </c>
      <c r="I154" s="182">
        <f>'Sch 1- Rate Base '!I154</f>
        <v>0</v>
      </c>
      <c r="J154" s="1424">
        <f>'Sch 1- Rate Base '!J154</f>
        <v>653219869.71000004</v>
      </c>
      <c r="K154" s="903">
        <f t="shared" si="466"/>
        <v>1</v>
      </c>
      <c r="O154" s="1116">
        <f t="shared" si="467"/>
        <v>653219869.71000004</v>
      </c>
      <c r="P154" s="1117">
        <f t="shared" si="468"/>
        <v>0</v>
      </c>
      <c r="Q154" s="1117">
        <f t="shared" si="469"/>
        <v>0</v>
      </c>
      <c r="R154" s="1117">
        <f t="shared" si="470"/>
        <v>653219869.71000004</v>
      </c>
      <c r="S154" s="1118"/>
      <c r="W154" s="1116">
        <f t="shared" si="471"/>
        <v>653219869.71000004</v>
      </c>
      <c r="X154" s="1117">
        <f t="shared" si="472"/>
        <v>0</v>
      </c>
      <c r="Y154" s="1117">
        <f t="shared" si="473"/>
        <v>0</v>
      </c>
      <c r="Z154" s="1117">
        <f t="shared" si="474"/>
        <v>653219869.71000004</v>
      </c>
      <c r="AA154" s="1118"/>
      <c r="AE154" s="1116">
        <f t="shared" si="475"/>
        <v>653219869.71000004</v>
      </c>
      <c r="AF154" s="1117">
        <f t="shared" si="476"/>
        <v>0</v>
      </c>
      <c r="AG154" s="1117">
        <f t="shared" si="477"/>
        <v>0</v>
      </c>
      <c r="AH154" s="1117">
        <f t="shared" si="478"/>
        <v>653219869.71000004</v>
      </c>
      <c r="AI154" s="1118"/>
      <c r="AM154" s="1116">
        <f t="shared" si="479"/>
        <v>653219869.71000004</v>
      </c>
      <c r="AN154" s="1117">
        <f t="shared" si="480"/>
        <v>0</v>
      </c>
      <c r="AO154" s="1117">
        <f t="shared" si="481"/>
        <v>0</v>
      </c>
      <c r="AP154" s="1117">
        <f t="shared" si="482"/>
        <v>653219869.71000004</v>
      </c>
      <c r="AQ154" s="1118"/>
      <c r="AU154" s="1116">
        <f t="shared" si="483"/>
        <v>653219869.71000004</v>
      </c>
      <c r="AV154" s="1117">
        <f t="shared" si="484"/>
        <v>0</v>
      </c>
      <c r="AW154" s="1117">
        <f t="shared" si="485"/>
        <v>0</v>
      </c>
      <c r="AX154" s="1117">
        <f t="shared" si="486"/>
        <v>653219869.71000004</v>
      </c>
      <c r="AY154" s="1118"/>
      <c r="BC154" s="1116">
        <f t="shared" si="487"/>
        <v>653219869.71000004</v>
      </c>
      <c r="BD154" s="1117">
        <f t="shared" si="488"/>
        <v>0</v>
      </c>
      <c r="BE154" s="1117">
        <f t="shared" si="489"/>
        <v>0</v>
      </c>
      <c r="BF154" s="1117">
        <f t="shared" si="490"/>
        <v>653219869.71000004</v>
      </c>
      <c r="BG154" s="1118"/>
      <c r="BK154" s="1116">
        <f t="shared" si="491"/>
        <v>653219869.71000004</v>
      </c>
      <c r="BL154" s="1117">
        <f t="shared" si="492"/>
        <v>0</v>
      </c>
      <c r="BM154" s="1117">
        <f t="shared" si="493"/>
        <v>0</v>
      </c>
      <c r="BN154" s="1117">
        <f t="shared" si="494"/>
        <v>653219869.71000004</v>
      </c>
      <c r="BO154" s="1118"/>
      <c r="BS154" s="1116">
        <f t="shared" si="495"/>
        <v>653219869.71000004</v>
      </c>
      <c r="BT154" s="1117">
        <f t="shared" si="496"/>
        <v>0</v>
      </c>
      <c r="BU154" s="1117">
        <f t="shared" si="497"/>
        <v>0</v>
      </c>
      <c r="BV154" s="1117">
        <f t="shared" si="498"/>
        <v>653219869.71000004</v>
      </c>
      <c r="BW154" s="1118"/>
      <c r="CA154" s="1116">
        <f t="shared" si="499"/>
        <v>653219869.71000004</v>
      </c>
      <c r="CB154" s="1117">
        <f t="shared" si="500"/>
        <v>0</v>
      </c>
      <c r="CC154" s="1117">
        <f t="shared" si="501"/>
        <v>0</v>
      </c>
      <c r="CD154" s="1117">
        <f t="shared" si="502"/>
        <v>653219869.71000004</v>
      </c>
      <c r="CE154" s="1118"/>
      <c r="CI154" s="1116">
        <f t="shared" si="503"/>
        <v>653219869.71000004</v>
      </c>
      <c r="CJ154" s="1117">
        <f t="shared" si="504"/>
        <v>0</v>
      </c>
      <c r="CK154" s="1117">
        <f t="shared" si="505"/>
        <v>0</v>
      </c>
      <c r="CL154" s="1117">
        <f t="shared" si="506"/>
        <v>653219869.71000004</v>
      </c>
      <c r="CM154" s="1118"/>
      <c r="CQ154" s="1116">
        <f t="shared" si="507"/>
        <v>653219869.71000004</v>
      </c>
      <c r="CR154" s="1117">
        <f t="shared" si="508"/>
        <v>0</v>
      </c>
      <c r="CS154" s="1117">
        <f t="shared" si="509"/>
        <v>0</v>
      </c>
      <c r="CT154" s="1117">
        <f t="shared" si="510"/>
        <v>653219869.71000004</v>
      </c>
      <c r="CU154" s="1118"/>
      <c r="CY154" s="1116">
        <f t="shared" si="511"/>
        <v>653219869.71000004</v>
      </c>
      <c r="CZ154" s="1117">
        <f t="shared" si="512"/>
        <v>0</v>
      </c>
      <c r="DA154" s="1117">
        <f t="shared" si="513"/>
        <v>0</v>
      </c>
      <c r="DB154" s="1117">
        <f t="shared" si="514"/>
        <v>653219869.71000004</v>
      </c>
      <c r="DC154" s="1118"/>
      <c r="DG154" s="1116">
        <f t="shared" si="515"/>
        <v>653219869.71000004</v>
      </c>
      <c r="DH154" s="1117">
        <f t="shared" si="516"/>
        <v>0</v>
      </c>
      <c r="DI154" s="1117">
        <f t="shared" si="517"/>
        <v>0</v>
      </c>
      <c r="DJ154" s="1117">
        <f t="shared" si="518"/>
        <v>653219869.71000004</v>
      </c>
      <c r="DK154" s="1118"/>
      <c r="DO154" s="1116">
        <f t="shared" si="519"/>
        <v>653219869.71000004</v>
      </c>
      <c r="DP154" s="1117">
        <f t="shared" si="520"/>
        <v>0</v>
      </c>
      <c r="DQ154" s="1117">
        <f t="shared" si="521"/>
        <v>0</v>
      </c>
      <c r="DR154" s="1117">
        <f t="shared" si="522"/>
        <v>653219869.71000004</v>
      </c>
      <c r="DS154" s="1118"/>
      <c r="DW154" s="1116">
        <f t="shared" si="523"/>
        <v>653219869.71000004</v>
      </c>
      <c r="DX154" s="1117">
        <f t="shared" si="524"/>
        <v>0</v>
      </c>
      <c r="DY154" s="1117">
        <f t="shared" si="525"/>
        <v>0</v>
      </c>
      <c r="DZ154" s="1117">
        <f t="shared" si="526"/>
        <v>653219869.71000004</v>
      </c>
      <c r="EA154" s="1118"/>
      <c r="EE154" s="1116">
        <f t="shared" si="527"/>
        <v>653219869.71000004</v>
      </c>
      <c r="EF154" s="1117">
        <f t="shared" si="528"/>
        <v>0</v>
      </c>
      <c r="EG154" s="1117">
        <f t="shared" si="529"/>
        <v>0</v>
      </c>
      <c r="EH154" s="1117">
        <f t="shared" si="530"/>
        <v>653219869.71000004</v>
      </c>
      <c r="EI154" s="1118"/>
      <c r="EM154" s="1116">
        <f t="shared" si="531"/>
        <v>653219869.71000004</v>
      </c>
      <c r="EN154" s="1117">
        <f t="shared" si="532"/>
        <v>0</v>
      </c>
      <c r="EO154" s="1117">
        <f t="shared" si="533"/>
        <v>0</v>
      </c>
      <c r="EP154" s="1117">
        <f t="shared" si="534"/>
        <v>653219869.71000004</v>
      </c>
      <c r="EQ154" s="1118"/>
      <c r="EU154" s="1116">
        <f t="shared" si="535"/>
        <v>653219869.71000004</v>
      </c>
      <c r="EV154" s="1117">
        <f t="shared" si="536"/>
        <v>0</v>
      </c>
      <c r="EW154" s="1117">
        <f t="shared" si="537"/>
        <v>0</v>
      </c>
      <c r="EX154" s="1117">
        <f t="shared" si="538"/>
        <v>653219869.71000004</v>
      </c>
      <c r="EY154" s="1118"/>
      <c r="FC154" s="1116">
        <f t="shared" si="539"/>
        <v>653219869.71000004</v>
      </c>
      <c r="FD154" s="1117">
        <f t="shared" si="540"/>
        <v>0</v>
      </c>
      <c r="FE154" s="1117">
        <f t="shared" si="541"/>
        <v>0</v>
      </c>
      <c r="FF154" s="1117">
        <f t="shared" si="542"/>
        <v>653219869.71000004</v>
      </c>
      <c r="FG154" s="1118"/>
      <c r="FK154" s="1116">
        <f t="shared" si="543"/>
        <v>653219869.71000004</v>
      </c>
      <c r="FL154" s="1117">
        <f t="shared" si="544"/>
        <v>0</v>
      </c>
      <c r="FM154" s="1117">
        <f t="shared" si="545"/>
        <v>0</v>
      </c>
      <c r="FN154" s="1117">
        <f t="shared" si="546"/>
        <v>653219869.71000004</v>
      </c>
      <c r="FO154" s="1118"/>
    </row>
    <row r="155" spans="1:171">
      <c r="A155" s="1423"/>
      <c r="B155" s="79" t="s">
        <v>33</v>
      </c>
      <c r="C155" s="888" t="s">
        <v>81</v>
      </c>
      <c r="D155" s="888">
        <v>283</v>
      </c>
      <c r="E155" s="182" t="str">
        <f>'Sch 1- Rate Base '!E155</f>
        <v>DIST</v>
      </c>
      <c r="F155" s="889"/>
      <c r="G155" s="182">
        <f>'Sch 1- Rate Base '!G155</f>
        <v>256710715.16</v>
      </c>
      <c r="H155" s="182">
        <f>'Sch 1- Rate Base '!H155</f>
        <v>0</v>
      </c>
      <c r="I155" s="182">
        <f>'Sch 1- Rate Base '!I155</f>
        <v>0</v>
      </c>
      <c r="J155" s="1424">
        <f>'Sch 1- Rate Base '!J155</f>
        <v>256710715.16</v>
      </c>
      <c r="K155" s="903">
        <f t="shared" si="466"/>
        <v>1</v>
      </c>
      <c r="O155" s="1116">
        <f t="shared" si="467"/>
        <v>256710715.16</v>
      </c>
      <c r="P155" s="1117">
        <f t="shared" si="468"/>
        <v>0</v>
      </c>
      <c r="Q155" s="1117">
        <f t="shared" si="469"/>
        <v>0</v>
      </c>
      <c r="R155" s="1117">
        <f t="shared" si="470"/>
        <v>256710715.16</v>
      </c>
      <c r="S155" s="1118"/>
      <c r="W155" s="1116">
        <f t="shared" si="471"/>
        <v>256710715.16</v>
      </c>
      <c r="X155" s="1117">
        <f t="shared" si="472"/>
        <v>0</v>
      </c>
      <c r="Y155" s="1117">
        <f t="shared" si="473"/>
        <v>0</v>
      </c>
      <c r="Z155" s="1117">
        <f t="shared" si="474"/>
        <v>256710715.16</v>
      </c>
      <c r="AA155" s="1118"/>
      <c r="AE155" s="1116">
        <f t="shared" si="475"/>
        <v>256710715.16</v>
      </c>
      <c r="AF155" s="1117">
        <f t="shared" si="476"/>
        <v>0</v>
      </c>
      <c r="AG155" s="1117">
        <f t="shared" si="477"/>
        <v>0</v>
      </c>
      <c r="AH155" s="1117">
        <f t="shared" si="478"/>
        <v>256710715.16</v>
      </c>
      <c r="AI155" s="1118"/>
      <c r="AM155" s="1116">
        <f t="shared" si="479"/>
        <v>256710715.16</v>
      </c>
      <c r="AN155" s="1117">
        <f t="shared" si="480"/>
        <v>0</v>
      </c>
      <c r="AO155" s="1117">
        <f t="shared" si="481"/>
        <v>0</v>
      </c>
      <c r="AP155" s="1117">
        <f t="shared" si="482"/>
        <v>256710715.16</v>
      </c>
      <c r="AQ155" s="1118"/>
      <c r="AU155" s="1116">
        <f t="shared" si="483"/>
        <v>256710715.16</v>
      </c>
      <c r="AV155" s="1117">
        <f t="shared" si="484"/>
        <v>0</v>
      </c>
      <c r="AW155" s="1117">
        <f t="shared" si="485"/>
        <v>0</v>
      </c>
      <c r="AX155" s="1117">
        <f t="shared" si="486"/>
        <v>256710715.16</v>
      </c>
      <c r="AY155" s="1118"/>
      <c r="BC155" s="1116">
        <f t="shared" si="487"/>
        <v>256710715.16</v>
      </c>
      <c r="BD155" s="1117">
        <f t="shared" si="488"/>
        <v>0</v>
      </c>
      <c r="BE155" s="1117">
        <f t="shared" si="489"/>
        <v>0</v>
      </c>
      <c r="BF155" s="1117">
        <f t="shared" si="490"/>
        <v>256710715.16</v>
      </c>
      <c r="BG155" s="1118"/>
      <c r="BK155" s="1116">
        <f t="shared" si="491"/>
        <v>256710715.16</v>
      </c>
      <c r="BL155" s="1117">
        <f t="shared" si="492"/>
        <v>0</v>
      </c>
      <c r="BM155" s="1117">
        <f t="shared" si="493"/>
        <v>0</v>
      </c>
      <c r="BN155" s="1117">
        <f t="shared" si="494"/>
        <v>256710715.16</v>
      </c>
      <c r="BO155" s="1118"/>
      <c r="BS155" s="1116">
        <f t="shared" si="495"/>
        <v>256710715.16</v>
      </c>
      <c r="BT155" s="1117">
        <f t="shared" si="496"/>
        <v>0</v>
      </c>
      <c r="BU155" s="1117">
        <f t="shared" si="497"/>
        <v>0</v>
      </c>
      <c r="BV155" s="1117">
        <f t="shared" si="498"/>
        <v>256710715.16</v>
      </c>
      <c r="BW155" s="1118"/>
      <c r="CA155" s="1116">
        <f t="shared" si="499"/>
        <v>256710715.16</v>
      </c>
      <c r="CB155" s="1117">
        <f t="shared" si="500"/>
        <v>0</v>
      </c>
      <c r="CC155" s="1117">
        <f t="shared" si="501"/>
        <v>0</v>
      </c>
      <c r="CD155" s="1117">
        <f t="shared" si="502"/>
        <v>256710715.16</v>
      </c>
      <c r="CE155" s="1118"/>
      <c r="CI155" s="1116">
        <f t="shared" si="503"/>
        <v>256710715.16</v>
      </c>
      <c r="CJ155" s="1117">
        <f t="shared" si="504"/>
        <v>0</v>
      </c>
      <c r="CK155" s="1117">
        <f t="shared" si="505"/>
        <v>0</v>
      </c>
      <c r="CL155" s="1117">
        <f t="shared" si="506"/>
        <v>256710715.16</v>
      </c>
      <c r="CM155" s="1118"/>
      <c r="CQ155" s="1116">
        <f t="shared" si="507"/>
        <v>256710715.16</v>
      </c>
      <c r="CR155" s="1117">
        <f t="shared" si="508"/>
        <v>0</v>
      </c>
      <c r="CS155" s="1117">
        <f t="shared" si="509"/>
        <v>0</v>
      </c>
      <c r="CT155" s="1117">
        <f t="shared" si="510"/>
        <v>256710715.16</v>
      </c>
      <c r="CU155" s="1118"/>
      <c r="CY155" s="1116">
        <f t="shared" si="511"/>
        <v>256710715.16</v>
      </c>
      <c r="CZ155" s="1117">
        <f t="shared" si="512"/>
        <v>0</v>
      </c>
      <c r="DA155" s="1117">
        <f t="shared" si="513"/>
        <v>0</v>
      </c>
      <c r="DB155" s="1117">
        <f t="shared" si="514"/>
        <v>256710715.16</v>
      </c>
      <c r="DC155" s="1118"/>
      <c r="DG155" s="1116">
        <f t="shared" si="515"/>
        <v>256710715.16</v>
      </c>
      <c r="DH155" s="1117">
        <f t="shared" si="516"/>
        <v>0</v>
      </c>
      <c r="DI155" s="1117">
        <f t="shared" si="517"/>
        <v>0</v>
      </c>
      <c r="DJ155" s="1117">
        <f t="shared" si="518"/>
        <v>256710715.16</v>
      </c>
      <c r="DK155" s="1118"/>
      <c r="DO155" s="1116">
        <f t="shared" si="519"/>
        <v>256710715.16</v>
      </c>
      <c r="DP155" s="1117">
        <f t="shared" si="520"/>
        <v>0</v>
      </c>
      <c r="DQ155" s="1117">
        <f t="shared" si="521"/>
        <v>0</v>
      </c>
      <c r="DR155" s="1117">
        <f t="shared" si="522"/>
        <v>256710715.16</v>
      </c>
      <c r="DS155" s="1118"/>
      <c r="DW155" s="1116">
        <f t="shared" si="523"/>
        <v>256710715.16</v>
      </c>
      <c r="DX155" s="1117">
        <f t="shared" si="524"/>
        <v>0</v>
      </c>
      <c r="DY155" s="1117">
        <f t="shared" si="525"/>
        <v>0</v>
      </c>
      <c r="DZ155" s="1117">
        <f t="shared" si="526"/>
        <v>256710715.16</v>
      </c>
      <c r="EA155" s="1118"/>
      <c r="EE155" s="1116">
        <f t="shared" si="527"/>
        <v>256710715.16</v>
      </c>
      <c r="EF155" s="1117">
        <f t="shared" si="528"/>
        <v>0</v>
      </c>
      <c r="EG155" s="1117">
        <f t="shared" si="529"/>
        <v>0</v>
      </c>
      <c r="EH155" s="1117">
        <f t="shared" si="530"/>
        <v>256710715.16</v>
      </c>
      <c r="EI155" s="1118"/>
      <c r="EM155" s="1116">
        <f t="shared" si="531"/>
        <v>256710715.16</v>
      </c>
      <c r="EN155" s="1117">
        <f t="shared" si="532"/>
        <v>0</v>
      </c>
      <c r="EO155" s="1117">
        <f t="shared" si="533"/>
        <v>0</v>
      </c>
      <c r="EP155" s="1117">
        <f t="shared" si="534"/>
        <v>256710715.16</v>
      </c>
      <c r="EQ155" s="1118"/>
      <c r="EU155" s="1116">
        <f t="shared" si="535"/>
        <v>256710715.16</v>
      </c>
      <c r="EV155" s="1117">
        <f t="shared" si="536"/>
        <v>0</v>
      </c>
      <c r="EW155" s="1117">
        <f t="shared" si="537"/>
        <v>0</v>
      </c>
      <c r="EX155" s="1117">
        <f t="shared" si="538"/>
        <v>256710715.16</v>
      </c>
      <c r="EY155" s="1118"/>
      <c r="FC155" s="1116">
        <f t="shared" si="539"/>
        <v>256710715.16</v>
      </c>
      <c r="FD155" s="1117">
        <f t="shared" si="540"/>
        <v>0</v>
      </c>
      <c r="FE155" s="1117">
        <f t="shared" si="541"/>
        <v>0</v>
      </c>
      <c r="FF155" s="1117">
        <f t="shared" si="542"/>
        <v>256710715.16</v>
      </c>
      <c r="FG155" s="1118"/>
      <c r="FK155" s="1116">
        <f t="shared" si="543"/>
        <v>256710715.16</v>
      </c>
      <c r="FL155" s="1117">
        <f t="shared" si="544"/>
        <v>0</v>
      </c>
      <c r="FM155" s="1117">
        <f t="shared" si="545"/>
        <v>0</v>
      </c>
      <c r="FN155" s="1117">
        <f t="shared" si="546"/>
        <v>256710715.16</v>
      </c>
      <c r="FO155" s="1118"/>
    </row>
    <row r="156" spans="1:171">
      <c r="A156" s="1423"/>
      <c r="B156" s="847" t="s">
        <v>104</v>
      </c>
      <c r="C156" s="914"/>
      <c r="D156" s="915"/>
      <c r="E156" s="915"/>
      <c r="F156" s="916"/>
      <c r="G156" s="923">
        <f>SUM(G147:G155)</f>
        <v>1455694801.4100001</v>
      </c>
      <c r="H156" s="923">
        <f>SUM(H147:H155)</f>
        <v>740163.95798517752</v>
      </c>
      <c r="I156" s="923">
        <f>SUM(I147:I155)</f>
        <v>0</v>
      </c>
      <c r="J156" s="1431">
        <f>SUM(J147:J155)</f>
        <v>1454954637.7519181</v>
      </c>
      <c r="K156" s="903"/>
      <c r="O156" s="1126">
        <f>SUM(O147:O155)</f>
        <v>1455694801.4100001</v>
      </c>
      <c r="P156" s="1126">
        <f>SUM(P147:P155)</f>
        <v>740163.95798517752</v>
      </c>
      <c r="Q156" s="1126">
        <f>SUM(Q147:Q155)</f>
        <v>193828.7653338419</v>
      </c>
      <c r="R156" s="1126">
        <f>SUM(R147:R155)</f>
        <v>1454760808.686681</v>
      </c>
      <c r="S156" s="1118"/>
      <c r="W156" s="1126">
        <f>SUM(W147:W155)</f>
        <v>1455694801.4100001</v>
      </c>
      <c r="X156" s="1126">
        <f>SUM(X147:X155)</f>
        <v>740163.95798517752</v>
      </c>
      <c r="Y156" s="1126">
        <f>SUM(Y147:Y155)</f>
        <v>193828.7653338419</v>
      </c>
      <c r="Z156" s="1126">
        <f>SUM(Z147:Z155)</f>
        <v>1454760808.686681</v>
      </c>
      <c r="AA156" s="1118"/>
      <c r="AE156" s="1126">
        <f>SUM(AE147:AE155)</f>
        <v>1455694801.4100001</v>
      </c>
      <c r="AF156" s="1126">
        <f>SUM(AF147:AF155)</f>
        <v>740163.95798517752</v>
      </c>
      <c r="AG156" s="1126">
        <f>SUM(AG147:AG155)</f>
        <v>193828.7653338419</v>
      </c>
      <c r="AH156" s="1126">
        <f>SUM(AH147:AH155)</f>
        <v>1454760808.686681</v>
      </c>
      <c r="AI156" s="1118"/>
      <c r="AM156" s="1126">
        <f>SUM(AM147:AM155)</f>
        <v>1455694801.4100001</v>
      </c>
      <c r="AN156" s="1126">
        <f>SUM(AN147:AN155)</f>
        <v>740163.95798517752</v>
      </c>
      <c r="AO156" s="1126">
        <f>SUM(AO147:AO155)</f>
        <v>193828.7653338419</v>
      </c>
      <c r="AP156" s="1126">
        <f>SUM(AP147:AP155)</f>
        <v>1454760808.686681</v>
      </c>
      <c r="AQ156" s="1118"/>
      <c r="AU156" s="1126">
        <f>SUM(AU147:AU155)</f>
        <v>1455694801.4100001</v>
      </c>
      <c r="AV156" s="1126">
        <f>SUM(AV147:AV155)</f>
        <v>740163.95798517752</v>
      </c>
      <c r="AW156" s="1126">
        <f>SUM(AW147:AW155)</f>
        <v>193828.7653338419</v>
      </c>
      <c r="AX156" s="1126">
        <f>SUM(AX147:AX155)</f>
        <v>1454760808.686681</v>
      </c>
      <c r="AY156" s="1118"/>
      <c r="BC156" s="1126">
        <f>SUM(BC147:BC155)</f>
        <v>1455694801.4100001</v>
      </c>
      <c r="BD156" s="1126">
        <f>SUM(BD147:BD155)</f>
        <v>740163.95798517752</v>
      </c>
      <c r="BE156" s="1126">
        <f>SUM(BE147:BE155)</f>
        <v>193828.7653338419</v>
      </c>
      <c r="BF156" s="1126">
        <f>SUM(BF147:BF155)</f>
        <v>1454760808.686681</v>
      </c>
      <c r="BG156" s="1118"/>
      <c r="BK156" s="1126">
        <f>SUM(BK147:BK155)</f>
        <v>1455694801.4100001</v>
      </c>
      <c r="BL156" s="1126">
        <f>SUM(BL147:BL155)</f>
        <v>740163.95798517752</v>
      </c>
      <c r="BM156" s="1126">
        <f>SUM(BM147:BM155)</f>
        <v>193828.7653338419</v>
      </c>
      <c r="BN156" s="1126">
        <f>SUM(BN147:BN155)</f>
        <v>1454760808.686681</v>
      </c>
      <c r="BO156" s="1118"/>
      <c r="BS156" s="1126">
        <f>SUM(BS147:BS155)</f>
        <v>1455694801.4100001</v>
      </c>
      <c r="BT156" s="1126">
        <f>SUM(BT147:BT155)</f>
        <v>740163.95798517752</v>
      </c>
      <c r="BU156" s="1126">
        <f>SUM(BU147:BU155)</f>
        <v>193828.7653338419</v>
      </c>
      <c r="BV156" s="1126">
        <f>SUM(BV147:BV155)</f>
        <v>1454760808.686681</v>
      </c>
      <c r="BW156" s="1118"/>
      <c r="CA156" s="1126">
        <f>SUM(CA147:CA155)</f>
        <v>1455694801.4100001</v>
      </c>
      <c r="CB156" s="1126">
        <f>SUM(CB147:CB155)</f>
        <v>740163.95798517752</v>
      </c>
      <c r="CC156" s="1126">
        <f>SUM(CC147:CC155)</f>
        <v>193828.7653338419</v>
      </c>
      <c r="CD156" s="1126">
        <f>SUM(CD147:CD155)</f>
        <v>1454760808.686681</v>
      </c>
      <c r="CE156" s="1118"/>
      <c r="CI156" s="1126">
        <f>SUM(CI147:CI155)</f>
        <v>1455694801.4100001</v>
      </c>
      <c r="CJ156" s="1126">
        <f>SUM(CJ147:CJ155)</f>
        <v>740163.95798517752</v>
      </c>
      <c r="CK156" s="1126">
        <f>SUM(CK147:CK155)</f>
        <v>193828.7653338419</v>
      </c>
      <c r="CL156" s="1126">
        <f>SUM(CL147:CL155)</f>
        <v>1454760808.686681</v>
      </c>
      <c r="CM156" s="1118"/>
      <c r="CQ156" s="1126">
        <f>SUM(CQ147:CQ155)</f>
        <v>1455694801.4100001</v>
      </c>
      <c r="CR156" s="1126">
        <f>SUM(CR147:CR155)</f>
        <v>740163.95798517752</v>
      </c>
      <c r="CS156" s="1126">
        <f>SUM(CS147:CS155)</f>
        <v>193828.7653338419</v>
      </c>
      <c r="CT156" s="1126">
        <f>SUM(CT147:CT155)</f>
        <v>1454760808.686681</v>
      </c>
      <c r="CU156" s="1118"/>
      <c r="CY156" s="1126">
        <f>SUM(CY147:CY155)</f>
        <v>1455694801.4100001</v>
      </c>
      <c r="CZ156" s="1126">
        <f>SUM(CZ147:CZ155)</f>
        <v>740163.95798517752</v>
      </c>
      <c r="DA156" s="1126">
        <f>SUM(DA147:DA155)</f>
        <v>193828.7653338419</v>
      </c>
      <c r="DB156" s="1126">
        <f>SUM(DB147:DB155)</f>
        <v>1454760808.686681</v>
      </c>
      <c r="DC156" s="1118"/>
      <c r="DG156" s="1126">
        <f>SUM(DG147:DG155)</f>
        <v>1455694801.4100001</v>
      </c>
      <c r="DH156" s="1126">
        <f>SUM(DH147:DH155)</f>
        <v>740163.95798517752</v>
      </c>
      <c r="DI156" s="1126">
        <f>SUM(DI147:DI155)</f>
        <v>193828.7653338419</v>
      </c>
      <c r="DJ156" s="1126">
        <f>SUM(DJ147:DJ155)</f>
        <v>1454760808.686681</v>
      </c>
      <c r="DK156" s="1118"/>
      <c r="DO156" s="1126">
        <f>SUM(DO147:DO155)</f>
        <v>1455694801.4100001</v>
      </c>
      <c r="DP156" s="1126">
        <f>SUM(DP147:DP155)</f>
        <v>740163.95798517752</v>
      </c>
      <c r="DQ156" s="1126">
        <f>SUM(DQ147:DQ155)</f>
        <v>193828.7653338419</v>
      </c>
      <c r="DR156" s="1126">
        <f>SUM(DR147:DR155)</f>
        <v>1454760808.686681</v>
      </c>
      <c r="DS156" s="1118"/>
      <c r="DW156" s="1126">
        <f>SUM(DW147:DW155)</f>
        <v>1455694801.4100001</v>
      </c>
      <c r="DX156" s="1126">
        <f>SUM(DX147:DX155)</f>
        <v>740163.95798517752</v>
      </c>
      <c r="DY156" s="1126">
        <f>SUM(DY147:DY155)</f>
        <v>193828.7653338419</v>
      </c>
      <c r="DZ156" s="1126">
        <f>SUM(DZ147:DZ155)</f>
        <v>1454760808.686681</v>
      </c>
      <c r="EA156" s="1118"/>
      <c r="EE156" s="1126">
        <f>SUM(EE147:EE155)</f>
        <v>1455694801.4100001</v>
      </c>
      <c r="EF156" s="1126">
        <f>SUM(EF147:EF155)</f>
        <v>740163.95798517752</v>
      </c>
      <c r="EG156" s="1126">
        <f>SUM(EG147:EG155)</f>
        <v>193828.7653338419</v>
      </c>
      <c r="EH156" s="1126">
        <f>SUM(EH147:EH155)</f>
        <v>1454760808.686681</v>
      </c>
      <c r="EI156" s="1118"/>
      <c r="EM156" s="1126">
        <f>SUM(EM147:EM155)</f>
        <v>1455694801.4100001</v>
      </c>
      <c r="EN156" s="1126">
        <f>SUM(EN147:EN155)</f>
        <v>740163.95798517752</v>
      </c>
      <c r="EO156" s="1126">
        <f>SUM(EO147:EO155)</f>
        <v>193828.7653338419</v>
      </c>
      <c r="EP156" s="1126">
        <f>SUM(EP147:EP155)</f>
        <v>1454760808.686681</v>
      </c>
      <c r="EQ156" s="1118"/>
      <c r="EU156" s="1126">
        <f>SUM(EU147:EU155)</f>
        <v>1455694801.4100001</v>
      </c>
      <c r="EV156" s="1126">
        <f>SUM(EV147:EV155)</f>
        <v>740163.95798517752</v>
      </c>
      <c r="EW156" s="1126">
        <f>SUM(EW147:EW155)</f>
        <v>193828.7653338419</v>
      </c>
      <c r="EX156" s="1126">
        <f>SUM(EX147:EX155)</f>
        <v>1454760808.686681</v>
      </c>
      <c r="EY156" s="1118"/>
      <c r="FC156" s="1126">
        <f>SUM(FC147:FC155)</f>
        <v>1455694801.4100001</v>
      </c>
      <c r="FD156" s="1126">
        <f>SUM(FD147:FD155)</f>
        <v>740163.95798517752</v>
      </c>
      <c r="FE156" s="1126">
        <f>SUM(FE147:FE155)</f>
        <v>193828.7653338419</v>
      </c>
      <c r="FF156" s="1126">
        <f>SUM(FF147:FF155)</f>
        <v>1454760808.686681</v>
      </c>
      <c r="FG156" s="1118"/>
      <c r="FK156" s="1126">
        <f>SUM(FK147:FK155)</f>
        <v>1455694801.4100001</v>
      </c>
      <c r="FL156" s="1126">
        <f>SUM(FL147:FL155)</f>
        <v>740163.95798517752</v>
      </c>
      <c r="FM156" s="1126">
        <f>SUM(FM147:FM155)</f>
        <v>193828.7653338419</v>
      </c>
      <c r="FN156" s="1126">
        <f>SUM(FN147:FN155)</f>
        <v>1454760808.686681</v>
      </c>
      <c r="FO156" s="1118"/>
    </row>
    <row r="157" spans="1:171">
      <c r="A157" s="1423"/>
      <c r="B157" s="79"/>
      <c r="C157" s="196"/>
      <c r="D157" s="968"/>
      <c r="E157" s="196"/>
      <c r="F157" s="196"/>
      <c r="G157" s="970"/>
      <c r="H157" s="971"/>
      <c r="I157" s="971"/>
      <c r="J157" s="1454"/>
      <c r="K157" s="903"/>
      <c r="O157" s="1079"/>
      <c r="S157" s="1118"/>
      <c r="W157" s="1079"/>
      <c r="AA157" s="1118"/>
      <c r="AE157" s="1079"/>
      <c r="AI157" s="1118"/>
      <c r="AM157" s="1079"/>
      <c r="AQ157" s="1118"/>
      <c r="AU157" s="1079"/>
      <c r="AY157" s="1118"/>
      <c r="BC157" s="1079"/>
      <c r="BG157" s="1118"/>
      <c r="BK157" s="1079"/>
      <c r="BO157" s="1118"/>
      <c r="BS157" s="1079"/>
      <c r="BW157" s="1118"/>
      <c r="CA157" s="1079"/>
      <c r="CE157" s="1118"/>
      <c r="CI157" s="1079"/>
      <c r="CM157" s="1118"/>
      <c r="CQ157" s="1079"/>
      <c r="CU157" s="1118"/>
      <c r="CY157" s="1079"/>
      <c r="DC157" s="1118"/>
      <c r="DG157" s="1079"/>
      <c r="DK157" s="1118"/>
      <c r="DO157" s="1079"/>
      <c r="DS157" s="1118"/>
      <c r="DW157" s="1079"/>
      <c r="EA157" s="1118"/>
      <c r="EE157" s="1079"/>
      <c r="EI157" s="1118"/>
      <c r="EM157" s="1079"/>
      <c r="EQ157" s="1118"/>
      <c r="EU157" s="1079"/>
      <c r="EY157" s="1118"/>
      <c r="FC157" s="1079"/>
      <c r="FG157" s="1118"/>
      <c r="FK157" s="1079"/>
      <c r="FO157" s="1118"/>
    </row>
    <row r="158" spans="1:171">
      <c r="A158" s="1351" t="s">
        <v>73</v>
      </c>
      <c r="B158" s="64"/>
      <c r="C158" s="914"/>
      <c r="D158" s="915"/>
      <c r="E158" s="915"/>
      <c r="F158" s="916"/>
      <c r="G158" s="923">
        <f>+G156+G143</f>
        <v>1472911580.6600001</v>
      </c>
      <c r="H158" s="923">
        <f>+H156+H143</f>
        <v>740163.95798517752</v>
      </c>
      <c r="I158" s="923">
        <f>+I156+I143</f>
        <v>0</v>
      </c>
      <c r="J158" s="1431">
        <f>+J156+J143</f>
        <v>1472171417.0019181</v>
      </c>
      <c r="K158" s="903"/>
      <c r="O158" s="1133">
        <f>+O156+O143</f>
        <v>1472911580.6600001</v>
      </c>
      <c r="P158" s="1133">
        <f>+P156+P143</f>
        <v>740163.95798517752</v>
      </c>
      <c r="Q158" s="1133">
        <f>+Q156+Q143</f>
        <v>193828.7653338419</v>
      </c>
      <c r="R158" s="1133">
        <f>+R156+R143</f>
        <v>1471977587.936681</v>
      </c>
      <c r="S158" s="1118"/>
      <c r="W158" s="1133">
        <f>+W156+W143</f>
        <v>1472911580.6600001</v>
      </c>
      <c r="X158" s="1133">
        <f>+X156+X143</f>
        <v>740163.95798517752</v>
      </c>
      <c r="Y158" s="1133">
        <f>+Y156+Y143</f>
        <v>193828.7653338419</v>
      </c>
      <c r="Z158" s="1133">
        <f>+Z156+Z143</f>
        <v>1471977587.936681</v>
      </c>
      <c r="AA158" s="1118"/>
      <c r="AE158" s="1133">
        <f>+AE156+AE143</f>
        <v>1472911580.6600001</v>
      </c>
      <c r="AF158" s="1133">
        <f>+AF156+AF143</f>
        <v>740163.95798517752</v>
      </c>
      <c r="AG158" s="1133">
        <f>+AG156+AG143</f>
        <v>193828.7653338419</v>
      </c>
      <c r="AH158" s="1133">
        <f>+AH156+AH143</f>
        <v>1471977587.936681</v>
      </c>
      <c r="AI158" s="1118"/>
      <c r="AM158" s="1133">
        <f>+AM156+AM143</f>
        <v>1472911580.6600001</v>
      </c>
      <c r="AN158" s="1133">
        <f>+AN156+AN143</f>
        <v>740163.95798517752</v>
      </c>
      <c r="AO158" s="1133">
        <f>+AO156+AO143</f>
        <v>193828.7653338419</v>
      </c>
      <c r="AP158" s="1133">
        <f>+AP156+AP143</f>
        <v>1471977587.936681</v>
      </c>
      <c r="AQ158" s="1118"/>
      <c r="AU158" s="1133">
        <f>+AU156+AU143</f>
        <v>1472911580.6600001</v>
      </c>
      <c r="AV158" s="1133">
        <f>+AV156+AV143</f>
        <v>740163.95798517752</v>
      </c>
      <c r="AW158" s="1133">
        <f>+AW156+AW143</f>
        <v>193828.7653338419</v>
      </c>
      <c r="AX158" s="1133">
        <f>+AX156+AX143</f>
        <v>1471977587.936681</v>
      </c>
      <c r="AY158" s="1118"/>
      <c r="BC158" s="1133">
        <f>+BC156+BC143</f>
        <v>1472911580.6600001</v>
      </c>
      <c r="BD158" s="1133">
        <f>+BD156+BD143</f>
        <v>740163.95798517752</v>
      </c>
      <c r="BE158" s="1133">
        <f>+BE156+BE143</f>
        <v>193828.7653338419</v>
      </c>
      <c r="BF158" s="1133">
        <f>+BF156+BF143</f>
        <v>1471977587.936681</v>
      </c>
      <c r="BG158" s="1118"/>
      <c r="BK158" s="1133">
        <f>+BK156+BK143</f>
        <v>1472911580.6600001</v>
      </c>
      <c r="BL158" s="1133">
        <f>+BL156+BL143</f>
        <v>740163.95798517752</v>
      </c>
      <c r="BM158" s="1133">
        <f>+BM156+BM143</f>
        <v>193828.7653338419</v>
      </c>
      <c r="BN158" s="1133">
        <f>+BN156+BN143</f>
        <v>1471977587.936681</v>
      </c>
      <c r="BO158" s="1118"/>
      <c r="BS158" s="1133">
        <f>+BS156+BS143</f>
        <v>1472911580.6600001</v>
      </c>
      <c r="BT158" s="1133">
        <f>+BT156+BT143</f>
        <v>740163.95798517752</v>
      </c>
      <c r="BU158" s="1133">
        <f>+BU156+BU143</f>
        <v>193828.7653338419</v>
      </c>
      <c r="BV158" s="1133">
        <f>+BV156+BV143</f>
        <v>1471977587.936681</v>
      </c>
      <c r="BW158" s="1118"/>
      <c r="CA158" s="1133">
        <f>+CA156+CA143</f>
        <v>1472911580.6600001</v>
      </c>
      <c r="CB158" s="1133">
        <f>+CB156+CB143</f>
        <v>740163.95798517752</v>
      </c>
      <c r="CC158" s="1133">
        <f>+CC156+CC143</f>
        <v>193828.7653338419</v>
      </c>
      <c r="CD158" s="1133">
        <f>+CD156+CD143</f>
        <v>1471977587.936681</v>
      </c>
      <c r="CE158" s="1118"/>
      <c r="CI158" s="1133">
        <f>+CI156+CI143</f>
        <v>1472911580.6600001</v>
      </c>
      <c r="CJ158" s="1133">
        <f>+CJ156+CJ143</f>
        <v>740163.95798517752</v>
      </c>
      <c r="CK158" s="1133">
        <f>+CK156+CK143</f>
        <v>193828.7653338419</v>
      </c>
      <c r="CL158" s="1133">
        <f>+CL156+CL143</f>
        <v>1471977587.936681</v>
      </c>
      <c r="CM158" s="1118"/>
      <c r="CQ158" s="1133">
        <f>+CQ156+CQ143</f>
        <v>1472911580.6600001</v>
      </c>
      <c r="CR158" s="1133">
        <f>+CR156+CR143</f>
        <v>740163.95798517752</v>
      </c>
      <c r="CS158" s="1133">
        <f>+CS156+CS143</f>
        <v>193828.7653338419</v>
      </c>
      <c r="CT158" s="1133">
        <f>+CT156+CT143</f>
        <v>1471977587.936681</v>
      </c>
      <c r="CU158" s="1118"/>
      <c r="CY158" s="1133">
        <f>+CY156+CY143</f>
        <v>1472911580.6600001</v>
      </c>
      <c r="CZ158" s="1133">
        <f>+CZ156+CZ143</f>
        <v>740163.95798517752</v>
      </c>
      <c r="DA158" s="1133">
        <f>+DA156+DA143</f>
        <v>193828.7653338419</v>
      </c>
      <c r="DB158" s="1133">
        <f>+DB156+DB143</f>
        <v>1471977587.936681</v>
      </c>
      <c r="DC158" s="1118"/>
      <c r="DG158" s="1133">
        <f>+DG156+DG143</f>
        <v>1472911580.6600001</v>
      </c>
      <c r="DH158" s="1133">
        <f>+DH156+DH143</f>
        <v>740163.95798517752</v>
      </c>
      <c r="DI158" s="1133">
        <f>+DI156+DI143</f>
        <v>193828.7653338419</v>
      </c>
      <c r="DJ158" s="1133">
        <f>+DJ156+DJ143</f>
        <v>1471977587.936681</v>
      </c>
      <c r="DK158" s="1118"/>
      <c r="DO158" s="1133">
        <f>+DO156+DO143</f>
        <v>1472911580.6600001</v>
      </c>
      <c r="DP158" s="1133">
        <f>+DP156+DP143</f>
        <v>740163.95798517752</v>
      </c>
      <c r="DQ158" s="1133">
        <f>+DQ156+DQ143</f>
        <v>193828.7653338419</v>
      </c>
      <c r="DR158" s="1133">
        <f>+DR156+DR143</f>
        <v>1471977587.936681</v>
      </c>
      <c r="DS158" s="1118"/>
      <c r="DW158" s="1133">
        <f>+DW156+DW143</f>
        <v>1472911580.6600001</v>
      </c>
      <c r="DX158" s="1133">
        <f>+DX156+DX143</f>
        <v>740163.95798517752</v>
      </c>
      <c r="DY158" s="1133">
        <f>+DY156+DY143</f>
        <v>193828.7653338419</v>
      </c>
      <c r="DZ158" s="1133">
        <f>+DZ156+DZ143</f>
        <v>1471977587.936681</v>
      </c>
      <c r="EA158" s="1118"/>
      <c r="EE158" s="1133">
        <f>+EE156+EE143</f>
        <v>1472911580.6600001</v>
      </c>
      <c r="EF158" s="1133">
        <f>+EF156+EF143</f>
        <v>740163.95798517752</v>
      </c>
      <c r="EG158" s="1133">
        <f>+EG156+EG143</f>
        <v>193828.7653338419</v>
      </c>
      <c r="EH158" s="1133">
        <f>+EH156+EH143</f>
        <v>1471977587.936681</v>
      </c>
      <c r="EI158" s="1118"/>
      <c r="EM158" s="1133">
        <f>+EM156+EM143</f>
        <v>1472911580.6600001</v>
      </c>
      <c r="EN158" s="1133">
        <f>+EN156+EN143</f>
        <v>740163.95798517752</v>
      </c>
      <c r="EO158" s="1133">
        <f>+EO156+EO143</f>
        <v>193828.7653338419</v>
      </c>
      <c r="EP158" s="1133">
        <f>+EP156+EP143</f>
        <v>1471977587.936681</v>
      </c>
      <c r="EQ158" s="1118"/>
      <c r="EU158" s="1133">
        <f>+EU156+EU143</f>
        <v>1472911580.6600001</v>
      </c>
      <c r="EV158" s="1133">
        <f>+EV156+EV143</f>
        <v>740163.95798517752</v>
      </c>
      <c r="EW158" s="1133">
        <f>+EW156+EW143</f>
        <v>193828.7653338419</v>
      </c>
      <c r="EX158" s="1133">
        <f>+EX156+EX143</f>
        <v>1471977587.936681</v>
      </c>
      <c r="EY158" s="1118"/>
      <c r="FC158" s="1133">
        <f>+FC156+FC143</f>
        <v>1472911580.6600001</v>
      </c>
      <c r="FD158" s="1133">
        <f>+FD156+FD143</f>
        <v>740163.95798517752</v>
      </c>
      <c r="FE158" s="1133">
        <f>+FE156+FE143</f>
        <v>193828.7653338419</v>
      </c>
      <c r="FF158" s="1133">
        <f>+FF156+FF143</f>
        <v>1471977587.936681</v>
      </c>
      <c r="FG158" s="1118"/>
      <c r="FK158" s="1133">
        <f>+FK156+FK143</f>
        <v>1472911580.6600001</v>
      </c>
      <c r="FL158" s="1133">
        <f>+FL156+FL143</f>
        <v>740163.95798517752</v>
      </c>
      <c r="FM158" s="1133">
        <f>+FM156+FM143</f>
        <v>193828.7653338419</v>
      </c>
      <c r="FN158" s="1133">
        <f>+FN156+FN143</f>
        <v>1471977587.936681</v>
      </c>
      <c r="FO158" s="1118"/>
    </row>
    <row r="159" spans="1:171">
      <c r="A159" s="1373"/>
      <c r="B159" s="64"/>
      <c r="C159" s="55"/>
      <c r="D159" s="55"/>
      <c r="E159" s="55"/>
      <c r="F159" s="55"/>
      <c r="G159" s="334"/>
      <c r="H159" s="334"/>
      <c r="I159" s="334"/>
      <c r="J159" s="1367"/>
      <c r="K159" s="903"/>
      <c r="S159" s="1118"/>
      <c r="AA159" s="1118"/>
      <c r="AI159" s="1118"/>
      <c r="AQ159" s="1118"/>
      <c r="AY159" s="1118"/>
      <c r="BG159" s="1118"/>
      <c r="BO159" s="1118"/>
      <c r="BW159" s="1118"/>
      <c r="CE159" s="1118"/>
      <c r="CM159" s="1118"/>
      <c r="CU159" s="1118"/>
      <c r="DC159" s="1118"/>
      <c r="DK159" s="1118"/>
      <c r="DS159" s="1118"/>
      <c r="EA159" s="1118"/>
      <c r="EI159" s="1118"/>
      <c r="EQ159" s="1118"/>
      <c r="EY159" s="1118"/>
      <c r="FG159" s="1118"/>
      <c r="FO159" s="1118"/>
    </row>
    <row r="160" spans="1:171">
      <c r="A160" s="1374"/>
      <c r="B160" s="79"/>
      <c r="C160" s="968"/>
      <c r="D160" s="968"/>
      <c r="E160" s="79"/>
      <c r="F160" s="79"/>
      <c r="G160" s="973"/>
      <c r="H160" s="973"/>
      <c r="I160" s="973"/>
      <c r="J160" s="1455"/>
      <c r="K160" s="903"/>
      <c r="S160" s="1118"/>
      <c r="AA160" s="1118"/>
      <c r="AI160" s="1118"/>
      <c r="AQ160" s="1118"/>
      <c r="AY160" s="1118"/>
      <c r="BG160" s="1118"/>
      <c r="BO160" s="1118"/>
      <c r="BW160" s="1118"/>
      <c r="CE160" s="1118"/>
      <c r="CM160" s="1118"/>
      <c r="CU160" s="1118"/>
      <c r="DC160" s="1118"/>
      <c r="DK160" s="1118"/>
      <c r="DS160" s="1118"/>
      <c r="EA160" s="1118"/>
      <c r="EI160" s="1118"/>
      <c r="EQ160" s="1118"/>
      <c r="EY160" s="1118"/>
      <c r="FG160" s="1118"/>
      <c r="FO160" s="1118"/>
    </row>
    <row r="161" spans="1:171">
      <c r="A161" s="1345" t="s">
        <v>482</v>
      </c>
      <c r="B161" s="64"/>
      <c r="C161" s="914"/>
      <c r="D161" s="915"/>
      <c r="E161" s="915"/>
      <c r="F161" s="916"/>
      <c r="G161" s="923">
        <f>G79+G135-G158</f>
        <v>3835555745.0787497</v>
      </c>
      <c r="H161" s="923">
        <f>H79+H135-H158</f>
        <v>1099153933.6067338</v>
      </c>
      <c r="I161" s="923">
        <f>I79+I135-I158</f>
        <v>0</v>
      </c>
      <c r="J161" s="1431">
        <f>J79+J135-J158</f>
        <v>2736401810.3225708</v>
      </c>
      <c r="K161" s="903"/>
      <c r="O161" s="1130">
        <f>O79+O135-O158</f>
        <v>3835555745.0787497</v>
      </c>
      <c r="P161" s="1130">
        <f>P79+P135-P158</f>
        <v>1099153933.6067338</v>
      </c>
      <c r="Q161" s="1130">
        <f>Q79+Q135-Q158</f>
        <v>830721954.56388795</v>
      </c>
      <c r="R161" s="1130">
        <f>R79+R135-R158</f>
        <v>1905679856.908128</v>
      </c>
      <c r="S161" s="1073"/>
      <c r="W161" s="1130">
        <f>W79+W135-W158</f>
        <v>3835555745.0787497</v>
      </c>
      <c r="X161" s="1130">
        <f>X79+X135-X158</f>
        <v>1099153933.6067338</v>
      </c>
      <c r="Y161" s="1130">
        <f>Y79+Y135-Y158</f>
        <v>830721954.56388795</v>
      </c>
      <c r="Z161" s="1130">
        <f>Z79+Z135-Z158</f>
        <v>1905679856.908128</v>
      </c>
      <c r="AA161" s="1073"/>
      <c r="AE161" s="1130">
        <f>AE79+AE135-AE158</f>
        <v>3835555745.0787497</v>
      </c>
      <c r="AF161" s="1130">
        <f>AF79+AF135-AF158</f>
        <v>1099153933.6067338</v>
      </c>
      <c r="AG161" s="1130">
        <f>AG79+AG135-AG158</f>
        <v>830721954.56388795</v>
      </c>
      <c r="AH161" s="1130">
        <f>AH79+AH135-AH158</f>
        <v>1905679856.908128</v>
      </c>
      <c r="AI161" s="1073"/>
      <c r="AM161" s="1130">
        <f>AM79+AM135-AM158</f>
        <v>3835555745.0787497</v>
      </c>
      <c r="AN161" s="1130">
        <f>AN79+AN135-AN158</f>
        <v>1099153933.6067338</v>
      </c>
      <c r="AO161" s="1130">
        <f>AO79+AO135-AO158</f>
        <v>830721954.56388795</v>
      </c>
      <c r="AP161" s="1130">
        <f>AP79+AP135-AP158</f>
        <v>1905679856.908128</v>
      </c>
      <c r="AQ161" s="1073"/>
      <c r="AU161" s="1130">
        <f>AU79+AU135-AU158</f>
        <v>3835555745.0787497</v>
      </c>
      <c r="AV161" s="1130">
        <f>AV79+AV135-AV158</f>
        <v>1099153933.6067338</v>
      </c>
      <c r="AW161" s="1130">
        <f>AW79+AW135-AW158</f>
        <v>830721954.56388795</v>
      </c>
      <c r="AX161" s="1130">
        <f>AX79+AX135-AX158</f>
        <v>1905679856.908128</v>
      </c>
      <c r="AY161" s="1073"/>
      <c r="BC161" s="1130">
        <f>BC79+BC135-BC158</f>
        <v>3835555745.0787497</v>
      </c>
      <c r="BD161" s="1130">
        <f>BD79+BD135-BD158</f>
        <v>1099153933.6067338</v>
      </c>
      <c r="BE161" s="1130">
        <f>BE79+BE135-BE158</f>
        <v>830721954.56388795</v>
      </c>
      <c r="BF161" s="1130">
        <f>BF79+BF135-BF158</f>
        <v>1905679856.908128</v>
      </c>
      <c r="BG161" s="1073"/>
      <c r="BK161" s="1130">
        <f>BK79+BK135-BK158</f>
        <v>3835555745.0787497</v>
      </c>
      <c r="BL161" s="1130">
        <f>BL79+BL135-BL158</f>
        <v>1099153933.6067338</v>
      </c>
      <c r="BM161" s="1130">
        <f>BM79+BM135-BM158</f>
        <v>830721954.56388795</v>
      </c>
      <c r="BN161" s="1130">
        <f>BN79+BN135-BN158</f>
        <v>1905679856.908128</v>
      </c>
      <c r="BO161" s="1073"/>
      <c r="BS161" s="1130">
        <f>BS79+BS135-BS158</f>
        <v>3835555745.0787497</v>
      </c>
      <c r="BT161" s="1130">
        <f>BT79+BT135-BT158</f>
        <v>1099153933.6067338</v>
      </c>
      <c r="BU161" s="1130">
        <f>BU79+BU135-BU158</f>
        <v>830721954.56388795</v>
      </c>
      <c r="BV161" s="1130">
        <f>BV79+BV135-BV158</f>
        <v>1905679856.908128</v>
      </c>
      <c r="BW161" s="1073"/>
      <c r="CA161" s="1130">
        <f>CA79+CA135-CA158</f>
        <v>3835555745.0787497</v>
      </c>
      <c r="CB161" s="1130">
        <f>CB79+CB135-CB158</f>
        <v>1099153933.6067338</v>
      </c>
      <c r="CC161" s="1130">
        <f>CC79+CC135-CC158</f>
        <v>830721954.56388795</v>
      </c>
      <c r="CD161" s="1130">
        <f>CD79+CD135-CD158</f>
        <v>1905679856.908128</v>
      </c>
      <c r="CE161" s="1073"/>
      <c r="CI161" s="1130">
        <f>CI79+CI135-CI158</f>
        <v>3835555745.0787497</v>
      </c>
      <c r="CJ161" s="1130">
        <f>CJ79+CJ135-CJ158</f>
        <v>1099153933.6067338</v>
      </c>
      <c r="CK161" s="1130">
        <f>CK79+CK135-CK158</f>
        <v>830721954.56388795</v>
      </c>
      <c r="CL161" s="1130">
        <f>CL79+CL135-CL158</f>
        <v>1905679856.908128</v>
      </c>
      <c r="CM161" s="1073"/>
      <c r="CQ161" s="1130">
        <f>CQ79+CQ135-CQ158</f>
        <v>3835555745.0787497</v>
      </c>
      <c r="CR161" s="1130">
        <f>CR79+CR135-CR158</f>
        <v>1099153933.6067338</v>
      </c>
      <c r="CS161" s="1130">
        <f>CS79+CS135-CS158</f>
        <v>830721954.56388795</v>
      </c>
      <c r="CT161" s="1130">
        <f>CT79+CT135-CT158</f>
        <v>1905679856.908128</v>
      </c>
      <c r="CU161" s="1073"/>
      <c r="CY161" s="1130">
        <f>CY79+CY135-CY158</f>
        <v>3835555745.0787497</v>
      </c>
      <c r="CZ161" s="1130">
        <f>CZ79+CZ135-CZ158</f>
        <v>1099153933.6067338</v>
      </c>
      <c r="DA161" s="1130">
        <f>DA79+DA135-DA158</f>
        <v>830721954.56388795</v>
      </c>
      <c r="DB161" s="1130">
        <f>DB79+DB135-DB158</f>
        <v>1905679856.908128</v>
      </c>
      <c r="DC161" s="1073"/>
      <c r="DG161" s="1130">
        <f>DG79+DG135-DG158</f>
        <v>3835555745.0787497</v>
      </c>
      <c r="DH161" s="1130">
        <f>DH79+DH135-DH158</f>
        <v>1099153933.6067338</v>
      </c>
      <c r="DI161" s="1130">
        <f>DI79+DI135-DI158</f>
        <v>830721954.56388795</v>
      </c>
      <c r="DJ161" s="1130">
        <f>DJ79+DJ135-DJ158</f>
        <v>1905679856.908128</v>
      </c>
      <c r="DK161" s="1073"/>
      <c r="DO161" s="1130">
        <f>DO79+DO135-DO158</f>
        <v>3835555745.0787497</v>
      </c>
      <c r="DP161" s="1130">
        <f>DP79+DP135-DP158</f>
        <v>1099153933.6067338</v>
      </c>
      <c r="DQ161" s="1130">
        <f>DQ79+DQ135-DQ158</f>
        <v>830721954.56388795</v>
      </c>
      <c r="DR161" s="1130">
        <f>DR79+DR135-DR158</f>
        <v>1905679856.908128</v>
      </c>
      <c r="DS161" s="1073"/>
      <c r="DW161" s="1130">
        <f>DW79+DW135-DW158</f>
        <v>3835555745.0787497</v>
      </c>
      <c r="DX161" s="1130">
        <f>DX79+DX135-DX158</f>
        <v>1099153933.6067338</v>
      </c>
      <c r="DY161" s="1130">
        <f>DY79+DY135-DY158</f>
        <v>830721954.56388795</v>
      </c>
      <c r="DZ161" s="1130">
        <f>DZ79+DZ135-DZ158</f>
        <v>1905679856.908128</v>
      </c>
      <c r="EA161" s="1073"/>
      <c r="EE161" s="1130">
        <f>EE79+EE135-EE158</f>
        <v>3835555745.0787497</v>
      </c>
      <c r="EF161" s="1130">
        <f>EF79+EF135-EF158</f>
        <v>1099153933.6067338</v>
      </c>
      <c r="EG161" s="1130">
        <f>EG79+EG135-EG158</f>
        <v>830721954.56388795</v>
      </c>
      <c r="EH161" s="1130">
        <f>EH79+EH135-EH158</f>
        <v>1905679856.908128</v>
      </c>
      <c r="EI161" s="1073"/>
      <c r="EM161" s="1130">
        <f>EM79+EM135-EM158</f>
        <v>3835555745.0787497</v>
      </c>
      <c r="EN161" s="1130">
        <f>EN79+EN135-EN158</f>
        <v>1099153933.6067338</v>
      </c>
      <c r="EO161" s="1130">
        <f>EO79+EO135-EO158</f>
        <v>830721954.56388795</v>
      </c>
      <c r="EP161" s="1130">
        <f>EP79+EP135-EP158</f>
        <v>1905679856.908128</v>
      </c>
      <c r="EQ161" s="1073"/>
      <c r="EU161" s="1130">
        <f>EU79+EU135-EU158</f>
        <v>3835555745.0787497</v>
      </c>
      <c r="EV161" s="1130">
        <f>EV79+EV135-EV158</f>
        <v>1099153933.6067338</v>
      </c>
      <c r="EW161" s="1130">
        <f>EW79+EW135-EW158</f>
        <v>830721954.56388795</v>
      </c>
      <c r="EX161" s="1130">
        <f>EX79+EX135-EX158</f>
        <v>1905679856.908128</v>
      </c>
      <c r="EY161" s="1073"/>
      <c r="FC161" s="1130">
        <f>FC79+FC135-FC158</f>
        <v>3835555745.0787497</v>
      </c>
      <c r="FD161" s="1130">
        <f>FD79+FD135-FD158</f>
        <v>1099153933.6067338</v>
      </c>
      <c r="FE161" s="1130">
        <f>FE79+FE135-FE158</f>
        <v>830721954.56388795</v>
      </c>
      <c r="FF161" s="1130">
        <f>FF79+FF135-FF158</f>
        <v>1905679856.908128</v>
      </c>
      <c r="FG161" s="1073"/>
      <c r="FK161" s="1130">
        <f>FK79+FK135-FK158</f>
        <v>3835555745.0787497</v>
      </c>
      <c r="FL161" s="1130">
        <f>FL79+FL135-FL158</f>
        <v>1099153933.6067338</v>
      </c>
      <c r="FM161" s="1130">
        <f>FM79+FM135-FM158</f>
        <v>830721954.56388795</v>
      </c>
      <c r="FN161" s="1130">
        <f>FN79+FN135-FN158</f>
        <v>1905679856.908128</v>
      </c>
      <c r="FO161" s="1073"/>
    </row>
    <row r="162" spans="1:171">
      <c r="A162" s="1430" t="s">
        <v>83</v>
      </c>
      <c r="B162" s="64"/>
      <c r="C162" s="55"/>
      <c r="D162" s="55"/>
      <c r="E162" s="55"/>
      <c r="F162" s="55"/>
      <c r="G162" s="910"/>
      <c r="H162" s="885"/>
      <c r="I162" s="56"/>
      <c r="J162" s="1377"/>
      <c r="K162" s="903"/>
      <c r="S162" s="1073"/>
      <c r="AA162" s="1073"/>
      <c r="AI162" s="1073"/>
      <c r="AQ162" s="1073"/>
      <c r="AY162" s="1073"/>
      <c r="BG162" s="1073"/>
      <c r="BO162" s="1073"/>
      <c r="BW162" s="1073"/>
      <c r="CE162" s="1073"/>
      <c r="CM162" s="1073"/>
      <c r="CU162" s="1073"/>
      <c r="DC162" s="1073"/>
      <c r="DK162" s="1073"/>
      <c r="DS162" s="1073"/>
      <c r="EA162" s="1073"/>
      <c r="EI162" s="1073"/>
      <c r="EQ162" s="1073"/>
      <c r="EY162" s="1073"/>
      <c r="FG162" s="1073"/>
      <c r="FO162" s="1073"/>
    </row>
    <row r="163" spans="1:171" ht="16.5" thickBot="1">
      <c r="A163" s="1434"/>
      <c r="B163" s="931"/>
      <c r="C163" s="932"/>
      <c r="D163" s="932"/>
      <c r="E163" s="932"/>
      <c r="F163" s="932"/>
      <c r="G163" s="934"/>
      <c r="H163" s="975"/>
      <c r="I163" s="976"/>
      <c r="J163" s="1378"/>
      <c r="K163" s="903"/>
      <c r="S163" s="1073"/>
      <c r="AA163" s="1073"/>
      <c r="AI163" s="1073"/>
      <c r="AQ163" s="1073"/>
      <c r="AY163" s="1073"/>
      <c r="BG163" s="1073"/>
      <c r="BO163" s="1073"/>
      <c r="BW163" s="1073"/>
      <c r="CE163" s="1073"/>
      <c r="CM163" s="1073"/>
      <c r="CU163" s="1073"/>
      <c r="DC163" s="1073"/>
      <c r="DK163" s="1073"/>
      <c r="DS163" s="1073"/>
      <c r="EA163" s="1073"/>
      <c r="EI163" s="1073"/>
      <c r="EQ163" s="1073"/>
      <c r="EY163" s="1073"/>
      <c r="FG163" s="1073"/>
      <c r="FO163" s="1073"/>
    </row>
    <row r="164" spans="1:171" ht="16.5" thickTop="1">
      <c r="A164" s="1430"/>
      <c r="B164" s="64"/>
      <c r="C164" s="55"/>
      <c r="D164" s="55"/>
      <c r="E164" s="55"/>
      <c r="F164" s="55"/>
      <c r="G164" s="910"/>
      <c r="H164" s="885"/>
      <c r="I164" s="56"/>
      <c r="J164" s="1377"/>
      <c r="K164" s="903"/>
      <c r="S164" s="1073"/>
      <c r="AA164" s="1073"/>
      <c r="AI164" s="1073"/>
      <c r="AQ164" s="1073"/>
      <c r="AY164" s="1073"/>
      <c r="BG164" s="1073"/>
      <c r="BO164" s="1073"/>
      <c r="BW164" s="1073"/>
      <c r="CE164" s="1073"/>
      <c r="CM164" s="1073"/>
      <c r="CU164" s="1073"/>
      <c r="DC164" s="1073"/>
      <c r="DK164" s="1073"/>
      <c r="DS164" s="1073"/>
      <c r="EA164" s="1073"/>
      <c r="EI164" s="1073"/>
      <c r="EQ164" s="1073"/>
      <c r="EY164" s="1073"/>
      <c r="FG164" s="1073"/>
      <c r="FO164" s="1073"/>
    </row>
    <row r="165" spans="1:171">
      <c r="A165" s="1422" t="s">
        <v>63</v>
      </c>
      <c r="B165" s="1"/>
      <c r="C165" s="1"/>
      <c r="D165" s="1"/>
      <c r="E165" s="1"/>
      <c r="F165" s="1"/>
      <c r="G165" s="977">
        <f>'Sch 2 -Rate of Return'!E14</f>
        <v>8.3054675822784807E-2</v>
      </c>
      <c r="H165" s="992">
        <f>G165</f>
        <v>8.3054675822784807E-2</v>
      </c>
      <c r="I165" s="992">
        <f>G165</f>
        <v>8.3054675822784807E-2</v>
      </c>
      <c r="J165" s="1456">
        <f>G165</f>
        <v>8.3054675822784807E-2</v>
      </c>
      <c r="K165" s="903"/>
      <c r="O165" s="1134">
        <f>$G$165</f>
        <v>8.3054675822784807E-2</v>
      </c>
      <c r="P165" s="1134">
        <f>$G$165</f>
        <v>8.3054675822784807E-2</v>
      </c>
      <c r="Q165" s="1134">
        <f>$G$165</f>
        <v>8.3054675822784807E-2</v>
      </c>
      <c r="R165" s="1134">
        <f>$G$165</f>
        <v>8.3054675822784807E-2</v>
      </c>
      <c r="S165" s="1073"/>
      <c r="W165" s="1134">
        <f>$G$165</f>
        <v>8.3054675822784807E-2</v>
      </c>
      <c r="X165" s="1134">
        <f>$G$165</f>
        <v>8.3054675822784807E-2</v>
      </c>
      <c r="Y165" s="1134">
        <f>$G$165</f>
        <v>8.3054675822784807E-2</v>
      </c>
      <c r="Z165" s="1134">
        <f>$G$165</f>
        <v>8.3054675822784807E-2</v>
      </c>
      <c r="AA165" s="1073"/>
      <c r="AE165" s="1134">
        <f>$G$165</f>
        <v>8.3054675822784807E-2</v>
      </c>
      <c r="AF165" s="1134">
        <f>$G$165</f>
        <v>8.3054675822784807E-2</v>
      </c>
      <c r="AG165" s="1134">
        <f>$G$165</f>
        <v>8.3054675822784807E-2</v>
      </c>
      <c r="AH165" s="1134">
        <f>$G$165</f>
        <v>8.3054675822784807E-2</v>
      </c>
      <c r="AI165" s="1073"/>
      <c r="AM165" s="1134">
        <f>$G$165</f>
        <v>8.3054675822784807E-2</v>
      </c>
      <c r="AN165" s="1134">
        <f>$G$165</f>
        <v>8.3054675822784807E-2</v>
      </c>
      <c r="AO165" s="1134">
        <f>$G$165</f>
        <v>8.3054675822784807E-2</v>
      </c>
      <c r="AP165" s="1134">
        <f>$G$165</f>
        <v>8.3054675822784807E-2</v>
      </c>
      <c r="AQ165" s="1073"/>
      <c r="AU165" s="1134">
        <f>$G$165</f>
        <v>8.3054675822784807E-2</v>
      </c>
      <c r="AV165" s="1134">
        <f>$G$165</f>
        <v>8.3054675822784807E-2</v>
      </c>
      <c r="AW165" s="1134">
        <f>$G$165</f>
        <v>8.3054675822784807E-2</v>
      </c>
      <c r="AX165" s="1134">
        <f>$G$165</f>
        <v>8.3054675822784807E-2</v>
      </c>
      <c r="AY165" s="1073"/>
      <c r="BC165" s="1134">
        <f>$G$165</f>
        <v>8.3054675822784807E-2</v>
      </c>
      <c r="BD165" s="1134">
        <f>$G$165</f>
        <v>8.3054675822784807E-2</v>
      </c>
      <c r="BE165" s="1134">
        <f>$G$165</f>
        <v>8.3054675822784807E-2</v>
      </c>
      <c r="BF165" s="1134">
        <f>$G$165</f>
        <v>8.3054675822784807E-2</v>
      </c>
      <c r="BG165" s="1073"/>
      <c r="BK165" s="1134">
        <f>$G$165</f>
        <v>8.3054675822784807E-2</v>
      </c>
      <c r="BL165" s="1134">
        <f>$G$165</f>
        <v>8.3054675822784807E-2</v>
      </c>
      <c r="BM165" s="1134">
        <f>$G$165</f>
        <v>8.3054675822784807E-2</v>
      </c>
      <c r="BN165" s="1134">
        <f>$G$165</f>
        <v>8.3054675822784807E-2</v>
      </c>
      <c r="BO165" s="1073"/>
      <c r="BS165" s="1134">
        <f>$G$165</f>
        <v>8.3054675822784807E-2</v>
      </c>
      <c r="BT165" s="1134">
        <f>$G$165</f>
        <v>8.3054675822784807E-2</v>
      </c>
      <c r="BU165" s="1134">
        <f>$G$165</f>
        <v>8.3054675822784807E-2</v>
      </c>
      <c r="BV165" s="1134">
        <f>$G$165</f>
        <v>8.3054675822784807E-2</v>
      </c>
      <c r="BW165" s="1073"/>
      <c r="CA165" s="1134">
        <f>$G$165</f>
        <v>8.3054675822784807E-2</v>
      </c>
      <c r="CB165" s="1134">
        <f>$G$165</f>
        <v>8.3054675822784807E-2</v>
      </c>
      <c r="CC165" s="1134">
        <f>$G$165</f>
        <v>8.3054675822784807E-2</v>
      </c>
      <c r="CD165" s="1134">
        <f>$G$165</f>
        <v>8.3054675822784807E-2</v>
      </c>
      <c r="CE165" s="1073"/>
      <c r="CI165" s="1134">
        <f>$G$165</f>
        <v>8.3054675822784807E-2</v>
      </c>
      <c r="CJ165" s="1134">
        <f>$G$165</f>
        <v>8.3054675822784807E-2</v>
      </c>
      <c r="CK165" s="1134">
        <f>$G$165</f>
        <v>8.3054675822784807E-2</v>
      </c>
      <c r="CL165" s="1134">
        <f>$G$165</f>
        <v>8.3054675822784807E-2</v>
      </c>
      <c r="CM165" s="1073"/>
      <c r="CQ165" s="1134">
        <f>$G$165</f>
        <v>8.3054675822784807E-2</v>
      </c>
      <c r="CR165" s="1134">
        <f>$G$165</f>
        <v>8.3054675822784807E-2</v>
      </c>
      <c r="CS165" s="1134">
        <f>$G$165</f>
        <v>8.3054675822784807E-2</v>
      </c>
      <c r="CT165" s="1134">
        <f>$G$165</f>
        <v>8.3054675822784807E-2</v>
      </c>
      <c r="CU165" s="1073"/>
      <c r="CY165" s="1134">
        <f>$G$165</f>
        <v>8.3054675822784807E-2</v>
      </c>
      <c r="CZ165" s="1134">
        <f>$G$165</f>
        <v>8.3054675822784807E-2</v>
      </c>
      <c r="DA165" s="1134">
        <f>$G$165</f>
        <v>8.3054675822784807E-2</v>
      </c>
      <c r="DB165" s="1134">
        <f>$G$165</f>
        <v>8.3054675822784807E-2</v>
      </c>
      <c r="DC165" s="1073"/>
      <c r="DG165" s="1134">
        <f>$G$165</f>
        <v>8.3054675822784807E-2</v>
      </c>
      <c r="DH165" s="1134">
        <f>$G$165</f>
        <v>8.3054675822784807E-2</v>
      </c>
      <c r="DI165" s="1134">
        <f>$G$165</f>
        <v>8.3054675822784807E-2</v>
      </c>
      <c r="DJ165" s="1134">
        <f>$G$165</f>
        <v>8.3054675822784807E-2</v>
      </c>
      <c r="DK165" s="1073"/>
      <c r="DO165" s="1134">
        <f>$G$165</f>
        <v>8.3054675822784807E-2</v>
      </c>
      <c r="DP165" s="1134">
        <f>$G$165</f>
        <v>8.3054675822784807E-2</v>
      </c>
      <c r="DQ165" s="1134">
        <f>$G$165</f>
        <v>8.3054675822784807E-2</v>
      </c>
      <c r="DR165" s="1134">
        <f>$G$165</f>
        <v>8.3054675822784807E-2</v>
      </c>
      <c r="DS165" s="1073"/>
      <c r="DW165" s="1134">
        <f>$G$165</f>
        <v>8.3054675822784807E-2</v>
      </c>
      <c r="DX165" s="1134">
        <f>$G$165</f>
        <v>8.3054675822784807E-2</v>
      </c>
      <c r="DY165" s="1134">
        <f>$G$165</f>
        <v>8.3054675822784807E-2</v>
      </c>
      <c r="DZ165" s="1134">
        <f>$G$165</f>
        <v>8.3054675822784807E-2</v>
      </c>
      <c r="EA165" s="1073"/>
      <c r="EE165" s="1134">
        <f>$G$165</f>
        <v>8.3054675822784807E-2</v>
      </c>
      <c r="EF165" s="1134">
        <f>$G$165</f>
        <v>8.3054675822784807E-2</v>
      </c>
      <c r="EG165" s="1134">
        <f>$G$165</f>
        <v>8.3054675822784807E-2</v>
      </c>
      <c r="EH165" s="1134">
        <f>$G$165</f>
        <v>8.3054675822784807E-2</v>
      </c>
      <c r="EI165" s="1073"/>
      <c r="EM165" s="1134">
        <f>$G$165</f>
        <v>8.3054675822784807E-2</v>
      </c>
      <c r="EN165" s="1134">
        <f>$G$165</f>
        <v>8.3054675822784807E-2</v>
      </c>
      <c r="EO165" s="1134">
        <f>$G$165</f>
        <v>8.3054675822784807E-2</v>
      </c>
      <c r="EP165" s="1134">
        <f>$G$165</f>
        <v>8.3054675822784807E-2</v>
      </c>
      <c r="EQ165" s="1073"/>
      <c r="EU165" s="1134">
        <f>$G$165</f>
        <v>8.3054675822784807E-2</v>
      </c>
      <c r="EV165" s="1134">
        <f>$G$165</f>
        <v>8.3054675822784807E-2</v>
      </c>
      <c r="EW165" s="1134">
        <f>$G$165</f>
        <v>8.3054675822784807E-2</v>
      </c>
      <c r="EX165" s="1134">
        <f>$G$165</f>
        <v>8.3054675822784807E-2</v>
      </c>
      <c r="EY165" s="1073"/>
      <c r="FC165" s="1134">
        <f>$G$165</f>
        <v>8.3054675822784807E-2</v>
      </c>
      <c r="FD165" s="1134">
        <f>$G$165</f>
        <v>8.3054675822784807E-2</v>
      </c>
      <c r="FE165" s="1134">
        <f>$G$165</f>
        <v>8.3054675822784807E-2</v>
      </c>
      <c r="FF165" s="1134">
        <f>$G$165</f>
        <v>8.3054675822784807E-2</v>
      </c>
      <c r="FG165" s="1073"/>
      <c r="FK165" s="1134">
        <f>$G$165</f>
        <v>8.3054675822784807E-2</v>
      </c>
      <c r="FL165" s="1134">
        <f>$G$165</f>
        <v>8.3054675822784807E-2</v>
      </c>
      <c r="FM165" s="1134">
        <f>$G$165</f>
        <v>8.3054675822784807E-2</v>
      </c>
      <c r="FN165" s="1134">
        <f>$G$165</f>
        <v>8.3054675822784807E-2</v>
      </c>
      <c r="FO165" s="1073"/>
    </row>
    <row r="166" spans="1:171">
      <c r="A166" s="1457"/>
      <c r="B166" s="1"/>
      <c r="C166" s="1"/>
      <c r="D166" s="1"/>
      <c r="E166" s="1"/>
      <c r="F166" s="1"/>
      <c r="G166" s="1"/>
      <c r="H166" s="1"/>
      <c r="I166" s="1"/>
      <c r="J166" s="1458"/>
      <c r="K166" s="903"/>
      <c r="S166" s="1073"/>
      <c r="AA166" s="1073"/>
      <c r="AI166" s="1073"/>
      <c r="AQ166" s="1073"/>
      <c r="AY166" s="1073"/>
      <c r="BG166" s="1073"/>
      <c r="BO166" s="1073"/>
      <c r="BW166" s="1073"/>
      <c r="CE166" s="1073"/>
      <c r="CM166" s="1073"/>
      <c r="CU166" s="1073"/>
      <c r="DC166" s="1073"/>
      <c r="DK166" s="1073"/>
      <c r="DS166" s="1073"/>
      <c r="EA166" s="1073"/>
      <c r="EI166" s="1073"/>
      <c r="EQ166" s="1073"/>
      <c r="EY166" s="1073"/>
      <c r="FG166" s="1073"/>
      <c r="FO166" s="1073"/>
    </row>
    <row r="167" spans="1:171">
      <c r="A167" s="1459" t="s">
        <v>141</v>
      </c>
      <c r="B167" s="1"/>
      <c r="C167" s="1"/>
      <c r="D167" s="1"/>
      <c r="E167" s="1"/>
      <c r="F167" s="1"/>
      <c r="G167" s="979">
        <f>G161*G165</f>
        <v>318560839.00773537</v>
      </c>
      <c r="H167" s="979">
        <f>H161*H165</f>
        <v>91289873.635046005</v>
      </c>
      <c r="I167" s="979">
        <f>I161*I165</f>
        <v>0</v>
      </c>
      <c r="J167" s="1460">
        <f>J161*J165</f>
        <v>227270965.2772226</v>
      </c>
      <c r="K167" s="903"/>
      <c r="O167" s="1130">
        <f>O161*O165</f>
        <v>318560839.00773537</v>
      </c>
      <c r="P167" s="1130">
        <f>P161*P165</f>
        <v>91289873.635046005</v>
      </c>
      <c r="Q167" s="1130">
        <f>Q161*Q165</f>
        <v>68995342.635173887</v>
      </c>
      <c r="R167" s="1130">
        <f>R161*R165</f>
        <v>158275622.73751551</v>
      </c>
      <c r="S167" s="1073"/>
      <c r="W167" s="1130">
        <f>W161*W165</f>
        <v>318560839.00773537</v>
      </c>
      <c r="X167" s="1130">
        <f>X161*X165</f>
        <v>91289873.635046005</v>
      </c>
      <c r="Y167" s="1130">
        <f>Y161*Y165</f>
        <v>68995342.635173887</v>
      </c>
      <c r="Z167" s="1130">
        <f>Z161*Z165</f>
        <v>158275622.73751551</v>
      </c>
      <c r="AA167" s="1073"/>
      <c r="AE167" s="1130">
        <f>AE161*AE165</f>
        <v>318560839.00773537</v>
      </c>
      <c r="AF167" s="1130">
        <f>AF161*AF165</f>
        <v>91289873.635046005</v>
      </c>
      <c r="AG167" s="1130">
        <f>AG161*AG165</f>
        <v>68995342.635173887</v>
      </c>
      <c r="AH167" s="1130">
        <f>AH161*AH165</f>
        <v>158275622.73751551</v>
      </c>
      <c r="AI167" s="1073"/>
      <c r="AM167" s="1130">
        <f>AM161*AM165</f>
        <v>318560839.00773537</v>
      </c>
      <c r="AN167" s="1130">
        <f>AN161*AN165</f>
        <v>91289873.635046005</v>
      </c>
      <c r="AO167" s="1130">
        <f>AO161*AO165</f>
        <v>68995342.635173887</v>
      </c>
      <c r="AP167" s="1130">
        <f>AP161*AP165</f>
        <v>158275622.73751551</v>
      </c>
      <c r="AQ167" s="1073"/>
      <c r="AU167" s="1130">
        <f>AU161*AU165</f>
        <v>318560839.00773537</v>
      </c>
      <c r="AV167" s="1130">
        <f>AV161*AV165</f>
        <v>91289873.635046005</v>
      </c>
      <c r="AW167" s="1130">
        <f>AW161*AW165</f>
        <v>68995342.635173887</v>
      </c>
      <c r="AX167" s="1130">
        <f>AX161*AX165</f>
        <v>158275622.73751551</v>
      </c>
      <c r="AY167" s="1073"/>
      <c r="BC167" s="1130">
        <f>BC161*BC165</f>
        <v>318560839.00773537</v>
      </c>
      <c r="BD167" s="1130">
        <f>BD161*BD165</f>
        <v>91289873.635046005</v>
      </c>
      <c r="BE167" s="1130">
        <f>BE161*BE165</f>
        <v>68995342.635173887</v>
      </c>
      <c r="BF167" s="1130">
        <f>BF161*BF165</f>
        <v>158275622.73751551</v>
      </c>
      <c r="BG167" s="1073"/>
      <c r="BK167" s="1130">
        <f>BK161*BK165</f>
        <v>318560839.00773537</v>
      </c>
      <c r="BL167" s="1130">
        <f>BL161*BL165</f>
        <v>91289873.635046005</v>
      </c>
      <c r="BM167" s="1130">
        <f>BM161*BM165</f>
        <v>68995342.635173887</v>
      </c>
      <c r="BN167" s="1130">
        <f>BN161*BN165</f>
        <v>158275622.73751551</v>
      </c>
      <c r="BO167" s="1073"/>
      <c r="BS167" s="1130">
        <f>BS161*BS165</f>
        <v>318560839.00773537</v>
      </c>
      <c r="BT167" s="1130">
        <f>BT161*BT165</f>
        <v>91289873.635046005</v>
      </c>
      <c r="BU167" s="1130">
        <f>BU161*BU165</f>
        <v>68995342.635173887</v>
      </c>
      <c r="BV167" s="1130">
        <f>BV161*BV165</f>
        <v>158275622.73751551</v>
      </c>
      <c r="BW167" s="1073"/>
      <c r="CA167" s="1130">
        <f>CA161*CA165</f>
        <v>318560839.00773537</v>
      </c>
      <c r="CB167" s="1130">
        <f>CB161*CB165</f>
        <v>91289873.635046005</v>
      </c>
      <c r="CC167" s="1130">
        <f>CC161*CC165</f>
        <v>68995342.635173887</v>
      </c>
      <c r="CD167" s="1130">
        <f>CD161*CD165</f>
        <v>158275622.73751551</v>
      </c>
      <c r="CE167" s="1073"/>
      <c r="CI167" s="1130">
        <f>CI161*CI165</f>
        <v>318560839.00773537</v>
      </c>
      <c r="CJ167" s="1130">
        <f>CJ161*CJ165</f>
        <v>91289873.635046005</v>
      </c>
      <c r="CK167" s="1130">
        <f>CK161*CK165</f>
        <v>68995342.635173887</v>
      </c>
      <c r="CL167" s="1130">
        <f>CL161*CL165</f>
        <v>158275622.73751551</v>
      </c>
      <c r="CM167" s="1073"/>
      <c r="CQ167" s="1130">
        <f>CQ161*CQ165</f>
        <v>318560839.00773537</v>
      </c>
      <c r="CR167" s="1130">
        <f>CR161*CR165</f>
        <v>91289873.635046005</v>
      </c>
      <c r="CS167" s="1130">
        <f>CS161*CS165</f>
        <v>68995342.635173887</v>
      </c>
      <c r="CT167" s="1130">
        <f>CT161*CT165</f>
        <v>158275622.73751551</v>
      </c>
      <c r="CU167" s="1073"/>
      <c r="CY167" s="1130">
        <f>CY161*CY165</f>
        <v>318560839.00773537</v>
      </c>
      <c r="CZ167" s="1130">
        <f>CZ161*CZ165</f>
        <v>91289873.635046005</v>
      </c>
      <c r="DA167" s="1130">
        <f>DA161*DA165</f>
        <v>68995342.635173887</v>
      </c>
      <c r="DB167" s="1130">
        <f>DB161*DB165</f>
        <v>158275622.73751551</v>
      </c>
      <c r="DC167" s="1073"/>
      <c r="DG167" s="1130">
        <f>DG161*DG165</f>
        <v>318560839.00773537</v>
      </c>
      <c r="DH167" s="1130">
        <f>DH161*DH165</f>
        <v>91289873.635046005</v>
      </c>
      <c r="DI167" s="1130">
        <f>DI161*DI165</f>
        <v>68995342.635173887</v>
      </c>
      <c r="DJ167" s="1130">
        <f>DJ161*DJ165</f>
        <v>158275622.73751551</v>
      </c>
      <c r="DK167" s="1073"/>
      <c r="DO167" s="1130">
        <f>DO161*DO165</f>
        <v>318560839.00773537</v>
      </c>
      <c r="DP167" s="1130">
        <f>DP161*DP165</f>
        <v>91289873.635046005</v>
      </c>
      <c r="DQ167" s="1130">
        <f>DQ161*DQ165</f>
        <v>68995342.635173887</v>
      </c>
      <c r="DR167" s="1130">
        <f>DR161*DR165</f>
        <v>158275622.73751551</v>
      </c>
      <c r="DS167" s="1073"/>
      <c r="DW167" s="1130">
        <f>DW161*DW165</f>
        <v>318560839.00773537</v>
      </c>
      <c r="DX167" s="1130">
        <f>DX161*DX165</f>
        <v>91289873.635046005</v>
      </c>
      <c r="DY167" s="1130">
        <f>DY161*DY165</f>
        <v>68995342.635173887</v>
      </c>
      <c r="DZ167" s="1130">
        <f>DZ161*DZ165</f>
        <v>158275622.73751551</v>
      </c>
      <c r="EA167" s="1073"/>
      <c r="EE167" s="1130">
        <f>EE161*EE165</f>
        <v>318560839.00773537</v>
      </c>
      <c r="EF167" s="1130">
        <f>EF161*EF165</f>
        <v>91289873.635046005</v>
      </c>
      <c r="EG167" s="1130">
        <f>EG161*EG165</f>
        <v>68995342.635173887</v>
      </c>
      <c r="EH167" s="1130">
        <f>EH161*EH165</f>
        <v>158275622.73751551</v>
      </c>
      <c r="EI167" s="1073"/>
      <c r="EM167" s="1130">
        <f>EM161*EM165</f>
        <v>318560839.00773537</v>
      </c>
      <c r="EN167" s="1130">
        <f>EN161*EN165</f>
        <v>91289873.635046005</v>
      </c>
      <c r="EO167" s="1130">
        <f>EO161*EO165</f>
        <v>68995342.635173887</v>
      </c>
      <c r="EP167" s="1130">
        <f>EP161*EP165</f>
        <v>158275622.73751551</v>
      </c>
      <c r="EQ167" s="1073"/>
      <c r="EU167" s="1130">
        <f>EU161*EU165</f>
        <v>318560839.00773537</v>
      </c>
      <c r="EV167" s="1130">
        <f>EV161*EV165</f>
        <v>91289873.635046005</v>
      </c>
      <c r="EW167" s="1130">
        <f>EW161*EW165</f>
        <v>68995342.635173887</v>
      </c>
      <c r="EX167" s="1130">
        <f>EX161*EX165</f>
        <v>158275622.73751551</v>
      </c>
      <c r="EY167" s="1073"/>
      <c r="FC167" s="1130">
        <f>FC161*FC165</f>
        <v>318560839.00773537</v>
      </c>
      <c r="FD167" s="1130">
        <f>FD161*FD165</f>
        <v>91289873.635046005</v>
      </c>
      <c r="FE167" s="1130">
        <f>FE161*FE165</f>
        <v>68995342.635173887</v>
      </c>
      <c r="FF167" s="1130">
        <f>FF161*FF165</f>
        <v>158275622.73751551</v>
      </c>
      <c r="FG167" s="1073"/>
      <c r="FK167" s="1130">
        <f>FK161*FK165</f>
        <v>318560839.00773537</v>
      </c>
      <c r="FL167" s="1130">
        <f>FL161*FL165</f>
        <v>91289873.635046005</v>
      </c>
      <c r="FM167" s="1130">
        <f>FM161*FM165</f>
        <v>68995342.635173887</v>
      </c>
      <c r="FN167" s="1130">
        <f>FN161*FN165</f>
        <v>158275622.73751551</v>
      </c>
      <c r="FO167" s="1073"/>
    </row>
    <row r="168" spans="1:171">
      <c r="A168" s="1457"/>
      <c r="B168" s="1"/>
      <c r="C168" s="1"/>
      <c r="D168" s="1"/>
      <c r="E168" s="1"/>
      <c r="F168" s="1"/>
      <c r="G168" s="1"/>
      <c r="H168" s="1"/>
      <c r="I168" s="1"/>
      <c r="J168" s="1458"/>
      <c r="K168" s="903"/>
      <c r="S168" s="1073"/>
      <c r="AA168" s="1073"/>
      <c r="AI168" s="1073"/>
      <c r="AQ168" s="1073"/>
      <c r="AY168" s="1073"/>
      <c r="BG168" s="1073"/>
      <c r="BO168" s="1073"/>
      <c r="BW168" s="1073"/>
      <c r="CE168" s="1073"/>
      <c r="CM168" s="1073"/>
      <c r="CU168" s="1073"/>
      <c r="DC168" s="1073"/>
      <c r="DK168" s="1073"/>
      <c r="DS168" s="1073"/>
      <c r="EA168" s="1073"/>
      <c r="EI168" s="1073"/>
      <c r="EQ168" s="1073"/>
      <c r="EY168" s="1073"/>
      <c r="FG168" s="1073"/>
      <c r="FO168" s="1073"/>
    </row>
    <row r="169" spans="1:171" ht="16.5" thickBot="1">
      <c r="A169" s="1457"/>
      <c r="B169" s="1"/>
      <c r="C169" s="1"/>
      <c r="D169" s="1"/>
      <c r="E169" s="1"/>
      <c r="F169" s="1"/>
      <c r="G169" s="1"/>
      <c r="H169" s="1"/>
      <c r="I169" s="1"/>
      <c r="J169" s="1458"/>
      <c r="K169" s="903"/>
      <c r="S169" s="1073"/>
      <c r="AA169" s="1073"/>
      <c r="AI169" s="1073"/>
      <c r="AQ169" s="1073"/>
      <c r="AY169" s="1073"/>
      <c r="BG169" s="1073"/>
      <c r="BO169" s="1073"/>
      <c r="BW169" s="1073"/>
      <c r="CE169" s="1073"/>
      <c r="CM169" s="1073"/>
      <c r="CU169" s="1073"/>
      <c r="DC169" s="1073"/>
      <c r="DK169" s="1073"/>
      <c r="DS169" s="1073"/>
      <c r="EA169" s="1073"/>
      <c r="EI169" s="1073"/>
      <c r="EQ169" s="1073"/>
      <c r="EY169" s="1073"/>
      <c r="FG169" s="1073"/>
      <c r="FO169" s="1073"/>
    </row>
    <row r="170" spans="1:171" ht="17.25" thickTop="1" thickBot="1">
      <c r="A170" s="1461" t="s">
        <v>82</v>
      </c>
      <c r="B170" s="982"/>
      <c r="C170" s="982"/>
      <c r="D170" s="982"/>
      <c r="E170" s="983"/>
      <c r="F170" s="983"/>
      <c r="G170" s="984"/>
      <c r="H170" s="985"/>
      <c r="I170" s="985"/>
      <c r="J170" s="1462"/>
      <c r="K170" s="903"/>
      <c r="S170" s="1073"/>
      <c r="AA170" s="1073"/>
      <c r="AI170" s="1073"/>
      <c r="AQ170" s="1073"/>
      <c r="AY170" s="1073"/>
      <c r="BG170" s="1073"/>
      <c r="BO170" s="1073"/>
      <c r="BW170" s="1073"/>
      <c r="CE170" s="1073"/>
      <c r="CM170" s="1073"/>
      <c r="CU170" s="1073"/>
      <c r="DC170" s="1073"/>
      <c r="DK170" s="1073"/>
      <c r="DS170" s="1073"/>
      <c r="EA170" s="1073"/>
      <c r="EI170" s="1073"/>
      <c r="EQ170" s="1073"/>
      <c r="EY170" s="1073"/>
      <c r="FG170" s="1073"/>
      <c r="FO170" s="1073"/>
    </row>
    <row r="171" spans="1:171" ht="17.25" thickTop="1" thickBot="1">
      <c r="A171" s="1463"/>
      <c r="B171" s="2382" t="s">
        <v>100</v>
      </c>
      <c r="C171" s="325" t="s">
        <v>323</v>
      </c>
      <c r="D171" s="325"/>
      <c r="E171" s="2465" t="s">
        <v>354</v>
      </c>
      <c r="F171" s="2466"/>
      <c r="G171" s="2469" t="s">
        <v>104</v>
      </c>
      <c r="H171" s="2472" t="s">
        <v>105</v>
      </c>
      <c r="I171" s="2475" t="s">
        <v>106</v>
      </c>
      <c r="J171" s="1464"/>
      <c r="K171" s="903"/>
      <c r="S171" s="1073"/>
      <c r="AA171" s="1073"/>
      <c r="AI171" s="1073"/>
      <c r="AQ171" s="1073"/>
      <c r="AY171" s="1073"/>
      <c r="BG171" s="1073"/>
      <c r="BO171" s="1073"/>
      <c r="BW171" s="1073"/>
      <c r="CE171" s="1073"/>
      <c r="CM171" s="1073"/>
      <c r="CU171" s="1073"/>
      <c r="DC171" s="1073"/>
      <c r="DK171" s="1073"/>
      <c r="DS171" s="1073"/>
      <c r="EA171" s="1073"/>
      <c r="EI171" s="1073"/>
      <c r="EQ171" s="1073"/>
      <c r="EY171" s="1073"/>
      <c r="FG171" s="1073"/>
      <c r="FO171" s="1073"/>
    </row>
    <row r="172" spans="1:171" ht="16.5" thickBot="1">
      <c r="A172" s="1340"/>
      <c r="B172" s="2463"/>
      <c r="C172" s="322" t="s">
        <v>272</v>
      </c>
      <c r="D172" s="322" t="s">
        <v>96</v>
      </c>
      <c r="E172" s="2467"/>
      <c r="F172" s="2468"/>
      <c r="G172" s="2470"/>
      <c r="H172" s="2473"/>
      <c r="I172" s="2461"/>
      <c r="J172" s="1341" t="s">
        <v>98</v>
      </c>
      <c r="K172" s="903"/>
      <c r="S172" s="1073"/>
      <c r="AA172" s="1073"/>
      <c r="AI172" s="1073"/>
      <c r="AQ172" s="1073"/>
      <c r="AY172" s="1073"/>
      <c r="BG172" s="1073"/>
      <c r="BO172" s="1073"/>
      <c r="BW172" s="1073"/>
      <c r="CE172" s="1073"/>
      <c r="CM172" s="1073"/>
      <c r="CU172" s="1073"/>
      <c r="DC172" s="1073"/>
      <c r="DK172" s="1073"/>
      <c r="DS172" s="1073"/>
      <c r="EA172" s="1073"/>
      <c r="EI172" s="1073"/>
      <c r="EQ172" s="1073"/>
      <c r="EY172" s="1073"/>
      <c r="FG172" s="1073"/>
      <c r="FO172" s="1073"/>
    </row>
    <row r="173" spans="1:171" ht="16.5" thickBot="1">
      <c r="A173" s="1465"/>
      <c r="B173" s="2464"/>
      <c r="C173" s="311" t="s">
        <v>273</v>
      </c>
      <c r="D173" s="311" t="s">
        <v>252</v>
      </c>
      <c r="E173" s="311" t="s">
        <v>454</v>
      </c>
      <c r="F173" s="311" t="s">
        <v>623</v>
      </c>
      <c r="G173" s="2471"/>
      <c r="H173" s="2474"/>
      <c r="I173" s="2476"/>
      <c r="J173" s="1466" t="s">
        <v>107</v>
      </c>
      <c r="K173" s="903"/>
      <c r="S173" s="1073"/>
      <c r="AA173" s="1073"/>
      <c r="AI173" s="1073"/>
      <c r="AQ173" s="1073"/>
      <c r="AY173" s="1073"/>
      <c r="BG173" s="1073"/>
      <c r="BO173" s="1073"/>
      <c r="BW173" s="1073"/>
      <c r="CE173" s="1073"/>
      <c r="CM173" s="1073"/>
      <c r="CU173" s="1073"/>
      <c r="DC173" s="1073"/>
      <c r="DK173" s="1073"/>
      <c r="DS173" s="1073"/>
      <c r="EA173" s="1073"/>
      <c r="EI173" s="1073"/>
      <c r="EQ173" s="1073"/>
      <c r="EY173" s="1073"/>
      <c r="FG173" s="1073"/>
      <c r="FO173" s="1073"/>
    </row>
    <row r="174" spans="1:171" ht="16.5" thickTop="1">
      <c r="A174" s="1362" t="s">
        <v>460</v>
      </c>
      <c r="B174" s="64"/>
      <c r="C174" s="55"/>
      <c r="D174" s="55"/>
      <c r="E174" s="55"/>
      <c r="F174" s="55"/>
      <c r="G174" s="989"/>
      <c r="H174" s="885"/>
      <c r="I174" s="885"/>
      <c r="J174" s="1436"/>
      <c r="K174" s="903"/>
      <c r="S174" s="1073"/>
      <c r="AA174" s="1073"/>
      <c r="AI174" s="1073"/>
      <c r="AQ174" s="1073"/>
      <c r="AY174" s="1073"/>
      <c r="BG174" s="1073"/>
      <c r="BO174" s="1073"/>
      <c r="BW174" s="1073"/>
      <c r="CE174" s="1073"/>
      <c r="CM174" s="1073"/>
      <c r="CU174" s="1073"/>
      <c r="DC174" s="1073"/>
      <c r="DK174" s="1073"/>
      <c r="DS174" s="1073"/>
      <c r="EA174" s="1073"/>
      <c r="EI174" s="1073"/>
      <c r="EQ174" s="1073"/>
      <c r="EY174" s="1073"/>
      <c r="FG174" s="1073"/>
      <c r="FO174" s="1073"/>
    </row>
    <row r="175" spans="1:171">
      <c r="A175" s="1423"/>
      <c r="B175" s="180" t="s">
        <v>461</v>
      </c>
      <c r="C175" s="55"/>
      <c r="D175" s="55"/>
      <c r="E175" s="55"/>
      <c r="F175" s="55"/>
      <c r="G175" s="989"/>
      <c r="H175" s="885"/>
      <c r="I175" s="885"/>
      <c r="J175" s="1436"/>
      <c r="K175" s="903"/>
      <c r="S175" s="1073"/>
      <c r="AA175" s="1073"/>
      <c r="AI175" s="1073"/>
      <c r="AQ175" s="1073"/>
      <c r="AY175" s="1073"/>
      <c r="BG175" s="1073"/>
      <c r="BO175" s="1073"/>
      <c r="BW175" s="1073"/>
      <c r="CE175" s="1073"/>
      <c r="CM175" s="1073"/>
      <c r="CU175" s="1073"/>
      <c r="DC175" s="1073"/>
      <c r="DK175" s="1073"/>
      <c r="DS175" s="1073"/>
      <c r="EA175" s="1073"/>
      <c r="EI175" s="1073"/>
      <c r="EQ175" s="1073"/>
      <c r="EY175" s="1073"/>
      <c r="FG175" s="1073"/>
      <c r="FO175" s="1073"/>
    </row>
    <row r="176" spans="1:171">
      <c r="A176" s="1444">
        <v>160</v>
      </c>
      <c r="B176" s="220" t="s">
        <v>259</v>
      </c>
      <c r="C176" s="888" t="s">
        <v>72</v>
      </c>
      <c r="D176" s="888">
        <v>501</v>
      </c>
      <c r="E176" s="182" t="str">
        <f>'Sch 3 - Expenses'!E16</f>
        <v>PROD</v>
      </c>
      <c r="F176" s="889"/>
      <c r="G176" s="182">
        <f>'Sch 3 - Expenses'!G16</f>
        <v>46052299</v>
      </c>
      <c r="H176" s="182">
        <f>'Sch 3 - Expenses'!H16</f>
        <v>46052299</v>
      </c>
      <c r="I176" s="182">
        <f>'Sch 3 - Expenses'!I16</f>
        <v>0</v>
      </c>
      <c r="J176" s="1424">
        <f>'Sch 3 - Expenses'!J16</f>
        <v>0</v>
      </c>
      <c r="K176" s="903">
        <f t="shared" ref="K176:K195" si="547">IF($E176="DIRECT",0,1)</f>
        <v>1</v>
      </c>
      <c r="N176" s="1161">
        <f>VLOOKUP($A176,'New Resources - Group'!$A$4:$Y$133,N$2,FALSE)*N$1</f>
        <v>0</v>
      </c>
      <c r="O176" s="1116">
        <f>$G176+N176</f>
        <v>46052299</v>
      </c>
      <c r="P176" s="1117">
        <f>VLOOKUP($E176,O$442:R$453,2,FALSE)*O176*($K176)+IF($G176&lt;&gt;0,($H176/$G176)*O176,0)*(1-$K176)</f>
        <v>46052299</v>
      </c>
      <c r="Q176" s="1117">
        <f>VLOOKUP($E176,O$442:R$453,3,FALSE)*O176*($K176)+IF($G176&lt;&gt;0,($I176/$G176)*O176,0)*(1-$K176)</f>
        <v>0</v>
      </c>
      <c r="R176" s="1117">
        <f>VLOOKUP($E176,O$442:R$453,4,FALSE)*O176*($K176)+(O176-P176-Q176)*(1-$K176)</f>
        <v>0</v>
      </c>
      <c r="S176" s="1073"/>
      <c r="V176" s="1161">
        <f>VLOOKUP($A176,'New Resources - Group'!$A$4:$Y$133,V$2,FALSE)*V$1</f>
        <v>0</v>
      </c>
      <c r="W176" s="1116">
        <f>$G176+V176</f>
        <v>46052299</v>
      </c>
      <c r="X176" s="1117">
        <f>VLOOKUP($E176,W$442:Z$453,2,FALSE)*W176*($K176)+IF($G176&lt;&gt;0,($H176/$G176)*W176,0)*(1-$K176)</f>
        <v>46052299</v>
      </c>
      <c r="Y176" s="1117">
        <f>VLOOKUP($E176,W$442:Z$453,3,FALSE)*W176*($K176)+IF($G176&lt;&gt;0,($I176/$G176)*W176,0)*(1-$K176)</f>
        <v>0</v>
      </c>
      <c r="Z176" s="1117">
        <f>VLOOKUP($E176,W$442:Z$453,4,FALSE)*W176*($K176)+(W176-X176-Y176)*(1-$K176)</f>
        <v>0</v>
      </c>
      <c r="AA176" s="1073"/>
      <c r="AD176" s="1161">
        <f>VLOOKUP($A176,'New Resources - Group'!$A$4:$Y$133,AD$2,FALSE)*AD$1</f>
        <v>0</v>
      </c>
      <c r="AE176" s="1116">
        <f>$G176+AD176</f>
        <v>46052299</v>
      </c>
      <c r="AF176" s="1117">
        <f>VLOOKUP($E176,AE$442:AH$453,2,FALSE)*AE176*($K176)+IF($G176&lt;&gt;0,($H176/$G176)*AE176,0)*(1-$K176)</f>
        <v>46052299</v>
      </c>
      <c r="AG176" s="1117">
        <f>VLOOKUP($E176,AE$442:AH$453,3,FALSE)*AE176*($K176)+IF($G176&lt;&gt;0,($I176/$G176)*AE176,0)*(1-$K176)</f>
        <v>0</v>
      </c>
      <c r="AH176" s="1117">
        <f>VLOOKUP($E176,AE$442:AH$453,4,FALSE)*AE176*($K176)+(AE176-AF176-AG176)*(1-$K176)</f>
        <v>0</v>
      </c>
      <c r="AI176" s="1073"/>
      <c r="AL176" s="1161">
        <f>VLOOKUP($A176,'New Resources - Group'!$A$4:$Y$133,AL$2,FALSE)*AL$1</f>
        <v>0</v>
      </c>
      <c r="AM176" s="1116">
        <f>$G176+AL176</f>
        <v>46052299</v>
      </c>
      <c r="AN176" s="1117">
        <f>VLOOKUP($E176,AM$442:AP$453,2,FALSE)*AM176*($K176)+IF($G176&lt;&gt;0,($H176/$G176)*AM176,0)*(1-$K176)</f>
        <v>46052299</v>
      </c>
      <c r="AO176" s="1117">
        <f>VLOOKUP($E176,AM$442:AP$453,3,FALSE)*AM176*($K176)+IF($G176&lt;&gt;0,($I176/$G176)*AM176,0)*(1-$K176)</f>
        <v>0</v>
      </c>
      <c r="AP176" s="1117">
        <f>VLOOKUP($E176,AM$442:AP$453,4,FALSE)*AM176*($K176)+(AM176-AN176-AO176)*(1-$K176)</f>
        <v>0</v>
      </c>
      <c r="AQ176" s="1073"/>
      <c r="AT176" s="1161">
        <f>VLOOKUP($A176,'New Resources - Group'!$A$4:$Y$133,AT$2,FALSE)*AT$1</f>
        <v>0</v>
      </c>
      <c r="AU176" s="1116">
        <f>$G176+AT176</f>
        <v>46052299</v>
      </c>
      <c r="AV176" s="1117">
        <f>VLOOKUP($E176,AU$442:AX$453,2,FALSE)*AU176*($K176)+IF($G176&lt;&gt;0,($H176/$G176)*AU176,0)*(1-$K176)</f>
        <v>46052299</v>
      </c>
      <c r="AW176" s="1117">
        <f>VLOOKUP($E176,AU$442:AX$453,3,FALSE)*AU176*($K176)+IF($G176&lt;&gt;0,($I176/$G176)*AU176,0)*(1-$K176)</f>
        <v>0</v>
      </c>
      <c r="AX176" s="1117">
        <f>VLOOKUP($E176,AU$442:AX$453,4,FALSE)*AU176*($K176)+(AU176-AV176-AW176)*(1-$K176)</f>
        <v>0</v>
      </c>
      <c r="AY176" s="1073"/>
      <c r="BB176" s="1161">
        <f>VLOOKUP($A176,'New Resources - Group'!$A$4:$Y$133,BB$2,FALSE)*BB$1</f>
        <v>0</v>
      </c>
      <c r="BC176" s="1116">
        <f>$G176+BB176</f>
        <v>46052299</v>
      </c>
      <c r="BD176" s="1117">
        <f>VLOOKUP($E176,BC$442:BF$453,2,FALSE)*BC176*($K176)+IF($G176&lt;&gt;0,($H176/$G176)*BC176,0)*(1-$K176)</f>
        <v>46052299</v>
      </c>
      <c r="BE176" s="1117">
        <f>VLOOKUP($E176,BC$442:BF$453,3,FALSE)*BC176*($K176)+IF($G176&lt;&gt;0,($I176/$G176)*BC176,0)*(1-$K176)</f>
        <v>0</v>
      </c>
      <c r="BF176" s="1117">
        <f>VLOOKUP($E176,BC$442:BF$453,4,FALSE)*BC176*($K176)+(BC176-BD176-BE176)*(1-$K176)</f>
        <v>0</v>
      </c>
      <c r="BG176" s="1073"/>
      <c r="BJ176" s="1161">
        <f>VLOOKUP($A176,'New Resources - Group'!$A$4:$Y$133,BJ$2,FALSE)*BJ$1</f>
        <v>0</v>
      </c>
      <c r="BK176" s="1116">
        <f>$G176+BJ176</f>
        <v>46052299</v>
      </c>
      <c r="BL176" s="1117">
        <f>VLOOKUP($E176,BK$442:BN$453,2,FALSE)*BK176*($K176)+IF($G176&lt;&gt;0,($H176/$G176)*BK176,0)*(1-$K176)</f>
        <v>46052299</v>
      </c>
      <c r="BM176" s="1117">
        <f>VLOOKUP($E176,BK$442:BN$453,3,FALSE)*BK176*($K176)+IF($G176&lt;&gt;0,($I176/$G176)*BK176,0)*(1-$K176)</f>
        <v>0</v>
      </c>
      <c r="BN176" s="1117">
        <f>VLOOKUP($E176,BK$442:BN$453,4,FALSE)*BK176*($K176)+(BK176-BL176-BM176)*(1-$K176)</f>
        <v>0</v>
      </c>
      <c r="BO176" s="1073"/>
      <c r="BR176" s="1161">
        <f>VLOOKUP($A176,'New Resources - Group'!$A$4:$Y$133,BR$2,FALSE)*BR$1</f>
        <v>0</v>
      </c>
      <c r="BS176" s="1116">
        <f>$G176+BR176</f>
        <v>46052299</v>
      </c>
      <c r="BT176" s="1117">
        <f>VLOOKUP($E176,BS$442:BV$453,2,FALSE)*BS176*($K176)+IF($G176&lt;&gt;0,($H176/$G176)*BS176,0)*(1-$K176)</f>
        <v>46052299</v>
      </c>
      <c r="BU176" s="1117">
        <f>VLOOKUP($E176,BS$442:BV$453,3,FALSE)*BS176*($K176)+IF($G176&lt;&gt;0,($I176/$G176)*BS176,0)*(1-$K176)</f>
        <v>0</v>
      </c>
      <c r="BV176" s="1117">
        <f>VLOOKUP($E176,BS$442:BV$453,4,FALSE)*BS176*($K176)+(BS176-BT176-BU176)*(1-$K176)</f>
        <v>0</v>
      </c>
      <c r="BW176" s="1073"/>
      <c r="BZ176" s="1161">
        <f>VLOOKUP($A176,'New Resources - Group'!$A$4:$Y$133,BZ$2,FALSE)*BZ$1</f>
        <v>0</v>
      </c>
      <c r="CA176" s="1116">
        <f>$G176+BZ176</f>
        <v>46052299</v>
      </c>
      <c r="CB176" s="1117">
        <f>VLOOKUP($E176,CA$442:CD$453,2,FALSE)*CA176*($K176)+IF($G176&lt;&gt;0,($H176/$G176)*CA176,0)*(1-$K176)</f>
        <v>46052299</v>
      </c>
      <c r="CC176" s="1117">
        <f>VLOOKUP($E176,CA$442:CD$453,3,FALSE)*CA176*($K176)+IF($G176&lt;&gt;0,($I176/$G176)*CA176,0)*(1-$K176)</f>
        <v>0</v>
      </c>
      <c r="CD176" s="1117">
        <f>VLOOKUP($E176,CA$442:CD$453,4,FALSE)*CA176*($K176)+(CA176-CB176-CC176)*(1-$K176)</f>
        <v>0</v>
      </c>
      <c r="CE176" s="1073"/>
      <c r="CH176" s="1161">
        <f>VLOOKUP($A176,'New Resources - Group'!$A$4:$Y$133,CH$2,FALSE)*CH$1</f>
        <v>0</v>
      </c>
      <c r="CI176" s="1116">
        <f>$G176+CH176</f>
        <v>46052299</v>
      </c>
      <c r="CJ176" s="1117">
        <f>VLOOKUP($E176,CI$442:CL$453,2,FALSE)*CI176*($K176)+IF($G176&lt;&gt;0,($H176/$G176)*CI176,0)*(1-$K176)</f>
        <v>46052299</v>
      </c>
      <c r="CK176" s="1117">
        <f>VLOOKUP($E176,CI$442:CL$453,3,FALSE)*CI176*($K176)+IF($G176&lt;&gt;0,($I176/$G176)*CI176,0)*(1-$K176)</f>
        <v>0</v>
      </c>
      <c r="CL176" s="1117">
        <f>VLOOKUP($E176,CI$442:CL$453,4,FALSE)*CI176*($K176)+(CI176-CJ176-CK176)*(1-$K176)</f>
        <v>0</v>
      </c>
      <c r="CM176" s="1073"/>
      <c r="CP176" s="1161">
        <f>VLOOKUP($A176,'New Resources - Group'!$A$4:$Y$133,CP$2,FALSE)*CP$1</f>
        <v>0</v>
      </c>
      <c r="CQ176" s="1116">
        <f>$G176+CP176</f>
        <v>46052299</v>
      </c>
      <c r="CR176" s="1117">
        <f>VLOOKUP($E176,CQ$442:CT$453,2,FALSE)*CQ176*($K176)+IF($G176&lt;&gt;0,($H176/$G176)*CQ176,0)*(1-$K176)</f>
        <v>46052299</v>
      </c>
      <c r="CS176" s="1117">
        <f>VLOOKUP($E176,CQ$442:CT$453,3,FALSE)*CQ176*($K176)+IF($G176&lt;&gt;0,($I176/$G176)*CQ176,0)*(1-$K176)</f>
        <v>0</v>
      </c>
      <c r="CT176" s="1117">
        <f>VLOOKUP($E176,CQ$442:CT$453,4,FALSE)*CQ176*($K176)+(CQ176-CR176-CS176)*(1-$K176)</f>
        <v>0</v>
      </c>
      <c r="CU176" s="1073"/>
      <c r="CX176" s="1161">
        <f>VLOOKUP($A176,'New Resources - Group'!$A$4:$Y$133,CX$2,FALSE)*CX$1</f>
        <v>0</v>
      </c>
      <c r="CY176" s="1116">
        <f>$G176+CX176</f>
        <v>46052299</v>
      </c>
      <c r="CZ176" s="1117">
        <f>VLOOKUP($E176,CY$442:DB$453,2,FALSE)*CY176*($K176)+IF($G176&lt;&gt;0,($H176/$G176)*CY176,0)*(1-$K176)</f>
        <v>46052299</v>
      </c>
      <c r="DA176" s="1117">
        <f>VLOOKUP($E176,CY$442:DB$453,3,FALSE)*CY176*($K176)+IF($G176&lt;&gt;0,($I176/$G176)*CY176,0)*(1-$K176)</f>
        <v>0</v>
      </c>
      <c r="DB176" s="1117">
        <f>VLOOKUP($E176,CY$442:DB$453,4,FALSE)*CY176*($K176)+(CY176-CZ176-DA176)*(1-$K176)</f>
        <v>0</v>
      </c>
      <c r="DC176" s="1073"/>
      <c r="DF176" s="1161">
        <f>VLOOKUP($A176,'New Resources - Group'!$A$4:$Y$133,DF$2,FALSE)*DF$1</f>
        <v>0</v>
      </c>
      <c r="DG176" s="1116">
        <f>$G176+DF176</f>
        <v>46052299</v>
      </c>
      <c r="DH176" s="1117">
        <f>VLOOKUP($E176,DG$442:DJ$453,2,FALSE)*DG176*($K176)+IF($G176&lt;&gt;0,($H176/$G176)*DG176,0)*(1-$K176)</f>
        <v>46052299</v>
      </c>
      <c r="DI176" s="1117">
        <f>VLOOKUP($E176,DG$442:DJ$453,3,FALSE)*DG176*($K176)+IF($G176&lt;&gt;0,($I176/$G176)*DG176,0)*(1-$K176)</f>
        <v>0</v>
      </c>
      <c r="DJ176" s="1117">
        <f>VLOOKUP($E176,DG$442:DJ$453,4,FALSE)*DG176*($K176)+(DG176-DH176-DI176)*(1-$K176)</f>
        <v>0</v>
      </c>
      <c r="DK176" s="1073"/>
      <c r="DN176" s="1161">
        <f>VLOOKUP($A176,'New Resources - Group'!$A$4:$Y$133,DN$2,FALSE)*DN$1</f>
        <v>0</v>
      </c>
      <c r="DO176" s="1116">
        <f>$G176+DN176</f>
        <v>46052299</v>
      </c>
      <c r="DP176" s="1117">
        <f>VLOOKUP($E176,DO$442:DR$453,2,FALSE)*DO176*($K176)+IF($G176&lt;&gt;0,($H176/$G176)*DO176,0)*(1-$K176)</f>
        <v>46052299</v>
      </c>
      <c r="DQ176" s="1117">
        <f>VLOOKUP($E176,DO$442:DR$453,3,FALSE)*DO176*($K176)+IF($G176&lt;&gt;0,($I176/$G176)*DO176,0)*(1-$K176)</f>
        <v>0</v>
      </c>
      <c r="DR176" s="1117">
        <f>VLOOKUP($E176,DO$442:DR$453,4,FALSE)*DO176*($K176)+(DO176-DP176-DQ176)*(1-$K176)</f>
        <v>0</v>
      </c>
      <c r="DS176" s="1073"/>
      <c r="DV176" s="1161">
        <f>VLOOKUP($A176,'New Resources - Group'!$A$4:$Y$133,DV$2,FALSE)*DV$1</f>
        <v>0</v>
      </c>
      <c r="DW176" s="1116">
        <f>$G176+DV176</f>
        <v>46052299</v>
      </c>
      <c r="DX176" s="1117">
        <f>VLOOKUP($E176,DW$442:DZ$453,2,FALSE)*DW176*($K176)+IF($G176&lt;&gt;0,($H176/$G176)*DW176,0)*(1-$K176)</f>
        <v>46052299</v>
      </c>
      <c r="DY176" s="1117">
        <f>VLOOKUP($E176,DW$442:DZ$453,3,FALSE)*DW176*($K176)+IF($G176&lt;&gt;0,($I176/$G176)*DW176,0)*(1-$K176)</f>
        <v>0</v>
      </c>
      <c r="DZ176" s="1117">
        <f>VLOOKUP($E176,DW$442:DZ$453,4,FALSE)*DW176*($K176)+(DW176-DX176-DY176)*(1-$K176)</f>
        <v>0</v>
      </c>
      <c r="EA176" s="1073"/>
      <c r="ED176" s="1161">
        <f>VLOOKUP($A176,'New Resources - Group'!$A$4:$Y$133,ED$2,FALSE)*ED$1</f>
        <v>0</v>
      </c>
      <c r="EE176" s="1116">
        <f>$G176+ED176</f>
        <v>46052299</v>
      </c>
      <c r="EF176" s="1117">
        <f>VLOOKUP($E176,EE$442:EH$453,2,FALSE)*EE176*($K176)+IF($G176&lt;&gt;0,($H176/$G176)*EE176,0)*(1-$K176)</f>
        <v>46052299</v>
      </c>
      <c r="EG176" s="1117">
        <f>VLOOKUP($E176,EE$442:EH$453,3,FALSE)*EE176*($K176)+IF($G176&lt;&gt;0,($I176/$G176)*EE176,0)*(1-$K176)</f>
        <v>0</v>
      </c>
      <c r="EH176" s="1117">
        <f>VLOOKUP($E176,EE$442:EH$453,4,FALSE)*EE176*($K176)+(EE176-EF176-EG176)*(1-$K176)</f>
        <v>0</v>
      </c>
      <c r="EI176" s="1073"/>
      <c r="EL176" s="1161">
        <f>VLOOKUP($A176,'New Resources - Group'!$A$4:$Y$133,EL$2,FALSE)*EL$1</f>
        <v>0</v>
      </c>
      <c r="EM176" s="1116">
        <f>$G176+EL176</f>
        <v>46052299</v>
      </c>
      <c r="EN176" s="1117">
        <f>VLOOKUP($E176,EM$442:EP$453,2,FALSE)*EM176*($K176)+IF($G176&lt;&gt;0,($H176/$G176)*EM176,0)*(1-$K176)</f>
        <v>46052299</v>
      </c>
      <c r="EO176" s="1117">
        <f>VLOOKUP($E176,EM$442:EP$453,3,FALSE)*EM176*($K176)+IF($G176&lt;&gt;0,($I176/$G176)*EM176,0)*(1-$K176)</f>
        <v>0</v>
      </c>
      <c r="EP176" s="1117">
        <f>VLOOKUP($E176,EM$442:EP$453,4,FALSE)*EM176*($K176)+(EM176-EN176-EO176)*(1-$K176)</f>
        <v>0</v>
      </c>
      <c r="EQ176" s="1073"/>
      <c r="ET176" s="1161">
        <f>VLOOKUP($A176,'New Resources - Group'!$A$4:$Y$133,ET$2,FALSE)*ET$1</f>
        <v>0</v>
      </c>
      <c r="EU176" s="1116">
        <f>$G176+ET176</f>
        <v>46052299</v>
      </c>
      <c r="EV176" s="1117">
        <f>VLOOKUP($E176,EU$442:EX$453,2,FALSE)*EU176*($K176)+IF($G176&lt;&gt;0,($H176/$G176)*EU176,0)*(1-$K176)</f>
        <v>46052299</v>
      </c>
      <c r="EW176" s="1117">
        <f>VLOOKUP($E176,EU$442:EX$453,3,FALSE)*EU176*($K176)+IF($G176&lt;&gt;0,($I176/$G176)*EU176,0)*(1-$K176)</f>
        <v>0</v>
      </c>
      <c r="EX176" s="1117">
        <f>VLOOKUP($E176,EU$442:EX$453,4,FALSE)*EU176*($K176)+(EU176-EV176-EW176)*(1-$K176)</f>
        <v>0</v>
      </c>
      <c r="EY176" s="1073"/>
      <c r="FB176" s="1161">
        <f>VLOOKUP($A176,'New Resources - Group'!$A$4:$Y$133,FB$2,FALSE)*FB$1</f>
        <v>0</v>
      </c>
      <c r="FC176" s="1116">
        <f>$G176+FB176</f>
        <v>46052299</v>
      </c>
      <c r="FD176" s="1117">
        <f>VLOOKUP($E176,FC$442:FF$453,2,FALSE)*FC176*($K176)+IF($G176&lt;&gt;0,($H176/$G176)*FC176,0)*(1-$K176)</f>
        <v>46052299</v>
      </c>
      <c r="FE176" s="1117">
        <f>VLOOKUP($E176,FC$442:FF$453,3,FALSE)*FC176*($K176)+IF($G176&lt;&gt;0,($I176/$G176)*FC176,0)*(1-$K176)</f>
        <v>0</v>
      </c>
      <c r="FF176" s="1117">
        <f>VLOOKUP($E176,FC$442:FF$453,4,FALSE)*FC176*($K176)+(FC176-FD176-FE176)*(1-$K176)</f>
        <v>0</v>
      </c>
      <c r="FG176" s="1073"/>
      <c r="FJ176" s="1161">
        <f>VLOOKUP($A176,'New Resources - Group'!$A$4:$Y$133,FJ$2,FALSE)*FJ$1</f>
        <v>0</v>
      </c>
      <c r="FK176" s="1116">
        <f>$G176+FJ176</f>
        <v>46052299</v>
      </c>
      <c r="FL176" s="1117">
        <f>VLOOKUP($E176,FK$442:FN$453,2,FALSE)*FK176*($K176)+IF($G176&lt;&gt;0,($H176/$G176)*FK176,0)*(1-$K176)</f>
        <v>46052299</v>
      </c>
      <c r="FM176" s="1117">
        <f>VLOOKUP($E176,FK$442:FN$453,3,FALSE)*FK176*($K176)+IF($G176&lt;&gt;0,($I176/$G176)*FK176,0)*(1-$K176)</f>
        <v>0</v>
      </c>
      <c r="FN176" s="1117">
        <f>VLOOKUP($E176,FK$442:FN$453,4,FALSE)*FK176*($K176)+(FK176-FL176-FM176)*(1-$K176)</f>
        <v>0</v>
      </c>
      <c r="FO176" s="1073"/>
    </row>
    <row r="177" spans="1:171">
      <c r="A177" s="1444">
        <v>170</v>
      </c>
      <c r="B177" s="220" t="s">
        <v>260</v>
      </c>
      <c r="C177" s="888" t="s">
        <v>72</v>
      </c>
      <c r="D177" s="888" t="s">
        <v>456</v>
      </c>
      <c r="E177" s="182" t="str">
        <f>'Sch 3 - Expenses'!E17</f>
        <v>PROD</v>
      </c>
      <c r="F177" s="889"/>
      <c r="G177" s="182">
        <f>'Sch 3 - Expenses'!G17</f>
        <v>12263177</v>
      </c>
      <c r="H177" s="182">
        <f>'Sch 3 - Expenses'!H17</f>
        <v>12263177</v>
      </c>
      <c r="I177" s="182">
        <f>'Sch 3 - Expenses'!I17</f>
        <v>0</v>
      </c>
      <c r="J177" s="1424">
        <f>'Sch 3 - Expenses'!J17</f>
        <v>0</v>
      </c>
      <c r="K177" s="903">
        <f t="shared" si="547"/>
        <v>1</v>
      </c>
      <c r="N177" s="1161">
        <f>VLOOKUP($A177,'New Resources - Group'!$A$4:$Y$133,N$2,FALSE)*N$1</f>
        <v>0</v>
      </c>
      <c r="O177" s="1116">
        <f>$G177+N177</f>
        <v>12263177</v>
      </c>
      <c r="P177" s="1117">
        <f>VLOOKUP($E177,O$442:R$453,2,FALSE)*O177*($K177)+IF($G177&lt;&gt;0,($H177/$G177)*O177,0)*(1-$K177)</f>
        <v>12263177</v>
      </c>
      <c r="Q177" s="1117">
        <f>VLOOKUP($E177,O$442:R$453,3,FALSE)*O177*($K177)+IF($G177&lt;&gt;0,($I177/$G177)*O177,0)*(1-$K177)</f>
        <v>0</v>
      </c>
      <c r="R177" s="1117">
        <f>VLOOKUP($E177,O$442:R$453,4,FALSE)*O177*($K177)+(O177-P177-Q177)*(1-$K177)</f>
        <v>0</v>
      </c>
      <c r="S177" s="1073"/>
      <c r="V177" s="1161">
        <f>VLOOKUP($A177,'New Resources - Group'!$A$4:$Y$133,V$2,FALSE)*V$1</f>
        <v>0</v>
      </c>
      <c r="W177" s="1116">
        <f>$G177+V177</f>
        <v>12263177</v>
      </c>
      <c r="X177" s="1117">
        <f>VLOOKUP($E177,W$442:Z$453,2,FALSE)*W177*($K177)+IF($G177&lt;&gt;0,($H177/$G177)*W177,0)*(1-$K177)</f>
        <v>12263177</v>
      </c>
      <c r="Y177" s="1117">
        <f>VLOOKUP($E177,W$442:Z$453,3,FALSE)*W177*($K177)+IF($G177&lt;&gt;0,($I177/$G177)*W177,0)*(1-$K177)</f>
        <v>0</v>
      </c>
      <c r="Z177" s="1117">
        <f>VLOOKUP($E177,W$442:Z$453,4,FALSE)*W177*($K177)+(W177-X177-Y177)*(1-$K177)</f>
        <v>0</v>
      </c>
      <c r="AA177" s="1073"/>
      <c r="AD177" s="1161">
        <f>VLOOKUP($A177,'New Resources - Group'!$A$4:$Y$133,AD$2,FALSE)*AD$1</f>
        <v>0</v>
      </c>
      <c r="AE177" s="1116">
        <f>$G177+AD177</f>
        <v>12263177</v>
      </c>
      <c r="AF177" s="1117">
        <f>VLOOKUP($E177,AE$442:AH$453,2,FALSE)*AE177*($K177)+IF($G177&lt;&gt;0,($H177/$G177)*AE177,0)*(1-$K177)</f>
        <v>12263177</v>
      </c>
      <c r="AG177" s="1117">
        <f>VLOOKUP($E177,AE$442:AH$453,3,FALSE)*AE177*($K177)+IF($G177&lt;&gt;0,($I177/$G177)*AE177,0)*(1-$K177)</f>
        <v>0</v>
      </c>
      <c r="AH177" s="1117">
        <f>VLOOKUP($E177,AE$442:AH$453,4,FALSE)*AE177*($K177)+(AE177-AF177-AG177)*(1-$K177)</f>
        <v>0</v>
      </c>
      <c r="AI177" s="1073"/>
      <c r="AL177" s="1161">
        <f>VLOOKUP($A177,'New Resources - Group'!$A$4:$Y$133,AL$2,FALSE)*AL$1</f>
        <v>0</v>
      </c>
      <c r="AM177" s="1116">
        <f>$G177+AL177</f>
        <v>12263177</v>
      </c>
      <c r="AN177" s="1117">
        <f>VLOOKUP($E177,AM$442:AP$453,2,FALSE)*AM177*($K177)+IF($G177&lt;&gt;0,($H177/$G177)*AM177,0)*(1-$K177)</f>
        <v>12263177</v>
      </c>
      <c r="AO177" s="1117">
        <f>VLOOKUP($E177,AM$442:AP$453,3,FALSE)*AM177*($K177)+IF($G177&lt;&gt;0,($I177/$G177)*AM177,0)*(1-$K177)</f>
        <v>0</v>
      </c>
      <c r="AP177" s="1117">
        <f>VLOOKUP($E177,AM$442:AP$453,4,FALSE)*AM177*($K177)+(AM177-AN177-AO177)*(1-$K177)</f>
        <v>0</v>
      </c>
      <c r="AQ177" s="1073"/>
      <c r="AT177" s="1161">
        <f>VLOOKUP($A177,'New Resources - Group'!$A$4:$Y$133,AT$2,FALSE)*AT$1</f>
        <v>0</v>
      </c>
      <c r="AU177" s="1116">
        <f>$G177+AT177</f>
        <v>12263177</v>
      </c>
      <c r="AV177" s="1117">
        <f>VLOOKUP($E177,AU$442:AX$453,2,FALSE)*AU177*($K177)+IF($G177&lt;&gt;0,($H177/$G177)*AU177,0)*(1-$K177)</f>
        <v>12263177</v>
      </c>
      <c r="AW177" s="1117">
        <f>VLOOKUP($E177,AU$442:AX$453,3,FALSE)*AU177*($K177)+IF($G177&lt;&gt;0,($I177/$G177)*AU177,0)*(1-$K177)</f>
        <v>0</v>
      </c>
      <c r="AX177" s="1117">
        <f>VLOOKUP($E177,AU$442:AX$453,4,FALSE)*AU177*($K177)+(AU177-AV177-AW177)*(1-$K177)</f>
        <v>0</v>
      </c>
      <c r="AY177" s="1073"/>
      <c r="BB177" s="1161">
        <f>VLOOKUP($A177,'New Resources - Group'!$A$4:$Y$133,BB$2,FALSE)*BB$1</f>
        <v>0</v>
      </c>
      <c r="BC177" s="1116">
        <f>$G177+BB177</f>
        <v>12263177</v>
      </c>
      <c r="BD177" s="1117">
        <f>VLOOKUP($E177,BC$442:BF$453,2,FALSE)*BC177*($K177)+IF($G177&lt;&gt;0,($H177/$G177)*BC177,0)*(1-$K177)</f>
        <v>12263177</v>
      </c>
      <c r="BE177" s="1117">
        <f>VLOOKUP($E177,BC$442:BF$453,3,FALSE)*BC177*($K177)+IF($G177&lt;&gt;0,($I177/$G177)*BC177,0)*(1-$K177)</f>
        <v>0</v>
      </c>
      <c r="BF177" s="1117">
        <f>VLOOKUP($E177,BC$442:BF$453,4,FALSE)*BC177*($K177)+(BC177-BD177-BE177)*(1-$K177)</f>
        <v>0</v>
      </c>
      <c r="BG177" s="1073"/>
      <c r="BJ177" s="1161">
        <f>VLOOKUP($A177,'New Resources - Group'!$A$4:$Y$133,BJ$2,FALSE)*BJ$1</f>
        <v>0</v>
      </c>
      <c r="BK177" s="1116">
        <f>$G177+BJ177</f>
        <v>12263177</v>
      </c>
      <c r="BL177" s="1117">
        <f>VLOOKUP($E177,BK$442:BN$453,2,FALSE)*BK177*($K177)+IF($G177&lt;&gt;0,($H177/$G177)*BK177,0)*(1-$K177)</f>
        <v>12263177</v>
      </c>
      <c r="BM177" s="1117">
        <f>VLOOKUP($E177,BK$442:BN$453,3,FALSE)*BK177*($K177)+IF($G177&lt;&gt;0,($I177/$G177)*BK177,0)*(1-$K177)</f>
        <v>0</v>
      </c>
      <c r="BN177" s="1117">
        <f>VLOOKUP($E177,BK$442:BN$453,4,FALSE)*BK177*($K177)+(BK177-BL177-BM177)*(1-$K177)</f>
        <v>0</v>
      </c>
      <c r="BO177" s="1073"/>
      <c r="BR177" s="1161">
        <f>VLOOKUP($A177,'New Resources - Group'!$A$4:$Y$133,BR$2,FALSE)*BR$1</f>
        <v>0</v>
      </c>
      <c r="BS177" s="1116">
        <f>$G177+BR177</f>
        <v>12263177</v>
      </c>
      <c r="BT177" s="1117">
        <f>VLOOKUP($E177,BS$442:BV$453,2,FALSE)*BS177*($K177)+IF($G177&lt;&gt;0,($H177/$G177)*BS177,0)*(1-$K177)</f>
        <v>12263177</v>
      </c>
      <c r="BU177" s="1117">
        <f>VLOOKUP($E177,BS$442:BV$453,3,FALSE)*BS177*($K177)+IF($G177&lt;&gt;0,($I177/$G177)*BS177,0)*(1-$K177)</f>
        <v>0</v>
      </c>
      <c r="BV177" s="1117">
        <f>VLOOKUP($E177,BS$442:BV$453,4,FALSE)*BS177*($K177)+(BS177-BT177-BU177)*(1-$K177)</f>
        <v>0</v>
      </c>
      <c r="BW177" s="1073"/>
      <c r="BZ177" s="1161">
        <f>VLOOKUP($A177,'New Resources - Group'!$A$4:$Y$133,BZ$2,FALSE)*BZ$1</f>
        <v>0</v>
      </c>
      <c r="CA177" s="1116">
        <f>$G177+BZ177</f>
        <v>12263177</v>
      </c>
      <c r="CB177" s="1117">
        <f>VLOOKUP($E177,CA$442:CD$453,2,FALSE)*CA177*($K177)+IF($G177&lt;&gt;0,($H177/$G177)*CA177,0)*(1-$K177)</f>
        <v>12263177</v>
      </c>
      <c r="CC177" s="1117">
        <f>VLOOKUP($E177,CA$442:CD$453,3,FALSE)*CA177*($K177)+IF($G177&lt;&gt;0,($I177/$G177)*CA177,0)*(1-$K177)</f>
        <v>0</v>
      </c>
      <c r="CD177" s="1117">
        <f>VLOOKUP($E177,CA$442:CD$453,4,FALSE)*CA177*($K177)+(CA177-CB177-CC177)*(1-$K177)</f>
        <v>0</v>
      </c>
      <c r="CE177" s="1073"/>
      <c r="CH177" s="1161">
        <f>VLOOKUP($A177,'New Resources - Group'!$A$4:$Y$133,CH$2,FALSE)*CH$1</f>
        <v>0</v>
      </c>
      <c r="CI177" s="1116">
        <f>$G177+CH177</f>
        <v>12263177</v>
      </c>
      <c r="CJ177" s="1117">
        <f>VLOOKUP($E177,CI$442:CL$453,2,FALSE)*CI177*($K177)+IF($G177&lt;&gt;0,($H177/$G177)*CI177,0)*(1-$K177)</f>
        <v>12263177</v>
      </c>
      <c r="CK177" s="1117">
        <f>VLOOKUP($E177,CI$442:CL$453,3,FALSE)*CI177*($K177)+IF($G177&lt;&gt;0,($I177/$G177)*CI177,0)*(1-$K177)</f>
        <v>0</v>
      </c>
      <c r="CL177" s="1117">
        <f>VLOOKUP($E177,CI$442:CL$453,4,FALSE)*CI177*($K177)+(CI177-CJ177-CK177)*(1-$K177)</f>
        <v>0</v>
      </c>
      <c r="CM177" s="1073"/>
      <c r="CP177" s="1161">
        <f>VLOOKUP($A177,'New Resources - Group'!$A$4:$Y$133,CP$2,FALSE)*CP$1</f>
        <v>0</v>
      </c>
      <c r="CQ177" s="1116">
        <f>$G177+CP177</f>
        <v>12263177</v>
      </c>
      <c r="CR177" s="1117">
        <f>VLOOKUP($E177,CQ$442:CT$453,2,FALSE)*CQ177*($K177)+IF($G177&lt;&gt;0,($H177/$G177)*CQ177,0)*(1-$K177)</f>
        <v>12263177</v>
      </c>
      <c r="CS177" s="1117">
        <f>VLOOKUP($E177,CQ$442:CT$453,3,FALSE)*CQ177*($K177)+IF($G177&lt;&gt;0,($I177/$G177)*CQ177,0)*(1-$K177)</f>
        <v>0</v>
      </c>
      <c r="CT177" s="1117">
        <f>VLOOKUP($E177,CQ$442:CT$453,4,FALSE)*CQ177*($K177)+(CQ177-CR177-CS177)*(1-$K177)</f>
        <v>0</v>
      </c>
      <c r="CU177" s="1073"/>
      <c r="CX177" s="1161">
        <f>VLOOKUP($A177,'New Resources - Group'!$A$4:$Y$133,CX$2,FALSE)*CX$1</f>
        <v>0</v>
      </c>
      <c r="CY177" s="1116">
        <f>$G177+CX177</f>
        <v>12263177</v>
      </c>
      <c r="CZ177" s="1117">
        <f>VLOOKUP($E177,CY$442:DB$453,2,FALSE)*CY177*($K177)+IF($G177&lt;&gt;0,($H177/$G177)*CY177,0)*(1-$K177)</f>
        <v>12263177</v>
      </c>
      <c r="DA177" s="1117">
        <f>VLOOKUP($E177,CY$442:DB$453,3,FALSE)*CY177*($K177)+IF($G177&lt;&gt;0,($I177/$G177)*CY177,0)*(1-$K177)</f>
        <v>0</v>
      </c>
      <c r="DB177" s="1117">
        <f>VLOOKUP($E177,CY$442:DB$453,4,FALSE)*CY177*($K177)+(CY177-CZ177-DA177)*(1-$K177)</f>
        <v>0</v>
      </c>
      <c r="DC177" s="1073"/>
      <c r="DF177" s="1161">
        <f>VLOOKUP($A177,'New Resources - Group'!$A$4:$Y$133,DF$2,FALSE)*DF$1</f>
        <v>0</v>
      </c>
      <c r="DG177" s="1116">
        <f>$G177+DF177</f>
        <v>12263177</v>
      </c>
      <c r="DH177" s="1117">
        <f>VLOOKUP($E177,DG$442:DJ$453,2,FALSE)*DG177*($K177)+IF($G177&lt;&gt;0,($H177/$G177)*DG177,0)*(1-$K177)</f>
        <v>12263177</v>
      </c>
      <c r="DI177" s="1117">
        <f>VLOOKUP($E177,DG$442:DJ$453,3,FALSE)*DG177*($K177)+IF($G177&lt;&gt;0,($I177/$G177)*DG177,0)*(1-$K177)</f>
        <v>0</v>
      </c>
      <c r="DJ177" s="1117">
        <f>VLOOKUP($E177,DG$442:DJ$453,4,FALSE)*DG177*($K177)+(DG177-DH177-DI177)*(1-$K177)</f>
        <v>0</v>
      </c>
      <c r="DK177" s="1073"/>
      <c r="DN177" s="1161">
        <f>VLOOKUP($A177,'New Resources - Group'!$A$4:$Y$133,DN$2,FALSE)*DN$1</f>
        <v>0</v>
      </c>
      <c r="DO177" s="1116">
        <f>$G177+DN177</f>
        <v>12263177</v>
      </c>
      <c r="DP177" s="1117">
        <f>VLOOKUP($E177,DO$442:DR$453,2,FALSE)*DO177*($K177)+IF($G177&lt;&gt;0,($H177/$G177)*DO177,0)*(1-$K177)</f>
        <v>12263177</v>
      </c>
      <c r="DQ177" s="1117">
        <f>VLOOKUP($E177,DO$442:DR$453,3,FALSE)*DO177*($K177)+IF($G177&lt;&gt;0,($I177/$G177)*DO177,0)*(1-$K177)</f>
        <v>0</v>
      </c>
      <c r="DR177" s="1117">
        <f>VLOOKUP($E177,DO$442:DR$453,4,FALSE)*DO177*($K177)+(DO177-DP177-DQ177)*(1-$K177)</f>
        <v>0</v>
      </c>
      <c r="DS177" s="1073"/>
      <c r="DV177" s="1161">
        <f>VLOOKUP($A177,'New Resources - Group'!$A$4:$Y$133,DV$2,FALSE)*DV$1</f>
        <v>0</v>
      </c>
      <c r="DW177" s="1116">
        <f>$G177+DV177</f>
        <v>12263177</v>
      </c>
      <c r="DX177" s="1117">
        <f>VLOOKUP($E177,DW$442:DZ$453,2,FALSE)*DW177*($K177)+IF($G177&lt;&gt;0,($H177/$G177)*DW177,0)*(1-$K177)</f>
        <v>12263177</v>
      </c>
      <c r="DY177" s="1117">
        <f>VLOOKUP($E177,DW$442:DZ$453,3,FALSE)*DW177*($K177)+IF($G177&lt;&gt;0,($I177/$G177)*DW177,0)*(1-$K177)</f>
        <v>0</v>
      </c>
      <c r="DZ177" s="1117">
        <f>VLOOKUP($E177,DW$442:DZ$453,4,FALSE)*DW177*($K177)+(DW177-DX177-DY177)*(1-$K177)</f>
        <v>0</v>
      </c>
      <c r="EA177" s="1073"/>
      <c r="ED177" s="1161">
        <f>VLOOKUP($A177,'New Resources - Group'!$A$4:$Y$133,ED$2,FALSE)*ED$1</f>
        <v>0</v>
      </c>
      <c r="EE177" s="1116">
        <f>$G177+ED177</f>
        <v>12263177</v>
      </c>
      <c r="EF177" s="1117">
        <f>VLOOKUP($E177,EE$442:EH$453,2,FALSE)*EE177*($K177)+IF($G177&lt;&gt;0,($H177/$G177)*EE177,0)*(1-$K177)</f>
        <v>12263177</v>
      </c>
      <c r="EG177" s="1117">
        <f>VLOOKUP($E177,EE$442:EH$453,3,FALSE)*EE177*($K177)+IF($G177&lt;&gt;0,($I177/$G177)*EE177,0)*(1-$K177)</f>
        <v>0</v>
      </c>
      <c r="EH177" s="1117">
        <f>VLOOKUP($E177,EE$442:EH$453,4,FALSE)*EE177*($K177)+(EE177-EF177-EG177)*(1-$K177)</f>
        <v>0</v>
      </c>
      <c r="EI177" s="1073"/>
      <c r="EL177" s="1161">
        <f>VLOOKUP($A177,'New Resources - Group'!$A$4:$Y$133,EL$2,FALSE)*EL$1</f>
        <v>0</v>
      </c>
      <c r="EM177" s="1116">
        <f>$G177+EL177</f>
        <v>12263177</v>
      </c>
      <c r="EN177" s="1117">
        <f>VLOOKUP($E177,EM$442:EP$453,2,FALSE)*EM177*($K177)+IF($G177&lt;&gt;0,($H177/$G177)*EM177,0)*(1-$K177)</f>
        <v>12263177</v>
      </c>
      <c r="EO177" s="1117">
        <f>VLOOKUP($E177,EM$442:EP$453,3,FALSE)*EM177*($K177)+IF($G177&lt;&gt;0,($I177/$G177)*EM177,0)*(1-$K177)</f>
        <v>0</v>
      </c>
      <c r="EP177" s="1117">
        <f>VLOOKUP($E177,EM$442:EP$453,4,FALSE)*EM177*($K177)+(EM177-EN177-EO177)*(1-$K177)</f>
        <v>0</v>
      </c>
      <c r="EQ177" s="1073"/>
      <c r="ET177" s="1161">
        <f>VLOOKUP($A177,'New Resources - Group'!$A$4:$Y$133,ET$2,FALSE)*ET$1</f>
        <v>0</v>
      </c>
      <c r="EU177" s="1116">
        <f>$G177+ET177</f>
        <v>12263177</v>
      </c>
      <c r="EV177" s="1117">
        <f>VLOOKUP($E177,EU$442:EX$453,2,FALSE)*EU177*($K177)+IF($G177&lt;&gt;0,($H177/$G177)*EU177,0)*(1-$K177)</f>
        <v>12263177</v>
      </c>
      <c r="EW177" s="1117">
        <f>VLOOKUP($E177,EU$442:EX$453,3,FALSE)*EU177*($K177)+IF($G177&lt;&gt;0,($I177/$G177)*EU177,0)*(1-$K177)</f>
        <v>0</v>
      </c>
      <c r="EX177" s="1117">
        <f>VLOOKUP($E177,EU$442:EX$453,4,FALSE)*EU177*($K177)+(EU177-EV177-EW177)*(1-$K177)</f>
        <v>0</v>
      </c>
      <c r="EY177" s="1073"/>
      <c r="FB177" s="1161">
        <f>VLOOKUP($A177,'New Resources - Group'!$A$4:$Y$133,FB$2,FALSE)*FB$1</f>
        <v>0</v>
      </c>
      <c r="FC177" s="1116">
        <f>$G177+FB177</f>
        <v>12263177</v>
      </c>
      <c r="FD177" s="1117">
        <f>VLOOKUP($E177,FC$442:FF$453,2,FALSE)*FC177*($K177)+IF($G177&lt;&gt;0,($H177/$G177)*FC177,0)*(1-$K177)</f>
        <v>12263177</v>
      </c>
      <c r="FE177" s="1117">
        <f>VLOOKUP($E177,FC$442:FF$453,3,FALSE)*FC177*($K177)+IF($G177&lt;&gt;0,($I177/$G177)*FC177,0)*(1-$K177)</f>
        <v>0</v>
      </c>
      <c r="FF177" s="1117">
        <f>VLOOKUP($E177,FC$442:FF$453,4,FALSE)*FC177*($K177)+(FC177-FD177-FE177)*(1-$K177)</f>
        <v>0</v>
      </c>
      <c r="FG177" s="1073"/>
      <c r="FJ177" s="1161">
        <f>VLOOKUP($A177,'New Resources - Group'!$A$4:$Y$133,FJ$2,FALSE)*FJ$1</f>
        <v>0</v>
      </c>
      <c r="FK177" s="1116">
        <f>$G177+FJ177</f>
        <v>12263177</v>
      </c>
      <c r="FL177" s="1117">
        <f>VLOOKUP($E177,FK$442:FN$453,2,FALSE)*FK177*($K177)+IF($G177&lt;&gt;0,($H177/$G177)*FK177,0)*(1-$K177)</f>
        <v>12263177</v>
      </c>
      <c r="FM177" s="1117">
        <f>VLOOKUP($E177,FK$442:FN$453,3,FALSE)*FK177*($K177)+IF($G177&lt;&gt;0,($I177/$G177)*FK177,0)*(1-$K177)</f>
        <v>0</v>
      </c>
      <c r="FN177" s="1117">
        <f>VLOOKUP($E177,FK$442:FN$453,4,FALSE)*FK177*($K177)+(FK177-FL177-FM177)*(1-$K177)</f>
        <v>0</v>
      </c>
      <c r="FO177" s="1073"/>
    </row>
    <row r="178" spans="1:171">
      <c r="A178" s="1444">
        <v>180</v>
      </c>
      <c r="B178" s="220" t="s">
        <v>261</v>
      </c>
      <c r="C178" s="888" t="s">
        <v>72</v>
      </c>
      <c r="D178" s="888" t="s">
        <v>262</v>
      </c>
      <c r="E178" s="182" t="str">
        <f>'Sch 3 - Expenses'!E18</f>
        <v>PROD</v>
      </c>
      <c r="F178" s="889"/>
      <c r="G178" s="182">
        <f>'Sch 3 - Expenses'!G18</f>
        <v>10563065</v>
      </c>
      <c r="H178" s="182">
        <f>'Sch 3 - Expenses'!H18</f>
        <v>10563065</v>
      </c>
      <c r="I178" s="182">
        <f>'Sch 3 - Expenses'!I18</f>
        <v>0</v>
      </c>
      <c r="J178" s="1424">
        <f>'Sch 3 - Expenses'!J18</f>
        <v>0</v>
      </c>
      <c r="K178" s="903">
        <f t="shared" si="547"/>
        <v>1</v>
      </c>
      <c r="N178" s="1161">
        <f>VLOOKUP($A178,'New Resources - Group'!$A$4:$Y$133,N$2,FALSE)*N$1</f>
        <v>0</v>
      </c>
      <c r="O178" s="1116">
        <f>$G178+N178</f>
        <v>10563065</v>
      </c>
      <c r="P178" s="1117">
        <f>VLOOKUP($E178,O$442:R$453,2,FALSE)*O178*($K178)+IF($G178&lt;&gt;0,($H178/$G178)*O178,0)*(1-$K178)</f>
        <v>10563065</v>
      </c>
      <c r="Q178" s="1117">
        <f>VLOOKUP($E178,O$442:R$453,3,FALSE)*O178*($K178)+IF($G178&lt;&gt;0,($I178/$G178)*O178,0)*(1-$K178)</f>
        <v>0</v>
      </c>
      <c r="R178" s="1117">
        <f>VLOOKUP($E178,O$442:R$453,4,FALSE)*O178*($K178)+(O178-P178-Q178)*(1-$K178)</f>
        <v>0</v>
      </c>
      <c r="S178" s="1073"/>
      <c r="V178" s="1161">
        <f>VLOOKUP($A178,'New Resources - Group'!$A$4:$Y$133,V$2,FALSE)*V$1</f>
        <v>0</v>
      </c>
      <c r="W178" s="1116">
        <f>$G178+V178</f>
        <v>10563065</v>
      </c>
      <c r="X178" s="1117">
        <f>VLOOKUP($E178,W$442:Z$453,2,FALSE)*W178*($K178)+IF($G178&lt;&gt;0,($H178/$G178)*W178,0)*(1-$K178)</f>
        <v>10563065</v>
      </c>
      <c r="Y178" s="1117">
        <f>VLOOKUP($E178,W$442:Z$453,3,FALSE)*W178*($K178)+IF($G178&lt;&gt;0,($I178/$G178)*W178,0)*(1-$K178)</f>
        <v>0</v>
      </c>
      <c r="Z178" s="1117">
        <f>VLOOKUP($E178,W$442:Z$453,4,FALSE)*W178*($K178)+(W178-X178-Y178)*(1-$K178)</f>
        <v>0</v>
      </c>
      <c r="AA178" s="1073"/>
      <c r="AD178" s="1161">
        <f>VLOOKUP($A178,'New Resources - Group'!$A$4:$Y$133,AD$2,FALSE)*AD$1</f>
        <v>0</v>
      </c>
      <c r="AE178" s="1116">
        <f>$G178+AD178</f>
        <v>10563065</v>
      </c>
      <c r="AF178" s="1117">
        <f>VLOOKUP($E178,AE$442:AH$453,2,FALSE)*AE178*($K178)+IF($G178&lt;&gt;0,($H178/$G178)*AE178,0)*(1-$K178)</f>
        <v>10563065</v>
      </c>
      <c r="AG178" s="1117">
        <f>VLOOKUP($E178,AE$442:AH$453,3,FALSE)*AE178*($K178)+IF($G178&lt;&gt;0,($I178/$G178)*AE178,0)*(1-$K178)</f>
        <v>0</v>
      </c>
      <c r="AH178" s="1117">
        <f>VLOOKUP($E178,AE$442:AH$453,4,FALSE)*AE178*($K178)+(AE178-AF178-AG178)*(1-$K178)</f>
        <v>0</v>
      </c>
      <c r="AI178" s="1073"/>
      <c r="AL178" s="1161">
        <f>VLOOKUP($A178,'New Resources - Group'!$A$4:$Y$133,AL$2,FALSE)*AL$1</f>
        <v>0</v>
      </c>
      <c r="AM178" s="1116">
        <f>$G178+AL178</f>
        <v>10563065</v>
      </c>
      <c r="AN178" s="1117">
        <f>VLOOKUP($E178,AM$442:AP$453,2,FALSE)*AM178*($K178)+IF($G178&lt;&gt;0,($H178/$G178)*AM178,0)*(1-$K178)</f>
        <v>10563065</v>
      </c>
      <c r="AO178" s="1117">
        <f>VLOOKUP($E178,AM$442:AP$453,3,FALSE)*AM178*($K178)+IF($G178&lt;&gt;0,($I178/$G178)*AM178,0)*(1-$K178)</f>
        <v>0</v>
      </c>
      <c r="AP178" s="1117">
        <f>VLOOKUP($E178,AM$442:AP$453,4,FALSE)*AM178*($K178)+(AM178-AN178-AO178)*(1-$K178)</f>
        <v>0</v>
      </c>
      <c r="AQ178" s="1073"/>
      <c r="AT178" s="1161">
        <f>VLOOKUP($A178,'New Resources - Group'!$A$4:$Y$133,AT$2,FALSE)*AT$1</f>
        <v>0</v>
      </c>
      <c r="AU178" s="1116">
        <f>$G178+AT178</f>
        <v>10563065</v>
      </c>
      <c r="AV178" s="1117">
        <f>VLOOKUP($E178,AU$442:AX$453,2,FALSE)*AU178*($K178)+IF($G178&lt;&gt;0,($H178/$G178)*AU178,0)*(1-$K178)</f>
        <v>10563065</v>
      </c>
      <c r="AW178" s="1117">
        <f>VLOOKUP($E178,AU$442:AX$453,3,FALSE)*AU178*($K178)+IF($G178&lt;&gt;0,($I178/$G178)*AU178,0)*(1-$K178)</f>
        <v>0</v>
      </c>
      <c r="AX178" s="1117">
        <f>VLOOKUP($E178,AU$442:AX$453,4,FALSE)*AU178*($K178)+(AU178-AV178-AW178)*(1-$K178)</f>
        <v>0</v>
      </c>
      <c r="AY178" s="1073"/>
      <c r="BB178" s="1161">
        <f>VLOOKUP($A178,'New Resources - Group'!$A$4:$Y$133,BB$2,FALSE)*BB$1</f>
        <v>0</v>
      </c>
      <c r="BC178" s="1116">
        <f>$G178+BB178</f>
        <v>10563065</v>
      </c>
      <c r="BD178" s="1117">
        <f>VLOOKUP($E178,BC$442:BF$453,2,FALSE)*BC178*($K178)+IF($G178&lt;&gt;0,($H178/$G178)*BC178,0)*(1-$K178)</f>
        <v>10563065</v>
      </c>
      <c r="BE178" s="1117">
        <f>VLOOKUP($E178,BC$442:BF$453,3,FALSE)*BC178*($K178)+IF($G178&lt;&gt;0,($I178/$G178)*BC178,0)*(1-$K178)</f>
        <v>0</v>
      </c>
      <c r="BF178" s="1117">
        <f>VLOOKUP($E178,BC$442:BF$453,4,FALSE)*BC178*($K178)+(BC178-BD178-BE178)*(1-$K178)</f>
        <v>0</v>
      </c>
      <c r="BG178" s="1073"/>
      <c r="BJ178" s="1161">
        <f>VLOOKUP($A178,'New Resources - Group'!$A$4:$Y$133,BJ$2,FALSE)*BJ$1</f>
        <v>0</v>
      </c>
      <c r="BK178" s="1116">
        <f>$G178+BJ178</f>
        <v>10563065</v>
      </c>
      <c r="BL178" s="1117">
        <f>VLOOKUP($E178,BK$442:BN$453,2,FALSE)*BK178*($K178)+IF($G178&lt;&gt;0,($H178/$G178)*BK178,0)*(1-$K178)</f>
        <v>10563065</v>
      </c>
      <c r="BM178" s="1117">
        <f>VLOOKUP($E178,BK$442:BN$453,3,FALSE)*BK178*($K178)+IF($G178&lt;&gt;0,($I178/$G178)*BK178,0)*(1-$K178)</f>
        <v>0</v>
      </c>
      <c r="BN178" s="1117">
        <f>VLOOKUP($E178,BK$442:BN$453,4,FALSE)*BK178*($K178)+(BK178-BL178-BM178)*(1-$K178)</f>
        <v>0</v>
      </c>
      <c r="BO178" s="1073"/>
      <c r="BR178" s="1161">
        <f>VLOOKUP($A178,'New Resources - Group'!$A$4:$Y$133,BR$2,FALSE)*BR$1</f>
        <v>0</v>
      </c>
      <c r="BS178" s="1116">
        <f>$G178+BR178</f>
        <v>10563065</v>
      </c>
      <c r="BT178" s="1117">
        <f>VLOOKUP($E178,BS$442:BV$453,2,FALSE)*BS178*($K178)+IF($G178&lt;&gt;0,($H178/$G178)*BS178,0)*(1-$K178)</f>
        <v>10563065</v>
      </c>
      <c r="BU178" s="1117">
        <f>VLOOKUP($E178,BS$442:BV$453,3,FALSE)*BS178*($K178)+IF($G178&lt;&gt;0,($I178/$G178)*BS178,0)*(1-$K178)</f>
        <v>0</v>
      </c>
      <c r="BV178" s="1117">
        <f>VLOOKUP($E178,BS$442:BV$453,4,FALSE)*BS178*($K178)+(BS178-BT178-BU178)*(1-$K178)</f>
        <v>0</v>
      </c>
      <c r="BW178" s="1073"/>
      <c r="BZ178" s="1161">
        <f>VLOOKUP($A178,'New Resources - Group'!$A$4:$Y$133,BZ$2,FALSE)*BZ$1</f>
        <v>0</v>
      </c>
      <c r="CA178" s="1116">
        <f>$G178+BZ178</f>
        <v>10563065</v>
      </c>
      <c r="CB178" s="1117">
        <f>VLOOKUP($E178,CA$442:CD$453,2,FALSE)*CA178*($K178)+IF($G178&lt;&gt;0,($H178/$G178)*CA178,0)*(1-$K178)</f>
        <v>10563065</v>
      </c>
      <c r="CC178" s="1117">
        <f>VLOOKUP($E178,CA$442:CD$453,3,FALSE)*CA178*($K178)+IF($G178&lt;&gt;0,($I178/$G178)*CA178,0)*(1-$K178)</f>
        <v>0</v>
      </c>
      <c r="CD178" s="1117">
        <f>VLOOKUP($E178,CA$442:CD$453,4,FALSE)*CA178*($K178)+(CA178-CB178-CC178)*(1-$K178)</f>
        <v>0</v>
      </c>
      <c r="CE178" s="1073"/>
      <c r="CH178" s="1161">
        <f>VLOOKUP($A178,'New Resources - Group'!$A$4:$Y$133,CH$2,FALSE)*CH$1</f>
        <v>0</v>
      </c>
      <c r="CI178" s="1116">
        <f>$G178+CH178</f>
        <v>10563065</v>
      </c>
      <c r="CJ178" s="1117">
        <f>VLOOKUP($E178,CI$442:CL$453,2,FALSE)*CI178*($K178)+IF($G178&lt;&gt;0,($H178/$G178)*CI178,0)*(1-$K178)</f>
        <v>10563065</v>
      </c>
      <c r="CK178" s="1117">
        <f>VLOOKUP($E178,CI$442:CL$453,3,FALSE)*CI178*($K178)+IF($G178&lt;&gt;0,($I178/$G178)*CI178,0)*(1-$K178)</f>
        <v>0</v>
      </c>
      <c r="CL178" s="1117">
        <f>VLOOKUP($E178,CI$442:CL$453,4,FALSE)*CI178*($K178)+(CI178-CJ178-CK178)*(1-$K178)</f>
        <v>0</v>
      </c>
      <c r="CM178" s="1073"/>
      <c r="CP178" s="1161">
        <f>VLOOKUP($A178,'New Resources - Group'!$A$4:$Y$133,CP$2,FALSE)*CP$1</f>
        <v>0</v>
      </c>
      <c r="CQ178" s="1116">
        <f>$G178+CP178</f>
        <v>10563065</v>
      </c>
      <c r="CR178" s="1117">
        <f>VLOOKUP($E178,CQ$442:CT$453,2,FALSE)*CQ178*($K178)+IF($G178&lt;&gt;0,($H178/$G178)*CQ178,0)*(1-$K178)</f>
        <v>10563065</v>
      </c>
      <c r="CS178" s="1117">
        <f>VLOOKUP($E178,CQ$442:CT$453,3,FALSE)*CQ178*($K178)+IF($G178&lt;&gt;0,($I178/$G178)*CQ178,0)*(1-$K178)</f>
        <v>0</v>
      </c>
      <c r="CT178" s="1117">
        <f>VLOOKUP($E178,CQ$442:CT$453,4,FALSE)*CQ178*($K178)+(CQ178-CR178-CS178)*(1-$K178)</f>
        <v>0</v>
      </c>
      <c r="CU178" s="1073"/>
      <c r="CX178" s="1161">
        <f>VLOOKUP($A178,'New Resources - Group'!$A$4:$Y$133,CX$2,FALSE)*CX$1</f>
        <v>0</v>
      </c>
      <c r="CY178" s="1116">
        <f>$G178+CX178</f>
        <v>10563065</v>
      </c>
      <c r="CZ178" s="1117">
        <f>VLOOKUP($E178,CY$442:DB$453,2,FALSE)*CY178*($K178)+IF($G178&lt;&gt;0,($H178/$G178)*CY178,0)*(1-$K178)</f>
        <v>10563065</v>
      </c>
      <c r="DA178" s="1117">
        <f>VLOOKUP($E178,CY$442:DB$453,3,FALSE)*CY178*($K178)+IF($G178&lt;&gt;0,($I178/$G178)*CY178,0)*(1-$K178)</f>
        <v>0</v>
      </c>
      <c r="DB178" s="1117">
        <f>VLOOKUP($E178,CY$442:DB$453,4,FALSE)*CY178*($K178)+(CY178-CZ178-DA178)*(1-$K178)</f>
        <v>0</v>
      </c>
      <c r="DC178" s="1073"/>
      <c r="DF178" s="1161">
        <f>VLOOKUP($A178,'New Resources - Group'!$A$4:$Y$133,DF$2,FALSE)*DF$1</f>
        <v>0</v>
      </c>
      <c r="DG178" s="1116">
        <f>$G178+DF178</f>
        <v>10563065</v>
      </c>
      <c r="DH178" s="1117">
        <f>VLOOKUP($E178,DG$442:DJ$453,2,FALSE)*DG178*($K178)+IF($G178&lt;&gt;0,($H178/$G178)*DG178,0)*(1-$K178)</f>
        <v>10563065</v>
      </c>
      <c r="DI178" s="1117">
        <f>VLOOKUP($E178,DG$442:DJ$453,3,FALSE)*DG178*($K178)+IF($G178&lt;&gt;0,($I178/$G178)*DG178,0)*(1-$K178)</f>
        <v>0</v>
      </c>
      <c r="DJ178" s="1117">
        <f>VLOOKUP($E178,DG$442:DJ$453,4,FALSE)*DG178*($K178)+(DG178-DH178-DI178)*(1-$K178)</f>
        <v>0</v>
      </c>
      <c r="DK178" s="1073"/>
      <c r="DN178" s="1161">
        <f>VLOOKUP($A178,'New Resources - Group'!$A$4:$Y$133,DN$2,FALSE)*DN$1</f>
        <v>0</v>
      </c>
      <c r="DO178" s="1116">
        <f>$G178+DN178</f>
        <v>10563065</v>
      </c>
      <c r="DP178" s="1117">
        <f>VLOOKUP($E178,DO$442:DR$453,2,FALSE)*DO178*($K178)+IF($G178&lt;&gt;0,($H178/$G178)*DO178,0)*(1-$K178)</f>
        <v>10563065</v>
      </c>
      <c r="DQ178" s="1117">
        <f>VLOOKUP($E178,DO$442:DR$453,3,FALSE)*DO178*($K178)+IF($G178&lt;&gt;0,($I178/$G178)*DO178,0)*(1-$K178)</f>
        <v>0</v>
      </c>
      <c r="DR178" s="1117">
        <f>VLOOKUP($E178,DO$442:DR$453,4,FALSE)*DO178*($K178)+(DO178-DP178-DQ178)*(1-$K178)</f>
        <v>0</v>
      </c>
      <c r="DS178" s="1073"/>
      <c r="DV178" s="1161">
        <f>VLOOKUP($A178,'New Resources - Group'!$A$4:$Y$133,DV$2,FALSE)*DV$1</f>
        <v>0</v>
      </c>
      <c r="DW178" s="1116">
        <f>$G178+DV178</f>
        <v>10563065</v>
      </c>
      <c r="DX178" s="1117">
        <f>VLOOKUP($E178,DW$442:DZ$453,2,FALSE)*DW178*($K178)+IF($G178&lt;&gt;0,($H178/$G178)*DW178,0)*(1-$K178)</f>
        <v>10563065</v>
      </c>
      <c r="DY178" s="1117">
        <f>VLOOKUP($E178,DW$442:DZ$453,3,FALSE)*DW178*($K178)+IF($G178&lt;&gt;0,($I178/$G178)*DW178,0)*(1-$K178)</f>
        <v>0</v>
      </c>
      <c r="DZ178" s="1117">
        <f>VLOOKUP($E178,DW$442:DZ$453,4,FALSE)*DW178*($K178)+(DW178-DX178-DY178)*(1-$K178)</f>
        <v>0</v>
      </c>
      <c r="EA178" s="1073"/>
      <c r="ED178" s="1161">
        <f>VLOOKUP($A178,'New Resources - Group'!$A$4:$Y$133,ED$2,FALSE)*ED$1</f>
        <v>0</v>
      </c>
      <c r="EE178" s="1116">
        <f>$G178+ED178</f>
        <v>10563065</v>
      </c>
      <c r="EF178" s="1117">
        <f>VLOOKUP($E178,EE$442:EH$453,2,FALSE)*EE178*($K178)+IF($G178&lt;&gt;0,($H178/$G178)*EE178,0)*(1-$K178)</f>
        <v>10563065</v>
      </c>
      <c r="EG178" s="1117">
        <f>VLOOKUP($E178,EE$442:EH$453,3,FALSE)*EE178*($K178)+IF($G178&lt;&gt;0,($I178/$G178)*EE178,0)*(1-$K178)</f>
        <v>0</v>
      </c>
      <c r="EH178" s="1117">
        <f>VLOOKUP($E178,EE$442:EH$453,4,FALSE)*EE178*($K178)+(EE178-EF178-EG178)*(1-$K178)</f>
        <v>0</v>
      </c>
      <c r="EI178" s="1073"/>
      <c r="EL178" s="1161">
        <f>VLOOKUP($A178,'New Resources - Group'!$A$4:$Y$133,EL$2,FALSE)*EL$1</f>
        <v>0</v>
      </c>
      <c r="EM178" s="1116">
        <f>$G178+EL178</f>
        <v>10563065</v>
      </c>
      <c r="EN178" s="1117">
        <f>VLOOKUP($E178,EM$442:EP$453,2,FALSE)*EM178*($K178)+IF($G178&lt;&gt;0,($H178/$G178)*EM178,0)*(1-$K178)</f>
        <v>10563065</v>
      </c>
      <c r="EO178" s="1117">
        <f>VLOOKUP($E178,EM$442:EP$453,3,FALSE)*EM178*($K178)+IF($G178&lt;&gt;0,($I178/$G178)*EM178,0)*(1-$K178)</f>
        <v>0</v>
      </c>
      <c r="EP178" s="1117">
        <f>VLOOKUP($E178,EM$442:EP$453,4,FALSE)*EM178*($K178)+(EM178-EN178-EO178)*(1-$K178)</f>
        <v>0</v>
      </c>
      <c r="EQ178" s="1073"/>
      <c r="ET178" s="1161">
        <f>VLOOKUP($A178,'New Resources - Group'!$A$4:$Y$133,ET$2,FALSE)*ET$1</f>
        <v>0</v>
      </c>
      <c r="EU178" s="1116">
        <f>$G178+ET178</f>
        <v>10563065</v>
      </c>
      <c r="EV178" s="1117">
        <f>VLOOKUP($E178,EU$442:EX$453,2,FALSE)*EU178*($K178)+IF($G178&lt;&gt;0,($H178/$G178)*EU178,0)*(1-$K178)</f>
        <v>10563065</v>
      </c>
      <c r="EW178" s="1117">
        <f>VLOOKUP($E178,EU$442:EX$453,3,FALSE)*EU178*($K178)+IF($G178&lt;&gt;0,($I178/$G178)*EU178,0)*(1-$K178)</f>
        <v>0</v>
      </c>
      <c r="EX178" s="1117">
        <f>VLOOKUP($E178,EU$442:EX$453,4,FALSE)*EU178*($K178)+(EU178-EV178-EW178)*(1-$K178)</f>
        <v>0</v>
      </c>
      <c r="EY178" s="1073"/>
      <c r="FB178" s="1161">
        <f>VLOOKUP($A178,'New Resources - Group'!$A$4:$Y$133,FB$2,FALSE)*FB$1</f>
        <v>0</v>
      </c>
      <c r="FC178" s="1116">
        <f>$G178+FB178</f>
        <v>10563065</v>
      </c>
      <c r="FD178" s="1117">
        <f>VLOOKUP($E178,FC$442:FF$453,2,FALSE)*FC178*($K178)+IF($G178&lt;&gt;0,($H178/$G178)*FC178,0)*(1-$K178)</f>
        <v>10563065</v>
      </c>
      <c r="FE178" s="1117">
        <f>VLOOKUP($E178,FC$442:FF$453,3,FALSE)*FC178*($K178)+IF($G178&lt;&gt;0,($I178/$G178)*FC178,0)*(1-$K178)</f>
        <v>0</v>
      </c>
      <c r="FF178" s="1117">
        <f>VLOOKUP($E178,FC$442:FF$453,4,FALSE)*FC178*($K178)+(FC178-FD178-FE178)*(1-$K178)</f>
        <v>0</v>
      </c>
      <c r="FG178" s="1073"/>
      <c r="FJ178" s="1161">
        <f>VLOOKUP($A178,'New Resources - Group'!$A$4:$Y$133,FJ$2,FALSE)*FJ$1</f>
        <v>0</v>
      </c>
      <c r="FK178" s="1116">
        <f>$G178+FJ178</f>
        <v>10563065</v>
      </c>
      <c r="FL178" s="1117">
        <f>VLOOKUP($E178,FK$442:FN$453,2,FALSE)*FK178*($K178)+IF($G178&lt;&gt;0,($H178/$G178)*FK178,0)*(1-$K178)</f>
        <v>10563065</v>
      </c>
      <c r="FM178" s="1117">
        <f>VLOOKUP($E178,FK$442:FN$453,3,FALSE)*FK178*($K178)+IF($G178&lt;&gt;0,($I178/$G178)*FK178,0)*(1-$K178)</f>
        <v>0</v>
      </c>
      <c r="FN178" s="1117">
        <f>VLOOKUP($E178,FK$442:FN$453,4,FALSE)*FK178*($K178)+(FK178-FL178-FM178)*(1-$K178)</f>
        <v>0</v>
      </c>
      <c r="FO178" s="1073"/>
    </row>
    <row r="179" spans="1:171">
      <c r="A179" s="1445"/>
      <c r="B179" s="990" t="s">
        <v>462</v>
      </c>
      <c r="C179" s="55"/>
      <c r="D179" s="55"/>
      <c r="E179" s="196"/>
      <c r="F179" s="196"/>
      <c r="G179" s="68"/>
      <c r="H179" s="68"/>
      <c r="I179" s="68"/>
      <c r="J179" s="1467"/>
      <c r="K179" s="903"/>
      <c r="S179" s="1073"/>
      <c r="AA179" s="1073"/>
      <c r="AI179" s="1073"/>
      <c r="AQ179" s="1073"/>
      <c r="AY179" s="1073"/>
      <c r="BG179" s="1073"/>
      <c r="BO179" s="1073"/>
      <c r="BW179" s="1073"/>
      <c r="CE179" s="1073"/>
      <c r="CM179" s="1073"/>
      <c r="CU179" s="1073"/>
      <c r="DC179" s="1073"/>
      <c r="DK179" s="1073"/>
      <c r="DS179" s="1073"/>
      <c r="EA179" s="1073"/>
      <c r="EI179" s="1073"/>
      <c r="EQ179" s="1073"/>
      <c r="EY179" s="1073"/>
      <c r="FG179" s="1073"/>
      <c r="FO179" s="1073"/>
    </row>
    <row r="180" spans="1:171">
      <c r="A180" s="1444">
        <v>290</v>
      </c>
      <c r="B180" s="220" t="s">
        <v>85</v>
      </c>
      <c r="C180" s="888" t="s">
        <v>72</v>
      </c>
      <c r="D180" s="888">
        <v>518</v>
      </c>
      <c r="E180" s="182" t="str">
        <f>'Sch 3 - Expenses'!E20</f>
        <v>PROD</v>
      </c>
      <c r="F180" s="889"/>
      <c r="G180" s="182">
        <f>'Sch 3 - Expenses'!G20</f>
        <v>0</v>
      </c>
      <c r="H180" s="182">
        <f>'Sch 3 - Expenses'!H20</f>
        <v>0</v>
      </c>
      <c r="I180" s="182">
        <f>'Sch 3 - Expenses'!I20</f>
        <v>0</v>
      </c>
      <c r="J180" s="1424">
        <f>'Sch 3 - Expenses'!J20</f>
        <v>0</v>
      </c>
      <c r="K180" s="903">
        <f t="shared" si="547"/>
        <v>1</v>
      </c>
      <c r="N180" s="1161">
        <f>VLOOKUP($A180,'New Resources - Group'!$A$4:$Y$133,N$2,FALSE)*N$1</f>
        <v>0</v>
      </c>
      <c r="O180" s="1116">
        <f>$G180+N180</f>
        <v>0</v>
      </c>
      <c r="P180" s="1117">
        <f>VLOOKUP($E180,O$442:R$453,2,FALSE)*O180*($K180)+IF($G180&lt;&gt;0,($H180/$G180)*O180,0)*(1-$K180)</f>
        <v>0</v>
      </c>
      <c r="Q180" s="1117">
        <f>VLOOKUP($E180,O$442:R$453,3,FALSE)*O180*($K180)+IF($G180&lt;&gt;0,($I180/$G180)*O180,0)*(1-$K180)</f>
        <v>0</v>
      </c>
      <c r="R180" s="1117">
        <f>VLOOKUP($E180,O$442:R$453,4,FALSE)*O180*($K180)+(O180-P180-Q180)*(1-$K180)</f>
        <v>0</v>
      </c>
      <c r="S180" s="1073"/>
      <c r="V180" s="1161">
        <f>VLOOKUP($A180,'New Resources - Group'!$A$4:$Y$133,V$2,FALSE)*V$1</f>
        <v>0</v>
      </c>
      <c r="W180" s="1116">
        <f>$G180+V180</f>
        <v>0</v>
      </c>
      <c r="X180" s="1117">
        <f>VLOOKUP($E180,W$442:Z$453,2,FALSE)*W180*($K180)+IF($G180&lt;&gt;0,($H180/$G180)*W180,0)*(1-$K180)</f>
        <v>0</v>
      </c>
      <c r="Y180" s="1117">
        <f>VLOOKUP($E180,W$442:Z$453,3,FALSE)*W180*($K180)+IF($G180&lt;&gt;0,($I180/$G180)*W180,0)*(1-$K180)</f>
        <v>0</v>
      </c>
      <c r="Z180" s="1117">
        <f>VLOOKUP($E180,W$442:Z$453,4,FALSE)*W180*($K180)+(W180-X180-Y180)*(1-$K180)</f>
        <v>0</v>
      </c>
      <c r="AA180" s="1073"/>
      <c r="AD180" s="1161">
        <f>VLOOKUP($A180,'New Resources - Group'!$A$4:$Y$133,AD$2,FALSE)*AD$1</f>
        <v>0</v>
      </c>
      <c r="AE180" s="1116">
        <f>$G180+AD180</f>
        <v>0</v>
      </c>
      <c r="AF180" s="1117">
        <f>VLOOKUP($E180,AE$442:AH$453,2,FALSE)*AE180*($K180)+IF($G180&lt;&gt;0,($H180/$G180)*AE180,0)*(1-$K180)</f>
        <v>0</v>
      </c>
      <c r="AG180" s="1117">
        <f>VLOOKUP($E180,AE$442:AH$453,3,FALSE)*AE180*($K180)+IF($G180&lt;&gt;0,($I180/$G180)*AE180,0)*(1-$K180)</f>
        <v>0</v>
      </c>
      <c r="AH180" s="1117">
        <f>VLOOKUP($E180,AE$442:AH$453,4,FALSE)*AE180*($K180)+(AE180-AF180-AG180)*(1-$K180)</f>
        <v>0</v>
      </c>
      <c r="AI180" s="1073"/>
      <c r="AL180" s="1161">
        <f>VLOOKUP($A180,'New Resources - Group'!$A$4:$Y$133,AL$2,FALSE)*AL$1</f>
        <v>0</v>
      </c>
      <c r="AM180" s="1116">
        <f>$G180+AL180</f>
        <v>0</v>
      </c>
      <c r="AN180" s="1117">
        <f>VLOOKUP($E180,AM$442:AP$453,2,FALSE)*AM180*($K180)+IF($G180&lt;&gt;0,($H180/$G180)*AM180,0)*(1-$K180)</f>
        <v>0</v>
      </c>
      <c r="AO180" s="1117">
        <f>VLOOKUP($E180,AM$442:AP$453,3,FALSE)*AM180*($K180)+IF($G180&lt;&gt;0,($I180/$G180)*AM180,0)*(1-$K180)</f>
        <v>0</v>
      </c>
      <c r="AP180" s="1117">
        <f>VLOOKUP($E180,AM$442:AP$453,4,FALSE)*AM180*($K180)+(AM180-AN180-AO180)*(1-$K180)</f>
        <v>0</v>
      </c>
      <c r="AQ180" s="1073"/>
      <c r="AT180" s="1161">
        <f>VLOOKUP($A180,'New Resources - Group'!$A$4:$Y$133,AT$2,FALSE)*AT$1</f>
        <v>0</v>
      </c>
      <c r="AU180" s="1116">
        <f>$G180+AT180</f>
        <v>0</v>
      </c>
      <c r="AV180" s="1117">
        <f>VLOOKUP($E180,AU$442:AX$453,2,FALSE)*AU180*($K180)+IF($G180&lt;&gt;0,($H180/$G180)*AU180,0)*(1-$K180)</f>
        <v>0</v>
      </c>
      <c r="AW180" s="1117">
        <f>VLOOKUP($E180,AU$442:AX$453,3,FALSE)*AU180*($K180)+IF($G180&lt;&gt;0,($I180/$G180)*AU180,0)*(1-$K180)</f>
        <v>0</v>
      </c>
      <c r="AX180" s="1117">
        <f>VLOOKUP($E180,AU$442:AX$453,4,FALSE)*AU180*($K180)+(AU180-AV180-AW180)*(1-$K180)</f>
        <v>0</v>
      </c>
      <c r="AY180" s="1073"/>
      <c r="BB180" s="1161">
        <f>VLOOKUP($A180,'New Resources - Group'!$A$4:$Y$133,BB$2,FALSE)*BB$1</f>
        <v>0</v>
      </c>
      <c r="BC180" s="1116">
        <f>$G180+BB180</f>
        <v>0</v>
      </c>
      <c r="BD180" s="1117">
        <f>VLOOKUP($E180,BC$442:BF$453,2,FALSE)*BC180*($K180)+IF($G180&lt;&gt;0,($H180/$G180)*BC180,0)*(1-$K180)</f>
        <v>0</v>
      </c>
      <c r="BE180" s="1117">
        <f>VLOOKUP($E180,BC$442:BF$453,3,FALSE)*BC180*($K180)+IF($G180&lt;&gt;0,($I180/$G180)*BC180,0)*(1-$K180)</f>
        <v>0</v>
      </c>
      <c r="BF180" s="1117">
        <f>VLOOKUP($E180,BC$442:BF$453,4,FALSE)*BC180*($K180)+(BC180-BD180-BE180)*(1-$K180)</f>
        <v>0</v>
      </c>
      <c r="BG180" s="1073"/>
      <c r="BJ180" s="1161">
        <f>VLOOKUP($A180,'New Resources - Group'!$A$4:$Y$133,BJ$2,FALSE)*BJ$1</f>
        <v>0</v>
      </c>
      <c r="BK180" s="1116">
        <f>$G180+BJ180</f>
        <v>0</v>
      </c>
      <c r="BL180" s="1117">
        <f>VLOOKUP($E180,BK$442:BN$453,2,FALSE)*BK180*($K180)+IF($G180&lt;&gt;0,($H180/$G180)*BK180,0)*(1-$K180)</f>
        <v>0</v>
      </c>
      <c r="BM180" s="1117">
        <f>VLOOKUP($E180,BK$442:BN$453,3,FALSE)*BK180*($K180)+IF($G180&lt;&gt;0,($I180/$G180)*BK180,0)*(1-$K180)</f>
        <v>0</v>
      </c>
      <c r="BN180" s="1117">
        <f>VLOOKUP($E180,BK$442:BN$453,4,FALSE)*BK180*($K180)+(BK180-BL180-BM180)*(1-$K180)</f>
        <v>0</v>
      </c>
      <c r="BO180" s="1073"/>
      <c r="BR180" s="1161">
        <f>VLOOKUP($A180,'New Resources - Group'!$A$4:$Y$133,BR$2,FALSE)*BR$1</f>
        <v>0</v>
      </c>
      <c r="BS180" s="1116">
        <f>$G180+BR180</f>
        <v>0</v>
      </c>
      <c r="BT180" s="1117">
        <f>VLOOKUP($E180,BS$442:BV$453,2,FALSE)*BS180*($K180)+IF($G180&lt;&gt;0,($H180/$G180)*BS180,0)*(1-$K180)</f>
        <v>0</v>
      </c>
      <c r="BU180" s="1117">
        <f>VLOOKUP($E180,BS$442:BV$453,3,FALSE)*BS180*($K180)+IF($G180&lt;&gt;0,($I180/$G180)*BS180,0)*(1-$K180)</f>
        <v>0</v>
      </c>
      <c r="BV180" s="1117">
        <f>VLOOKUP($E180,BS$442:BV$453,4,FALSE)*BS180*($K180)+(BS180-BT180-BU180)*(1-$K180)</f>
        <v>0</v>
      </c>
      <c r="BW180" s="1073"/>
      <c r="BZ180" s="1161">
        <f>VLOOKUP($A180,'New Resources - Group'!$A$4:$Y$133,BZ$2,FALSE)*BZ$1</f>
        <v>0</v>
      </c>
      <c r="CA180" s="1116">
        <f>$G180+BZ180</f>
        <v>0</v>
      </c>
      <c r="CB180" s="1117">
        <f>VLOOKUP($E180,CA$442:CD$453,2,FALSE)*CA180*($K180)+IF($G180&lt;&gt;0,($H180/$G180)*CA180,0)*(1-$K180)</f>
        <v>0</v>
      </c>
      <c r="CC180" s="1117">
        <f>VLOOKUP($E180,CA$442:CD$453,3,FALSE)*CA180*($K180)+IF($G180&lt;&gt;0,($I180/$G180)*CA180,0)*(1-$K180)</f>
        <v>0</v>
      </c>
      <c r="CD180" s="1117">
        <f>VLOOKUP($E180,CA$442:CD$453,4,FALSE)*CA180*($K180)+(CA180-CB180-CC180)*(1-$K180)</f>
        <v>0</v>
      </c>
      <c r="CE180" s="1073"/>
      <c r="CH180" s="1161">
        <f>VLOOKUP($A180,'New Resources - Group'!$A$4:$Y$133,CH$2,FALSE)*CH$1</f>
        <v>0</v>
      </c>
      <c r="CI180" s="1116">
        <f>$G180+CH180</f>
        <v>0</v>
      </c>
      <c r="CJ180" s="1117">
        <f>VLOOKUP($E180,CI$442:CL$453,2,FALSE)*CI180*($K180)+IF($G180&lt;&gt;0,($H180/$G180)*CI180,0)*(1-$K180)</f>
        <v>0</v>
      </c>
      <c r="CK180" s="1117">
        <f>VLOOKUP($E180,CI$442:CL$453,3,FALSE)*CI180*($K180)+IF($G180&lt;&gt;0,($I180/$G180)*CI180,0)*(1-$K180)</f>
        <v>0</v>
      </c>
      <c r="CL180" s="1117">
        <f>VLOOKUP($E180,CI$442:CL$453,4,FALSE)*CI180*($K180)+(CI180-CJ180-CK180)*(1-$K180)</f>
        <v>0</v>
      </c>
      <c r="CM180" s="1073"/>
      <c r="CP180" s="1161">
        <f>VLOOKUP($A180,'New Resources - Group'!$A$4:$Y$133,CP$2,FALSE)*CP$1</f>
        <v>0</v>
      </c>
      <c r="CQ180" s="1116">
        <f>$G180+CP180</f>
        <v>0</v>
      </c>
      <c r="CR180" s="1117">
        <f>VLOOKUP($E180,CQ$442:CT$453,2,FALSE)*CQ180*($K180)+IF($G180&lt;&gt;0,($H180/$G180)*CQ180,0)*(1-$K180)</f>
        <v>0</v>
      </c>
      <c r="CS180" s="1117">
        <f>VLOOKUP($E180,CQ$442:CT$453,3,FALSE)*CQ180*($K180)+IF($G180&lt;&gt;0,($I180/$G180)*CQ180,0)*(1-$K180)</f>
        <v>0</v>
      </c>
      <c r="CT180" s="1117">
        <f>VLOOKUP($E180,CQ$442:CT$453,4,FALSE)*CQ180*($K180)+(CQ180-CR180-CS180)*(1-$K180)</f>
        <v>0</v>
      </c>
      <c r="CU180" s="1073"/>
      <c r="CX180" s="1161">
        <f>VLOOKUP($A180,'New Resources - Group'!$A$4:$Y$133,CX$2,FALSE)*CX$1</f>
        <v>0</v>
      </c>
      <c r="CY180" s="1116">
        <f>$G180+CX180</f>
        <v>0</v>
      </c>
      <c r="CZ180" s="1117">
        <f>VLOOKUP($E180,CY$442:DB$453,2,FALSE)*CY180*($K180)+IF($G180&lt;&gt;0,($H180/$G180)*CY180,0)*(1-$K180)</f>
        <v>0</v>
      </c>
      <c r="DA180" s="1117">
        <f>VLOOKUP($E180,CY$442:DB$453,3,FALSE)*CY180*($K180)+IF($G180&lt;&gt;0,($I180/$G180)*CY180,0)*(1-$K180)</f>
        <v>0</v>
      </c>
      <c r="DB180" s="1117">
        <f>VLOOKUP($E180,CY$442:DB$453,4,FALSE)*CY180*($K180)+(CY180-CZ180-DA180)*(1-$K180)</f>
        <v>0</v>
      </c>
      <c r="DC180" s="1073"/>
      <c r="DF180" s="1161">
        <f>VLOOKUP($A180,'New Resources - Group'!$A$4:$Y$133,DF$2,FALSE)*DF$1</f>
        <v>0</v>
      </c>
      <c r="DG180" s="1116">
        <f>$G180+DF180</f>
        <v>0</v>
      </c>
      <c r="DH180" s="1117">
        <f>VLOOKUP($E180,DG$442:DJ$453,2,FALSE)*DG180*($K180)+IF($G180&lt;&gt;0,($H180/$G180)*DG180,0)*(1-$K180)</f>
        <v>0</v>
      </c>
      <c r="DI180" s="1117">
        <f>VLOOKUP($E180,DG$442:DJ$453,3,FALSE)*DG180*($K180)+IF($G180&lt;&gt;0,($I180/$G180)*DG180,0)*(1-$K180)</f>
        <v>0</v>
      </c>
      <c r="DJ180" s="1117">
        <f>VLOOKUP($E180,DG$442:DJ$453,4,FALSE)*DG180*($K180)+(DG180-DH180-DI180)*(1-$K180)</f>
        <v>0</v>
      </c>
      <c r="DK180" s="1073"/>
      <c r="DN180" s="1161">
        <f>VLOOKUP($A180,'New Resources - Group'!$A$4:$Y$133,DN$2,FALSE)*DN$1</f>
        <v>0</v>
      </c>
      <c r="DO180" s="1116">
        <f>$G180+DN180</f>
        <v>0</v>
      </c>
      <c r="DP180" s="1117">
        <f>VLOOKUP($E180,DO$442:DR$453,2,FALSE)*DO180*($K180)+IF($G180&lt;&gt;0,($H180/$G180)*DO180,0)*(1-$K180)</f>
        <v>0</v>
      </c>
      <c r="DQ180" s="1117">
        <f>VLOOKUP($E180,DO$442:DR$453,3,FALSE)*DO180*($K180)+IF($G180&lt;&gt;0,($I180/$G180)*DO180,0)*(1-$K180)</f>
        <v>0</v>
      </c>
      <c r="DR180" s="1117">
        <f>VLOOKUP($E180,DO$442:DR$453,4,FALSE)*DO180*($K180)+(DO180-DP180-DQ180)*(1-$K180)</f>
        <v>0</v>
      </c>
      <c r="DS180" s="1073"/>
      <c r="DV180" s="1161">
        <f>VLOOKUP($A180,'New Resources - Group'!$A$4:$Y$133,DV$2,FALSE)*DV$1</f>
        <v>0</v>
      </c>
      <c r="DW180" s="1116">
        <f>$G180+DV180</f>
        <v>0</v>
      </c>
      <c r="DX180" s="1117">
        <f>VLOOKUP($E180,DW$442:DZ$453,2,FALSE)*DW180*($K180)+IF($G180&lt;&gt;0,($H180/$G180)*DW180,0)*(1-$K180)</f>
        <v>0</v>
      </c>
      <c r="DY180" s="1117">
        <f>VLOOKUP($E180,DW$442:DZ$453,3,FALSE)*DW180*($K180)+IF($G180&lt;&gt;0,($I180/$G180)*DW180,0)*(1-$K180)</f>
        <v>0</v>
      </c>
      <c r="DZ180" s="1117">
        <f>VLOOKUP($E180,DW$442:DZ$453,4,FALSE)*DW180*($K180)+(DW180-DX180-DY180)*(1-$K180)</f>
        <v>0</v>
      </c>
      <c r="EA180" s="1073"/>
      <c r="ED180" s="1161">
        <f>VLOOKUP($A180,'New Resources - Group'!$A$4:$Y$133,ED$2,FALSE)*ED$1</f>
        <v>0</v>
      </c>
      <c r="EE180" s="1116">
        <f>$G180+ED180</f>
        <v>0</v>
      </c>
      <c r="EF180" s="1117">
        <f>VLOOKUP($E180,EE$442:EH$453,2,FALSE)*EE180*($K180)+IF($G180&lt;&gt;0,($H180/$G180)*EE180,0)*(1-$K180)</f>
        <v>0</v>
      </c>
      <c r="EG180" s="1117">
        <f>VLOOKUP($E180,EE$442:EH$453,3,FALSE)*EE180*($K180)+IF($G180&lt;&gt;0,($I180/$G180)*EE180,0)*(1-$K180)</f>
        <v>0</v>
      </c>
      <c r="EH180" s="1117">
        <f>VLOOKUP($E180,EE$442:EH$453,4,FALSE)*EE180*($K180)+(EE180-EF180-EG180)*(1-$K180)</f>
        <v>0</v>
      </c>
      <c r="EI180" s="1073"/>
      <c r="EL180" s="1161">
        <f>VLOOKUP($A180,'New Resources - Group'!$A$4:$Y$133,EL$2,FALSE)*EL$1</f>
        <v>0</v>
      </c>
      <c r="EM180" s="1116">
        <f>$G180+EL180</f>
        <v>0</v>
      </c>
      <c r="EN180" s="1117">
        <f>VLOOKUP($E180,EM$442:EP$453,2,FALSE)*EM180*($K180)+IF($G180&lt;&gt;0,($H180/$G180)*EM180,0)*(1-$K180)</f>
        <v>0</v>
      </c>
      <c r="EO180" s="1117">
        <f>VLOOKUP($E180,EM$442:EP$453,3,FALSE)*EM180*($K180)+IF($G180&lt;&gt;0,($I180/$G180)*EM180,0)*(1-$K180)</f>
        <v>0</v>
      </c>
      <c r="EP180" s="1117">
        <f>VLOOKUP($E180,EM$442:EP$453,4,FALSE)*EM180*($K180)+(EM180-EN180-EO180)*(1-$K180)</f>
        <v>0</v>
      </c>
      <c r="EQ180" s="1073"/>
      <c r="ET180" s="1161">
        <f>VLOOKUP($A180,'New Resources - Group'!$A$4:$Y$133,ET$2,FALSE)*ET$1</f>
        <v>0</v>
      </c>
      <c r="EU180" s="1116">
        <f>$G180+ET180</f>
        <v>0</v>
      </c>
      <c r="EV180" s="1117">
        <f>VLOOKUP($E180,EU$442:EX$453,2,FALSE)*EU180*($K180)+IF($G180&lt;&gt;0,($H180/$G180)*EU180,0)*(1-$K180)</f>
        <v>0</v>
      </c>
      <c r="EW180" s="1117">
        <f>VLOOKUP($E180,EU$442:EX$453,3,FALSE)*EU180*($K180)+IF($G180&lt;&gt;0,($I180/$G180)*EU180,0)*(1-$K180)</f>
        <v>0</v>
      </c>
      <c r="EX180" s="1117">
        <f>VLOOKUP($E180,EU$442:EX$453,4,FALSE)*EU180*($K180)+(EU180-EV180-EW180)*(1-$K180)</f>
        <v>0</v>
      </c>
      <c r="EY180" s="1073"/>
      <c r="FB180" s="1161">
        <f>VLOOKUP($A180,'New Resources - Group'!$A$4:$Y$133,FB$2,FALSE)*FB$1</f>
        <v>0</v>
      </c>
      <c r="FC180" s="1116">
        <f>$G180+FB180</f>
        <v>0</v>
      </c>
      <c r="FD180" s="1117">
        <f>VLOOKUP($E180,FC$442:FF$453,2,FALSE)*FC180*($K180)+IF($G180&lt;&gt;0,($H180/$G180)*FC180,0)*(1-$K180)</f>
        <v>0</v>
      </c>
      <c r="FE180" s="1117">
        <f>VLOOKUP($E180,FC$442:FF$453,3,FALSE)*FC180*($K180)+IF($G180&lt;&gt;0,($I180/$G180)*FC180,0)*(1-$K180)</f>
        <v>0</v>
      </c>
      <c r="FF180" s="1117">
        <f>VLOOKUP($E180,FC$442:FF$453,4,FALSE)*FC180*($K180)+(FC180-FD180-FE180)*(1-$K180)</f>
        <v>0</v>
      </c>
      <c r="FG180" s="1073"/>
      <c r="FJ180" s="1161">
        <f>VLOOKUP($A180,'New Resources - Group'!$A$4:$Y$133,FJ$2,FALSE)*FJ$1</f>
        <v>0</v>
      </c>
      <c r="FK180" s="1116">
        <f>$G180+FJ180</f>
        <v>0</v>
      </c>
      <c r="FL180" s="1117">
        <f>VLOOKUP($E180,FK$442:FN$453,2,FALSE)*FK180*($K180)+IF($G180&lt;&gt;0,($H180/$G180)*FK180,0)*(1-$K180)</f>
        <v>0</v>
      </c>
      <c r="FM180" s="1117">
        <f>VLOOKUP($E180,FK$442:FN$453,3,FALSE)*FK180*($K180)+IF($G180&lt;&gt;0,($I180/$G180)*FK180,0)*(1-$K180)</f>
        <v>0</v>
      </c>
      <c r="FN180" s="1117">
        <f>VLOOKUP($E180,FK$442:FN$453,4,FALSE)*FK180*($K180)+(FK180-FL180-FM180)*(1-$K180)</f>
        <v>0</v>
      </c>
      <c r="FO180" s="1073"/>
    </row>
    <row r="181" spans="1:171">
      <c r="A181" s="1444">
        <v>300</v>
      </c>
      <c r="B181" s="913" t="s">
        <v>264</v>
      </c>
      <c r="C181" s="888" t="s">
        <v>72</v>
      </c>
      <c r="D181" s="888" t="s">
        <v>457</v>
      </c>
      <c r="E181" s="182" t="str">
        <f>'Sch 3 - Expenses'!E21</f>
        <v>PROD</v>
      </c>
      <c r="F181" s="889"/>
      <c r="G181" s="182">
        <f>'Sch 3 - Expenses'!G21</f>
        <v>0</v>
      </c>
      <c r="H181" s="182">
        <f>'Sch 3 - Expenses'!H21</f>
        <v>0</v>
      </c>
      <c r="I181" s="182">
        <f>'Sch 3 - Expenses'!I21</f>
        <v>0</v>
      </c>
      <c r="J181" s="1424">
        <f>'Sch 3 - Expenses'!J21</f>
        <v>0</v>
      </c>
      <c r="K181" s="903">
        <f t="shared" si="547"/>
        <v>1</v>
      </c>
      <c r="N181" s="1161">
        <f>VLOOKUP($A181,'New Resources - Group'!$A$4:$Y$133,N$2,FALSE)*N$1</f>
        <v>0</v>
      </c>
      <c r="O181" s="1116">
        <f>$G181+N181</f>
        <v>0</v>
      </c>
      <c r="P181" s="1117">
        <f>VLOOKUP($E181,O$442:R$453,2,FALSE)*O181*($K181)+IF($G181&lt;&gt;0,($H181/$G181)*O181,0)*(1-$K181)</f>
        <v>0</v>
      </c>
      <c r="Q181" s="1117">
        <f>VLOOKUP($E181,O$442:R$453,3,FALSE)*O181*($K181)+IF($G181&lt;&gt;0,($I181/$G181)*O181,0)*(1-$K181)</f>
        <v>0</v>
      </c>
      <c r="R181" s="1117">
        <f>VLOOKUP($E181,O$442:R$453,4,FALSE)*O181*($K181)+(O181-P181-Q181)*(1-$K181)</f>
        <v>0</v>
      </c>
      <c r="S181" s="1073"/>
      <c r="V181" s="1161">
        <f>VLOOKUP($A181,'New Resources - Group'!$A$4:$Y$133,V$2,FALSE)*V$1</f>
        <v>0</v>
      </c>
      <c r="W181" s="1116">
        <f>$G181+V181</f>
        <v>0</v>
      </c>
      <c r="X181" s="1117">
        <f>VLOOKUP($E181,W$442:Z$453,2,FALSE)*W181*($K181)+IF($G181&lt;&gt;0,($H181/$G181)*W181,0)*(1-$K181)</f>
        <v>0</v>
      </c>
      <c r="Y181" s="1117">
        <f>VLOOKUP($E181,W$442:Z$453,3,FALSE)*W181*($K181)+IF($G181&lt;&gt;0,($I181/$G181)*W181,0)*(1-$K181)</f>
        <v>0</v>
      </c>
      <c r="Z181" s="1117">
        <f>VLOOKUP($E181,W$442:Z$453,4,FALSE)*W181*($K181)+(W181-X181-Y181)*(1-$K181)</f>
        <v>0</v>
      </c>
      <c r="AA181" s="1073"/>
      <c r="AD181" s="1161">
        <f>VLOOKUP($A181,'New Resources - Group'!$A$4:$Y$133,AD$2,FALSE)*AD$1</f>
        <v>0</v>
      </c>
      <c r="AE181" s="1116">
        <f>$G181+AD181</f>
        <v>0</v>
      </c>
      <c r="AF181" s="1117">
        <f>VLOOKUP($E181,AE$442:AH$453,2,FALSE)*AE181*($K181)+IF($G181&lt;&gt;0,($H181/$G181)*AE181,0)*(1-$K181)</f>
        <v>0</v>
      </c>
      <c r="AG181" s="1117">
        <f>VLOOKUP($E181,AE$442:AH$453,3,FALSE)*AE181*($K181)+IF($G181&lt;&gt;0,($I181/$G181)*AE181,0)*(1-$K181)</f>
        <v>0</v>
      </c>
      <c r="AH181" s="1117">
        <f>VLOOKUP($E181,AE$442:AH$453,4,FALSE)*AE181*($K181)+(AE181-AF181-AG181)*(1-$K181)</f>
        <v>0</v>
      </c>
      <c r="AI181" s="1073"/>
      <c r="AL181" s="1161">
        <f>VLOOKUP($A181,'New Resources - Group'!$A$4:$Y$133,AL$2,FALSE)*AL$1</f>
        <v>0</v>
      </c>
      <c r="AM181" s="1116">
        <f>$G181+AL181</f>
        <v>0</v>
      </c>
      <c r="AN181" s="1117">
        <f>VLOOKUP($E181,AM$442:AP$453,2,FALSE)*AM181*($K181)+IF($G181&lt;&gt;0,($H181/$G181)*AM181,0)*(1-$K181)</f>
        <v>0</v>
      </c>
      <c r="AO181" s="1117">
        <f>VLOOKUP($E181,AM$442:AP$453,3,FALSE)*AM181*($K181)+IF($G181&lt;&gt;0,($I181/$G181)*AM181,0)*(1-$K181)</f>
        <v>0</v>
      </c>
      <c r="AP181" s="1117">
        <f>VLOOKUP($E181,AM$442:AP$453,4,FALSE)*AM181*($K181)+(AM181-AN181-AO181)*(1-$K181)</f>
        <v>0</v>
      </c>
      <c r="AQ181" s="1073"/>
      <c r="AT181" s="1161">
        <f>VLOOKUP($A181,'New Resources - Group'!$A$4:$Y$133,AT$2,FALSE)*AT$1</f>
        <v>0</v>
      </c>
      <c r="AU181" s="1116">
        <f>$G181+AT181</f>
        <v>0</v>
      </c>
      <c r="AV181" s="1117">
        <f>VLOOKUP($E181,AU$442:AX$453,2,FALSE)*AU181*($K181)+IF($G181&lt;&gt;0,($H181/$G181)*AU181,0)*(1-$K181)</f>
        <v>0</v>
      </c>
      <c r="AW181" s="1117">
        <f>VLOOKUP($E181,AU$442:AX$453,3,FALSE)*AU181*($K181)+IF($G181&lt;&gt;0,($I181/$G181)*AU181,0)*(1-$K181)</f>
        <v>0</v>
      </c>
      <c r="AX181" s="1117">
        <f>VLOOKUP($E181,AU$442:AX$453,4,FALSE)*AU181*($K181)+(AU181-AV181-AW181)*(1-$K181)</f>
        <v>0</v>
      </c>
      <c r="AY181" s="1073"/>
      <c r="BB181" s="1161">
        <f>VLOOKUP($A181,'New Resources - Group'!$A$4:$Y$133,BB$2,FALSE)*BB$1</f>
        <v>0</v>
      </c>
      <c r="BC181" s="1116">
        <f>$G181+BB181</f>
        <v>0</v>
      </c>
      <c r="BD181" s="1117">
        <f>VLOOKUP($E181,BC$442:BF$453,2,FALSE)*BC181*($K181)+IF($G181&lt;&gt;0,($H181/$G181)*BC181,0)*(1-$K181)</f>
        <v>0</v>
      </c>
      <c r="BE181" s="1117">
        <f>VLOOKUP($E181,BC$442:BF$453,3,FALSE)*BC181*($K181)+IF($G181&lt;&gt;0,($I181/$G181)*BC181,0)*(1-$K181)</f>
        <v>0</v>
      </c>
      <c r="BF181" s="1117">
        <f>VLOOKUP($E181,BC$442:BF$453,4,FALSE)*BC181*($K181)+(BC181-BD181-BE181)*(1-$K181)</f>
        <v>0</v>
      </c>
      <c r="BG181" s="1073"/>
      <c r="BJ181" s="1161">
        <f>VLOOKUP($A181,'New Resources - Group'!$A$4:$Y$133,BJ$2,FALSE)*BJ$1</f>
        <v>0</v>
      </c>
      <c r="BK181" s="1116">
        <f>$G181+BJ181</f>
        <v>0</v>
      </c>
      <c r="BL181" s="1117">
        <f>VLOOKUP($E181,BK$442:BN$453,2,FALSE)*BK181*($K181)+IF($G181&lt;&gt;0,($H181/$G181)*BK181,0)*(1-$K181)</f>
        <v>0</v>
      </c>
      <c r="BM181" s="1117">
        <f>VLOOKUP($E181,BK$442:BN$453,3,FALSE)*BK181*($K181)+IF($G181&lt;&gt;0,($I181/$G181)*BK181,0)*(1-$K181)</f>
        <v>0</v>
      </c>
      <c r="BN181" s="1117">
        <f>VLOOKUP($E181,BK$442:BN$453,4,FALSE)*BK181*($K181)+(BK181-BL181-BM181)*(1-$K181)</f>
        <v>0</v>
      </c>
      <c r="BO181" s="1073"/>
      <c r="BR181" s="1161">
        <f>VLOOKUP($A181,'New Resources - Group'!$A$4:$Y$133,BR$2,FALSE)*BR$1</f>
        <v>0</v>
      </c>
      <c r="BS181" s="1116">
        <f>$G181+BR181</f>
        <v>0</v>
      </c>
      <c r="BT181" s="1117">
        <f>VLOOKUP($E181,BS$442:BV$453,2,FALSE)*BS181*($K181)+IF($G181&lt;&gt;0,($H181/$G181)*BS181,0)*(1-$K181)</f>
        <v>0</v>
      </c>
      <c r="BU181" s="1117">
        <f>VLOOKUP($E181,BS$442:BV$453,3,FALSE)*BS181*($K181)+IF($G181&lt;&gt;0,($I181/$G181)*BS181,0)*(1-$K181)</f>
        <v>0</v>
      </c>
      <c r="BV181" s="1117">
        <f>VLOOKUP($E181,BS$442:BV$453,4,FALSE)*BS181*($K181)+(BS181-BT181-BU181)*(1-$K181)</f>
        <v>0</v>
      </c>
      <c r="BW181" s="1073"/>
      <c r="BZ181" s="1161">
        <f>VLOOKUP($A181,'New Resources - Group'!$A$4:$Y$133,BZ$2,FALSE)*BZ$1</f>
        <v>0</v>
      </c>
      <c r="CA181" s="1116">
        <f>$G181+BZ181</f>
        <v>0</v>
      </c>
      <c r="CB181" s="1117">
        <f>VLOOKUP($E181,CA$442:CD$453,2,FALSE)*CA181*($K181)+IF($G181&lt;&gt;0,($H181/$G181)*CA181,0)*(1-$K181)</f>
        <v>0</v>
      </c>
      <c r="CC181" s="1117">
        <f>VLOOKUP($E181,CA$442:CD$453,3,FALSE)*CA181*($K181)+IF($G181&lt;&gt;0,($I181/$G181)*CA181,0)*(1-$K181)</f>
        <v>0</v>
      </c>
      <c r="CD181" s="1117">
        <f>VLOOKUP($E181,CA$442:CD$453,4,FALSE)*CA181*($K181)+(CA181-CB181-CC181)*(1-$K181)</f>
        <v>0</v>
      </c>
      <c r="CE181" s="1073"/>
      <c r="CH181" s="1161">
        <f>VLOOKUP($A181,'New Resources - Group'!$A$4:$Y$133,CH$2,FALSE)*CH$1</f>
        <v>0</v>
      </c>
      <c r="CI181" s="1116">
        <f>$G181+CH181</f>
        <v>0</v>
      </c>
      <c r="CJ181" s="1117">
        <f>VLOOKUP($E181,CI$442:CL$453,2,FALSE)*CI181*($K181)+IF($G181&lt;&gt;0,($H181/$G181)*CI181,0)*(1-$K181)</f>
        <v>0</v>
      </c>
      <c r="CK181" s="1117">
        <f>VLOOKUP($E181,CI$442:CL$453,3,FALSE)*CI181*($K181)+IF($G181&lt;&gt;0,($I181/$G181)*CI181,0)*(1-$K181)</f>
        <v>0</v>
      </c>
      <c r="CL181" s="1117">
        <f>VLOOKUP($E181,CI$442:CL$453,4,FALSE)*CI181*($K181)+(CI181-CJ181-CK181)*(1-$K181)</f>
        <v>0</v>
      </c>
      <c r="CM181" s="1073"/>
      <c r="CP181" s="1161">
        <f>VLOOKUP($A181,'New Resources - Group'!$A$4:$Y$133,CP$2,FALSE)*CP$1</f>
        <v>0</v>
      </c>
      <c r="CQ181" s="1116">
        <f>$G181+CP181</f>
        <v>0</v>
      </c>
      <c r="CR181" s="1117">
        <f>VLOOKUP($E181,CQ$442:CT$453,2,FALSE)*CQ181*($K181)+IF($G181&lt;&gt;0,($H181/$G181)*CQ181,0)*(1-$K181)</f>
        <v>0</v>
      </c>
      <c r="CS181" s="1117">
        <f>VLOOKUP($E181,CQ$442:CT$453,3,FALSE)*CQ181*($K181)+IF($G181&lt;&gt;0,($I181/$G181)*CQ181,0)*(1-$K181)</f>
        <v>0</v>
      </c>
      <c r="CT181" s="1117">
        <f>VLOOKUP($E181,CQ$442:CT$453,4,FALSE)*CQ181*($K181)+(CQ181-CR181-CS181)*(1-$K181)</f>
        <v>0</v>
      </c>
      <c r="CU181" s="1073"/>
      <c r="CX181" s="1161">
        <f>VLOOKUP($A181,'New Resources - Group'!$A$4:$Y$133,CX$2,FALSE)*CX$1</f>
        <v>0</v>
      </c>
      <c r="CY181" s="1116">
        <f>$G181+CX181</f>
        <v>0</v>
      </c>
      <c r="CZ181" s="1117">
        <f>VLOOKUP($E181,CY$442:DB$453,2,FALSE)*CY181*($K181)+IF($G181&lt;&gt;0,($H181/$G181)*CY181,0)*(1-$K181)</f>
        <v>0</v>
      </c>
      <c r="DA181" s="1117">
        <f>VLOOKUP($E181,CY$442:DB$453,3,FALSE)*CY181*($K181)+IF($G181&lt;&gt;0,($I181/$G181)*CY181,0)*(1-$K181)</f>
        <v>0</v>
      </c>
      <c r="DB181" s="1117">
        <f>VLOOKUP($E181,CY$442:DB$453,4,FALSE)*CY181*($K181)+(CY181-CZ181-DA181)*(1-$K181)</f>
        <v>0</v>
      </c>
      <c r="DC181" s="1073"/>
      <c r="DF181" s="1161">
        <f>VLOOKUP($A181,'New Resources - Group'!$A$4:$Y$133,DF$2,FALSE)*DF$1</f>
        <v>0</v>
      </c>
      <c r="DG181" s="1116">
        <f>$G181+DF181</f>
        <v>0</v>
      </c>
      <c r="DH181" s="1117">
        <f>VLOOKUP($E181,DG$442:DJ$453,2,FALSE)*DG181*($K181)+IF($G181&lt;&gt;0,($H181/$G181)*DG181,0)*(1-$K181)</f>
        <v>0</v>
      </c>
      <c r="DI181" s="1117">
        <f>VLOOKUP($E181,DG$442:DJ$453,3,FALSE)*DG181*($K181)+IF($G181&lt;&gt;0,($I181/$G181)*DG181,0)*(1-$K181)</f>
        <v>0</v>
      </c>
      <c r="DJ181" s="1117">
        <f>VLOOKUP($E181,DG$442:DJ$453,4,FALSE)*DG181*($K181)+(DG181-DH181-DI181)*(1-$K181)</f>
        <v>0</v>
      </c>
      <c r="DK181" s="1073"/>
      <c r="DN181" s="1161">
        <f>VLOOKUP($A181,'New Resources - Group'!$A$4:$Y$133,DN$2,FALSE)*DN$1</f>
        <v>0</v>
      </c>
      <c r="DO181" s="1116">
        <f>$G181+DN181</f>
        <v>0</v>
      </c>
      <c r="DP181" s="1117">
        <f>VLOOKUP($E181,DO$442:DR$453,2,FALSE)*DO181*($K181)+IF($G181&lt;&gt;0,($H181/$G181)*DO181,0)*(1-$K181)</f>
        <v>0</v>
      </c>
      <c r="DQ181" s="1117">
        <f>VLOOKUP($E181,DO$442:DR$453,3,FALSE)*DO181*($K181)+IF($G181&lt;&gt;0,($I181/$G181)*DO181,0)*(1-$K181)</f>
        <v>0</v>
      </c>
      <c r="DR181" s="1117">
        <f>VLOOKUP($E181,DO$442:DR$453,4,FALSE)*DO181*($K181)+(DO181-DP181-DQ181)*(1-$K181)</f>
        <v>0</v>
      </c>
      <c r="DS181" s="1073"/>
      <c r="DV181" s="1161">
        <f>VLOOKUP($A181,'New Resources - Group'!$A$4:$Y$133,DV$2,FALSE)*DV$1</f>
        <v>0</v>
      </c>
      <c r="DW181" s="1116">
        <f>$G181+DV181</f>
        <v>0</v>
      </c>
      <c r="DX181" s="1117">
        <f>VLOOKUP($E181,DW$442:DZ$453,2,FALSE)*DW181*($K181)+IF($G181&lt;&gt;0,($H181/$G181)*DW181,0)*(1-$K181)</f>
        <v>0</v>
      </c>
      <c r="DY181" s="1117">
        <f>VLOOKUP($E181,DW$442:DZ$453,3,FALSE)*DW181*($K181)+IF($G181&lt;&gt;0,($I181/$G181)*DW181,0)*(1-$K181)</f>
        <v>0</v>
      </c>
      <c r="DZ181" s="1117">
        <f>VLOOKUP($E181,DW$442:DZ$453,4,FALSE)*DW181*($K181)+(DW181-DX181-DY181)*(1-$K181)</f>
        <v>0</v>
      </c>
      <c r="EA181" s="1073"/>
      <c r="ED181" s="1161">
        <f>VLOOKUP($A181,'New Resources - Group'!$A$4:$Y$133,ED$2,FALSE)*ED$1</f>
        <v>0</v>
      </c>
      <c r="EE181" s="1116">
        <f>$G181+ED181</f>
        <v>0</v>
      </c>
      <c r="EF181" s="1117">
        <f>VLOOKUP($E181,EE$442:EH$453,2,FALSE)*EE181*($K181)+IF($G181&lt;&gt;0,($H181/$G181)*EE181,0)*(1-$K181)</f>
        <v>0</v>
      </c>
      <c r="EG181" s="1117">
        <f>VLOOKUP($E181,EE$442:EH$453,3,FALSE)*EE181*($K181)+IF($G181&lt;&gt;0,($I181/$G181)*EE181,0)*(1-$K181)</f>
        <v>0</v>
      </c>
      <c r="EH181" s="1117">
        <f>VLOOKUP($E181,EE$442:EH$453,4,FALSE)*EE181*($K181)+(EE181-EF181-EG181)*(1-$K181)</f>
        <v>0</v>
      </c>
      <c r="EI181" s="1073"/>
      <c r="EL181" s="1161">
        <f>VLOOKUP($A181,'New Resources - Group'!$A$4:$Y$133,EL$2,FALSE)*EL$1</f>
        <v>0</v>
      </c>
      <c r="EM181" s="1116">
        <f>$G181+EL181</f>
        <v>0</v>
      </c>
      <c r="EN181" s="1117">
        <f>VLOOKUP($E181,EM$442:EP$453,2,FALSE)*EM181*($K181)+IF($G181&lt;&gt;0,($H181/$G181)*EM181,0)*(1-$K181)</f>
        <v>0</v>
      </c>
      <c r="EO181" s="1117">
        <f>VLOOKUP($E181,EM$442:EP$453,3,FALSE)*EM181*($K181)+IF($G181&lt;&gt;0,($I181/$G181)*EM181,0)*(1-$K181)</f>
        <v>0</v>
      </c>
      <c r="EP181" s="1117">
        <f>VLOOKUP($E181,EM$442:EP$453,4,FALSE)*EM181*($K181)+(EM181-EN181-EO181)*(1-$K181)</f>
        <v>0</v>
      </c>
      <c r="EQ181" s="1073"/>
      <c r="ET181" s="1161">
        <f>VLOOKUP($A181,'New Resources - Group'!$A$4:$Y$133,ET$2,FALSE)*ET$1</f>
        <v>0</v>
      </c>
      <c r="EU181" s="1116">
        <f>$G181+ET181</f>
        <v>0</v>
      </c>
      <c r="EV181" s="1117">
        <f>VLOOKUP($E181,EU$442:EX$453,2,FALSE)*EU181*($K181)+IF($G181&lt;&gt;0,($H181/$G181)*EU181,0)*(1-$K181)</f>
        <v>0</v>
      </c>
      <c r="EW181" s="1117">
        <f>VLOOKUP($E181,EU$442:EX$453,3,FALSE)*EU181*($K181)+IF($G181&lt;&gt;0,($I181/$G181)*EU181,0)*(1-$K181)</f>
        <v>0</v>
      </c>
      <c r="EX181" s="1117">
        <f>VLOOKUP($E181,EU$442:EX$453,4,FALSE)*EU181*($K181)+(EU181-EV181-EW181)*(1-$K181)</f>
        <v>0</v>
      </c>
      <c r="EY181" s="1073"/>
      <c r="FB181" s="1161">
        <f>VLOOKUP($A181,'New Resources - Group'!$A$4:$Y$133,FB$2,FALSE)*FB$1</f>
        <v>0</v>
      </c>
      <c r="FC181" s="1116">
        <f>$G181+FB181</f>
        <v>0</v>
      </c>
      <c r="FD181" s="1117">
        <f>VLOOKUP($E181,FC$442:FF$453,2,FALSE)*FC181*($K181)+IF($G181&lt;&gt;0,($H181/$G181)*FC181,0)*(1-$K181)</f>
        <v>0</v>
      </c>
      <c r="FE181" s="1117">
        <f>VLOOKUP($E181,FC$442:FF$453,3,FALSE)*FC181*($K181)+IF($G181&lt;&gt;0,($I181/$G181)*FC181,0)*(1-$K181)</f>
        <v>0</v>
      </c>
      <c r="FF181" s="1117">
        <f>VLOOKUP($E181,FC$442:FF$453,4,FALSE)*FC181*($K181)+(FC181-FD181-FE181)*(1-$K181)</f>
        <v>0</v>
      </c>
      <c r="FG181" s="1073"/>
      <c r="FJ181" s="1161">
        <f>VLOOKUP($A181,'New Resources - Group'!$A$4:$Y$133,FJ$2,FALSE)*FJ$1</f>
        <v>0</v>
      </c>
      <c r="FK181" s="1116">
        <f>$G181+FJ181</f>
        <v>0</v>
      </c>
      <c r="FL181" s="1117">
        <f>VLOOKUP($E181,FK$442:FN$453,2,FALSE)*FK181*($K181)+IF($G181&lt;&gt;0,($H181/$G181)*FK181,0)*(1-$K181)</f>
        <v>0</v>
      </c>
      <c r="FM181" s="1117">
        <f>VLOOKUP($E181,FK$442:FN$453,3,FALSE)*FK181*($K181)+IF($G181&lt;&gt;0,($I181/$G181)*FK181,0)*(1-$K181)</f>
        <v>0</v>
      </c>
      <c r="FN181" s="1117">
        <f>VLOOKUP($E181,FK$442:FN$453,4,FALSE)*FK181*($K181)+(FK181-FL181-FM181)*(1-$K181)</f>
        <v>0</v>
      </c>
      <c r="FO181" s="1073"/>
    </row>
    <row r="182" spans="1:171">
      <c r="A182" s="1444">
        <v>310</v>
      </c>
      <c r="B182" s="10" t="s">
        <v>483</v>
      </c>
      <c r="C182" s="888" t="s">
        <v>72</v>
      </c>
      <c r="D182" s="888" t="s">
        <v>484</v>
      </c>
      <c r="E182" s="182" t="str">
        <f>'Sch 3 - Expenses'!E22</f>
        <v>PROD</v>
      </c>
      <c r="F182" s="889"/>
      <c r="G182" s="182">
        <f>'Sch 3 - Expenses'!G22</f>
        <v>0</v>
      </c>
      <c r="H182" s="182">
        <f>'Sch 3 - Expenses'!H22</f>
        <v>0</v>
      </c>
      <c r="I182" s="182">
        <f>'Sch 3 - Expenses'!I22</f>
        <v>0</v>
      </c>
      <c r="J182" s="1424">
        <f>'Sch 3 - Expenses'!J22</f>
        <v>0</v>
      </c>
      <c r="K182" s="903">
        <f t="shared" si="547"/>
        <v>1</v>
      </c>
      <c r="N182" s="1161">
        <f>VLOOKUP($A182,'New Resources - Group'!$A$4:$Y$133,N$2,FALSE)*N$1</f>
        <v>0</v>
      </c>
      <c r="O182" s="1116">
        <f>$G182+N182</f>
        <v>0</v>
      </c>
      <c r="P182" s="1117">
        <f>VLOOKUP($E182,O$442:R$453,2,FALSE)*O182*($K182)+IF($G182&lt;&gt;0,($H182/$G182)*O182,0)*(1-$K182)</f>
        <v>0</v>
      </c>
      <c r="Q182" s="1117">
        <f>VLOOKUP($E182,O$442:R$453,3,FALSE)*O182*($K182)+IF($G182&lt;&gt;0,($I182/$G182)*O182,0)*(1-$K182)</f>
        <v>0</v>
      </c>
      <c r="R182" s="1117">
        <f>VLOOKUP($E182,O$442:R$453,4,FALSE)*O182*($K182)+(O182-P182-Q182)*(1-$K182)</f>
        <v>0</v>
      </c>
      <c r="S182" s="1073"/>
      <c r="V182" s="1161">
        <f>VLOOKUP($A182,'New Resources - Group'!$A$4:$Y$133,V$2,FALSE)*V$1</f>
        <v>0</v>
      </c>
      <c r="W182" s="1116">
        <f>$G182+V182</f>
        <v>0</v>
      </c>
      <c r="X182" s="1117">
        <f>VLOOKUP($E182,W$442:Z$453,2,FALSE)*W182*($K182)+IF($G182&lt;&gt;0,($H182/$G182)*W182,0)*(1-$K182)</f>
        <v>0</v>
      </c>
      <c r="Y182" s="1117">
        <f>VLOOKUP($E182,W$442:Z$453,3,FALSE)*W182*($K182)+IF($G182&lt;&gt;0,($I182/$G182)*W182,0)*(1-$K182)</f>
        <v>0</v>
      </c>
      <c r="Z182" s="1117">
        <f>VLOOKUP($E182,W$442:Z$453,4,FALSE)*W182*($K182)+(W182-X182-Y182)*(1-$K182)</f>
        <v>0</v>
      </c>
      <c r="AA182" s="1073"/>
      <c r="AD182" s="1161">
        <f>VLOOKUP($A182,'New Resources - Group'!$A$4:$Y$133,AD$2,FALSE)*AD$1</f>
        <v>0</v>
      </c>
      <c r="AE182" s="1116">
        <f>$G182+AD182</f>
        <v>0</v>
      </c>
      <c r="AF182" s="1117">
        <f>VLOOKUP($E182,AE$442:AH$453,2,FALSE)*AE182*($K182)+IF($G182&lt;&gt;0,($H182/$G182)*AE182,0)*(1-$K182)</f>
        <v>0</v>
      </c>
      <c r="AG182" s="1117">
        <f>VLOOKUP($E182,AE$442:AH$453,3,FALSE)*AE182*($K182)+IF($G182&lt;&gt;0,($I182/$G182)*AE182,0)*(1-$K182)</f>
        <v>0</v>
      </c>
      <c r="AH182" s="1117">
        <f>VLOOKUP($E182,AE$442:AH$453,4,FALSE)*AE182*($K182)+(AE182-AF182-AG182)*(1-$K182)</f>
        <v>0</v>
      </c>
      <c r="AI182" s="1073"/>
      <c r="AL182" s="1161">
        <f>VLOOKUP($A182,'New Resources - Group'!$A$4:$Y$133,AL$2,FALSE)*AL$1</f>
        <v>0</v>
      </c>
      <c r="AM182" s="1116">
        <f>$G182+AL182</f>
        <v>0</v>
      </c>
      <c r="AN182" s="1117">
        <f>VLOOKUP($E182,AM$442:AP$453,2,FALSE)*AM182*($K182)+IF($G182&lt;&gt;0,($H182/$G182)*AM182,0)*(1-$K182)</f>
        <v>0</v>
      </c>
      <c r="AO182" s="1117">
        <f>VLOOKUP($E182,AM$442:AP$453,3,FALSE)*AM182*($K182)+IF($G182&lt;&gt;0,($I182/$G182)*AM182,0)*(1-$K182)</f>
        <v>0</v>
      </c>
      <c r="AP182" s="1117">
        <f>VLOOKUP($E182,AM$442:AP$453,4,FALSE)*AM182*($K182)+(AM182-AN182-AO182)*(1-$K182)</f>
        <v>0</v>
      </c>
      <c r="AQ182" s="1073"/>
      <c r="AT182" s="1161">
        <f>VLOOKUP($A182,'New Resources - Group'!$A$4:$Y$133,AT$2,FALSE)*AT$1</f>
        <v>0</v>
      </c>
      <c r="AU182" s="1116">
        <f>$G182+AT182</f>
        <v>0</v>
      </c>
      <c r="AV182" s="1117">
        <f>VLOOKUP($E182,AU$442:AX$453,2,FALSE)*AU182*($K182)+IF($G182&lt;&gt;0,($H182/$G182)*AU182,0)*(1-$K182)</f>
        <v>0</v>
      </c>
      <c r="AW182" s="1117">
        <f>VLOOKUP($E182,AU$442:AX$453,3,FALSE)*AU182*($K182)+IF($G182&lt;&gt;0,($I182/$G182)*AU182,0)*(1-$K182)</f>
        <v>0</v>
      </c>
      <c r="AX182" s="1117">
        <f>VLOOKUP($E182,AU$442:AX$453,4,FALSE)*AU182*($K182)+(AU182-AV182-AW182)*(1-$K182)</f>
        <v>0</v>
      </c>
      <c r="AY182" s="1073"/>
      <c r="BB182" s="1161">
        <f>VLOOKUP($A182,'New Resources - Group'!$A$4:$Y$133,BB$2,FALSE)*BB$1</f>
        <v>0</v>
      </c>
      <c r="BC182" s="1116">
        <f>$G182+BB182</f>
        <v>0</v>
      </c>
      <c r="BD182" s="1117">
        <f>VLOOKUP($E182,BC$442:BF$453,2,FALSE)*BC182*($K182)+IF($G182&lt;&gt;0,($H182/$G182)*BC182,0)*(1-$K182)</f>
        <v>0</v>
      </c>
      <c r="BE182" s="1117">
        <f>VLOOKUP($E182,BC$442:BF$453,3,FALSE)*BC182*($K182)+IF($G182&lt;&gt;0,($I182/$G182)*BC182,0)*(1-$K182)</f>
        <v>0</v>
      </c>
      <c r="BF182" s="1117">
        <f>VLOOKUP($E182,BC$442:BF$453,4,FALSE)*BC182*($K182)+(BC182-BD182-BE182)*(1-$K182)</f>
        <v>0</v>
      </c>
      <c r="BG182" s="1073"/>
      <c r="BJ182" s="1161">
        <f>VLOOKUP($A182,'New Resources - Group'!$A$4:$Y$133,BJ$2,FALSE)*BJ$1</f>
        <v>0</v>
      </c>
      <c r="BK182" s="1116">
        <f>$G182+BJ182</f>
        <v>0</v>
      </c>
      <c r="BL182" s="1117">
        <f>VLOOKUP($E182,BK$442:BN$453,2,FALSE)*BK182*($K182)+IF($G182&lt;&gt;0,($H182/$G182)*BK182,0)*(1-$K182)</f>
        <v>0</v>
      </c>
      <c r="BM182" s="1117">
        <f>VLOOKUP($E182,BK$442:BN$453,3,FALSE)*BK182*($K182)+IF($G182&lt;&gt;0,($I182/$G182)*BK182,0)*(1-$K182)</f>
        <v>0</v>
      </c>
      <c r="BN182" s="1117">
        <f>VLOOKUP($E182,BK$442:BN$453,4,FALSE)*BK182*($K182)+(BK182-BL182-BM182)*(1-$K182)</f>
        <v>0</v>
      </c>
      <c r="BO182" s="1073"/>
      <c r="BR182" s="1161">
        <f>VLOOKUP($A182,'New Resources - Group'!$A$4:$Y$133,BR$2,FALSE)*BR$1</f>
        <v>0</v>
      </c>
      <c r="BS182" s="1116">
        <f>$G182+BR182</f>
        <v>0</v>
      </c>
      <c r="BT182" s="1117">
        <f>VLOOKUP($E182,BS$442:BV$453,2,FALSE)*BS182*($K182)+IF($G182&lt;&gt;0,($H182/$G182)*BS182,0)*(1-$K182)</f>
        <v>0</v>
      </c>
      <c r="BU182" s="1117">
        <f>VLOOKUP($E182,BS$442:BV$453,3,FALSE)*BS182*($K182)+IF($G182&lt;&gt;0,($I182/$G182)*BS182,0)*(1-$K182)</f>
        <v>0</v>
      </c>
      <c r="BV182" s="1117">
        <f>VLOOKUP($E182,BS$442:BV$453,4,FALSE)*BS182*($K182)+(BS182-BT182-BU182)*(1-$K182)</f>
        <v>0</v>
      </c>
      <c r="BW182" s="1073"/>
      <c r="BZ182" s="1161">
        <f>VLOOKUP($A182,'New Resources - Group'!$A$4:$Y$133,BZ$2,FALSE)*BZ$1</f>
        <v>0</v>
      </c>
      <c r="CA182" s="1116">
        <f>$G182+BZ182</f>
        <v>0</v>
      </c>
      <c r="CB182" s="1117">
        <f>VLOOKUP($E182,CA$442:CD$453,2,FALSE)*CA182*($K182)+IF($G182&lt;&gt;0,($H182/$G182)*CA182,0)*(1-$K182)</f>
        <v>0</v>
      </c>
      <c r="CC182" s="1117">
        <f>VLOOKUP($E182,CA$442:CD$453,3,FALSE)*CA182*($K182)+IF($G182&lt;&gt;0,($I182/$G182)*CA182,0)*(1-$K182)</f>
        <v>0</v>
      </c>
      <c r="CD182" s="1117">
        <f>VLOOKUP($E182,CA$442:CD$453,4,FALSE)*CA182*($K182)+(CA182-CB182-CC182)*(1-$K182)</f>
        <v>0</v>
      </c>
      <c r="CE182" s="1073"/>
      <c r="CH182" s="1161">
        <f>VLOOKUP($A182,'New Resources - Group'!$A$4:$Y$133,CH$2,FALSE)*CH$1</f>
        <v>0</v>
      </c>
      <c r="CI182" s="1116">
        <f>$G182+CH182</f>
        <v>0</v>
      </c>
      <c r="CJ182" s="1117">
        <f>VLOOKUP($E182,CI$442:CL$453,2,FALSE)*CI182*($K182)+IF($G182&lt;&gt;0,($H182/$G182)*CI182,0)*(1-$K182)</f>
        <v>0</v>
      </c>
      <c r="CK182" s="1117">
        <f>VLOOKUP($E182,CI$442:CL$453,3,FALSE)*CI182*($K182)+IF($G182&lt;&gt;0,($I182/$G182)*CI182,0)*(1-$K182)</f>
        <v>0</v>
      </c>
      <c r="CL182" s="1117">
        <f>VLOOKUP($E182,CI$442:CL$453,4,FALSE)*CI182*($K182)+(CI182-CJ182-CK182)*(1-$K182)</f>
        <v>0</v>
      </c>
      <c r="CM182" s="1073"/>
      <c r="CP182" s="1161">
        <f>VLOOKUP($A182,'New Resources - Group'!$A$4:$Y$133,CP$2,FALSE)*CP$1</f>
        <v>0</v>
      </c>
      <c r="CQ182" s="1116">
        <f>$G182+CP182</f>
        <v>0</v>
      </c>
      <c r="CR182" s="1117">
        <f>VLOOKUP($E182,CQ$442:CT$453,2,FALSE)*CQ182*($K182)+IF($G182&lt;&gt;0,($H182/$G182)*CQ182,0)*(1-$K182)</f>
        <v>0</v>
      </c>
      <c r="CS182" s="1117">
        <f>VLOOKUP($E182,CQ$442:CT$453,3,FALSE)*CQ182*($K182)+IF($G182&lt;&gt;0,($I182/$G182)*CQ182,0)*(1-$K182)</f>
        <v>0</v>
      </c>
      <c r="CT182" s="1117">
        <f>VLOOKUP($E182,CQ$442:CT$453,4,FALSE)*CQ182*($K182)+(CQ182-CR182-CS182)*(1-$K182)</f>
        <v>0</v>
      </c>
      <c r="CU182" s="1073"/>
      <c r="CX182" s="1161">
        <f>VLOOKUP($A182,'New Resources - Group'!$A$4:$Y$133,CX$2,FALSE)*CX$1</f>
        <v>0</v>
      </c>
      <c r="CY182" s="1116">
        <f>$G182+CX182</f>
        <v>0</v>
      </c>
      <c r="CZ182" s="1117">
        <f>VLOOKUP($E182,CY$442:DB$453,2,FALSE)*CY182*($K182)+IF($G182&lt;&gt;0,($H182/$G182)*CY182,0)*(1-$K182)</f>
        <v>0</v>
      </c>
      <c r="DA182" s="1117">
        <f>VLOOKUP($E182,CY$442:DB$453,3,FALSE)*CY182*($K182)+IF($G182&lt;&gt;0,($I182/$G182)*CY182,0)*(1-$K182)</f>
        <v>0</v>
      </c>
      <c r="DB182" s="1117">
        <f>VLOOKUP($E182,CY$442:DB$453,4,FALSE)*CY182*($K182)+(CY182-CZ182-DA182)*(1-$K182)</f>
        <v>0</v>
      </c>
      <c r="DC182" s="1073"/>
      <c r="DF182" s="1161">
        <f>VLOOKUP($A182,'New Resources - Group'!$A$4:$Y$133,DF$2,FALSE)*DF$1</f>
        <v>0</v>
      </c>
      <c r="DG182" s="1116">
        <f>$G182+DF182</f>
        <v>0</v>
      </c>
      <c r="DH182" s="1117">
        <f>VLOOKUP($E182,DG$442:DJ$453,2,FALSE)*DG182*($K182)+IF($G182&lt;&gt;0,($H182/$G182)*DG182,0)*(1-$K182)</f>
        <v>0</v>
      </c>
      <c r="DI182" s="1117">
        <f>VLOOKUP($E182,DG$442:DJ$453,3,FALSE)*DG182*($K182)+IF($G182&lt;&gt;0,($I182/$G182)*DG182,0)*(1-$K182)</f>
        <v>0</v>
      </c>
      <c r="DJ182" s="1117">
        <f>VLOOKUP($E182,DG$442:DJ$453,4,FALSE)*DG182*($K182)+(DG182-DH182-DI182)*(1-$K182)</f>
        <v>0</v>
      </c>
      <c r="DK182" s="1073"/>
      <c r="DN182" s="1161">
        <f>VLOOKUP($A182,'New Resources - Group'!$A$4:$Y$133,DN$2,FALSE)*DN$1</f>
        <v>0</v>
      </c>
      <c r="DO182" s="1116">
        <f>$G182+DN182</f>
        <v>0</v>
      </c>
      <c r="DP182" s="1117">
        <f>VLOOKUP($E182,DO$442:DR$453,2,FALSE)*DO182*($K182)+IF($G182&lt;&gt;0,($H182/$G182)*DO182,0)*(1-$K182)</f>
        <v>0</v>
      </c>
      <c r="DQ182" s="1117">
        <f>VLOOKUP($E182,DO$442:DR$453,3,FALSE)*DO182*($K182)+IF($G182&lt;&gt;0,($I182/$G182)*DO182,0)*(1-$K182)</f>
        <v>0</v>
      </c>
      <c r="DR182" s="1117">
        <f>VLOOKUP($E182,DO$442:DR$453,4,FALSE)*DO182*($K182)+(DO182-DP182-DQ182)*(1-$K182)</f>
        <v>0</v>
      </c>
      <c r="DS182" s="1073"/>
      <c r="DV182" s="1161">
        <f>VLOOKUP($A182,'New Resources - Group'!$A$4:$Y$133,DV$2,FALSE)*DV$1</f>
        <v>0</v>
      </c>
      <c r="DW182" s="1116">
        <f>$G182+DV182</f>
        <v>0</v>
      </c>
      <c r="DX182" s="1117">
        <f>VLOOKUP($E182,DW$442:DZ$453,2,FALSE)*DW182*($K182)+IF($G182&lt;&gt;0,($H182/$G182)*DW182,0)*(1-$K182)</f>
        <v>0</v>
      </c>
      <c r="DY182" s="1117">
        <f>VLOOKUP($E182,DW$442:DZ$453,3,FALSE)*DW182*($K182)+IF($G182&lt;&gt;0,($I182/$G182)*DW182,0)*(1-$K182)</f>
        <v>0</v>
      </c>
      <c r="DZ182" s="1117">
        <f>VLOOKUP($E182,DW$442:DZ$453,4,FALSE)*DW182*($K182)+(DW182-DX182-DY182)*(1-$K182)</f>
        <v>0</v>
      </c>
      <c r="EA182" s="1073"/>
      <c r="ED182" s="1161">
        <f>VLOOKUP($A182,'New Resources - Group'!$A$4:$Y$133,ED$2,FALSE)*ED$1</f>
        <v>0</v>
      </c>
      <c r="EE182" s="1116">
        <f>$G182+ED182</f>
        <v>0</v>
      </c>
      <c r="EF182" s="1117">
        <f>VLOOKUP($E182,EE$442:EH$453,2,FALSE)*EE182*($K182)+IF($G182&lt;&gt;0,($H182/$G182)*EE182,0)*(1-$K182)</f>
        <v>0</v>
      </c>
      <c r="EG182" s="1117">
        <f>VLOOKUP($E182,EE$442:EH$453,3,FALSE)*EE182*($K182)+IF($G182&lt;&gt;0,($I182/$G182)*EE182,0)*(1-$K182)</f>
        <v>0</v>
      </c>
      <c r="EH182" s="1117">
        <f>VLOOKUP($E182,EE$442:EH$453,4,FALSE)*EE182*($K182)+(EE182-EF182-EG182)*(1-$K182)</f>
        <v>0</v>
      </c>
      <c r="EI182" s="1073"/>
      <c r="EL182" s="1161">
        <f>VLOOKUP($A182,'New Resources - Group'!$A$4:$Y$133,EL$2,FALSE)*EL$1</f>
        <v>0</v>
      </c>
      <c r="EM182" s="1116">
        <f>$G182+EL182</f>
        <v>0</v>
      </c>
      <c r="EN182" s="1117">
        <f>VLOOKUP($E182,EM$442:EP$453,2,FALSE)*EM182*($K182)+IF($G182&lt;&gt;0,($H182/$G182)*EM182,0)*(1-$K182)</f>
        <v>0</v>
      </c>
      <c r="EO182" s="1117">
        <f>VLOOKUP($E182,EM$442:EP$453,3,FALSE)*EM182*($K182)+IF($G182&lt;&gt;0,($I182/$G182)*EM182,0)*(1-$K182)</f>
        <v>0</v>
      </c>
      <c r="EP182" s="1117">
        <f>VLOOKUP($E182,EM$442:EP$453,4,FALSE)*EM182*($K182)+(EM182-EN182-EO182)*(1-$K182)</f>
        <v>0</v>
      </c>
      <c r="EQ182" s="1073"/>
      <c r="ET182" s="1161">
        <f>VLOOKUP($A182,'New Resources - Group'!$A$4:$Y$133,ET$2,FALSE)*ET$1</f>
        <v>0</v>
      </c>
      <c r="EU182" s="1116">
        <f>$G182+ET182</f>
        <v>0</v>
      </c>
      <c r="EV182" s="1117">
        <f>VLOOKUP($E182,EU$442:EX$453,2,FALSE)*EU182*($K182)+IF($G182&lt;&gt;0,($H182/$G182)*EU182,0)*(1-$K182)</f>
        <v>0</v>
      </c>
      <c r="EW182" s="1117">
        <f>VLOOKUP($E182,EU$442:EX$453,3,FALSE)*EU182*($K182)+IF($G182&lt;&gt;0,($I182/$G182)*EU182,0)*(1-$K182)</f>
        <v>0</v>
      </c>
      <c r="EX182" s="1117">
        <f>VLOOKUP($E182,EU$442:EX$453,4,FALSE)*EU182*($K182)+(EU182-EV182-EW182)*(1-$K182)</f>
        <v>0</v>
      </c>
      <c r="EY182" s="1073"/>
      <c r="FB182" s="1161">
        <f>VLOOKUP($A182,'New Resources - Group'!$A$4:$Y$133,FB$2,FALSE)*FB$1</f>
        <v>0</v>
      </c>
      <c r="FC182" s="1116">
        <f>$G182+FB182</f>
        <v>0</v>
      </c>
      <c r="FD182" s="1117">
        <f>VLOOKUP($E182,FC$442:FF$453,2,FALSE)*FC182*($K182)+IF($G182&lt;&gt;0,($H182/$G182)*FC182,0)*(1-$K182)</f>
        <v>0</v>
      </c>
      <c r="FE182" s="1117">
        <f>VLOOKUP($E182,FC$442:FF$453,3,FALSE)*FC182*($K182)+IF($G182&lt;&gt;0,($I182/$G182)*FC182,0)*(1-$K182)</f>
        <v>0</v>
      </c>
      <c r="FF182" s="1117">
        <f>VLOOKUP($E182,FC$442:FF$453,4,FALSE)*FC182*($K182)+(FC182-FD182-FE182)*(1-$K182)</f>
        <v>0</v>
      </c>
      <c r="FG182" s="1073"/>
      <c r="FJ182" s="1161">
        <f>VLOOKUP($A182,'New Resources - Group'!$A$4:$Y$133,FJ$2,FALSE)*FJ$1</f>
        <v>0</v>
      </c>
      <c r="FK182" s="1116">
        <f>$G182+FJ182</f>
        <v>0</v>
      </c>
      <c r="FL182" s="1117">
        <f>VLOOKUP($E182,FK$442:FN$453,2,FALSE)*FK182*($K182)+IF($G182&lt;&gt;0,($H182/$G182)*FK182,0)*(1-$K182)</f>
        <v>0</v>
      </c>
      <c r="FM182" s="1117">
        <f>VLOOKUP($E182,FK$442:FN$453,3,FALSE)*FK182*($K182)+IF($G182&lt;&gt;0,($I182/$G182)*FK182,0)*(1-$K182)</f>
        <v>0</v>
      </c>
      <c r="FN182" s="1117">
        <f>VLOOKUP($E182,FK$442:FN$453,4,FALSE)*FK182*($K182)+(FK182-FL182-FM182)*(1-$K182)</f>
        <v>0</v>
      </c>
      <c r="FO182" s="1073"/>
    </row>
    <row r="183" spans="1:171">
      <c r="A183" s="1468"/>
      <c r="B183" s="990" t="s">
        <v>463</v>
      </c>
      <c r="C183" s="55"/>
      <c r="D183" s="55"/>
      <c r="E183" s="196"/>
      <c r="F183" s="196"/>
      <c r="G183" s="68"/>
      <c r="H183" s="68"/>
      <c r="I183" s="68"/>
      <c r="J183" s="1467"/>
      <c r="K183" s="903"/>
      <c r="S183" s="1073"/>
      <c r="AA183" s="1073"/>
      <c r="AI183" s="1073"/>
      <c r="AQ183" s="1073"/>
      <c r="AY183" s="1073"/>
      <c r="BG183" s="1073"/>
      <c r="BO183" s="1073"/>
      <c r="BW183" s="1073"/>
      <c r="CE183" s="1073"/>
      <c r="CM183" s="1073"/>
      <c r="CU183" s="1073"/>
      <c r="DC183" s="1073"/>
      <c r="DK183" s="1073"/>
      <c r="DS183" s="1073"/>
      <c r="EA183" s="1073"/>
      <c r="EI183" s="1073"/>
      <c r="EQ183" s="1073"/>
      <c r="EY183" s="1073"/>
      <c r="FG183" s="1073"/>
      <c r="FO183" s="1073"/>
    </row>
    <row r="184" spans="1:171">
      <c r="A184" s="1444">
        <v>410</v>
      </c>
      <c r="B184" s="913" t="s">
        <v>86</v>
      </c>
      <c r="C184" s="888" t="s">
        <v>72</v>
      </c>
      <c r="D184" s="888" t="s">
        <v>610</v>
      </c>
      <c r="E184" s="182" t="str">
        <f>'Sch 3 - Expenses'!E24</f>
        <v>PROD</v>
      </c>
      <c r="F184" s="889"/>
      <c r="G184" s="182">
        <f>'Sch 3 - Expenses'!G24</f>
        <v>29951984</v>
      </c>
      <c r="H184" s="182">
        <f>'Sch 3 - Expenses'!H24</f>
        <v>29951984</v>
      </c>
      <c r="I184" s="182">
        <f>'Sch 3 - Expenses'!I24</f>
        <v>0</v>
      </c>
      <c r="J184" s="1424">
        <f>'Sch 3 - Expenses'!J24</f>
        <v>0</v>
      </c>
      <c r="K184" s="903">
        <f t="shared" si="547"/>
        <v>1</v>
      </c>
      <c r="N184" s="1161">
        <f>VLOOKUP($A184,'New Resources - Group'!$A$4:$Y$133,N$2,FALSE)*N$1</f>
        <v>0</v>
      </c>
      <c r="O184" s="1116">
        <f>$G184+N184</f>
        <v>29951984</v>
      </c>
      <c r="P184" s="1117">
        <f>VLOOKUP($E184,O$442:R$453,2,FALSE)*O184*($K184)+IF($G184&lt;&gt;0,($H184/$G184)*O184,0)*(1-$K184)</f>
        <v>29951984</v>
      </c>
      <c r="Q184" s="1117">
        <f>VLOOKUP($E184,O$442:R$453,3,FALSE)*O184*($K184)+IF($G184&lt;&gt;0,($I184/$G184)*O184,0)*(1-$K184)</f>
        <v>0</v>
      </c>
      <c r="R184" s="1117">
        <f>VLOOKUP($E184,O$442:R$453,4,FALSE)*O184*($K184)+(O184-P184-Q184)*(1-$K184)</f>
        <v>0</v>
      </c>
      <c r="S184" s="1073"/>
      <c r="V184" s="1161">
        <f>VLOOKUP($A184,'New Resources - Group'!$A$4:$Y$133,V$2,FALSE)*V$1</f>
        <v>0</v>
      </c>
      <c r="W184" s="1116">
        <f>$G184+V184</f>
        <v>29951984</v>
      </c>
      <c r="X184" s="1117">
        <f>VLOOKUP($E184,W$442:Z$453,2,FALSE)*W184*($K184)+IF($G184&lt;&gt;0,($H184/$G184)*W184,0)*(1-$K184)</f>
        <v>29951984</v>
      </c>
      <c r="Y184" s="1117">
        <f>VLOOKUP($E184,W$442:Z$453,3,FALSE)*W184*($K184)+IF($G184&lt;&gt;0,($I184/$G184)*W184,0)*(1-$K184)</f>
        <v>0</v>
      </c>
      <c r="Z184" s="1117">
        <f>VLOOKUP($E184,W$442:Z$453,4,FALSE)*W184*($K184)+(W184-X184-Y184)*(1-$K184)</f>
        <v>0</v>
      </c>
      <c r="AA184" s="1073"/>
      <c r="AD184" s="1161">
        <f>VLOOKUP($A184,'New Resources - Group'!$A$4:$Y$133,AD$2,FALSE)*AD$1</f>
        <v>0</v>
      </c>
      <c r="AE184" s="1116">
        <f>$G184+AD184</f>
        <v>29951984</v>
      </c>
      <c r="AF184" s="1117">
        <f>VLOOKUP($E184,AE$442:AH$453,2,FALSE)*AE184*($K184)+IF($G184&lt;&gt;0,($H184/$G184)*AE184,0)*(1-$K184)</f>
        <v>29951984</v>
      </c>
      <c r="AG184" s="1117">
        <f>VLOOKUP($E184,AE$442:AH$453,3,FALSE)*AE184*($K184)+IF($G184&lt;&gt;0,($I184/$G184)*AE184,0)*(1-$K184)</f>
        <v>0</v>
      </c>
      <c r="AH184" s="1117">
        <f>VLOOKUP($E184,AE$442:AH$453,4,FALSE)*AE184*($K184)+(AE184-AF184-AG184)*(1-$K184)</f>
        <v>0</v>
      </c>
      <c r="AI184" s="1073"/>
      <c r="AL184" s="1161">
        <f>VLOOKUP($A184,'New Resources - Group'!$A$4:$Y$133,AL$2,FALSE)*AL$1</f>
        <v>0</v>
      </c>
      <c r="AM184" s="1116">
        <f>$G184+AL184</f>
        <v>29951984</v>
      </c>
      <c r="AN184" s="1117">
        <f>VLOOKUP($E184,AM$442:AP$453,2,FALSE)*AM184*($K184)+IF($G184&lt;&gt;0,($H184/$G184)*AM184,0)*(1-$K184)</f>
        <v>29951984</v>
      </c>
      <c r="AO184" s="1117">
        <f>VLOOKUP($E184,AM$442:AP$453,3,FALSE)*AM184*($K184)+IF($G184&lt;&gt;0,($I184/$G184)*AM184,0)*(1-$K184)</f>
        <v>0</v>
      </c>
      <c r="AP184" s="1117">
        <f>VLOOKUP($E184,AM$442:AP$453,4,FALSE)*AM184*($K184)+(AM184-AN184-AO184)*(1-$K184)</f>
        <v>0</v>
      </c>
      <c r="AQ184" s="1073"/>
      <c r="AT184" s="1161">
        <f>VLOOKUP($A184,'New Resources - Group'!$A$4:$Y$133,AT$2,FALSE)*AT$1</f>
        <v>0</v>
      </c>
      <c r="AU184" s="1116">
        <f>$G184+AT184</f>
        <v>29951984</v>
      </c>
      <c r="AV184" s="1117">
        <f>VLOOKUP($E184,AU$442:AX$453,2,FALSE)*AU184*($K184)+IF($G184&lt;&gt;0,($H184/$G184)*AU184,0)*(1-$K184)</f>
        <v>29951984</v>
      </c>
      <c r="AW184" s="1117">
        <f>VLOOKUP($E184,AU$442:AX$453,3,FALSE)*AU184*($K184)+IF($G184&lt;&gt;0,($I184/$G184)*AU184,0)*(1-$K184)</f>
        <v>0</v>
      </c>
      <c r="AX184" s="1117">
        <f>VLOOKUP($E184,AU$442:AX$453,4,FALSE)*AU184*($K184)+(AU184-AV184-AW184)*(1-$K184)</f>
        <v>0</v>
      </c>
      <c r="AY184" s="1073"/>
      <c r="BB184" s="1161">
        <f>VLOOKUP($A184,'New Resources - Group'!$A$4:$Y$133,BB$2,FALSE)*BB$1</f>
        <v>0</v>
      </c>
      <c r="BC184" s="1116">
        <f>$G184+BB184</f>
        <v>29951984</v>
      </c>
      <c r="BD184" s="1117">
        <f>VLOOKUP($E184,BC$442:BF$453,2,FALSE)*BC184*($K184)+IF($G184&lt;&gt;0,($H184/$G184)*BC184,0)*(1-$K184)</f>
        <v>29951984</v>
      </c>
      <c r="BE184" s="1117">
        <f>VLOOKUP($E184,BC$442:BF$453,3,FALSE)*BC184*($K184)+IF($G184&lt;&gt;0,($I184/$G184)*BC184,0)*(1-$K184)</f>
        <v>0</v>
      </c>
      <c r="BF184" s="1117">
        <f>VLOOKUP($E184,BC$442:BF$453,4,FALSE)*BC184*($K184)+(BC184-BD184-BE184)*(1-$K184)</f>
        <v>0</v>
      </c>
      <c r="BG184" s="1073"/>
      <c r="BJ184" s="1161">
        <f>VLOOKUP($A184,'New Resources - Group'!$A$4:$Y$133,BJ$2,FALSE)*BJ$1</f>
        <v>0</v>
      </c>
      <c r="BK184" s="1116">
        <f>$G184+BJ184</f>
        <v>29951984</v>
      </c>
      <c r="BL184" s="1117">
        <f>VLOOKUP($E184,BK$442:BN$453,2,FALSE)*BK184*($K184)+IF($G184&lt;&gt;0,($H184/$G184)*BK184,0)*(1-$K184)</f>
        <v>29951984</v>
      </c>
      <c r="BM184" s="1117">
        <f>VLOOKUP($E184,BK$442:BN$453,3,FALSE)*BK184*($K184)+IF($G184&lt;&gt;0,($I184/$G184)*BK184,0)*(1-$K184)</f>
        <v>0</v>
      </c>
      <c r="BN184" s="1117">
        <f>VLOOKUP($E184,BK$442:BN$453,4,FALSE)*BK184*($K184)+(BK184-BL184-BM184)*(1-$K184)</f>
        <v>0</v>
      </c>
      <c r="BO184" s="1073"/>
      <c r="BR184" s="1161">
        <f>VLOOKUP($A184,'New Resources - Group'!$A$4:$Y$133,BR$2,FALSE)*BR$1</f>
        <v>0</v>
      </c>
      <c r="BS184" s="1116">
        <f>$G184+BR184</f>
        <v>29951984</v>
      </c>
      <c r="BT184" s="1117">
        <f>VLOOKUP($E184,BS$442:BV$453,2,FALSE)*BS184*($K184)+IF($G184&lt;&gt;0,($H184/$G184)*BS184,0)*(1-$K184)</f>
        <v>29951984</v>
      </c>
      <c r="BU184" s="1117">
        <f>VLOOKUP($E184,BS$442:BV$453,3,FALSE)*BS184*($K184)+IF($G184&lt;&gt;0,($I184/$G184)*BS184,0)*(1-$K184)</f>
        <v>0</v>
      </c>
      <c r="BV184" s="1117">
        <f>VLOOKUP($E184,BS$442:BV$453,4,FALSE)*BS184*($K184)+(BS184-BT184-BU184)*(1-$K184)</f>
        <v>0</v>
      </c>
      <c r="BW184" s="1073"/>
      <c r="BZ184" s="1161">
        <f>VLOOKUP($A184,'New Resources - Group'!$A$4:$Y$133,BZ$2,FALSE)*BZ$1</f>
        <v>0</v>
      </c>
      <c r="CA184" s="1116">
        <f>$G184+BZ184</f>
        <v>29951984</v>
      </c>
      <c r="CB184" s="1117">
        <f>VLOOKUP($E184,CA$442:CD$453,2,FALSE)*CA184*($K184)+IF($G184&lt;&gt;0,($H184/$G184)*CA184,0)*(1-$K184)</f>
        <v>29951984</v>
      </c>
      <c r="CC184" s="1117">
        <f>VLOOKUP($E184,CA$442:CD$453,3,FALSE)*CA184*($K184)+IF($G184&lt;&gt;0,($I184/$G184)*CA184,0)*(1-$K184)</f>
        <v>0</v>
      </c>
      <c r="CD184" s="1117">
        <f>VLOOKUP($E184,CA$442:CD$453,4,FALSE)*CA184*($K184)+(CA184-CB184-CC184)*(1-$K184)</f>
        <v>0</v>
      </c>
      <c r="CE184" s="1073"/>
      <c r="CH184" s="1161">
        <f>VLOOKUP($A184,'New Resources - Group'!$A$4:$Y$133,CH$2,FALSE)*CH$1</f>
        <v>0</v>
      </c>
      <c r="CI184" s="1116">
        <f>$G184+CH184</f>
        <v>29951984</v>
      </c>
      <c r="CJ184" s="1117">
        <f>VLOOKUP($E184,CI$442:CL$453,2,FALSE)*CI184*($K184)+IF($G184&lt;&gt;0,($H184/$G184)*CI184,0)*(1-$K184)</f>
        <v>29951984</v>
      </c>
      <c r="CK184" s="1117">
        <f>VLOOKUP($E184,CI$442:CL$453,3,FALSE)*CI184*($K184)+IF($G184&lt;&gt;0,($I184/$G184)*CI184,0)*(1-$K184)</f>
        <v>0</v>
      </c>
      <c r="CL184" s="1117">
        <f>VLOOKUP($E184,CI$442:CL$453,4,FALSE)*CI184*($K184)+(CI184-CJ184-CK184)*(1-$K184)</f>
        <v>0</v>
      </c>
      <c r="CM184" s="1073"/>
      <c r="CP184" s="1161">
        <f>VLOOKUP($A184,'New Resources - Group'!$A$4:$Y$133,CP$2,FALSE)*CP$1</f>
        <v>0</v>
      </c>
      <c r="CQ184" s="1116">
        <f>$G184+CP184</f>
        <v>29951984</v>
      </c>
      <c r="CR184" s="1117">
        <f>VLOOKUP($E184,CQ$442:CT$453,2,FALSE)*CQ184*($K184)+IF($G184&lt;&gt;0,($H184/$G184)*CQ184,0)*(1-$K184)</f>
        <v>29951984</v>
      </c>
      <c r="CS184" s="1117">
        <f>VLOOKUP($E184,CQ$442:CT$453,3,FALSE)*CQ184*($K184)+IF($G184&lt;&gt;0,($I184/$G184)*CQ184,0)*(1-$K184)</f>
        <v>0</v>
      </c>
      <c r="CT184" s="1117">
        <f>VLOOKUP($E184,CQ$442:CT$453,4,FALSE)*CQ184*($K184)+(CQ184-CR184-CS184)*(1-$K184)</f>
        <v>0</v>
      </c>
      <c r="CU184" s="1073"/>
      <c r="CX184" s="1161">
        <f>VLOOKUP($A184,'New Resources - Group'!$A$4:$Y$133,CX$2,FALSE)*CX$1</f>
        <v>0</v>
      </c>
      <c r="CY184" s="1116">
        <f>$G184+CX184</f>
        <v>29951984</v>
      </c>
      <c r="CZ184" s="1117">
        <f>VLOOKUP($E184,CY$442:DB$453,2,FALSE)*CY184*($K184)+IF($G184&lt;&gt;0,($H184/$G184)*CY184,0)*(1-$K184)</f>
        <v>29951984</v>
      </c>
      <c r="DA184" s="1117">
        <f>VLOOKUP($E184,CY$442:DB$453,3,FALSE)*CY184*($K184)+IF($G184&lt;&gt;0,($I184/$G184)*CY184,0)*(1-$K184)</f>
        <v>0</v>
      </c>
      <c r="DB184" s="1117">
        <f>VLOOKUP($E184,CY$442:DB$453,4,FALSE)*CY184*($K184)+(CY184-CZ184-DA184)*(1-$K184)</f>
        <v>0</v>
      </c>
      <c r="DC184" s="1073"/>
      <c r="DF184" s="1161">
        <f>VLOOKUP($A184,'New Resources - Group'!$A$4:$Y$133,DF$2,FALSE)*DF$1</f>
        <v>0</v>
      </c>
      <c r="DG184" s="1116">
        <f>$G184+DF184</f>
        <v>29951984</v>
      </c>
      <c r="DH184" s="1117">
        <f>VLOOKUP($E184,DG$442:DJ$453,2,FALSE)*DG184*($K184)+IF($G184&lt;&gt;0,($H184/$G184)*DG184,0)*(1-$K184)</f>
        <v>29951984</v>
      </c>
      <c r="DI184" s="1117">
        <f>VLOOKUP($E184,DG$442:DJ$453,3,FALSE)*DG184*($K184)+IF($G184&lt;&gt;0,($I184/$G184)*DG184,0)*(1-$K184)</f>
        <v>0</v>
      </c>
      <c r="DJ184" s="1117">
        <f>VLOOKUP($E184,DG$442:DJ$453,4,FALSE)*DG184*($K184)+(DG184-DH184-DI184)*(1-$K184)</f>
        <v>0</v>
      </c>
      <c r="DK184" s="1073"/>
      <c r="DN184" s="1161">
        <f>VLOOKUP($A184,'New Resources - Group'!$A$4:$Y$133,DN$2,FALSE)*DN$1</f>
        <v>0</v>
      </c>
      <c r="DO184" s="1116">
        <f>$G184+DN184</f>
        <v>29951984</v>
      </c>
      <c r="DP184" s="1117">
        <f>VLOOKUP($E184,DO$442:DR$453,2,FALSE)*DO184*($K184)+IF($G184&lt;&gt;0,($H184/$G184)*DO184,0)*(1-$K184)</f>
        <v>29951984</v>
      </c>
      <c r="DQ184" s="1117">
        <f>VLOOKUP($E184,DO$442:DR$453,3,FALSE)*DO184*($K184)+IF($G184&lt;&gt;0,($I184/$G184)*DO184,0)*(1-$K184)</f>
        <v>0</v>
      </c>
      <c r="DR184" s="1117">
        <f>VLOOKUP($E184,DO$442:DR$453,4,FALSE)*DO184*($K184)+(DO184-DP184-DQ184)*(1-$K184)</f>
        <v>0</v>
      </c>
      <c r="DS184" s="1073"/>
      <c r="DV184" s="1161">
        <f>VLOOKUP($A184,'New Resources - Group'!$A$4:$Y$133,DV$2,FALSE)*DV$1</f>
        <v>0</v>
      </c>
      <c r="DW184" s="1116">
        <f>$G184+DV184</f>
        <v>29951984</v>
      </c>
      <c r="DX184" s="1117">
        <f>VLOOKUP($E184,DW$442:DZ$453,2,FALSE)*DW184*($K184)+IF($G184&lt;&gt;0,($H184/$G184)*DW184,0)*(1-$K184)</f>
        <v>29951984</v>
      </c>
      <c r="DY184" s="1117">
        <f>VLOOKUP($E184,DW$442:DZ$453,3,FALSE)*DW184*($K184)+IF($G184&lt;&gt;0,($I184/$G184)*DW184,0)*(1-$K184)</f>
        <v>0</v>
      </c>
      <c r="DZ184" s="1117">
        <f>VLOOKUP($E184,DW$442:DZ$453,4,FALSE)*DW184*($K184)+(DW184-DX184-DY184)*(1-$K184)</f>
        <v>0</v>
      </c>
      <c r="EA184" s="1073"/>
      <c r="ED184" s="1161">
        <f>VLOOKUP($A184,'New Resources - Group'!$A$4:$Y$133,ED$2,FALSE)*ED$1</f>
        <v>0</v>
      </c>
      <c r="EE184" s="1116">
        <f>$G184+ED184</f>
        <v>29951984</v>
      </c>
      <c r="EF184" s="1117">
        <f>VLOOKUP($E184,EE$442:EH$453,2,FALSE)*EE184*($K184)+IF($G184&lt;&gt;0,($H184/$G184)*EE184,0)*(1-$K184)</f>
        <v>29951984</v>
      </c>
      <c r="EG184" s="1117">
        <f>VLOOKUP($E184,EE$442:EH$453,3,FALSE)*EE184*($K184)+IF($G184&lt;&gt;0,($I184/$G184)*EE184,0)*(1-$K184)</f>
        <v>0</v>
      </c>
      <c r="EH184" s="1117">
        <f>VLOOKUP($E184,EE$442:EH$453,4,FALSE)*EE184*($K184)+(EE184-EF184-EG184)*(1-$K184)</f>
        <v>0</v>
      </c>
      <c r="EI184" s="1073"/>
      <c r="EL184" s="1161">
        <f>VLOOKUP($A184,'New Resources - Group'!$A$4:$Y$133,EL$2,FALSE)*EL$1</f>
        <v>0</v>
      </c>
      <c r="EM184" s="1116">
        <f>$G184+EL184</f>
        <v>29951984</v>
      </c>
      <c r="EN184" s="1117">
        <f>VLOOKUP($E184,EM$442:EP$453,2,FALSE)*EM184*($K184)+IF($G184&lt;&gt;0,($H184/$G184)*EM184,0)*(1-$K184)</f>
        <v>29951984</v>
      </c>
      <c r="EO184" s="1117">
        <f>VLOOKUP($E184,EM$442:EP$453,3,FALSE)*EM184*($K184)+IF($G184&lt;&gt;0,($I184/$G184)*EM184,0)*(1-$K184)</f>
        <v>0</v>
      </c>
      <c r="EP184" s="1117">
        <f>VLOOKUP($E184,EM$442:EP$453,4,FALSE)*EM184*($K184)+(EM184-EN184-EO184)*(1-$K184)</f>
        <v>0</v>
      </c>
      <c r="EQ184" s="1073"/>
      <c r="ET184" s="1161">
        <f>VLOOKUP($A184,'New Resources - Group'!$A$4:$Y$133,ET$2,FALSE)*ET$1</f>
        <v>0</v>
      </c>
      <c r="EU184" s="1116">
        <f>$G184+ET184</f>
        <v>29951984</v>
      </c>
      <c r="EV184" s="1117">
        <f>VLOOKUP($E184,EU$442:EX$453,2,FALSE)*EU184*($K184)+IF($G184&lt;&gt;0,($H184/$G184)*EU184,0)*(1-$K184)</f>
        <v>29951984</v>
      </c>
      <c r="EW184" s="1117">
        <f>VLOOKUP($E184,EU$442:EX$453,3,FALSE)*EU184*($K184)+IF($G184&lt;&gt;0,($I184/$G184)*EU184,0)*(1-$K184)</f>
        <v>0</v>
      </c>
      <c r="EX184" s="1117">
        <f>VLOOKUP($E184,EU$442:EX$453,4,FALSE)*EU184*($K184)+(EU184-EV184-EW184)*(1-$K184)</f>
        <v>0</v>
      </c>
      <c r="EY184" s="1073"/>
      <c r="FB184" s="1161">
        <f>VLOOKUP($A184,'New Resources - Group'!$A$4:$Y$133,FB$2,FALSE)*FB$1</f>
        <v>0</v>
      </c>
      <c r="FC184" s="1116">
        <f>$G184+FB184</f>
        <v>29951984</v>
      </c>
      <c r="FD184" s="1117">
        <f>VLOOKUP($E184,FC$442:FF$453,2,FALSE)*FC184*($K184)+IF($G184&lt;&gt;0,($H184/$G184)*FC184,0)*(1-$K184)</f>
        <v>29951984</v>
      </c>
      <c r="FE184" s="1117">
        <f>VLOOKUP($E184,FC$442:FF$453,3,FALSE)*FC184*($K184)+IF($G184&lt;&gt;0,($I184/$G184)*FC184,0)*(1-$K184)</f>
        <v>0</v>
      </c>
      <c r="FF184" s="1117">
        <f>VLOOKUP($E184,FC$442:FF$453,4,FALSE)*FC184*($K184)+(FC184-FD184-FE184)*(1-$K184)</f>
        <v>0</v>
      </c>
      <c r="FG184" s="1073"/>
      <c r="FJ184" s="1161">
        <f>VLOOKUP($A184,'New Resources - Group'!$A$4:$Y$133,FJ$2,FALSE)*FJ$1</f>
        <v>0</v>
      </c>
      <c r="FK184" s="1116">
        <f>$G184+FJ184</f>
        <v>29951984</v>
      </c>
      <c r="FL184" s="1117">
        <f>VLOOKUP($E184,FK$442:FN$453,2,FALSE)*FK184*($K184)+IF($G184&lt;&gt;0,($H184/$G184)*FK184,0)*(1-$K184)</f>
        <v>29951984</v>
      </c>
      <c r="FM184" s="1117">
        <f>VLOOKUP($E184,FK$442:FN$453,3,FALSE)*FK184*($K184)+IF($G184&lt;&gt;0,($I184/$G184)*FK184,0)*(1-$K184)</f>
        <v>0</v>
      </c>
      <c r="FN184" s="1117">
        <f>VLOOKUP($E184,FK$442:FN$453,4,FALSE)*FK184*($K184)+(FK184-FL184-FM184)*(1-$K184)</f>
        <v>0</v>
      </c>
      <c r="FO184" s="1073"/>
    </row>
    <row r="185" spans="1:171">
      <c r="A185" s="1444">
        <v>420</v>
      </c>
      <c r="B185" s="913" t="s">
        <v>87</v>
      </c>
      <c r="C185" s="888" t="s">
        <v>72</v>
      </c>
      <c r="D185" s="888" t="s">
        <v>611</v>
      </c>
      <c r="E185" s="182" t="str">
        <f>'Sch 3 - Expenses'!E25</f>
        <v>PROD</v>
      </c>
      <c r="F185" s="889"/>
      <c r="G185" s="182">
        <f>'Sch 3 - Expenses'!G25</f>
        <v>5501093</v>
      </c>
      <c r="H185" s="182">
        <f>'Sch 3 - Expenses'!H25</f>
        <v>5501093</v>
      </c>
      <c r="I185" s="182">
        <f>'Sch 3 - Expenses'!I25</f>
        <v>0</v>
      </c>
      <c r="J185" s="1424">
        <f>'Sch 3 - Expenses'!J25</f>
        <v>0</v>
      </c>
      <c r="K185" s="903">
        <f t="shared" si="547"/>
        <v>1</v>
      </c>
      <c r="N185" s="1161">
        <f>VLOOKUP($A185,'New Resources - Group'!$A$4:$Y$133,N$2,FALSE)*N$1</f>
        <v>0</v>
      </c>
      <c r="O185" s="1116">
        <f>$G185+N185</f>
        <v>5501093</v>
      </c>
      <c r="P185" s="1117">
        <f>VLOOKUP($E185,O$442:R$453,2,FALSE)*O185*($K185)+IF($G185&lt;&gt;0,($H185/$G185)*O185,0)*(1-$K185)</f>
        <v>5501093</v>
      </c>
      <c r="Q185" s="1117">
        <f>VLOOKUP($E185,O$442:R$453,3,FALSE)*O185*($K185)+IF($G185&lt;&gt;0,($I185/$G185)*O185,0)*(1-$K185)</f>
        <v>0</v>
      </c>
      <c r="R185" s="1117">
        <f>VLOOKUP($E185,O$442:R$453,4,FALSE)*O185*($K185)+(O185-P185-Q185)*(1-$K185)</f>
        <v>0</v>
      </c>
      <c r="S185" s="1073"/>
      <c r="V185" s="1161">
        <f>VLOOKUP($A185,'New Resources - Group'!$A$4:$Y$133,V$2,FALSE)*V$1</f>
        <v>0</v>
      </c>
      <c r="W185" s="1116">
        <f>$G185+V185</f>
        <v>5501093</v>
      </c>
      <c r="X185" s="1117">
        <f>VLOOKUP($E185,W$442:Z$453,2,FALSE)*W185*($K185)+IF($G185&lt;&gt;0,($H185/$G185)*W185,0)*(1-$K185)</f>
        <v>5501093</v>
      </c>
      <c r="Y185" s="1117">
        <f>VLOOKUP($E185,W$442:Z$453,3,FALSE)*W185*($K185)+IF($G185&lt;&gt;0,($I185/$G185)*W185,0)*(1-$K185)</f>
        <v>0</v>
      </c>
      <c r="Z185" s="1117">
        <f>VLOOKUP($E185,W$442:Z$453,4,FALSE)*W185*($K185)+(W185-X185-Y185)*(1-$K185)</f>
        <v>0</v>
      </c>
      <c r="AA185" s="1073"/>
      <c r="AD185" s="1161">
        <f>VLOOKUP($A185,'New Resources - Group'!$A$4:$Y$133,AD$2,FALSE)*AD$1</f>
        <v>0</v>
      </c>
      <c r="AE185" s="1116">
        <f>$G185+AD185</f>
        <v>5501093</v>
      </c>
      <c r="AF185" s="1117">
        <f>VLOOKUP($E185,AE$442:AH$453,2,FALSE)*AE185*($K185)+IF($G185&lt;&gt;0,($H185/$G185)*AE185,0)*(1-$K185)</f>
        <v>5501093</v>
      </c>
      <c r="AG185" s="1117">
        <f>VLOOKUP($E185,AE$442:AH$453,3,FALSE)*AE185*($K185)+IF($G185&lt;&gt;0,($I185/$G185)*AE185,0)*(1-$K185)</f>
        <v>0</v>
      </c>
      <c r="AH185" s="1117">
        <f>VLOOKUP($E185,AE$442:AH$453,4,FALSE)*AE185*($K185)+(AE185-AF185-AG185)*(1-$K185)</f>
        <v>0</v>
      </c>
      <c r="AI185" s="1073"/>
      <c r="AL185" s="1161">
        <f>VLOOKUP($A185,'New Resources - Group'!$A$4:$Y$133,AL$2,FALSE)*AL$1</f>
        <v>0</v>
      </c>
      <c r="AM185" s="1116">
        <f>$G185+AL185</f>
        <v>5501093</v>
      </c>
      <c r="AN185" s="1117">
        <f>VLOOKUP($E185,AM$442:AP$453,2,FALSE)*AM185*($K185)+IF($G185&lt;&gt;0,($H185/$G185)*AM185,0)*(1-$K185)</f>
        <v>5501093</v>
      </c>
      <c r="AO185" s="1117">
        <f>VLOOKUP($E185,AM$442:AP$453,3,FALSE)*AM185*($K185)+IF($G185&lt;&gt;0,($I185/$G185)*AM185,0)*(1-$K185)</f>
        <v>0</v>
      </c>
      <c r="AP185" s="1117">
        <f>VLOOKUP($E185,AM$442:AP$453,4,FALSE)*AM185*($K185)+(AM185-AN185-AO185)*(1-$K185)</f>
        <v>0</v>
      </c>
      <c r="AQ185" s="1073"/>
      <c r="AT185" s="1161">
        <f>VLOOKUP($A185,'New Resources - Group'!$A$4:$Y$133,AT$2,FALSE)*AT$1</f>
        <v>0</v>
      </c>
      <c r="AU185" s="1116">
        <f>$G185+AT185</f>
        <v>5501093</v>
      </c>
      <c r="AV185" s="1117">
        <f>VLOOKUP($E185,AU$442:AX$453,2,FALSE)*AU185*($K185)+IF($G185&lt;&gt;0,($H185/$G185)*AU185,0)*(1-$K185)</f>
        <v>5501093</v>
      </c>
      <c r="AW185" s="1117">
        <f>VLOOKUP($E185,AU$442:AX$453,3,FALSE)*AU185*($K185)+IF($G185&lt;&gt;0,($I185/$G185)*AU185,0)*(1-$K185)</f>
        <v>0</v>
      </c>
      <c r="AX185" s="1117">
        <f>VLOOKUP($E185,AU$442:AX$453,4,FALSE)*AU185*($K185)+(AU185-AV185-AW185)*(1-$K185)</f>
        <v>0</v>
      </c>
      <c r="AY185" s="1073"/>
      <c r="BB185" s="1161">
        <f>VLOOKUP($A185,'New Resources - Group'!$A$4:$Y$133,BB$2,FALSE)*BB$1</f>
        <v>0</v>
      </c>
      <c r="BC185" s="1116">
        <f>$G185+BB185</f>
        <v>5501093</v>
      </c>
      <c r="BD185" s="1117">
        <f>VLOOKUP($E185,BC$442:BF$453,2,FALSE)*BC185*($K185)+IF($G185&lt;&gt;0,($H185/$G185)*BC185,0)*(1-$K185)</f>
        <v>5501093</v>
      </c>
      <c r="BE185" s="1117">
        <f>VLOOKUP($E185,BC$442:BF$453,3,FALSE)*BC185*($K185)+IF($G185&lt;&gt;0,($I185/$G185)*BC185,0)*(1-$K185)</f>
        <v>0</v>
      </c>
      <c r="BF185" s="1117">
        <f>VLOOKUP($E185,BC$442:BF$453,4,FALSE)*BC185*($K185)+(BC185-BD185-BE185)*(1-$K185)</f>
        <v>0</v>
      </c>
      <c r="BG185" s="1073"/>
      <c r="BJ185" s="1161">
        <f>VLOOKUP($A185,'New Resources - Group'!$A$4:$Y$133,BJ$2,FALSE)*BJ$1</f>
        <v>0</v>
      </c>
      <c r="BK185" s="1116">
        <f>$G185+BJ185</f>
        <v>5501093</v>
      </c>
      <c r="BL185" s="1117">
        <f>VLOOKUP($E185,BK$442:BN$453,2,FALSE)*BK185*($K185)+IF($G185&lt;&gt;0,($H185/$G185)*BK185,0)*(1-$K185)</f>
        <v>5501093</v>
      </c>
      <c r="BM185" s="1117">
        <f>VLOOKUP($E185,BK$442:BN$453,3,FALSE)*BK185*($K185)+IF($G185&lt;&gt;0,($I185/$G185)*BK185,0)*(1-$K185)</f>
        <v>0</v>
      </c>
      <c r="BN185" s="1117">
        <f>VLOOKUP($E185,BK$442:BN$453,4,FALSE)*BK185*($K185)+(BK185-BL185-BM185)*(1-$K185)</f>
        <v>0</v>
      </c>
      <c r="BO185" s="1073"/>
      <c r="BR185" s="1161">
        <f>VLOOKUP($A185,'New Resources - Group'!$A$4:$Y$133,BR$2,FALSE)*BR$1</f>
        <v>0</v>
      </c>
      <c r="BS185" s="1116">
        <f>$G185+BR185</f>
        <v>5501093</v>
      </c>
      <c r="BT185" s="1117">
        <f>VLOOKUP($E185,BS$442:BV$453,2,FALSE)*BS185*($K185)+IF($G185&lt;&gt;0,($H185/$G185)*BS185,0)*(1-$K185)</f>
        <v>5501093</v>
      </c>
      <c r="BU185" s="1117">
        <f>VLOOKUP($E185,BS$442:BV$453,3,FALSE)*BS185*($K185)+IF($G185&lt;&gt;0,($I185/$G185)*BS185,0)*(1-$K185)</f>
        <v>0</v>
      </c>
      <c r="BV185" s="1117">
        <f>VLOOKUP($E185,BS$442:BV$453,4,FALSE)*BS185*($K185)+(BS185-BT185-BU185)*(1-$K185)</f>
        <v>0</v>
      </c>
      <c r="BW185" s="1073"/>
      <c r="BZ185" s="1161">
        <f>VLOOKUP($A185,'New Resources - Group'!$A$4:$Y$133,BZ$2,FALSE)*BZ$1</f>
        <v>0</v>
      </c>
      <c r="CA185" s="1116">
        <f>$G185+BZ185</f>
        <v>5501093</v>
      </c>
      <c r="CB185" s="1117">
        <f>VLOOKUP($E185,CA$442:CD$453,2,FALSE)*CA185*($K185)+IF($G185&lt;&gt;0,($H185/$G185)*CA185,0)*(1-$K185)</f>
        <v>5501093</v>
      </c>
      <c r="CC185" s="1117">
        <f>VLOOKUP($E185,CA$442:CD$453,3,FALSE)*CA185*($K185)+IF($G185&lt;&gt;0,($I185/$G185)*CA185,0)*(1-$K185)</f>
        <v>0</v>
      </c>
      <c r="CD185" s="1117">
        <f>VLOOKUP($E185,CA$442:CD$453,4,FALSE)*CA185*($K185)+(CA185-CB185-CC185)*(1-$K185)</f>
        <v>0</v>
      </c>
      <c r="CE185" s="1073"/>
      <c r="CH185" s="1161">
        <f>VLOOKUP($A185,'New Resources - Group'!$A$4:$Y$133,CH$2,FALSE)*CH$1</f>
        <v>0</v>
      </c>
      <c r="CI185" s="1116">
        <f>$G185+CH185</f>
        <v>5501093</v>
      </c>
      <c r="CJ185" s="1117">
        <f>VLOOKUP($E185,CI$442:CL$453,2,FALSE)*CI185*($K185)+IF($G185&lt;&gt;0,($H185/$G185)*CI185,0)*(1-$K185)</f>
        <v>5501093</v>
      </c>
      <c r="CK185" s="1117">
        <f>VLOOKUP($E185,CI$442:CL$453,3,FALSE)*CI185*($K185)+IF($G185&lt;&gt;0,($I185/$G185)*CI185,0)*(1-$K185)</f>
        <v>0</v>
      </c>
      <c r="CL185" s="1117">
        <f>VLOOKUP($E185,CI$442:CL$453,4,FALSE)*CI185*($K185)+(CI185-CJ185-CK185)*(1-$K185)</f>
        <v>0</v>
      </c>
      <c r="CM185" s="1073"/>
      <c r="CP185" s="1161">
        <f>VLOOKUP($A185,'New Resources - Group'!$A$4:$Y$133,CP$2,FALSE)*CP$1</f>
        <v>0</v>
      </c>
      <c r="CQ185" s="1116">
        <f>$G185+CP185</f>
        <v>5501093</v>
      </c>
      <c r="CR185" s="1117">
        <f>VLOOKUP($E185,CQ$442:CT$453,2,FALSE)*CQ185*($K185)+IF($G185&lt;&gt;0,($H185/$G185)*CQ185,0)*(1-$K185)</f>
        <v>5501093</v>
      </c>
      <c r="CS185" s="1117">
        <f>VLOOKUP($E185,CQ$442:CT$453,3,FALSE)*CQ185*($K185)+IF($G185&lt;&gt;0,($I185/$G185)*CQ185,0)*(1-$K185)</f>
        <v>0</v>
      </c>
      <c r="CT185" s="1117">
        <f>VLOOKUP($E185,CQ$442:CT$453,4,FALSE)*CQ185*($K185)+(CQ185-CR185-CS185)*(1-$K185)</f>
        <v>0</v>
      </c>
      <c r="CU185" s="1073"/>
      <c r="CX185" s="1161">
        <f>VLOOKUP($A185,'New Resources - Group'!$A$4:$Y$133,CX$2,FALSE)*CX$1</f>
        <v>0</v>
      </c>
      <c r="CY185" s="1116">
        <f>$G185+CX185</f>
        <v>5501093</v>
      </c>
      <c r="CZ185" s="1117">
        <f>VLOOKUP($E185,CY$442:DB$453,2,FALSE)*CY185*($K185)+IF($G185&lt;&gt;0,($H185/$G185)*CY185,0)*(1-$K185)</f>
        <v>5501093</v>
      </c>
      <c r="DA185" s="1117">
        <f>VLOOKUP($E185,CY$442:DB$453,3,FALSE)*CY185*($K185)+IF($G185&lt;&gt;0,($I185/$G185)*CY185,0)*(1-$K185)</f>
        <v>0</v>
      </c>
      <c r="DB185" s="1117">
        <f>VLOOKUP($E185,CY$442:DB$453,4,FALSE)*CY185*($K185)+(CY185-CZ185-DA185)*(1-$K185)</f>
        <v>0</v>
      </c>
      <c r="DC185" s="1073"/>
      <c r="DF185" s="1161">
        <f>VLOOKUP($A185,'New Resources - Group'!$A$4:$Y$133,DF$2,FALSE)*DF$1</f>
        <v>0</v>
      </c>
      <c r="DG185" s="1116">
        <f>$G185+DF185</f>
        <v>5501093</v>
      </c>
      <c r="DH185" s="1117">
        <f>VLOOKUP($E185,DG$442:DJ$453,2,FALSE)*DG185*($K185)+IF($G185&lt;&gt;0,($H185/$G185)*DG185,0)*(1-$K185)</f>
        <v>5501093</v>
      </c>
      <c r="DI185" s="1117">
        <f>VLOOKUP($E185,DG$442:DJ$453,3,FALSE)*DG185*($K185)+IF($G185&lt;&gt;0,($I185/$G185)*DG185,0)*(1-$K185)</f>
        <v>0</v>
      </c>
      <c r="DJ185" s="1117">
        <f>VLOOKUP($E185,DG$442:DJ$453,4,FALSE)*DG185*($K185)+(DG185-DH185-DI185)*(1-$K185)</f>
        <v>0</v>
      </c>
      <c r="DK185" s="1073"/>
      <c r="DN185" s="1161">
        <f>VLOOKUP($A185,'New Resources - Group'!$A$4:$Y$133,DN$2,FALSE)*DN$1</f>
        <v>0</v>
      </c>
      <c r="DO185" s="1116">
        <f>$G185+DN185</f>
        <v>5501093</v>
      </c>
      <c r="DP185" s="1117">
        <f>VLOOKUP($E185,DO$442:DR$453,2,FALSE)*DO185*($K185)+IF($G185&lt;&gt;0,($H185/$G185)*DO185,0)*(1-$K185)</f>
        <v>5501093</v>
      </c>
      <c r="DQ185" s="1117">
        <f>VLOOKUP($E185,DO$442:DR$453,3,FALSE)*DO185*($K185)+IF($G185&lt;&gt;0,($I185/$G185)*DO185,0)*(1-$K185)</f>
        <v>0</v>
      </c>
      <c r="DR185" s="1117">
        <f>VLOOKUP($E185,DO$442:DR$453,4,FALSE)*DO185*($K185)+(DO185-DP185-DQ185)*(1-$K185)</f>
        <v>0</v>
      </c>
      <c r="DS185" s="1073"/>
      <c r="DV185" s="1161">
        <f>VLOOKUP($A185,'New Resources - Group'!$A$4:$Y$133,DV$2,FALSE)*DV$1</f>
        <v>0</v>
      </c>
      <c r="DW185" s="1116">
        <f>$G185+DV185</f>
        <v>5501093</v>
      </c>
      <c r="DX185" s="1117">
        <f>VLOOKUP($E185,DW$442:DZ$453,2,FALSE)*DW185*($K185)+IF($G185&lt;&gt;0,($H185/$G185)*DW185,0)*(1-$K185)</f>
        <v>5501093</v>
      </c>
      <c r="DY185" s="1117">
        <f>VLOOKUP($E185,DW$442:DZ$453,3,FALSE)*DW185*($K185)+IF($G185&lt;&gt;0,($I185/$G185)*DW185,0)*(1-$K185)</f>
        <v>0</v>
      </c>
      <c r="DZ185" s="1117">
        <f>VLOOKUP($E185,DW$442:DZ$453,4,FALSE)*DW185*($K185)+(DW185-DX185-DY185)*(1-$K185)</f>
        <v>0</v>
      </c>
      <c r="EA185" s="1073"/>
      <c r="ED185" s="1161">
        <f>VLOOKUP($A185,'New Resources - Group'!$A$4:$Y$133,ED$2,FALSE)*ED$1</f>
        <v>0</v>
      </c>
      <c r="EE185" s="1116">
        <f>$G185+ED185</f>
        <v>5501093</v>
      </c>
      <c r="EF185" s="1117">
        <f>VLOOKUP($E185,EE$442:EH$453,2,FALSE)*EE185*($K185)+IF($G185&lt;&gt;0,($H185/$G185)*EE185,0)*(1-$K185)</f>
        <v>5501093</v>
      </c>
      <c r="EG185" s="1117">
        <f>VLOOKUP($E185,EE$442:EH$453,3,FALSE)*EE185*($K185)+IF($G185&lt;&gt;0,($I185/$G185)*EE185,0)*(1-$K185)</f>
        <v>0</v>
      </c>
      <c r="EH185" s="1117">
        <f>VLOOKUP($E185,EE$442:EH$453,4,FALSE)*EE185*($K185)+(EE185-EF185-EG185)*(1-$K185)</f>
        <v>0</v>
      </c>
      <c r="EI185" s="1073"/>
      <c r="EL185" s="1161">
        <f>VLOOKUP($A185,'New Resources - Group'!$A$4:$Y$133,EL$2,FALSE)*EL$1</f>
        <v>0</v>
      </c>
      <c r="EM185" s="1116">
        <f>$G185+EL185</f>
        <v>5501093</v>
      </c>
      <c r="EN185" s="1117">
        <f>VLOOKUP($E185,EM$442:EP$453,2,FALSE)*EM185*($K185)+IF($G185&lt;&gt;0,($H185/$G185)*EM185,0)*(1-$K185)</f>
        <v>5501093</v>
      </c>
      <c r="EO185" s="1117">
        <f>VLOOKUP($E185,EM$442:EP$453,3,FALSE)*EM185*($K185)+IF($G185&lt;&gt;0,($I185/$G185)*EM185,0)*(1-$K185)</f>
        <v>0</v>
      </c>
      <c r="EP185" s="1117">
        <f>VLOOKUP($E185,EM$442:EP$453,4,FALSE)*EM185*($K185)+(EM185-EN185-EO185)*(1-$K185)</f>
        <v>0</v>
      </c>
      <c r="EQ185" s="1073"/>
      <c r="ET185" s="1161">
        <f>VLOOKUP($A185,'New Resources - Group'!$A$4:$Y$133,ET$2,FALSE)*ET$1</f>
        <v>0</v>
      </c>
      <c r="EU185" s="1116">
        <f>$G185+ET185</f>
        <v>5501093</v>
      </c>
      <c r="EV185" s="1117">
        <f>VLOOKUP($E185,EU$442:EX$453,2,FALSE)*EU185*($K185)+IF($G185&lt;&gt;0,($H185/$G185)*EU185,0)*(1-$K185)</f>
        <v>5501093</v>
      </c>
      <c r="EW185" s="1117">
        <f>VLOOKUP($E185,EU$442:EX$453,3,FALSE)*EU185*($K185)+IF($G185&lt;&gt;0,($I185/$G185)*EU185,0)*(1-$K185)</f>
        <v>0</v>
      </c>
      <c r="EX185" s="1117">
        <f>VLOOKUP($E185,EU$442:EX$453,4,FALSE)*EU185*($K185)+(EU185-EV185-EW185)*(1-$K185)</f>
        <v>0</v>
      </c>
      <c r="EY185" s="1073"/>
      <c r="FB185" s="1161">
        <f>VLOOKUP($A185,'New Resources - Group'!$A$4:$Y$133,FB$2,FALSE)*FB$1</f>
        <v>0</v>
      </c>
      <c r="FC185" s="1116">
        <f>$G185+FB185</f>
        <v>5501093</v>
      </c>
      <c r="FD185" s="1117">
        <f>VLOOKUP($E185,FC$442:FF$453,2,FALSE)*FC185*($K185)+IF($G185&lt;&gt;0,($H185/$G185)*FC185,0)*(1-$K185)</f>
        <v>5501093</v>
      </c>
      <c r="FE185" s="1117">
        <f>VLOOKUP($E185,FC$442:FF$453,3,FALSE)*FC185*($K185)+IF($G185&lt;&gt;0,($I185/$G185)*FC185,0)*(1-$K185)</f>
        <v>0</v>
      </c>
      <c r="FF185" s="1117">
        <f>VLOOKUP($E185,FC$442:FF$453,4,FALSE)*FC185*($K185)+(FC185-FD185-FE185)*(1-$K185)</f>
        <v>0</v>
      </c>
      <c r="FG185" s="1073"/>
      <c r="FJ185" s="1161">
        <f>VLOOKUP($A185,'New Resources - Group'!$A$4:$Y$133,FJ$2,FALSE)*FJ$1</f>
        <v>0</v>
      </c>
      <c r="FK185" s="1116">
        <f>$G185+FJ185</f>
        <v>5501093</v>
      </c>
      <c r="FL185" s="1117">
        <f>VLOOKUP($E185,FK$442:FN$453,2,FALSE)*FK185*($K185)+IF($G185&lt;&gt;0,($H185/$G185)*FK185,0)*(1-$K185)</f>
        <v>5501093</v>
      </c>
      <c r="FM185" s="1117">
        <f>VLOOKUP($E185,FK$442:FN$453,3,FALSE)*FK185*($K185)+IF($G185&lt;&gt;0,($I185/$G185)*FK185,0)*(1-$K185)</f>
        <v>0</v>
      </c>
      <c r="FN185" s="1117">
        <f>VLOOKUP($E185,FK$442:FN$453,4,FALSE)*FK185*($K185)+(FK185-FL185-FM185)*(1-$K185)</f>
        <v>0</v>
      </c>
      <c r="FO185" s="1073"/>
    </row>
    <row r="186" spans="1:171">
      <c r="A186" s="1468"/>
      <c r="B186" s="990" t="s">
        <v>464</v>
      </c>
      <c r="C186" s="55"/>
      <c r="D186" s="55"/>
      <c r="E186" s="196"/>
      <c r="F186" s="196"/>
      <c r="G186" s="68"/>
      <c r="H186" s="68"/>
      <c r="I186" s="68"/>
      <c r="J186" s="1467"/>
      <c r="K186" s="903"/>
      <c r="S186" s="1073"/>
      <c r="AA186" s="1073"/>
      <c r="AI186" s="1073"/>
      <c r="AQ186" s="1073"/>
      <c r="AY186" s="1073"/>
      <c r="BG186" s="1073"/>
      <c r="BO186" s="1073"/>
      <c r="BW186" s="1073"/>
      <c r="CE186" s="1073"/>
      <c r="CM186" s="1073"/>
      <c r="CU186" s="1073"/>
      <c r="DC186" s="1073"/>
      <c r="DK186" s="1073"/>
      <c r="DS186" s="1073"/>
      <c r="EA186" s="1073"/>
      <c r="EI186" s="1073"/>
      <c r="EQ186" s="1073"/>
      <c r="EY186" s="1073"/>
      <c r="FG186" s="1073"/>
      <c r="FO186" s="1073"/>
    </row>
    <row r="187" spans="1:171">
      <c r="A187" s="1444">
        <v>560</v>
      </c>
      <c r="B187" s="220" t="s">
        <v>455</v>
      </c>
      <c r="C187" s="888" t="s">
        <v>72</v>
      </c>
      <c r="D187" s="888">
        <v>547</v>
      </c>
      <c r="E187" s="182" t="str">
        <f>'Sch 3 - Expenses'!E27</f>
        <v>PROD</v>
      </c>
      <c r="F187" s="889"/>
      <c r="G187" s="182">
        <f>'Sch 3 - Expenses'!G27</f>
        <v>116227146</v>
      </c>
      <c r="H187" s="182">
        <f>'Sch 3 - Expenses'!H27</f>
        <v>116227146</v>
      </c>
      <c r="I187" s="182">
        <f>'Sch 3 - Expenses'!I27</f>
        <v>0</v>
      </c>
      <c r="J187" s="1424">
        <f>'Sch 3 - Expenses'!J27</f>
        <v>0</v>
      </c>
      <c r="K187" s="903">
        <f t="shared" si="547"/>
        <v>1</v>
      </c>
      <c r="N187" s="1161">
        <f>VLOOKUP($A187,'New Resources - Group'!$A$4:$Y$133,N$2,FALSE)*N$1</f>
        <v>0</v>
      </c>
      <c r="O187" s="1116">
        <f>$G187+N187</f>
        <v>116227146</v>
      </c>
      <c r="P187" s="1117">
        <f>VLOOKUP($E187,O$442:R$453,2,FALSE)*O187*($K187)+IF($G187&lt;&gt;0,($H187/$G187)*O187,0)*(1-$K187)</f>
        <v>116227146</v>
      </c>
      <c r="Q187" s="1117">
        <f>VLOOKUP($E187,O$442:R$453,3,FALSE)*O187*($K187)+IF($G187&lt;&gt;0,($I187/$G187)*O187,0)*(1-$K187)</f>
        <v>0</v>
      </c>
      <c r="R187" s="1117">
        <f>VLOOKUP($E187,O$442:R$453,4,FALSE)*O187*($K187)+(O187-P187-Q187)*(1-$K187)</f>
        <v>0</v>
      </c>
      <c r="S187" s="1073"/>
      <c r="V187" s="1161">
        <f>VLOOKUP($A187,'New Resources - Group'!$A$4:$Y$133,V$2,FALSE)*V$1</f>
        <v>0</v>
      </c>
      <c r="W187" s="1116">
        <f>$G187+V187</f>
        <v>116227146</v>
      </c>
      <c r="X187" s="1117">
        <f>VLOOKUP($E187,W$442:Z$453,2,FALSE)*W187*($K187)+IF($G187&lt;&gt;0,($H187/$G187)*W187,0)*(1-$K187)</f>
        <v>116227146</v>
      </c>
      <c r="Y187" s="1117">
        <f>VLOOKUP($E187,W$442:Z$453,3,FALSE)*W187*($K187)+IF($G187&lt;&gt;0,($I187/$G187)*W187,0)*(1-$K187)</f>
        <v>0</v>
      </c>
      <c r="Z187" s="1117">
        <f>VLOOKUP($E187,W$442:Z$453,4,FALSE)*W187*($K187)+(W187-X187-Y187)*(1-$K187)</f>
        <v>0</v>
      </c>
      <c r="AA187" s="1073"/>
      <c r="AD187" s="1161">
        <f>VLOOKUP($A187,'New Resources - Group'!$A$4:$Y$133,AD$2,FALSE)*AD$1</f>
        <v>0</v>
      </c>
      <c r="AE187" s="1116">
        <f>$G187+AD187</f>
        <v>116227146</v>
      </c>
      <c r="AF187" s="1117">
        <f>VLOOKUP($E187,AE$442:AH$453,2,FALSE)*AE187*($K187)+IF($G187&lt;&gt;0,($H187/$G187)*AE187,0)*(1-$K187)</f>
        <v>116227146</v>
      </c>
      <c r="AG187" s="1117">
        <f>VLOOKUP($E187,AE$442:AH$453,3,FALSE)*AE187*($K187)+IF($G187&lt;&gt;0,($I187/$G187)*AE187,0)*(1-$K187)</f>
        <v>0</v>
      </c>
      <c r="AH187" s="1117">
        <f>VLOOKUP($E187,AE$442:AH$453,4,FALSE)*AE187*($K187)+(AE187-AF187-AG187)*(1-$K187)</f>
        <v>0</v>
      </c>
      <c r="AI187" s="1073"/>
      <c r="AL187" s="1161">
        <f>VLOOKUP($A187,'New Resources - Group'!$A$4:$Y$133,AL$2,FALSE)*AL$1</f>
        <v>0</v>
      </c>
      <c r="AM187" s="1116">
        <f>$G187+AL187</f>
        <v>116227146</v>
      </c>
      <c r="AN187" s="1117">
        <f>VLOOKUP($E187,AM$442:AP$453,2,FALSE)*AM187*($K187)+IF($G187&lt;&gt;0,($H187/$G187)*AM187,0)*(1-$K187)</f>
        <v>116227146</v>
      </c>
      <c r="AO187" s="1117">
        <f>VLOOKUP($E187,AM$442:AP$453,3,FALSE)*AM187*($K187)+IF($G187&lt;&gt;0,($I187/$G187)*AM187,0)*(1-$K187)</f>
        <v>0</v>
      </c>
      <c r="AP187" s="1117">
        <f>VLOOKUP($E187,AM$442:AP$453,4,FALSE)*AM187*($K187)+(AM187-AN187-AO187)*(1-$K187)</f>
        <v>0</v>
      </c>
      <c r="AQ187" s="1073"/>
      <c r="AT187" s="1161">
        <f>VLOOKUP($A187,'New Resources - Group'!$A$4:$Y$133,AT$2,FALSE)*AT$1</f>
        <v>0</v>
      </c>
      <c r="AU187" s="1116">
        <f>$G187+AT187</f>
        <v>116227146</v>
      </c>
      <c r="AV187" s="1117">
        <f>VLOOKUP($E187,AU$442:AX$453,2,FALSE)*AU187*($K187)+IF($G187&lt;&gt;0,($H187/$G187)*AU187,0)*(1-$K187)</f>
        <v>116227146</v>
      </c>
      <c r="AW187" s="1117">
        <f>VLOOKUP($E187,AU$442:AX$453,3,FALSE)*AU187*($K187)+IF($G187&lt;&gt;0,($I187/$G187)*AU187,0)*(1-$K187)</f>
        <v>0</v>
      </c>
      <c r="AX187" s="1117">
        <f>VLOOKUP($E187,AU$442:AX$453,4,FALSE)*AU187*($K187)+(AU187-AV187-AW187)*(1-$K187)</f>
        <v>0</v>
      </c>
      <c r="AY187" s="1073"/>
      <c r="BB187" s="1161">
        <f>VLOOKUP($A187,'New Resources - Group'!$A$4:$Y$133,BB$2,FALSE)*BB$1</f>
        <v>0</v>
      </c>
      <c r="BC187" s="1116">
        <f>$G187+BB187</f>
        <v>116227146</v>
      </c>
      <c r="BD187" s="1117">
        <f>VLOOKUP($E187,BC$442:BF$453,2,FALSE)*BC187*($K187)+IF($G187&lt;&gt;0,($H187/$G187)*BC187,0)*(1-$K187)</f>
        <v>116227146</v>
      </c>
      <c r="BE187" s="1117">
        <f>VLOOKUP($E187,BC$442:BF$453,3,FALSE)*BC187*($K187)+IF($G187&lt;&gt;0,($I187/$G187)*BC187,0)*(1-$K187)</f>
        <v>0</v>
      </c>
      <c r="BF187" s="1117">
        <f>VLOOKUP($E187,BC$442:BF$453,4,FALSE)*BC187*($K187)+(BC187-BD187-BE187)*(1-$K187)</f>
        <v>0</v>
      </c>
      <c r="BG187" s="1073"/>
      <c r="BJ187" s="1161">
        <f>VLOOKUP($A187,'New Resources - Group'!$A$4:$Y$133,BJ$2,FALSE)*BJ$1</f>
        <v>0</v>
      </c>
      <c r="BK187" s="1116">
        <f>$G187+BJ187</f>
        <v>116227146</v>
      </c>
      <c r="BL187" s="1117">
        <f>VLOOKUP($E187,BK$442:BN$453,2,FALSE)*BK187*($K187)+IF($G187&lt;&gt;0,($H187/$G187)*BK187,0)*(1-$K187)</f>
        <v>116227146</v>
      </c>
      <c r="BM187" s="1117">
        <f>VLOOKUP($E187,BK$442:BN$453,3,FALSE)*BK187*($K187)+IF($G187&lt;&gt;0,($I187/$G187)*BK187,0)*(1-$K187)</f>
        <v>0</v>
      </c>
      <c r="BN187" s="1117">
        <f>VLOOKUP($E187,BK$442:BN$453,4,FALSE)*BK187*($K187)+(BK187-BL187-BM187)*(1-$K187)</f>
        <v>0</v>
      </c>
      <c r="BO187" s="1073"/>
      <c r="BR187" s="1161">
        <f>VLOOKUP($A187,'New Resources - Group'!$A$4:$Y$133,BR$2,FALSE)*BR$1</f>
        <v>0</v>
      </c>
      <c r="BS187" s="1116">
        <f>$G187+BR187</f>
        <v>116227146</v>
      </c>
      <c r="BT187" s="1117">
        <f>VLOOKUP($E187,BS$442:BV$453,2,FALSE)*BS187*($K187)+IF($G187&lt;&gt;0,($H187/$G187)*BS187,0)*(1-$K187)</f>
        <v>116227146</v>
      </c>
      <c r="BU187" s="1117">
        <f>VLOOKUP($E187,BS$442:BV$453,3,FALSE)*BS187*($K187)+IF($G187&lt;&gt;0,($I187/$G187)*BS187,0)*(1-$K187)</f>
        <v>0</v>
      </c>
      <c r="BV187" s="1117">
        <f>VLOOKUP($E187,BS$442:BV$453,4,FALSE)*BS187*($K187)+(BS187-BT187-BU187)*(1-$K187)</f>
        <v>0</v>
      </c>
      <c r="BW187" s="1073"/>
      <c r="BZ187" s="1161">
        <f>VLOOKUP($A187,'New Resources - Group'!$A$4:$Y$133,BZ$2,FALSE)*BZ$1</f>
        <v>0</v>
      </c>
      <c r="CA187" s="1116">
        <f>$G187+BZ187</f>
        <v>116227146</v>
      </c>
      <c r="CB187" s="1117">
        <f>VLOOKUP($E187,CA$442:CD$453,2,FALSE)*CA187*($K187)+IF($G187&lt;&gt;0,($H187/$G187)*CA187,0)*(1-$K187)</f>
        <v>116227146</v>
      </c>
      <c r="CC187" s="1117">
        <f>VLOOKUP($E187,CA$442:CD$453,3,FALSE)*CA187*($K187)+IF($G187&lt;&gt;0,($I187/$G187)*CA187,0)*(1-$K187)</f>
        <v>0</v>
      </c>
      <c r="CD187" s="1117">
        <f>VLOOKUP($E187,CA$442:CD$453,4,FALSE)*CA187*($K187)+(CA187-CB187-CC187)*(1-$K187)</f>
        <v>0</v>
      </c>
      <c r="CE187" s="1073"/>
      <c r="CH187" s="1161">
        <f>VLOOKUP($A187,'New Resources - Group'!$A$4:$Y$133,CH$2,FALSE)*CH$1</f>
        <v>0</v>
      </c>
      <c r="CI187" s="1116">
        <f>$G187+CH187</f>
        <v>116227146</v>
      </c>
      <c r="CJ187" s="1117">
        <f>VLOOKUP($E187,CI$442:CL$453,2,FALSE)*CI187*($K187)+IF($G187&lt;&gt;0,($H187/$G187)*CI187,0)*(1-$K187)</f>
        <v>116227146</v>
      </c>
      <c r="CK187" s="1117">
        <f>VLOOKUP($E187,CI$442:CL$453,3,FALSE)*CI187*($K187)+IF($G187&lt;&gt;0,($I187/$G187)*CI187,0)*(1-$K187)</f>
        <v>0</v>
      </c>
      <c r="CL187" s="1117">
        <f>VLOOKUP($E187,CI$442:CL$453,4,FALSE)*CI187*($K187)+(CI187-CJ187-CK187)*(1-$K187)</f>
        <v>0</v>
      </c>
      <c r="CM187" s="1073"/>
      <c r="CP187" s="1161">
        <f>VLOOKUP($A187,'New Resources - Group'!$A$4:$Y$133,CP$2,FALSE)*CP$1</f>
        <v>0</v>
      </c>
      <c r="CQ187" s="1116">
        <f>$G187+CP187</f>
        <v>116227146</v>
      </c>
      <c r="CR187" s="1117">
        <f>VLOOKUP($E187,CQ$442:CT$453,2,FALSE)*CQ187*($K187)+IF($G187&lt;&gt;0,($H187/$G187)*CQ187,0)*(1-$K187)</f>
        <v>116227146</v>
      </c>
      <c r="CS187" s="1117">
        <f>VLOOKUP($E187,CQ$442:CT$453,3,FALSE)*CQ187*($K187)+IF($G187&lt;&gt;0,($I187/$G187)*CQ187,0)*(1-$K187)</f>
        <v>0</v>
      </c>
      <c r="CT187" s="1117">
        <f>VLOOKUP($E187,CQ$442:CT$453,4,FALSE)*CQ187*($K187)+(CQ187-CR187-CS187)*(1-$K187)</f>
        <v>0</v>
      </c>
      <c r="CU187" s="1073"/>
      <c r="CX187" s="1161">
        <f>VLOOKUP($A187,'New Resources - Group'!$A$4:$Y$133,CX$2,FALSE)*CX$1</f>
        <v>0</v>
      </c>
      <c r="CY187" s="1116">
        <f>$G187+CX187</f>
        <v>116227146</v>
      </c>
      <c r="CZ187" s="1117">
        <f>VLOOKUP($E187,CY$442:DB$453,2,FALSE)*CY187*($K187)+IF($G187&lt;&gt;0,($H187/$G187)*CY187,0)*(1-$K187)</f>
        <v>116227146</v>
      </c>
      <c r="DA187" s="1117">
        <f>VLOOKUP($E187,CY$442:DB$453,3,FALSE)*CY187*($K187)+IF($G187&lt;&gt;0,($I187/$G187)*CY187,0)*(1-$K187)</f>
        <v>0</v>
      </c>
      <c r="DB187" s="1117">
        <f>VLOOKUP($E187,CY$442:DB$453,4,FALSE)*CY187*($K187)+(CY187-CZ187-DA187)*(1-$K187)</f>
        <v>0</v>
      </c>
      <c r="DC187" s="1073"/>
      <c r="DF187" s="1161">
        <f>VLOOKUP($A187,'New Resources - Group'!$A$4:$Y$133,DF$2,FALSE)*DF$1</f>
        <v>0</v>
      </c>
      <c r="DG187" s="1116">
        <f>$G187+DF187</f>
        <v>116227146</v>
      </c>
      <c r="DH187" s="1117">
        <f>VLOOKUP($E187,DG$442:DJ$453,2,FALSE)*DG187*($K187)+IF($G187&lt;&gt;0,($H187/$G187)*DG187,0)*(1-$K187)</f>
        <v>116227146</v>
      </c>
      <c r="DI187" s="1117">
        <f>VLOOKUP($E187,DG$442:DJ$453,3,FALSE)*DG187*($K187)+IF($G187&lt;&gt;0,($I187/$G187)*DG187,0)*(1-$K187)</f>
        <v>0</v>
      </c>
      <c r="DJ187" s="1117">
        <f>VLOOKUP($E187,DG$442:DJ$453,4,FALSE)*DG187*($K187)+(DG187-DH187-DI187)*(1-$K187)</f>
        <v>0</v>
      </c>
      <c r="DK187" s="1073"/>
      <c r="DN187" s="1161">
        <f>VLOOKUP($A187,'New Resources - Group'!$A$4:$Y$133,DN$2,FALSE)*DN$1</f>
        <v>0</v>
      </c>
      <c r="DO187" s="1116">
        <f>$G187+DN187</f>
        <v>116227146</v>
      </c>
      <c r="DP187" s="1117">
        <f>VLOOKUP($E187,DO$442:DR$453,2,FALSE)*DO187*($K187)+IF($G187&lt;&gt;0,($H187/$G187)*DO187,0)*(1-$K187)</f>
        <v>116227146</v>
      </c>
      <c r="DQ187" s="1117">
        <f>VLOOKUP($E187,DO$442:DR$453,3,FALSE)*DO187*($K187)+IF($G187&lt;&gt;0,($I187/$G187)*DO187,0)*(1-$K187)</f>
        <v>0</v>
      </c>
      <c r="DR187" s="1117">
        <f>VLOOKUP($E187,DO$442:DR$453,4,FALSE)*DO187*($K187)+(DO187-DP187-DQ187)*(1-$K187)</f>
        <v>0</v>
      </c>
      <c r="DS187" s="1073"/>
      <c r="DV187" s="1161">
        <f>VLOOKUP($A187,'New Resources - Group'!$A$4:$Y$133,DV$2,FALSE)*DV$1</f>
        <v>0</v>
      </c>
      <c r="DW187" s="1116">
        <f>$G187+DV187</f>
        <v>116227146</v>
      </c>
      <c r="DX187" s="1117">
        <f>VLOOKUP($E187,DW$442:DZ$453,2,FALSE)*DW187*($K187)+IF($G187&lt;&gt;0,($H187/$G187)*DW187,0)*(1-$K187)</f>
        <v>116227146</v>
      </c>
      <c r="DY187" s="1117">
        <f>VLOOKUP($E187,DW$442:DZ$453,3,FALSE)*DW187*($K187)+IF($G187&lt;&gt;0,($I187/$G187)*DW187,0)*(1-$K187)</f>
        <v>0</v>
      </c>
      <c r="DZ187" s="1117">
        <f>VLOOKUP($E187,DW$442:DZ$453,4,FALSE)*DW187*($K187)+(DW187-DX187-DY187)*(1-$K187)</f>
        <v>0</v>
      </c>
      <c r="EA187" s="1073"/>
      <c r="ED187" s="1161">
        <f>VLOOKUP($A187,'New Resources - Group'!$A$4:$Y$133,ED$2,FALSE)*ED$1</f>
        <v>0</v>
      </c>
      <c r="EE187" s="1116">
        <f>$G187+ED187</f>
        <v>116227146</v>
      </c>
      <c r="EF187" s="1117">
        <f>VLOOKUP($E187,EE$442:EH$453,2,FALSE)*EE187*($K187)+IF($G187&lt;&gt;0,($H187/$G187)*EE187,0)*(1-$K187)</f>
        <v>116227146</v>
      </c>
      <c r="EG187" s="1117">
        <f>VLOOKUP($E187,EE$442:EH$453,3,FALSE)*EE187*($K187)+IF($G187&lt;&gt;0,($I187/$G187)*EE187,0)*(1-$K187)</f>
        <v>0</v>
      </c>
      <c r="EH187" s="1117">
        <f>VLOOKUP($E187,EE$442:EH$453,4,FALSE)*EE187*($K187)+(EE187-EF187-EG187)*(1-$K187)</f>
        <v>0</v>
      </c>
      <c r="EI187" s="1073"/>
      <c r="EL187" s="1161">
        <f>VLOOKUP($A187,'New Resources - Group'!$A$4:$Y$133,EL$2,FALSE)*EL$1</f>
        <v>0</v>
      </c>
      <c r="EM187" s="1116">
        <f>$G187+EL187</f>
        <v>116227146</v>
      </c>
      <c r="EN187" s="1117">
        <f>VLOOKUP($E187,EM$442:EP$453,2,FALSE)*EM187*($K187)+IF($G187&lt;&gt;0,($H187/$G187)*EM187,0)*(1-$K187)</f>
        <v>116227146</v>
      </c>
      <c r="EO187" s="1117">
        <f>VLOOKUP($E187,EM$442:EP$453,3,FALSE)*EM187*($K187)+IF($G187&lt;&gt;0,($I187/$G187)*EM187,0)*(1-$K187)</f>
        <v>0</v>
      </c>
      <c r="EP187" s="1117">
        <f>VLOOKUP($E187,EM$442:EP$453,4,FALSE)*EM187*($K187)+(EM187-EN187-EO187)*(1-$K187)</f>
        <v>0</v>
      </c>
      <c r="EQ187" s="1073"/>
      <c r="ET187" s="1161">
        <f>VLOOKUP($A187,'New Resources - Group'!$A$4:$Y$133,ET$2,FALSE)*ET$1</f>
        <v>0</v>
      </c>
      <c r="EU187" s="1116">
        <f>$G187+ET187</f>
        <v>116227146</v>
      </c>
      <c r="EV187" s="1117">
        <f>VLOOKUP($E187,EU$442:EX$453,2,FALSE)*EU187*($K187)+IF($G187&lt;&gt;0,($H187/$G187)*EU187,0)*(1-$K187)</f>
        <v>116227146</v>
      </c>
      <c r="EW187" s="1117">
        <f>VLOOKUP($E187,EU$442:EX$453,3,FALSE)*EU187*($K187)+IF($G187&lt;&gt;0,($I187/$G187)*EU187,0)*(1-$K187)</f>
        <v>0</v>
      </c>
      <c r="EX187" s="1117">
        <f>VLOOKUP($E187,EU$442:EX$453,4,FALSE)*EU187*($K187)+(EU187-EV187-EW187)*(1-$K187)</f>
        <v>0</v>
      </c>
      <c r="EY187" s="1073"/>
      <c r="FB187" s="1161">
        <f>VLOOKUP($A187,'New Resources - Group'!$A$4:$Y$133,FB$2,FALSE)*FB$1</f>
        <v>0</v>
      </c>
      <c r="FC187" s="1116">
        <f>$G187+FB187</f>
        <v>116227146</v>
      </c>
      <c r="FD187" s="1117">
        <f>VLOOKUP($E187,FC$442:FF$453,2,FALSE)*FC187*($K187)+IF($G187&lt;&gt;0,($H187/$G187)*FC187,0)*(1-$K187)</f>
        <v>116227146</v>
      </c>
      <c r="FE187" s="1117">
        <f>VLOOKUP($E187,FC$442:FF$453,3,FALSE)*FC187*($K187)+IF($G187&lt;&gt;0,($I187/$G187)*FC187,0)*(1-$K187)</f>
        <v>0</v>
      </c>
      <c r="FF187" s="1117">
        <f>VLOOKUP($E187,FC$442:FF$453,4,FALSE)*FC187*($K187)+(FC187-FD187-FE187)*(1-$K187)</f>
        <v>0</v>
      </c>
      <c r="FG187" s="1073"/>
      <c r="FJ187" s="1161">
        <f>VLOOKUP($A187,'New Resources - Group'!$A$4:$Y$133,FJ$2,FALSE)*FJ$1</f>
        <v>0</v>
      </c>
      <c r="FK187" s="1116">
        <f>$G187+FJ187</f>
        <v>116227146</v>
      </c>
      <c r="FL187" s="1117">
        <f>VLOOKUP($E187,FK$442:FN$453,2,FALSE)*FK187*($K187)+IF($G187&lt;&gt;0,($H187/$G187)*FK187,0)*(1-$K187)</f>
        <v>116227146</v>
      </c>
      <c r="FM187" s="1117">
        <f>VLOOKUP($E187,FK$442:FN$453,3,FALSE)*FK187*($K187)+IF($G187&lt;&gt;0,($I187/$G187)*FK187,0)*(1-$K187)</f>
        <v>0</v>
      </c>
      <c r="FN187" s="1117">
        <f>VLOOKUP($E187,FK$442:FN$453,4,FALSE)*FK187*($K187)+(FK187-FL187-FM187)*(1-$K187)</f>
        <v>0</v>
      </c>
      <c r="FO187" s="1073"/>
    </row>
    <row r="188" spans="1:171">
      <c r="A188" s="1444">
        <v>570</v>
      </c>
      <c r="B188" s="913" t="s">
        <v>263</v>
      </c>
      <c r="C188" s="888" t="s">
        <v>72</v>
      </c>
      <c r="D188" s="888" t="s">
        <v>615</v>
      </c>
      <c r="E188" s="182" t="str">
        <f>'Sch 3 - Expenses'!E28</f>
        <v>PROD</v>
      </c>
      <c r="F188" s="889"/>
      <c r="G188" s="182">
        <f>'Sch 3 - Expenses'!G28</f>
        <v>5842028</v>
      </c>
      <c r="H188" s="182">
        <f>'Sch 3 - Expenses'!H28</f>
        <v>5842028</v>
      </c>
      <c r="I188" s="182">
        <f>'Sch 3 - Expenses'!I28</f>
        <v>0</v>
      </c>
      <c r="J188" s="1424">
        <f>'Sch 3 - Expenses'!J28</f>
        <v>0</v>
      </c>
      <c r="K188" s="903">
        <f t="shared" si="547"/>
        <v>1</v>
      </c>
      <c r="N188" s="1161">
        <f>VLOOKUP($A188,'New Resources - Group'!$A$4:$Y$133,N$2,FALSE)*N$1</f>
        <v>0</v>
      </c>
      <c r="O188" s="1116">
        <f>$G188+N188</f>
        <v>5842028</v>
      </c>
      <c r="P188" s="1117">
        <f>VLOOKUP($E188,O$442:R$453,2,FALSE)*O188*($K188)+IF($G188&lt;&gt;0,($H188/$G188)*O188,0)*(1-$K188)</f>
        <v>5842028</v>
      </c>
      <c r="Q188" s="1117">
        <f>VLOOKUP($E188,O$442:R$453,3,FALSE)*O188*($K188)+IF($G188&lt;&gt;0,($I188/$G188)*O188,0)*(1-$K188)</f>
        <v>0</v>
      </c>
      <c r="R188" s="1117">
        <f>VLOOKUP($E188,O$442:R$453,4,FALSE)*O188*($K188)+(O188-P188-Q188)*(1-$K188)</f>
        <v>0</v>
      </c>
      <c r="S188" s="1073"/>
      <c r="V188" s="1161">
        <f>VLOOKUP($A188,'New Resources - Group'!$A$4:$Y$133,V$2,FALSE)*V$1</f>
        <v>0</v>
      </c>
      <c r="W188" s="1116">
        <f>$G188+V188</f>
        <v>5842028</v>
      </c>
      <c r="X188" s="1117">
        <f>VLOOKUP($E188,W$442:Z$453,2,FALSE)*W188*($K188)+IF($G188&lt;&gt;0,($H188/$G188)*W188,0)*(1-$K188)</f>
        <v>5842028</v>
      </c>
      <c r="Y188" s="1117">
        <f>VLOOKUP($E188,W$442:Z$453,3,FALSE)*W188*($K188)+IF($G188&lt;&gt;0,($I188/$G188)*W188,0)*(1-$K188)</f>
        <v>0</v>
      </c>
      <c r="Z188" s="1117">
        <f>VLOOKUP($E188,W$442:Z$453,4,FALSE)*W188*($K188)+(W188-X188-Y188)*(1-$K188)</f>
        <v>0</v>
      </c>
      <c r="AA188" s="1073"/>
      <c r="AD188" s="1161">
        <f>VLOOKUP($A188,'New Resources - Group'!$A$4:$Y$133,AD$2,FALSE)*AD$1</f>
        <v>0</v>
      </c>
      <c r="AE188" s="1116">
        <f>$G188+AD188</f>
        <v>5842028</v>
      </c>
      <c r="AF188" s="1117">
        <f>VLOOKUP($E188,AE$442:AH$453,2,FALSE)*AE188*($K188)+IF($G188&lt;&gt;0,($H188/$G188)*AE188,0)*(1-$K188)</f>
        <v>5842028</v>
      </c>
      <c r="AG188" s="1117">
        <f>VLOOKUP($E188,AE$442:AH$453,3,FALSE)*AE188*($K188)+IF($G188&lt;&gt;0,($I188/$G188)*AE188,0)*(1-$K188)</f>
        <v>0</v>
      </c>
      <c r="AH188" s="1117">
        <f>VLOOKUP($E188,AE$442:AH$453,4,FALSE)*AE188*($K188)+(AE188-AF188-AG188)*(1-$K188)</f>
        <v>0</v>
      </c>
      <c r="AI188" s="1073"/>
      <c r="AL188" s="1161">
        <f>VLOOKUP($A188,'New Resources - Group'!$A$4:$Y$133,AL$2,FALSE)*AL$1</f>
        <v>0</v>
      </c>
      <c r="AM188" s="1116">
        <f>$G188+AL188</f>
        <v>5842028</v>
      </c>
      <c r="AN188" s="1117">
        <f>VLOOKUP($E188,AM$442:AP$453,2,FALSE)*AM188*($K188)+IF($G188&lt;&gt;0,($H188/$G188)*AM188,0)*(1-$K188)</f>
        <v>5842028</v>
      </c>
      <c r="AO188" s="1117">
        <f>VLOOKUP($E188,AM$442:AP$453,3,FALSE)*AM188*($K188)+IF($G188&lt;&gt;0,($I188/$G188)*AM188,0)*(1-$K188)</f>
        <v>0</v>
      </c>
      <c r="AP188" s="1117">
        <f>VLOOKUP($E188,AM$442:AP$453,4,FALSE)*AM188*($K188)+(AM188-AN188-AO188)*(1-$K188)</f>
        <v>0</v>
      </c>
      <c r="AQ188" s="1073"/>
      <c r="AT188" s="1161">
        <f>VLOOKUP($A188,'New Resources - Group'!$A$4:$Y$133,AT$2,FALSE)*AT$1</f>
        <v>0</v>
      </c>
      <c r="AU188" s="1116">
        <f>$G188+AT188</f>
        <v>5842028</v>
      </c>
      <c r="AV188" s="1117">
        <f>VLOOKUP($E188,AU$442:AX$453,2,FALSE)*AU188*($K188)+IF($G188&lt;&gt;0,($H188/$G188)*AU188,0)*(1-$K188)</f>
        <v>5842028</v>
      </c>
      <c r="AW188" s="1117">
        <f>VLOOKUP($E188,AU$442:AX$453,3,FALSE)*AU188*($K188)+IF($G188&lt;&gt;0,($I188/$G188)*AU188,0)*(1-$K188)</f>
        <v>0</v>
      </c>
      <c r="AX188" s="1117">
        <f>VLOOKUP($E188,AU$442:AX$453,4,FALSE)*AU188*($K188)+(AU188-AV188-AW188)*(1-$K188)</f>
        <v>0</v>
      </c>
      <c r="AY188" s="1073"/>
      <c r="BB188" s="1161">
        <f>VLOOKUP($A188,'New Resources - Group'!$A$4:$Y$133,BB$2,FALSE)*BB$1</f>
        <v>0</v>
      </c>
      <c r="BC188" s="1116">
        <f>$G188+BB188</f>
        <v>5842028</v>
      </c>
      <c r="BD188" s="1117">
        <f>VLOOKUP($E188,BC$442:BF$453,2,FALSE)*BC188*($K188)+IF($G188&lt;&gt;0,($H188/$G188)*BC188,0)*(1-$K188)</f>
        <v>5842028</v>
      </c>
      <c r="BE188" s="1117">
        <f>VLOOKUP($E188,BC$442:BF$453,3,FALSE)*BC188*($K188)+IF($G188&lt;&gt;0,($I188/$G188)*BC188,0)*(1-$K188)</f>
        <v>0</v>
      </c>
      <c r="BF188" s="1117">
        <f>VLOOKUP($E188,BC$442:BF$453,4,FALSE)*BC188*($K188)+(BC188-BD188-BE188)*(1-$K188)</f>
        <v>0</v>
      </c>
      <c r="BG188" s="1073"/>
      <c r="BJ188" s="1161">
        <f>VLOOKUP($A188,'New Resources - Group'!$A$4:$Y$133,BJ$2,FALSE)*BJ$1</f>
        <v>0</v>
      </c>
      <c r="BK188" s="1116">
        <f>$G188+BJ188</f>
        <v>5842028</v>
      </c>
      <c r="BL188" s="1117">
        <f>VLOOKUP($E188,BK$442:BN$453,2,FALSE)*BK188*($K188)+IF($G188&lt;&gt;0,($H188/$G188)*BK188,0)*(1-$K188)</f>
        <v>5842028</v>
      </c>
      <c r="BM188" s="1117">
        <f>VLOOKUP($E188,BK$442:BN$453,3,FALSE)*BK188*($K188)+IF($G188&lt;&gt;0,($I188/$G188)*BK188,0)*(1-$K188)</f>
        <v>0</v>
      </c>
      <c r="BN188" s="1117">
        <f>VLOOKUP($E188,BK$442:BN$453,4,FALSE)*BK188*($K188)+(BK188-BL188-BM188)*(1-$K188)</f>
        <v>0</v>
      </c>
      <c r="BO188" s="1073"/>
      <c r="BR188" s="1161">
        <f>VLOOKUP($A188,'New Resources - Group'!$A$4:$Y$133,BR$2,FALSE)*BR$1</f>
        <v>0</v>
      </c>
      <c r="BS188" s="1116">
        <f>$G188+BR188</f>
        <v>5842028</v>
      </c>
      <c r="BT188" s="1117">
        <f>VLOOKUP($E188,BS$442:BV$453,2,FALSE)*BS188*($K188)+IF($G188&lt;&gt;0,($H188/$G188)*BS188,0)*(1-$K188)</f>
        <v>5842028</v>
      </c>
      <c r="BU188" s="1117">
        <f>VLOOKUP($E188,BS$442:BV$453,3,FALSE)*BS188*($K188)+IF($G188&lt;&gt;0,($I188/$G188)*BS188,0)*(1-$K188)</f>
        <v>0</v>
      </c>
      <c r="BV188" s="1117">
        <f>VLOOKUP($E188,BS$442:BV$453,4,FALSE)*BS188*($K188)+(BS188-BT188-BU188)*(1-$K188)</f>
        <v>0</v>
      </c>
      <c r="BW188" s="1073"/>
      <c r="BZ188" s="1161">
        <f>VLOOKUP($A188,'New Resources - Group'!$A$4:$Y$133,BZ$2,FALSE)*BZ$1</f>
        <v>0</v>
      </c>
      <c r="CA188" s="1116">
        <f>$G188+BZ188</f>
        <v>5842028</v>
      </c>
      <c r="CB188" s="1117">
        <f>VLOOKUP($E188,CA$442:CD$453,2,FALSE)*CA188*($K188)+IF($G188&lt;&gt;0,($H188/$G188)*CA188,0)*(1-$K188)</f>
        <v>5842028</v>
      </c>
      <c r="CC188" s="1117">
        <f>VLOOKUP($E188,CA$442:CD$453,3,FALSE)*CA188*($K188)+IF($G188&lt;&gt;0,($I188/$G188)*CA188,0)*(1-$K188)</f>
        <v>0</v>
      </c>
      <c r="CD188" s="1117">
        <f>VLOOKUP($E188,CA$442:CD$453,4,FALSE)*CA188*($K188)+(CA188-CB188-CC188)*(1-$K188)</f>
        <v>0</v>
      </c>
      <c r="CE188" s="1073"/>
      <c r="CH188" s="1161">
        <f>VLOOKUP($A188,'New Resources - Group'!$A$4:$Y$133,CH$2,FALSE)*CH$1</f>
        <v>0</v>
      </c>
      <c r="CI188" s="1116">
        <f>$G188+CH188</f>
        <v>5842028</v>
      </c>
      <c r="CJ188" s="1117">
        <f>VLOOKUP($E188,CI$442:CL$453,2,FALSE)*CI188*($K188)+IF($G188&lt;&gt;0,($H188/$G188)*CI188,0)*(1-$K188)</f>
        <v>5842028</v>
      </c>
      <c r="CK188" s="1117">
        <f>VLOOKUP($E188,CI$442:CL$453,3,FALSE)*CI188*($K188)+IF($G188&lt;&gt;0,($I188/$G188)*CI188,0)*(1-$K188)</f>
        <v>0</v>
      </c>
      <c r="CL188" s="1117">
        <f>VLOOKUP($E188,CI$442:CL$453,4,FALSE)*CI188*($K188)+(CI188-CJ188-CK188)*(1-$K188)</f>
        <v>0</v>
      </c>
      <c r="CM188" s="1073"/>
      <c r="CP188" s="1161">
        <f>VLOOKUP($A188,'New Resources - Group'!$A$4:$Y$133,CP$2,FALSE)*CP$1</f>
        <v>0</v>
      </c>
      <c r="CQ188" s="1116">
        <f>$G188+CP188</f>
        <v>5842028</v>
      </c>
      <c r="CR188" s="1117">
        <f>VLOOKUP($E188,CQ$442:CT$453,2,FALSE)*CQ188*($K188)+IF($G188&lt;&gt;0,($H188/$G188)*CQ188,0)*(1-$K188)</f>
        <v>5842028</v>
      </c>
      <c r="CS188" s="1117">
        <f>VLOOKUP($E188,CQ$442:CT$453,3,FALSE)*CQ188*($K188)+IF($G188&lt;&gt;0,($I188/$G188)*CQ188,0)*(1-$K188)</f>
        <v>0</v>
      </c>
      <c r="CT188" s="1117">
        <f>VLOOKUP($E188,CQ$442:CT$453,4,FALSE)*CQ188*($K188)+(CQ188-CR188-CS188)*(1-$K188)</f>
        <v>0</v>
      </c>
      <c r="CU188" s="1073"/>
      <c r="CX188" s="1161">
        <f>VLOOKUP($A188,'New Resources - Group'!$A$4:$Y$133,CX$2,FALSE)*CX$1</f>
        <v>0</v>
      </c>
      <c r="CY188" s="1116">
        <f>$G188+CX188</f>
        <v>5842028</v>
      </c>
      <c r="CZ188" s="1117">
        <f>VLOOKUP($E188,CY$442:DB$453,2,FALSE)*CY188*($K188)+IF($G188&lt;&gt;0,($H188/$G188)*CY188,0)*(1-$K188)</f>
        <v>5842028</v>
      </c>
      <c r="DA188" s="1117">
        <f>VLOOKUP($E188,CY$442:DB$453,3,FALSE)*CY188*($K188)+IF($G188&lt;&gt;0,($I188/$G188)*CY188,0)*(1-$K188)</f>
        <v>0</v>
      </c>
      <c r="DB188" s="1117">
        <f>VLOOKUP($E188,CY$442:DB$453,4,FALSE)*CY188*($K188)+(CY188-CZ188-DA188)*(1-$K188)</f>
        <v>0</v>
      </c>
      <c r="DC188" s="1073"/>
      <c r="DF188" s="1161">
        <f>VLOOKUP($A188,'New Resources - Group'!$A$4:$Y$133,DF$2,FALSE)*DF$1</f>
        <v>0</v>
      </c>
      <c r="DG188" s="1116">
        <f>$G188+DF188</f>
        <v>5842028</v>
      </c>
      <c r="DH188" s="1117">
        <f>VLOOKUP($E188,DG$442:DJ$453,2,FALSE)*DG188*($K188)+IF($G188&lt;&gt;0,($H188/$G188)*DG188,0)*(1-$K188)</f>
        <v>5842028</v>
      </c>
      <c r="DI188" s="1117">
        <f>VLOOKUP($E188,DG$442:DJ$453,3,FALSE)*DG188*($K188)+IF($G188&lt;&gt;0,($I188/$G188)*DG188,0)*(1-$K188)</f>
        <v>0</v>
      </c>
      <c r="DJ188" s="1117">
        <f>VLOOKUP($E188,DG$442:DJ$453,4,FALSE)*DG188*($K188)+(DG188-DH188-DI188)*(1-$K188)</f>
        <v>0</v>
      </c>
      <c r="DK188" s="1073"/>
      <c r="DN188" s="1161">
        <f>VLOOKUP($A188,'New Resources - Group'!$A$4:$Y$133,DN$2,FALSE)*DN$1</f>
        <v>0</v>
      </c>
      <c r="DO188" s="1116">
        <f>$G188+DN188</f>
        <v>5842028</v>
      </c>
      <c r="DP188" s="1117">
        <f>VLOOKUP($E188,DO$442:DR$453,2,FALSE)*DO188*($K188)+IF($G188&lt;&gt;0,($H188/$G188)*DO188,0)*(1-$K188)</f>
        <v>5842028</v>
      </c>
      <c r="DQ188" s="1117">
        <f>VLOOKUP($E188,DO$442:DR$453,3,FALSE)*DO188*($K188)+IF($G188&lt;&gt;0,($I188/$G188)*DO188,0)*(1-$K188)</f>
        <v>0</v>
      </c>
      <c r="DR188" s="1117">
        <f>VLOOKUP($E188,DO$442:DR$453,4,FALSE)*DO188*($K188)+(DO188-DP188-DQ188)*(1-$K188)</f>
        <v>0</v>
      </c>
      <c r="DS188" s="1073"/>
      <c r="DV188" s="1161">
        <f>VLOOKUP($A188,'New Resources - Group'!$A$4:$Y$133,DV$2,FALSE)*DV$1</f>
        <v>0</v>
      </c>
      <c r="DW188" s="1116">
        <f>$G188+DV188</f>
        <v>5842028</v>
      </c>
      <c r="DX188" s="1117">
        <f>VLOOKUP($E188,DW$442:DZ$453,2,FALSE)*DW188*($K188)+IF($G188&lt;&gt;0,($H188/$G188)*DW188,0)*(1-$K188)</f>
        <v>5842028</v>
      </c>
      <c r="DY188" s="1117">
        <f>VLOOKUP($E188,DW$442:DZ$453,3,FALSE)*DW188*($K188)+IF($G188&lt;&gt;0,($I188/$G188)*DW188,0)*(1-$K188)</f>
        <v>0</v>
      </c>
      <c r="DZ188" s="1117">
        <f>VLOOKUP($E188,DW$442:DZ$453,4,FALSE)*DW188*($K188)+(DW188-DX188-DY188)*(1-$K188)</f>
        <v>0</v>
      </c>
      <c r="EA188" s="1073"/>
      <c r="ED188" s="1161">
        <f>VLOOKUP($A188,'New Resources - Group'!$A$4:$Y$133,ED$2,FALSE)*ED$1</f>
        <v>0</v>
      </c>
      <c r="EE188" s="1116">
        <f>$G188+ED188</f>
        <v>5842028</v>
      </c>
      <c r="EF188" s="1117">
        <f>VLOOKUP($E188,EE$442:EH$453,2,FALSE)*EE188*($K188)+IF($G188&lt;&gt;0,($H188/$G188)*EE188,0)*(1-$K188)</f>
        <v>5842028</v>
      </c>
      <c r="EG188" s="1117">
        <f>VLOOKUP($E188,EE$442:EH$453,3,FALSE)*EE188*($K188)+IF($G188&lt;&gt;0,($I188/$G188)*EE188,0)*(1-$K188)</f>
        <v>0</v>
      </c>
      <c r="EH188" s="1117">
        <f>VLOOKUP($E188,EE$442:EH$453,4,FALSE)*EE188*($K188)+(EE188-EF188-EG188)*(1-$K188)</f>
        <v>0</v>
      </c>
      <c r="EI188" s="1073"/>
      <c r="EL188" s="1161">
        <f>VLOOKUP($A188,'New Resources - Group'!$A$4:$Y$133,EL$2,FALSE)*EL$1</f>
        <v>0</v>
      </c>
      <c r="EM188" s="1116">
        <f>$G188+EL188</f>
        <v>5842028</v>
      </c>
      <c r="EN188" s="1117">
        <f>VLOOKUP($E188,EM$442:EP$453,2,FALSE)*EM188*($K188)+IF($G188&lt;&gt;0,($H188/$G188)*EM188,0)*(1-$K188)</f>
        <v>5842028</v>
      </c>
      <c r="EO188" s="1117">
        <f>VLOOKUP($E188,EM$442:EP$453,3,FALSE)*EM188*($K188)+IF($G188&lt;&gt;0,($I188/$G188)*EM188,0)*(1-$K188)</f>
        <v>0</v>
      </c>
      <c r="EP188" s="1117">
        <f>VLOOKUP($E188,EM$442:EP$453,4,FALSE)*EM188*($K188)+(EM188-EN188-EO188)*(1-$K188)</f>
        <v>0</v>
      </c>
      <c r="EQ188" s="1073"/>
      <c r="ET188" s="1161">
        <f>VLOOKUP($A188,'New Resources - Group'!$A$4:$Y$133,ET$2,FALSE)*ET$1</f>
        <v>0</v>
      </c>
      <c r="EU188" s="1116">
        <f>$G188+ET188</f>
        <v>5842028</v>
      </c>
      <c r="EV188" s="1117">
        <f>VLOOKUP($E188,EU$442:EX$453,2,FALSE)*EU188*($K188)+IF($G188&lt;&gt;0,($H188/$G188)*EU188,0)*(1-$K188)</f>
        <v>5842028</v>
      </c>
      <c r="EW188" s="1117">
        <f>VLOOKUP($E188,EU$442:EX$453,3,FALSE)*EU188*($K188)+IF($G188&lt;&gt;0,($I188/$G188)*EU188,0)*(1-$K188)</f>
        <v>0</v>
      </c>
      <c r="EX188" s="1117">
        <f>VLOOKUP($E188,EU$442:EX$453,4,FALSE)*EU188*($K188)+(EU188-EV188-EW188)*(1-$K188)</f>
        <v>0</v>
      </c>
      <c r="EY188" s="1073"/>
      <c r="FB188" s="1161">
        <f>VLOOKUP($A188,'New Resources - Group'!$A$4:$Y$133,FB$2,FALSE)*FB$1</f>
        <v>0</v>
      </c>
      <c r="FC188" s="1116">
        <f>$G188+FB188</f>
        <v>5842028</v>
      </c>
      <c r="FD188" s="1117">
        <f>VLOOKUP($E188,FC$442:FF$453,2,FALSE)*FC188*($K188)+IF($G188&lt;&gt;0,($H188/$G188)*FC188,0)*(1-$K188)</f>
        <v>5842028</v>
      </c>
      <c r="FE188" s="1117">
        <f>VLOOKUP($E188,FC$442:FF$453,3,FALSE)*FC188*($K188)+IF($G188&lt;&gt;0,($I188/$G188)*FC188,0)*(1-$K188)</f>
        <v>0</v>
      </c>
      <c r="FF188" s="1117">
        <f>VLOOKUP($E188,FC$442:FF$453,4,FALSE)*FC188*($K188)+(FC188-FD188-FE188)*(1-$K188)</f>
        <v>0</v>
      </c>
      <c r="FG188" s="1073"/>
      <c r="FJ188" s="1161">
        <f>VLOOKUP($A188,'New Resources - Group'!$A$4:$Y$133,FJ$2,FALSE)*FJ$1</f>
        <v>0</v>
      </c>
      <c r="FK188" s="1116">
        <f>$G188+FJ188</f>
        <v>5842028</v>
      </c>
      <c r="FL188" s="1117">
        <f>VLOOKUP($E188,FK$442:FN$453,2,FALSE)*FK188*($K188)+IF($G188&lt;&gt;0,($H188/$G188)*FK188,0)*(1-$K188)</f>
        <v>5842028</v>
      </c>
      <c r="FM188" s="1117">
        <f>VLOOKUP($E188,FK$442:FN$453,3,FALSE)*FK188*($K188)+IF($G188&lt;&gt;0,($I188/$G188)*FK188,0)*(1-$K188)</f>
        <v>0</v>
      </c>
      <c r="FN188" s="1117">
        <f>VLOOKUP($E188,FK$442:FN$453,4,FALSE)*FK188*($K188)+(FK188-FL188-FM188)*(1-$K188)</f>
        <v>0</v>
      </c>
      <c r="FO188" s="1073"/>
    </row>
    <row r="189" spans="1:171">
      <c r="A189" s="1444">
        <v>580</v>
      </c>
      <c r="B189" s="913" t="s">
        <v>265</v>
      </c>
      <c r="C189" s="888" t="s">
        <v>72</v>
      </c>
      <c r="D189" s="888" t="s">
        <v>616</v>
      </c>
      <c r="E189" s="182" t="str">
        <f>'Sch 3 - Expenses'!E29</f>
        <v>PROD</v>
      </c>
      <c r="F189" s="889"/>
      <c r="G189" s="182">
        <f>'Sch 3 - Expenses'!G29</f>
        <v>3782274</v>
      </c>
      <c r="H189" s="182">
        <f>'Sch 3 - Expenses'!H29</f>
        <v>3782274</v>
      </c>
      <c r="I189" s="182">
        <f>'Sch 3 - Expenses'!I29</f>
        <v>0</v>
      </c>
      <c r="J189" s="1424">
        <f>'Sch 3 - Expenses'!J29</f>
        <v>0</v>
      </c>
      <c r="K189" s="903">
        <f t="shared" si="547"/>
        <v>1</v>
      </c>
      <c r="N189" s="1161">
        <f>VLOOKUP($A189,'New Resources - Group'!$A$4:$Y$133,N$2,FALSE)*N$1</f>
        <v>0</v>
      </c>
      <c r="O189" s="1116">
        <f>$G189+N189</f>
        <v>3782274</v>
      </c>
      <c r="P189" s="1117">
        <f>VLOOKUP($E189,O$442:R$453,2,FALSE)*O189*($K189)+IF($G189&lt;&gt;0,($H189/$G189)*O189,0)*(1-$K189)</f>
        <v>3782274</v>
      </c>
      <c r="Q189" s="1117">
        <f>VLOOKUP($E189,O$442:R$453,3,FALSE)*O189*($K189)+IF($G189&lt;&gt;0,($I189/$G189)*O189,0)*(1-$K189)</f>
        <v>0</v>
      </c>
      <c r="R189" s="1117">
        <f>VLOOKUP($E189,O$442:R$453,4,FALSE)*O189*($K189)+(O189-P189-Q189)*(1-$K189)</f>
        <v>0</v>
      </c>
      <c r="S189" s="1073"/>
      <c r="V189" s="1161">
        <f>VLOOKUP($A189,'New Resources - Group'!$A$4:$Y$133,V$2,FALSE)*V$1</f>
        <v>0</v>
      </c>
      <c r="W189" s="1116">
        <f>$G189+V189</f>
        <v>3782274</v>
      </c>
      <c r="X189" s="1117">
        <f>VLOOKUP($E189,W$442:Z$453,2,FALSE)*W189*($K189)+IF($G189&lt;&gt;0,($H189/$G189)*W189,0)*(1-$K189)</f>
        <v>3782274</v>
      </c>
      <c r="Y189" s="1117">
        <f>VLOOKUP($E189,W$442:Z$453,3,FALSE)*W189*($K189)+IF($G189&lt;&gt;0,($I189/$G189)*W189,0)*(1-$K189)</f>
        <v>0</v>
      </c>
      <c r="Z189" s="1117">
        <f>VLOOKUP($E189,W$442:Z$453,4,FALSE)*W189*($K189)+(W189-X189-Y189)*(1-$K189)</f>
        <v>0</v>
      </c>
      <c r="AA189" s="1073"/>
      <c r="AD189" s="1161">
        <f>VLOOKUP($A189,'New Resources - Group'!$A$4:$Y$133,AD$2,FALSE)*AD$1</f>
        <v>0</v>
      </c>
      <c r="AE189" s="1116">
        <f>$G189+AD189</f>
        <v>3782274</v>
      </c>
      <c r="AF189" s="1117">
        <f>VLOOKUP($E189,AE$442:AH$453,2,FALSE)*AE189*($K189)+IF($G189&lt;&gt;0,($H189/$G189)*AE189,0)*(1-$K189)</f>
        <v>3782274</v>
      </c>
      <c r="AG189" s="1117">
        <f>VLOOKUP($E189,AE$442:AH$453,3,FALSE)*AE189*($K189)+IF($G189&lt;&gt;0,($I189/$G189)*AE189,0)*(1-$K189)</f>
        <v>0</v>
      </c>
      <c r="AH189" s="1117">
        <f>VLOOKUP($E189,AE$442:AH$453,4,FALSE)*AE189*($K189)+(AE189-AF189-AG189)*(1-$K189)</f>
        <v>0</v>
      </c>
      <c r="AI189" s="1073"/>
      <c r="AL189" s="1161">
        <f>VLOOKUP($A189,'New Resources - Group'!$A$4:$Y$133,AL$2,FALSE)*AL$1</f>
        <v>0</v>
      </c>
      <c r="AM189" s="1116">
        <f>$G189+AL189</f>
        <v>3782274</v>
      </c>
      <c r="AN189" s="1117">
        <f>VLOOKUP($E189,AM$442:AP$453,2,FALSE)*AM189*($K189)+IF($G189&lt;&gt;0,($H189/$G189)*AM189,0)*(1-$K189)</f>
        <v>3782274</v>
      </c>
      <c r="AO189" s="1117">
        <f>VLOOKUP($E189,AM$442:AP$453,3,FALSE)*AM189*($K189)+IF($G189&lt;&gt;0,($I189/$G189)*AM189,0)*(1-$K189)</f>
        <v>0</v>
      </c>
      <c r="AP189" s="1117">
        <f>VLOOKUP($E189,AM$442:AP$453,4,FALSE)*AM189*($K189)+(AM189-AN189-AO189)*(1-$K189)</f>
        <v>0</v>
      </c>
      <c r="AQ189" s="1073"/>
      <c r="AT189" s="1161">
        <f>VLOOKUP($A189,'New Resources - Group'!$A$4:$Y$133,AT$2,FALSE)*AT$1</f>
        <v>0</v>
      </c>
      <c r="AU189" s="1116">
        <f>$G189+AT189</f>
        <v>3782274</v>
      </c>
      <c r="AV189" s="1117">
        <f>VLOOKUP($E189,AU$442:AX$453,2,FALSE)*AU189*($K189)+IF($G189&lt;&gt;0,($H189/$G189)*AU189,0)*(1-$K189)</f>
        <v>3782274</v>
      </c>
      <c r="AW189" s="1117">
        <f>VLOOKUP($E189,AU$442:AX$453,3,FALSE)*AU189*($K189)+IF($G189&lt;&gt;0,($I189/$G189)*AU189,0)*(1-$K189)</f>
        <v>0</v>
      </c>
      <c r="AX189" s="1117">
        <f>VLOOKUP($E189,AU$442:AX$453,4,FALSE)*AU189*($K189)+(AU189-AV189-AW189)*(1-$K189)</f>
        <v>0</v>
      </c>
      <c r="AY189" s="1073"/>
      <c r="BB189" s="1161">
        <f>VLOOKUP($A189,'New Resources - Group'!$A$4:$Y$133,BB$2,FALSE)*BB$1</f>
        <v>0</v>
      </c>
      <c r="BC189" s="1116">
        <f>$G189+BB189</f>
        <v>3782274</v>
      </c>
      <c r="BD189" s="1117">
        <f>VLOOKUP($E189,BC$442:BF$453,2,FALSE)*BC189*($K189)+IF($G189&lt;&gt;0,($H189/$G189)*BC189,0)*(1-$K189)</f>
        <v>3782274</v>
      </c>
      <c r="BE189" s="1117">
        <f>VLOOKUP($E189,BC$442:BF$453,3,FALSE)*BC189*($K189)+IF($G189&lt;&gt;0,($I189/$G189)*BC189,0)*(1-$K189)</f>
        <v>0</v>
      </c>
      <c r="BF189" s="1117">
        <f>VLOOKUP($E189,BC$442:BF$453,4,FALSE)*BC189*($K189)+(BC189-BD189-BE189)*(1-$K189)</f>
        <v>0</v>
      </c>
      <c r="BG189" s="1073"/>
      <c r="BJ189" s="1161">
        <f>VLOOKUP($A189,'New Resources - Group'!$A$4:$Y$133,BJ$2,FALSE)*BJ$1</f>
        <v>0</v>
      </c>
      <c r="BK189" s="1116">
        <f>$G189+BJ189</f>
        <v>3782274</v>
      </c>
      <c r="BL189" s="1117">
        <f>VLOOKUP($E189,BK$442:BN$453,2,FALSE)*BK189*($K189)+IF($G189&lt;&gt;0,($H189/$G189)*BK189,0)*(1-$K189)</f>
        <v>3782274</v>
      </c>
      <c r="BM189" s="1117">
        <f>VLOOKUP($E189,BK$442:BN$453,3,FALSE)*BK189*($K189)+IF($G189&lt;&gt;0,($I189/$G189)*BK189,0)*(1-$K189)</f>
        <v>0</v>
      </c>
      <c r="BN189" s="1117">
        <f>VLOOKUP($E189,BK$442:BN$453,4,FALSE)*BK189*($K189)+(BK189-BL189-BM189)*(1-$K189)</f>
        <v>0</v>
      </c>
      <c r="BO189" s="1073"/>
      <c r="BR189" s="1161">
        <f>VLOOKUP($A189,'New Resources - Group'!$A$4:$Y$133,BR$2,FALSE)*BR$1</f>
        <v>0</v>
      </c>
      <c r="BS189" s="1116">
        <f>$G189+BR189</f>
        <v>3782274</v>
      </c>
      <c r="BT189" s="1117">
        <f>VLOOKUP($E189,BS$442:BV$453,2,FALSE)*BS189*($K189)+IF($G189&lt;&gt;0,($H189/$G189)*BS189,0)*(1-$K189)</f>
        <v>3782274</v>
      </c>
      <c r="BU189" s="1117">
        <f>VLOOKUP($E189,BS$442:BV$453,3,FALSE)*BS189*($K189)+IF($G189&lt;&gt;0,($I189/$G189)*BS189,0)*(1-$K189)</f>
        <v>0</v>
      </c>
      <c r="BV189" s="1117">
        <f>VLOOKUP($E189,BS$442:BV$453,4,FALSE)*BS189*($K189)+(BS189-BT189-BU189)*(1-$K189)</f>
        <v>0</v>
      </c>
      <c r="BW189" s="1073"/>
      <c r="BZ189" s="1161">
        <f>VLOOKUP($A189,'New Resources - Group'!$A$4:$Y$133,BZ$2,FALSE)*BZ$1</f>
        <v>0</v>
      </c>
      <c r="CA189" s="1116">
        <f>$G189+BZ189</f>
        <v>3782274</v>
      </c>
      <c r="CB189" s="1117">
        <f>VLOOKUP($E189,CA$442:CD$453,2,FALSE)*CA189*($K189)+IF($G189&lt;&gt;0,($H189/$G189)*CA189,0)*(1-$K189)</f>
        <v>3782274</v>
      </c>
      <c r="CC189" s="1117">
        <f>VLOOKUP($E189,CA$442:CD$453,3,FALSE)*CA189*($K189)+IF($G189&lt;&gt;0,($I189/$G189)*CA189,0)*(1-$K189)</f>
        <v>0</v>
      </c>
      <c r="CD189" s="1117">
        <f>VLOOKUP($E189,CA$442:CD$453,4,FALSE)*CA189*($K189)+(CA189-CB189-CC189)*(1-$K189)</f>
        <v>0</v>
      </c>
      <c r="CE189" s="1073"/>
      <c r="CH189" s="1161">
        <f>VLOOKUP($A189,'New Resources - Group'!$A$4:$Y$133,CH$2,FALSE)*CH$1</f>
        <v>0</v>
      </c>
      <c r="CI189" s="1116">
        <f>$G189+CH189</f>
        <v>3782274</v>
      </c>
      <c r="CJ189" s="1117">
        <f>VLOOKUP($E189,CI$442:CL$453,2,FALSE)*CI189*($K189)+IF($G189&lt;&gt;0,($H189/$G189)*CI189,0)*(1-$K189)</f>
        <v>3782274</v>
      </c>
      <c r="CK189" s="1117">
        <f>VLOOKUP($E189,CI$442:CL$453,3,FALSE)*CI189*($K189)+IF($G189&lt;&gt;0,($I189/$G189)*CI189,0)*(1-$K189)</f>
        <v>0</v>
      </c>
      <c r="CL189" s="1117">
        <f>VLOOKUP($E189,CI$442:CL$453,4,FALSE)*CI189*($K189)+(CI189-CJ189-CK189)*(1-$K189)</f>
        <v>0</v>
      </c>
      <c r="CM189" s="1073"/>
      <c r="CP189" s="1161">
        <f>VLOOKUP($A189,'New Resources - Group'!$A$4:$Y$133,CP$2,FALSE)*CP$1</f>
        <v>0</v>
      </c>
      <c r="CQ189" s="1116">
        <f>$G189+CP189</f>
        <v>3782274</v>
      </c>
      <c r="CR189" s="1117">
        <f>VLOOKUP($E189,CQ$442:CT$453,2,FALSE)*CQ189*($K189)+IF($G189&lt;&gt;0,($H189/$G189)*CQ189,0)*(1-$K189)</f>
        <v>3782274</v>
      </c>
      <c r="CS189" s="1117">
        <f>VLOOKUP($E189,CQ$442:CT$453,3,FALSE)*CQ189*($K189)+IF($G189&lt;&gt;0,($I189/$G189)*CQ189,0)*(1-$K189)</f>
        <v>0</v>
      </c>
      <c r="CT189" s="1117">
        <f>VLOOKUP($E189,CQ$442:CT$453,4,FALSE)*CQ189*($K189)+(CQ189-CR189-CS189)*(1-$K189)</f>
        <v>0</v>
      </c>
      <c r="CU189" s="1073"/>
      <c r="CX189" s="1161">
        <f>VLOOKUP($A189,'New Resources - Group'!$A$4:$Y$133,CX$2,FALSE)*CX$1</f>
        <v>0</v>
      </c>
      <c r="CY189" s="1116">
        <f>$G189+CX189</f>
        <v>3782274</v>
      </c>
      <c r="CZ189" s="1117">
        <f>VLOOKUP($E189,CY$442:DB$453,2,FALSE)*CY189*($K189)+IF($G189&lt;&gt;0,($H189/$G189)*CY189,0)*(1-$K189)</f>
        <v>3782274</v>
      </c>
      <c r="DA189" s="1117">
        <f>VLOOKUP($E189,CY$442:DB$453,3,FALSE)*CY189*($K189)+IF($G189&lt;&gt;0,($I189/$G189)*CY189,0)*(1-$K189)</f>
        <v>0</v>
      </c>
      <c r="DB189" s="1117">
        <f>VLOOKUP($E189,CY$442:DB$453,4,FALSE)*CY189*($K189)+(CY189-CZ189-DA189)*(1-$K189)</f>
        <v>0</v>
      </c>
      <c r="DC189" s="1073"/>
      <c r="DF189" s="1161">
        <f>VLOOKUP($A189,'New Resources - Group'!$A$4:$Y$133,DF$2,FALSE)*DF$1</f>
        <v>0</v>
      </c>
      <c r="DG189" s="1116">
        <f>$G189+DF189</f>
        <v>3782274</v>
      </c>
      <c r="DH189" s="1117">
        <f>VLOOKUP($E189,DG$442:DJ$453,2,FALSE)*DG189*($K189)+IF($G189&lt;&gt;0,($H189/$G189)*DG189,0)*(1-$K189)</f>
        <v>3782274</v>
      </c>
      <c r="DI189" s="1117">
        <f>VLOOKUP($E189,DG$442:DJ$453,3,FALSE)*DG189*($K189)+IF($G189&lt;&gt;0,($I189/$G189)*DG189,0)*(1-$K189)</f>
        <v>0</v>
      </c>
      <c r="DJ189" s="1117">
        <f>VLOOKUP($E189,DG$442:DJ$453,4,FALSE)*DG189*($K189)+(DG189-DH189-DI189)*(1-$K189)</f>
        <v>0</v>
      </c>
      <c r="DK189" s="1073"/>
      <c r="DN189" s="1161">
        <f>VLOOKUP($A189,'New Resources - Group'!$A$4:$Y$133,DN$2,FALSE)*DN$1</f>
        <v>0</v>
      </c>
      <c r="DO189" s="1116">
        <f>$G189+DN189</f>
        <v>3782274</v>
      </c>
      <c r="DP189" s="1117">
        <f>VLOOKUP($E189,DO$442:DR$453,2,FALSE)*DO189*($K189)+IF($G189&lt;&gt;0,($H189/$G189)*DO189,0)*(1-$K189)</f>
        <v>3782274</v>
      </c>
      <c r="DQ189" s="1117">
        <f>VLOOKUP($E189,DO$442:DR$453,3,FALSE)*DO189*($K189)+IF($G189&lt;&gt;0,($I189/$G189)*DO189,0)*(1-$K189)</f>
        <v>0</v>
      </c>
      <c r="DR189" s="1117">
        <f>VLOOKUP($E189,DO$442:DR$453,4,FALSE)*DO189*($K189)+(DO189-DP189-DQ189)*(1-$K189)</f>
        <v>0</v>
      </c>
      <c r="DS189" s="1073"/>
      <c r="DV189" s="1161">
        <f>VLOOKUP($A189,'New Resources - Group'!$A$4:$Y$133,DV$2,FALSE)*DV$1</f>
        <v>0</v>
      </c>
      <c r="DW189" s="1116">
        <f>$G189+DV189</f>
        <v>3782274</v>
      </c>
      <c r="DX189" s="1117">
        <f>VLOOKUP($E189,DW$442:DZ$453,2,FALSE)*DW189*($K189)+IF($G189&lt;&gt;0,($H189/$G189)*DW189,0)*(1-$K189)</f>
        <v>3782274</v>
      </c>
      <c r="DY189" s="1117">
        <f>VLOOKUP($E189,DW$442:DZ$453,3,FALSE)*DW189*($K189)+IF($G189&lt;&gt;0,($I189/$G189)*DW189,0)*(1-$K189)</f>
        <v>0</v>
      </c>
      <c r="DZ189" s="1117">
        <f>VLOOKUP($E189,DW$442:DZ$453,4,FALSE)*DW189*($K189)+(DW189-DX189-DY189)*(1-$K189)</f>
        <v>0</v>
      </c>
      <c r="EA189" s="1073"/>
      <c r="ED189" s="1161">
        <f>VLOOKUP($A189,'New Resources - Group'!$A$4:$Y$133,ED$2,FALSE)*ED$1</f>
        <v>0</v>
      </c>
      <c r="EE189" s="1116">
        <f>$G189+ED189</f>
        <v>3782274</v>
      </c>
      <c r="EF189" s="1117">
        <f>VLOOKUP($E189,EE$442:EH$453,2,FALSE)*EE189*($K189)+IF($G189&lt;&gt;0,($H189/$G189)*EE189,0)*(1-$K189)</f>
        <v>3782274</v>
      </c>
      <c r="EG189" s="1117">
        <f>VLOOKUP($E189,EE$442:EH$453,3,FALSE)*EE189*($K189)+IF($G189&lt;&gt;0,($I189/$G189)*EE189,0)*(1-$K189)</f>
        <v>0</v>
      </c>
      <c r="EH189" s="1117">
        <f>VLOOKUP($E189,EE$442:EH$453,4,FALSE)*EE189*($K189)+(EE189-EF189-EG189)*(1-$K189)</f>
        <v>0</v>
      </c>
      <c r="EI189" s="1073"/>
      <c r="EL189" s="1161">
        <f>VLOOKUP($A189,'New Resources - Group'!$A$4:$Y$133,EL$2,FALSE)*EL$1</f>
        <v>0</v>
      </c>
      <c r="EM189" s="1116">
        <f>$G189+EL189</f>
        <v>3782274</v>
      </c>
      <c r="EN189" s="1117">
        <f>VLOOKUP($E189,EM$442:EP$453,2,FALSE)*EM189*($K189)+IF($G189&lt;&gt;0,($H189/$G189)*EM189,0)*(1-$K189)</f>
        <v>3782274</v>
      </c>
      <c r="EO189" s="1117">
        <f>VLOOKUP($E189,EM$442:EP$453,3,FALSE)*EM189*($K189)+IF($G189&lt;&gt;0,($I189/$G189)*EM189,0)*(1-$K189)</f>
        <v>0</v>
      </c>
      <c r="EP189" s="1117">
        <f>VLOOKUP($E189,EM$442:EP$453,4,FALSE)*EM189*($K189)+(EM189-EN189-EO189)*(1-$K189)</f>
        <v>0</v>
      </c>
      <c r="EQ189" s="1073"/>
      <c r="ET189" s="1161">
        <f>VLOOKUP($A189,'New Resources - Group'!$A$4:$Y$133,ET$2,FALSE)*ET$1</f>
        <v>0</v>
      </c>
      <c r="EU189" s="1116">
        <f>$G189+ET189</f>
        <v>3782274</v>
      </c>
      <c r="EV189" s="1117">
        <f>VLOOKUP($E189,EU$442:EX$453,2,FALSE)*EU189*($K189)+IF($G189&lt;&gt;0,($H189/$G189)*EU189,0)*(1-$K189)</f>
        <v>3782274</v>
      </c>
      <c r="EW189" s="1117">
        <f>VLOOKUP($E189,EU$442:EX$453,3,FALSE)*EU189*($K189)+IF($G189&lt;&gt;0,($I189/$G189)*EU189,0)*(1-$K189)</f>
        <v>0</v>
      </c>
      <c r="EX189" s="1117">
        <f>VLOOKUP($E189,EU$442:EX$453,4,FALSE)*EU189*($K189)+(EU189-EV189-EW189)*(1-$K189)</f>
        <v>0</v>
      </c>
      <c r="EY189" s="1073"/>
      <c r="FB189" s="1161">
        <f>VLOOKUP($A189,'New Resources - Group'!$A$4:$Y$133,FB$2,FALSE)*FB$1</f>
        <v>0</v>
      </c>
      <c r="FC189" s="1116">
        <f>$G189+FB189</f>
        <v>3782274</v>
      </c>
      <c r="FD189" s="1117">
        <f>VLOOKUP($E189,FC$442:FF$453,2,FALSE)*FC189*($K189)+IF($G189&lt;&gt;0,($H189/$G189)*FC189,0)*(1-$K189)</f>
        <v>3782274</v>
      </c>
      <c r="FE189" s="1117">
        <f>VLOOKUP($E189,FC$442:FF$453,3,FALSE)*FC189*($K189)+IF($G189&lt;&gt;0,($I189/$G189)*FC189,0)*(1-$K189)</f>
        <v>0</v>
      </c>
      <c r="FF189" s="1117">
        <f>VLOOKUP($E189,FC$442:FF$453,4,FALSE)*FC189*($K189)+(FC189-FD189-FE189)*(1-$K189)</f>
        <v>0</v>
      </c>
      <c r="FG189" s="1073"/>
      <c r="FJ189" s="1161">
        <f>VLOOKUP($A189,'New Resources - Group'!$A$4:$Y$133,FJ$2,FALSE)*FJ$1</f>
        <v>0</v>
      </c>
      <c r="FK189" s="1116">
        <f>$G189+FJ189</f>
        <v>3782274</v>
      </c>
      <c r="FL189" s="1117">
        <f>VLOOKUP($E189,FK$442:FN$453,2,FALSE)*FK189*($K189)+IF($G189&lt;&gt;0,($H189/$G189)*FK189,0)*(1-$K189)</f>
        <v>3782274</v>
      </c>
      <c r="FM189" s="1117">
        <f>VLOOKUP($E189,FK$442:FN$453,3,FALSE)*FK189*($K189)+IF($G189&lt;&gt;0,($I189/$G189)*FK189,0)*(1-$K189)</f>
        <v>0</v>
      </c>
      <c r="FN189" s="1117">
        <f>VLOOKUP($E189,FK$442:FN$453,4,FALSE)*FK189*($K189)+(FK189-FL189-FM189)*(1-$K189)</f>
        <v>0</v>
      </c>
      <c r="FO189" s="1073"/>
    </row>
    <row r="190" spans="1:171">
      <c r="A190" s="1468"/>
      <c r="B190" s="990" t="s">
        <v>458</v>
      </c>
      <c r="C190" s="55"/>
      <c r="D190" s="55"/>
      <c r="E190" s="196"/>
      <c r="F190" s="196"/>
      <c r="G190" s="68"/>
      <c r="H190" s="68"/>
      <c r="I190" s="68"/>
      <c r="J190" s="1467"/>
      <c r="K190" s="903"/>
      <c r="S190" s="1073"/>
      <c r="AA190" s="1073"/>
      <c r="AI190" s="1073"/>
      <c r="AQ190" s="1073"/>
      <c r="AY190" s="1073"/>
      <c r="BG190" s="1073"/>
      <c r="BO190" s="1073"/>
      <c r="BW190" s="1073"/>
      <c r="CE190" s="1073"/>
      <c r="CM190" s="1073"/>
      <c r="CU190" s="1073"/>
      <c r="DC190" s="1073"/>
      <c r="DK190" s="1073"/>
      <c r="DS190" s="1073"/>
      <c r="EA190" s="1073"/>
      <c r="EI190" s="1073"/>
      <c r="EQ190" s="1073"/>
      <c r="EY190" s="1073"/>
      <c r="FG190" s="1073"/>
      <c r="FO190" s="1073"/>
    </row>
    <row r="191" spans="1:171">
      <c r="B191" s="220" t="s">
        <v>266</v>
      </c>
      <c r="C191" s="888" t="s">
        <v>72</v>
      </c>
      <c r="D191" s="888">
        <v>555</v>
      </c>
      <c r="E191" s="182" t="str">
        <f>'Sch 3 - Expenses'!E31</f>
        <v>PROD</v>
      </c>
      <c r="F191" s="889"/>
      <c r="G191" s="182">
        <f>'Sch 3 - Expenses'!G31</f>
        <v>216427715</v>
      </c>
      <c r="H191" s="182">
        <f>'Sch 3 - Expenses'!H31</f>
        <v>216427715</v>
      </c>
      <c r="I191" s="182">
        <f>'Sch 3 - Expenses'!I31</f>
        <v>0</v>
      </c>
      <c r="J191" s="1424">
        <f>'Sch 3 - Expenses'!J31</f>
        <v>0</v>
      </c>
      <c r="K191" s="903">
        <f t="shared" si="547"/>
        <v>1</v>
      </c>
      <c r="O191" s="1145">
        <f>O465</f>
        <v>216427715</v>
      </c>
      <c r="P191" s="1117">
        <f>VLOOKUP($E191,O$442:R$453,2,FALSE)*O191*($K191)+IF($G191&lt;&gt;0,($H191/$G191)*O191,0)*(1-$K191)</f>
        <v>216427715</v>
      </c>
      <c r="Q191" s="1117">
        <f>VLOOKUP($E191,O$442:R$453,3,FALSE)*O191*($K191)+IF($G191&lt;&gt;0,($I191/$G191)*O191,0)*(1-$K191)</f>
        <v>0</v>
      </c>
      <c r="R191" s="1117">
        <f>VLOOKUP($E191,O$442:R$453,4,FALSE)*O191*($K191)+(O191-P191-Q191)*(1-$K191)</f>
        <v>0</v>
      </c>
      <c r="S191" s="1073"/>
      <c r="W191" s="1145">
        <f>W465</f>
        <v>216427715</v>
      </c>
      <c r="X191" s="1117">
        <f>VLOOKUP($E191,W$442:Z$453,2,FALSE)*W191*($K191)+IF($G191&lt;&gt;0,($H191/$G191)*W191,0)*(1-$K191)</f>
        <v>216427715</v>
      </c>
      <c r="Y191" s="1117">
        <f>VLOOKUP($E191,W$442:Z$453,3,FALSE)*W191*($K191)+IF($G191&lt;&gt;0,($I191/$G191)*W191,0)*(1-$K191)</f>
        <v>0</v>
      </c>
      <c r="Z191" s="1117">
        <f>VLOOKUP($E191,W$442:Z$453,4,FALSE)*W191*($K191)+(W191-X191-Y191)*(1-$K191)</f>
        <v>0</v>
      </c>
      <c r="AA191" s="1073"/>
      <c r="AE191" s="1145">
        <f>AE465</f>
        <v>216427715</v>
      </c>
      <c r="AF191" s="1117">
        <f>VLOOKUP($E191,AE$442:AH$453,2,FALSE)*AE191*($K191)+IF($G191&lt;&gt;0,($H191/$G191)*AE191,0)*(1-$K191)</f>
        <v>216427715</v>
      </c>
      <c r="AG191" s="1117">
        <f>VLOOKUP($E191,AE$442:AH$453,3,FALSE)*AE191*($K191)+IF($G191&lt;&gt;0,($I191/$G191)*AE191,0)*(1-$K191)</f>
        <v>0</v>
      </c>
      <c r="AH191" s="1117">
        <f>VLOOKUP($E191,AE$442:AH$453,4,FALSE)*AE191*($K191)+(AE191-AF191-AG191)*(1-$K191)</f>
        <v>0</v>
      </c>
      <c r="AI191" s="1073"/>
      <c r="AM191" s="1145">
        <f>AM465</f>
        <v>216427715</v>
      </c>
      <c r="AN191" s="1117">
        <f>VLOOKUP($E191,AM$442:AP$453,2,FALSE)*AM191*($K191)+IF($G191&lt;&gt;0,($H191/$G191)*AM191,0)*(1-$K191)</f>
        <v>216427715</v>
      </c>
      <c r="AO191" s="1117">
        <f>VLOOKUP($E191,AM$442:AP$453,3,FALSE)*AM191*($K191)+IF($G191&lt;&gt;0,($I191/$G191)*AM191,0)*(1-$K191)</f>
        <v>0</v>
      </c>
      <c r="AP191" s="1117">
        <f>VLOOKUP($E191,AM$442:AP$453,4,FALSE)*AM191*($K191)+(AM191-AN191-AO191)*(1-$K191)</f>
        <v>0</v>
      </c>
      <c r="AQ191" s="1073"/>
      <c r="AU191" s="1145">
        <f>AU465</f>
        <v>216427715</v>
      </c>
      <c r="AV191" s="1117">
        <f>VLOOKUP($E191,AU$442:AX$453,2,FALSE)*AU191*($K191)+IF($G191&lt;&gt;0,($H191/$G191)*AU191,0)*(1-$K191)</f>
        <v>216427715</v>
      </c>
      <c r="AW191" s="1117">
        <f>VLOOKUP($E191,AU$442:AX$453,3,FALSE)*AU191*($K191)+IF($G191&lt;&gt;0,($I191/$G191)*AU191,0)*(1-$K191)</f>
        <v>0</v>
      </c>
      <c r="AX191" s="1117">
        <f>VLOOKUP($E191,AU$442:AX$453,4,FALSE)*AU191*($K191)+(AU191-AV191-AW191)*(1-$K191)</f>
        <v>0</v>
      </c>
      <c r="AY191" s="1073"/>
      <c r="BC191" s="1145">
        <f>BC465</f>
        <v>216427715</v>
      </c>
      <c r="BD191" s="1117">
        <f>VLOOKUP($E191,BC$442:BF$453,2,FALSE)*BC191*($K191)+IF($G191&lt;&gt;0,($H191/$G191)*BC191,0)*(1-$K191)</f>
        <v>216427715</v>
      </c>
      <c r="BE191" s="1117">
        <f>VLOOKUP($E191,BC$442:BF$453,3,FALSE)*BC191*($K191)+IF($G191&lt;&gt;0,($I191/$G191)*BC191,0)*(1-$K191)</f>
        <v>0</v>
      </c>
      <c r="BF191" s="1117">
        <f>VLOOKUP($E191,BC$442:BF$453,4,FALSE)*BC191*($K191)+(BC191-BD191-BE191)*(1-$K191)</f>
        <v>0</v>
      </c>
      <c r="BG191" s="1073"/>
      <c r="BK191" s="1145">
        <f>BK465</f>
        <v>216427715</v>
      </c>
      <c r="BL191" s="1117">
        <f>VLOOKUP($E191,BK$442:BN$453,2,FALSE)*BK191*($K191)+IF($G191&lt;&gt;0,($H191/$G191)*BK191,0)*(1-$K191)</f>
        <v>216427715</v>
      </c>
      <c r="BM191" s="1117">
        <f>VLOOKUP($E191,BK$442:BN$453,3,FALSE)*BK191*($K191)+IF($G191&lt;&gt;0,($I191/$G191)*BK191,0)*(1-$K191)</f>
        <v>0</v>
      </c>
      <c r="BN191" s="1117">
        <f>VLOOKUP($E191,BK$442:BN$453,4,FALSE)*BK191*($K191)+(BK191-BL191-BM191)*(1-$K191)</f>
        <v>0</v>
      </c>
      <c r="BO191" s="1073"/>
      <c r="BS191" s="1145">
        <f>BS465</f>
        <v>216427715</v>
      </c>
      <c r="BT191" s="1117">
        <f>VLOOKUP($E191,BS$442:BV$453,2,FALSE)*BS191*($K191)+IF($G191&lt;&gt;0,($H191/$G191)*BS191,0)*(1-$K191)</f>
        <v>216427715</v>
      </c>
      <c r="BU191" s="1117">
        <f>VLOOKUP($E191,BS$442:BV$453,3,FALSE)*BS191*($K191)+IF($G191&lt;&gt;0,($I191/$G191)*BS191,0)*(1-$K191)</f>
        <v>0</v>
      </c>
      <c r="BV191" s="1117">
        <f>VLOOKUP($E191,BS$442:BV$453,4,FALSE)*BS191*($K191)+(BS191-BT191-BU191)*(1-$K191)</f>
        <v>0</v>
      </c>
      <c r="BW191" s="1073"/>
      <c r="CA191" s="1145">
        <f>CA465</f>
        <v>216427715</v>
      </c>
      <c r="CB191" s="1117">
        <f>VLOOKUP($E191,CA$442:CD$453,2,FALSE)*CA191*($K191)+IF($G191&lt;&gt;0,($H191/$G191)*CA191,0)*(1-$K191)</f>
        <v>216427715</v>
      </c>
      <c r="CC191" s="1117">
        <f>VLOOKUP($E191,CA$442:CD$453,3,FALSE)*CA191*($K191)+IF($G191&lt;&gt;0,($I191/$G191)*CA191,0)*(1-$K191)</f>
        <v>0</v>
      </c>
      <c r="CD191" s="1117">
        <f>VLOOKUP($E191,CA$442:CD$453,4,FALSE)*CA191*($K191)+(CA191-CB191-CC191)*(1-$K191)</f>
        <v>0</v>
      </c>
      <c r="CE191" s="1073"/>
      <c r="CI191" s="1145">
        <f>CI465</f>
        <v>216427715</v>
      </c>
      <c r="CJ191" s="1117">
        <f>VLOOKUP($E191,CI$442:CL$453,2,FALSE)*CI191*($K191)+IF($G191&lt;&gt;0,($H191/$G191)*CI191,0)*(1-$K191)</f>
        <v>216427715</v>
      </c>
      <c r="CK191" s="1117">
        <f>VLOOKUP($E191,CI$442:CL$453,3,FALSE)*CI191*($K191)+IF($G191&lt;&gt;0,($I191/$G191)*CI191,0)*(1-$K191)</f>
        <v>0</v>
      </c>
      <c r="CL191" s="1117">
        <f>VLOOKUP($E191,CI$442:CL$453,4,FALSE)*CI191*($K191)+(CI191-CJ191-CK191)*(1-$K191)</f>
        <v>0</v>
      </c>
      <c r="CM191" s="1073"/>
      <c r="CQ191" s="1145">
        <f>CQ465</f>
        <v>216427715</v>
      </c>
      <c r="CR191" s="1117">
        <f>VLOOKUP($E191,CQ$442:CT$453,2,FALSE)*CQ191*($K191)+IF($G191&lt;&gt;0,($H191/$G191)*CQ191,0)*(1-$K191)</f>
        <v>216427715</v>
      </c>
      <c r="CS191" s="1117">
        <f>VLOOKUP($E191,CQ$442:CT$453,3,FALSE)*CQ191*($K191)+IF($G191&lt;&gt;0,($I191/$G191)*CQ191,0)*(1-$K191)</f>
        <v>0</v>
      </c>
      <c r="CT191" s="1117">
        <f>VLOOKUP($E191,CQ$442:CT$453,4,FALSE)*CQ191*($K191)+(CQ191-CR191-CS191)*(1-$K191)</f>
        <v>0</v>
      </c>
      <c r="CU191" s="1073"/>
      <c r="CY191" s="1145">
        <f>CY465</f>
        <v>216427715</v>
      </c>
      <c r="CZ191" s="1117">
        <f>VLOOKUP($E191,CY$442:DB$453,2,FALSE)*CY191*($K191)+IF($G191&lt;&gt;0,($H191/$G191)*CY191,0)*(1-$K191)</f>
        <v>216427715</v>
      </c>
      <c r="DA191" s="1117">
        <f>VLOOKUP($E191,CY$442:DB$453,3,FALSE)*CY191*($K191)+IF($G191&lt;&gt;0,($I191/$G191)*CY191,0)*(1-$K191)</f>
        <v>0</v>
      </c>
      <c r="DB191" s="1117">
        <f>VLOOKUP($E191,CY$442:DB$453,4,FALSE)*CY191*($K191)+(CY191-CZ191-DA191)*(1-$K191)</f>
        <v>0</v>
      </c>
      <c r="DC191" s="1073"/>
      <c r="DG191" s="1145">
        <f>DG465</f>
        <v>216427715</v>
      </c>
      <c r="DH191" s="1117">
        <f>VLOOKUP($E191,DG$442:DJ$453,2,FALSE)*DG191*($K191)+IF($G191&lt;&gt;0,($H191/$G191)*DG191,0)*(1-$K191)</f>
        <v>216427715</v>
      </c>
      <c r="DI191" s="1117">
        <f>VLOOKUP($E191,DG$442:DJ$453,3,FALSE)*DG191*($K191)+IF($G191&lt;&gt;0,($I191/$G191)*DG191,0)*(1-$K191)</f>
        <v>0</v>
      </c>
      <c r="DJ191" s="1117">
        <f>VLOOKUP($E191,DG$442:DJ$453,4,FALSE)*DG191*($K191)+(DG191-DH191-DI191)*(1-$K191)</f>
        <v>0</v>
      </c>
      <c r="DK191" s="1073"/>
      <c r="DO191" s="1145">
        <f>DO465</f>
        <v>216427715</v>
      </c>
      <c r="DP191" s="1117">
        <f>VLOOKUP($E191,DO$442:DR$453,2,FALSE)*DO191*($K191)+IF($G191&lt;&gt;0,($H191/$G191)*DO191,0)*(1-$K191)</f>
        <v>216427715</v>
      </c>
      <c r="DQ191" s="1117">
        <f>VLOOKUP($E191,DO$442:DR$453,3,FALSE)*DO191*($K191)+IF($G191&lt;&gt;0,($I191/$G191)*DO191,0)*(1-$K191)</f>
        <v>0</v>
      </c>
      <c r="DR191" s="1117">
        <f>VLOOKUP($E191,DO$442:DR$453,4,FALSE)*DO191*($K191)+(DO191-DP191-DQ191)*(1-$K191)</f>
        <v>0</v>
      </c>
      <c r="DS191" s="1073"/>
      <c r="DW191" s="1145">
        <f>DW465</f>
        <v>216427715</v>
      </c>
      <c r="DX191" s="1117">
        <f>VLOOKUP($E191,DW$442:DZ$453,2,FALSE)*DW191*($K191)+IF($G191&lt;&gt;0,($H191/$G191)*DW191,0)*(1-$K191)</f>
        <v>216427715</v>
      </c>
      <c r="DY191" s="1117">
        <f>VLOOKUP($E191,DW$442:DZ$453,3,FALSE)*DW191*($K191)+IF($G191&lt;&gt;0,($I191/$G191)*DW191,0)*(1-$K191)</f>
        <v>0</v>
      </c>
      <c r="DZ191" s="1117">
        <f>VLOOKUP($E191,DW$442:DZ$453,4,FALSE)*DW191*($K191)+(DW191-DX191-DY191)*(1-$K191)</f>
        <v>0</v>
      </c>
      <c r="EA191" s="1073"/>
      <c r="EE191" s="1145">
        <f>EE465</f>
        <v>216427715</v>
      </c>
      <c r="EF191" s="1117">
        <f>VLOOKUP($E191,EE$442:EH$453,2,FALSE)*EE191*($K191)+IF($G191&lt;&gt;0,($H191/$G191)*EE191,0)*(1-$K191)</f>
        <v>216427715</v>
      </c>
      <c r="EG191" s="1117">
        <f>VLOOKUP($E191,EE$442:EH$453,3,FALSE)*EE191*($K191)+IF($G191&lt;&gt;0,($I191/$G191)*EE191,0)*(1-$K191)</f>
        <v>0</v>
      </c>
      <c r="EH191" s="1117">
        <f>VLOOKUP($E191,EE$442:EH$453,4,FALSE)*EE191*($K191)+(EE191-EF191-EG191)*(1-$K191)</f>
        <v>0</v>
      </c>
      <c r="EI191" s="1073"/>
      <c r="EM191" s="1145">
        <f>EM465</f>
        <v>216427715</v>
      </c>
      <c r="EN191" s="1117">
        <f>VLOOKUP($E191,EM$442:EP$453,2,FALSE)*EM191*($K191)+IF($G191&lt;&gt;0,($H191/$G191)*EM191,0)*(1-$K191)</f>
        <v>216427715</v>
      </c>
      <c r="EO191" s="1117">
        <f>VLOOKUP($E191,EM$442:EP$453,3,FALSE)*EM191*($K191)+IF($G191&lt;&gt;0,($I191/$G191)*EM191,0)*(1-$K191)</f>
        <v>0</v>
      </c>
      <c r="EP191" s="1117">
        <f>VLOOKUP($E191,EM$442:EP$453,4,FALSE)*EM191*($K191)+(EM191-EN191-EO191)*(1-$K191)</f>
        <v>0</v>
      </c>
      <c r="EQ191" s="1073"/>
      <c r="EU191" s="1145">
        <f>EU465</f>
        <v>216427715</v>
      </c>
      <c r="EV191" s="1117">
        <f>VLOOKUP($E191,EU$442:EX$453,2,FALSE)*EU191*($K191)+IF($G191&lt;&gt;0,($H191/$G191)*EU191,0)*(1-$K191)</f>
        <v>216427715</v>
      </c>
      <c r="EW191" s="1117">
        <f>VLOOKUP($E191,EU$442:EX$453,3,FALSE)*EU191*($K191)+IF($G191&lt;&gt;0,($I191/$G191)*EU191,0)*(1-$K191)</f>
        <v>0</v>
      </c>
      <c r="EX191" s="1117">
        <f>VLOOKUP($E191,EU$442:EX$453,4,FALSE)*EU191*($K191)+(EU191-EV191-EW191)*(1-$K191)</f>
        <v>0</v>
      </c>
      <c r="EY191" s="1073"/>
      <c r="FC191" s="1145">
        <f>FC465</f>
        <v>216427715</v>
      </c>
      <c r="FD191" s="1117">
        <f>VLOOKUP($E191,FC$442:FF$453,2,FALSE)*FC191*($K191)+IF($G191&lt;&gt;0,($H191/$G191)*FC191,0)*(1-$K191)</f>
        <v>216427715</v>
      </c>
      <c r="FE191" s="1117">
        <f>VLOOKUP($E191,FC$442:FF$453,3,FALSE)*FC191*($K191)+IF($G191&lt;&gt;0,($I191/$G191)*FC191,0)*(1-$K191)</f>
        <v>0</v>
      </c>
      <c r="FF191" s="1117">
        <f>VLOOKUP($E191,FC$442:FF$453,4,FALSE)*FC191*($K191)+(FC191-FD191-FE191)*(1-$K191)</f>
        <v>0</v>
      </c>
      <c r="FG191" s="1073"/>
      <c r="FK191" s="1145">
        <f>FK465</f>
        <v>216427715</v>
      </c>
      <c r="FL191" s="1117">
        <f>VLOOKUP($E191,FK$442:FN$453,2,FALSE)*FK191*($K191)+IF($G191&lt;&gt;0,($H191/$G191)*FK191,0)*(1-$K191)</f>
        <v>216427715</v>
      </c>
      <c r="FM191" s="1117">
        <f>VLOOKUP($E191,FK$442:FN$453,3,FALSE)*FK191*($K191)+IF($G191&lt;&gt;0,($I191/$G191)*FK191,0)*(1-$K191)</f>
        <v>0</v>
      </c>
      <c r="FN191" s="1117">
        <f>VLOOKUP($E191,FK$442:FN$453,4,FALSE)*FK191*($K191)+(FK191-FL191-FM191)*(1-$K191)</f>
        <v>0</v>
      </c>
      <c r="FO191" s="1073"/>
    </row>
    <row r="192" spans="1:171">
      <c r="A192" s="1444">
        <v>810</v>
      </c>
      <c r="B192" s="913" t="s">
        <v>459</v>
      </c>
      <c r="C192" s="888" t="s">
        <v>72</v>
      </c>
      <c r="D192" s="888">
        <v>556</v>
      </c>
      <c r="E192" s="182" t="str">
        <f>'Sch 3 - Expenses'!E32</f>
        <v>PROD</v>
      </c>
      <c r="F192" s="889"/>
      <c r="G192" s="182">
        <f>'Sch 3 - Expenses'!G32</f>
        <v>764664</v>
      </c>
      <c r="H192" s="182">
        <f>'Sch 3 - Expenses'!H32</f>
        <v>764664</v>
      </c>
      <c r="I192" s="182">
        <f>'Sch 3 - Expenses'!I32</f>
        <v>0</v>
      </c>
      <c r="J192" s="1424">
        <f>'Sch 3 - Expenses'!J32</f>
        <v>0</v>
      </c>
      <c r="K192" s="903">
        <f t="shared" si="547"/>
        <v>1</v>
      </c>
      <c r="N192" s="1161">
        <f>VLOOKUP($A192,'New Resources - Group'!$A$4:$Y$133,N$2,FALSE)*N$1</f>
        <v>0</v>
      </c>
      <c r="O192" s="1116">
        <f>$G192+N192</f>
        <v>764664</v>
      </c>
      <c r="P192" s="1117">
        <f>VLOOKUP($E192,O$442:R$453,2,FALSE)*O192*($K192)+IF($G192&lt;&gt;0,($H192/$G192)*O192,0)*(1-$K192)</f>
        <v>764664</v>
      </c>
      <c r="Q192" s="1117">
        <f>VLOOKUP($E192,O$442:R$453,3,FALSE)*O192*($K192)+IF($G192&lt;&gt;0,($I192/$G192)*O192,0)*(1-$K192)</f>
        <v>0</v>
      </c>
      <c r="R192" s="1117">
        <f>VLOOKUP($E192,O$442:R$453,4,FALSE)*O192*($K192)+(O192-P192-Q192)*(1-$K192)</f>
        <v>0</v>
      </c>
      <c r="S192" s="1073"/>
      <c r="V192" s="1161">
        <f>VLOOKUP($A192,'New Resources - Group'!$A$4:$Y$133,V$2,FALSE)*V$1</f>
        <v>0</v>
      </c>
      <c r="W192" s="1116">
        <f>$G192+V192</f>
        <v>764664</v>
      </c>
      <c r="X192" s="1117">
        <f>VLOOKUP($E192,W$442:Z$453,2,FALSE)*W192*($K192)+IF($G192&lt;&gt;0,($H192/$G192)*W192,0)*(1-$K192)</f>
        <v>764664</v>
      </c>
      <c r="Y192" s="1117">
        <f>VLOOKUP($E192,W$442:Z$453,3,FALSE)*W192*($K192)+IF($G192&lt;&gt;0,($I192/$G192)*W192,0)*(1-$K192)</f>
        <v>0</v>
      </c>
      <c r="Z192" s="1117">
        <f>VLOOKUP($E192,W$442:Z$453,4,FALSE)*W192*($K192)+(W192-X192-Y192)*(1-$K192)</f>
        <v>0</v>
      </c>
      <c r="AA192" s="1073"/>
      <c r="AD192" s="1161">
        <f>VLOOKUP($A192,'New Resources - Group'!$A$4:$Y$133,AD$2,FALSE)*AD$1</f>
        <v>0</v>
      </c>
      <c r="AE192" s="1116">
        <f>$G192+AD192</f>
        <v>764664</v>
      </c>
      <c r="AF192" s="1117">
        <f>VLOOKUP($E192,AE$442:AH$453,2,FALSE)*AE192*($K192)+IF($G192&lt;&gt;0,($H192/$G192)*AE192,0)*(1-$K192)</f>
        <v>764664</v>
      </c>
      <c r="AG192" s="1117">
        <f>VLOOKUP($E192,AE$442:AH$453,3,FALSE)*AE192*($K192)+IF($G192&lt;&gt;0,($I192/$G192)*AE192,0)*(1-$K192)</f>
        <v>0</v>
      </c>
      <c r="AH192" s="1117">
        <f>VLOOKUP($E192,AE$442:AH$453,4,FALSE)*AE192*($K192)+(AE192-AF192-AG192)*(1-$K192)</f>
        <v>0</v>
      </c>
      <c r="AI192" s="1073"/>
      <c r="AL192" s="1161">
        <f>VLOOKUP($A192,'New Resources - Group'!$A$4:$Y$133,AL$2,FALSE)*AL$1</f>
        <v>0</v>
      </c>
      <c r="AM192" s="1116">
        <f>$G192+AL192</f>
        <v>764664</v>
      </c>
      <c r="AN192" s="1117">
        <f>VLOOKUP($E192,AM$442:AP$453,2,FALSE)*AM192*($K192)+IF($G192&lt;&gt;0,($H192/$G192)*AM192,0)*(1-$K192)</f>
        <v>764664</v>
      </c>
      <c r="AO192" s="1117">
        <f>VLOOKUP($E192,AM$442:AP$453,3,FALSE)*AM192*($K192)+IF($G192&lt;&gt;0,($I192/$G192)*AM192,0)*(1-$K192)</f>
        <v>0</v>
      </c>
      <c r="AP192" s="1117">
        <f>VLOOKUP($E192,AM$442:AP$453,4,FALSE)*AM192*($K192)+(AM192-AN192-AO192)*(1-$K192)</f>
        <v>0</v>
      </c>
      <c r="AQ192" s="1073"/>
      <c r="AT192" s="1161">
        <f>VLOOKUP($A192,'New Resources - Group'!$A$4:$Y$133,AT$2,FALSE)*AT$1</f>
        <v>0</v>
      </c>
      <c r="AU192" s="1116">
        <f>$G192+AT192</f>
        <v>764664</v>
      </c>
      <c r="AV192" s="1117">
        <f>VLOOKUP($E192,AU$442:AX$453,2,FALSE)*AU192*($K192)+IF($G192&lt;&gt;0,($H192/$G192)*AU192,0)*(1-$K192)</f>
        <v>764664</v>
      </c>
      <c r="AW192" s="1117">
        <f>VLOOKUP($E192,AU$442:AX$453,3,FALSE)*AU192*($K192)+IF($G192&lt;&gt;0,($I192/$G192)*AU192,0)*(1-$K192)</f>
        <v>0</v>
      </c>
      <c r="AX192" s="1117">
        <f>VLOOKUP($E192,AU$442:AX$453,4,FALSE)*AU192*($K192)+(AU192-AV192-AW192)*(1-$K192)</f>
        <v>0</v>
      </c>
      <c r="AY192" s="1073"/>
      <c r="BB192" s="1161">
        <f>VLOOKUP($A192,'New Resources - Group'!$A$4:$Y$133,BB$2,FALSE)*BB$1</f>
        <v>0</v>
      </c>
      <c r="BC192" s="1116">
        <f>$G192+BB192</f>
        <v>764664</v>
      </c>
      <c r="BD192" s="1117">
        <f>VLOOKUP($E192,BC$442:BF$453,2,FALSE)*BC192*($K192)+IF($G192&lt;&gt;0,($H192/$G192)*BC192,0)*(1-$K192)</f>
        <v>764664</v>
      </c>
      <c r="BE192" s="1117">
        <f>VLOOKUP($E192,BC$442:BF$453,3,FALSE)*BC192*($K192)+IF($G192&lt;&gt;0,($I192/$G192)*BC192,0)*(1-$K192)</f>
        <v>0</v>
      </c>
      <c r="BF192" s="1117">
        <f>VLOOKUP($E192,BC$442:BF$453,4,FALSE)*BC192*($K192)+(BC192-BD192-BE192)*(1-$K192)</f>
        <v>0</v>
      </c>
      <c r="BG192" s="1073"/>
      <c r="BJ192" s="1161">
        <f>VLOOKUP($A192,'New Resources - Group'!$A$4:$Y$133,BJ$2,FALSE)*BJ$1</f>
        <v>0</v>
      </c>
      <c r="BK192" s="1116">
        <f>$G192+BJ192</f>
        <v>764664</v>
      </c>
      <c r="BL192" s="1117">
        <f>VLOOKUP($E192,BK$442:BN$453,2,FALSE)*BK192*($K192)+IF($G192&lt;&gt;0,($H192/$G192)*BK192,0)*(1-$K192)</f>
        <v>764664</v>
      </c>
      <c r="BM192" s="1117">
        <f>VLOOKUP($E192,BK$442:BN$453,3,FALSE)*BK192*($K192)+IF($G192&lt;&gt;0,($I192/$G192)*BK192,0)*(1-$K192)</f>
        <v>0</v>
      </c>
      <c r="BN192" s="1117">
        <f>VLOOKUP($E192,BK$442:BN$453,4,FALSE)*BK192*($K192)+(BK192-BL192-BM192)*(1-$K192)</f>
        <v>0</v>
      </c>
      <c r="BO192" s="1073"/>
      <c r="BR192" s="1161">
        <f>VLOOKUP($A192,'New Resources - Group'!$A$4:$Y$133,BR$2,FALSE)*BR$1</f>
        <v>0</v>
      </c>
      <c r="BS192" s="1116">
        <f>$G192+BR192</f>
        <v>764664</v>
      </c>
      <c r="BT192" s="1117">
        <f>VLOOKUP($E192,BS$442:BV$453,2,FALSE)*BS192*($K192)+IF($G192&lt;&gt;0,($H192/$G192)*BS192,0)*(1-$K192)</f>
        <v>764664</v>
      </c>
      <c r="BU192" s="1117">
        <f>VLOOKUP($E192,BS$442:BV$453,3,FALSE)*BS192*($K192)+IF($G192&lt;&gt;0,($I192/$G192)*BS192,0)*(1-$K192)</f>
        <v>0</v>
      </c>
      <c r="BV192" s="1117">
        <f>VLOOKUP($E192,BS$442:BV$453,4,FALSE)*BS192*($K192)+(BS192-BT192-BU192)*(1-$K192)</f>
        <v>0</v>
      </c>
      <c r="BW192" s="1073"/>
      <c r="BZ192" s="1161">
        <f>VLOOKUP($A192,'New Resources - Group'!$A$4:$Y$133,BZ$2,FALSE)*BZ$1</f>
        <v>0</v>
      </c>
      <c r="CA192" s="1116">
        <f>$G192+BZ192</f>
        <v>764664</v>
      </c>
      <c r="CB192" s="1117">
        <f>VLOOKUP($E192,CA$442:CD$453,2,FALSE)*CA192*($K192)+IF($G192&lt;&gt;0,($H192/$G192)*CA192,0)*(1-$K192)</f>
        <v>764664</v>
      </c>
      <c r="CC192" s="1117">
        <f>VLOOKUP($E192,CA$442:CD$453,3,FALSE)*CA192*($K192)+IF($G192&lt;&gt;0,($I192/$G192)*CA192,0)*(1-$K192)</f>
        <v>0</v>
      </c>
      <c r="CD192" s="1117">
        <f>VLOOKUP($E192,CA$442:CD$453,4,FALSE)*CA192*($K192)+(CA192-CB192-CC192)*(1-$K192)</f>
        <v>0</v>
      </c>
      <c r="CE192" s="1073"/>
      <c r="CH192" s="1161">
        <f>VLOOKUP($A192,'New Resources - Group'!$A$4:$Y$133,CH$2,FALSE)*CH$1</f>
        <v>0</v>
      </c>
      <c r="CI192" s="1116">
        <f>$G192+CH192</f>
        <v>764664</v>
      </c>
      <c r="CJ192" s="1117">
        <f>VLOOKUP($E192,CI$442:CL$453,2,FALSE)*CI192*($K192)+IF($G192&lt;&gt;0,($H192/$G192)*CI192,0)*(1-$K192)</f>
        <v>764664</v>
      </c>
      <c r="CK192" s="1117">
        <f>VLOOKUP($E192,CI$442:CL$453,3,FALSE)*CI192*($K192)+IF($G192&lt;&gt;0,($I192/$G192)*CI192,0)*(1-$K192)</f>
        <v>0</v>
      </c>
      <c r="CL192" s="1117">
        <f>VLOOKUP($E192,CI$442:CL$453,4,FALSE)*CI192*($K192)+(CI192-CJ192-CK192)*(1-$K192)</f>
        <v>0</v>
      </c>
      <c r="CM192" s="1073"/>
      <c r="CP192" s="1161">
        <f>VLOOKUP($A192,'New Resources - Group'!$A$4:$Y$133,CP$2,FALSE)*CP$1</f>
        <v>0</v>
      </c>
      <c r="CQ192" s="1116">
        <f>$G192+CP192</f>
        <v>764664</v>
      </c>
      <c r="CR192" s="1117">
        <f>VLOOKUP($E192,CQ$442:CT$453,2,FALSE)*CQ192*($K192)+IF($G192&lt;&gt;0,($H192/$G192)*CQ192,0)*(1-$K192)</f>
        <v>764664</v>
      </c>
      <c r="CS192" s="1117">
        <f>VLOOKUP($E192,CQ$442:CT$453,3,FALSE)*CQ192*($K192)+IF($G192&lt;&gt;0,($I192/$G192)*CQ192,0)*(1-$K192)</f>
        <v>0</v>
      </c>
      <c r="CT192" s="1117">
        <f>VLOOKUP($E192,CQ$442:CT$453,4,FALSE)*CQ192*($K192)+(CQ192-CR192-CS192)*(1-$K192)</f>
        <v>0</v>
      </c>
      <c r="CU192" s="1073"/>
      <c r="CX192" s="1161">
        <f>VLOOKUP($A192,'New Resources - Group'!$A$4:$Y$133,CX$2,FALSE)*CX$1</f>
        <v>0</v>
      </c>
      <c r="CY192" s="1116">
        <f>$G192+CX192</f>
        <v>764664</v>
      </c>
      <c r="CZ192" s="1117">
        <f>VLOOKUP($E192,CY$442:DB$453,2,FALSE)*CY192*($K192)+IF($G192&lt;&gt;0,($H192/$G192)*CY192,0)*(1-$K192)</f>
        <v>764664</v>
      </c>
      <c r="DA192" s="1117">
        <f>VLOOKUP($E192,CY$442:DB$453,3,FALSE)*CY192*($K192)+IF($G192&lt;&gt;0,($I192/$G192)*CY192,0)*(1-$K192)</f>
        <v>0</v>
      </c>
      <c r="DB192" s="1117">
        <f>VLOOKUP($E192,CY$442:DB$453,4,FALSE)*CY192*($K192)+(CY192-CZ192-DA192)*(1-$K192)</f>
        <v>0</v>
      </c>
      <c r="DC192" s="1073"/>
      <c r="DF192" s="1161">
        <f>VLOOKUP($A192,'New Resources - Group'!$A$4:$Y$133,DF$2,FALSE)*DF$1</f>
        <v>0</v>
      </c>
      <c r="DG192" s="1116">
        <f>$G192+DF192</f>
        <v>764664</v>
      </c>
      <c r="DH192" s="1117">
        <f>VLOOKUP($E192,DG$442:DJ$453,2,FALSE)*DG192*($K192)+IF($G192&lt;&gt;0,($H192/$G192)*DG192,0)*(1-$K192)</f>
        <v>764664</v>
      </c>
      <c r="DI192" s="1117">
        <f>VLOOKUP($E192,DG$442:DJ$453,3,FALSE)*DG192*($K192)+IF($G192&lt;&gt;0,($I192/$G192)*DG192,0)*(1-$K192)</f>
        <v>0</v>
      </c>
      <c r="DJ192" s="1117">
        <f>VLOOKUP($E192,DG$442:DJ$453,4,FALSE)*DG192*($K192)+(DG192-DH192-DI192)*(1-$K192)</f>
        <v>0</v>
      </c>
      <c r="DK192" s="1073"/>
      <c r="DN192" s="1161">
        <f>VLOOKUP($A192,'New Resources - Group'!$A$4:$Y$133,DN$2,FALSE)*DN$1</f>
        <v>0</v>
      </c>
      <c r="DO192" s="1116">
        <f>$G192+DN192</f>
        <v>764664</v>
      </c>
      <c r="DP192" s="1117">
        <f>VLOOKUP($E192,DO$442:DR$453,2,FALSE)*DO192*($K192)+IF($G192&lt;&gt;0,($H192/$G192)*DO192,0)*(1-$K192)</f>
        <v>764664</v>
      </c>
      <c r="DQ192" s="1117">
        <f>VLOOKUP($E192,DO$442:DR$453,3,FALSE)*DO192*($K192)+IF($G192&lt;&gt;0,($I192/$G192)*DO192,0)*(1-$K192)</f>
        <v>0</v>
      </c>
      <c r="DR192" s="1117">
        <f>VLOOKUP($E192,DO$442:DR$453,4,FALSE)*DO192*($K192)+(DO192-DP192-DQ192)*(1-$K192)</f>
        <v>0</v>
      </c>
      <c r="DS192" s="1073"/>
      <c r="DV192" s="1161">
        <f>VLOOKUP($A192,'New Resources - Group'!$A$4:$Y$133,DV$2,FALSE)*DV$1</f>
        <v>0</v>
      </c>
      <c r="DW192" s="1116">
        <f>$G192+DV192</f>
        <v>764664</v>
      </c>
      <c r="DX192" s="1117">
        <f>VLOOKUP($E192,DW$442:DZ$453,2,FALSE)*DW192*($K192)+IF($G192&lt;&gt;0,($H192/$G192)*DW192,0)*(1-$K192)</f>
        <v>764664</v>
      </c>
      <c r="DY192" s="1117">
        <f>VLOOKUP($E192,DW$442:DZ$453,3,FALSE)*DW192*($K192)+IF($G192&lt;&gt;0,($I192/$G192)*DW192,0)*(1-$K192)</f>
        <v>0</v>
      </c>
      <c r="DZ192" s="1117">
        <f>VLOOKUP($E192,DW$442:DZ$453,4,FALSE)*DW192*($K192)+(DW192-DX192-DY192)*(1-$K192)</f>
        <v>0</v>
      </c>
      <c r="EA192" s="1073"/>
      <c r="ED192" s="1161">
        <f>VLOOKUP($A192,'New Resources - Group'!$A$4:$Y$133,ED$2,FALSE)*ED$1</f>
        <v>0</v>
      </c>
      <c r="EE192" s="1116">
        <f>$G192+ED192</f>
        <v>764664</v>
      </c>
      <c r="EF192" s="1117">
        <f>VLOOKUP($E192,EE$442:EH$453,2,FALSE)*EE192*($K192)+IF($G192&lt;&gt;0,($H192/$G192)*EE192,0)*(1-$K192)</f>
        <v>764664</v>
      </c>
      <c r="EG192" s="1117">
        <f>VLOOKUP($E192,EE$442:EH$453,3,FALSE)*EE192*($K192)+IF($G192&lt;&gt;0,($I192/$G192)*EE192,0)*(1-$K192)</f>
        <v>0</v>
      </c>
      <c r="EH192" s="1117">
        <f>VLOOKUP($E192,EE$442:EH$453,4,FALSE)*EE192*($K192)+(EE192-EF192-EG192)*(1-$K192)</f>
        <v>0</v>
      </c>
      <c r="EI192" s="1073"/>
      <c r="EL192" s="1161">
        <f>VLOOKUP($A192,'New Resources - Group'!$A$4:$Y$133,EL$2,FALSE)*EL$1</f>
        <v>0</v>
      </c>
      <c r="EM192" s="1116">
        <f>$G192+EL192</f>
        <v>764664</v>
      </c>
      <c r="EN192" s="1117">
        <f>VLOOKUP($E192,EM$442:EP$453,2,FALSE)*EM192*($K192)+IF($G192&lt;&gt;0,($H192/$G192)*EM192,0)*(1-$K192)</f>
        <v>764664</v>
      </c>
      <c r="EO192" s="1117">
        <f>VLOOKUP($E192,EM$442:EP$453,3,FALSE)*EM192*($K192)+IF($G192&lt;&gt;0,($I192/$G192)*EM192,0)*(1-$K192)</f>
        <v>0</v>
      </c>
      <c r="EP192" s="1117">
        <f>VLOOKUP($E192,EM$442:EP$453,4,FALSE)*EM192*($K192)+(EM192-EN192-EO192)*(1-$K192)</f>
        <v>0</v>
      </c>
      <c r="EQ192" s="1073"/>
      <c r="ET192" s="1161">
        <f>VLOOKUP($A192,'New Resources - Group'!$A$4:$Y$133,ET$2,FALSE)*ET$1</f>
        <v>0</v>
      </c>
      <c r="EU192" s="1116">
        <f>$G192+ET192</f>
        <v>764664</v>
      </c>
      <c r="EV192" s="1117">
        <f>VLOOKUP($E192,EU$442:EX$453,2,FALSE)*EU192*($K192)+IF($G192&lt;&gt;0,($H192/$G192)*EU192,0)*(1-$K192)</f>
        <v>764664</v>
      </c>
      <c r="EW192" s="1117">
        <f>VLOOKUP($E192,EU$442:EX$453,3,FALSE)*EU192*($K192)+IF($G192&lt;&gt;0,($I192/$G192)*EU192,0)*(1-$K192)</f>
        <v>0</v>
      </c>
      <c r="EX192" s="1117">
        <f>VLOOKUP($E192,EU$442:EX$453,4,FALSE)*EU192*($K192)+(EU192-EV192-EW192)*(1-$K192)</f>
        <v>0</v>
      </c>
      <c r="EY192" s="1073"/>
      <c r="FB192" s="1161">
        <f>VLOOKUP($A192,'New Resources - Group'!$A$4:$Y$133,FB$2,FALSE)*FB$1</f>
        <v>0</v>
      </c>
      <c r="FC192" s="1116">
        <f>$G192+FB192</f>
        <v>764664</v>
      </c>
      <c r="FD192" s="1117">
        <f>VLOOKUP($E192,FC$442:FF$453,2,FALSE)*FC192*($K192)+IF($G192&lt;&gt;0,($H192/$G192)*FC192,0)*(1-$K192)</f>
        <v>764664</v>
      </c>
      <c r="FE192" s="1117">
        <f>VLOOKUP($E192,FC$442:FF$453,3,FALSE)*FC192*($K192)+IF($G192&lt;&gt;0,($I192/$G192)*FC192,0)*(1-$K192)</f>
        <v>0</v>
      </c>
      <c r="FF192" s="1117">
        <f>VLOOKUP($E192,FC$442:FF$453,4,FALSE)*FC192*($K192)+(FC192-FD192-FE192)*(1-$K192)</f>
        <v>0</v>
      </c>
      <c r="FG192" s="1073"/>
      <c r="FJ192" s="1161">
        <f>VLOOKUP($A192,'New Resources - Group'!$A$4:$Y$133,FJ$2,FALSE)*FJ$1</f>
        <v>0</v>
      </c>
      <c r="FK192" s="1116">
        <f>$G192+FJ192</f>
        <v>764664</v>
      </c>
      <c r="FL192" s="1117">
        <f>VLOOKUP($E192,FK$442:FN$453,2,FALSE)*FK192*($K192)+IF($G192&lt;&gt;0,($H192/$G192)*FK192,0)*(1-$K192)</f>
        <v>764664</v>
      </c>
      <c r="FM192" s="1117">
        <f>VLOOKUP($E192,FK$442:FN$453,3,FALSE)*FK192*($K192)+IF($G192&lt;&gt;0,($I192/$G192)*FK192,0)*(1-$K192)</f>
        <v>0</v>
      </c>
      <c r="FN192" s="1117">
        <f>VLOOKUP($E192,FK$442:FN$453,4,FALSE)*FK192*($K192)+(FK192-FL192-FM192)*(1-$K192)</f>
        <v>0</v>
      </c>
      <c r="FO192" s="1073"/>
    </row>
    <row r="193" spans="1:171">
      <c r="A193" s="1444">
        <v>820</v>
      </c>
      <c r="B193" s="913" t="s">
        <v>267</v>
      </c>
      <c r="C193" s="888" t="s">
        <v>72</v>
      </c>
      <c r="D193" s="888">
        <v>557</v>
      </c>
      <c r="E193" s="182" t="str">
        <f>'Sch 3 - Expenses'!E33</f>
        <v>PROD</v>
      </c>
      <c r="F193" s="889"/>
      <c r="G193" s="182">
        <f>'Sch 3 - Expenses'!G33</f>
        <v>38247947</v>
      </c>
      <c r="H193" s="182">
        <f>'Sch 3 - Expenses'!H33</f>
        <v>38247947</v>
      </c>
      <c r="I193" s="182">
        <f>'Sch 3 - Expenses'!I33</f>
        <v>0</v>
      </c>
      <c r="J193" s="1424">
        <f>'Sch 3 - Expenses'!J33</f>
        <v>0</v>
      </c>
      <c r="K193" s="903">
        <f t="shared" si="547"/>
        <v>1</v>
      </c>
      <c r="N193" s="1161">
        <f>VLOOKUP($A193,'New Resources - Group'!$A$4:$Y$133,N$2,FALSE)*N$1</f>
        <v>0</v>
      </c>
      <c r="O193" s="1116">
        <f>$G193+N193</f>
        <v>38247947</v>
      </c>
      <c r="P193" s="1117">
        <f>VLOOKUP($E193,O$442:R$453,2,FALSE)*O193*($K193)+IF($G193&lt;&gt;0,($H193/$G193)*O193,0)*(1-$K193)</f>
        <v>38247947</v>
      </c>
      <c r="Q193" s="1117">
        <f>VLOOKUP($E193,O$442:R$453,3,FALSE)*O193*($K193)+IF($G193&lt;&gt;0,($I193/$G193)*O193,0)*(1-$K193)</f>
        <v>0</v>
      </c>
      <c r="R193" s="1117">
        <f>VLOOKUP($E193,O$442:R$453,4,FALSE)*O193*($K193)+(O193-P193-Q193)*(1-$K193)</f>
        <v>0</v>
      </c>
      <c r="S193" s="1073"/>
      <c r="V193" s="1161">
        <f>VLOOKUP($A193,'New Resources - Group'!$A$4:$Y$133,V$2,FALSE)*V$1</f>
        <v>0</v>
      </c>
      <c r="W193" s="1116">
        <f>$G193+V193</f>
        <v>38247947</v>
      </c>
      <c r="X193" s="1117">
        <f>VLOOKUP($E193,W$442:Z$453,2,FALSE)*W193*($K193)+IF($G193&lt;&gt;0,($H193/$G193)*W193,0)*(1-$K193)</f>
        <v>38247947</v>
      </c>
      <c r="Y193" s="1117">
        <f>VLOOKUP($E193,W$442:Z$453,3,FALSE)*W193*($K193)+IF($G193&lt;&gt;0,($I193/$G193)*W193,0)*(1-$K193)</f>
        <v>0</v>
      </c>
      <c r="Z193" s="1117">
        <f>VLOOKUP($E193,W$442:Z$453,4,FALSE)*W193*($K193)+(W193-X193-Y193)*(1-$K193)</f>
        <v>0</v>
      </c>
      <c r="AA193" s="1073"/>
      <c r="AD193" s="1161">
        <f>VLOOKUP($A193,'New Resources - Group'!$A$4:$Y$133,AD$2,FALSE)*AD$1</f>
        <v>0</v>
      </c>
      <c r="AE193" s="1116">
        <f>$G193+AD193</f>
        <v>38247947</v>
      </c>
      <c r="AF193" s="1117">
        <f>VLOOKUP($E193,AE$442:AH$453,2,FALSE)*AE193*($K193)+IF($G193&lt;&gt;0,($H193/$G193)*AE193,0)*(1-$K193)</f>
        <v>38247947</v>
      </c>
      <c r="AG193" s="1117">
        <f>VLOOKUP($E193,AE$442:AH$453,3,FALSE)*AE193*($K193)+IF($G193&lt;&gt;0,($I193/$G193)*AE193,0)*(1-$K193)</f>
        <v>0</v>
      </c>
      <c r="AH193" s="1117">
        <f>VLOOKUP($E193,AE$442:AH$453,4,FALSE)*AE193*($K193)+(AE193-AF193-AG193)*(1-$K193)</f>
        <v>0</v>
      </c>
      <c r="AI193" s="1073"/>
      <c r="AL193" s="1161">
        <f>VLOOKUP($A193,'New Resources - Group'!$A$4:$Y$133,AL$2,FALSE)*AL$1</f>
        <v>0</v>
      </c>
      <c r="AM193" s="1116">
        <f>$G193+AL193</f>
        <v>38247947</v>
      </c>
      <c r="AN193" s="1117">
        <f>VLOOKUP($E193,AM$442:AP$453,2,FALSE)*AM193*($K193)+IF($G193&lt;&gt;0,($H193/$G193)*AM193,0)*(1-$K193)</f>
        <v>38247947</v>
      </c>
      <c r="AO193" s="1117">
        <f>VLOOKUP($E193,AM$442:AP$453,3,FALSE)*AM193*($K193)+IF($G193&lt;&gt;0,($I193/$G193)*AM193,0)*(1-$K193)</f>
        <v>0</v>
      </c>
      <c r="AP193" s="1117">
        <f>VLOOKUP($E193,AM$442:AP$453,4,FALSE)*AM193*($K193)+(AM193-AN193-AO193)*(1-$K193)</f>
        <v>0</v>
      </c>
      <c r="AQ193" s="1073"/>
      <c r="AT193" s="1161">
        <f>VLOOKUP($A193,'New Resources - Group'!$A$4:$Y$133,AT$2,FALSE)*AT$1</f>
        <v>0</v>
      </c>
      <c r="AU193" s="1116">
        <f>$G193+AT193</f>
        <v>38247947</v>
      </c>
      <c r="AV193" s="1117">
        <f>VLOOKUP($E193,AU$442:AX$453,2,FALSE)*AU193*($K193)+IF($G193&lt;&gt;0,($H193/$G193)*AU193,0)*(1-$K193)</f>
        <v>38247947</v>
      </c>
      <c r="AW193" s="1117">
        <f>VLOOKUP($E193,AU$442:AX$453,3,FALSE)*AU193*($K193)+IF($G193&lt;&gt;0,($I193/$G193)*AU193,0)*(1-$K193)</f>
        <v>0</v>
      </c>
      <c r="AX193" s="1117">
        <f>VLOOKUP($E193,AU$442:AX$453,4,FALSE)*AU193*($K193)+(AU193-AV193-AW193)*(1-$K193)</f>
        <v>0</v>
      </c>
      <c r="AY193" s="1073"/>
      <c r="BB193" s="1161">
        <f>VLOOKUP($A193,'New Resources - Group'!$A$4:$Y$133,BB$2,FALSE)*BB$1</f>
        <v>0</v>
      </c>
      <c r="BC193" s="1116">
        <f>$G193+BB193</f>
        <v>38247947</v>
      </c>
      <c r="BD193" s="1117">
        <f>VLOOKUP($E193,BC$442:BF$453,2,FALSE)*BC193*($K193)+IF($G193&lt;&gt;0,($H193/$G193)*BC193,0)*(1-$K193)</f>
        <v>38247947</v>
      </c>
      <c r="BE193" s="1117">
        <f>VLOOKUP($E193,BC$442:BF$453,3,FALSE)*BC193*($K193)+IF($G193&lt;&gt;0,($I193/$G193)*BC193,0)*(1-$K193)</f>
        <v>0</v>
      </c>
      <c r="BF193" s="1117">
        <f>VLOOKUP($E193,BC$442:BF$453,4,FALSE)*BC193*($K193)+(BC193-BD193-BE193)*(1-$K193)</f>
        <v>0</v>
      </c>
      <c r="BG193" s="1073"/>
      <c r="BJ193" s="1161">
        <f>VLOOKUP($A193,'New Resources - Group'!$A$4:$Y$133,BJ$2,FALSE)*BJ$1</f>
        <v>0</v>
      </c>
      <c r="BK193" s="1116">
        <f>$G193+BJ193</f>
        <v>38247947</v>
      </c>
      <c r="BL193" s="1117">
        <f>VLOOKUP($E193,BK$442:BN$453,2,FALSE)*BK193*($K193)+IF($G193&lt;&gt;0,($H193/$G193)*BK193,0)*(1-$K193)</f>
        <v>38247947</v>
      </c>
      <c r="BM193" s="1117">
        <f>VLOOKUP($E193,BK$442:BN$453,3,FALSE)*BK193*($K193)+IF($G193&lt;&gt;0,($I193/$G193)*BK193,0)*(1-$K193)</f>
        <v>0</v>
      </c>
      <c r="BN193" s="1117">
        <f>VLOOKUP($E193,BK$442:BN$453,4,FALSE)*BK193*($K193)+(BK193-BL193-BM193)*(1-$K193)</f>
        <v>0</v>
      </c>
      <c r="BO193" s="1073"/>
      <c r="BR193" s="1161">
        <f>VLOOKUP($A193,'New Resources - Group'!$A$4:$Y$133,BR$2,FALSE)*BR$1</f>
        <v>0</v>
      </c>
      <c r="BS193" s="1116">
        <f>$G193+BR193</f>
        <v>38247947</v>
      </c>
      <c r="BT193" s="1117">
        <f>VLOOKUP($E193,BS$442:BV$453,2,FALSE)*BS193*($K193)+IF($G193&lt;&gt;0,($H193/$G193)*BS193,0)*(1-$K193)</f>
        <v>38247947</v>
      </c>
      <c r="BU193" s="1117">
        <f>VLOOKUP($E193,BS$442:BV$453,3,FALSE)*BS193*($K193)+IF($G193&lt;&gt;0,($I193/$G193)*BS193,0)*(1-$K193)</f>
        <v>0</v>
      </c>
      <c r="BV193" s="1117">
        <f>VLOOKUP($E193,BS$442:BV$453,4,FALSE)*BS193*($K193)+(BS193-BT193-BU193)*(1-$K193)</f>
        <v>0</v>
      </c>
      <c r="BW193" s="1073"/>
      <c r="BZ193" s="1161">
        <f>VLOOKUP($A193,'New Resources - Group'!$A$4:$Y$133,BZ$2,FALSE)*BZ$1</f>
        <v>0</v>
      </c>
      <c r="CA193" s="1116">
        <f>$G193+BZ193</f>
        <v>38247947</v>
      </c>
      <c r="CB193" s="1117">
        <f>VLOOKUP($E193,CA$442:CD$453,2,FALSE)*CA193*($K193)+IF($G193&lt;&gt;0,($H193/$G193)*CA193,0)*(1-$K193)</f>
        <v>38247947</v>
      </c>
      <c r="CC193" s="1117">
        <f>VLOOKUP($E193,CA$442:CD$453,3,FALSE)*CA193*($K193)+IF($G193&lt;&gt;0,($I193/$G193)*CA193,0)*(1-$K193)</f>
        <v>0</v>
      </c>
      <c r="CD193" s="1117">
        <f>VLOOKUP($E193,CA$442:CD$453,4,FALSE)*CA193*($K193)+(CA193-CB193-CC193)*(1-$K193)</f>
        <v>0</v>
      </c>
      <c r="CE193" s="1073"/>
      <c r="CH193" s="1161">
        <f>VLOOKUP($A193,'New Resources - Group'!$A$4:$Y$133,CH$2,FALSE)*CH$1</f>
        <v>0</v>
      </c>
      <c r="CI193" s="1116">
        <f>$G193+CH193</f>
        <v>38247947</v>
      </c>
      <c r="CJ193" s="1117">
        <f>VLOOKUP($E193,CI$442:CL$453,2,FALSE)*CI193*($K193)+IF($G193&lt;&gt;0,($H193/$G193)*CI193,0)*(1-$K193)</f>
        <v>38247947</v>
      </c>
      <c r="CK193" s="1117">
        <f>VLOOKUP($E193,CI$442:CL$453,3,FALSE)*CI193*($K193)+IF($G193&lt;&gt;0,($I193/$G193)*CI193,0)*(1-$K193)</f>
        <v>0</v>
      </c>
      <c r="CL193" s="1117">
        <f>VLOOKUP($E193,CI$442:CL$453,4,FALSE)*CI193*($K193)+(CI193-CJ193-CK193)*(1-$K193)</f>
        <v>0</v>
      </c>
      <c r="CM193" s="1073"/>
      <c r="CP193" s="1161">
        <f>VLOOKUP($A193,'New Resources - Group'!$A$4:$Y$133,CP$2,FALSE)*CP$1</f>
        <v>0</v>
      </c>
      <c r="CQ193" s="1116">
        <f>$G193+CP193</f>
        <v>38247947</v>
      </c>
      <c r="CR193" s="1117">
        <f>VLOOKUP($E193,CQ$442:CT$453,2,FALSE)*CQ193*($K193)+IF($G193&lt;&gt;0,($H193/$G193)*CQ193,0)*(1-$K193)</f>
        <v>38247947</v>
      </c>
      <c r="CS193" s="1117">
        <f>VLOOKUP($E193,CQ$442:CT$453,3,FALSE)*CQ193*($K193)+IF($G193&lt;&gt;0,($I193/$G193)*CQ193,0)*(1-$K193)</f>
        <v>0</v>
      </c>
      <c r="CT193" s="1117">
        <f>VLOOKUP($E193,CQ$442:CT$453,4,FALSE)*CQ193*($K193)+(CQ193-CR193-CS193)*(1-$K193)</f>
        <v>0</v>
      </c>
      <c r="CU193" s="1073"/>
      <c r="CX193" s="1161">
        <f>VLOOKUP($A193,'New Resources - Group'!$A$4:$Y$133,CX$2,FALSE)*CX$1</f>
        <v>0</v>
      </c>
      <c r="CY193" s="1116">
        <f>$G193+CX193</f>
        <v>38247947</v>
      </c>
      <c r="CZ193" s="1117">
        <f>VLOOKUP($E193,CY$442:DB$453,2,FALSE)*CY193*($K193)+IF($G193&lt;&gt;0,($H193/$G193)*CY193,0)*(1-$K193)</f>
        <v>38247947</v>
      </c>
      <c r="DA193" s="1117">
        <f>VLOOKUP($E193,CY$442:DB$453,3,FALSE)*CY193*($K193)+IF($G193&lt;&gt;0,($I193/$G193)*CY193,0)*(1-$K193)</f>
        <v>0</v>
      </c>
      <c r="DB193" s="1117">
        <f>VLOOKUP($E193,CY$442:DB$453,4,FALSE)*CY193*($K193)+(CY193-CZ193-DA193)*(1-$K193)</f>
        <v>0</v>
      </c>
      <c r="DC193" s="1073"/>
      <c r="DF193" s="1161">
        <f>VLOOKUP($A193,'New Resources - Group'!$A$4:$Y$133,DF$2,FALSE)*DF$1</f>
        <v>0</v>
      </c>
      <c r="DG193" s="1116">
        <f>$G193+DF193</f>
        <v>38247947</v>
      </c>
      <c r="DH193" s="1117">
        <f>VLOOKUP($E193,DG$442:DJ$453,2,FALSE)*DG193*($K193)+IF($G193&lt;&gt;0,($H193/$G193)*DG193,0)*(1-$K193)</f>
        <v>38247947</v>
      </c>
      <c r="DI193" s="1117">
        <f>VLOOKUP($E193,DG$442:DJ$453,3,FALSE)*DG193*($K193)+IF($G193&lt;&gt;0,($I193/$G193)*DG193,0)*(1-$K193)</f>
        <v>0</v>
      </c>
      <c r="DJ193" s="1117">
        <f>VLOOKUP($E193,DG$442:DJ$453,4,FALSE)*DG193*($K193)+(DG193-DH193-DI193)*(1-$K193)</f>
        <v>0</v>
      </c>
      <c r="DK193" s="1073"/>
      <c r="DN193" s="1161">
        <f>VLOOKUP($A193,'New Resources - Group'!$A$4:$Y$133,DN$2,FALSE)*DN$1</f>
        <v>0</v>
      </c>
      <c r="DO193" s="1116">
        <f>$G193+DN193</f>
        <v>38247947</v>
      </c>
      <c r="DP193" s="1117">
        <f>VLOOKUP($E193,DO$442:DR$453,2,FALSE)*DO193*($K193)+IF($G193&lt;&gt;0,($H193/$G193)*DO193,0)*(1-$K193)</f>
        <v>38247947</v>
      </c>
      <c r="DQ193" s="1117">
        <f>VLOOKUP($E193,DO$442:DR$453,3,FALSE)*DO193*($K193)+IF($G193&lt;&gt;0,($I193/$G193)*DO193,0)*(1-$K193)</f>
        <v>0</v>
      </c>
      <c r="DR193" s="1117">
        <f>VLOOKUP($E193,DO$442:DR$453,4,FALSE)*DO193*($K193)+(DO193-DP193-DQ193)*(1-$K193)</f>
        <v>0</v>
      </c>
      <c r="DS193" s="1073"/>
      <c r="DV193" s="1161">
        <f>VLOOKUP($A193,'New Resources - Group'!$A$4:$Y$133,DV$2,FALSE)*DV$1</f>
        <v>0</v>
      </c>
      <c r="DW193" s="1116">
        <f>$G193+DV193</f>
        <v>38247947</v>
      </c>
      <c r="DX193" s="1117">
        <f>VLOOKUP($E193,DW$442:DZ$453,2,FALSE)*DW193*($K193)+IF($G193&lt;&gt;0,($H193/$G193)*DW193,0)*(1-$K193)</f>
        <v>38247947</v>
      </c>
      <c r="DY193" s="1117">
        <f>VLOOKUP($E193,DW$442:DZ$453,3,FALSE)*DW193*($K193)+IF($G193&lt;&gt;0,($I193/$G193)*DW193,0)*(1-$K193)</f>
        <v>0</v>
      </c>
      <c r="DZ193" s="1117">
        <f>VLOOKUP($E193,DW$442:DZ$453,4,FALSE)*DW193*($K193)+(DW193-DX193-DY193)*(1-$K193)</f>
        <v>0</v>
      </c>
      <c r="EA193" s="1073"/>
      <c r="ED193" s="1161">
        <f>VLOOKUP($A193,'New Resources - Group'!$A$4:$Y$133,ED$2,FALSE)*ED$1</f>
        <v>0</v>
      </c>
      <c r="EE193" s="1116">
        <f>$G193+ED193</f>
        <v>38247947</v>
      </c>
      <c r="EF193" s="1117">
        <f>VLOOKUP($E193,EE$442:EH$453,2,FALSE)*EE193*($K193)+IF($G193&lt;&gt;0,($H193/$G193)*EE193,0)*(1-$K193)</f>
        <v>38247947</v>
      </c>
      <c r="EG193" s="1117">
        <f>VLOOKUP($E193,EE$442:EH$453,3,FALSE)*EE193*($K193)+IF($G193&lt;&gt;0,($I193/$G193)*EE193,0)*(1-$K193)</f>
        <v>0</v>
      </c>
      <c r="EH193" s="1117">
        <f>VLOOKUP($E193,EE$442:EH$453,4,FALSE)*EE193*($K193)+(EE193-EF193-EG193)*(1-$K193)</f>
        <v>0</v>
      </c>
      <c r="EI193" s="1073"/>
      <c r="EL193" s="1161">
        <f>VLOOKUP($A193,'New Resources - Group'!$A$4:$Y$133,EL$2,FALSE)*EL$1</f>
        <v>0</v>
      </c>
      <c r="EM193" s="1116">
        <f>$G193+EL193</f>
        <v>38247947</v>
      </c>
      <c r="EN193" s="1117">
        <f>VLOOKUP($E193,EM$442:EP$453,2,FALSE)*EM193*($K193)+IF($G193&lt;&gt;0,($H193/$G193)*EM193,0)*(1-$K193)</f>
        <v>38247947</v>
      </c>
      <c r="EO193" s="1117">
        <f>VLOOKUP($E193,EM$442:EP$453,3,FALSE)*EM193*($K193)+IF($G193&lt;&gt;0,($I193/$G193)*EM193,0)*(1-$K193)</f>
        <v>0</v>
      </c>
      <c r="EP193" s="1117">
        <f>VLOOKUP($E193,EM$442:EP$453,4,FALSE)*EM193*($K193)+(EM193-EN193-EO193)*(1-$K193)</f>
        <v>0</v>
      </c>
      <c r="EQ193" s="1073"/>
      <c r="ET193" s="1161">
        <f>VLOOKUP($A193,'New Resources - Group'!$A$4:$Y$133,ET$2,FALSE)*ET$1</f>
        <v>0</v>
      </c>
      <c r="EU193" s="1116">
        <f>$G193+ET193</f>
        <v>38247947</v>
      </c>
      <c r="EV193" s="1117">
        <f>VLOOKUP($E193,EU$442:EX$453,2,FALSE)*EU193*($K193)+IF($G193&lt;&gt;0,($H193/$G193)*EU193,0)*(1-$K193)</f>
        <v>38247947</v>
      </c>
      <c r="EW193" s="1117">
        <f>VLOOKUP($E193,EU$442:EX$453,3,FALSE)*EU193*($K193)+IF($G193&lt;&gt;0,($I193/$G193)*EU193,0)*(1-$K193)</f>
        <v>0</v>
      </c>
      <c r="EX193" s="1117">
        <f>VLOOKUP($E193,EU$442:EX$453,4,FALSE)*EU193*($K193)+(EU193-EV193-EW193)*(1-$K193)</f>
        <v>0</v>
      </c>
      <c r="EY193" s="1073"/>
      <c r="FB193" s="1161">
        <f>VLOOKUP($A193,'New Resources - Group'!$A$4:$Y$133,FB$2,FALSE)*FB$1</f>
        <v>0</v>
      </c>
      <c r="FC193" s="1116">
        <f>$G193+FB193</f>
        <v>38247947</v>
      </c>
      <c r="FD193" s="1117">
        <f>VLOOKUP($E193,FC$442:FF$453,2,FALSE)*FC193*($K193)+IF($G193&lt;&gt;0,($H193/$G193)*FC193,0)*(1-$K193)</f>
        <v>38247947</v>
      </c>
      <c r="FE193" s="1117">
        <f>VLOOKUP($E193,FC$442:FF$453,3,FALSE)*FC193*($K193)+IF($G193&lt;&gt;0,($I193/$G193)*FC193,0)*(1-$K193)</f>
        <v>0</v>
      </c>
      <c r="FF193" s="1117">
        <f>VLOOKUP($E193,FC$442:FF$453,4,FALSE)*FC193*($K193)+(FC193-FD193-FE193)*(1-$K193)</f>
        <v>0</v>
      </c>
      <c r="FG193" s="1073"/>
      <c r="FJ193" s="1161">
        <f>VLOOKUP($A193,'New Resources - Group'!$A$4:$Y$133,FJ$2,FALSE)*FJ$1</f>
        <v>0</v>
      </c>
      <c r="FK193" s="1116">
        <f>$G193+FJ193</f>
        <v>38247947</v>
      </c>
      <c r="FL193" s="1117">
        <f>VLOOKUP($E193,FK$442:FN$453,2,FALSE)*FK193*($K193)+IF($G193&lt;&gt;0,($H193/$G193)*FK193,0)*(1-$K193)</f>
        <v>38247947</v>
      </c>
      <c r="FM193" s="1117">
        <f>VLOOKUP($E193,FK$442:FN$453,3,FALSE)*FK193*($K193)+IF($G193&lt;&gt;0,($I193/$G193)*FK193,0)*(1-$K193)</f>
        <v>0</v>
      </c>
      <c r="FN193" s="1117">
        <f>VLOOKUP($E193,FK$442:FN$453,4,FALSE)*FK193*($K193)+(FK193-FL193-FM193)*(1-$K193)</f>
        <v>0</v>
      </c>
      <c r="FO193" s="1073"/>
    </row>
    <row r="194" spans="1:171">
      <c r="A194" s="1423"/>
      <c r="B194" s="220" t="s">
        <v>52</v>
      </c>
      <c r="C194" s="888">
        <v>327</v>
      </c>
      <c r="D194" s="888">
        <v>555</v>
      </c>
      <c r="E194" s="182" t="str">
        <f>'Sch 3 - Expenses'!E34</f>
        <v>PROD</v>
      </c>
      <c r="F194" s="889"/>
      <c r="G194" s="182">
        <f>'Sch 3 - Expenses'!G34</f>
        <v>0</v>
      </c>
      <c r="H194" s="182">
        <f>'Sch 3 - Expenses'!H34</f>
        <v>0</v>
      </c>
      <c r="I194" s="182">
        <f>'Sch 3 - Expenses'!I34</f>
        <v>0</v>
      </c>
      <c r="J194" s="1424">
        <f>'Sch 3 - Expenses'!J34</f>
        <v>0</v>
      </c>
      <c r="K194" s="903">
        <f t="shared" si="547"/>
        <v>1</v>
      </c>
      <c r="O194" s="1116">
        <f>$G194</f>
        <v>0</v>
      </c>
      <c r="P194" s="1117">
        <f>VLOOKUP($E194,O$442:R$453,2,FALSE)*O194*($K194)+IF($G194&lt;&gt;0,($H194/$G194)*O194,0)*(1-$K194)</f>
        <v>0</v>
      </c>
      <c r="Q194" s="1117">
        <f>VLOOKUP($E194,O$442:R$453,3,FALSE)*O194*($K194)+IF($G194&lt;&gt;0,($I194/$G194)*O194,0)*(1-$K194)</f>
        <v>0</v>
      </c>
      <c r="R194" s="1117">
        <f>VLOOKUP($E194,O$442:R$453,4,FALSE)*O194*($K194)+(O194-P194-Q194)*(1-$K194)</f>
        <v>0</v>
      </c>
      <c r="S194" s="1073"/>
      <c r="W194" s="1116">
        <f>$G194</f>
        <v>0</v>
      </c>
      <c r="X194" s="1117">
        <f>VLOOKUP($E194,W$442:Z$453,2,FALSE)*W194*($K194)+IF($G194&lt;&gt;0,($H194/$G194)*W194,0)*(1-$K194)</f>
        <v>0</v>
      </c>
      <c r="Y194" s="1117">
        <f>VLOOKUP($E194,W$442:Z$453,3,FALSE)*W194*($K194)+IF($G194&lt;&gt;0,($I194/$G194)*W194,0)*(1-$K194)</f>
        <v>0</v>
      </c>
      <c r="Z194" s="1117">
        <f>VLOOKUP($E194,W$442:Z$453,4,FALSE)*W194*($K194)+(W194-X194-Y194)*(1-$K194)</f>
        <v>0</v>
      </c>
      <c r="AA194" s="1073"/>
      <c r="AE194" s="1116">
        <f>$G194</f>
        <v>0</v>
      </c>
      <c r="AF194" s="1117">
        <f>VLOOKUP($E194,AE$442:AH$453,2,FALSE)*AE194*($K194)+IF($G194&lt;&gt;0,($H194/$G194)*AE194,0)*(1-$K194)</f>
        <v>0</v>
      </c>
      <c r="AG194" s="1117">
        <f>VLOOKUP($E194,AE$442:AH$453,3,FALSE)*AE194*($K194)+IF($G194&lt;&gt;0,($I194/$G194)*AE194,0)*(1-$K194)</f>
        <v>0</v>
      </c>
      <c r="AH194" s="1117">
        <f>VLOOKUP($E194,AE$442:AH$453,4,FALSE)*AE194*($K194)+(AE194-AF194-AG194)*(1-$K194)</f>
        <v>0</v>
      </c>
      <c r="AI194" s="1073"/>
      <c r="AM194" s="1116">
        <f>$G194</f>
        <v>0</v>
      </c>
      <c r="AN194" s="1117">
        <f>VLOOKUP($E194,AM$442:AP$453,2,FALSE)*AM194*($K194)+IF($G194&lt;&gt;0,($H194/$G194)*AM194,0)*(1-$K194)</f>
        <v>0</v>
      </c>
      <c r="AO194" s="1117">
        <f>VLOOKUP($E194,AM$442:AP$453,3,FALSE)*AM194*($K194)+IF($G194&lt;&gt;0,($I194/$G194)*AM194,0)*(1-$K194)</f>
        <v>0</v>
      </c>
      <c r="AP194" s="1117">
        <f>VLOOKUP($E194,AM$442:AP$453,4,FALSE)*AM194*($K194)+(AM194-AN194-AO194)*(1-$K194)</f>
        <v>0</v>
      </c>
      <c r="AQ194" s="1073"/>
      <c r="AU194" s="1116">
        <f>$G194</f>
        <v>0</v>
      </c>
      <c r="AV194" s="1117">
        <f>VLOOKUP($E194,AU$442:AX$453,2,FALSE)*AU194*($K194)+IF($G194&lt;&gt;0,($H194/$G194)*AU194,0)*(1-$K194)</f>
        <v>0</v>
      </c>
      <c r="AW194" s="1117">
        <f>VLOOKUP($E194,AU$442:AX$453,3,FALSE)*AU194*($K194)+IF($G194&lt;&gt;0,($I194/$G194)*AU194,0)*(1-$K194)</f>
        <v>0</v>
      </c>
      <c r="AX194" s="1117">
        <f>VLOOKUP($E194,AU$442:AX$453,4,FALSE)*AU194*($K194)+(AU194-AV194-AW194)*(1-$K194)</f>
        <v>0</v>
      </c>
      <c r="AY194" s="1073"/>
      <c r="BC194" s="1116">
        <f>$G194</f>
        <v>0</v>
      </c>
      <c r="BD194" s="1117">
        <f>VLOOKUP($E194,BC$442:BF$453,2,FALSE)*BC194*($K194)+IF($G194&lt;&gt;0,($H194/$G194)*BC194,0)*(1-$K194)</f>
        <v>0</v>
      </c>
      <c r="BE194" s="1117">
        <f>VLOOKUP($E194,BC$442:BF$453,3,FALSE)*BC194*($K194)+IF($G194&lt;&gt;0,($I194/$G194)*BC194,0)*(1-$K194)</f>
        <v>0</v>
      </c>
      <c r="BF194" s="1117">
        <f>VLOOKUP($E194,BC$442:BF$453,4,FALSE)*BC194*($K194)+(BC194-BD194-BE194)*(1-$K194)</f>
        <v>0</v>
      </c>
      <c r="BG194" s="1073"/>
      <c r="BK194" s="1116">
        <f>$G194</f>
        <v>0</v>
      </c>
      <c r="BL194" s="1117">
        <f>VLOOKUP($E194,BK$442:BN$453,2,FALSE)*BK194*($K194)+IF($G194&lt;&gt;0,($H194/$G194)*BK194,0)*(1-$K194)</f>
        <v>0</v>
      </c>
      <c r="BM194" s="1117">
        <f>VLOOKUP($E194,BK$442:BN$453,3,FALSE)*BK194*($K194)+IF($G194&lt;&gt;0,($I194/$G194)*BK194,0)*(1-$K194)</f>
        <v>0</v>
      </c>
      <c r="BN194" s="1117">
        <f>VLOOKUP($E194,BK$442:BN$453,4,FALSE)*BK194*($K194)+(BK194-BL194-BM194)*(1-$K194)</f>
        <v>0</v>
      </c>
      <c r="BO194" s="1073"/>
      <c r="BS194" s="1116">
        <f>$G194</f>
        <v>0</v>
      </c>
      <c r="BT194" s="1117">
        <f>VLOOKUP($E194,BS$442:BV$453,2,FALSE)*BS194*($K194)+IF($G194&lt;&gt;0,($H194/$G194)*BS194,0)*(1-$K194)</f>
        <v>0</v>
      </c>
      <c r="BU194" s="1117">
        <f>VLOOKUP($E194,BS$442:BV$453,3,FALSE)*BS194*($K194)+IF($G194&lt;&gt;0,($I194/$G194)*BS194,0)*(1-$K194)</f>
        <v>0</v>
      </c>
      <c r="BV194" s="1117">
        <f>VLOOKUP($E194,BS$442:BV$453,4,FALSE)*BS194*($K194)+(BS194-BT194-BU194)*(1-$K194)</f>
        <v>0</v>
      </c>
      <c r="BW194" s="1073"/>
      <c r="CA194" s="1116">
        <f>$G194</f>
        <v>0</v>
      </c>
      <c r="CB194" s="1117">
        <f>VLOOKUP($E194,CA$442:CD$453,2,FALSE)*CA194*($K194)+IF($G194&lt;&gt;0,($H194/$G194)*CA194,0)*(1-$K194)</f>
        <v>0</v>
      </c>
      <c r="CC194" s="1117">
        <f>VLOOKUP($E194,CA$442:CD$453,3,FALSE)*CA194*($K194)+IF($G194&lt;&gt;0,($I194/$G194)*CA194,0)*(1-$K194)</f>
        <v>0</v>
      </c>
      <c r="CD194" s="1117">
        <f>VLOOKUP($E194,CA$442:CD$453,4,FALSE)*CA194*($K194)+(CA194-CB194-CC194)*(1-$K194)</f>
        <v>0</v>
      </c>
      <c r="CE194" s="1073"/>
      <c r="CI194" s="1116">
        <f>$G194</f>
        <v>0</v>
      </c>
      <c r="CJ194" s="1117">
        <f>VLOOKUP($E194,CI$442:CL$453,2,FALSE)*CI194*($K194)+IF($G194&lt;&gt;0,($H194/$G194)*CI194,0)*(1-$K194)</f>
        <v>0</v>
      </c>
      <c r="CK194" s="1117">
        <f>VLOOKUP($E194,CI$442:CL$453,3,FALSE)*CI194*($K194)+IF($G194&lt;&gt;0,($I194/$G194)*CI194,0)*(1-$K194)</f>
        <v>0</v>
      </c>
      <c r="CL194" s="1117">
        <f>VLOOKUP($E194,CI$442:CL$453,4,FALSE)*CI194*($K194)+(CI194-CJ194-CK194)*(1-$K194)</f>
        <v>0</v>
      </c>
      <c r="CM194" s="1073"/>
      <c r="CQ194" s="1116">
        <f>$G194</f>
        <v>0</v>
      </c>
      <c r="CR194" s="1117">
        <f>VLOOKUP($E194,CQ$442:CT$453,2,FALSE)*CQ194*($K194)+IF($G194&lt;&gt;0,($H194/$G194)*CQ194,0)*(1-$K194)</f>
        <v>0</v>
      </c>
      <c r="CS194" s="1117">
        <f>VLOOKUP($E194,CQ$442:CT$453,3,FALSE)*CQ194*($K194)+IF($G194&lt;&gt;0,($I194/$G194)*CQ194,0)*(1-$K194)</f>
        <v>0</v>
      </c>
      <c r="CT194" s="1117">
        <f>VLOOKUP($E194,CQ$442:CT$453,4,FALSE)*CQ194*($K194)+(CQ194-CR194-CS194)*(1-$K194)</f>
        <v>0</v>
      </c>
      <c r="CU194" s="1073"/>
      <c r="CY194" s="1116">
        <f>$G194</f>
        <v>0</v>
      </c>
      <c r="CZ194" s="1117">
        <f>VLOOKUP($E194,CY$442:DB$453,2,FALSE)*CY194*($K194)+IF($G194&lt;&gt;0,($H194/$G194)*CY194,0)*(1-$K194)</f>
        <v>0</v>
      </c>
      <c r="DA194" s="1117">
        <f>VLOOKUP($E194,CY$442:DB$453,3,FALSE)*CY194*($K194)+IF($G194&lt;&gt;0,($I194/$G194)*CY194,0)*(1-$K194)</f>
        <v>0</v>
      </c>
      <c r="DB194" s="1117">
        <f>VLOOKUP($E194,CY$442:DB$453,4,FALSE)*CY194*($K194)+(CY194-CZ194-DA194)*(1-$K194)</f>
        <v>0</v>
      </c>
      <c r="DC194" s="1073"/>
      <c r="DG194" s="1116">
        <f>$G194</f>
        <v>0</v>
      </c>
      <c r="DH194" s="1117">
        <f>VLOOKUP($E194,DG$442:DJ$453,2,FALSE)*DG194*($K194)+IF($G194&lt;&gt;0,($H194/$G194)*DG194,0)*(1-$K194)</f>
        <v>0</v>
      </c>
      <c r="DI194" s="1117">
        <f>VLOOKUP($E194,DG$442:DJ$453,3,FALSE)*DG194*($K194)+IF($G194&lt;&gt;0,($I194/$G194)*DG194,0)*(1-$K194)</f>
        <v>0</v>
      </c>
      <c r="DJ194" s="1117">
        <f>VLOOKUP($E194,DG$442:DJ$453,4,FALSE)*DG194*($K194)+(DG194-DH194-DI194)*(1-$K194)</f>
        <v>0</v>
      </c>
      <c r="DK194" s="1073"/>
      <c r="DO194" s="1116">
        <f>$G194</f>
        <v>0</v>
      </c>
      <c r="DP194" s="1117">
        <f>VLOOKUP($E194,DO$442:DR$453,2,FALSE)*DO194*($K194)+IF($G194&lt;&gt;0,($H194/$G194)*DO194,0)*(1-$K194)</f>
        <v>0</v>
      </c>
      <c r="DQ194" s="1117">
        <f>VLOOKUP($E194,DO$442:DR$453,3,FALSE)*DO194*($K194)+IF($G194&lt;&gt;0,($I194/$G194)*DO194,0)*(1-$K194)</f>
        <v>0</v>
      </c>
      <c r="DR194" s="1117">
        <f>VLOOKUP($E194,DO$442:DR$453,4,FALSE)*DO194*($K194)+(DO194-DP194-DQ194)*(1-$K194)</f>
        <v>0</v>
      </c>
      <c r="DS194" s="1073"/>
      <c r="DW194" s="1116">
        <f>$G194</f>
        <v>0</v>
      </c>
      <c r="DX194" s="1117">
        <f>VLOOKUP($E194,DW$442:DZ$453,2,FALSE)*DW194*($K194)+IF($G194&lt;&gt;0,($H194/$G194)*DW194,0)*(1-$K194)</f>
        <v>0</v>
      </c>
      <c r="DY194" s="1117">
        <f>VLOOKUP($E194,DW$442:DZ$453,3,FALSE)*DW194*($K194)+IF($G194&lt;&gt;0,($I194/$G194)*DW194,0)*(1-$K194)</f>
        <v>0</v>
      </c>
      <c r="DZ194" s="1117">
        <f>VLOOKUP($E194,DW$442:DZ$453,4,FALSE)*DW194*($K194)+(DW194-DX194-DY194)*(1-$K194)</f>
        <v>0</v>
      </c>
      <c r="EA194" s="1073"/>
      <c r="EE194" s="1116">
        <f>$G194</f>
        <v>0</v>
      </c>
      <c r="EF194" s="1117">
        <f>VLOOKUP($E194,EE$442:EH$453,2,FALSE)*EE194*($K194)+IF($G194&lt;&gt;0,($H194/$G194)*EE194,0)*(1-$K194)</f>
        <v>0</v>
      </c>
      <c r="EG194" s="1117">
        <f>VLOOKUP($E194,EE$442:EH$453,3,FALSE)*EE194*($K194)+IF($G194&lt;&gt;0,($I194/$G194)*EE194,0)*(1-$K194)</f>
        <v>0</v>
      </c>
      <c r="EH194" s="1117">
        <f>VLOOKUP($E194,EE$442:EH$453,4,FALSE)*EE194*($K194)+(EE194-EF194-EG194)*(1-$K194)</f>
        <v>0</v>
      </c>
      <c r="EI194" s="1073"/>
      <c r="EM194" s="1116">
        <f>$G194</f>
        <v>0</v>
      </c>
      <c r="EN194" s="1117">
        <f>VLOOKUP($E194,EM$442:EP$453,2,FALSE)*EM194*($K194)+IF($G194&lt;&gt;0,($H194/$G194)*EM194,0)*(1-$K194)</f>
        <v>0</v>
      </c>
      <c r="EO194" s="1117">
        <f>VLOOKUP($E194,EM$442:EP$453,3,FALSE)*EM194*($K194)+IF($G194&lt;&gt;0,($I194/$G194)*EM194,0)*(1-$K194)</f>
        <v>0</v>
      </c>
      <c r="EP194" s="1117">
        <f>VLOOKUP($E194,EM$442:EP$453,4,FALSE)*EM194*($K194)+(EM194-EN194-EO194)*(1-$K194)</f>
        <v>0</v>
      </c>
      <c r="EQ194" s="1073"/>
      <c r="EU194" s="1116">
        <f>$G194</f>
        <v>0</v>
      </c>
      <c r="EV194" s="1117">
        <f>VLOOKUP($E194,EU$442:EX$453,2,FALSE)*EU194*($K194)+IF($G194&lt;&gt;0,($H194/$G194)*EU194,0)*(1-$K194)</f>
        <v>0</v>
      </c>
      <c r="EW194" s="1117">
        <f>VLOOKUP($E194,EU$442:EX$453,3,FALSE)*EU194*($K194)+IF($G194&lt;&gt;0,($I194/$G194)*EU194,0)*(1-$K194)</f>
        <v>0</v>
      </c>
      <c r="EX194" s="1117">
        <f>VLOOKUP($E194,EU$442:EX$453,4,FALSE)*EU194*($K194)+(EU194-EV194-EW194)*(1-$K194)</f>
        <v>0</v>
      </c>
      <c r="EY194" s="1073"/>
      <c r="FC194" s="1116">
        <f>$G194</f>
        <v>0</v>
      </c>
      <c r="FD194" s="1117">
        <f>VLOOKUP($E194,FC$442:FF$453,2,FALSE)*FC194*($K194)+IF($G194&lt;&gt;0,($H194/$G194)*FC194,0)*(1-$K194)</f>
        <v>0</v>
      </c>
      <c r="FE194" s="1117">
        <f>VLOOKUP($E194,FC$442:FF$453,3,FALSE)*FC194*($K194)+IF($G194&lt;&gt;0,($I194/$G194)*FC194,0)*(1-$K194)</f>
        <v>0</v>
      </c>
      <c r="FF194" s="1117">
        <f>VLOOKUP($E194,FC$442:FF$453,4,FALSE)*FC194*($K194)+(FC194-FD194-FE194)*(1-$K194)</f>
        <v>0</v>
      </c>
      <c r="FG194" s="1073"/>
      <c r="FK194" s="1116">
        <f>$G194</f>
        <v>0</v>
      </c>
      <c r="FL194" s="1117">
        <f>VLOOKUP($E194,FK$442:FN$453,2,FALSE)*FK194*($K194)+IF($G194&lt;&gt;0,($H194/$G194)*FK194,0)*(1-$K194)</f>
        <v>0</v>
      </c>
      <c r="FM194" s="1117">
        <f>VLOOKUP($E194,FK$442:FN$453,3,FALSE)*FK194*($K194)+IF($G194&lt;&gt;0,($I194/$G194)*FK194,0)*(1-$K194)</f>
        <v>0</v>
      </c>
      <c r="FN194" s="1117">
        <f>VLOOKUP($E194,FK$442:FN$453,4,FALSE)*FK194*($K194)+(FK194-FL194-FM194)*(1-$K194)</f>
        <v>0</v>
      </c>
      <c r="FO194" s="1073"/>
    </row>
    <row r="195" spans="1:171">
      <c r="A195" s="1423"/>
      <c r="B195" s="913" t="s">
        <v>506</v>
      </c>
      <c r="C195" s="888"/>
      <c r="D195" s="889"/>
      <c r="E195" s="182" t="str">
        <f>'Sch 3 - Expenses'!E35</f>
        <v>DIRECT</v>
      </c>
      <c r="F195" s="889"/>
      <c r="G195" s="182">
        <f>'Sch 3 - Expenses'!G35</f>
        <v>0</v>
      </c>
      <c r="H195" s="182">
        <f>'Sch 3 - Expenses'!H35</f>
        <v>0</v>
      </c>
      <c r="I195" s="182">
        <f>'Sch 3 - Expenses'!I35</f>
        <v>0</v>
      </c>
      <c r="J195" s="1424">
        <f>'Sch 3 - Expenses'!J35</f>
        <v>0</v>
      </c>
      <c r="K195" s="903">
        <f t="shared" si="547"/>
        <v>0</v>
      </c>
      <c r="O195" s="1116">
        <f>$G195</f>
        <v>0</v>
      </c>
      <c r="P195" s="1117">
        <f>VLOOKUP($E195,O$442:R$453,2,FALSE)*O195*($K195)+IF($G195&lt;&gt;0,($H195/$G195)*O195,0)*(1-$K195)</f>
        <v>0</v>
      </c>
      <c r="Q195" s="1117">
        <f>VLOOKUP($E195,O$442:R$453,3,FALSE)*O195*($K195)+IF($G195&lt;&gt;0,($I195/$G195)*O195,0)*(1-$K195)</f>
        <v>0</v>
      </c>
      <c r="R195" s="1117">
        <f>VLOOKUP($E195,O$442:R$453,4,FALSE)*O195*($K195)+(O195-P195-Q195)*(1-$K195)</f>
        <v>0</v>
      </c>
      <c r="S195" s="1073"/>
      <c r="W195" s="1116">
        <f>$G195</f>
        <v>0</v>
      </c>
      <c r="X195" s="1117">
        <f>VLOOKUP($E195,W$442:Z$453,2,FALSE)*W195*($K195)+IF($G195&lt;&gt;0,($H195/$G195)*W195,0)*(1-$K195)</f>
        <v>0</v>
      </c>
      <c r="Y195" s="1117">
        <f>VLOOKUP($E195,W$442:Z$453,3,FALSE)*W195*($K195)+IF($G195&lt;&gt;0,($I195/$G195)*W195,0)*(1-$K195)</f>
        <v>0</v>
      </c>
      <c r="Z195" s="1117">
        <f>VLOOKUP($E195,W$442:Z$453,4,FALSE)*W195*($K195)+(W195-X195-Y195)*(1-$K195)</f>
        <v>0</v>
      </c>
      <c r="AA195" s="1073"/>
      <c r="AE195" s="1116">
        <f>$G195</f>
        <v>0</v>
      </c>
      <c r="AF195" s="1117">
        <f>VLOOKUP($E195,AE$442:AH$453,2,FALSE)*AE195*($K195)+IF($G195&lt;&gt;0,($H195/$G195)*AE195,0)*(1-$K195)</f>
        <v>0</v>
      </c>
      <c r="AG195" s="1117">
        <f>VLOOKUP($E195,AE$442:AH$453,3,FALSE)*AE195*($K195)+IF($G195&lt;&gt;0,($I195/$G195)*AE195,0)*(1-$K195)</f>
        <v>0</v>
      </c>
      <c r="AH195" s="1117">
        <f>VLOOKUP($E195,AE$442:AH$453,4,FALSE)*AE195*($K195)+(AE195-AF195-AG195)*(1-$K195)</f>
        <v>0</v>
      </c>
      <c r="AI195" s="1073"/>
      <c r="AM195" s="1116">
        <f>$G195</f>
        <v>0</v>
      </c>
      <c r="AN195" s="1117">
        <f>VLOOKUP($E195,AM$442:AP$453,2,FALSE)*AM195*($K195)+IF($G195&lt;&gt;0,($H195/$G195)*AM195,0)*(1-$K195)</f>
        <v>0</v>
      </c>
      <c r="AO195" s="1117">
        <f>VLOOKUP($E195,AM$442:AP$453,3,FALSE)*AM195*($K195)+IF($G195&lt;&gt;0,($I195/$G195)*AM195,0)*(1-$K195)</f>
        <v>0</v>
      </c>
      <c r="AP195" s="1117">
        <f>VLOOKUP($E195,AM$442:AP$453,4,FALSE)*AM195*($K195)+(AM195-AN195-AO195)*(1-$K195)</f>
        <v>0</v>
      </c>
      <c r="AQ195" s="1073"/>
      <c r="AU195" s="1116">
        <f>$G195</f>
        <v>0</v>
      </c>
      <c r="AV195" s="1117">
        <f>VLOOKUP($E195,AU$442:AX$453,2,FALSE)*AU195*($K195)+IF($G195&lt;&gt;0,($H195/$G195)*AU195,0)*(1-$K195)</f>
        <v>0</v>
      </c>
      <c r="AW195" s="1117">
        <f>VLOOKUP($E195,AU$442:AX$453,3,FALSE)*AU195*($K195)+IF($G195&lt;&gt;0,($I195/$G195)*AU195,0)*(1-$K195)</f>
        <v>0</v>
      </c>
      <c r="AX195" s="1117">
        <f>VLOOKUP($E195,AU$442:AX$453,4,FALSE)*AU195*($K195)+(AU195-AV195-AW195)*(1-$K195)</f>
        <v>0</v>
      </c>
      <c r="AY195" s="1073"/>
      <c r="BC195" s="1116">
        <f>$G195</f>
        <v>0</v>
      </c>
      <c r="BD195" s="1117">
        <f>VLOOKUP($E195,BC$442:BF$453,2,FALSE)*BC195*($K195)+IF($G195&lt;&gt;0,($H195/$G195)*BC195,0)*(1-$K195)</f>
        <v>0</v>
      </c>
      <c r="BE195" s="1117">
        <f>VLOOKUP($E195,BC$442:BF$453,3,FALSE)*BC195*($K195)+IF($G195&lt;&gt;0,($I195/$G195)*BC195,0)*(1-$K195)</f>
        <v>0</v>
      </c>
      <c r="BF195" s="1117">
        <f>VLOOKUP($E195,BC$442:BF$453,4,FALSE)*BC195*($K195)+(BC195-BD195-BE195)*(1-$K195)</f>
        <v>0</v>
      </c>
      <c r="BG195" s="1073"/>
      <c r="BK195" s="1116">
        <f>$G195</f>
        <v>0</v>
      </c>
      <c r="BL195" s="1117">
        <f>VLOOKUP($E195,BK$442:BN$453,2,FALSE)*BK195*($K195)+IF($G195&lt;&gt;0,($H195/$G195)*BK195,0)*(1-$K195)</f>
        <v>0</v>
      </c>
      <c r="BM195" s="1117">
        <f>VLOOKUP($E195,BK$442:BN$453,3,FALSE)*BK195*($K195)+IF($G195&lt;&gt;0,($I195/$G195)*BK195,0)*(1-$K195)</f>
        <v>0</v>
      </c>
      <c r="BN195" s="1117">
        <f>VLOOKUP($E195,BK$442:BN$453,4,FALSE)*BK195*($K195)+(BK195-BL195-BM195)*(1-$K195)</f>
        <v>0</v>
      </c>
      <c r="BO195" s="1073"/>
      <c r="BS195" s="1116">
        <f>$G195</f>
        <v>0</v>
      </c>
      <c r="BT195" s="1117">
        <f>VLOOKUP($E195,BS$442:BV$453,2,FALSE)*BS195*($K195)+IF($G195&lt;&gt;0,($H195/$G195)*BS195,0)*(1-$K195)</f>
        <v>0</v>
      </c>
      <c r="BU195" s="1117">
        <f>VLOOKUP($E195,BS$442:BV$453,3,FALSE)*BS195*($K195)+IF($G195&lt;&gt;0,($I195/$G195)*BS195,0)*(1-$K195)</f>
        <v>0</v>
      </c>
      <c r="BV195" s="1117">
        <f>VLOOKUP($E195,BS$442:BV$453,4,FALSE)*BS195*($K195)+(BS195-BT195-BU195)*(1-$K195)</f>
        <v>0</v>
      </c>
      <c r="BW195" s="1073"/>
      <c r="CA195" s="1116">
        <f>$G195</f>
        <v>0</v>
      </c>
      <c r="CB195" s="1117">
        <f>VLOOKUP($E195,CA$442:CD$453,2,FALSE)*CA195*($K195)+IF($G195&lt;&gt;0,($H195/$G195)*CA195,0)*(1-$K195)</f>
        <v>0</v>
      </c>
      <c r="CC195" s="1117">
        <f>VLOOKUP($E195,CA$442:CD$453,3,FALSE)*CA195*($K195)+IF($G195&lt;&gt;0,($I195/$G195)*CA195,0)*(1-$K195)</f>
        <v>0</v>
      </c>
      <c r="CD195" s="1117">
        <f>VLOOKUP($E195,CA$442:CD$453,4,FALSE)*CA195*($K195)+(CA195-CB195-CC195)*(1-$K195)</f>
        <v>0</v>
      </c>
      <c r="CE195" s="1073"/>
      <c r="CI195" s="1116">
        <f>$G195</f>
        <v>0</v>
      </c>
      <c r="CJ195" s="1117">
        <f>VLOOKUP($E195,CI$442:CL$453,2,FALSE)*CI195*($K195)+IF($G195&lt;&gt;0,($H195/$G195)*CI195,0)*(1-$K195)</f>
        <v>0</v>
      </c>
      <c r="CK195" s="1117">
        <f>VLOOKUP($E195,CI$442:CL$453,3,FALSE)*CI195*($K195)+IF($G195&lt;&gt;0,($I195/$G195)*CI195,0)*(1-$K195)</f>
        <v>0</v>
      </c>
      <c r="CL195" s="1117">
        <f>VLOOKUP($E195,CI$442:CL$453,4,FALSE)*CI195*($K195)+(CI195-CJ195-CK195)*(1-$K195)</f>
        <v>0</v>
      </c>
      <c r="CM195" s="1073"/>
      <c r="CQ195" s="1116">
        <f>$G195</f>
        <v>0</v>
      </c>
      <c r="CR195" s="1117">
        <f>VLOOKUP($E195,CQ$442:CT$453,2,FALSE)*CQ195*($K195)+IF($G195&lt;&gt;0,($H195/$G195)*CQ195,0)*(1-$K195)</f>
        <v>0</v>
      </c>
      <c r="CS195" s="1117">
        <f>VLOOKUP($E195,CQ$442:CT$453,3,FALSE)*CQ195*($K195)+IF($G195&lt;&gt;0,($I195/$G195)*CQ195,0)*(1-$K195)</f>
        <v>0</v>
      </c>
      <c r="CT195" s="1117">
        <f>VLOOKUP($E195,CQ$442:CT$453,4,FALSE)*CQ195*($K195)+(CQ195-CR195-CS195)*(1-$K195)</f>
        <v>0</v>
      </c>
      <c r="CU195" s="1073"/>
      <c r="CY195" s="1116">
        <f>$G195</f>
        <v>0</v>
      </c>
      <c r="CZ195" s="1117">
        <f>VLOOKUP($E195,CY$442:DB$453,2,FALSE)*CY195*($K195)+IF($G195&lt;&gt;0,($H195/$G195)*CY195,0)*(1-$K195)</f>
        <v>0</v>
      </c>
      <c r="DA195" s="1117">
        <f>VLOOKUP($E195,CY$442:DB$453,3,FALSE)*CY195*($K195)+IF($G195&lt;&gt;0,($I195/$G195)*CY195,0)*(1-$K195)</f>
        <v>0</v>
      </c>
      <c r="DB195" s="1117">
        <f>VLOOKUP($E195,CY$442:DB$453,4,FALSE)*CY195*($K195)+(CY195-CZ195-DA195)*(1-$K195)</f>
        <v>0</v>
      </c>
      <c r="DC195" s="1073"/>
      <c r="DG195" s="1116">
        <f>$G195</f>
        <v>0</v>
      </c>
      <c r="DH195" s="1117">
        <f>VLOOKUP($E195,DG$442:DJ$453,2,FALSE)*DG195*($K195)+IF($G195&lt;&gt;0,($H195/$G195)*DG195,0)*(1-$K195)</f>
        <v>0</v>
      </c>
      <c r="DI195" s="1117">
        <f>VLOOKUP($E195,DG$442:DJ$453,3,FALSE)*DG195*($K195)+IF($G195&lt;&gt;0,($I195/$G195)*DG195,0)*(1-$K195)</f>
        <v>0</v>
      </c>
      <c r="DJ195" s="1117">
        <f>VLOOKUP($E195,DG$442:DJ$453,4,FALSE)*DG195*($K195)+(DG195-DH195-DI195)*(1-$K195)</f>
        <v>0</v>
      </c>
      <c r="DK195" s="1073"/>
      <c r="DO195" s="1116">
        <f>$G195</f>
        <v>0</v>
      </c>
      <c r="DP195" s="1117">
        <f>VLOOKUP($E195,DO$442:DR$453,2,FALSE)*DO195*($K195)+IF($G195&lt;&gt;0,($H195/$G195)*DO195,0)*(1-$K195)</f>
        <v>0</v>
      </c>
      <c r="DQ195" s="1117">
        <f>VLOOKUP($E195,DO$442:DR$453,3,FALSE)*DO195*($K195)+IF($G195&lt;&gt;0,($I195/$G195)*DO195,0)*(1-$K195)</f>
        <v>0</v>
      </c>
      <c r="DR195" s="1117">
        <f>VLOOKUP($E195,DO$442:DR$453,4,FALSE)*DO195*($K195)+(DO195-DP195-DQ195)*(1-$K195)</f>
        <v>0</v>
      </c>
      <c r="DS195" s="1073"/>
      <c r="DW195" s="1116">
        <f>$G195</f>
        <v>0</v>
      </c>
      <c r="DX195" s="1117">
        <f>VLOOKUP($E195,DW$442:DZ$453,2,FALSE)*DW195*($K195)+IF($G195&lt;&gt;0,($H195/$G195)*DW195,0)*(1-$K195)</f>
        <v>0</v>
      </c>
      <c r="DY195" s="1117">
        <f>VLOOKUP($E195,DW$442:DZ$453,3,FALSE)*DW195*($K195)+IF($G195&lt;&gt;0,($I195/$G195)*DW195,0)*(1-$K195)</f>
        <v>0</v>
      </c>
      <c r="DZ195" s="1117">
        <f>VLOOKUP($E195,DW$442:DZ$453,4,FALSE)*DW195*($K195)+(DW195-DX195-DY195)*(1-$K195)</f>
        <v>0</v>
      </c>
      <c r="EA195" s="1073"/>
      <c r="EE195" s="1116">
        <f>$G195</f>
        <v>0</v>
      </c>
      <c r="EF195" s="1117">
        <f>VLOOKUP($E195,EE$442:EH$453,2,FALSE)*EE195*($K195)+IF($G195&lt;&gt;0,($H195/$G195)*EE195,0)*(1-$K195)</f>
        <v>0</v>
      </c>
      <c r="EG195" s="1117">
        <f>VLOOKUP($E195,EE$442:EH$453,3,FALSE)*EE195*($K195)+IF($G195&lt;&gt;0,($I195/$G195)*EE195,0)*(1-$K195)</f>
        <v>0</v>
      </c>
      <c r="EH195" s="1117">
        <f>VLOOKUP($E195,EE$442:EH$453,4,FALSE)*EE195*($K195)+(EE195-EF195-EG195)*(1-$K195)</f>
        <v>0</v>
      </c>
      <c r="EI195" s="1073"/>
      <c r="EM195" s="1116">
        <f>$G195</f>
        <v>0</v>
      </c>
      <c r="EN195" s="1117">
        <f>VLOOKUP($E195,EM$442:EP$453,2,FALSE)*EM195*($K195)+IF($G195&lt;&gt;0,($H195/$G195)*EM195,0)*(1-$K195)</f>
        <v>0</v>
      </c>
      <c r="EO195" s="1117">
        <f>VLOOKUP($E195,EM$442:EP$453,3,FALSE)*EM195*($K195)+IF($G195&lt;&gt;0,($I195/$G195)*EM195,0)*(1-$K195)</f>
        <v>0</v>
      </c>
      <c r="EP195" s="1117">
        <f>VLOOKUP($E195,EM$442:EP$453,4,FALSE)*EM195*($K195)+(EM195-EN195-EO195)*(1-$K195)</f>
        <v>0</v>
      </c>
      <c r="EQ195" s="1073"/>
      <c r="EU195" s="1116">
        <f>$G195</f>
        <v>0</v>
      </c>
      <c r="EV195" s="1117">
        <f>VLOOKUP($E195,EU$442:EX$453,2,FALSE)*EU195*($K195)+IF($G195&lt;&gt;0,($H195/$G195)*EU195,0)*(1-$K195)</f>
        <v>0</v>
      </c>
      <c r="EW195" s="1117">
        <f>VLOOKUP($E195,EU$442:EX$453,3,FALSE)*EU195*($K195)+IF($G195&lt;&gt;0,($I195/$G195)*EU195,0)*(1-$K195)</f>
        <v>0</v>
      </c>
      <c r="EX195" s="1117">
        <f>VLOOKUP($E195,EU$442:EX$453,4,FALSE)*EU195*($K195)+(EU195-EV195-EW195)*(1-$K195)</f>
        <v>0</v>
      </c>
      <c r="EY195" s="1073"/>
      <c r="FC195" s="1116">
        <f>$G195</f>
        <v>0</v>
      </c>
      <c r="FD195" s="1117">
        <f>VLOOKUP($E195,FC$442:FF$453,2,FALSE)*FC195*($K195)+IF($G195&lt;&gt;0,($H195/$G195)*FC195,0)*(1-$K195)</f>
        <v>0</v>
      </c>
      <c r="FE195" s="1117">
        <f>VLOOKUP($E195,FC$442:FF$453,3,FALSE)*FC195*($K195)+IF($G195&lt;&gt;0,($I195/$G195)*FC195,0)*(1-$K195)</f>
        <v>0</v>
      </c>
      <c r="FF195" s="1117">
        <f>VLOOKUP($E195,FC$442:FF$453,4,FALSE)*FC195*($K195)+(FC195-FD195-FE195)*(1-$K195)</f>
        <v>0</v>
      </c>
      <c r="FG195" s="1073"/>
      <c r="FK195" s="1116">
        <f>$G195</f>
        <v>0</v>
      </c>
      <c r="FL195" s="1117">
        <f>VLOOKUP($E195,FK$442:FN$453,2,FALSE)*FK195*($K195)+IF($G195&lt;&gt;0,($H195/$G195)*FK195,0)*(1-$K195)</f>
        <v>0</v>
      </c>
      <c r="FM195" s="1117">
        <f>VLOOKUP($E195,FK$442:FN$453,3,FALSE)*FK195*($K195)+IF($G195&lt;&gt;0,($I195/$G195)*FK195,0)*(1-$K195)</f>
        <v>0</v>
      </c>
      <c r="FN195" s="1117">
        <f>VLOOKUP($E195,FK$442:FN$453,4,FALSE)*FK195*($K195)+(FK195-FL195-FM195)*(1-$K195)</f>
        <v>0</v>
      </c>
      <c r="FO195" s="1073"/>
    </row>
    <row r="196" spans="1:171">
      <c r="A196" s="1345" t="s">
        <v>485</v>
      </c>
      <c r="B196" s="10"/>
      <c r="C196" s="914"/>
      <c r="D196" s="915"/>
      <c r="E196" s="915"/>
      <c r="F196" s="916"/>
      <c r="G196" s="923">
        <f>SUM(G176:G195)</f>
        <v>485623392</v>
      </c>
      <c r="H196" s="923">
        <f>SUM(H176:H195)</f>
        <v>485623392</v>
      </c>
      <c r="I196" s="923">
        <f>SUM(I176:I195)</f>
        <v>0</v>
      </c>
      <c r="J196" s="1431">
        <f>SUM(J176:J195)</f>
        <v>0</v>
      </c>
      <c r="K196" s="903"/>
      <c r="O196" s="1135">
        <f>SUM(O176:O195)</f>
        <v>485623392</v>
      </c>
      <c r="P196" s="1135">
        <f>SUM(P176:P195)</f>
        <v>485623392</v>
      </c>
      <c r="Q196" s="1135">
        <f>SUM(Q176:Q195)</f>
        <v>0</v>
      </c>
      <c r="R196" s="1135">
        <f>SUM(R176:R195)</f>
        <v>0</v>
      </c>
      <c r="S196" s="1073"/>
      <c r="W196" s="1135">
        <f>SUM(W176:W195)</f>
        <v>485623392</v>
      </c>
      <c r="X196" s="1135">
        <f>SUM(X176:X195)</f>
        <v>485623392</v>
      </c>
      <c r="Y196" s="1135">
        <f>SUM(Y176:Y195)</f>
        <v>0</v>
      </c>
      <c r="Z196" s="1135">
        <f>SUM(Z176:Z195)</f>
        <v>0</v>
      </c>
      <c r="AA196" s="1073"/>
      <c r="AE196" s="1135">
        <f>SUM(AE176:AE195)</f>
        <v>485623392</v>
      </c>
      <c r="AF196" s="1135">
        <f>SUM(AF176:AF195)</f>
        <v>485623392</v>
      </c>
      <c r="AG196" s="1135">
        <f>SUM(AG176:AG195)</f>
        <v>0</v>
      </c>
      <c r="AH196" s="1135">
        <f>SUM(AH176:AH195)</f>
        <v>0</v>
      </c>
      <c r="AI196" s="1073"/>
      <c r="AM196" s="1135">
        <f>SUM(AM176:AM195)</f>
        <v>485623392</v>
      </c>
      <c r="AN196" s="1135">
        <f>SUM(AN176:AN195)</f>
        <v>485623392</v>
      </c>
      <c r="AO196" s="1135">
        <f>SUM(AO176:AO195)</f>
        <v>0</v>
      </c>
      <c r="AP196" s="1135">
        <f>SUM(AP176:AP195)</f>
        <v>0</v>
      </c>
      <c r="AQ196" s="1073"/>
      <c r="AU196" s="1135">
        <f>SUM(AU176:AU195)</f>
        <v>485623392</v>
      </c>
      <c r="AV196" s="1135">
        <f>SUM(AV176:AV195)</f>
        <v>485623392</v>
      </c>
      <c r="AW196" s="1135">
        <f>SUM(AW176:AW195)</f>
        <v>0</v>
      </c>
      <c r="AX196" s="1135">
        <f>SUM(AX176:AX195)</f>
        <v>0</v>
      </c>
      <c r="AY196" s="1073"/>
      <c r="BC196" s="1135">
        <f>SUM(BC176:BC195)</f>
        <v>485623392</v>
      </c>
      <c r="BD196" s="1135">
        <f>SUM(BD176:BD195)</f>
        <v>485623392</v>
      </c>
      <c r="BE196" s="1135">
        <f>SUM(BE176:BE195)</f>
        <v>0</v>
      </c>
      <c r="BF196" s="1135">
        <f>SUM(BF176:BF195)</f>
        <v>0</v>
      </c>
      <c r="BG196" s="1073"/>
      <c r="BK196" s="1135">
        <f>SUM(BK176:BK195)</f>
        <v>485623392</v>
      </c>
      <c r="BL196" s="1135">
        <f>SUM(BL176:BL195)</f>
        <v>485623392</v>
      </c>
      <c r="BM196" s="1135">
        <f>SUM(BM176:BM195)</f>
        <v>0</v>
      </c>
      <c r="BN196" s="1135">
        <f>SUM(BN176:BN195)</f>
        <v>0</v>
      </c>
      <c r="BO196" s="1073"/>
      <c r="BS196" s="1135">
        <f>SUM(BS176:BS195)</f>
        <v>485623392</v>
      </c>
      <c r="BT196" s="1135">
        <f>SUM(BT176:BT195)</f>
        <v>485623392</v>
      </c>
      <c r="BU196" s="1135">
        <f>SUM(BU176:BU195)</f>
        <v>0</v>
      </c>
      <c r="BV196" s="1135">
        <f>SUM(BV176:BV195)</f>
        <v>0</v>
      </c>
      <c r="BW196" s="1073"/>
      <c r="CA196" s="1135">
        <f>SUM(CA176:CA195)</f>
        <v>485623392</v>
      </c>
      <c r="CB196" s="1135">
        <f>SUM(CB176:CB195)</f>
        <v>485623392</v>
      </c>
      <c r="CC196" s="1135">
        <f>SUM(CC176:CC195)</f>
        <v>0</v>
      </c>
      <c r="CD196" s="1135">
        <f>SUM(CD176:CD195)</f>
        <v>0</v>
      </c>
      <c r="CE196" s="1073"/>
      <c r="CI196" s="1135">
        <f>SUM(CI176:CI195)</f>
        <v>485623392</v>
      </c>
      <c r="CJ196" s="1135">
        <f>SUM(CJ176:CJ195)</f>
        <v>485623392</v>
      </c>
      <c r="CK196" s="1135">
        <f>SUM(CK176:CK195)</f>
        <v>0</v>
      </c>
      <c r="CL196" s="1135">
        <f>SUM(CL176:CL195)</f>
        <v>0</v>
      </c>
      <c r="CM196" s="1073"/>
      <c r="CQ196" s="1135">
        <f>SUM(CQ176:CQ195)</f>
        <v>485623392</v>
      </c>
      <c r="CR196" s="1135">
        <f>SUM(CR176:CR195)</f>
        <v>485623392</v>
      </c>
      <c r="CS196" s="1135">
        <f>SUM(CS176:CS195)</f>
        <v>0</v>
      </c>
      <c r="CT196" s="1135">
        <f>SUM(CT176:CT195)</f>
        <v>0</v>
      </c>
      <c r="CU196" s="1073"/>
      <c r="CY196" s="1135">
        <f>SUM(CY176:CY195)</f>
        <v>485623392</v>
      </c>
      <c r="CZ196" s="1135">
        <f>SUM(CZ176:CZ195)</f>
        <v>485623392</v>
      </c>
      <c r="DA196" s="1135">
        <f>SUM(DA176:DA195)</f>
        <v>0</v>
      </c>
      <c r="DB196" s="1135">
        <f>SUM(DB176:DB195)</f>
        <v>0</v>
      </c>
      <c r="DC196" s="1073"/>
      <c r="DG196" s="1135">
        <f>SUM(DG176:DG195)</f>
        <v>485623392</v>
      </c>
      <c r="DH196" s="1135">
        <f>SUM(DH176:DH195)</f>
        <v>485623392</v>
      </c>
      <c r="DI196" s="1135">
        <f>SUM(DI176:DI195)</f>
        <v>0</v>
      </c>
      <c r="DJ196" s="1135">
        <f>SUM(DJ176:DJ195)</f>
        <v>0</v>
      </c>
      <c r="DK196" s="1073"/>
      <c r="DO196" s="1135">
        <f>SUM(DO176:DO195)</f>
        <v>485623392</v>
      </c>
      <c r="DP196" s="1135">
        <f>SUM(DP176:DP195)</f>
        <v>485623392</v>
      </c>
      <c r="DQ196" s="1135">
        <f>SUM(DQ176:DQ195)</f>
        <v>0</v>
      </c>
      <c r="DR196" s="1135">
        <f>SUM(DR176:DR195)</f>
        <v>0</v>
      </c>
      <c r="DS196" s="1073"/>
      <c r="DW196" s="1135">
        <f>SUM(DW176:DW195)</f>
        <v>485623392</v>
      </c>
      <c r="DX196" s="1135">
        <f>SUM(DX176:DX195)</f>
        <v>485623392</v>
      </c>
      <c r="DY196" s="1135">
        <f>SUM(DY176:DY195)</f>
        <v>0</v>
      </c>
      <c r="DZ196" s="1135">
        <f>SUM(DZ176:DZ195)</f>
        <v>0</v>
      </c>
      <c r="EA196" s="1073"/>
      <c r="EE196" s="1135">
        <f>SUM(EE176:EE195)</f>
        <v>485623392</v>
      </c>
      <c r="EF196" s="1135">
        <f>SUM(EF176:EF195)</f>
        <v>485623392</v>
      </c>
      <c r="EG196" s="1135">
        <f>SUM(EG176:EG195)</f>
        <v>0</v>
      </c>
      <c r="EH196" s="1135">
        <f>SUM(EH176:EH195)</f>
        <v>0</v>
      </c>
      <c r="EI196" s="1073"/>
      <c r="EM196" s="1135">
        <f>SUM(EM176:EM195)</f>
        <v>485623392</v>
      </c>
      <c r="EN196" s="1135">
        <f>SUM(EN176:EN195)</f>
        <v>485623392</v>
      </c>
      <c r="EO196" s="1135">
        <f>SUM(EO176:EO195)</f>
        <v>0</v>
      </c>
      <c r="EP196" s="1135">
        <f>SUM(EP176:EP195)</f>
        <v>0</v>
      </c>
      <c r="EQ196" s="1073"/>
      <c r="EU196" s="1135">
        <f>SUM(EU176:EU195)</f>
        <v>485623392</v>
      </c>
      <c r="EV196" s="1135">
        <f>SUM(EV176:EV195)</f>
        <v>485623392</v>
      </c>
      <c r="EW196" s="1135">
        <f>SUM(EW176:EW195)</f>
        <v>0</v>
      </c>
      <c r="EX196" s="1135">
        <f>SUM(EX176:EX195)</f>
        <v>0</v>
      </c>
      <c r="EY196" s="1073"/>
      <c r="FC196" s="1135">
        <f>SUM(FC176:FC195)</f>
        <v>485623392</v>
      </c>
      <c r="FD196" s="1135">
        <f>SUM(FD176:FD195)</f>
        <v>485623392</v>
      </c>
      <c r="FE196" s="1135">
        <f>SUM(FE176:FE195)</f>
        <v>0</v>
      </c>
      <c r="FF196" s="1135">
        <f>SUM(FF176:FF195)</f>
        <v>0</v>
      </c>
      <c r="FG196" s="1073"/>
      <c r="FK196" s="1135">
        <f>SUM(FK176:FK195)</f>
        <v>485623392</v>
      </c>
      <c r="FL196" s="1135">
        <f>SUM(FL176:FL195)</f>
        <v>485623392</v>
      </c>
      <c r="FM196" s="1135">
        <f>SUM(FM176:FM195)</f>
        <v>0</v>
      </c>
      <c r="FN196" s="1135">
        <f>SUM(FN176:FN195)</f>
        <v>0</v>
      </c>
      <c r="FO196" s="1073"/>
    </row>
    <row r="197" spans="1:171">
      <c r="A197" s="1373"/>
      <c r="B197" s="10"/>
      <c r="C197" s="55"/>
      <c r="D197" s="55"/>
      <c r="E197" s="64"/>
      <c r="F197" s="64"/>
      <c r="G197" s="989"/>
      <c r="H197" s="885"/>
      <c r="I197" s="885"/>
      <c r="J197" s="1436"/>
      <c r="K197" s="903"/>
      <c r="S197" s="1073"/>
      <c r="AA197" s="1073"/>
      <c r="AI197" s="1073"/>
      <c r="AQ197" s="1073"/>
      <c r="AY197" s="1073"/>
      <c r="BG197" s="1073"/>
      <c r="BO197" s="1073"/>
      <c r="BW197" s="1073"/>
      <c r="CE197" s="1073"/>
      <c r="CM197" s="1073"/>
      <c r="CU197" s="1073"/>
      <c r="DC197" s="1073"/>
      <c r="DK197" s="1073"/>
      <c r="DS197" s="1073"/>
      <c r="EA197" s="1073"/>
      <c r="EI197" s="1073"/>
      <c r="EQ197" s="1073"/>
      <c r="EY197" s="1073"/>
      <c r="FG197" s="1073"/>
      <c r="FO197" s="1073"/>
    </row>
    <row r="198" spans="1:171">
      <c r="A198" s="1362" t="s">
        <v>505</v>
      </c>
      <c r="B198" s="10"/>
      <c r="C198" s="55"/>
      <c r="D198" s="196"/>
      <c r="E198" s="10"/>
      <c r="F198" s="10"/>
      <c r="G198" s="989"/>
      <c r="H198" s="885"/>
      <c r="I198" s="885"/>
      <c r="J198" s="1436"/>
      <c r="K198" s="903"/>
      <c r="S198" s="1073"/>
      <c r="AA198" s="1073"/>
      <c r="AI198" s="1073"/>
      <c r="AQ198" s="1073"/>
      <c r="AY198" s="1073"/>
      <c r="BG198" s="1073"/>
      <c r="BO198" s="1073"/>
      <c r="BW198" s="1073"/>
      <c r="CE198" s="1073"/>
      <c r="CM198" s="1073"/>
      <c r="CU198" s="1073"/>
      <c r="DC198" s="1073"/>
      <c r="DK198" s="1073"/>
      <c r="DS198" s="1073"/>
      <c r="EA198" s="1073"/>
      <c r="EI198" s="1073"/>
      <c r="EQ198" s="1073"/>
      <c r="EY198" s="1073"/>
      <c r="FG198" s="1073"/>
      <c r="FO198" s="1073"/>
    </row>
    <row r="199" spans="1:171">
      <c r="A199" s="1444">
        <v>870</v>
      </c>
      <c r="B199" s="913" t="s">
        <v>402</v>
      </c>
      <c r="C199" s="888" t="s">
        <v>72</v>
      </c>
      <c r="D199" s="889" t="s">
        <v>486</v>
      </c>
      <c r="E199" s="182" t="str">
        <f>'Sch 3 - Expenses'!E39</f>
        <v>prod</v>
      </c>
      <c r="F199" s="889"/>
      <c r="G199" s="182">
        <f>'Sch 3 - Expenses'!G39</f>
        <v>19063436</v>
      </c>
      <c r="H199" s="182">
        <f>'Sch 3 - Expenses'!H39</f>
        <v>19063436</v>
      </c>
      <c r="I199" s="182">
        <f>'Sch 3 - Expenses'!I39</f>
        <v>0</v>
      </c>
      <c r="J199" s="1424">
        <f>'Sch 3 - Expenses'!J39</f>
        <v>0</v>
      </c>
      <c r="K199" s="903">
        <f>IF($E199="DIRECT",0,1)</f>
        <v>1</v>
      </c>
      <c r="N199" s="1161">
        <f>VLOOKUP($A199,'New Resources - Group'!$A$4:$Y$133,N$2,FALSE)*N$1</f>
        <v>0</v>
      </c>
      <c r="O199" s="1116">
        <f>$G199+N199</f>
        <v>19063436</v>
      </c>
      <c r="P199" s="1117">
        <f>VLOOKUP($E199,O$442:R$453,2,FALSE)*O199*($K199)+IF($G199&lt;&gt;0,($H199/$G199)*O199,0)*(1-$K199)</f>
        <v>19063436</v>
      </c>
      <c r="Q199" s="1117">
        <f>VLOOKUP($E199,O$442:R$453,3,FALSE)*O199*($K199)+IF($G199&lt;&gt;0,($I199/$G199)*O199,0)*(1-$K199)</f>
        <v>0</v>
      </c>
      <c r="R199" s="1117">
        <f>VLOOKUP($E199,O$442:R$453,4,FALSE)*O199*($K199)+(O199-P199-Q199)*(1-$K199)</f>
        <v>0</v>
      </c>
      <c r="S199" s="1073"/>
      <c r="V199" s="1161">
        <f>VLOOKUP($A199,'New Resources - Group'!$A$4:$Y$133,V$2,FALSE)*V$1</f>
        <v>0</v>
      </c>
      <c r="W199" s="1116">
        <f>$G199+V199</f>
        <v>19063436</v>
      </c>
      <c r="X199" s="1117">
        <f>VLOOKUP($E199,W$442:Z$453,2,FALSE)*W199*($K199)+IF($G199&lt;&gt;0,($H199/$G199)*W199,0)*(1-$K199)</f>
        <v>19063436</v>
      </c>
      <c r="Y199" s="1117">
        <f>VLOOKUP($E199,W$442:Z$453,3,FALSE)*W199*($K199)+IF($G199&lt;&gt;0,($I199/$G199)*W199,0)*(1-$K199)</f>
        <v>0</v>
      </c>
      <c r="Z199" s="1117">
        <f>VLOOKUP($E199,W$442:Z$453,4,FALSE)*W199*($K199)+(W199-X199-Y199)*(1-$K199)</f>
        <v>0</v>
      </c>
      <c r="AA199" s="1073"/>
      <c r="AD199" s="1161">
        <f>VLOOKUP($A199,'New Resources - Group'!$A$4:$Y$133,AD$2,FALSE)*AD$1</f>
        <v>0</v>
      </c>
      <c r="AE199" s="1116">
        <f>$G199+AD199</f>
        <v>19063436</v>
      </c>
      <c r="AF199" s="1117">
        <f>VLOOKUP($E199,AE$442:AH$453,2,FALSE)*AE199*($K199)+IF($G199&lt;&gt;0,($H199/$G199)*AE199,0)*(1-$K199)</f>
        <v>19063436</v>
      </c>
      <c r="AG199" s="1117">
        <f>VLOOKUP($E199,AE$442:AH$453,3,FALSE)*AE199*($K199)+IF($G199&lt;&gt;0,($I199/$G199)*AE199,0)*(1-$K199)</f>
        <v>0</v>
      </c>
      <c r="AH199" s="1117">
        <f>VLOOKUP($E199,AE$442:AH$453,4,FALSE)*AE199*($K199)+(AE199-AF199-AG199)*(1-$K199)</f>
        <v>0</v>
      </c>
      <c r="AI199" s="1073"/>
      <c r="AL199" s="1161">
        <f>VLOOKUP($A199,'New Resources - Group'!$A$4:$Y$133,AL$2,FALSE)*AL$1</f>
        <v>0</v>
      </c>
      <c r="AM199" s="1116">
        <f>$G199+AL199</f>
        <v>19063436</v>
      </c>
      <c r="AN199" s="1117">
        <f>VLOOKUP($E199,AM$442:AP$453,2,FALSE)*AM199*($K199)+IF($G199&lt;&gt;0,($H199/$G199)*AM199,0)*(1-$K199)</f>
        <v>19063436</v>
      </c>
      <c r="AO199" s="1117">
        <f>VLOOKUP($E199,AM$442:AP$453,3,FALSE)*AM199*($K199)+IF($G199&lt;&gt;0,($I199/$G199)*AM199,0)*(1-$K199)</f>
        <v>0</v>
      </c>
      <c r="AP199" s="1117">
        <f>VLOOKUP($E199,AM$442:AP$453,4,FALSE)*AM199*($K199)+(AM199-AN199-AO199)*(1-$K199)</f>
        <v>0</v>
      </c>
      <c r="AQ199" s="1073"/>
      <c r="AT199" s="1161">
        <f>VLOOKUP($A199,'New Resources - Group'!$A$4:$Y$133,AT$2,FALSE)*AT$1</f>
        <v>0</v>
      </c>
      <c r="AU199" s="1116">
        <f>$G199+AT199</f>
        <v>19063436</v>
      </c>
      <c r="AV199" s="1117">
        <f>VLOOKUP($E199,AU$442:AX$453,2,FALSE)*AU199*($K199)+IF($G199&lt;&gt;0,($H199/$G199)*AU199,0)*(1-$K199)</f>
        <v>19063436</v>
      </c>
      <c r="AW199" s="1117">
        <f>VLOOKUP($E199,AU$442:AX$453,3,FALSE)*AU199*($K199)+IF($G199&lt;&gt;0,($I199/$G199)*AU199,0)*(1-$K199)</f>
        <v>0</v>
      </c>
      <c r="AX199" s="1117">
        <f>VLOOKUP($E199,AU$442:AX$453,4,FALSE)*AU199*($K199)+(AU199-AV199-AW199)*(1-$K199)</f>
        <v>0</v>
      </c>
      <c r="AY199" s="1073"/>
      <c r="BB199" s="1161">
        <f>VLOOKUP($A199,'New Resources - Group'!$A$4:$Y$133,BB$2,FALSE)*BB$1</f>
        <v>0</v>
      </c>
      <c r="BC199" s="1116">
        <f>$G199+BB199</f>
        <v>19063436</v>
      </c>
      <c r="BD199" s="1117">
        <f>VLOOKUP($E199,BC$442:BF$453,2,FALSE)*BC199*($K199)+IF($G199&lt;&gt;0,($H199/$G199)*BC199,0)*(1-$K199)</f>
        <v>19063436</v>
      </c>
      <c r="BE199" s="1117">
        <f>VLOOKUP($E199,BC$442:BF$453,3,FALSE)*BC199*($K199)+IF($G199&lt;&gt;0,($I199/$G199)*BC199,0)*(1-$K199)</f>
        <v>0</v>
      </c>
      <c r="BF199" s="1117">
        <f>VLOOKUP($E199,BC$442:BF$453,4,FALSE)*BC199*($K199)+(BC199-BD199-BE199)*(1-$K199)</f>
        <v>0</v>
      </c>
      <c r="BG199" s="1073"/>
      <c r="BJ199" s="1161">
        <f>VLOOKUP($A199,'New Resources - Group'!$A$4:$Y$133,BJ$2,FALSE)*BJ$1</f>
        <v>0</v>
      </c>
      <c r="BK199" s="1116">
        <f>$G199+BJ199</f>
        <v>19063436</v>
      </c>
      <c r="BL199" s="1117">
        <f>VLOOKUP($E199,BK$442:BN$453,2,FALSE)*BK199*($K199)+IF($G199&lt;&gt;0,($H199/$G199)*BK199,0)*(1-$K199)</f>
        <v>19063436</v>
      </c>
      <c r="BM199" s="1117">
        <f>VLOOKUP($E199,BK$442:BN$453,3,FALSE)*BK199*($K199)+IF($G199&lt;&gt;0,($I199/$G199)*BK199,0)*(1-$K199)</f>
        <v>0</v>
      </c>
      <c r="BN199" s="1117">
        <f>VLOOKUP($E199,BK$442:BN$453,4,FALSE)*BK199*($K199)+(BK199-BL199-BM199)*(1-$K199)</f>
        <v>0</v>
      </c>
      <c r="BO199" s="1073"/>
      <c r="BR199" s="1161">
        <f>VLOOKUP($A199,'New Resources - Group'!$A$4:$Y$133,BR$2,FALSE)*BR$1</f>
        <v>0</v>
      </c>
      <c r="BS199" s="1116">
        <f>$G199+BR199</f>
        <v>19063436</v>
      </c>
      <c r="BT199" s="1117">
        <f>VLOOKUP($E199,BS$442:BV$453,2,FALSE)*BS199*($K199)+IF($G199&lt;&gt;0,($H199/$G199)*BS199,0)*(1-$K199)</f>
        <v>19063436</v>
      </c>
      <c r="BU199" s="1117">
        <f>VLOOKUP($E199,BS$442:BV$453,3,FALSE)*BS199*($K199)+IF($G199&lt;&gt;0,($I199/$G199)*BS199,0)*(1-$K199)</f>
        <v>0</v>
      </c>
      <c r="BV199" s="1117">
        <f>VLOOKUP($E199,BS$442:BV$453,4,FALSE)*BS199*($K199)+(BS199-BT199-BU199)*(1-$K199)</f>
        <v>0</v>
      </c>
      <c r="BW199" s="1073"/>
      <c r="BZ199" s="1161">
        <f>VLOOKUP($A199,'New Resources - Group'!$A$4:$Y$133,BZ$2,FALSE)*BZ$1</f>
        <v>0</v>
      </c>
      <c r="CA199" s="1116">
        <f>$G199+BZ199</f>
        <v>19063436</v>
      </c>
      <c r="CB199" s="1117">
        <f>VLOOKUP($E199,CA$442:CD$453,2,FALSE)*CA199*($K199)+IF($G199&lt;&gt;0,($H199/$G199)*CA199,0)*(1-$K199)</f>
        <v>19063436</v>
      </c>
      <c r="CC199" s="1117">
        <f>VLOOKUP($E199,CA$442:CD$453,3,FALSE)*CA199*($K199)+IF($G199&lt;&gt;0,($I199/$G199)*CA199,0)*(1-$K199)</f>
        <v>0</v>
      </c>
      <c r="CD199" s="1117">
        <f>VLOOKUP($E199,CA$442:CD$453,4,FALSE)*CA199*($K199)+(CA199-CB199-CC199)*(1-$K199)</f>
        <v>0</v>
      </c>
      <c r="CE199" s="1073"/>
      <c r="CH199" s="1161">
        <f>VLOOKUP($A199,'New Resources - Group'!$A$4:$Y$133,CH$2,FALSE)*CH$1</f>
        <v>0</v>
      </c>
      <c r="CI199" s="1116">
        <f>$G199+CH199</f>
        <v>19063436</v>
      </c>
      <c r="CJ199" s="1117">
        <f>VLOOKUP($E199,CI$442:CL$453,2,FALSE)*CI199*($K199)+IF($G199&lt;&gt;0,($H199/$G199)*CI199,0)*(1-$K199)</f>
        <v>19063436</v>
      </c>
      <c r="CK199" s="1117">
        <f>VLOOKUP($E199,CI$442:CL$453,3,FALSE)*CI199*($K199)+IF($G199&lt;&gt;0,($I199/$G199)*CI199,0)*(1-$K199)</f>
        <v>0</v>
      </c>
      <c r="CL199" s="1117">
        <f>VLOOKUP($E199,CI$442:CL$453,4,FALSE)*CI199*($K199)+(CI199-CJ199-CK199)*(1-$K199)</f>
        <v>0</v>
      </c>
      <c r="CM199" s="1073"/>
      <c r="CP199" s="1161">
        <f>VLOOKUP($A199,'New Resources - Group'!$A$4:$Y$133,CP$2,FALSE)*CP$1</f>
        <v>0</v>
      </c>
      <c r="CQ199" s="1116">
        <f>$G199+CP199</f>
        <v>19063436</v>
      </c>
      <c r="CR199" s="1117">
        <f>VLOOKUP($E199,CQ$442:CT$453,2,FALSE)*CQ199*($K199)+IF($G199&lt;&gt;0,($H199/$G199)*CQ199,0)*(1-$K199)</f>
        <v>19063436</v>
      </c>
      <c r="CS199" s="1117">
        <f>VLOOKUP($E199,CQ$442:CT$453,3,FALSE)*CQ199*($K199)+IF($G199&lt;&gt;0,($I199/$G199)*CQ199,0)*(1-$K199)</f>
        <v>0</v>
      </c>
      <c r="CT199" s="1117">
        <f>VLOOKUP($E199,CQ$442:CT$453,4,FALSE)*CQ199*($K199)+(CQ199-CR199-CS199)*(1-$K199)</f>
        <v>0</v>
      </c>
      <c r="CU199" s="1073"/>
      <c r="CX199" s="1161">
        <f>VLOOKUP($A199,'New Resources - Group'!$A$4:$Y$133,CX$2,FALSE)*CX$1</f>
        <v>0</v>
      </c>
      <c r="CY199" s="1116">
        <f>$G199+CX199</f>
        <v>19063436</v>
      </c>
      <c r="CZ199" s="1117">
        <f>VLOOKUP($E199,CY$442:DB$453,2,FALSE)*CY199*($K199)+IF($G199&lt;&gt;0,($H199/$G199)*CY199,0)*(1-$K199)</f>
        <v>19063436</v>
      </c>
      <c r="DA199" s="1117">
        <f>VLOOKUP($E199,CY$442:DB$453,3,FALSE)*CY199*($K199)+IF($G199&lt;&gt;0,($I199/$G199)*CY199,0)*(1-$K199)</f>
        <v>0</v>
      </c>
      <c r="DB199" s="1117">
        <f>VLOOKUP($E199,CY$442:DB$453,4,FALSE)*CY199*($K199)+(CY199-CZ199-DA199)*(1-$K199)</f>
        <v>0</v>
      </c>
      <c r="DC199" s="1073"/>
      <c r="DF199" s="1161">
        <f>VLOOKUP($A199,'New Resources - Group'!$A$4:$Y$133,DF$2,FALSE)*DF$1</f>
        <v>0</v>
      </c>
      <c r="DG199" s="1116">
        <f>$G199+DF199</f>
        <v>19063436</v>
      </c>
      <c r="DH199" s="1117">
        <f>VLOOKUP($E199,DG$442:DJ$453,2,FALSE)*DG199*($K199)+IF($G199&lt;&gt;0,($H199/$G199)*DG199,0)*(1-$K199)</f>
        <v>19063436</v>
      </c>
      <c r="DI199" s="1117">
        <f>VLOOKUP($E199,DG$442:DJ$453,3,FALSE)*DG199*($K199)+IF($G199&lt;&gt;0,($I199/$G199)*DG199,0)*(1-$K199)</f>
        <v>0</v>
      </c>
      <c r="DJ199" s="1117">
        <f>VLOOKUP($E199,DG$442:DJ$453,4,FALSE)*DG199*($K199)+(DG199-DH199-DI199)*(1-$K199)</f>
        <v>0</v>
      </c>
      <c r="DK199" s="1073"/>
      <c r="DN199" s="1161">
        <f>VLOOKUP($A199,'New Resources - Group'!$A$4:$Y$133,DN$2,FALSE)*DN$1</f>
        <v>0</v>
      </c>
      <c r="DO199" s="1116">
        <f>$G199+DN199</f>
        <v>19063436</v>
      </c>
      <c r="DP199" s="1117">
        <f>VLOOKUP($E199,DO$442:DR$453,2,FALSE)*DO199*($K199)+IF($G199&lt;&gt;0,($H199/$G199)*DO199,0)*(1-$K199)</f>
        <v>19063436</v>
      </c>
      <c r="DQ199" s="1117">
        <f>VLOOKUP($E199,DO$442:DR$453,3,FALSE)*DO199*($K199)+IF($G199&lt;&gt;0,($I199/$G199)*DO199,0)*(1-$K199)</f>
        <v>0</v>
      </c>
      <c r="DR199" s="1117">
        <f>VLOOKUP($E199,DO$442:DR$453,4,FALSE)*DO199*($K199)+(DO199-DP199-DQ199)*(1-$K199)</f>
        <v>0</v>
      </c>
      <c r="DS199" s="1073"/>
      <c r="DV199" s="1161">
        <f>VLOOKUP($A199,'New Resources - Group'!$A$4:$Y$133,DV$2,FALSE)*DV$1</f>
        <v>0</v>
      </c>
      <c r="DW199" s="1116">
        <f>$G199+DV199</f>
        <v>19063436</v>
      </c>
      <c r="DX199" s="1117">
        <f>VLOOKUP($E199,DW$442:DZ$453,2,FALSE)*DW199*($K199)+IF($G199&lt;&gt;0,($H199/$G199)*DW199,0)*(1-$K199)</f>
        <v>19063436</v>
      </c>
      <c r="DY199" s="1117">
        <f>VLOOKUP($E199,DW$442:DZ$453,3,FALSE)*DW199*($K199)+IF($G199&lt;&gt;0,($I199/$G199)*DW199,0)*(1-$K199)</f>
        <v>0</v>
      </c>
      <c r="DZ199" s="1117">
        <f>VLOOKUP($E199,DW$442:DZ$453,4,FALSE)*DW199*($K199)+(DW199-DX199-DY199)*(1-$K199)</f>
        <v>0</v>
      </c>
      <c r="EA199" s="1073"/>
      <c r="ED199" s="1161">
        <f>VLOOKUP($A199,'New Resources - Group'!$A$4:$Y$133,ED$2,FALSE)*ED$1</f>
        <v>0</v>
      </c>
      <c r="EE199" s="1116">
        <f>$G199+ED199</f>
        <v>19063436</v>
      </c>
      <c r="EF199" s="1117">
        <f>VLOOKUP($E199,EE$442:EH$453,2,FALSE)*EE199*($K199)+IF($G199&lt;&gt;0,($H199/$G199)*EE199,0)*(1-$K199)</f>
        <v>19063436</v>
      </c>
      <c r="EG199" s="1117">
        <f>VLOOKUP($E199,EE$442:EH$453,3,FALSE)*EE199*($K199)+IF($G199&lt;&gt;0,($I199/$G199)*EE199,0)*(1-$K199)</f>
        <v>0</v>
      </c>
      <c r="EH199" s="1117">
        <f>VLOOKUP($E199,EE$442:EH$453,4,FALSE)*EE199*($K199)+(EE199-EF199-EG199)*(1-$K199)</f>
        <v>0</v>
      </c>
      <c r="EI199" s="1073"/>
      <c r="EL199" s="1161">
        <f>VLOOKUP($A199,'New Resources - Group'!$A$4:$Y$133,EL$2,FALSE)*EL$1</f>
        <v>0</v>
      </c>
      <c r="EM199" s="1116">
        <f>$G199+EL199</f>
        <v>19063436</v>
      </c>
      <c r="EN199" s="1117">
        <f>VLOOKUP($E199,EM$442:EP$453,2,FALSE)*EM199*($K199)+IF($G199&lt;&gt;0,($H199/$G199)*EM199,0)*(1-$K199)</f>
        <v>19063436</v>
      </c>
      <c r="EO199" s="1117">
        <f>VLOOKUP($E199,EM$442:EP$453,3,FALSE)*EM199*($K199)+IF($G199&lt;&gt;0,($I199/$G199)*EM199,0)*(1-$K199)</f>
        <v>0</v>
      </c>
      <c r="EP199" s="1117">
        <f>VLOOKUP($E199,EM$442:EP$453,4,FALSE)*EM199*($K199)+(EM199-EN199-EO199)*(1-$K199)</f>
        <v>0</v>
      </c>
      <c r="EQ199" s="1073"/>
      <c r="ET199" s="1161">
        <f>VLOOKUP($A199,'New Resources - Group'!$A$4:$Y$133,ET$2,FALSE)*ET$1</f>
        <v>0</v>
      </c>
      <c r="EU199" s="1116">
        <f>$G199+ET199</f>
        <v>19063436</v>
      </c>
      <c r="EV199" s="1117">
        <f>VLOOKUP($E199,EU$442:EX$453,2,FALSE)*EU199*($K199)+IF($G199&lt;&gt;0,($H199/$G199)*EU199,0)*(1-$K199)</f>
        <v>19063436</v>
      </c>
      <c r="EW199" s="1117">
        <f>VLOOKUP($E199,EU$442:EX$453,3,FALSE)*EU199*($K199)+IF($G199&lt;&gt;0,($I199/$G199)*EU199,0)*(1-$K199)</f>
        <v>0</v>
      </c>
      <c r="EX199" s="1117">
        <f>VLOOKUP($E199,EU$442:EX$453,4,FALSE)*EU199*($K199)+(EU199-EV199-EW199)*(1-$K199)</f>
        <v>0</v>
      </c>
      <c r="EY199" s="1073"/>
      <c r="FB199" s="1161">
        <f>VLOOKUP($A199,'New Resources - Group'!$A$4:$Y$133,FB$2,FALSE)*FB$1</f>
        <v>0</v>
      </c>
      <c r="FC199" s="1116">
        <f>$G199+FB199</f>
        <v>19063436</v>
      </c>
      <c r="FD199" s="1117">
        <f>VLOOKUP($E199,FC$442:FF$453,2,FALSE)*FC199*($K199)+IF($G199&lt;&gt;0,($H199/$G199)*FC199,0)*(1-$K199)</f>
        <v>19063436</v>
      </c>
      <c r="FE199" s="1117">
        <f>VLOOKUP($E199,FC$442:FF$453,3,FALSE)*FC199*($K199)+IF($G199&lt;&gt;0,($I199/$G199)*FC199,0)*(1-$K199)</f>
        <v>0</v>
      </c>
      <c r="FF199" s="1117">
        <f>VLOOKUP($E199,FC$442:FF$453,4,FALSE)*FC199*($K199)+(FC199-FD199-FE199)*(1-$K199)</f>
        <v>0</v>
      </c>
      <c r="FG199" s="1073"/>
      <c r="FJ199" s="1161">
        <f>VLOOKUP($A199,'New Resources - Group'!$A$4:$Y$133,FJ$2,FALSE)*FJ$1</f>
        <v>0</v>
      </c>
      <c r="FK199" s="1116">
        <f>$G199+FJ199</f>
        <v>19063436</v>
      </c>
      <c r="FL199" s="1117">
        <f>VLOOKUP($E199,FK$442:FN$453,2,FALSE)*FK199*($K199)+IF($G199&lt;&gt;0,($H199/$G199)*FK199,0)*(1-$K199)</f>
        <v>19063436</v>
      </c>
      <c r="FM199" s="1117">
        <f>VLOOKUP($E199,FK$442:FN$453,3,FALSE)*FK199*($K199)+IF($G199&lt;&gt;0,($I199/$G199)*FK199,0)*(1-$K199)</f>
        <v>0</v>
      </c>
      <c r="FN199" s="1117">
        <f>VLOOKUP($E199,FK$442:FN$453,4,FALSE)*FK199*($K199)+(FK199-FL199-FM199)*(1-$K199)</f>
        <v>0</v>
      </c>
      <c r="FO199" s="1073"/>
    </row>
    <row r="200" spans="1:171">
      <c r="A200" s="1444">
        <v>880</v>
      </c>
      <c r="B200" s="913" t="s">
        <v>465</v>
      </c>
      <c r="C200" s="888" t="s">
        <v>72</v>
      </c>
      <c r="D200" s="889" t="s">
        <v>302</v>
      </c>
      <c r="E200" s="182" t="str">
        <f>'Sch 3 - Expenses'!E40</f>
        <v>TRANS</v>
      </c>
      <c r="F200" s="889"/>
      <c r="G200" s="182">
        <f>'Sch 3 - Expenses'!G40</f>
        <v>10227273</v>
      </c>
      <c r="H200" s="182">
        <f>'Sch 3 - Expenses'!H40</f>
        <v>0</v>
      </c>
      <c r="I200" s="182">
        <f>'Sch 3 - Expenses'!I40</f>
        <v>0</v>
      </c>
      <c r="J200" s="1424">
        <f>'Sch 3 - Expenses'!J40</f>
        <v>10227273</v>
      </c>
      <c r="K200" s="903">
        <f>IF($E200="DIRECT",0,1)</f>
        <v>1</v>
      </c>
      <c r="N200" s="1161">
        <f>VLOOKUP($A200,'New Resources - Group'!$A$4:$Y$133,N$2,FALSE)*N$1</f>
        <v>0</v>
      </c>
      <c r="O200" s="1116">
        <f>$G200+N200</f>
        <v>10227273</v>
      </c>
      <c r="P200" s="1117">
        <f>VLOOKUP($E200,O$442:R$453,2,FALSE)*O200*($K200)+IF($G200&lt;&gt;0,($H200/$G200)*O200,0)*(1-$K200)</f>
        <v>0</v>
      </c>
      <c r="Q200" s="1117">
        <f>VLOOKUP($E200,O$442:R$453,3,FALSE)*O200*($K200)+IF($G200&lt;&gt;0,($I200/$G200)*O200,0)*(1-$K200)</f>
        <v>10227273</v>
      </c>
      <c r="R200" s="1117">
        <f>VLOOKUP($E200,O$442:R$453,4,FALSE)*O200*($K200)+(O200-P200-Q200)*(1-$K200)</f>
        <v>0</v>
      </c>
      <c r="S200" s="1073"/>
      <c r="V200" s="1161">
        <f>VLOOKUP($A200,'New Resources - Group'!$A$4:$Y$133,V$2,FALSE)*V$1</f>
        <v>0</v>
      </c>
      <c r="W200" s="1116">
        <f>$G200+V200</f>
        <v>10227273</v>
      </c>
      <c r="X200" s="1117">
        <f>VLOOKUP($E200,W$442:Z$453,2,FALSE)*W200*($K200)+IF($G200&lt;&gt;0,($H200/$G200)*W200,0)*(1-$K200)</f>
        <v>0</v>
      </c>
      <c r="Y200" s="1117">
        <f>VLOOKUP($E200,W$442:Z$453,3,FALSE)*W200*($K200)+IF($G200&lt;&gt;0,($I200/$G200)*W200,0)*(1-$K200)</f>
        <v>10227273</v>
      </c>
      <c r="Z200" s="1117">
        <f>VLOOKUP($E200,W$442:Z$453,4,FALSE)*W200*($K200)+(W200-X200-Y200)*(1-$K200)</f>
        <v>0</v>
      </c>
      <c r="AA200" s="1073"/>
      <c r="AD200" s="1161">
        <f>VLOOKUP($A200,'New Resources - Group'!$A$4:$Y$133,AD$2,FALSE)*AD$1</f>
        <v>0</v>
      </c>
      <c r="AE200" s="1116">
        <f>$G200+AD200</f>
        <v>10227273</v>
      </c>
      <c r="AF200" s="1117">
        <f>VLOOKUP($E200,AE$442:AH$453,2,FALSE)*AE200*($K200)+IF($G200&lt;&gt;0,($H200/$G200)*AE200,0)*(1-$K200)</f>
        <v>0</v>
      </c>
      <c r="AG200" s="1117">
        <f>VLOOKUP($E200,AE$442:AH$453,3,FALSE)*AE200*($K200)+IF($G200&lt;&gt;0,($I200/$G200)*AE200,0)*(1-$K200)</f>
        <v>10227273</v>
      </c>
      <c r="AH200" s="1117">
        <f>VLOOKUP($E200,AE$442:AH$453,4,FALSE)*AE200*($K200)+(AE200-AF200-AG200)*(1-$K200)</f>
        <v>0</v>
      </c>
      <c r="AI200" s="1073"/>
      <c r="AL200" s="1161">
        <f>VLOOKUP($A200,'New Resources - Group'!$A$4:$Y$133,AL$2,FALSE)*AL$1</f>
        <v>0</v>
      </c>
      <c r="AM200" s="1116">
        <f>$G200+AL200</f>
        <v>10227273</v>
      </c>
      <c r="AN200" s="1117">
        <f>VLOOKUP($E200,AM$442:AP$453,2,FALSE)*AM200*($K200)+IF($G200&lt;&gt;0,($H200/$G200)*AM200,0)*(1-$K200)</f>
        <v>0</v>
      </c>
      <c r="AO200" s="1117">
        <f>VLOOKUP($E200,AM$442:AP$453,3,FALSE)*AM200*($K200)+IF($G200&lt;&gt;0,($I200/$G200)*AM200,0)*(1-$K200)</f>
        <v>10227273</v>
      </c>
      <c r="AP200" s="1117">
        <f>VLOOKUP($E200,AM$442:AP$453,4,FALSE)*AM200*($K200)+(AM200-AN200-AO200)*(1-$K200)</f>
        <v>0</v>
      </c>
      <c r="AQ200" s="1073"/>
      <c r="AT200" s="1161">
        <f>VLOOKUP($A200,'New Resources - Group'!$A$4:$Y$133,AT$2,FALSE)*AT$1</f>
        <v>0</v>
      </c>
      <c r="AU200" s="1116">
        <f>$G200+AT200</f>
        <v>10227273</v>
      </c>
      <c r="AV200" s="1117">
        <f>VLOOKUP($E200,AU$442:AX$453,2,FALSE)*AU200*($K200)+IF($G200&lt;&gt;0,($H200/$G200)*AU200,0)*(1-$K200)</f>
        <v>0</v>
      </c>
      <c r="AW200" s="1117">
        <f>VLOOKUP($E200,AU$442:AX$453,3,FALSE)*AU200*($K200)+IF($G200&lt;&gt;0,($I200/$G200)*AU200,0)*(1-$K200)</f>
        <v>10227273</v>
      </c>
      <c r="AX200" s="1117">
        <f>VLOOKUP($E200,AU$442:AX$453,4,FALSE)*AU200*($K200)+(AU200-AV200-AW200)*(1-$K200)</f>
        <v>0</v>
      </c>
      <c r="AY200" s="1073"/>
      <c r="BB200" s="1161">
        <f>VLOOKUP($A200,'New Resources - Group'!$A$4:$Y$133,BB$2,FALSE)*BB$1</f>
        <v>0</v>
      </c>
      <c r="BC200" s="1116">
        <f>$G200+BB200</f>
        <v>10227273</v>
      </c>
      <c r="BD200" s="1117">
        <f>VLOOKUP($E200,BC$442:BF$453,2,FALSE)*BC200*($K200)+IF($G200&lt;&gt;0,($H200/$G200)*BC200,0)*(1-$K200)</f>
        <v>0</v>
      </c>
      <c r="BE200" s="1117">
        <f>VLOOKUP($E200,BC$442:BF$453,3,FALSE)*BC200*($K200)+IF($G200&lt;&gt;0,($I200/$G200)*BC200,0)*(1-$K200)</f>
        <v>10227273</v>
      </c>
      <c r="BF200" s="1117">
        <f>VLOOKUP($E200,BC$442:BF$453,4,FALSE)*BC200*($K200)+(BC200-BD200-BE200)*(1-$K200)</f>
        <v>0</v>
      </c>
      <c r="BG200" s="1073"/>
      <c r="BJ200" s="1161">
        <f>VLOOKUP($A200,'New Resources - Group'!$A$4:$Y$133,BJ$2,FALSE)*BJ$1</f>
        <v>0</v>
      </c>
      <c r="BK200" s="1116">
        <f>$G200+BJ200</f>
        <v>10227273</v>
      </c>
      <c r="BL200" s="1117">
        <f>VLOOKUP($E200,BK$442:BN$453,2,FALSE)*BK200*($K200)+IF($G200&lt;&gt;0,($H200/$G200)*BK200,0)*(1-$K200)</f>
        <v>0</v>
      </c>
      <c r="BM200" s="1117">
        <f>VLOOKUP($E200,BK$442:BN$453,3,FALSE)*BK200*($K200)+IF($G200&lt;&gt;0,($I200/$G200)*BK200,0)*(1-$K200)</f>
        <v>10227273</v>
      </c>
      <c r="BN200" s="1117">
        <f>VLOOKUP($E200,BK$442:BN$453,4,FALSE)*BK200*($K200)+(BK200-BL200-BM200)*(1-$K200)</f>
        <v>0</v>
      </c>
      <c r="BO200" s="1073"/>
      <c r="BR200" s="1161">
        <f>VLOOKUP($A200,'New Resources - Group'!$A$4:$Y$133,BR$2,FALSE)*BR$1</f>
        <v>0</v>
      </c>
      <c r="BS200" s="1116">
        <f>$G200+BR200</f>
        <v>10227273</v>
      </c>
      <c r="BT200" s="1117">
        <f>VLOOKUP($E200,BS$442:BV$453,2,FALSE)*BS200*($K200)+IF($G200&lt;&gt;0,($H200/$G200)*BS200,0)*(1-$K200)</f>
        <v>0</v>
      </c>
      <c r="BU200" s="1117">
        <f>VLOOKUP($E200,BS$442:BV$453,3,FALSE)*BS200*($K200)+IF($G200&lt;&gt;0,($I200/$G200)*BS200,0)*(1-$K200)</f>
        <v>10227273</v>
      </c>
      <c r="BV200" s="1117">
        <f>VLOOKUP($E200,BS$442:BV$453,4,FALSE)*BS200*($K200)+(BS200-BT200-BU200)*(1-$K200)</f>
        <v>0</v>
      </c>
      <c r="BW200" s="1073"/>
      <c r="BZ200" s="1161">
        <f>VLOOKUP($A200,'New Resources - Group'!$A$4:$Y$133,BZ$2,FALSE)*BZ$1</f>
        <v>0</v>
      </c>
      <c r="CA200" s="1116">
        <f>$G200+BZ200</f>
        <v>10227273</v>
      </c>
      <c r="CB200" s="1117">
        <f>VLOOKUP($E200,CA$442:CD$453,2,FALSE)*CA200*($K200)+IF($G200&lt;&gt;0,($H200/$G200)*CA200,0)*(1-$K200)</f>
        <v>0</v>
      </c>
      <c r="CC200" s="1117">
        <f>VLOOKUP($E200,CA$442:CD$453,3,FALSE)*CA200*($K200)+IF($G200&lt;&gt;0,($I200/$G200)*CA200,0)*(1-$K200)</f>
        <v>10227273</v>
      </c>
      <c r="CD200" s="1117">
        <f>VLOOKUP($E200,CA$442:CD$453,4,FALSE)*CA200*($K200)+(CA200-CB200-CC200)*(1-$K200)</f>
        <v>0</v>
      </c>
      <c r="CE200" s="1073"/>
      <c r="CH200" s="1161">
        <f>VLOOKUP($A200,'New Resources - Group'!$A$4:$Y$133,CH$2,FALSE)*CH$1</f>
        <v>0</v>
      </c>
      <c r="CI200" s="1116">
        <f>$G200+CH200</f>
        <v>10227273</v>
      </c>
      <c r="CJ200" s="1117">
        <f>VLOOKUP($E200,CI$442:CL$453,2,FALSE)*CI200*($K200)+IF($G200&lt;&gt;0,($H200/$G200)*CI200,0)*(1-$K200)</f>
        <v>0</v>
      </c>
      <c r="CK200" s="1117">
        <f>VLOOKUP($E200,CI$442:CL$453,3,FALSE)*CI200*($K200)+IF($G200&lt;&gt;0,($I200/$G200)*CI200,0)*(1-$K200)</f>
        <v>10227273</v>
      </c>
      <c r="CL200" s="1117">
        <f>VLOOKUP($E200,CI$442:CL$453,4,FALSE)*CI200*($K200)+(CI200-CJ200-CK200)*(1-$K200)</f>
        <v>0</v>
      </c>
      <c r="CM200" s="1073"/>
      <c r="CP200" s="1161">
        <f>VLOOKUP($A200,'New Resources - Group'!$A$4:$Y$133,CP$2,FALSE)*CP$1</f>
        <v>0</v>
      </c>
      <c r="CQ200" s="1116">
        <f>$G200+CP200</f>
        <v>10227273</v>
      </c>
      <c r="CR200" s="1117">
        <f>VLOOKUP($E200,CQ$442:CT$453,2,FALSE)*CQ200*($K200)+IF($G200&lt;&gt;0,($H200/$G200)*CQ200,0)*(1-$K200)</f>
        <v>0</v>
      </c>
      <c r="CS200" s="1117">
        <f>VLOOKUP($E200,CQ$442:CT$453,3,FALSE)*CQ200*($K200)+IF($G200&lt;&gt;0,($I200/$G200)*CQ200,0)*(1-$K200)</f>
        <v>10227273</v>
      </c>
      <c r="CT200" s="1117">
        <f>VLOOKUP($E200,CQ$442:CT$453,4,FALSE)*CQ200*($K200)+(CQ200-CR200-CS200)*(1-$K200)</f>
        <v>0</v>
      </c>
      <c r="CU200" s="1073"/>
      <c r="CX200" s="1161">
        <f>VLOOKUP($A200,'New Resources - Group'!$A$4:$Y$133,CX$2,FALSE)*CX$1</f>
        <v>0</v>
      </c>
      <c r="CY200" s="1116">
        <f>$G200+CX200</f>
        <v>10227273</v>
      </c>
      <c r="CZ200" s="1117">
        <f>VLOOKUP($E200,CY$442:DB$453,2,FALSE)*CY200*($K200)+IF($G200&lt;&gt;0,($H200/$G200)*CY200,0)*(1-$K200)</f>
        <v>0</v>
      </c>
      <c r="DA200" s="1117">
        <f>VLOOKUP($E200,CY$442:DB$453,3,FALSE)*CY200*($K200)+IF($G200&lt;&gt;0,($I200/$G200)*CY200,0)*(1-$K200)</f>
        <v>10227273</v>
      </c>
      <c r="DB200" s="1117">
        <f>VLOOKUP($E200,CY$442:DB$453,4,FALSE)*CY200*($K200)+(CY200-CZ200-DA200)*(1-$K200)</f>
        <v>0</v>
      </c>
      <c r="DC200" s="1073"/>
      <c r="DF200" s="1161">
        <f>VLOOKUP($A200,'New Resources - Group'!$A$4:$Y$133,DF$2,FALSE)*DF$1</f>
        <v>0</v>
      </c>
      <c r="DG200" s="1116">
        <f>$G200+DF200</f>
        <v>10227273</v>
      </c>
      <c r="DH200" s="1117">
        <f>VLOOKUP($E200,DG$442:DJ$453,2,FALSE)*DG200*($K200)+IF($G200&lt;&gt;0,($H200/$G200)*DG200,0)*(1-$K200)</f>
        <v>0</v>
      </c>
      <c r="DI200" s="1117">
        <f>VLOOKUP($E200,DG$442:DJ$453,3,FALSE)*DG200*($K200)+IF($G200&lt;&gt;0,($I200/$G200)*DG200,0)*(1-$K200)</f>
        <v>10227273</v>
      </c>
      <c r="DJ200" s="1117">
        <f>VLOOKUP($E200,DG$442:DJ$453,4,FALSE)*DG200*($K200)+(DG200-DH200-DI200)*(1-$K200)</f>
        <v>0</v>
      </c>
      <c r="DK200" s="1073"/>
      <c r="DN200" s="1161">
        <f>VLOOKUP($A200,'New Resources - Group'!$A$4:$Y$133,DN$2,FALSE)*DN$1</f>
        <v>0</v>
      </c>
      <c r="DO200" s="1116">
        <f>$G200+DN200</f>
        <v>10227273</v>
      </c>
      <c r="DP200" s="1117">
        <f>VLOOKUP($E200,DO$442:DR$453,2,FALSE)*DO200*($K200)+IF($G200&lt;&gt;0,($H200/$G200)*DO200,0)*(1-$K200)</f>
        <v>0</v>
      </c>
      <c r="DQ200" s="1117">
        <f>VLOOKUP($E200,DO$442:DR$453,3,FALSE)*DO200*($K200)+IF($G200&lt;&gt;0,($I200/$G200)*DO200,0)*(1-$K200)</f>
        <v>10227273</v>
      </c>
      <c r="DR200" s="1117">
        <f>VLOOKUP($E200,DO$442:DR$453,4,FALSE)*DO200*($K200)+(DO200-DP200-DQ200)*(1-$K200)</f>
        <v>0</v>
      </c>
      <c r="DS200" s="1073"/>
      <c r="DV200" s="1161">
        <f>VLOOKUP($A200,'New Resources - Group'!$A$4:$Y$133,DV$2,FALSE)*DV$1</f>
        <v>0</v>
      </c>
      <c r="DW200" s="1116">
        <f>$G200+DV200</f>
        <v>10227273</v>
      </c>
      <c r="DX200" s="1117">
        <f>VLOOKUP($E200,DW$442:DZ$453,2,FALSE)*DW200*($K200)+IF($G200&lt;&gt;0,($H200/$G200)*DW200,0)*(1-$K200)</f>
        <v>0</v>
      </c>
      <c r="DY200" s="1117">
        <f>VLOOKUP($E200,DW$442:DZ$453,3,FALSE)*DW200*($K200)+IF($G200&lt;&gt;0,($I200/$G200)*DW200,0)*(1-$K200)</f>
        <v>10227273</v>
      </c>
      <c r="DZ200" s="1117">
        <f>VLOOKUP($E200,DW$442:DZ$453,4,FALSE)*DW200*($K200)+(DW200-DX200-DY200)*(1-$K200)</f>
        <v>0</v>
      </c>
      <c r="EA200" s="1073"/>
      <c r="ED200" s="1161">
        <f>VLOOKUP($A200,'New Resources - Group'!$A$4:$Y$133,ED$2,FALSE)*ED$1</f>
        <v>0</v>
      </c>
      <c r="EE200" s="1116">
        <f>$G200+ED200</f>
        <v>10227273</v>
      </c>
      <c r="EF200" s="1117">
        <f>VLOOKUP($E200,EE$442:EH$453,2,FALSE)*EE200*($K200)+IF($G200&lt;&gt;0,($H200/$G200)*EE200,0)*(1-$K200)</f>
        <v>0</v>
      </c>
      <c r="EG200" s="1117">
        <f>VLOOKUP($E200,EE$442:EH$453,3,FALSE)*EE200*($K200)+IF($G200&lt;&gt;0,($I200/$G200)*EE200,0)*(1-$K200)</f>
        <v>10227273</v>
      </c>
      <c r="EH200" s="1117">
        <f>VLOOKUP($E200,EE$442:EH$453,4,FALSE)*EE200*($K200)+(EE200-EF200-EG200)*(1-$K200)</f>
        <v>0</v>
      </c>
      <c r="EI200" s="1073"/>
      <c r="EL200" s="1161">
        <f>VLOOKUP($A200,'New Resources - Group'!$A$4:$Y$133,EL$2,FALSE)*EL$1</f>
        <v>0</v>
      </c>
      <c r="EM200" s="1116">
        <f>$G200+EL200</f>
        <v>10227273</v>
      </c>
      <c r="EN200" s="1117">
        <f>VLOOKUP($E200,EM$442:EP$453,2,FALSE)*EM200*($K200)+IF($G200&lt;&gt;0,($H200/$G200)*EM200,0)*(1-$K200)</f>
        <v>0</v>
      </c>
      <c r="EO200" s="1117">
        <f>VLOOKUP($E200,EM$442:EP$453,3,FALSE)*EM200*($K200)+IF($G200&lt;&gt;0,($I200/$G200)*EM200,0)*(1-$K200)</f>
        <v>10227273</v>
      </c>
      <c r="EP200" s="1117">
        <f>VLOOKUP($E200,EM$442:EP$453,4,FALSE)*EM200*($K200)+(EM200-EN200-EO200)*(1-$K200)</f>
        <v>0</v>
      </c>
      <c r="EQ200" s="1073"/>
      <c r="ET200" s="1161">
        <f>VLOOKUP($A200,'New Resources - Group'!$A$4:$Y$133,ET$2,FALSE)*ET$1</f>
        <v>0</v>
      </c>
      <c r="EU200" s="1116">
        <f>$G200+ET200</f>
        <v>10227273</v>
      </c>
      <c r="EV200" s="1117">
        <f>VLOOKUP($E200,EU$442:EX$453,2,FALSE)*EU200*($K200)+IF($G200&lt;&gt;0,($H200/$G200)*EU200,0)*(1-$K200)</f>
        <v>0</v>
      </c>
      <c r="EW200" s="1117">
        <f>VLOOKUP($E200,EU$442:EX$453,3,FALSE)*EU200*($K200)+IF($G200&lt;&gt;0,($I200/$G200)*EU200,0)*(1-$K200)</f>
        <v>10227273</v>
      </c>
      <c r="EX200" s="1117">
        <f>VLOOKUP($E200,EU$442:EX$453,4,FALSE)*EU200*($K200)+(EU200-EV200-EW200)*(1-$K200)</f>
        <v>0</v>
      </c>
      <c r="EY200" s="1073"/>
      <c r="FB200" s="1161">
        <f>VLOOKUP($A200,'New Resources - Group'!$A$4:$Y$133,FB$2,FALSE)*FB$1</f>
        <v>0</v>
      </c>
      <c r="FC200" s="1116">
        <f>$G200+FB200</f>
        <v>10227273</v>
      </c>
      <c r="FD200" s="1117">
        <f>VLOOKUP($E200,FC$442:FF$453,2,FALSE)*FC200*($K200)+IF($G200&lt;&gt;0,($H200/$G200)*FC200,0)*(1-$K200)</f>
        <v>0</v>
      </c>
      <c r="FE200" s="1117">
        <f>VLOOKUP($E200,FC$442:FF$453,3,FALSE)*FC200*($K200)+IF($G200&lt;&gt;0,($I200/$G200)*FC200,0)*(1-$K200)</f>
        <v>10227273</v>
      </c>
      <c r="FF200" s="1117">
        <f>VLOOKUP($E200,FC$442:FF$453,4,FALSE)*FC200*($K200)+(FC200-FD200-FE200)*(1-$K200)</f>
        <v>0</v>
      </c>
      <c r="FG200" s="1073"/>
      <c r="FJ200" s="1161">
        <f>VLOOKUP($A200,'New Resources - Group'!$A$4:$Y$133,FJ$2,FALSE)*FJ$1</f>
        <v>0</v>
      </c>
      <c r="FK200" s="1116">
        <f>$G200+FJ200</f>
        <v>10227273</v>
      </c>
      <c r="FL200" s="1117">
        <f>VLOOKUP($E200,FK$442:FN$453,2,FALSE)*FK200*($K200)+IF($G200&lt;&gt;0,($H200/$G200)*FK200,0)*(1-$K200)</f>
        <v>0</v>
      </c>
      <c r="FM200" s="1117">
        <f>VLOOKUP($E200,FK$442:FN$453,3,FALSE)*FK200*($K200)+IF($G200&lt;&gt;0,($I200/$G200)*FK200,0)*(1-$K200)</f>
        <v>10227273</v>
      </c>
      <c r="FN200" s="1117">
        <f>VLOOKUP($E200,FK$442:FN$453,4,FALSE)*FK200*($K200)+(FK200-FL200-FM200)*(1-$K200)</f>
        <v>0</v>
      </c>
      <c r="FO200" s="1073"/>
    </row>
    <row r="201" spans="1:171">
      <c r="A201" s="1444">
        <v>890</v>
      </c>
      <c r="B201" s="913" t="s">
        <v>466</v>
      </c>
      <c r="C201" s="888" t="s">
        <v>72</v>
      </c>
      <c r="D201" s="889" t="s">
        <v>303</v>
      </c>
      <c r="E201" s="182" t="str">
        <f>'Sch 3 - Expenses'!E41</f>
        <v>TRANS</v>
      </c>
      <c r="F201" s="889"/>
      <c r="G201" s="182">
        <f>'Sch 3 - Expenses'!G41</f>
        <v>4374909</v>
      </c>
      <c r="H201" s="182">
        <f>'Sch 3 - Expenses'!H41</f>
        <v>0</v>
      </c>
      <c r="I201" s="182">
        <f>'Sch 3 - Expenses'!I41</f>
        <v>0</v>
      </c>
      <c r="J201" s="1424">
        <f>'Sch 3 - Expenses'!J41</f>
        <v>4374909</v>
      </c>
      <c r="K201" s="903">
        <f>IF($E201="DIRECT",0,1)</f>
        <v>1</v>
      </c>
      <c r="N201" s="1161">
        <f>VLOOKUP($A201,'New Resources - Group'!$A$4:$Y$133,N$2,FALSE)*N$1</f>
        <v>0</v>
      </c>
      <c r="O201" s="1116">
        <f>$G201+N201</f>
        <v>4374909</v>
      </c>
      <c r="P201" s="1117">
        <f>VLOOKUP($E201,O$442:R$453,2,FALSE)*O201*($K201)+IF($G201&lt;&gt;0,($H201/$G201)*O201,0)*(1-$K201)</f>
        <v>0</v>
      </c>
      <c r="Q201" s="1117">
        <f>VLOOKUP($E201,O$442:R$453,3,FALSE)*O201*($K201)+IF($G201&lt;&gt;0,($I201/$G201)*O201,0)*(1-$K201)</f>
        <v>4374909</v>
      </c>
      <c r="R201" s="1117">
        <f>VLOOKUP($E201,O$442:R$453,4,FALSE)*O201*($K201)+(O201-P201-Q201)*(1-$K201)</f>
        <v>0</v>
      </c>
      <c r="S201" s="1073"/>
      <c r="V201" s="1161">
        <f>VLOOKUP($A201,'New Resources - Group'!$A$4:$Y$133,V$2,FALSE)*V$1</f>
        <v>0</v>
      </c>
      <c r="W201" s="1116">
        <f>$G201+V201</f>
        <v>4374909</v>
      </c>
      <c r="X201" s="1117">
        <f>VLOOKUP($E201,W$442:Z$453,2,FALSE)*W201*($K201)+IF($G201&lt;&gt;0,($H201/$G201)*W201,0)*(1-$K201)</f>
        <v>0</v>
      </c>
      <c r="Y201" s="1117">
        <f>VLOOKUP($E201,W$442:Z$453,3,FALSE)*W201*($K201)+IF($G201&lt;&gt;0,($I201/$G201)*W201,0)*(1-$K201)</f>
        <v>4374909</v>
      </c>
      <c r="Z201" s="1117">
        <f>VLOOKUP($E201,W$442:Z$453,4,FALSE)*W201*($K201)+(W201-X201-Y201)*(1-$K201)</f>
        <v>0</v>
      </c>
      <c r="AA201" s="1073"/>
      <c r="AD201" s="1161">
        <f>VLOOKUP($A201,'New Resources - Group'!$A$4:$Y$133,AD$2,FALSE)*AD$1</f>
        <v>0</v>
      </c>
      <c r="AE201" s="1116">
        <f>$G201+AD201</f>
        <v>4374909</v>
      </c>
      <c r="AF201" s="1117">
        <f>VLOOKUP($E201,AE$442:AH$453,2,FALSE)*AE201*($K201)+IF($G201&lt;&gt;0,($H201/$G201)*AE201,0)*(1-$K201)</f>
        <v>0</v>
      </c>
      <c r="AG201" s="1117">
        <f>VLOOKUP($E201,AE$442:AH$453,3,FALSE)*AE201*($K201)+IF($G201&lt;&gt;0,($I201/$G201)*AE201,0)*(1-$K201)</f>
        <v>4374909</v>
      </c>
      <c r="AH201" s="1117">
        <f>VLOOKUP($E201,AE$442:AH$453,4,FALSE)*AE201*($K201)+(AE201-AF201-AG201)*(1-$K201)</f>
        <v>0</v>
      </c>
      <c r="AI201" s="1073"/>
      <c r="AL201" s="1161">
        <f>VLOOKUP($A201,'New Resources - Group'!$A$4:$Y$133,AL$2,FALSE)*AL$1</f>
        <v>0</v>
      </c>
      <c r="AM201" s="1116">
        <f>$G201+AL201</f>
        <v>4374909</v>
      </c>
      <c r="AN201" s="1117">
        <f>VLOOKUP($E201,AM$442:AP$453,2,FALSE)*AM201*($K201)+IF($G201&lt;&gt;0,($H201/$G201)*AM201,0)*(1-$K201)</f>
        <v>0</v>
      </c>
      <c r="AO201" s="1117">
        <f>VLOOKUP($E201,AM$442:AP$453,3,FALSE)*AM201*($K201)+IF($G201&lt;&gt;0,($I201/$G201)*AM201,0)*(1-$K201)</f>
        <v>4374909</v>
      </c>
      <c r="AP201" s="1117">
        <f>VLOOKUP($E201,AM$442:AP$453,4,FALSE)*AM201*($K201)+(AM201-AN201-AO201)*(1-$K201)</f>
        <v>0</v>
      </c>
      <c r="AQ201" s="1073"/>
      <c r="AT201" s="1161">
        <f>VLOOKUP($A201,'New Resources - Group'!$A$4:$Y$133,AT$2,FALSE)*AT$1</f>
        <v>0</v>
      </c>
      <c r="AU201" s="1116">
        <f>$G201+AT201</f>
        <v>4374909</v>
      </c>
      <c r="AV201" s="1117">
        <f>VLOOKUP($E201,AU$442:AX$453,2,FALSE)*AU201*($K201)+IF($G201&lt;&gt;0,($H201/$G201)*AU201,0)*(1-$K201)</f>
        <v>0</v>
      </c>
      <c r="AW201" s="1117">
        <f>VLOOKUP($E201,AU$442:AX$453,3,FALSE)*AU201*($K201)+IF($G201&lt;&gt;0,($I201/$G201)*AU201,0)*(1-$K201)</f>
        <v>4374909</v>
      </c>
      <c r="AX201" s="1117">
        <f>VLOOKUP($E201,AU$442:AX$453,4,FALSE)*AU201*($K201)+(AU201-AV201-AW201)*(1-$K201)</f>
        <v>0</v>
      </c>
      <c r="AY201" s="1073"/>
      <c r="BB201" s="1161">
        <f>VLOOKUP($A201,'New Resources - Group'!$A$4:$Y$133,BB$2,FALSE)*BB$1</f>
        <v>0</v>
      </c>
      <c r="BC201" s="1116">
        <f>$G201+BB201</f>
        <v>4374909</v>
      </c>
      <c r="BD201" s="1117">
        <f>VLOOKUP($E201,BC$442:BF$453,2,FALSE)*BC201*($K201)+IF($G201&lt;&gt;0,($H201/$G201)*BC201,0)*(1-$K201)</f>
        <v>0</v>
      </c>
      <c r="BE201" s="1117">
        <f>VLOOKUP($E201,BC$442:BF$453,3,FALSE)*BC201*($K201)+IF($G201&lt;&gt;0,($I201/$G201)*BC201,0)*(1-$K201)</f>
        <v>4374909</v>
      </c>
      <c r="BF201" s="1117">
        <f>VLOOKUP($E201,BC$442:BF$453,4,FALSE)*BC201*($K201)+(BC201-BD201-BE201)*(1-$K201)</f>
        <v>0</v>
      </c>
      <c r="BG201" s="1073"/>
      <c r="BJ201" s="1161">
        <f>VLOOKUP($A201,'New Resources - Group'!$A$4:$Y$133,BJ$2,FALSE)*BJ$1</f>
        <v>0</v>
      </c>
      <c r="BK201" s="1116">
        <f>$G201+BJ201</f>
        <v>4374909</v>
      </c>
      <c r="BL201" s="1117">
        <f>VLOOKUP($E201,BK$442:BN$453,2,FALSE)*BK201*($K201)+IF($G201&lt;&gt;0,($H201/$G201)*BK201,0)*(1-$K201)</f>
        <v>0</v>
      </c>
      <c r="BM201" s="1117">
        <f>VLOOKUP($E201,BK$442:BN$453,3,FALSE)*BK201*($K201)+IF($G201&lt;&gt;0,($I201/$G201)*BK201,0)*(1-$K201)</f>
        <v>4374909</v>
      </c>
      <c r="BN201" s="1117">
        <f>VLOOKUP($E201,BK$442:BN$453,4,FALSE)*BK201*($K201)+(BK201-BL201-BM201)*(1-$K201)</f>
        <v>0</v>
      </c>
      <c r="BO201" s="1073"/>
      <c r="BR201" s="1161">
        <f>VLOOKUP($A201,'New Resources - Group'!$A$4:$Y$133,BR$2,FALSE)*BR$1</f>
        <v>0</v>
      </c>
      <c r="BS201" s="1116">
        <f>$G201+BR201</f>
        <v>4374909</v>
      </c>
      <c r="BT201" s="1117">
        <f>VLOOKUP($E201,BS$442:BV$453,2,FALSE)*BS201*($K201)+IF($G201&lt;&gt;0,($H201/$G201)*BS201,0)*(1-$K201)</f>
        <v>0</v>
      </c>
      <c r="BU201" s="1117">
        <f>VLOOKUP($E201,BS$442:BV$453,3,FALSE)*BS201*($K201)+IF($G201&lt;&gt;0,($I201/$G201)*BS201,0)*(1-$K201)</f>
        <v>4374909</v>
      </c>
      <c r="BV201" s="1117">
        <f>VLOOKUP($E201,BS$442:BV$453,4,FALSE)*BS201*($K201)+(BS201-BT201-BU201)*(1-$K201)</f>
        <v>0</v>
      </c>
      <c r="BW201" s="1073"/>
      <c r="BZ201" s="1161">
        <f>VLOOKUP($A201,'New Resources - Group'!$A$4:$Y$133,BZ$2,FALSE)*BZ$1</f>
        <v>0</v>
      </c>
      <c r="CA201" s="1116">
        <f>$G201+BZ201</f>
        <v>4374909</v>
      </c>
      <c r="CB201" s="1117">
        <f>VLOOKUP($E201,CA$442:CD$453,2,FALSE)*CA201*($K201)+IF($G201&lt;&gt;0,($H201/$G201)*CA201,0)*(1-$K201)</f>
        <v>0</v>
      </c>
      <c r="CC201" s="1117">
        <f>VLOOKUP($E201,CA$442:CD$453,3,FALSE)*CA201*($K201)+IF($G201&lt;&gt;0,($I201/$G201)*CA201,0)*(1-$K201)</f>
        <v>4374909</v>
      </c>
      <c r="CD201" s="1117">
        <f>VLOOKUP($E201,CA$442:CD$453,4,FALSE)*CA201*($K201)+(CA201-CB201-CC201)*(1-$K201)</f>
        <v>0</v>
      </c>
      <c r="CE201" s="1073"/>
      <c r="CH201" s="1161">
        <f>VLOOKUP($A201,'New Resources - Group'!$A$4:$Y$133,CH$2,FALSE)*CH$1</f>
        <v>0</v>
      </c>
      <c r="CI201" s="1116">
        <f>$G201+CH201</f>
        <v>4374909</v>
      </c>
      <c r="CJ201" s="1117">
        <f>VLOOKUP($E201,CI$442:CL$453,2,FALSE)*CI201*($K201)+IF($G201&lt;&gt;0,($H201/$G201)*CI201,0)*(1-$K201)</f>
        <v>0</v>
      </c>
      <c r="CK201" s="1117">
        <f>VLOOKUP($E201,CI$442:CL$453,3,FALSE)*CI201*($K201)+IF($G201&lt;&gt;0,($I201/$G201)*CI201,0)*(1-$K201)</f>
        <v>4374909</v>
      </c>
      <c r="CL201" s="1117">
        <f>VLOOKUP($E201,CI$442:CL$453,4,FALSE)*CI201*($K201)+(CI201-CJ201-CK201)*(1-$K201)</f>
        <v>0</v>
      </c>
      <c r="CM201" s="1073"/>
      <c r="CP201" s="1161">
        <f>VLOOKUP($A201,'New Resources - Group'!$A$4:$Y$133,CP$2,FALSE)*CP$1</f>
        <v>0</v>
      </c>
      <c r="CQ201" s="1116">
        <f>$G201+CP201</f>
        <v>4374909</v>
      </c>
      <c r="CR201" s="1117">
        <f>VLOOKUP($E201,CQ$442:CT$453,2,FALSE)*CQ201*($K201)+IF($G201&lt;&gt;0,($H201/$G201)*CQ201,0)*(1-$K201)</f>
        <v>0</v>
      </c>
      <c r="CS201" s="1117">
        <f>VLOOKUP($E201,CQ$442:CT$453,3,FALSE)*CQ201*($K201)+IF($G201&lt;&gt;0,($I201/$G201)*CQ201,0)*(1-$K201)</f>
        <v>4374909</v>
      </c>
      <c r="CT201" s="1117">
        <f>VLOOKUP($E201,CQ$442:CT$453,4,FALSE)*CQ201*($K201)+(CQ201-CR201-CS201)*(1-$K201)</f>
        <v>0</v>
      </c>
      <c r="CU201" s="1073"/>
      <c r="CX201" s="1161">
        <f>VLOOKUP($A201,'New Resources - Group'!$A$4:$Y$133,CX$2,FALSE)*CX$1</f>
        <v>0</v>
      </c>
      <c r="CY201" s="1116">
        <f>$G201+CX201</f>
        <v>4374909</v>
      </c>
      <c r="CZ201" s="1117">
        <f>VLOOKUP($E201,CY$442:DB$453,2,FALSE)*CY201*($K201)+IF($G201&lt;&gt;0,($H201/$G201)*CY201,0)*(1-$K201)</f>
        <v>0</v>
      </c>
      <c r="DA201" s="1117">
        <f>VLOOKUP($E201,CY$442:DB$453,3,FALSE)*CY201*($K201)+IF($G201&lt;&gt;0,($I201/$G201)*CY201,0)*(1-$K201)</f>
        <v>4374909</v>
      </c>
      <c r="DB201" s="1117">
        <f>VLOOKUP($E201,CY$442:DB$453,4,FALSE)*CY201*($K201)+(CY201-CZ201-DA201)*(1-$K201)</f>
        <v>0</v>
      </c>
      <c r="DC201" s="1073"/>
      <c r="DF201" s="1161">
        <f>VLOOKUP($A201,'New Resources - Group'!$A$4:$Y$133,DF$2,FALSE)*DF$1</f>
        <v>0</v>
      </c>
      <c r="DG201" s="1116">
        <f>$G201+DF201</f>
        <v>4374909</v>
      </c>
      <c r="DH201" s="1117">
        <f>VLOOKUP($E201,DG$442:DJ$453,2,FALSE)*DG201*($K201)+IF($G201&lt;&gt;0,($H201/$G201)*DG201,0)*(1-$K201)</f>
        <v>0</v>
      </c>
      <c r="DI201" s="1117">
        <f>VLOOKUP($E201,DG$442:DJ$453,3,FALSE)*DG201*($K201)+IF($G201&lt;&gt;0,($I201/$G201)*DG201,0)*(1-$K201)</f>
        <v>4374909</v>
      </c>
      <c r="DJ201" s="1117">
        <f>VLOOKUP($E201,DG$442:DJ$453,4,FALSE)*DG201*($K201)+(DG201-DH201-DI201)*(1-$K201)</f>
        <v>0</v>
      </c>
      <c r="DK201" s="1073"/>
      <c r="DN201" s="1161">
        <f>VLOOKUP($A201,'New Resources - Group'!$A$4:$Y$133,DN$2,FALSE)*DN$1</f>
        <v>0</v>
      </c>
      <c r="DO201" s="1116">
        <f>$G201+DN201</f>
        <v>4374909</v>
      </c>
      <c r="DP201" s="1117">
        <f>VLOOKUP($E201,DO$442:DR$453,2,FALSE)*DO201*($K201)+IF($G201&lt;&gt;0,($H201/$G201)*DO201,0)*(1-$K201)</f>
        <v>0</v>
      </c>
      <c r="DQ201" s="1117">
        <f>VLOOKUP($E201,DO$442:DR$453,3,FALSE)*DO201*($K201)+IF($G201&lt;&gt;0,($I201/$G201)*DO201,0)*(1-$K201)</f>
        <v>4374909</v>
      </c>
      <c r="DR201" s="1117">
        <f>VLOOKUP($E201,DO$442:DR$453,4,FALSE)*DO201*($K201)+(DO201-DP201-DQ201)*(1-$K201)</f>
        <v>0</v>
      </c>
      <c r="DS201" s="1073"/>
      <c r="DV201" s="1161">
        <f>VLOOKUP($A201,'New Resources - Group'!$A$4:$Y$133,DV$2,FALSE)*DV$1</f>
        <v>0</v>
      </c>
      <c r="DW201" s="1116">
        <f>$G201+DV201</f>
        <v>4374909</v>
      </c>
      <c r="DX201" s="1117">
        <f>VLOOKUP($E201,DW$442:DZ$453,2,FALSE)*DW201*($K201)+IF($G201&lt;&gt;0,($H201/$G201)*DW201,0)*(1-$K201)</f>
        <v>0</v>
      </c>
      <c r="DY201" s="1117">
        <f>VLOOKUP($E201,DW$442:DZ$453,3,FALSE)*DW201*($K201)+IF($G201&lt;&gt;0,($I201/$G201)*DW201,0)*(1-$K201)</f>
        <v>4374909</v>
      </c>
      <c r="DZ201" s="1117">
        <f>VLOOKUP($E201,DW$442:DZ$453,4,FALSE)*DW201*($K201)+(DW201-DX201-DY201)*(1-$K201)</f>
        <v>0</v>
      </c>
      <c r="EA201" s="1073"/>
      <c r="ED201" s="1161">
        <f>VLOOKUP($A201,'New Resources - Group'!$A$4:$Y$133,ED$2,FALSE)*ED$1</f>
        <v>0</v>
      </c>
      <c r="EE201" s="1116">
        <f>$G201+ED201</f>
        <v>4374909</v>
      </c>
      <c r="EF201" s="1117">
        <f>VLOOKUP($E201,EE$442:EH$453,2,FALSE)*EE201*($K201)+IF($G201&lt;&gt;0,($H201/$G201)*EE201,0)*(1-$K201)</f>
        <v>0</v>
      </c>
      <c r="EG201" s="1117">
        <f>VLOOKUP($E201,EE$442:EH$453,3,FALSE)*EE201*($K201)+IF($G201&lt;&gt;0,($I201/$G201)*EE201,0)*(1-$K201)</f>
        <v>4374909</v>
      </c>
      <c r="EH201" s="1117">
        <f>VLOOKUP($E201,EE$442:EH$453,4,FALSE)*EE201*($K201)+(EE201-EF201-EG201)*(1-$K201)</f>
        <v>0</v>
      </c>
      <c r="EI201" s="1073"/>
      <c r="EL201" s="1161">
        <f>VLOOKUP($A201,'New Resources - Group'!$A$4:$Y$133,EL$2,FALSE)*EL$1</f>
        <v>0</v>
      </c>
      <c r="EM201" s="1116">
        <f>$G201+EL201</f>
        <v>4374909</v>
      </c>
      <c r="EN201" s="1117">
        <f>VLOOKUP($E201,EM$442:EP$453,2,FALSE)*EM201*($K201)+IF($G201&lt;&gt;0,($H201/$G201)*EM201,0)*(1-$K201)</f>
        <v>0</v>
      </c>
      <c r="EO201" s="1117">
        <f>VLOOKUP($E201,EM$442:EP$453,3,FALSE)*EM201*($K201)+IF($G201&lt;&gt;0,($I201/$G201)*EM201,0)*(1-$K201)</f>
        <v>4374909</v>
      </c>
      <c r="EP201" s="1117">
        <f>VLOOKUP($E201,EM$442:EP$453,4,FALSE)*EM201*($K201)+(EM201-EN201-EO201)*(1-$K201)</f>
        <v>0</v>
      </c>
      <c r="EQ201" s="1073"/>
      <c r="ET201" s="1161">
        <f>VLOOKUP($A201,'New Resources - Group'!$A$4:$Y$133,ET$2,FALSE)*ET$1</f>
        <v>0</v>
      </c>
      <c r="EU201" s="1116">
        <f>$G201+ET201</f>
        <v>4374909</v>
      </c>
      <c r="EV201" s="1117">
        <f>VLOOKUP($E201,EU$442:EX$453,2,FALSE)*EU201*($K201)+IF($G201&lt;&gt;0,($H201/$G201)*EU201,0)*(1-$K201)</f>
        <v>0</v>
      </c>
      <c r="EW201" s="1117">
        <f>VLOOKUP($E201,EU$442:EX$453,3,FALSE)*EU201*($K201)+IF($G201&lt;&gt;0,($I201/$G201)*EU201,0)*(1-$K201)</f>
        <v>4374909</v>
      </c>
      <c r="EX201" s="1117">
        <f>VLOOKUP($E201,EU$442:EX$453,4,FALSE)*EU201*($K201)+(EU201-EV201-EW201)*(1-$K201)</f>
        <v>0</v>
      </c>
      <c r="EY201" s="1073"/>
      <c r="FB201" s="1161">
        <f>VLOOKUP($A201,'New Resources - Group'!$A$4:$Y$133,FB$2,FALSE)*FB$1</f>
        <v>0</v>
      </c>
      <c r="FC201" s="1116">
        <f>$G201+FB201</f>
        <v>4374909</v>
      </c>
      <c r="FD201" s="1117">
        <f>VLOOKUP($E201,FC$442:FF$453,2,FALSE)*FC201*($K201)+IF($G201&lt;&gt;0,($H201/$G201)*FC201,0)*(1-$K201)</f>
        <v>0</v>
      </c>
      <c r="FE201" s="1117">
        <f>VLOOKUP($E201,FC$442:FF$453,3,FALSE)*FC201*($K201)+IF($G201&lt;&gt;0,($I201/$G201)*FC201,0)*(1-$K201)</f>
        <v>4374909</v>
      </c>
      <c r="FF201" s="1117">
        <f>VLOOKUP($E201,FC$442:FF$453,4,FALSE)*FC201*($K201)+(FC201-FD201-FE201)*(1-$K201)</f>
        <v>0</v>
      </c>
      <c r="FG201" s="1073"/>
      <c r="FJ201" s="1161">
        <f>VLOOKUP($A201,'New Resources - Group'!$A$4:$Y$133,FJ$2,FALSE)*FJ$1</f>
        <v>0</v>
      </c>
      <c r="FK201" s="1116">
        <f>$G201+FJ201</f>
        <v>4374909</v>
      </c>
      <c r="FL201" s="1117">
        <f>VLOOKUP($E201,FK$442:FN$453,2,FALSE)*FK201*($K201)+IF($G201&lt;&gt;0,($H201/$G201)*FK201,0)*(1-$K201)</f>
        <v>0</v>
      </c>
      <c r="FM201" s="1117">
        <f>VLOOKUP($E201,FK$442:FN$453,3,FALSE)*FK201*($K201)+IF($G201&lt;&gt;0,($I201/$G201)*FK201,0)*(1-$K201)</f>
        <v>4374909</v>
      </c>
      <c r="FN201" s="1117">
        <f>VLOOKUP($E201,FK$442:FN$453,4,FALSE)*FK201*($K201)+(FK201-FL201-FM201)*(1-$K201)</f>
        <v>0</v>
      </c>
      <c r="FO201" s="1073"/>
    </row>
    <row r="202" spans="1:171">
      <c r="A202" s="1345" t="s">
        <v>487</v>
      </c>
      <c r="B202" s="10"/>
      <c r="C202" s="914"/>
      <c r="D202" s="915"/>
      <c r="E202" s="915"/>
      <c r="F202" s="916"/>
      <c r="G202" s="923">
        <f>SUM(G199:G201)</f>
        <v>33665618</v>
      </c>
      <c r="H202" s="923">
        <f>SUM(H199:H201)</f>
        <v>19063436</v>
      </c>
      <c r="I202" s="923">
        <f>SUM(I199:I201)</f>
        <v>0</v>
      </c>
      <c r="J202" s="1431">
        <f>SUM(J199:J201)</f>
        <v>14602182</v>
      </c>
      <c r="K202" s="903"/>
      <c r="O202" s="1135">
        <f>SUM(O199:O201)</f>
        <v>33665618</v>
      </c>
      <c r="P202" s="1135">
        <f>SUM(P199:P201)</f>
        <v>19063436</v>
      </c>
      <c r="Q202" s="1135">
        <f>SUM(Q199:Q201)</f>
        <v>14602182</v>
      </c>
      <c r="R202" s="1135">
        <f>SUM(R199:R201)</f>
        <v>0</v>
      </c>
      <c r="S202" s="1073"/>
      <c r="W202" s="1135">
        <f>SUM(W199:W201)</f>
        <v>33665618</v>
      </c>
      <c r="X202" s="1135">
        <f>SUM(X199:X201)</f>
        <v>19063436</v>
      </c>
      <c r="Y202" s="1135">
        <f>SUM(Y199:Y201)</f>
        <v>14602182</v>
      </c>
      <c r="Z202" s="1135">
        <f>SUM(Z199:Z201)</f>
        <v>0</v>
      </c>
      <c r="AA202" s="1073"/>
      <c r="AE202" s="1135">
        <f>SUM(AE199:AE201)</f>
        <v>33665618</v>
      </c>
      <c r="AF202" s="1135">
        <f>SUM(AF199:AF201)</f>
        <v>19063436</v>
      </c>
      <c r="AG202" s="1135">
        <f>SUM(AG199:AG201)</f>
        <v>14602182</v>
      </c>
      <c r="AH202" s="1135">
        <f>SUM(AH199:AH201)</f>
        <v>0</v>
      </c>
      <c r="AI202" s="1073"/>
      <c r="AM202" s="1135">
        <f>SUM(AM199:AM201)</f>
        <v>33665618</v>
      </c>
      <c r="AN202" s="1135">
        <f>SUM(AN199:AN201)</f>
        <v>19063436</v>
      </c>
      <c r="AO202" s="1135">
        <f>SUM(AO199:AO201)</f>
        <v>14602182</v>
      </c>
      <c r="AP202" s="1135">
        <f>SUM(AP199:AP201)</f>
        <v>0</v>
      </c>
      <c r="AQ202" s="1073"/>
      <c r="AU202" s="1135">
        <f>SUM(AU199:AU201)</f>
        <v>33665618</v>
      </c>
      <c r="AV202" s="1135">
        <f>SUM(AV199:AV201)</f>
        <v>19063436</v>
      </c>
      <c r="AW202" s="1135">
        <f>SUM(AW199:AW201)</f>
        <v>14602182</v>
      </c>
      <c r="AX202" s="1135">
        <f>SUM(AX199:AX201)</f>
        <v>0</v>
      </c>
      <c r="AY202" s="1073"/>
      <c r="BC202" s="1135">
        <f>SUM(BC199:BC201)</f>
        <v>33665618</v>
      </c>
      <c r="BD202" s="1135">
        <f>SUM(BD199:BD201)</f>
        <v>19063436</v>
      </c>
      <c r="BE202" s="1135">
        <f>SUM(BE199:BE201)</f>
        <v>14602182</v>
      </c>
      <c r="BF202" s="1135">
        <f>SUM(BF199:BF201)</f>
        <v>0</v>
      </c>
      <c r="BG202" s="1073"/>
      <c r="BK202" s="1135">
        <f>SUM(BK199:BK201)</f>
        <v>33665618</v>
      </c>
      <c r="BL202" s="1135">
        <f>SUM(BL199:BL201)</f>
        <v>19063436</v>
      </c>
      <c r="BM202" s="1135">
        <f>SUM(BM199:BM201)</f>
        <v>14602182</v>
      </c>
      <c r="BN202" s="1135">
        <f>SUM(BN199:BN201)</f>
        <v>0</v>
      </c>
      <c r="BO202" s="1073"/>
      <c r="BS202" s="1135">
        <f>SUM(BS199:BS201)</f>
        <v>33665618</v>
      </c>
      <c r="BT202" s="1135">
        <f>SUM(BT199:BT201)</f>
        <v>19063436</v>
      </c>
      <c r="BU202" s="1135">
        <f>SUM(BU199:BU201)</f>
        <v>14602182</v>
      </c>
      <c r="BV202" s="1135">
        <f>SUM(BV199:BV201)</f>
        <v>0</v>
      </c>
      <c r="BW202" s="1073"/>
      <c r="CA202" s="1135">
        <f>SUM(CA199:CA201)</f>
        <v>33665618</v>
      </c>
      <c r="CB202" s="1135">
        <f>SUM(CB199:CB201)</f>
        <v>19063436</v>
      </c>
      <c r="CC202" s="1135">
        <f>SUM(CC199:CC201)</f>
        <v>14602182</v>
      </c>
      <c r="CD202" s="1135">
        <f>SUM(CD199:CD201)</f>
        <v>0</v>
      </c>
      <c r="CE202" s="1073"/>
      <c r="CI202" s="1135">
        <f>SUM(CI199:CI201)</f>
        <v>33665618</v>
      </c>
      <c r="CJ202" s="1135">
        <f>SUM(CJ199:CJ201)</f>
        <v>19063436</v>
      </c>
      <c r="CK202" s="1135">
        <f>SUM(CK199:CK201)</f>
        <v>14602182</v>
      </c>
      <c r="CL202" s="1135">
        <f>SUM(CL199:CL201)</f>
        <v>0</v>
      </c>
      <c r="CM202" s="1073"/>
      <c r="CQ202" s="1135">
        <f>SUM(CQ199:CQ201)</f>
        <v>33665618</v>
      </c>
      <c r="CR202" s="1135">
        <f>SUM(CR199:CR201)</f>
        <v>19063436</v>
      </c>
      <c r="CS202" s="1135">
        <f>SUM(CS199:CS201)</f>
        <v>14602182</v>
      </c>
      <c r="CT202" s="1135">
        <f>SUM(CT199:CT201)</f>
        <v>0</v>
      </c>
      <c r="CU202" s="1073"/>
      <c r="CY202" s="1135">
        <f>SUM(CY199:CY201)</f>
        <v>33665618</v>
      </c>
      <c r="CZ202" s="1135">
        <f>SUM(CZ199:CZ201)</f>
        <v>19063436</v>
      </c>
      <c r="DA202" s="1135">
        <f>SUM(DA199:DA201)</f>
        <v>14602182</v>
      </c>
      <c r="DB202" s="1135">
        <f>SUM(DB199:DB201)</f>
        <v>0</v>
      </c>
      <c r="DC202" s="1073"/>
      <c r="DG202" s="1135">
        <f>SUM(DG199:DG201)</f>
        <v>33665618</v>
      </c>
      <c r="DH202" s="1135">
        <f>SUM(DH199:DH201)</f>
        <v>19063436</v>
      </c>
      <c r="DI202" s="1135">
        <f>SUM(DI199:DI201)</f>
        <v>14602182</v>
      </c>
      <c r="DJ202" s="1135">
        <f>SUM(DJ199:DJ201)</f>
        <v>0</v>
      </c>
      <c r="DK202" s="1073"/>
      <c r="DO202" s="1135">
        <f>SUM(DO199:DO201)</f>
        <v>33665618</v>
      </c>
      <c r="DP202" s="1135">
        <f>SUM(DP199:DP201)</f>
        <v>19063436</v>
      </c>
      <c r="DQ202" s="1135">
        <f>SUM(DQ199:DQ201)</f>
        <v>14602182</v>
      </c>
      <c r="DR202" s="1135">
        <f>SUM(DR199:DR201)</f>
        <v>0</v>
      </c>
      <c r="DS202" s="1073"/>
      <c r="DW202" s="1135">
        <f>SUM(DW199:DW201)</f>
        <v>33665618</v>
      </c>
      <c r="DX202" s="1135">
        <f>SUM(DX199:DX201)</f>
        <v>19063436</v>
      </c>
      <c r="DY202" s="1135">
        <f>SUM(DY199:DY201)</f>
        <v>14602182</v>
      </c>
      <c r="DZ202" s="1135">
        <f>SUM(DZ199:DZ201)</f>
        <v>0</v>
      </c>
      <c r="EA202" s="1073"/>
      <c r="EE202" s="1135">
        <f>SUM(EE199:EE201)</f>
        <v>33665618</v>
      </c>
      <c r="EF202" s="1135">
        <f>SUM(EF199:EF201)</f>
        <v>19063436</v>
      </c>
      <c r="EG202" s="1135">
        <f>SUM(EG199:EG201)</f>
        <v>14602182</v>
      </c>
      <c r="EH202" s="1135">
        <f>SUM(EH199:EH201)</f>
        <v>0</v>
      </c>
      <c r="EI202" s="1073"/>
      <c r="EM202" s="1135">
        <f>SUM(EM199:EM201)</f>
        <v>33665618</v>
      </c>
      <c r="EN202" s="1135">
        <f>SUM(EN199:EN201)</f>
        <v>19063436</v>
      </c>
      <c r="EO202" s="1135">
        <f>SUM(EO199:EO201)</f>
        <v>14602182</v>
      </c>
      <c r="EP202" s="1135">
        <f>SUM(EP199:EP201)</f>
        <v>0</v>
      </c>
      <c r="EQ202" s="1073"/>
      <c r="EU202" s="1135">
        <f>SUM(EU199:EU201)</f>
        <v>33665618</v>
      </c>
      <c r="EV202" s="1135">
        <f>SUM(EV199:EV201)</f>
        <v>19063436</v>
      </c>
      <c r="EW202" s="1135">
        <f>SUM(EW199:EW201)</f>
        <v>14602182</v>
      </c>
      <c r="EX202" s="1135">
        <f>SUM(EX199:EX201)</f>
        <v>0</v>
      </c>
      <c r="EY202" s="1073"/>
      <c r="FC202" s="1135">
        <f>SUM(FC199:FC201)</f>
        <v>33665618</v>
      </c>
      <c r="FD202" s="1135">
        <f>SUM(FD199:FD201)</f>
        <v>19063436</v>
      </c>
      <c r="FE202" s="1135">
        <f>SUM(FE199:FE201)</f>
        <v>14602182</v>
      </c>
      <c r="FF202" s="1135">
        <f>SUM(FF199:FF201)</f>
        <v>0</v>
      </c>
      <c r="FG202" s="1073"/>
      <c r="FK202" s="1135">
        <f>SUM(FK199:FK201)</f>
        <v>33665618</v>
      </c>
      <c r="FL202" s="1135">
        <f>SUM(FL199:FL201)</f>
        <v>19063436</v>
      </c>
      <c r="FM202" s="1135">
        <f>SUM(FM199:FM201)</f>
        <v>14602182</v>
      </c>
      <c r="FN202" s="1135">
        <f>SUM(FN199:FN201)</f>
        <v>0</v>
      </c>
      <c r="FO202" s="1073"/>
    </row>
    <row r="203" spans="1:171" ht="16.5" thickBot="1">
      <c r="A203" s="1469"/>
      <c r="B203" s="995"/>
      <c r="C203" s="932"/>
      <c r="D203" s="932"/>
      <c r="E203" s="931"/>
      <c r="F203" s="931"/>
      <c r="G203" s="996"/>
      <c r="H203" s="975"/>
      <c r="I203" s="975"/>
      <c r="J203" s="1470"/>
      <c r="K203" s="903"/>
      <c r="S203" s="1073"/>
      <c r="AA203" s="1073"/>
      <c r="AI203" s="1073"/>
      <c r="AQ203" s="1073"/>
      <c r="AY203" s="1073"/>
      <c r="BG203" s="1073"/>
      <c r="BO203" s="1073"/>
      <c r="BW203" s="1073"/>
      <c r="CE203" s="1073"/>
      <c r="CM203" s="1073"/>
      <c r="CU203" s="1073"/>
      <c r="DC203" s="1073"/>
      <c r="DK203" s="1073"/>
      <c r="DS203" s="1073"/>
      <c r="EA203" s="1073"/>
      <c r="EI203" s="1073"/>
      <c r="EQ203" s="1073"/>
      <c r="EY203" s="1073"/>
      <c r="FG203" s="1073"/>
      <c r="FO203" s="1073"/>
    </row>
    <row r="204" spans="1:171" ht="16.5" thickTop="1">
      <c r="A204" s="1362" t="s">
        <v>488</v>
      </c>
      <c r="B204" s="10"/>
      <c r="C204" s="55"/>
      <c r="D204" s="196"/>
      <c r="E204" s="10"/>
      <c r="F204" s="10"/>
      <c r="G204" s="989"/>
      <c r="H204" s="885"/>
      <c r="I204" s="885"/>
      <c r="J204" s="1436"/>
      <c r="K204" s="903"/>
      <c r="S204" s="1073"/>
      <c r="AA204" s="1073"/>
      <c r="AI204" s="1073"/>
      <c r="AQ204" s="1073"/>
      <c r="AY204" s="1073"/>
      <c r="BG204" s="1073"/>
      <c r="BO204" s="1073"/>
      <c r="BW204" s="1073"/>
      <c r="CE204" s="1073"/>
      <c r="CM204" s="1073"/>
      <c r="CU204" s="1073"/>
      <c r="DC204" s="1073"/>
      <c r="DK204" s="1073"/>
      <c r="DS204" s="1073"/>
      <c r="EA204" s="1073"/>
      <c r="EI204" s="1073"/>
      <c r="EQ204" s="1073"/>
      <c r="EY204" s="1073"/>
      <c r="FG204" s="1073"/>
      <c r="FO204" s="1073"/>
    </row>
    <row r="205" spans="1:171">
      <c r="A205" s="1423"/>
      <c r="B205" s="913" t="s">
        <v>467</v>
      </c>
      <c r="C205" s="888" t="s">
        <v>72</v>
      </c>
      <c r="D205" s="889" t="s">
        <v>489</v>
      </c>
      <c r="E205" s="182" t="str">
        <f>'Sch 3 - Expenses'!E45</f>
        <v>DIST</v>
      </c>
      <c r="F205" s="889"/>
      <c r="G205" s="182">
        <f>'Sch 3 - Expenses'!G45</f>
        <v>23429072</v>
      </c>
      <c r="H205" s="182">
        <f>'Sch 3 - Expenses'!H45</f>
        <v>0</v>
      </c>
      <c r="I205" s="182">
        <f>'Sch 3 - Expenses'!I45</f>
        <v>0</v>
      </c>
      <c r="J205" s="1424">
        <f>'Sch 3 - Expenses'!J45</f>
        <v>23429072</v>
      </c>
      <c r="K205" s="903">
        <f>IF($E205="DIRECT",0,1)</f>
        <v>1</v>
      </c>
      <c r="O205" s="1116">
        <f>$G205</f>
        <v>23429072</v>
      </c>
      <c r="P205" s="1117">
        <f>VLOOKUP($E205,O$442:R$453,2,FALSE)*O205*($K205)+IF($G205&lt;&gt;0,($H205/$G205)*O205,0)*(1-$K205)</f>
        <v>0</v>
      </c>
      <c r="Q205" s="1117">
        <f>VLOOKUP($E205,O$442:R$453,3,FALSE)*O205*($K205)+IF($G205&lt;&gt;0,($I205/$G205)*O205,0)*(1-$K205)</f>
        <v>0</v>
      </c>
      <c r="R205" s="1117">
        <f>VLOOKUP($E205,O$442:R$453,4,FALSE)*O205*($K205)+(O205-P205-Q205)*(1-$K205)</f>
        <v>23429072</v>
      </c>
      <c r="S205" s="1073"/>
      <c r="W205" s="1116">
        <f>$G205</f>
        <v>23429072</v>
      </c>
      <c r="X205" s="1117">
        <f>VLOOKUP($E205,W$442:Z$453,2,FALSE)*W205*($K205)+IF($G205&lt;&gt;0,($H205/$G205)*W205,0)*(1-$K205)</f>
        <v>0</v>
      </c>
      <c r="Y205" s="1117">
        <f>VLOOKUP($E205,W$442:Z$453,3,FALSE)*W205*($K205)+IF($G205&lt;&gt;0,($I205/$G205)*W205,0)*(1-$K205)</f>
        <v>0</v>
      </c>
      <c r="Z205" s="1117">
        <f>VLOOKUP($E205,W$442:Z$453,4,FALSE)*W205*($K205)+(W205-X205-Y205)*(1-$K205)</f>
        <v>23429072</v>
      </c>
      <c r="AA205" s="1073"/>
      <c r="AE205" s="1116">
        <f>$G205</f>
        <v>23429072</v>
      </c>
      <c r="AF205" s="1117">
        <f>VLOOKUP($E205,AE$442:AH$453,2,FALSE)*AE205*($K205)+IF($G205&lt;&gt;0,($H205/$G205)*AE205,0)*(1-$K205)</f>
        <v>0</v>
      </c>
      <c r="AG205" s="1117">
        <f>VLOOKUP($E205,AE$442:AH$453,3,FALSE)*AE205*($K205)+IF($G205&lt;&gt;0,($I205/$G205)*AE205,0)*(1-$K205)</f>
        <v>0</v>
      </c>
      <c r="AH205" s="1117">
        <f>VLOOKUP($E205,AE$442:AH$453,4,FALSE)*AE205*($K205)+(AE205-AF205-AG205)*(1-$K205)</f>
        <v>23429072</v>
      </c>
      <c r="AI205" s="1073"/>
      <c r="AM205" s="1116">
        <f>$G205</f>
        <v>23429072</v>
      </c>
      <c r="AN205" s="1117">
        <f>VLOOKUP($E205,AM$442:AP$453,2,FALSE)*AM205*($K205)+IF($G205&lt;&gt;0,($H205/$G205)*AM205,0)*(1-$K205)</f>
        <v>0</v>
      </c>
      <c r="AO205" s="1117">
        <f>VLOOKUP($E205,AM$442:AP$453,3,FALSE)*AM205*($K205)+IF($G205&lt;&gt;0,($I205/$G205)*AM205,0)*(1-$K205)</f>
        <v>0</v>
      </c>
      <c r="AP205" s="1117">
        <f>VLOOKUP($E205,AM$442:AP$453,4,FALSE)*AM205*($K205)+(AM205-AN205-AO205)*(1-$K205)</f>
        <v>23429072</v>
      </c>
      <c r="AQ205" s="1073"/>
      <c r="AU205" s="1116">
        <f>$G205</f>
        <v>23429072</v>
      </c>
      <c r="AV205" s="1117">
        <f>VLOOKUP($E205,AU$442:AX$453,2,FALSE)*AU205*($K205)+IF($G205&lt;&gt;0,($H205/$G205)*AU205,0)*(1-$K205)</f>
        <v>0</v>
      </c>
      <c r="AW205" s="1117">
        <f>VLOOKUP($E205,AU$442:AX$453,3,FALSE)*AU205*($K205)+IF($G205&lt;&gt;0,($I205/$G205)*AU205,0)*(1-$K205)</f>
        <v>0</v>
      </c>
      <c r="AX205" s="1117">
        <f>VLOOKUP($E205,AU$442:AX$453,4,FALSE)*AU205*($K205)+(AU205-AV205-AW205)*(1-$K205)</f>
        <v>23429072</v>
      </c>
      <c r="AY205" s="1073"/>
      <c r="BC205" s="1116">
        <f>$G205</f>
        <v>23429072</v>
      </c>
      <c r="BD205" s="1117">
        <f>VLOOKUP($E205,BC$442:BF$453,2,FALSE)*BC205*($K205)+IF($G205&lt;&gt;0,($H205/$G205)*BC205,0)*(1-$K205)</f>
        <v>0</v>
      </c>
      <c r="BE205" s="1117">
        <f>VLOOKUP($E205,BC$442:BF$453,3,FALSE)*BC205*($K205)+IF($G205&lt;&gt;0,($I205/$G205)*BC205,0)*(1-$K205)</f>
        <v>0</v>
      </c>
      <c r="BF205" s="1117">
        <f>VLOOKUP($E205,BC$442:BF$453,4,FALSE)*BC205*($K205)+(BC205-BD205-BE205)*(1-$K205)</f>
        <v>23429072</v>
      </c>
      <c r="BG205" s="1073"/>
      <c r="BK205" s="1116">
        <f>$G205</f>
        <v>23429072</v>
      </c>
      <c r="BL205" s="1117">
        <f>VLOOKUP($E205,BK$442:BN$453,2,FALSE)*BK205*($K205)+IF($G205&lt;&gt;0,($H205/$G205)*BK205,0)*(1-$K205)</f>
        <v>0</v>
      </c>
      <c r="BM205" s="1117">
        <f>VLOOKUP($E205,BK$442:BN$453,3,FALSE)*BK205*($K205)+IF($G205&lt;&gt;0,($I205/$G205)*BK205,0)*(1-$K205)</f>
        <v>0</v>
      </c>
      <c r="BN205" s="1117">
        <f>VLOOKUP($E205,BK$442:BN$453,4,FALSE)*BK205*($K205)+(BK205-BL205-BM205)*(1-$K205)</f>
        <v>23429072</v>
      </c>
      <c r="BO205" s="1073"/>
      <c r="BS205" s="1116">
        <f>$G205</f>
        <v>23429072</v>
      </c>
      <c r="BT205" s="1117">
        <f>VLOOKUP($E205,BS$442:BV$453,2,FALSE)*BS205*($K205)+IF($G205&lt;&gt;0,($H205/$G205)*BS205,0)*(1-$K205)</f>
        <v>0</v>
      </c>
      <c r="BU205" s="1117">
        <f>VLOOKUP($E205,BS$442:BV$453,3,FALSE)*BS205*($K205)+IF($G205&lt;&gt;0,($I205/$G205)*BS205,0)*(1-$K205)</f>
        <v>0</v>
      </c>
      <c r="BV205" s="1117">
        <f>VLOOKUP($E205,BS$442:BV$453,4,FALSE)*BS205*($K205)+(BS205-BT205-BU205)*(1-$K205)</f>
        <v>23429072</v>
      </c>
      <c r="BW205" s="1073"/>
      <c r="CA205" s="1116">
        <f>$G205</f>
        <v>23429072</v>
      </c>
      <c r="CB205" s="1117">
        <f>VLOOKUP($E205,CA$442:CD$453,2,FALSE)*CA205*($K205)+IF($G205&lt;&gt;0,($H205/$G205)*CA205,0)*(1-$K205)</f>
        <v>0</v>
      </c>
      <c r="CC205" s="1117">
        <f>VLOOKUP($E205,CA$442:CD$453,3,FALSE)*CA205*($K205)+IF($G205&lt;&gt;0,($I205/$G205)*CA205,0)*(1-$K205)</f>
        <v>0</v>
      </c>
      <c r="CD205" s="1117">
        <f>VLOOKUP($E205,CA$442:CD$453,4,FALSE)*CA205*($K205)+(CA205-CB205-CC205)*(1-$K205)</f>
        <v>23429072</v>
      </c>
      <c r="CE205" s="1073"/>
      <c r="CI205" s="1116">
        <f>$G205</f>
        <v>23429072</v>
      </c>
      <c r="CJ205" s="1117">
        <f>VLOOKUP($E205,CI$442:CL$453,2,FALSE)*CI205*($K205)+IF($G205&lt;&gt;0,($H205/$G205)*CI205,0)*(1-$K205)</f>
        <v>0</v>
      </c>
      <c r="CK205" s="1117">
        <f>VLOOKUP($E205,CI$442:CL$453,3,FALSE)*CI205*($K205)+IF($G205&lt;&gt;0,($I205/$G205)*CI205,0)*(1-$K205)</f>
        <v>0</v>
      </c>
      <c r="CL205" s="1117">
        <f>VLOOKUP($E205,CI$442:CL$453,4,FALSE)*CI205*($K205)+(CI205-CJ205-CK205)*(1-$K205)</f>
        <v>23429072</v>
      </c>
      <c r="CM205" s="1073"/>
      <c r="CQ205" s="1116">
        <f>$G205</f>
        <v>23429072</v>
      </c>
      <c r="CR205" s="1117">
        <f>VLOOKUP($E205,CQ$442:CT$453,2,FALSE)*CQ205*($K205)+IF($G205&lt;&gt;0,($H205/$G205)*CQ205,0)*(1-$K205)</f>
        <v>0</v>
      </c>
      <c r="CS205" s="1117">
        <f>VLOOKUP($E205,CQ$442:CT$453,3,FALSE)*CQ205*($K205)+IF($G205&lt;&gt;0,($I205/$G205)*CQ205,0)*(1-$K205)</f>
        <v>0</v>
      </c>
      <c r="CT205" s="1117">
        <f>VLOOKUP($E205,CQ$442:CT$453,4,FALSE)*CQ205*($K205)+(CQ205-CR205-CS205)*(1-$K205)</f>
        <v>23429072</v>
      </c>
      <c r="CU205" s="1073"/>
      <c r="CY205" s="1116">
        <f>$G205</f>
        <v>23429072</v>
      </c>
      <c r="CZ205" s="1117">
        <f>VLOOKUP($E205,CY$442:DB$453,2,FALSE)*CY205*($K205)+IF($G205&lt;&gt;0,($H205/$G205)*CY205,0)*(1-$K205)</f>
        <v>0</v>
      </c>
      <c r="DA205" s="1117">
        <f>VLOOKUP($E205,CY$442:DB$453,3,FALSE)*CY205*($K205)+IF($G205&lt;&gt;0,($I205/$G205)*CY205,0)*(1-$K205)</f>
        <v>0</v>
      </c>
      <c r="DB205" s="1117">
        <f>VLOOKUP($E205,CY$442:DB$453,4,FALSE)*CY205*($K205)+(CY205-CZ205-DA205)*(1-$K205)</f>
        <v>23429072</v>
      </c>
      <c r="DC205" s="1073"/>
      <c r="DG205" s="1116">
        <f>$G205</f>
        <v>23429072</v>
      </c>
      <c r="DH205" s="1117">
        <f>VLOOKUP($E205,DG$442:DJ$453,2,FALSE)*DG205*($K205)+IF($G205&lt;&gt;0,($H205/$G205)*DG205,0)*(1-$K205)</f>
        <v>0</v>
      </c>
      <c r="DI205" s="1117">
        <f>VLOOKUP($E205,DG$442:DJ$453,3,FALSE)*DG205*($K205)+IF($G205&lt;&gt;0,($I205/$G205)*DG205,0)*(1-$K205)</f>
        <v>0</v>
      </c>
      <c r="DJ205" s="1117">
        <f>VLOOKUP($E205,DG$442:DJ$453,4,FALSE)*DG205*($K205)+(DG205-DH205-DI205)*(1-$K205)</f>
        <v>23429072</v>
      </c>
      <c r="DK205" s="1073"/>
      <c r="DO205" s="1116">
        <f>$G205</f>
        <v>23429072</v>
      </c>
      <c r="DP205" s="1117">
        <f>VLOOKUP($E205,DO$442:DR$453,2,FALSE)*DO205*($K205)+IF($G205&lt;&gt;0,($H205/$G205)*DO205,0)*(1-$K205)</f>
        <v>0</v>
      </c>
      <c r="DQ205" s="1117">
        <f>VLOOKUP($E205,DO$442:DR$453,3,FALSE)*DO205*($K205)+IF($G205&lt;&gt;0,($I205/$G205)*DO205,0)*(1-$K205)</f>
        <v>0</v>
      </c>
      <c r="DR205" s="1117">
        <f>VLOOKUP($E205,DO$442:DR$453,4,FALSE)*DO205*($K205)+(DO205-DP205-DQ205)*(1-$K205)</f>
        <v>23429072</v>
      </c>
      <c r="DS205" s="1073"/>
      <c r="DW205" s="1116">
        <f>$G205</f>
        <v>23429072</v>
      </c>
      <c r="DX205" s="1117">
        <f>VLOOKUP($E205,DW$442:DZ$453,2,FALSE)*DW205*($K205)+IF($G205&lt;&gt;0,($H205/$G205)*DW205,0)*(1-$K205)</f>
        <v>0</v>
      </c>
      <c r="DY205" s="1117">
        <f>VLOOKUP($E205,DW$442:DZ$453,3,FALSE)*DW205*($K205)+IF($G205&lt;&gt;0,($I205/$G205)*DW205,0)*(1-$K205)</f>
        <v>0</v>
      </c>
      <c r="DZ205" s="1117">
        <f>VLOOKUP($E205,DW$442:DZ$453,4,FALSE)*DW205*($K205)+(DW205-DX205-DY205)*(1-$K205)</f>
        <v>23429072</v>
      </c>
      <c r="EA205" s="1073"/>
      <c r="EE205" s="1116">
        <f>$G205</f>
        <v>23429072</v>
      </c>
      <c r="EF205" s="1117">
        <f>VLOOKUP($E205,EE$442:EH$453,2,FALSE)*EE205*($K205)+IF($G205&lt;&gt;0,($H205/$G205)*EE205,0)*(1-$K205)</f>
        <v>0</v>
      </c>
      <c r="EG205" s="1117">
        <f>VLOOKUP($E205,EE$442:EH$453,3,FALSE)*EE205*($K205)+IF($G205&lt;&gt;0,($I205/$G205)*EE205,0)*(1-$K205)</f>
        <v>0</v>
      </c>
      <c r="EH205" s="1117">
        <f>VLOOKUP($E205,EE$442:EH$453,4,FALSE)*EE205*($K205)+(EE205-EF205-EG205)*(1-$K205)</f>
        <v>23429072</v>
      </c>
      <c r="EI205" s="1073"/>
      <c r="EM205" s="1116">
        <f>$G205</f>
        <v>23429072</v>
      </c>
      <c r="EN205" s="1117">
        <f>VLOOKUP($E205,EM$442:EP$453,2,FALSE)*EM205*($K205)+IF($G205&lt;&gt;0,($H205/$G205)*EM205,0)*(1-$K205)</f>
        <v>0</v>
      </c>
      <c r="EO205" s="1117">
        <f>VLOOKUP($E205,EM$442:EP$453,3,FALSE)*EM205*($K205)+IF($G205&lt;&gt;0,($I205/$G205)*EM205,0)*(1-$K205)</f>
        <v>0</v>
      </c>
      <c r="EP205" s="1117">
        <f>VLOOKUP($E205,EM$442:EP$453,4,FALSE)*EM205*($K205)+(EM205-EN205-EO205)*(1-$K205)</f>
        <v>23429072</v>
      </c>
      <c r="EQ205" s="1073"/>
      <c r="EU205" s="1116">
        <f>$G205</f>
        <v>23429072</v>
      </c>
      <c r="EV205" s="1117">
        <f>VLOOKUP($E205,EU$442:EX$453,2,FALSE)*EU205*($K205)+IF($G205&lt;&gt;0,($H205/$G205)*EU205,0)*(1-$K205)</f>
        <v>0</v>
      </c>
      <c r="EW205" s="1117">
        <f>VLOOKUP($E205,EU$442:EX$453,3,FALSE)*EU205*($K205)+IF($G205&lt;&gt;0,($I205/$G205)*EU205,0)*(1-$K205)</f>
        <v>0</v>
      </c>
      <c r="EX205" s="1117">
        <f>VLOOKUP($E205,EU$442:EX$453,4,FALSE)*EU205*($K205)+(EU205-EV205-EW205)*(1-$K205)</f>
        <v>23429072</v>
      </c>
      <c r="EY205" s="1073"/>
      <c r="FC205" s="1116">
        <f>$G205</f>
        <v>23429072</v>
      </c>
      <c r="FD205" s="1117">
        <f>VLOOKUP($E205,FC$442:FF$453,2,FALSE)*FC205*($K205)+IF($G205&lt;&gt;0,($H205/$G205)*FC205,0)*(1-$K205)</f>
        <v>0</v>
      </c>
      <c r="FE205" s="1117">
        <f>VLOOKUP($E205,FC$442:FF$453,3,FALSE)*FC205*($K205)+IF($G205&lt;&gt;0,($I205/$G205)*FC205,0)*(1-$K205)</f>
        <v>0</v>
      </c>
      <c r="FF205" s="1117">
        <f>VLOOKUP($E205,FC$442:FF$453,4,FALSE)*FC205*($K205)+(FC205-FD205-FE205)*(1-$K205)</f>
        <v>23429072</v>
      </c>
      <c r="FG205" s="1073"/>
      <c r="FK205" s="1116">
        <f>$G205</f>
        <v>23429072</v>
      </c>
      <c r="FL205" s="1117">
        <f>VLOOKUP($E205,FK$442:FN$453,2,FALSE)*FK205*($K205)+IF($G205&lt;&gt;0,($H205/$G205)*FK205,0)*(1-$K205)</f>
        <v>0</v>
      </c>
      <c r="FM205" s="1117">
        <f>VLOOKUP($E205,FK$442:FN$453,3,FALSE)*FK205*($K205)+IF($G205&lt;&gt;0,($I205/$G205)*FK205,0)*(1-$K205)</f>
        <v>0</v>
      </c>
      <c r="FN205" s="1117">
        <f>VLOOKUP($E205,FK$442:FN$453,4,FALSE)*FK205*($K205)+(FK205-FL205-FM205)*(1-$K205)</f>
        <v>23429072</v>
      </c>
      <c r="FO205" s="1073"/>
    </row>
    <row r="206" spans="1:171">
      <c r="A206" s="1423"/>
      <c r="B206" s="913" t="s">
        <v>466</v>
      </c>
      <c r="C206" s="888" t="s">
        <v>72</v>
      </c>
      <c r="D206" s="889" t="s">
        <v>490</v>
      </c>
      <c r="E206" s="182" t="str">
        <f>'Sch 3 - Expenses'!E46</f>
        <v>DIST</v>
      </c>
      <c r="F206" s="889"/>
      <c r="G206" s="182">
        <f>'Sch 3 - Expenses'!G46</f>
        <v>32595713.199999999</v>
      </c>
      <c r="H206" s="182">
        <f>'Sch 3 - Expenses'!H46</f>
        <v>0</v>
      </c>
      <c r="I206" s="182">
        <f>'Sch 3 - Expenses'!I46</f>
        <v>0</v>
      </c>
      <c r="J206" s="1424">
        <f>'Sch 3 - Expenses'!J46</f>
        <v>32595713.199999999</v>
      </c>
      <c r="K206" s="903">
        <f>IF($E206="DIRECT",0,1)</f>
        <v>1</v>
      </c>
      <c r="O206" s="1116">
        <f>$G206</f>
        <v>32595713.199999999</v>
      </c>
      <c r="P206" s="1117">
        <f>VLOOKUP($E206,O$442:R$453,2,FALSE)*O206*($K206)+IF($G206&lt;&gt;0,($H206/$G206)*O206,0)*(1-$K206)</f>
        <v>0</v>
      </c>
      <c r="Q206" s="1117">
        <f>VLOOKUP($E206,O$442:R$453,3,FALSE)*O206*($K206)+IF($G206&lt;&gt;0,($I206/$G206)*O206,0)*(1-$K206)</f>
        <v>0</v>
      </c>
      <c r="R206" s="1117">
        <f>VLOOKUP($E206,O$442:R$453,4,FALSE)*O206*($K206)+(O206-P206-Q206)*(1-$K206)</f>
        <v>32595713.199999999</v>
      </c>
      <c r="S206" s="1073"/>
      <c r="W206" s="1116">
        <f>$G206</f>
        <v>32595713.199999999</v>
      </c>
      <c r="X206" s="1117">
        <f>VLOOKUP($E206,W$442:Z$453,2,FALSE)*W206*($K206)+IF($G206&lt;&gt;0,($H206/$G206)*W206,0)*(1-$K206)</f>
        <v>0</v>
      </c>
      <c r="Y206" s="1117">
        <f>VLOOKUP($E206,W$442:Z$453,3,FALSE)*W206*($K206)+IF($G206&lt;&gt;0,($I206/$G206)*W206,0)*(1-$K206)</f>
        <v>0</v>
      </c>
      <c r="Z206" s="1117">
        <f>VLOOKUP($E206,W$442:Z$453,4,FALSE)*W206*($K206)+(W206-X206-Y206)*(1-$K206)</f>
        <v>32595713.199999999</v>
      </c>
      <c r="AA206" s="1073"/>
      <c r="AE206" s="1116">
        <f>$G206</f>
        <v>32595713.199999999</v>
      </c>
      <c r="AF206" s="1117">
        <f>VLOOKUP($E206,AE$442:AH$453,2,FALSE)*AE206*($K206)+IF($G206&lt;&gt;0,($H206/$G206)*AE206,0)*(1-$K206)</f>
        <v>0</v>
      </c>
      <c r="AG206" s="1117">
        <f>VLOOKUP($E206,AE$442:AH$453,3,FALSE)*AE206*($K206)+IF($G206&lt;&gt;0,($I206/$G206)*AE206,0)*(1-$K206)</f>
        <v>0</v>
      </c>
      <c r="AH206" s="1117">
        <f>VLOOKUP($E206,AE$442:AH$453,4,FALSE)*AE206*($K206)+(AE206-AF206-AG206)*(1-$K206)</f>
        <v>32595713.199999999</v>
      </c>
      <c r="AI206" s="1073"/>
      <c r="AM206" s="1116">
        <f>$G206</f>
        <v>32595713.199999999</v>
      </c>
      <c r="AN206" s="1117">
        <f>VLOOKUP($E206,AM$442:AP$453,2,FALSE)*AM206*($K206)+IF($G206&lt;&gt;0,($H206/$G206)*AM206,0)*(1-$K206)</f>
        <v>0</v>
      </c>
      <c r="AO206" s="1117">
        <f>VLOOKUP($E206,AM$442:AP$453,3,FALSE)*AM206*($K206)+IF($G206&lt;&gt;0,($I206/$G206)*AM206,0)*(1-$K206)</f>
        <v>0</v>
      </c>
      <c r="AP206" s="1117">
        <f>VLOOKUP($E206,AM$442:AP$453,4,FALSE)*AM206*($K206)+(AM206-AN206-AO206)*(1-$K206)</f>
        <v>32595713.199999999</v>
      </c>
      <c r="AQ206" s="1073"/>
      <c r="AU206" s="1116">
        <f>$G206</f>
        <v>32595713.199999999</v>
      </c>
      <c r="AV206" s="1117">
        <f>VLOOKUP($E206,AU$442:AX$453,2,FALSE)*AU206*($K206)+IF($G206&lt;&gt;0,($H206/$G206)*AU206,0)*(1-$K206)</f>
        <v>0</v>
      </c>
      <c r="AW206" s="1117">
        <f>VLOOKUP($E206,AU$442:AX$453,3,FALSE)*AU206*($K206)+IF($G206&lt;&gt;0,($I206/$G206)*AU206,0)*(1-$K206)</f>
        <v>0</v>
      </c>
      <c r="AX206" s="1117">
        <f>VLOOKUP($E206,AU$442:AX$453,4,FALSE)*AU206*($K206)+(AU206-AV206-AW206)*(1-$K206)</f>
        <v>32595713.199999999</v>
      </c>
      <c r="AY206" s="1073"/>
      <c r="BC206" s="1116">
        <f>$G206</f>
        <v>32595713.199999999</v>
      </c>
      <c r="BD206" s="1117">
        <f>VLOOKUP($E206,BC$442:BF$453,2,FALSE)*BC206*($K206)+IF($G206&lt;&gt;0,($H206/$G206)*BC206,0)*(1-$K206)</f>
        <v>0</v>
      </c>
      <c r="BE206" s="1117">
        <f>VLOOKUP($E206,BC$442:BF$453,3,FALSE)*BC206*($K206)+IF($G206&lt;&gt;0,($I206/$G206)*BC206,0)*(1-$K206)</f>
        <v>0</v>
      </c>
      <c r="BF206" s="1117">
        <f>VLOOKUP($E206,BC$442:BF$453,4,FALSE)*BC206*($K206)+(BC206-BD206-BE206)*(1-$K206)</f>
        <v>32595713.199999999</v>
      </c>
      <c r="BG206" s="1073"/>
      <c r="BK206" s="1116">
        <f>$G206</f>
        <v>32595713.199999999</v>
      </c>
      <c r="BL206" s="1117">
        <f>VLOOKUP($E206,BK$442:BN$453,2,FALSE)*BK206*($K206)+IF($G206&lt;&gt;0,($H206/$G206)*BK206,0)*(1-$K206)</f>
        <v>0</v>
      </c>
      <c r="BM206" s="1117">
        <f>VLOOKUP($E206,BK$442:BN$453,3,FALSE)*BK206*($K206)+IF($G206&lt;&gt;0,($I206/$G206)*BK206,0)*(1-$K206)</f>
        <v>0</v>
      </c>
      <c r="BN206" s="1117">
        <f>VLOOKUP($E206,BK$442:BN$453,4,FALSE)*BK206*($K206)+(BK206-BL206-BM206)*(1-$K206)</f>
        <v>32595713.199999999</v>
      </c>
      <c r="BO206" s="1073"/>
      <c r="BS206" s="1116">
        <f>$G206</f>
        <v>32595713.199999999</v>
      </c>
      <c r="BT206" s="1117">
        <f>VLOOKUP($E206,BS$442:BV$453,2,FALSE)*BS206*($K206)+IF($G206&lt;&gt;0,($H206/$G206)*BS206,0)*(1-$K206)</f>
        <v>0</v>
      </c>
      <c r="BU206" s="1117">
        <f>VLOOKUP($E206,BS$442:BV$453,3,FALSE)*BS206*($K206)+IF($G206&lt;&gt;0,($I206/$G206)*BS206,0)*(1-$K206)</f>
        <v>0</v>
      </c>
      <c r="BV206" s="1117">
        <f>VLOOKUP($E206,BS$442:BV$453,4,FALSE)*BS206*($K206)+(BS206-BT206-BU206)*(1-$K206)</f>
        <v>32595713.199999999</v>
      </c>
      <c r="BW206" s="1073"/>
      <c r="CA206" s="1116">
        <f>$G206</f>
        <v>32595713.199999999</v>
      </c>
      <c r="CB206" s="1117">
        <f>VLOOKUP($E206,CA$442:CD$453,2,FALSE)*CA206*($K206)+IF($G206&lt;&gt;0,($H206/$G206)*CA206,0)*(1-$K206)</f>
        <v>0</v>
      </c>
      <c r="CC206" s="1117">
        <f>VLOOKUP($E206,CA$442:CD$453,3,FALSE)*CA206*($K206)+IF($G206&lt;&gt;0,($I206/$G206)*CA206,0)*(1-$K206)</f>
        <v>0</v>
      </c>
      <c r="CD206" s="1117">
        <f>VLOOKUP($E206,CA$442:CD$453,4,FALSE)*CA206*($K206)+(CA206-CB206-CC206)*(1-$K206)</f>
        <v>32595713.199999999</v>
      </c>
      <c r="CE206" s="1073"/>
      <c r="CI206" s="1116">
        <f>$G206</f>
        <v>32595713.199999999</v>
      </c>
      <c r="CJ206" s="1117">
        <f>VLOOKUP($E206,CI$442:CL$453,2,FALSE)*CI206*($K206)+IF($G206&lt;&gt;0,($H206/$G206)*CI206,0)*(1-$K206)</f>
        <v>0</v>
      </c>
      <c r="CK206" s="1117">
        <f>VLOOKUP($E206,CI$442:CL$453,3,FALSE)*CI206*($K206)+IF($G206&lt;&gt;0,($I206/$G206)*CI206,0)*(1-$K206)</f>
        <v>0</v>
      </c>
      <c r="CL206" s="1117">
        <f>VLOOKUP($E206,CI$442:CL$453,4,FALSE)*CI206*($K206)+(CI206-CJ206-CK206)*(1-$K206)</f>
        <v>32595713.199999999</v>
      </c>
      <c r="CM206" s="1073"/>
      <c r="CQ206" s="1116">
        <f>$G206</f>
        <v>32595713.199999999</v>
      </c>
      <c r="CR206" s="1117">
        <f>VLOOKUP($E206,CQ$442:CT$453,2,FALSE)*CQ206*($K206)+IF($G206&lt;&gt;0,($H206/$G206)*CQ206,0)*(1-$K206)</f>
        <v>0</v>
      </c>
      <c r="CS206" s="1117">
        <f>VLOOKUP($E206,CQ$442:CT$453,3,FALSE)*CQ206*($K206)+IF($G206&lt;&gt;0,($I206/$G206)*CQ206,0)*(1-$K206)</f>
        <v>0</v>
      </c>
      <c r="CT206" s="1117">
        <f>VLOOKUP($E206,CQ$442:CT$453,4,FALSE)*CQ206*($K206)+(CQ206-CR206-CS206)*(1-$K206)</f>
        <v>32595713.199999999</v>
      </c>
      <c r="CU206" s="1073"/>
      <c r="CY206" s="1116">
        <f>$G206</f>
        <v>32595713.199999999</v>
      </c>
      <c r="CZ206" s="1117">
        <f>VLOOKUP($E206,CY$442:DB$453,2,FALSE)*CY206*($K206)+IF($G206&lt;&gt;0,($H206/$G206)*CY206,0)*(1-$K206)</f>
        <v>0</v>
      </c>
      <c r="DA206" s="1117">
        <f>VLOOKUP($E206,CY$442:DB$453,3,FALSE)*CY206*($K206)+IF($G206&lt;&gt;0,($I206/$G206)*CY206,0)*(1-$K206)</f>
        <v>0</v>
      </c>
      <c r="DB206" s="1117">
        <f>VLOOKUP($E206,CY$442:DB$453,4,FALSE)*CY206*($K206)+(CY206-CZ206-DA206)*(1-$K206)</f>
        <v>32595713.199999999</v>
      </c>
      <c r="DC206" s="1073"/>
      <c r="DG206" s="1116">
        <f>$G206</f>
        <v>32595713.199999999</v>
      </c>
      <c r="DH206" s="1117">
        <f>VLOOKUP($E206,DG$442:DJ$453,2,FALSE)*DG206*($K206)+IF($G206&lt;&gt;0,($H206/$G206)*DG206,0)*(1-$K206)</f>
        <v>0</v>
      </c>
      <c r="DI206" s="1117">
        <f>VLOOKUP($E206,DG$442:DJ$453,3,FALSE)*DG206*($K206)+IF($G206&lt;&gt;0,($I206/$G206)*DG206,0)*(1-$K206)</f>
        <v>0</v>
      </c>
      <c r="DJ206" s="1117">
        <f>VLOOKUP($E206,DG$442:DJ$453,4,FALSE)*DG206*($K206)+(DG206-DH206-DI206)*(1-$K206)</f>
        <v>32595713.199999999</v>
      </c>
      <c r="DK206" s="1073"/>
      <c r="DO206" s="1116">
        <f>$G206</f>
        <v>32595713.199999999</v>
      </c>
      <c r="DP206" s="1117">
        <f>VLOOKUP($E206,DO$442:DR$453,2,FALSE)*DO206*($K206)+IF($G206&lt;&gt;0,($H206/$G206)*DO206,0)*(1-$K206)</f>
        <v>0</v>
      </c>
      <c r="DQ206" s="1117">
        <f>VLOOKUP($E206,DO$442:DR$453,3,FALSE)*DO206*($K206)+IF($G206&lt;&gt;0,($I206/$G206)*DO206,0)*(1-$K206)</f>
        <v>0</v>
      </c>
      <c r="DR206" s="1117">
        <f>VLOOKUP($E206,DO$442:DR$453,4,FALSE)*DO206*($K206)+(DO206-DP206-DQ206)*(1-$K206)</f>
        <v>32595713.199999999</v>
      </c>
      <c r="DS206" s="1073"/>
      <c r="DW206" s="1116">
        <f>$G206</f>
        <v>32595713.199999999</v>
      </c>
      <c r="DX206" s="1117">
        <f>VLOOKUP($E206,DW$442:DZ$453,2,FALSE)*DW206*($K206)+IF($G206&lt;&gt;0,($H206/$G206)*DW206,0)*(1-$K206)</f>
        <v>0</v>
      </c>
      <c r="DY206" s="1117">
        <f>VLOOKUP($E206,DW$442:DZ$453,3,FALSE)*DW206*($K206)+IF($G206&lt;&gt;0,($I206/$G206)*DW206,0)*(1-$K206)</f>
        <v>0</v>
      </c>
      <c r="DZ206" s="1117">
        <f>VLOOKUP($E206,DW$442:DZ$453,4,FALSE)*DW206*($K206)+(DW206-DX206-DY206)*(1-$K206)</f>
        <v>32595713.199999999</v>
      </c>
      <c r="EA206" s="1073"/>
      <c r="EE206" s="1116">
        <f>$G206</f>
        <v>32595713.199999999</v>
      </c>
      <c r="EF206" s="1117">
        <f>VLOOKUP($E206,EE$442:EH$453,2,FALSE)*EE206*($K206)+IF($G206&lt;&gt;0,($H206/$G206)*EE206,0)*(1-$K206)</f>
        <v>0</v>
      </c>
      <c r="EG206" s="1117">
        <f>VLOOKUP($E206,EE$442:EH$453,3,FALSE)*EE206*($K206)+IF($G206&lt;&gt;0,($I206/$G206)*EE206,0)*(1-$K206)</f>
        <v>0</v>
      </c>
      <c r="EH206" s="1117">
        <f>VLOOKUP($E206,EE$442:EH$453,4,FALSE)*EE206*($K206)+(EE206-EF206-EG206)*(1-$K206)</f>
        <v>32595713.199999999</v>
      </c>
      <c r="EI206" s="1073"/>
      <c r="EM206" s="1116">
        <f>$G206</f>
        <v>32595713.199999999</v>
      </c>
      <c r="EN206" s="1117">
        <f>VLOOKUP($E206,EM$442:EP$453,2,FALSE)*EM206*($K206)+IF($G206&lt;&gt;0,($H206/$G206)*EM206,0)*(1-$K206)</f>
        <v>0</v>
      </c>
      <c r="EO206" s="1117">
        <f>VLOOKUP($E206,EM$442:EP$453,3,FALSE)*EM206*($K206)+IF($G206&lt;&gt;0,($I206/$G206)*EM206,0)*(1-$K206)</f>
        <v>0</v>
      </c>
      <c r="EP206" s="1117">
        <f>VLOOKUP($E206,EM$442:EP$453,4,FALSE)*EM206*($K206)+(EM206-EN206-EO206)*(1-$K206)</f>
        <v>32595713.199999999</v>
      </c>
      <c r="EQ206" s="1073"/>
      <c r="EU206" s="1116">
        <f>$G206</f>
        <v>32595713.199999999</v>
      </c>
      <c r="EV206" s="1117">
        <f>VLOOKUP($E206,EU$442:EX$453,2,FALSE)*EU206*($K206)+IF($G206&lt;&gt;0,($H206/$G206)*EU206,0)*(1-$K206)</f>
        <v>0</v>
      </c>
      <c r="EW206" s="1117">
        <f>VLOOKUP($E206,EU$442:EX$453,3,FALSE)*EU206*($K206)+IF($G206&lt;&gt;0,($I206/$G206)*EU206,0)*(1-$K206)</f>
        <v>0</v>
      </c>
      <c r="EX206" s="1117">
        <f>VLOOKUP($E206,EU$442:EX$453,4,FALSE)*EU206*($K206)+(EU206-EV206-EW206)*(1-$K206)</f>
        <v>32595713.199999999</v>
      </c>
      <c r="EY206" s="1073"/>
      <c r="FC206" s="1116">
        <f>$G206</f>
        <v>32595713.199999999</v>
      </c>
      <c r="FD206" s="1117">
        <f>VLOOKUP($E206,FC$442:FF$453,2,FALSE)*FC206*($K206)+IF($G206&lt;&gt;0,($H206/$G206)*FC206,0)*(1-$K206)</f>
        <v>0</v>
      </c>
      <c r="FE206" s="1117">
        <f>VLOOKUP($E206,FC$442:FF$453,3,FALSE)*FC206*($K206)+IF($G206&lt;&gt;0,($I206/$G206)*FC206,0)*(1-$K206)</f>
        <v>0</v>
      </c>
      <c r="FF206" s="1117">
        <f>VLOOKUP($E206,FC$442:FF$453,4,FALSE)*FC206*($K206)+(FC206-FD206-FE206)*(1-$K206)</f>
        <v>32595713.199999999</v>
      </c>
      <c r="FG206" s="1073"/>
      <c r="FK206" s="1116">
        <f>$G206</f>
        <v>32595713.199999999</v>
      </c>
      <c r="FL206" s="1117">
        <f>VLOOKUP($E206,FK$442:FN$453,2,FALSE)*FK206*($K206)+IF($G206&lt;&gt;0,($H206/$G206)*FK206,0)*(1-$K206)</f>
        <v>0</v>
      </c>
      <c r="FM206" s="1117">
        <f>VLOOKUP($E206,FK$442:FN$453,3,FALSE)*FK206*($K206)+IF($G206&lt;&gt;0,($I206/$G206)*FK206,0)*(1-$K206)</f>
        <v>0</v>
      </c>
      <c r="FN206" s="1117">
        <f>VLOOKUP($E206,FK$442:FN$453,4,FALSE)*FK206*($K206)+(FK206-FL206-FM206)*(1-$K206)</f>
        <v>32595713.199999999</v>
      </c>
      <c r="FO206" s="1073"/>
    </row>
    <row r="207" spans="1:171">
      <c r="A207" s="1345" t="s">
        <v>491</v>
      </c>
      <c r="B207" s="10"/>
      <c r="C207" s="914"/>
      <c r="D207" s="915"/>
      <c r="E207" s="915"/>
      <c r="F207" s="916"/>
      <c r="G207" s="923">
        <f>SUM(G205:G206)</f>
        <v>56024785.200000003</v>
      </c>
      <c r="H207" s="923">
        <f>SUM(H205:H206)</f>
        <v>0</v>
      </c>
      <c r="I207" s="923">
        <f>SUM(I205:I206)</f>
        <v>0</v>
      </c>
      <c r="J207" s="1431">
        <f>SUM(J205:J206)</f>
        <v>56024785.200000003</v>
      </c>
      <c r="K207" s="903"/>
      <c r="O207" s="1135">
        <f>SUM(O205:O206)</f>
        <v>56024785.200000003</v>
      </c>
      <c r="P207" s="1135">
        <f>SUM(P205:P206)</f>
        <v>0</v>
      </c>
      <c r="Q207" s="1135">
        <f>SUM(Q205:Q206)</f>
        <v>0</v>
      </c>
      <c r="R207" s="1135">
        <f>SUM(R205:R206)</f>
        <v>56024785.200000003</v>
      </c>
      <c r="S207" s="1073"/>
      <c r="W207" s="1135">
        <f>SUM(W205:W206)</f>
        <v>56024785.200000003</v>
      </c>
      <c r="X207" s="1135">
        <f>SUM(X205:X206)</f>
        <v>0</v>
      </c>
      <c r="Y207" s="1135">
        <f>SUM(Y205:Y206)</f>
        <v>0</v>
      </c>
      <c r="Z207" s="1135">
        <f>SUM(Z205:Z206)</f>
        <v>56024785.200000003</v>
      </c>
      <c r="AA207" s="1073"/>
      <c r="AE207" s="1135">
        <f>SUM(AE205:AE206)</f>
        <v>56024785.200000003</v>
      </c>
      <c r="AF207" s="1135">
        <f>SUM(AF205:AF206)</f>
        <v>0</v>
      </c>
      <c r="AG207" s="1135">
        <f>SUM(AG205:AG206)</f>
        <v>0</v>
      </c>
      <c r="AH207" s="1135">
        <f>SUM(AH205:AH206)</f>
        <v>56024785.200000003</v>
      </c>
      <c r="AI207" s="1073"/>
      <c r="AM207" s="1135">
        <f>SUM(AM205:AM206)</f>
        <v>56024785.200000003</v>
      </c>
      <c r="AN207" s="1135">
        <f>SUM(AN205:AN206)</f>
        <v>0</v>
      </c>
      <c r="AO207" s="1135">
        <f>SUM(AO205:AO206)</f>
        <v>0</v>
      </c>
      <c r="AP207" s="1135">
        <f>SUM(AP205:AP206)</f>
        <v>56024785.200000003</v>
      </c>
      <c r="AQ207" s="1073"/>
      <c r="AU207" s="1135">
        <f>SUM(AU205:AU206)</f>
        <v>56024785.200000003</v>
      </c>
      <c r="AV207" s="1135">
        <f>SUM(AV205:AV206)</f>
        <v>0</v>
      </c>
      <c r="AW207" s="1135">
        <f>SUM(AW205:AW206)</f>
        <v>0</v>
      </c>
      <c r="AX207" s="1135">
        <f>SUM(AX205:AX206)</f>
        <v>56024785.200000003</v>
      </c>
      <c r="AY207" s="1073"/>
      <c r="BC207" s="1135">
        <f>SUM(BC205:BC206)</f>
        <v>56024785.200000003</v>
      </c>
      <c r="BD207" s="1135">
        <f>SUM(BD205:BD206)</f>
        <v>0</v>
      </c>
      <c r="BE207" s="1135">
        <f>SUM(BE205:BE206)</f>
        <v>0</v>
      </c>
      <c r="BF207" s="1135">
        <f>SUM(BF205:BF206)</f>
        <v>56024785.200000003</v>
      </c>
      <c r="BG207" s="1073"/>
      <c r="BK207" s="1135">
        <f>SUM(BK205:BK206)</f>
        <v>56024785.200000003</v>
      </c>
      <c r="BL207" s="1135">
        <f>SUM(BL205:BL206)</f>
        <v>0</v>
      </c>
      <c r="BM207" s="1135">
        <f>SUM(BM205:BM206)</f>
        <v>0</v>
      </c>
      <c r="BN207" s="1135">
        <f>SUM(BN205:BN206)</f>
        <v>56024785.200000003</v>
      </c>
      <c r="BO207" s="1073"/>
      <c r="BS207" s="1135">
        <f>SUM(BS205:BS206)</f>
        <v>56024785.200000003</v>
      </c>
      <c r="BT207" s="1135">
        <f>SUM(BT205:BT206)</f>
        <v>0</v>
      </c>
      <c r="BU207" s="1135">
        <f>SUM(BU205:BU206)</f>
        <v>0</v>
      </c>
      <c r="BV207" s="1135">
        <f>SUM(BV205:BV206)</f>
        <v>56024785.200000003</v>
      </c>
      <c r="BW207" s="1073"/>
      <c r="CA207" s="1135">
        <f>SUM(CA205:CA206)</f>
        <v>56024785.200000003</v>
      </c>
      <c r="CB207" s="1135">
        <f>SUM(CB205:CB206)</f>
        <v>0</v>
      </c>
      <c r="CC207" s="1135">
        <f>SUM(CC205:CC206)</f>
        <v>0</v>
      </c>
      <c r="CD207" s="1135">
        <f>SUM(CD205:CD206)</f>
        <v>56024785.200000003</v>
      </c>
      <c r="CE207" s="1073"/>
      <c r="CI207" s="1135">
        <f>SUM(CI205:CI206)</f>
        <v>56024785.200000003</v>
      </c>
      <c r="CJ207" s="1135">
        <f>SUM(CJ205:CJ206)</f>
        <v>0</v>
      </c>
      <c r="CK207" s="1135">
        <f>SUM(CK205:CK206)</f>
        <v>0</v>
      </c>
      <c r="CL207" s="1135">
        <f>SUM(CL205:CL206)</f>
        <v>56024785.200000003</v>
      </c>
      <c r="CM207" s="1073"/>
      <c r="CQ207" s="1135">
        <f>SUM(CQ205:CQ206)</f>
        <v>56024785.200000003</v>
      </c>
      <c r="CR207" s="1135">
        <f>SUM(CR205:CR206)</f>
        <v>0</v>
      </c>
      <c r="CS207" s="1135">
        <f>SUM(CS205:CS206)</f>
        <v>0</v>
      </c>
      <c r="CT207" s="1135">
        <f>SUM(CT205:CT206)</f>
        <v>56024785.200000003</v>
      </c>
      <c r="CU207" s="1073"/>
      <c r="CY207" s="1135">
        <f>SUM(CY205:CY206)</f>
        <v>56024785.200000003</v>
      </c>
      <c r="CZ207" s="1135">
        <f>SUM(CZ205:CZ206)</f>
        <v>0</v>
      </c>
      <c r="DA207" s="1135">
        <f>SUM(DA205:DA206)</f>
        <v>0</v>
      </c>
      <c r="DB207" s="1135">
        <f>SUM(DB205:DB206)</f>
        <v>56024785.200000003</v>
      </c>
      <c r="DC207" s="1073"/>
      <c r="DG207" s="1135">
        <f>SUM(DG205:DG206)</f>
        <v>56024785.200000003</v>
      </c>
      <c r="DH207" s="1135">
        <f>SUM(DH205:DH206)</f>
        <v>0</v>
      </c>
      <c r="DI207" s="1135">
        <f>SUM(DI205:DI206)</f>
        <v>0</v>
      </c>
      <c r="DJ207" s="1135">
        <f>SUM(DJ205:DJ206)</f>
        <v>56024785.200000003</v>
      </c>
      <c r="DK207" s="1073"/>
      <c r="DO207" s="1135">
        <f>SUM(DO205:DO206)</f>
        <v>56024785.200000003</v>
      </c>
      <c r="DP207" s="1135">
        <f>SUM(DP205:DP206)</f>
        <v>0</v>
      </c>
      <c r="DQ207" s="1135">
        <f>SUM(DQ205:DQ206)</f>
        <v>0</v>
      </c>
      <c r="DR207" s="1135">
        <f>SUM(DR205:DR206)</f>
        <v>56024785.200000003</v>
      </c>
      <c r="DS207" s="1073"/>
      <c r="DW207" s="1135">
        <f>SUM(DW205:DW206)</f>
        <v>56024785.200000003</v>
      </c>
      <c r="DX207" s="1135">
        <f>SUM(DX205:DX206)</f>
        <v>0</v>
      </c>
      <c r="DY207" s="1135">
        <f>SUM(DY205:DY206)</f>
        <v>0</v>
      </c>
      <c r="DZ207" s="1135">
        <f>SUM(DZ205:DZ206)</f>
        <v>56024785.200000003</v>
      </c>
      <c r="EA207" s="1073"/>
      <c r="EE207" s="1135">
        <f>SUM(EE205:EE206)</f>
        <v>56024785.200000003</v>
      </c>
      <c r="EF207" s="1135">
        <f>SUM(EF205:EF206)</f>
        <v>0</v>
      </c>
      <c r="EG207" s="1135">
        <f>SUM(EG205:EG206)</f>
        <v>0</v>
      </c>
      <c r="EH207" s="1135">
        <f>SUM(EH205:EH206)</f>
        <v>56024785.200000003</v>
      </c>
      <c r="EI207" s="1073"/>
      <c r="EM207" s="1135">
        <f>SUM(EM205:EM206)</f>
        <v>56024785.200000003</v>
      </c>
      <c r="EN207" s="1135">
        <f>SUM(EN205:EN206)</f>
        <v>0</v>
      </c>
      <c r="EO207" s="1135">
        <f>SUM(EO205:EO206)</f>
        <v>0</v>
      </c>
      <c r="EP207" s="1135">
        <f>SUM(EP205:EP206)</f>
        <v>56024785.200000003</v>
      </c>
      <c r="EQ207" s="1073"/>
      <c r="EU207" s="1135">
        <f>SUM(EU205:EU206)</f>
        <v>56024785.200000003</v>
      </c>
      <c r="EV207" s="1135">
        <f>SUM(EV205:EV206)</f>
        <v>0</v>
      </c>
      <c r="EW207" s="1135">
        <f>SUM(EW205:EW206)</f>
        <v>0</v>
      </c>
      <c r="EX207" s="1135">
        <f>SUM(EX205:EX206)</f>
        <v>56024785.200000003</v>
      </c>
      <c r="EY207" s="1073"/>
      <c r="FC207" s="1135">
        <f>SUM(FC205:FC206)</f>
        <v>56024785.200000003</v>
      </c>
      <c r="FD207" s="1135">
        <f>SUM(FD205:FD206)</f>
        <v>0</v>
      </c>
      <c r="FE207" s="1135">
        <f>SUM(FE205:FE206)</f>
        <v>0</v>
      </c>
      <c r="FF207" s="1135">
        <f>SUM(FF205:FF206)</f>
        <v>56024785.200000003</v>
      </c>
      <c r="FG207" s="1073"/>
      <c r="FK207" s="1135">
        <f>SUM(FK205:FK206)</f>
        <v>56024785.200000003</v>
      </c>
      <c r="FL207" s="1135">
        <f>SUM(FL205:FL206)</f>
        <v>0</v>
      </c>
      <c r="FM207" s="1135">
        <f>SUM(FM205:FM206)</f>
        <v>0</v>
      </c>
      <c r="FN207" s="1135">
        <f>SUM(FN205:FN206)</f>
        <v>56024785.200000003</v>
      </c>
      <c r="FO207" s="1073"/>
    </row>
    <row r="208" spans="1:171">
      <c r="A208" s="1373"/>
      <c r="B208" s="10"/>
      <c r="C208" s="55"/>
      <c r="D208" s="55"/>
      <c r="E208" s="55"/>
      <c r="F208" s="55"/>
      <c r="G208" s="998"/>
      <c r="H208" s="56"/>
      <c r="I208" s="56"/>
      <c r="J208" s="1471"/>
      <c r="K208" s="903"/>
      <c r="O208" s="1079"/>
      <c r="S208" s="1073"/>
      <c r="W208" s="1079"/>
      <c r="AA208" s="1073"/>
      <c r="AE208" s="1079"/>
      <c r="AI208" s="1073"/>
      <c r="AM208" s="1079"/>
      <c r="AQ208" s="1073"/>
      <c r="AU208" s="1079"/>
      <c r="AY208" s="1073"/>
      <c r="BC208" s="1079"/>
      <c r="BG208" s="1073"/>
      <c r="BK208" s="1079"/>
      <c r="BO208" s="1073"/>
      <c r="BS208" s="1079"/>
      <c r="BW208" s="1073"/>
      <c r="CA208" s="1079"/>
      <c r="CE208" s="1073"/>
      <c r="CI208" s="1079"/>
      <c r="CM208" s="1073"/>
      <c r="CQ208" s="1079"/>
      <c r="CU208" s="1073"/>
      <c r="CY208" s="1079"/>
      <c r="DC208" s="1073"/>
      <c r="DG208" s="1079"/>
      <c r="DK208" s="1073"/>
      <c r="DO208" s="1079"/>
      <c r="DS208" s="1073"/>
      <c r="DW208" s="1079"/>
      <c r="EA208" s="1073"/>
      <c r="EE208" s="1079"/>
      <c r="EI208" s="1073"/>
      <c r="EM208" s="1079"/>
      <c r="EQ208" s="1073"/>
      <c r="EU208" s="1079"/>
      <c r="EY208" s="1073"/>
      <c r="FC208" s="1079"/>
      <c r="FG208" s="1073"/>
      <c r="FK208" s="1079"/>
      <c r="FO208" s="1073"/>
    </row>
    <row r="209" spans="1:171">
      <c r="A209" s="1362" t="s">
        <v>492</v>
      </c>
      <c r="B209" s="10"/>
      <c r="C209" s="55"/>
      <c r="D209" s="55"/>
      <c r="E209" s="55"/>
      <c r="F209" s="55"/>
      <c r="G209" s="998"/>
      <c r="H209" s="56"/>
      <c r="I209" s="56"/>
      <c r="J209" s="1471"/>
      <c r="K209" s="903"/>
      <c r="O209" s="1079"/>
      <c r="S209" s="1073"/>
      <c r="W209" s="1079"/>
      <c r="AA209" s="1073"/>
      <c r="AE209" s="1079"/>
      <c r="AI209" s="1073"/>
      <c r="AM209" s="1079"/>
      <c r="AQ209" s="1073"/>
      <c r="AU209" s="1079"/>
      <c r="AY209" s="1073"/>
      <c r="BC209" s="1079"/>
      <c r="BG209" s="1073"/>
      <c r="BK209" s="1079"/>
      <c r="BO209" s="1073"/>
      <c r="BS209" s="1079"/>
      <c r="BW209" s="1073"/>
      <c r="CA209" s="1079"/>
      <c r="CE209" s="1073"/>
      <c r="CI209" s="1079"/>
      <c r="CM209" s="1073"/>
      <c r="CQ209" s="1079"/>
      <c r="CU209" s="1073"/>
      <c r="CY209" s="1079"/>
      <c r="DC209" s="1073"/>
      <c r="DG209" s="1079"/>
      <c r="DK209" s="1073"/>
      <c r="DO209" s="1079"/>
      <c r="DS209" s="1073"/>
      <c r="DW209" s="1079"/>
      <c r="EA209" s="1073"/>
      <c r="EE209" s="1079"/>
      <c r="EI209" s="1073"/>
      <c r="EM209" s="1079"/>
      <c r="EQ209" s="1073"/>
      <c r="EU209" s="1079"/>
      <c r="EY209" s="1073"/>
      <c r="FC209" s="1079"/>
      <c r="FG209" s="1073"/>
      <c r="FK209" s="1079"/>
      <c r="FO209" s="1073"/>
    </row>
    <row r="210" spans="1:171">
      <c r="A210" s="1423"/>
      <c r="B210" s="913" t="s">
        <v>468</v>
      </c>
      <c r="C210" s="888" t="s">
        <v>72</v>
      </c>
      <c r="D210" s="888" t="s">
        <v>493</v>
      </c>
      <c r="E210" s="182" t="str">
        <f>'Sch 3 - Expenses'!E50</f>
        <v>DIST</v>
      </c>
      <c r="F210" s="889"/>
      <c r="G210" s="182">
        <f>'Sch 3 - Expenses'!G50</f>
        <v>10411205</v>
      </c>
      <c r="H210" s="182">
        <f>'Sch 3 - Expenses'!H50</f>
        <v>0</v>
      </c>
      <c r="I210" s="182">
        <f>'Sch 3 - Expenses'!I50</f>
        <v>0</v>
      </c>
      <c r="J210" s="1424">
        <f>'Sch 3 - Expenses'!J50</f>
        <v>10411205</v>
      </c>
      <c r="K210" s="903">
        <f>IF($E210="DIRECT",0,1)</f>
        <v>1</v>
      </c>
      <c r="O210" s="1116">
        <f>$G210</f>
        <v>10411205</v>
      </c>
      <c r="P210" s="1117">
        <f>VLOOKUP($E210,O$442:R$453,2,FALSE)*O210*($K210)+IF($G210&lt;&gt;0,($H210/$G210)*O210,0)*(1-$K210)</f>
        <v>0</v>
      </c>
      <c r="Q210" s="1117">
        <f>VLOOKUP($E210,O$442:R$453,3,FALSE)*O210*($K210)+IF($G210&lt;&gt;0,($I210/$G210)*O210,0)*(1-$K210)</f>
        <v>0</v>
      </c>
      <c r="R210" s="1117">
        <f>VLOOKUP($E210,O$442:R$453,4,FALSE)*O210*($K210)+(O210-P210-Q210)*(1-$K210)</f>
        <v>10411205</v>
      </c>
      <c r="S210" s="1073"/>
      <c r="W210" s="1116">
        <f>$G210</f>
        <v>10411205</v>
      </c>
      <c r="X210" s="1117">
        <f>VLOOKUP($E210,W$442:Z$453,2,FALSE)*W210*($K210)+IF($G210&lt;&gt;0,($H210/$G210)*W210,0)*(1-$K210)</f>
        <v>0</v>
      </c>
      <c r="Y210" s="1117">
        <f>VLOOKUP($E210,W$442:Z$453,3,FALSE)*W210*($K210)+IF($G210&lt;&gt;0,($I210/$G210)*W210,0)*(1-$K210)</f>
        <v>0</v>
      </c>
      <c r="Z210" s="1117">
        <f>VLOOKUP($E210,W$442:Z$453,4,FALSE)*W210*($K210)+(W210-X210-Y210)*(1-$K210)</f>
        <v>10411205</v>
      </c>
      <c r="AA210" s="1073"/>
      <c r="AE210" s="1116">
        <f>$G210</f>
        <v>10411205</v>
      </c>
      <c r="AF210" s="1117">
        <f>VLOOKUP($E210,AE$442:AH$453,2,FALSE)*AE210*($K210)+IF($G210&lt;&gt;0,($H210/$G210)*AE210,0)*(1-$K210)</f>
        <v>0</v>
      </c>
      <c r="AG210" s="1117">
        <f>VLOOKUP($E210,AE$442:AH$453,3,FALSE)*AE210*($K210)+IF($G210&lt;&gt;0,($I210/$G210)*AE210,0)*(1-$K210)</f>
        <v>0</v>
      </c>
      <c r="AH210" s="1117">
        <f>VLOOKUP($E210,AE$442:AH$453,4,FALSE)*AE210*($K210)+(AE210-AF210-AG210)*(1-$K210)</f>
        <v>10411205</v>
      </c>
      <c r="AI210" s="1073"/>
      <c r="AM210" s="1116">
        <f>$G210</f>
        <v>10411205</v>
      </c>
      <c r="AN210" s="1117">
        <f>VLOOKUP($E210,AM$442:AP$453,2,FALSE)*AM210*($K210)+IF($G210&lt;&gt;0,($H210/$G210)*AM210,0)*(1-$K210)</f>
        <v>0</v>
      </c>
      <c r="AO210" s="1117">
        <f>VLOOKUP($E210,AM$442:AP$453,3,FALSE)*AM210*($K210)+IF($G210&lt;&gt;0,($I210/$G210)*AM210,0)*(1-$K210)</f>
        <v>0</v>
      </c>
      <c r="AP210" s="1117">
        <f>VLOOKUP($E210,AM$442:AP$453,4,FALSE)*AM210*($K210)+(AM210-AN210-AO210)*(1-$K210)</f>
        <v>10411205</v>
      </c>
      <c r="AQ210" s="1073"/>
      <c r="AU210" s="1116">
        <f>$G210</f>
        <v>10411205</v>
      </c>
      <c r="AV210" s="1117">
        <f>VLOOKUP($E210,AU$442:AX$453,2,FALSE)*AU210*($K210)+IF($G210&lt;&gt;0,($H210/$G210)*AU210,0)*(1-$K210)</f>
        <v>0</v>
      </c>
      <c r="AW210" s="1117">
        <f>VLOOKUP($E210,AU$442:AX$453,3,FALSE)*AU210*($K210)+IF($G210&lt;&gt;0,($I210/$G210)*AU210,0)*(1-$K210)</f>
        <v>0</v>
      </c>
      <c r="AX210" s="1117">
        <f>VLOOKUP($E210,AU$442:AX$453,4,FALSE)*AU210*($K210)+(AU210-AV210-AW210)*(1-$K210)</f>
        <v>10411205</v>
      </c>
      <c r="AY210" s="1073"/>
      <c r="BC210" s="1116">
        <f>$G210</f>
        <v>10411205</v>
      </c>
      <c r="BD210" s="1117">
        <f>VLOOKUP($E210,BC$442:BF$453,2,FALSE)*BC210*($K210)+IF($G210&lt;&gt;0,($H210/$G210)*BC210,0)*(1-$K210)</f>
        <v>0</v>
      </c>
      <c r="BE210" s="1117">
        <f>VLOOKUP($E210,BC$442:BF$453,3,FALSE)*BC210*($K210)+IF($G210&lt;&gt;0,($I210/$G210)*BC210,0)*(1-$K210)</f>
        <v>0</v>
      </c>
      <c r="BF210" s="1117">
        <f>VLOOKUP($E210,BC$442:BF$453,4,FALSE)*BC210*($K210)+(BC210-BD210-BE210)*(1-$K210)</f>
        <v>10411205</v>
      </c>
      <c r="BG210" s="1073"/>
      <c r="BK210" s="1116">
        <f>$G210</f>
        <v>10411205</v>
      </c>
      <c r="BL210" s="1117">
        <f>VLOOKUP($E210,BK$442:BN$453,2,FALSE)*BK210*($K210)+IF($G210&lt;&gt;0,($H210/$G210)*BK210,0)*(1-$K210)</f>
        <v>0</v>
      </c>
      <c r="BM210" s="1117">
        <f>VLOOKUP($E210,BK$442:BN$453,3,FALSE)*BK210*($K210)+IF($G210&lt;&gt;0,($I210/$G210)*BK210,0)*(1-$K210)</f>
        <v>0</v>
      </c>
      <c r="BN210" s="1117">
        <f>VLOOKUP($E210,BK$442:BN$453,4,FALSE)*BK210*($K210)+(BK210-BL210-BM210)*(1-$K210)</f>
        <v>10411205</v>
      </c>
      <c r="BO210" s="1073"/>
      <c r="BS210" s="1116">
        <f>$G210</f>
        <v>10411205</v>
      </c>
      <c r="BT210" s="1117">
        <f>VLOOKUP($E210,BS$442:BV$453,2,FALSE)*BS210*($K210)+IF($G210&lt;&gt;0,($H210/$G210)*BS210,0)*(1-$K210)</f>
        <v>0</v>
      </c>
      <c r="BU210" s="1117">
        <f>VLOOKUP($E210,BS$442:BV$453,3,FALSE)*BS210*($K210)+IF($G210&lt;&gt;0,($I210/$G210)*BS210,0)*(1-$K210)</f>
        <v>0</v>
      </c>
      <c r="BV210" s="1117">
        <f>VLOOKUP($E210,BS$442:BV$453,4,FALSE)*BS210*($K210)+(BS210-BT210-BU210)*(1-$K210)</f>
        <v>10411205</v>
      </c>
      <c r="BW210" s="1073"/>
      <c r="CA210" s="1116">
        <f>$G210</f>
        <v>10411205</v>
      </c>
      <c r="CB210" s="1117">
        <f>VLOOKUP($E210,CA$442:CD$453,2,FALSE)*CA210*($K210)+IF($G210&lt;&gt;0,($H210/$G210)*CA210,0)*(1-$K210)</f>
        <v>0</v>
      </c>
      <c r="CC210" s="1117">
        <f>VLOOKUP($E210,CA$442:CD$453,3,FALSE)*CA210*($K210)+IF($G210&lt;&gt;0,($I210/$G210)*CA210,0)*(1-$K210)</f>
        <v>0</v>
      </c>
      <c r="CD210" s="1117">
        <f>VLOOKUP($E210,CA$442:CD$453,4,FALSE)*CA210*($K210)+(CA210-CB210-CC210)*(1-$K210)</f>
        <v>10411205</v>
      </c>
      <c r="CE210" s="1073"/>
      <c r="CI210" s="1116">
        <f>$G210</f>
        <v>10411205</v>
      </c>
      <c r="CJ210" s="1117">
        <f>VLOOKUP($E210,CI$442:CL$453,2,FALSE)*CI210*($K210)+IF($G210&lt;&gt;0,($H210/$G210)*CI210,0)*(1-$K210)</f>
        <v>0</v>
      </c>
      <c r="CK210" s="1117">
        <f>VLOOKUP($E210,CI$442:CL$453,3,FALSE)*CI210*($K210)+IF($G210&lt;&gt;0,($I210/$G210)*CI210,0)*(1-$K210)</f>
        <v>0</v>
      </c>
      <c r="CL210" s="1117">
        <f>VLOOKUP($E210,CI$442:CL$453,4,FALSE)*CI210*($K210)+(CI210-CJ210-CK210)*(1-$K210)</f>
        <v>10411205</v>
      </c>
      <c r="CM210" s="1073"/>
      <c r="CQ210" s="1116">
        <f>$G210</f>
        <v>10411205</v>
      </c>
      <c r="CR210" s="1117">
        <f>VLOOKUP($E210,CQ$442:CT$453,2,FALSE)*CQ210*($K210)+IF($G210&lt;&gt;0,($H210/$G210)*CQ210,0)*(1-$K210)</f>
        <v>0</v>
      </c>
      <c r="CS210" s="1117">
        <f>VLOOKUP($E210,CQ$442:CT$453,3,FALSE)*CQ210*($K210)+IF($G210&lt;&gt;0,($I210/$G210)*CQ210,0)*(1-$K210)</f>
        <v>0</v>
      </c>
      <c r="CT210" s="1117">
        <f>VLOOKUP($E210,CQ$442:CT$453,4,FALSE)*CQ210*($K210)+(CQ210-CR210-CS210)*(1-$K210)</f>
        <v>10411205</v>
      </c>
      <c r="CU210" s="1073"/>
      <c r="CY210" s="1116">
        <f>$G210</f>
        <v>10411205</v>
      </c>
      <c r="CZ210" s="1117">
        <f>VLOOKUP($E210,CY$442:DB$453,2,FALSE)*CY210*($K210)+IF($G210&lt;&gt;0,($H210/$G210)*CY210,0)*(1-$K210)</f>
        <v>0</v>
      </c>
      <c r="DA210" s="1117">
        <f>VLOOKUP($E210,CY$442:DB$453,3,FALSE)*CY210*($K210)+IF($G210&lt;&gt;0,($I210/$G210)*CY210,0)*(1-$K210)</f>
        <v>0</v>
      </c>
      <c r="DB210" s="1117">
        <f>VLOOKUP($E210,CY$442:DB$453,4,FALSE)*CY210*($K210)+(CY210-CZ210-DA210)*(1-$K210)</f>
        <v>10411205</v>
      </c>
      <c r="DC210" s="1073"/>
      <c r="DG210" s="1116">
        <f>$G210</f>
        <v>10411205</v>
      </c>
      <c r="DH210" s="1117">
        <f>VLOOKUP($E210,DG$442:DJ$453,2,FALSE)*DG210*($K210)+IF($G210&lt;&gt;0,($H210/$G210)*DG210,0)*(1-$K210)</f>
        <v>0</v>
      </c>
      <c r="DI210" s="1117">
        <f>VLOOKUP($E210,DG$442:DJ$453,3,FALSE)*DG210*($K210)+IF($G210&lt;&gt;0,($I210/$G210)*DG210,0)*(1-$K210)</f>
        <v>0</v>
      </c>
      <c r="DJ210" s="1117">
        <f>VLOOKUP($E210,DG$442:DJ$453,4,FALSE)*DG210*($K210)+(DG210-DH210-DI210)*(1-$K210)</f>
        <v>10411205</v>
      </c>
      <c r="DK210" s="1073"/>
      <c r="DO210" s="1116">
        <f>$G210</f>
        <v>10411205</v>
      </c>
      <c r="DP210" s="1117">
        <f>VLOOKUP($E210,DO$442:DR$453,2,FALSE)*DO210*($K210)+IF($G210&lt;&gt;0,($H210/$G210)*DO210,0)*(1-$K210)</f>
        <v>0</v>
      </c>
      <c r="DQ210" s="1117">
        <f>VLOOKUP($E210,DO$442:DR$453,3,FALSE)*DO210*($K210)+IF($G210&lt;&gt;0,($I210/$G210)*DO210,0)*(1-$K210)</f>
        <v>0</v>
      </c>
      <c r="DR210" s="1117">
        <f>VLOOKUP($E210,DO$442:DR$453,4,FALSE)*DO210*($K210)+(DO210-DP210-DQ210)*(1-$K210)</f>
        <v>10411205</v>
      </c>
      <c r="DS210" s="1073"/>
      <c r="DW210" s="1116">
        <f>$G210</f>
        <v>10411205</v>
      </c>
      <c r="DX210" s="1117">
        <f>VLOOKUP($E210,DW$442:DZ$453,2,FALSE)*DW210*($K210)+IF($G210&lt;&gt;0,($H210/$G210)*DW210,0)*(1-$K210)</f>
        <v>0</v>
      </c>
      <c r="DY210" s="1117">
        <f>VLOOKUP($E210,DW$442:DZ$453,3,FALSE)*DW210*($K210)+IF($G210&lt;&gt;0,($I210/$G210)*DW210,0)*(1-$K210)</f>
        <v>0</v>
      </c>
      <c r="DZ210" s="1117">
        <f>VLOOKUP($E210,DW$442:DZ$453,4,FALSE)*DW210*($K210)+(DW210-DX210-DY210)*(1-$K210)</f>
        <v>10411205</v>
      </c>
      <c r="EA210" s="1073"/>
      <c r="EE210" s="1116">
        <f>$G210</f>
        <v>10411205</v>
      </c>
      <c r="EF210" s="1117">
        <f>VLOOKUP($E210,EE$442:EH$453,2,FALSE)*EE210*($K210)+IF($G210&lt;&gt;0,($H210/$G210)*EE210,0)*(1-$K210)</f>
        <v>0</v>
      </c>
      <c r="EG210" s="1117">
        <f>VLOOKUP($E210,EE$442:EH$453,3,FALSE)*EE210*($K210)+IF($G210&lt;&gt;0,($I210/$G210)*EE210,0)*(1-$K210)</f>
        <v>0</v>
      </c>
      <c r="EH210" s="1117">
        <f>VLOOKUP($E210,EE$442:EH$453,4,FALSE)*EE210*($K210)+(EE210-EF210-EG210)*(1-$K210)</f>
        <v>10411205</v>
      </c>
      <c r="EI210" s="1073"/>
      <c r="EM210" s="1116">
        <f>$G210</f>
        <v>10411205</v>
      </c>
      <c r="EN210" s="1117">
        <f>VLOOKUP($E210,EM$442:EP$453,2,FALSE)*EM210*($K210)+IF($G210&lt;&gt;0,($H210/$G210)*EM210,0)*(1-$K210)</f>
        <v>0</v>
      </c>
      <c r="EO210" s="1117">
        <f>VLOOKUP($E210,EM$442:EP$453,3,FALSE)*EM210*($K210)+IF($G210&lt;&gt;0,($I210/$G210)*EM210,0)*(1-$K210)</f>
        <v>0</v>
      </c>
      <c r="EP210" s="1117">
        <f>VLOOKUP($E210,EM$442:EP$453,4,FALSE)*EM210*($K210)+(EM210-EN210-EO210)*(1-$K210)</f>
        <v>10411205</v>
      </c>
      <c r="EQ210" s="1073"/>
      <c r="EU210" s="1116">
        <f>$G210</f>
        <v>10411205</v>
      </c>
      <c r="EV210" s="1117">
        <f>VLOOKUP($E210,EU$442:EX$453,2,FALSE)*EU210*($K210)+IF($G210&lt;&gt;0,($H210/$G210)*EU210,0)*(1-$K210)</f>
        <v>0</v>
      </c>
      <c r="EW210" s="1117">
        <f>VLOOKUP($E210,EU$442:EX$453,3,FALSE)*EU210*($K210)+IF($G210&lt;&gt;0,($I210/$G210)*EU210,0)*(1-$K210)</f>
        <v>0</v>
      </c>
      <c r="EX210" s="1117">
        <f>VLOOKUP($E210,EU$442:EX$453,4,FALSE)*EU210*($K210)+(EU210-EV210-EW210)*(1-$K210)</f>
        <v>10411205</v>
      </c>
      <c r="EY210" s="1073"/>
      <c r="FC210" s="1116">
        <f>$G210</f>
        <v>10411205</v>
      </c>
      <c r="FD210" s="1117">
        <f>VLOOKUP($E210,FC$442:FF$453,2,FALSE)*FC210*($K210)+IF($G210&lt;&gt;0,($H210/$G210)*FC210,0)*(1-$K210)</f>
        <v>0</v>
      </c>
      <c r="FE210" s="1117">
        <f>VLOOKUP($E210,FC$442:FF$453,3,FALSE)*FC210*($K210)+IF($G210&lt;&gt;0,($I210/$G210)*FC210,0)*(1-$K210)</f>
        <v>0</v>
      </c>
      <c r="FF210" s="1117">
        <f>VLOOKUP($E210,FC$442:FF$453,4,FALSE)*FC210*($K210)+(FC210-FD210-FE210)*(1-$K210)</f>
        <v>10411205</v>
      </c>
      <c r="FG210" s="1073"/>
      <c r="FK210" s="1116">
        <f>$G210</f>
        <v>10411205</v>
      </c>
      <c r="FL210" s="1117">
        <f>VLOOKUP($E210,FK$442:FN$453,2,FALSE)*FK210*($K210)+IF($G210&lt;&gt;0,($H210/$G210)*FK210,0)*(1-$K210)</f>
        <v>0</v>
      </c>
      <c r="FM210" s="1117">
        <f>VLOOKUP($E210,FK$442:FN$453,3,FALSE)*FK210*($K210)+IF($G210&lt;&gt;0,($I210/$G210)*FK210,0)*(1-$K210)</f>
        <v>0</v>
      </c>
      <c r="FN210" s="1117">
        <f>VLOOKUP($E210,FK$442:FN$453,4,FALSE)*FK210*($K210)+(FK210-FL210-FM210)*(1-$K210)</f>
        <v>10411205</v>
      </c>
      <c r="FO210" s="1073"/>
    </row>
    <row r="211" spans="1:171">
      <c r="A211" s="1423"/>
      <c r="B211" s="913" t="s">
        <v>172</v>
      </c>
      <c r="C211" s="888" t="s">
        <v>72</v>
      </c>
      <c r="D211" s="888" t="s">
        <v>398</v>
      </c>
      <c r="E211" s="182" t="str">
        <f>'Sch 3 - Expenses'!E51</f>
        <v>DIST</v>
      </c>
      <c r="F211" s="889"/>
      <c r="G211" s="182">
        <f>'Sch 3 - Expenses'!G51</f>
        <v>0</v>
      </c>
      <c r="H211" s="182">
        <f>'Sch 3 - Expenses'!H51</f>
        <v>0</v>
      </c>
      <c r="I211" s="182">
        <f>'Sch 3 - Expenses'!I51</f>
        <v>0</v>
      </c>
      <c r="J211" s="1424">
        <f>'Sch 3 - Expenses'!J51</f>
        <v>0</v>
      </c>
      <c r="K211" s="903">
        <f>IF($E211="DIRECT",0,1)</f>
        <v>1</v>
      </c>
      <c r="O211" s="1116">
        <f>$G211</f>
        <v>0</v>
      </c>
      <c r="P211" s="1117">
        <f>VLOOKUP($E211,O$442:R$453,2,FALSE)*O211*($K211)+IF($G211&lt;&gt;0,($H211/$G211)*O211,0)*(1-$K211)</f>
        <v>0</v>
      </c>
      <c r="Q211" s="1117">
        <f>VLOOKUP($E211,O$442:R$453,3,FALSE)*O211*($K211)+IF($G211&lt;&gt;0,($I211/$G211)*O211,0)*(1-$K211)</f>
        <v>0</v>
      </c>
      <c r="R211" s="1117">
        <f>VLOOKUP($E211,O$442:R$453,4,FALSE)*O211*($K211)+(O211-P211-Q211)*(1-$K211)</f>
        <v>0</v>
      </c>
      <c r="S211" s="1073"/>
      <c r="W211" s="1116">
        <f>$G211</f>
        <v>0</v>
      </c>
      <c r="X211" s="1117">
        <f>VLOOKUP($E211,W$442:Z$453,2,FALSE)*W211*($K211)+IF($G211&lt;&gt;0,($H211/$G211)*W211,0)*(1-$K211)</f>
        <v>0</v>
      </c>
      <c r="Y211" s="1117">
        <f>VLOOKUP($E211,W$442:Z$453,3,FALSE)*W211*($K211)+IF($G211&lt;&gt;0,($I211/$G211)*W211,0)*(1-$K211)</f>
        <v>0</v>
      </c>
      <c r="Z211" s="1117">
        <f>VLOOKUP($E211,W$442:Z$453,4,FALSE)*W211*($K211)+(W211-X211-Y211)*(1-$K211)</f>
        <v>0</v>
      </c>
      <c r="AA211" s="1073"/>
      <c r="AE211" s="1116">
        <f>$G211</f>
        <v>0</v>
      </c>
      <c r="AF211" s="1117">
        <f>VLOOKUP($E211,AE$442:AH$453,2,FALSE)*AE211*($K211)+IF($G211&lt;&gt;0,($H211/$G211)*AE211,0)*(1-$K211)</f>
        <v>0</v>
      </c>
      <c r="AG211" s="1117">
        <f>VLOOKUP($E211,AE$442:AH$453,3,FALSE)*AE211*($K211)+IF($G211&lt;&gt;0,($I211/$G211)*AE211,0)*(1-$K211)</f>
        <v>0</v>
      </c>
      <c r="AH211" s="1117">
        <f>VLOOKUP($E211,AE$442:AH$453,4,FALSE)*AE211*($K211)+(AE211-AF211-AG211)*(1-$K211)</f>
        <v>0</v>
      </c>
      <c r="AI211" s="1073"/>
      <c r="AM211" s="1116">
        <f>$G211</f>
        <v>0</v>
      </c>
      <c r="AN211" s="1117">
        <f>VLOOKUP($E211,AM$442:AP$453,2,FALSE)*AM211*($K211)+IF($G211&lt;&gt;0,($H211/$G211)*AM211,0)*(1-$K211)</f>
        <v>0</v>
      </c>
      <c r="AO211" s="1117">
        <f>VLOOKUP($E211,AM$442:AP$453,3,FALSE)*AM211*($K211)+IF($G211&lt;&gt;0,($I211/$G211)*AM211,0)*(1-$K211)</f>
        <v>0</v>
      </c>
      <c r="AP211" s="1117">
        <f>VLOOKUP($E211,AM$442:AP$453,4,FALSE)*AM211*($K211)+(AM211-AN211-AO211)*(1-$K211)</f>
        <v>0</v>
      </c>
      <c r="AQ211" s="1073"/>
      <c r="AU211" s="1116">
        <f>$G211</f>
        <v>0</v>
      </c>
      <c r="AV211" s="1117">
        <f>VLOOKUP($E211,AU$442:AX$453,2,FALSE)*AU211*($K211)+IF($G211&lt;&gt;0,($H211/$G211)*AU211,0)*(1-$K211)</f>
        <v>0</v>
      </c>
      <c r="AW211" s="1117">
        <f>VLOOKUP($E211,AU$442:AX$453,3,FALSE)*AU211*($K211)+IF($G211&lt;&gt;0,($I211/$G211)*AU211,0)*(1-$K211)</f>
        <v>0</v>
      </c>
      <c r="AX211" s="1117">
        <f>VLOOKUP($E211,AU$442:AX$453,4,FALSE)*AU211*($K211)+(AU211-AV211-AW211)*(1-$K211)</f>
        <v>0</v>
      </c>
      <c r="AY211" s="1073"/>
      <c r="BC211" s="1116">
        <f>$G211</f>
        <v>0</v>
      </c>
      <c r="BD211" s="1117">
        <f>VLOOKUP($E211,BC$442:BF$453,2,FALSE)*BC211*($K211)+IF($G211&lt;&gt;0,($H211/$G211)*BC211,0)*(1-$K211)</f>
        <v>0</v>
      </c>
      <c r="BE211" s="1117">
        <f>VLOOKUP($E211,BC$442:BF$453,3,FALSE)*BC211*($K211)+IF($G211&lt;&gt;0,($I211/$G211)*BC211,0)*(1-$K211)</f>
        <v>0</v>
      </c>
      <c r="BF211" s="1117">
        <f>VLOOKUP($E211,BC$442:BF$453,4,FALSE)*BC211*($K211)+(BC211-BD211-BE211)*(1-$K211)</f>
        <v>0</v>
      </c>
      <c r="BG211" s="1073"/>
      <c r="BK211" s="1116">
        <f>$G211</f>
        <v>0</v>
      </c>
      <c r="BL211" s="1117">
        <f>VLOOKUP($E211,BK$442:BN$453,2,FALSE)*BK211*($K211)+IF($G211&lt;&gt;0,($H211/$G211)*BK211,0)*(1-$K211)</f>
        <v>0</v>
      </c>
      <c r="BM211" s="1117">
        <f>VLOOKUP($E211,BK$442:BN$453,3,FALSE)*BK211*($K211)+IF($G211&lt;&gt;0,($I211/$G211)*BK211,0)*(1-$K211)</f>
        <v>0</v>
      </c>
      <c r="BN211" s="1117">
        <f>VLOOKUP($E211,BK$442:BN$453,4,FALSE)*BK211*($K211)+(BK211-BL211-BM211)*(1-$K211)</f>
        <v>0</v>
      </c>
      <c r="BO211" s="1073"/>
      <c r="BS211" s="1116">
        <f>$G211</f>
        <v>0</v>
      </c>
      <c r="BT211" s="1117">
        <f>VLOOKUP($E211,BS$442:BV$453,2,FALSE)*BS211*($K211)+IF($G211&lt;&gt;0,($H211/$G211)*BS211,0)*(1-$K211)</f>
        <v>0</v>
      </c>
      <c r="BU211" s="1117">
        <f>VLOOKUP($E211,BS$442:BV$453,3,FALSE)*BS211*($K211)+IF($G211&lt;&gt;0,($I211/$G211)*BS211,0)*(1-$K211)</f>
        <v>0</v>
      </c>
      <c r="BV211" s="1117">
        <f>VLOOKUP($E211,BS$442:BV$453,4,FALSE)*BS211*($K211)+(BS211-BT211-BU211)*(1-$K211)</f>
        <v>0</v>
      </c>
      <c r="BW211" s="1073"/>
      <c r="CA211" s="1116">
        <f>$G211</f>
        <v>0</v>
      </c>
      <c r="CB211" s="1117">
        <f>VLOOKUP($E211,CA$442:CD$453,2,FALSE)*CA211*($K211)+IF($G211&lt;&gt;0,($H211/$G211)*CA211,0)*(1-$K211)</f>
        <v>0</v>
      </c>
      <c r="CC211" s="1117">
        <f>VLOOKUP($E211,CA$442:CD$453,3,FALSE)*CA211*($K211)+IF($G211&lt;&gt;0,($I211/$G211)*CA211,0)*(1-$K211)</f>
        <v>0</v>
      </c>
      <c r="CD211" s="1117">
        <f>VLOOKUP($E211,CA$442:CD$453,4,FALSE)*CA211*($K211)+(CA211-CB211-CC211)*(1-$K211)</f>
        <v>0</v>
      </c>
      <c r="CE211" s="1073"/>
      <c r="CI211" s="1116">
        <f>$G211</f>
        <v>0</v>
      </c>
      <c r="CJ211" s="1117">
        <f>VLOOKUP($E211,CI$442:CL$453,2,FALSE)*CI211*($K211)+IF($G211&lt;&gt;0,($H211/$G211)*CI211,0)*(1-$K211)</f>
        <v>0</v>
      </c>
      <c r="CK211" s="1117">
        <f>VLOOKUP($E211,CI$442:CL$453,3,FALSE)*CI211*($K211)+IF($G211&lt;&gt;0,($I211/$G211)*CI211,0)*(1-$K211)</f>
        <v>0</v>
      </c>
      <c r="CL211" s="1117">
        <f>VLOOKUP($E211,CI$442:CL$453,4,FALSE)*CI211*($K211)+(CI211-CJ211-CK211)*(1-$K211)</f>
        <v>0</v>
      </c>
      <c r="CM211" s="1073"/>
      <c r="CQ211" s="1116">
        <f>$G211</f>
        <v>0</v>
      </c>
      <c r="CR211" s="1117">
        <f>VLOOKUP($E211,CQ$442:CT$453,2,FALSE)*CQ211*($K211)+IF($G211&lt;&gt;0,($H211/$G211)*CQ211,0)*(1-$K211)</f>
        <v>0</v>
      </c>
      <c r="CS211" s="1117">
        <f>VLOOKUP($E211,CQ$442:CT$453,3,FALSE)*CQ211*($K211)+IF($G211&lt;&gt;0,($I211/$G211)*CQ211,0)*(1-$K211)</f>
        <v>0</v>
      </c>
      <c r="CT211" s="1117">
        <f>VLOOKUP($E211,CQ$442:CT$453,4,FALSE)*CQ211*($K211)+(CQ211-CR211-CS211)*(1-$K211)</f>
        <v>0</v>
      </c>
      <c r="CU211" s="1073"/>
      <c r="CY211" s="1116">
        <f>$G211</f>
        <v>0</v>
      </c>
      <c r="CZ211" s="1117">
        <f>VLOOKUP($E211,CY$442:DB$453,2,FALSE)*CY211*($K211)+IF($G211&lt;&gt;0,($H211/$G211)*CY211,0)*(1-$K211)</f>
        <v>0</v>
      </c>
      <c r="DA211" s="1117">
        <f>VLOOKUP($E211,CY$442:DB$453,3,FALSE)*CY211*($K211)+IF($G211&lt;&gt;0,($I211/$G211)*CY211,0)*(1-$K211)</f>
        <v>0</v>
      </c>
      <c r="DB211" s="1117">
        <f>VLOOKUP($E211,CY$442:DB$453,4,FALSE)*CY211*($K211)+(CY211-CZ211-DA211)*(1-$K211)</f>
        <v>0</v>
      </c>
      <c r="DC211" s="1073"/>
      <c r="DG211" s="1116">
        <f>$G211</f>
        <v>0</v>
      </c>
      <c r="DH211" s="1117">
        <f>VLOOKUP($E211,DG$442:DJ$453,2,FALSE)*DG211*($K211)+IF($G211&lt;&gt;0,($H211/$G211)*DG211,0)*(1-$K211)</f>
        <v>0</v>
      </c>
      <c r="DI211" s="1117">
        <f>VLOOKUP($E211,DG$442:DJ$453,3,FALSE)*DG211*($K211)+IF($G211&lt;&gt;0,($I211/$G211)*DG211,0)*(1-$K211)</f>
        <v>0</v>
      </c>
      <c r="DJ211" s="1117">
        <f>VLOOKUP($E211,DG$442:DJ$453,4,FALSE)*DG211*($K211)+(DG211-DH211-DI211)*(1-$K211)</f>
        <v>0</v>
      </c>
      <c r="DK211" s="1073"/>
      <c r="DO211" s="1116">
        <f>$G211</f>
        <v>0</v>
      </c>
      <c r="DP211" s="1117">
        <f>VLOOKUP($E211,DO$442:DR$453,2,FALSE)*DO211*($K211)+IF($G211&lt;&gt;0,($H211/$G211)*DO211,0)*(1-$K211)</f>
        <v>0</v>
      </c>
      <c r="DQ211" s="1117">
        <f>VLOOKUP($E211,DO$442:DR$453,3,FALSE)*DO211*($K211)+IF($G211&lt;&gt;0,($I211/$G211)*DO211,0)*(1-$K211)</f>
        <v>0</v>
      </c>
      <c r="DR211" s="1117">
        <f>VLOOKUP($E211,DO$442:DR$453,4,FALSE)*DO211*($K211)+(DO211-DP211-DQ211)*(1-$K211)</f>
        <v>0</v>
      </c>
      <c r="DS211" s="1073"/>
      <c r="DW211" s="1116">
        <f>$G211</f>
        <v>0</v>
      </c>
      <c r="DX211" s="1117">
        <f>VLOOKUP($E211,DW$442:DZ$453,2,FALSE)*DW211*($K211)+IF($G211&lt;&gt;0,($H211/$G211)*DW211,0)*(1-$K211)</f>
        <v>0</v>
      </c>
      <c r="DY211" s="1117">
        <f>VLOOKUP($E211,DW$442:DZ$453,3,FALSE)*DW211*($K211)+IF($G211&lt;&gt;0,($I211/$G211)*DW211,0)*(1-$K211)</f>
        <v>0</v>
      </c>
      <c r="DZ211" s="1117">
        <f>VLOOKUP($E211,DW$442:DZ$453,4,FALSE)*DW211*($K211)+(DW211-DX211-DY211)*(1-$K211)</f>
        <v>0</v>
      </c>
      <c r="EA211" s="1073"/>
      <c r="EE211" s="1116">
        <f>$G211</f>
        <v>0</v>
      </c>
      <c r="EF211" s="1117">
        <f>VLOOKUP($E211,EE$442:EH$453,2,FALSE)*EE211*($K211)+IF($G211&lt;&gt;0,($H211/$G211)*EE211,0)*(1-$K211)</f>
        <v>0</v>
      </c>
      <c r="EG211" s="1117">
        <f>VLOOKUP($E211,EE$442:EH$453,3,FALSE)*EE211*($K211)+IF($G211&lt;&gt;0,($I211/$G211)*EE211,0)*(1-$K211)</f>
        <v>0</v>
      </c>
      <c r="EH211" s="1117">
        <f>VLOOKUP($E211,EE$442:EH$453,4,FALSE)*EE211*($K211)+(EE211-EF211-EG211)*(1-$K211)</f>
        <v>0</v>
      </c>
      <c r="EI211" s="1073"/>
      <c r="EM211" s="1116">
        <f>$G211</f>
        <v>0</v>
      </c>
      <c r="EN211" s="1117">
        <f>VLOOKUP($E211,EM$442:EP$453,2,FALSE)*EM211*($K211)+IF($G211&lt;&gt;0,($H211/$G211)*EM211,0)*(1-$K211)</f>
        <v>0</v>
      </c>
      <c r="EO211" s="1117">
        <f>VLOOKUP($E211,EM$442:EP$453,3,FALSE)*EM211*($K211)+IF($G211&lt;&gt;0,($I211/$G211)*EM211,0)*(1-$K211)</f>
        <v>0</v>
      </c>
      <c r="EP211" s="1117">
        <f>VLOOKUP($E211,EM$442:EP$453,4,FALSE)*EM211*($K211)+(EM211-EN211-EO211)*(1-$K211)</f>
        <v>0</v>
      </c>
      <c r="EQ211" s="1073"/>
      <c r="EU211" s="1116">
        <f>$G211</f>
        <v>0</v>
      </c>
      <c r="EV211" s="1117">
        <f>VLOOKUP($E211,EU$442:EX$453,2,FALSE)*EU211*($K211)+IF($G211&lt;&gt;0,($H211/$G211)*EU211,0)*(1-$K211)</f>
        <v>0</v>
      </c>
      <c r="EW211" s="1117">
        <f>VLOOKUP($E211,EU$442:EX$453,3,FALSE)*EU211*($K211)+IF($G211&lt;&gt;0,($I211/$G211)*EU211,0)*(1-$K211)</f>
        <v>0</v>
      </c>
      <c r="EX211" s="1117">
        <f>VLOOKUP($E211,EU$442:EX$453,4,FALSE)*EU211*($K211)+(EU211-EV211-EW211)*(1-$K211)</f>
        <v>0</v>
      </c>
      <c r="EY211" s="1073"/>
      <c r="FC211" s="1116">
        <f>$G211</f>
        <v>0</v>
      </c>
      <c r="FD211" s="1117">
        <f>VLOOKUP($E211,FC$442:FF$453,2,FALSE)*FC211*($K211)+IF($G211&lt;&gt;0,($H211/$G211)*FC211,0)*(1-$K211)</f>
        <v>0</v>
      </c>
      <c r="FE211" s="1117">
        <f>VLOOKUP($E211,FC$442:FF$453,3,FALSE)*FC211*($K211)+IF($G211&lt;&gt;0,($I211/$G211)*FC211,0)*(1-$K211)</f>
        <v>0</v>
      </c>
      <c r="FF211" s="1117">
        <f>VLOOKUP($E211,FC$442:FF$453,4,FALSE)*FC211*($K211)+(FC211-FD211-FE211)*(1-$K211)</f>
        <v>0</v>
      </c>
      <c r="FG211" s="1073"/>
      <c r="FK211" s="1116">
        <f>$G211</f>
        <v>0</v>
      </c>
      <c r="FL211" s="1117">
        <f>VLOOKUP($E211,FK$442:FN$453,2,FALSE)*FK211*($K211)+IF($G211&lt;&gt;0,($H211/$G211)*FK211,0)*(1-$K211)</f>
        <v>0</v>
      </c>
      <c r="FM211" s="1117">
        <f>VLOOKUP($E211,FK$442:FN$453,3,FALSE)*FK211*($K211)+IF($G211&lt;&gt;0,($I211/$G211)*FK211,0)*(1-$K211)</f>
        <v>0</v>
      </c>
      <c r="FN211" s="1117">
        <f>VLOOKUP($E211,FK$442:FN$453,4,FALSE)*FK211*($K211)+(FK211-FL211-FM211)*(1-$K211)</f>
        <v>0</v>
      </c>
      <c r="FO211" s="1073"/>
    </row>
    <row r="212" spans="1:171">
      <c r="A212" s="1423"/>
      <c r="B212" s="913" t="s">
        <v>631</v>
      </c>
      <c r="C212" s="888" t="s">
        <v>72</v>
      </c>
      <c r="D212" s="888">
        <v>908</v>
      </c>
      <c r="E212" s="182" t="str">
        <f>'Sch 3 - Expenses'!E52</f>
        <v>Direct</v>
      </c>
      <c r="F212" s="889"/>
      <c r="G212" s="182">
        <f>'Sch 3 - Expenses'!G52</f>
        <v>31870071.329999998</v>
      </c>
      <c r="H212" s="182">
        <f>'Sch 3 - Expenses'!H52</f>
        <v>0</v>
      </c>
      <c r="I212" s="182">
        <f>'Sch 3 - Expenses'!I52</f>
        <v>0</v>
      </c>
      <c r="J212" s="1424">
        <f>'Sch 3 - Expenses'!J52</f>
        <v>31870071.329999998</v>
      </c>
      <c r="K212" s="903">
        <f>IF($E212="DIRECT",0,1)</f>
        <v>0</v>
      </c>
      <c r="O212" s="1116">
        <f>$G212</f>
        <v>31870071.329999998</v>
      </c>
      <c r="P212" s="1117">
        <f>VLOOKUP($E212,O$442:R$453,2,FALSE)*O212*($K212)+IF($G212&lt;&gt;0,($H212/$G212)*O212,0)*(1-$K212)</f>
        <v>0</v>
      </c>
      <c r="Q212" s="1117">
        <f>VLOOKUP($E212,O$442:R$453,3,FALSE)*O212*($K212)+IF($G212&lt;&gt;0,($I212/$G212)*O212,0)*(1-$K212)</f>
        <v>0</v>
      </c>
      <c r="R212" s="1117">
        <f>VLOOKUP($E212,O$442:R$453,4,FALSE)*O212*($K212)+(O212-P212-Q212)*(1-$K212)</f>
        <v>31870071.329999998</v>
      </c>
      <c r="S212" s="1073"/>
      <c r="W212" s="1116">
        <f>$G212</f>
        <v>31870071.329999998</v>
      </c>
      <c r="X212" s="1117">
        <f>VLOOKUP($E212,W$442:Z$453,2,FALSE)*W212*($K212)+IF($G212&lt;&gt;0,($H212/$G212)*W212,0)*(1-$K212)</f>
        <v>0</v>
      </c>
      <c r="Y212" s="1117">
        <f>VLOOKUP($E212,W$442:Z$453,3,FALSE)*W212*($K212)+IF($G212&lt;&gt;0,($I212/$G212)*W212,0)*(1-$K212)</f>
        <v>0</v>
      </c>
      <c r="Z212" s="1117">
        <f>VLOOKUP($E212,W$442:Z$453,4,FALSE)*W212*($K212)+(W212-X212-Y212)*(1-$K212)</f>
        <v>31870071.329999998</v>
      </c>
      <c r="AA212" s="1073"/>
      <c r="AE212" s="1116">
        <f>$G212</f>
        <v>31870071.329999998</v>
      </c>
      <c r="AF212" s="1117">
        <f>VLOOKUP($E212,AE$442:AH$453,2,FALSE)*AE212*($K212)+IF($G212&lt;&gt;0,($H212/$G212)*AE212,0)*(1-$K212)</f>
        <v>0</v>
      </c>
      <c r="AG212" s="1117">
        <f>VLOOKUP($E212,AE$442:AH$453,3,FALSE)*AE212*($K212)+IF($G212&lt;&gt;0,($I212/$G212)*AE212,0)*(1-$K212)</f>
        <v>0</v>
      </c>
      <c r="AH212" s="1117">
        <f>VLOOKUP($E212,AE$442:AH$453,4,FALSE)*AE212*($K212)+(AE212-AF212-AG212)*(1-$K212)</f>
        <v>31870071.329999998</v>
      </c>
      <c r="AI212" s="1073"/>
      <c r="AM212" s="1116">
        <f>$G212</f>
        <v>31870071.329999998</v>
      </c>
      <c r="AN212" s="1117">
        <f>VLOOKUP($E212,AM$442:AP$453,2,FALSE)*AM212*($K212)+IF($G212&lt;&gt;0,($H212/$G212)*AM212,0)*(1-$K212)</f>
        <v>0</v>
      </c>
      <c r="AO212" s="1117">
        <f>VLOOKUP($E212,AM$442:AP$453,3,FALSE)*AM212*($K212)+IF($G212&lt;&gt;0,($I212/$G212)*AM212,0)*(1-$K212)</f>
        <v>0</v>
      </c>
      <c r="AP212" s="1117">
        <f>VLOOKUP($E212,AM$442:AP$453,4,FALSE)*AM212*($K212)+(AM212-AN212-AO212)*(1-$K212)</f>
        <v>31870071.329999998</v>
      </c>
      <c r="AQ212" s="1073"/>
      <c r="AU212" s="1116">
        <f>$G212</f>
        <v>31870071.329999998</v>
      </c>
      <c r="AV212" s="1117">
        <f>VLOOKUP($E212,AU$442:AX$453,2,FALSE)*AU212*($K212)+IF($G212&lt;&gt;0,($H212/$G212)*AU212,0)*(1-$K212)</f>
        <v>0</v>
      </c>
      <c r="AW212" s="1117">
        <f>VLOOKUP($E212,AU$442:AX$453,3,FALSE)*AU212*($K212)+IF($G212&lt;&gt;0,($I212/$G212)*AU212,0)*(1-$K212)</f>
        <v>0</v>
      </c>
      <c r="AX212" s="1117">
        <f>VLOOKUP($E212,AU$442:AX$453,4,FALSE)*AU212*($K212)+(AU212-AV212-AW212)*(1-$K212)</f>
        <v>31870071.329999998</v>
      </c>
      <c r="AY212" s="1073"/>
      <c r="BC212" s="1116">
        <f>$G212</f>
        <v>31870071.329999998</v>
      </c>
      <c r="BD212" s="1117">
        <f>VLOOKUP($E212,BC$442:BF$453,2,FALSE)*BC212*($K212)+IF($G212&lt;&gt;0,($H212/$G212)*BC212,0)*(1-$K212)</f>
        <v>0</v>
      </c>
      <c r="BE212" s="1117">
        <f>VLOOKUP($E212,BC$442:BF$453,3,FALSE)*BC212*($K212)+IF($G212&lt;&gt;0,($I212/$G212)*BC212,0)*(1-$K212)</f>
        <v>0</v>
      </c>
      <c r="BF212" s="1117">
        <f>VLOOKUP($E212,BC$442:BF$453,4,FALSE)*BC212*($K212)+(BC212-BD212-BE212)*(1-$K212)</f>
        <v>31870071.329999998</v>
      </c>
      <c r="BG212" s="1073"/>
      <c r="BK212" s="1116">
        <f>$G212</f>
        <v>31870071.329999998</v>
      </c>
      <c r="BL212" s="1117">
        <f>VLOOKUP($E212,BK$442:BN$453,2,FALSE)*BK212*($K212)+IF($G212&lt;&gt;0,($H212/$G212)*BK212,0)*(1-$K212)</f>
        <v>0</v>
      </c>
      <c r="BM212" s="1117">
        <f>VLOOKUP($E212,BK$442:BN$453,3,FALSE)*BK212*($K212)+IF($G212&lt;&gt;0,($I212/$G212)*BK212,0)*(1-$K212)</f>
        <v>0</v>
      </c>
      <c r="BN212" s="1117">
        <f>VLOOKUP($E212,BK$442:BN$453,4,FALSE)*BK212*($K212)+(BK212-BL212-BM212)*(1-$K212)</f>
        <v>31870071.329999998</v>
      </c>
      <c r="BO212" s="1073"/>
      <c r="BS212" s="1116">
        <f>$G212</f>
        <v>31870071.329999998</v>
      </c>
      <c r="BT212" s="1117">
        <f>VLOOKUP($E212,BS$442:BV$453,2,FALSE)*BS212*($K212)+IF($G212&lt;&gt;0,($H212/$G212)*BS212,0)*(1-$K212)</f>
        <v>0</v>
      </c>
      <c r="BU212" s="1117">
        <f>VLOOKUP($E212,BS$442:BV$453,3,FALSE)*BS212*($K212)+IF($G212&lt;&gt;0,($I212/$G212)*BS212,0)*(1-$K212)</f>
        <v>0</v>
      </c>
      <c r="BV212" s="1117">
        <f>VLOOKUP($E212,BS$442:BV$453,4,FALSE)*BS212*($K212)+(BS212-BT212-BU212)*(1-$K212)</f>
        <v>31870071.329999998</v>
      </c>
      <c r="BW212" s="1073"/>
      <c r="CA212" s="1116">
        <f>$G212</f>
        <v>31870071.329999998</v>
      </c>
      <c r="CB212" s="1117">
        <f>VLOOKUP($E212,CA$442:CD$453,2,FALSE)*CA212*($K212)+IF($G212&lt;&gt;0,($H212/$G212)*CA212,0)*(1-$K212)</f>
        <v>0</v>
      </c>
      <c r="CC212" s="1117">
        <f>VLOOKUP($E212,CA$442:CD$453,3,FALSE)*CA212*($K212)+IF($G212&lt;&gt;0,($I212/$G212)*CA212,0)*(1-$K212)</f>
        <v>0</v>
      </c>
      <c r="CD212" s="1117">
        <f>VLOOKUP($E212,CA$442:CD$453,4,FALSE)*CA212*($K212)+(CA212-CB212-CC212)*(1-$K212)</f>
        <v>31870071.329999998</v>
      </c>
      <c r="CE212" s="1073"/>
      <c r="CI212" s="1116">
        <f>$G212</f>
        <v>31870071.329999998</v>
      </c>
      <c r="CJ212" s="1117">
        <f>VLOOKUP($E212,CI$442:CL$453,2,FALSE)*CI212*($K212)+IF($G212&lt;&gt;0,($H212/$G212)*CI212,0)*(1-$K212)</f>
        <v>0</v>
      </c>
      <c r="CK212" s="1117">
        <f>VLOOKUP($E212,CI$442:CL$453,3,FALSE)*CI212*($K212)+IF($G212&lt;&gt;0,($I212/$G212)*CI212,0)*(1-$K212)</f>
        <v>0</v>
      </c>
      <c r="CL212" s="1117">
        <f>VLOOKUP($E212,CI$442:CL$453,4,FALSE)*CI212*($K212)+(CI212-CJ212-CK212)*(1-$K212)</f>
        <v>31870071.329999998</v>
      </c>
      <c r="CM212" s="1073"/>
      <c r="CQ212" s="1116">
        <f>$G212</f>
        <v>31870071.329999998</v>
      </c>
      <c r="CR212" s="1117">
        <f>VLOOKUP($E212,CQ$442:CT$453,2,FALSE)*CQ212*($K212)+IF($G212&lt;&gt;0,($H212/$G212)*CQ212,0)*(1-$K212)</f>
        <v>0</v>
      </c>
      <c r="CS212" s="1117">
        <f>VLOOKUP($E212,CQ$442:CT$453,3,FALSE)*CQ212*($K212)+IF($G212&lt;&gt;0,($I212/$G212)*CQ212,0)*(1-$K212)</f>
        <v>0</v>
      </c>
      <c r="CT212" s="1117">
        <f>VLOOKUP($E212,CQ$442:CT$453,4,FALSE)*CQ212*($K212)+(CQ212-CR212-CS212)*(1-$K212)</f>
        <v>31870071.329999998</v>
      </c>
      <c r="CU212" s="1073"/>
      <c r="CY212" s="1116">
        <f>$G212</f>
        <v>31870071.329999998</v>
      </c>
      <c r="CZ212" s="1117">
        <f>VLOOKUP($E212,CY$442:DB$453,2,FALSE)*CY212*($K212)+IF($G212&lt;&gt;0,($H212/$G212)*CY212,0)*(1-$K212)</f>
        <v>0</v>
      </c>
      <c r="DA212" s="1117">
        <f>VLOOKUP($E212,CY$442:DB$453,3,FALSE)*CY212*($K212)+IF($G212&lt;&gt;0,($I212/$G212)*CY212,0)*(1-$K212)</f>
        <v>0</v>
      </c>
      <c r="DB212" s="1117">
        <f>VLOOKUP($E212,CY$442:DB$453,4,FALSE)*CY212*($K212)+(CY212-CZ212-DA212)*(1-$K212)</f>
        <v>31870071.329999998</v>
      </c>
      <c r="DC212" s="1073"/>
      <c r="DG212" s="1116">
        <f>$G212</f>
        <v>31870071.329999998</v>
      </c>
      <c r="DH212" s="1117">
        <f>VLOOKUP($E212,DG$442:DJ$453,2,FALSE)*DG212*($K212)+IF($G212&lt;&gt;0,($H212/$G212)*DG212,0)*(1-$K212)</f>
        <v>0</v>
      </c>
      <c r="DI212" s="1117">
        <f>VLOOKUP($E212,DG$442:DJ$453,3,FALSE)*DG212*($K212)+IF($G212&lt;&gt;0,($I212/$G212)*DG212,0)*(1-$K212)</f>
        <v>0</v>
      </c>
      <c r="DJ212" s="1117">
        <f>VLOOKUP($E212,DG$442:DJ$453,4,FALSE)*DG212*($K212)+(DG212-DH212-DI212)*(1-$K212)</f>
        <v>31870071.329999998</v>
      </c>
      <c r="DK212" s="1073"/>
      <c r="DO212" s="1116">
        <f>$G212</f>
        <v>31870071.329999998</v>
      </c>
      <c r="DP212" s="1117">
        <f>VLOOKUP($E212,DO$442:DR$453,2,FALSE)*DO212*($K212)+IF($G212&lt;&gt;0,($H212/$G212)*DO212,0)*(1-$K212)</f>
        <v>0</v>
      </c>
      <c r="DQ212" s="1117">
        <f>VLOOKUP($E212,DO$442:DR$453,3,FALSE)*DO212*($K212)+IF($G212&lt;&gt;0,($I212/$G212)*DO212,0)*(1-$K212)</f>
        <v>0</v>
      </c>
      <c r="DR212" s="1117">
        <f>VLOOKUP($E212,DO$442:DR$453,4,FALSE)*DO212*($K212)+(DO212-DP212-DQ212)*(1-$K212)</f>
        <v>31870071.329999998</v>
      </c>
      <c r="DS212" s="1073"/>
      <c r="DW212" s="1116">
        <f>$G212</f>
        <v>31870071.329999998</v>
      </c>
      <c r="DX212" s="1117">
        <f>VLOOKUP($E212,DW$442:DZ$453,2,FALSE)*DW212*($K212)+IF($G212&lt;&gt;0,($H212/$G212)*DW212,0)*(1-$K212)</f>
        <v>0</v>
      </c>
      <c r="DY212" s="1117">
        <f>VLOOKUP($E212,DW$442:DZ$453,3,FALSE)*DW212*($K212)+IF($G212&lt;&gt;0,($I212/$G212)*DW212,0)*(1-$K212)</f>
        <v>0</v>
      </c>
      <c r="DZ212" s="1117">
        <f>VLOOKUP($E212,DW$442:DZ$453,4,FALSE)*DW212*($K212)+(DW212-DX212-DY212)*(1-$K212)</f>
        <v>31870071.329999998</v>
      </c>
      <c r="EA212" s="1073"/>
      <c r="EE212" s="1116">
        <f>$G212</f>
        <v>31870071.329999998</v>
      </c>
      <c r="EF212" s="1117">
        <f>VLOOKUP($E212,EE$442:EH$453,2,FALSE)*EE212*($K212)+IF($G212&lt;&gt;0,($H212/$G212)*EE212,0)*(1-$K212)</f>
        <v>0</v>
      </c>
      <c r="EG212" s="1117">
        <f>VLOOKUP($E212,EE$442:EH$453,3,FALSE)*EE212*($K212)+IF($G212&lt;&gt;0,($I212/$G212)*EE212,0)*(1-$K212)</f>
        <v>0</v>
      </c>
      <c r="EH212" s="1117">
        <f>VLOOKUP($E212,EE$442:EH$453,4,FALSE)*EE212*($K212)+(EE212-EF212-EG212)*(1-$K212)</f>
        <v>31870071.329999998</v>
      </c>
      <c r="EI212" s="1073"/>
      <c r="EM212" s="1116">
        <f>$G212</f>
        <v>31870071.329999998</v>
      </c>
      <c r="EN212" s="1117">
        <f>VLOOKUP($E212,EM$442:EP$453,2,FALSE)*EM212*($K212)+IF($G212&lt;&gt;0,($H212/$G212)*EM212,0)*(1-$K212)</f>
        <v>0</v>
      </c>
      <c r="EO212" s="1117">
        <f>VLOOKUP($E212,EM$442:EP$453,3,FALSE)*EM212*($K212)+IF($G212&lt;&gt;0,($I212/$G212)*EM212,0)*(1-$K212)</f>
        <v>0</v>
      </c>
      <c r="EP212" s="1117">
        <f>VLOOKUP($E212,EM$442:EP$453,4,FALSE)*EM212*($K212)+(EM212-EN212-EO212)*(1-$K212)</f>
        <v>31870071.329999998</v>
      </c>
      <c r="EQ212" s="1073"/>
      <c r="EU212" s="1116">
        <f>$G212</f>
        <v>31870071.329999998</v>
      </c>
      <c r="EV212" s="1117">
        <f>VLOOKUP($E212,EU$442:EX$453,2,FALSE)*EU212*($K212)+IF($G212&lt;&gt;0,($H212/$G212)*EU212,0)*(1-$K212)</f>
        <v>0</v>
      </c>
      <c r="EW212" s="1117">
        <f>VLOOKUP($E212,EU$442:EX$453,3,FALSE)*EU212*($K212)+IF($G212&lt;&gt;0,($I212/$G212)*EU212,0)*(1-$K212)</f>
        <v>0</v>
      </c>
      <c r="EX212" s="1117">
        <f>VLOOKUP($E212,EU$442:EX$453,4,FALSE)*EU212*($K212)+(EU212-EV212-EW212)*(1-$K212)</f>
        <v>31870071.329999998</v>
      </c>
      <c r="EY212" s="1073"/>
      <c r="FC212" s="1116">
        <f>$G212</f>
        <v>31870071.329999998</v>
      </c>
      <c r="FD212" s="1117">
        <f>VLOOKUP($E212,FC$442:FF$453,2,FALSE)*FC212*($K212)+IF($G212&lt;&gt;0,($H212/$G212)*FC212,0)*(1-$K212)</f>
        <v>0</v>
      </c>
      <c r="FE212" s="1117">
        <f>VLOOKUP($E212,FC$442:FF$453,3,FALSE)*FC212*($K212)+IF($G212&lt;&gt;0,($I212/$G212)*FC212,0)*(1-$K212)</f>
        <v>0</v>
      </c>
      <c r="FF212" s="1117">
        <f>VLOOKUP($E212,FC$442:FF$453,4,FALSE)*FC212*($K212)+(FC212-FD212-FE212)*(1-$K212)</f>
        <v>31870071.329999998</v>
      </c>
      <c r="FG212" s="1073"/>
      <c r="FK212" s="1116">
        <f>$G212</f>
        <v>31870071.329999998</v>
      </c>
      <c r="FL212" s="1117">
        <f>VLOOKUP($E212,FK$442:FN$453,2,FALSE)*FK212*($K212)+IF($G212&lt;&gt;0,($H212/$G212)*FK212,0)*(1-$K212)</f>
        <v>0</v>
      </c>
      <c r="FM212" s="1117">
        <f>VLOOKUP($E212,FK$442:FN$453,3,FALSE)*FK212*($K212)+IF($G212&lt;&gt;0,($I212/$G212)*FK212,0)*(1-$K212)</f>
        <v>0</v>
      </c>
      <c r="FN212" s="1117">
        <f>VLOOKUP($E212,FK$442:FN$453,4,FALSE)*FK212*($K212)+(FK212-FL212-FM212)*(1-$K212)</f>
        <v>31870071.329999998</v>
      </c>
      <c r="FO212" s="1073"/>
    </row>
    <row r="213" spans="1:171">
      <c r="A213" s="1423"/>
      <c r="B213" s="913" t="s">
        <v>172</v>
      </c>
      <c r="C213" s="888" t="s">
        <v>72</v>
      </c>
      <c r="D213" s="888" t="s">
        <v>399</v>
      </c>
      <c r="E213" s="182" t="str">
        <f>'Sch 3 - Expenses'!E53</f>
        <v>DIST</v>
      </c>
      <c r="F213" s="889"/>
      <c r="G213" s="182">
        <f>'Sch 3 - Expenses'!G53</f>
        <v>1095949.52</v>
      </c>
      <c r="H213" s="182">
        <f>'Sch 3 - Expenses'!H53</f>
        <v>0</v>
      </c>
      <c r="I213" s="182">
        <f>'Sch 3 - Expenses'!I53</f>
        <v>0</v>
      </c>
      <c r="J213" s="1424">
        <f>'Sch 3 - Expenses'!J53</f>
        <v>1095949.52</v>
      </c>
      <c r="K213" s="903">
        <f>IF($E213="DIRECT",0,1)</f>
        <v>1</v>
      </c>
      <c r="O213" s="1116">
        <f>$G213</f>
        <v>1095949.52</v>
      </c>
      <c r="P213" s="1117">
        <f>VLOOKUP($E213,O$442:R$453,2,FALSE)*O213*($K213)+IF($G213&lt;&gt;0,($H213/$G213)*O213,0)*(1-$K213)</f>
        <v>0</v>
      </c>
      <c r="Q213" s="1117">
        <f>VLOOKUP($E213,O$442:R$453,3,FALSE)*O213*($K213)+IF($G213&lt;&gt;0,($I213/$G213)*O213,0)*(1-$K213)</f>
        <v>0</v>
      </c>
      <c r="R213" s="1117">
        <f>VLOOKUP($E213,O$442:R$453,4,FALSE)*O213*($K213)+(O213-P213-Q213)*(1-$K213)</f>
        <v>1095949.52</v>
      </c>
      <c r="S213" s="1073"/>
      <c r="W213" s="1116">
        <f>$G213</f>
        <v>1095949.52</v>
      </c>
      <c r="X213" s="1117">
        <f>VLOOKUP($E213,W$442:Z$453,2,FALSE)*W213*($K213)+IF($G213&lt;&gt;0,($H213/$G213)*W213,0)*(1-$K213)</f>
        <v>0</v>
      </c>
      <c r="Y213" s="1117">
        <f>VLOOKUP($E213,W$442:Z$453,3,FALSE)*W213*($K213)+IF($G213&lt;&gt;0,($I213/$G213)*W213,0)*(1-$K213)</f>
        <v>0</v>
      </c>
      <c r="Z213" s="1117">
        <f>VLOOKUP($E213,W$442:Z$453,4,FALSE)*W213*($K213)+(W213-X213-Y213)*(1-$K213)</f>
        <v>1095949.52</v>
      </c>
      <c r="AA213" s="1073"/>
      <c r="AE213" s="1116">
        <f>$G213</f>
        <v>1095949.52</v>
      </c>
      <c r="AF213" s="1117">
        <f>VLOOKUP($E213,AE$442:AH$453,2,FALSE)*AE213*($K213)+IF($G213&lt;&gt;0,($H213/$G213)*AE213,0)*(1-$K213)</f>
        <v>0</v>
      </c>
      <c r="AG213" s="1117">
        <f>VLOOKUP($E213,AE$442:AH$453,3,FALSE)*AE213*($K213)+IF($G213&lt;&gt;0,($I213/$G213)*AE213,0)*(1-$K213)</f>
        <v>0</v>
      </c>
      <c r="AH213" s="1117">
        <f>VLOOKUP($E213,AE$442:AH$453,4,FALSE)*AE213*($K213)+(AE213-AF213-AG213)*(1-$K213)</f>
        <v>1095949.52</v>
      </c>
      <c r="AI213" s="1073"/>
      <c r="AM213" s="1116">
        <f>$G213</f>
        <v>1095949.52</v>
      </c>
      <c r="AN213" s="1117">
        <f>VLOOKUP($E213,AM$442:AP$453,2,FALSE)*AM213*($K213)+IF($G213&lt;&gt;0,($H213/$G213)*AM213,0)*(1-$K213)</f>
        <v>0</v>
      </c>
      <c r="AO213" s="1117">
        <f>VLOOKUP($E213,AM$442:AP$453,3,FALSE)*AM213*($K213)+IF($G213&lt;&gt;0,($I213/$G213)*AM213,0)*(1-$K213)</f>
        <v>0</v>
      </c>
      <c r="AP213" s="1117">
        <f>VLOOKUP($E213,AM$442:AP$453,4,FALSE)*AM213*($K213)+(AM213-AN213-AO213)*(1-$K213)</f>
        <v>1095949.52</v>
      </c>
      <c r="AQ213" s="1073"/>
      <c r="AU213" s="1116">
        <f>$G213</f>
        <v>1095949.52</v>
      </c>
      <c r="AV213" s="1117">
        <f>VLOOKUP($E213,AU$442:AX$453,2,FALSE)*AU213*($K213)+IF($G213&lt;&gt;0,($H213/$G213)*AU213,0)*(1-$K213)</f>
        <v>0</v>
      </c>
      <c r="AW213" s="1117">
        <f>VLOOKUP($E213,AU$442:AX$453,3,FALSE)*AU213*($K213)+IF($G213&lt;&gt;0,($I213/$G213)*AU213,0)*(1-$K213)</f>
        <v>0</v>
      </c>
      <c r="AX213" s="1117">
        <f>VLOOKUP($E213,AU$442:AX$453,4,FALSE)*AU213*($K213)+(AU213-AV213-AW213)*(1-$K213)</f>
        <v>1095949.52</v>
      </c>
      <c r="AY213" s="1073"/>
      <c r="BC213" s="1116">
        <f>$G213</f>
        <v>1095949.52</v>
      </c>
      <c r="BD213" s="1117">
        <f>VLOOKUP($E213,BC$442:BF$453,2,FALSE)*BC213*($K213)+IF($G213&lt;&gt;0,($H213/$G213)*BC213,0)*(1-$K213)</f>
        <v>0</v>
      </c>
      <c r="BE213" s="1117">
        <f>VLOOKUP($E213,BC$442:BF$453,3,FALSE)*BC213*($K213)+IF($G213&lt;&gt;0,($I213/$G213)*BC213,0)*(1-$K213)</f>
        <v>0</v>
      </c>
      <c r="BF213" s="1117">
        <f>VLOOKUP($E213,BC$442:BF$453,4,FALSE)*BC213*($K213)+(BC213-BD213-BE213)*(1-$K213)</f>
        <v>1095949.52</v>
      </c>
      <c r="BG213" s="1073"/>
      <c r="BK213" s="1116">
        <f>$G213</f>
        <v>1095949.52</v>
      </c>
      <c r="BL213" s="1117">
        <f>VLOOKUP($E213,BK$442:BN$453,2,FALSE)*BK213*($K213)+IF($G213&lt;&gt;0,($H213/$G213)*BK213,0)*(1-$K213)</f>
        <v>0</v>
      </c>
      <c r="BM213" s="1117">
        <f>VLOOKUP($E213,BK$442:BN$453,3,FALSE)*BK213*($K213)+IF($G213&lt;&gt;0,($I213/$G213)*BK213,0)*(1-$K213)</f>
        <v>0</v>
      </c>
      <c r="BN213" s="1117">
        <f>VLOOKUP($E213,BK$442:BN$453,4,FALSE)*BK213*($K213)+(BK213-BL213-BM213)*(1-$K213)</f>
        <v>1095949.52</v>
      </c>
      <c r="BO213" s="1073"/>
      <c r="BS213" s="1116">
        <f>$G213</f>
        <v>1095949.52</v>
      </c>
      <c r="BT213" s="1117">
        <f>VLOOKUP($E213,BS$442:BV$453,2,FALSE)*BS213*($K213)+IF($G213&lt;&gt;0,($H213/$G213)*BS213,0)*(1-$K213)</f>
        <v>0</v>
      </c>
      <c r="BU213" s="1117">
        <f>VLOOKUP($E213,BS$442:BV$453,3,FALSE)*BS213*($K213)+IF($G213&lt;&gt;0,($I213/$G213)*BS213,0)*(1-$K213)</f>
        <v>0</v>
      </c>
      <c r="BV213" s="1117">
        <f>VLOOKUP($E213,BS$442:BV$453,4,FALSE)*BS213*($K213)+(BS213-BT213-BU213)*(1-$K213)</f>
        <v>1095949.52</v>
      </c>
      <c r="BW213" s="1073"/>
      <c r="CA213" s="1116">
        <f>$G213</f>
        <v>1095949.52</v>
      </c>
      <c r="CB213" s="1117">
        <f>VLOOKUP($E213,CA$442:CD$453,2,FALSE)*CA213*($K213)+IF($G213&lt;&gt;0,($H213/$G213)*CA213,0)*(1-$K213)</f>
        <v>0</v>
      </c>
      <c r="CC213" s="1117">
        <f>VLOOKUP($E213,CA$442:CD$453,3,FALSE)*CA213*($K213)+IF($G213&lt;&gt;0,($I213/$G213)*CA213,0)*(1-$K213)</f>
        <v>0</v>
      </c>
      <c r="CD213" s="1117">
        <f>VLOOKUP($E213,CA$442:CD$453,4,FALSE)*CA213*($K213)+(CA213-CB213-CC213)*(1-$K213)</f>
        <v>1095949.52</v>
      </c>
      <c r="CE213" s="1073"/>
      <c r="CI213" s="1116">
        <f>$G213</f>
        <v>1095949.52</v>
      </c>
      <c r="CJ213" s="1117">
        <f>VLOOKUP($E213,CI$442:CL$453,2,FALSE)*CI213*($K213)+IF($G213&lt;&gt;0,($H213/$G213)*CI213,0)*(1-$K213)</f>
        <v>0</v>
      </c>
      <c r="CK213" s="1117">
        <f>VLOOKUP($E213,CI$442:CL$453,3,FALSE)*CI213*($K213)+IF($G213&lt;&gt;0,($I213/$G213)*CI213,0)*(1-$K213)</f>
        <v>0</v>
      </c>
      <c r="CL213" s="1117">
        <f>VLOOKUP($E213,CI$442:CL$453,4,FALSE)*CI213*($K213)+(CI213-CJ213-CK213)*(1-$K213)</f>
        <v>1095949.52</v>
      </c>
      <c r="CM213" s="1073"/>
      <c r="CQ213" s="1116">
        <f>$G213</f>
        <v>1095949.52</v>
      </c>
      <c r="CR213" s="1117">
        <f>VLOOKUP($E213,CQ$442:CT$453,2,FALSE)*CQ213*($K213)+IF($G213&lt;&gt;0,($H213/$G213)*CQ213,0)*(1-$K213)</f>
        <v>0</v>
      </c>
      <c r="CS213" s="1117">
        <f>VLOOKUP($E213,CQ$442:CT$453,3,FALSE)*CQ213*($K213)+IF($G213&lt;&gt;0,($I213/$G213)*CQ213,0)*(1-$K213)</f>
        <v>0</v>
      </c>
      <c r="CT213" s="1117">
        <f>VLOOKUP($E213,CQ$442:CT$453,4,FALSE)*CQ213*($K213)+(CQ213-CR213-CS213)*(1-$K213)</f>
        <v>1095949.52</v>
      </c>
      <c r="CU213" s="1073"/>
      <c r="CY213" s="1116">
        <f>$G213</f>
        <v>1095949.52</v>
      </c>
      <c r="CZ213" s="1117">
        <f>VLOOKUP($E213,CY$442:DB$453,2,FALSE)*CY213*($K213)+IF($G213&lt;&gt;0,($H213/$G213)*CY213,0)*(1-$K213)</f>
        <v>0</v>
      </c>
      <c r="DA213" s="1117">
        <f>VLOOKUP($E213,CY$442:DB$453,3,FALSE)*CY213*($K213)+IF($G213&lt;&gt;0,($I213/$G213)*CY213,0)*(1-$K213)</f>
        <v>0</v>
      </c>
      <c r="DB213" s="1117">
        <f>VLOOKUP($E213,CY$442:DB$453,4,FALSE)*CY213*($K213)+(CY213-CZ213-DA213)*(1-$K213)</f>
        <v>1095949.52</v>
      </c>
      <c r="DC213" s="1073"/>
      <c r="DG213" s="1116">
        <f>$G213</f>
        <v>1095949.52</v>
      </c>
      <c r="DH213" s="1117">
        <f>VLOOKUP($E213,DG$442:DJ$453,2,FALSE)*DG213*($K213)+IF($G213&lt;&gt;0,($H213/$G213)*DG213,0)*(1-$K213)</f>
        <v>0</v>
      </c>
      <c r="DI213" s="1117">
        <f>VLOOKUP($E213,DG$442:DJ$453,3,FALSE)*DG213*($K213)+IF($G213&lt;&gt;0,($I213/$G213)*DG213,0)*(1-$K213)</f>
        <v>0</v>
      </c>
      <c r="DJ213" s="1117">
        <f>VLOOKUP($E213,DG$442:DJ$453,4,FALSE)*DG213*($K213)+(DG213-DH213-DI213)*(1-$K213)</f>
        <v>1095949.52</v>
      </c>
      <c r="DK213" s="1073"/>
      <c r="DO213" s="1116">
        <f>$G213</f>
        <v>1095949.52</v>
      </c>
      <c r="DP213" s="1117">
        <f>VLOOKUP($E213,DO$442:DR$453,2,FALSE)*DO213*($K213)+IF($G213&lt;&gt;0,($H213/$G213)*DO213,0)*(1-$K213)</f>
        <v>0</v>
      </c>
      <c r="DQ213" s="1117">
        <f>VLOOKUP($E213,DO$442:DR$453,3,FALSE)*DO213*($K213)+IF($G213&lt;&gt;0,($I213/$G213)*DO213,0)*(1-$K213)</f>
        <v>0</v>
      </c>
      <c r="DR213" s="1117">
        <f>VLOOKUP($E213,DO$442:DR$453,4,FALSE)*DO213*($K213)+(DO213-DP213-DQ213)*(1-$K213)</f>
        <v>1095949.52</v>
      </c>
      <c r="DS213" s="1073"/>
      <c r="DW213" s="1116">
        <f>$G213</f>
        <v>1095949.52</v>
      </c>
      <c r="DX213" s="1117">
        <f>VLOOKUP($E213,DW$442:DZ$453,2,FALSE)*DW213*($K213)+IF($G213&lt;&gt;0,($H213/$G213)*DW213,0)*(1-$K213)</f>
        <v>0</v>
      </c>
      <c r="DY213" s="1117">
        <f>VLOOKUP($E213,DW$442:DZ$453,3,FALSE)*DW213*($K213)+IF($G213&lt;&gt;0,($I213/$G213)*DW213,0)*(1-$K213)</f>
        <v>0</v>
      </c>
      <c r="DZ213" s="1117">
        <f>VLOOKUP($E213,DW$442:DZ$453,4,FALSE)*DW213*($K213)+(DW213-DX213-DY213)*(1-$K213)</f>
        <v>1095949.52</v>
      </c>
      <c r="EA213" s="1073"/>
      <c r="EE213" s="1116">
        <f>$G213</f>
        <v>1095949.52</v>
      </c>
      <c r="EF213" s="1117">
        <f>VLOOKUP($E213,EE$442:EH$453,2,FALSE)*EE213*($K213)+IF($G213&lt;&gt;0,($H213/$G213)*EE213,0)*(1-$K213)</f>
        <v>0</v>
      </c>
      <c r="EG213" s="1117">
        <f>VLOOKUP($E213,EE$442:EH$453,3,FALSE)*EE213*($K213)+IF($G213&lt;&gt;0,($I213/$G213)*EE213,0)*(1-$K213)</f>
        <v>0</v>
      </c>
      <c r="EH213" s="1117">
        <f>VLOOKUP($E213,EE$442:EH$453,4,FALSE)*EE213*($K213)+(EE213-EF213-EG213)*(1-$K213)</f>
        <v>1095949.52</v>
      </c>
      <c r="EI213" s="1073"/>
      <c r="EM213" s="1116">
        <f>$G213</f>
        <v>1095949.52</v>
      </c>
      <c r="EN213" s="1117">
        <f>VLOOKUP($E213,EM$442:EP$453,2,FALSE)*EM213*($K213)+IF($G213&lt;&gt;0,($H213/$G213)*EM213,0)*(1-$K213)</f>
        <v>0</v>
      </c>
      <c r="EO213" s="1117">
        <f>VLOOKUP($E213,EM$442:EP$453,3,FALSE)*EM213*($K213)+IF($G213&lt;&gt;0,($I213/$G213)*EM213,0)*(1-$K213)</f>
        <v>0</v>
      </c>
      <c r="EP213" s="1117">
        <f>VLOOKUP($E213,EM$442:EP$453,4,FALSE)*EM213*($K213)+(EM213-EN213-EO213)*(1-$K213)</f>
        <v>1095949.52</v>
      </c>
      <c r="EQ213" s="1073"/>
      <c r="EU213" s="1116">
        <f>$G213</f>
        <v>1095949.52</v>
      </c>
      <c r="EV213" s="1117">
        <f>VLOOKUP($E213,EU$442:EX$453,2,FALSE)*EU213*($K213)+IF($G213&lt;&gt;0,($H213/$G213)*EU213,0)*(1-$K213)</f>
        <v>0</v>
      </c>
      <c r="EW213" s="1117">
        <f>VLOOKUP($E213,EU$442:EX$453,3,FALSE)*EU213*($K213)+IF($G213&lt;&gt;0,($I213/$G213)*EU213,0)*(1-$K213)</f>
        <v>0</v>
      </c>
      <c r="EX213" s="1117">
        <f>VLOOKUP($E213,EU$442:EX$453,4,FALSE)*EU213*($K213)+(EU213-EV213-EW213)*(1-$K213)</f>
        <v>1095949.52</v>
      </c>
      <c r="EY213" s="1073"/>
      <c r="FC213" s="1116">
        <f>$G213</f>
        <v>1095949.52</v>
      </c>
      <c r="FD213" s="1117">
        <f>VLOOKUP($E213,FC$442:FF$453,2,FALSE)*FC213*($K213)+IF($G213&lt;&gt;0,($H213/$G213)*FC213,0)*(1-$K213)</f>
        <v>0</v>
      </c>
      <c r="FE213" s="1117">
        <f>VLOOKUP($E213,FC$442:FF$453,3,FALSE)*FC213*($K213)+IF($G213&lt;&gt;0,($I213/$G213)*FC213,0)*(1-$K213)</f>
        <v>0</v>
      </c>
      <c r="FF213" s="1117">
        <f>VLOOKUP($E213,FC$442:FF$453,4,FALSE)*FC213*($K213)+(FC213-FD213-FE213)*(1-$K213)</f>
        <v>1095949.52</v>
      </c>
      <c r="FG213" s="1073"/>
      <c r="FK213" s="1116">
        <f>$G213</f>
        <v>1095949.52</v>
      </c>
      <c r="FL213" s="1117">
        <f>VLOOKUP($E213,FK$442:FN$453,2,FALSE)*FK213*($K213)+IF($G213&lt;&gt;0,($H213/$G213)*FK213,0)*(1-$K213)</f>
        <v>0</v>
      </c>
      <c r="FM213" s="1117">
        <f>VLOOKUP($E213,FK$442:FN$453,3,FALSE)*FK213*($K213)+IF($G213&lt;&gt;0,($I213/$G213)*FK213,0)*(1-$K213)</f>
        <v>0</v>
      </c>
      <c r="FN213" s="1117">
        <f>VLOOKUP($E213,FK$442:FN$453,4,FALSE)*FK213*($K213)+(FK213-FL213-FM213)*(1-$K213)</f>
        <v>1095949.52</v>
      </c>
      <c r="FO213" s="1073"/>
    </row>
    <row r="214" spans="1:171">
      <c r="A214" s="1423"/>
      <c r="B214" s="913" t="s">
        <v>400</v>
      </c>
      <c r="C214" s="888" t="s">
        <v>72</v>
      </c>
      <c r="D214" s="888" t="s">
        <v>401</v>
      </c>
      <c r="E214" s="182" t="str">
        <f>'Sch 3 - Expenses'!E54</f>
        <v>DIST</v>
      </c>
      <c r="F214" s="889"/>
      <c r="G214" s="182">
        <f>'Sch 3 - Expenses'!G54</f>
        <v>43646</v>
      </c>
      <c r="H214" s="182">
        <f>'Sch 3 - Expenses'!H54</f>
        <v>0</v>
      </c>
      <c r="I214" s="182">
        <f>'Sch 3 - Expenses'!I54</f>
        <v>0</v>
      </c>
      <c r="J214" s="1424">
        <f>'Sch 3 - Expenses'!J54</f>
        <v>43646</v>
      </c>
      <c r="K214" s="903">
        <f>IF($E214="DIRECT",0,1)</f>
        <v>1</v>
      </c>
      <c r="O214" s="1116">
        <f>$G214</f>
        <v>43646</v>
      </c>
      <c r="P214" s="1117">
        <f>VLOOKUP($E214,O$442:R$453,2,FALSE)*O214*($K214)+IF($G214&lt;&gt;0,($H214/$G214)*O214,0)*(1-$K214)</f>
        <v>0</v>
      </c>
      <c r="Q214" s="1117">
        <f>VLOOKUP($E214,O$442:R$453,3,FALSE)*O214*($K214)+IF($G214&lt;&gt;0,($I214/$G214)*O214,0)*(1-$K214)</f>
        <v>0</v>
      </c>
      <c r="R214" s="1117">
        <f>VLOOKUP($E214,O$442:R$453,4,FALSE)*O214*($K214)+(O214-P214-Q214)*(1-$K214)</f>
        <v>43646</v>
      </c>
      <c r="S214" s="1073"/>
      <c r="W214" s="1116">
        <f>$G214</f>
        <v>43646</v>
      </c>
      <c r="X214" s="1117">
        <f>VLOOKUP($E214,W$442:Z$453,2,FALSE)*W214*($K214)+IF($G214&lt;&gt;0,($H214/$G214)*W214,0)*(1-$K214)</f>
        <v>0</v>
      </c>
      <c r="Y214" s="1117">
        <f>VLOOKUP($E214,W$442:Z$453,3,FALSE)*W214*($K214)+IF($G214&lt;&gt;0,($I214/$G214)*W214,0)*(1-$K214)</f>
        <v>0</v>
      </c>
      <c r="Z214" s="1117">
        <f>VLOOKUP($E214,W$442:Z$453,4,FALSE)*W214*($K214)+(W214-X214-Y214)*(1-$K214)</f>
        <v>43646</v>
      </c>
      <c r="AA214" s="1073"/>
      <c r="AE214" s="1116">
        <f>$G214</f>
        <v>43646</v>
      </c>
      <c r="AF214" s="1117">
        <f>VLOOKUP($E214,AE$442:AH$453,2,FALSE)*AE214*($K214)+IF($G214&lt;&gt;0,($H214/$G214)*AE214,0)*(1-$K214)</f>
        <v>0</v>
      </c>
      <c r="AG214" s="1117">
        <f>VLOOKUP($E214,AE$442:AH$453,3,FALSE)*AE214*($K214)+IF($G214&lt;&gt;0,($I214/$G214)*AE214,0)*(1-$K214)</f>
        <v>0</v>
      </c>
      <c r="AH214" s="1117">
        <f>VLOOKUP($E214,AE$442:AH$453,4,FALSE)*AE214*($K214)+(AE214-AF214-AG214)*(1-$K214)</f>
        <v>43646</v>
      </c>
      <c r="AI214" s="1073"/>
      <c r="AM214" s="1116">
        <f>$G214</f>
        <v>43646</v>
      </c>
      <c r="AN214" s="1117">
        <f>VLOOKUP($E214,AM$442:AP$453,2,FALSE)*AM214*($K214)+IF($G214&lt;&gt;0,($H214/$G214)*AM214,0)*(1-$K214)</f>
        <v>0</v>
      </c>
      <c r="AO214" s="1117">
        <f>VLOOKUP($E214,AM$442:AP$453,3,FALSE)*AM214*($K214)+IF($G214&lt;&gt;0,($I214/$G214)*AM214,0)*(1-$K214)</f>
        <v>0</v>
      </c>
      <c r="AP214" s="1117">
        <f>VLOOKUP($E214,AM$442:AP$453,4,FALSE)*AM214*($K214)+(AM214-AN214-AO214)*(1-$K214)</f>
        <v>43646</v>
      </c>
      <c r="AQ214" s="1073"/>
      <c r="AU214" s="1116">
        <f>$G214</f>
        <v>43646</v>
      </c>
      <c r="AV214" s="1117">
        <f>VLOOKUP($E214,AU$442:AX$453,2,FALSE)*AU214*($K214)+IF($G214&lt;&gt;0,($H214/$G214)*AU214,0)*(1-$K214)</f>
        <v>0</v>
      </c>
      <c r="AW214" s="1117">
        <f>VLOOKUP($E214,AU$442:AX$453,3,FALSE)*AU214*($K214)+IF($G214&lt;&gt;0,($I214/$G214)*AU214,0)*(1-$K214)</f>
        <v>0</v>
      </c>
      <c r="AX214" s="1117">
        <f>VLOOKUP($E214,AU$442:AX$453,4,FALSE)*AU214*($K214)+(AU214-AV214-AW214)*(1-$K214)</f>
        <v>43646</v>
      </c>
      <c r="AY214" s="1073"/>
      <c r="BC214" s="1116">
        <f>$G214</f>
        <v>43646</v>
      </c>
      <c r="BD214" s="1117">
        <f>VLOOKUP($E214,BC$442:BF$453,2,FALSE)*BC214*($K214)+IF($G214&lt;&gt;0,($H214/$G214)*BC214,0)*(1-$K214)</f>
        <v>0</v>
      </c>
      <c r="BE214" s="1117">
        <f>VLOOKUP($E214,BC$442:BF$453,3,FALSE)*BC214*($K214)+IF($G214&lt;&gt;0,($I214/$G214)*BC214,0)*(1-$K214)</f>
        <v>0</v>
      </c>
      <c r="BF214" s="1117">
        <f>VLOOKUP($E214,BC$442:BF$453,4,FALSE)*BC214*($K214)+(BC214-BD214-BE214)*(1-$K214)</f>
        <v>43646</v>
      </c>
      <c r="BG214" s="1073"/>
      <c r="BK214" s="1116">
        <f>$G214</f>
        <v>43646</v>
      </c>
      <c r="BL214" s="1117">
        <f>VLOOKUP($E214,BK$442:BN$453,2,FALSE)*BK214*($K214)+IF($G214&lt;&gt;0,($H214/$G214)*BK214,0)*(1-$K214)</f>
        <v>0</v>
      </c>
      <c r="BM214" s="1117">
        <f>VLOOKUP($E214,BK$442:BN$453,3,FALSE)*BK214*($K214)+IF($G214&lt;&gt;0,($I214/$G214)*BK214,0)*(1-$K214)</f>
        <v>0</v>
      </c>
      <c r="BN214" s="1117">
        <f>VLOOKUP($E214,BK$442:BN$453,4,FALSE)*BK214*($K214)+(BK214-BL214-BM214)*(1-$K214)</f>
        <v>43646</v>
      </c>
      <c r="BO214" s="1073"/>
      <c r="BS214" s="1116">
        <f>$G214</f>
        <v>43646</v>
      </c>
      <c r="BT214" s="1117">
        <f>VLOOKUP($E214,BS$442:BV$453,2,FALSE)*BS214*($K214)+IF($G214&lt;&gt;0,($H214/$G214)*BS214,0)*(1-$K214)</f>
        <v>0</v>
      </c>
      <c r="BU214" s="1117">
        <f>VLOOKUP($E214,BS$442:BV$453,3,FALSE)*BS214*($K214)+IF($G214&lt;&gt;0,($I214/$G214)*BS214,0)*(1-$K214)</f>
        <v>0</v>
      </c>
      <c r="BV214" s="1117">
        <f>VLOOKUP($E214,BS$442:BV$453,4,FALSE)*BS214*($K214)+(BS214-BT214-BU214)*(1-$K214)</f>
        <v>43646</v>
      </c>
      <c r="BW214" s="1073"/>
      <c r="CA214" s="1116">
        <f>$G214</f>
        <v>43646</v>
      </c>
      <c r="CB214" s="1117">
        <f>VLOOKUP($E214,CA$442:CD$453,2,FALSE)*CA214*($K214)+IF($G214&lt;&gt;0,($H214/$G214)*CA214,0)*(1-$K214)</f>
        <v>0</v>
      </c>
      <c r="CC214" s="1117">
        <f>VLOOKUP($E214,CA$442:CD$453,3,FALSE)*CA214*($K214)+IF($G214&lt;&gt;0,($I214/$G214)*CA214,0)*(1-$K214)</f>
        <v>0</v>
      </c>
      <c r="CD214" s="1117">
        <f>VLOOKUP($E214,CA$442:CD$453,4,FALSE)*CA214*($K214)+(CA214-CB214-CC214)*(1-$K214)</f>
        <v>43646</v>
      </c>
      <c r="CE214" s="1073"/>
      <c r="CI214" s="1116">
        <f>$G214</f>
        <v>43646</v>
      </c>
      <c r="CJ214" s="1117">
        <f>VLOOKUP($E214,CI$442:CL$453,2,FALSE)*CI214*($K214)+IF($G214&lt;&gt;0,($H214/$G214)*CI214,0)*(1-$K214)</f>
        <v>0</v>
      </c>
      <c r="CK214" s="1117">
        <f>VLOOKUP($E214,CI$442:CL$453,3,FALSE)*CI214*($K214)+IF($G214&lt;&gt;0,($I214/$G214)*CI214,0)*(1-$K214)</f>
        <v>0</v>
      </c>
      <c r="CL214" s="1117">
        <f>VLOOKUP($E214,CI$442:CL$453,4,FALSE)*CI214*($K214)+(CI214-CJ214-CK214)*(1-$K214)</f>
        <v>43646</v>
      </c>
      <c r="CM214" s="1073"/>
      <c r="CQ214" s="1116">
        <f>$G214</f>
        <v>43646</v>
      </c>
      <c r="CR214" s="1117">
        <f>VLOOKUP($E214,CQ$442:CT$453,2,FALSE)*CQ214*($K214)+IF($G214&lt;&gt;0,($H214/$G214)*CQ214,0)*(1-$K214)</f>
        <v>0</v>
      </c>
      <c r="CS214" s="1117">
        <f>VLOOKUP($E214,CQ$442:CT$453,3,FALSE)*CQ214*($K214)+IF($G214&lt;&gt;0,($I214/$G214)*CQ214,0)*(1-$K214)</f>
        <v>0</v>
      </c>
      <c r="CT214" s="1117">
        <f>VLOOKUP($E214,CQ$442:CT$453,4,FALSE)*CQ214*($K214)+(CQ214-CR214-CS214)*(1-$K214)</f>
        <v>43646</v>
      </c>
      <c r="CU214" s="1073"/>
      <c r="CY214" s="1116">
        <f>$G214</f>
        <v>43646</v>
      </c>
      <c r="CZ214" s="1117">
        <f>VLOOKUP($E214,CY$442:DB$453,2,FALSE)*CY214*($K214)+IF($G214&lt;&gt;0,($H214/$G214)*CY214,0)*(1-$K214)</f>
        <v>0</v>
      </c>
      <c r="DA214" s="1117">
        <f>VLOOKUP($E214,CY$442:DB$453,3,FALSE)*CY214*($K214)+IF($G214&lt;&gt;0,($I214/$G214)*CY214,0)*(1-$K214)</f>
        <v>0</v>
      </c>
      <c r="DB214" s="1117">
        <f>VLOOKUP($E214,CY$442:DB$453,4,FALSE)*CY214*($K214)+(CY214-CZ214-DA214)*(1-$K214)</f>
        <v>43646</v>
      </c>
      <c r="DC214" s="1073"/>
      <c r="DG214" s="1116">
        <f>$G214</f>
        <v>43646</v>
      </c>
      <c r="DH214" s="1117">
        <f>VLOOKUP($E214,DG$442:DJ$453,2,FALSE)*DG214*($K214)+IF($G214&lt;&gt;0,($H214/$G214)*DG214,0)*(1-$K214)</f>
        <v>0</v>
      </c>
      <c r="DI214" s="1117">
        <f>VLOOKUP($E214,DG$442:DJ$453,3,FALSE)*DG214*($K214)+IF($G214&lt;&gt;0,($I214/$G214)*DG214,0)*(1-$K214)</f>
        <v>0</v>
      </c>
      <c r="DJ214" s="1117">
        <f>VLOOKUP($E214,DG$442:DJ$453,4,FALSE)*DG214*($K214)+(DG214-DH214-DI214)*(1-$K214)</f>
        <v>43646</v>
      </c>
      <c r="DK214" s="1073"/>
      <c r="DO214" s="1116">
        <f>$G214</f>
        <v>43646</v>
      </c>
      <c r="DP214" s="1117">
        <f>VLOOKUP($E214,DO$442:DR$453,2,FALSE)*DO214*($K214)+IF($G214&lt;&gt;0,($H214/$G214)*DO214,0)*(1-$K214)</f>
        <v>0</v>
      </c>
      <c r="DQ214" s="1117">
        <f>VLOOKUP($E214,DO$442:DR$453,3,FALSE)*DO214*($K214)+IF($G214&lt;&gt;0,($I214/$G214)*DO214,0)*(1-$K214)</f>
        <v>0</v>
      </c>
      <c r="DR214" s="1117">
        <f>VLOOKUP($E214,DO$442:DR$453,4,FALSE)*DO214*($K214)+(DO214-DP214-DQ214)*(1-$K214)</f>
        <v>43646</v>
      </c>
      <c r="DS214" s="1073"/>
      <c r="DW214" s="1116">
        <f>$G214</f>
        <v>43646</v>
      </c>
      <c r="DX214" s="1117">
        <f>VLOOKUP($E214,DW$442:DZ$453,2,FALSE)*DW214*($K214)+IF($G214&lt;&gt;0,($H214/$G214)*DW214,0)*(1-$K214)</f>
        <v>0</v>
      </c>
      <c r="DY214" s="1117">
        <f>VLOOKUP($E214,DW$442:DZ$453,3,FALSE)*DW214*($K214)+IF($G214&lt;&gt;0,($I214/$G214)*DW214,0)*(1-$K214)</f>
        <v>0</v>
      </c>
      <c r="DZ214" s="1117">
        <f>VLOOKUP($E214,DW$442:DZ$453,4,FALSE)*DW214*($K214)+(DW214-DX214-DY214)*(1-$K214)</f>
        <v>43646</v>
      </c>
      <c r="EA214" s="1073"/>
      <c r="EE214" s="1116">
        <f>$G214</f>
        <v>43646</v>
      </c>
      <c r="EF214" s="1117">
        <f>VLOOKUP($E214,EE$442:EH$453,2,FALSE)*EE214*($K214)+IF($G214&lt;&gt;0,($H214/$G214)*EE214,0)*(1-$K214)</f>
        <v>0</v>
      </c>
      <c r="EG214" s="1117">
        <f>VLOOKUP($E214,EE$442:EH$453,3,FALSE)*EE214*($K214)+IF($G214&lt;&gt;0,($I214/$G214)*EE214,0)*(1-$K214)</f>
        <v>0</v>
      </c>
      <c r="EH214" s="1117">
        <f>VLOOKUP($E214,EE$442:EH$453,4,FALSE)*EE214*($K214)+(EE214-EF214-EG214)*(1-$K214)</f>
        <v>43646</v>
      </c>
      <c r="EI214" s="1073"/>
      <c r="EM214" s="1116">
        <f>$G214</f>
        <v>43646</v>
      </c>
      <c r="EN214" s="1117">
        <f>VLOOKUP($E214,EM$442:EP$453,2,FALSE)*EM214*($K214)+IF($G214&lt;&gt;0,($H214/$G214)*EM214,0)*(1-$K214)</f>
        <v>0</v>
      </c>
      <c r="EO214" s="1117">
        <f>VLOOKUP($E214,EM$442:EP$453,3,FALSE)*EM214*($K214)+IF($G214&lt;&gt;0,($I214/$G214)*EM214,0)*(1-$K214)</f>
        <v>0</v>
      </c>
      <c r="EP214" s="1117">
        <f>VLOOKUP($E214,EM$442:EP$453,4,FALSE)*EM214*($K214)+(EM214-EN214-EO214)*(1-$K214)</f>
        <v>43646</v>
      </c>
      <c r="EQ214" s="1073"/>
      <c r="EU214" s="1116">
        <f>$G214</f>
        <v>43646</v>
      </c>
      <c r="EV214" s="1117">
        <f>VLOOKUP($E214,EU$442:EX$453,2,FALSE)*EU214*($K214)+IF($G214&lt;&gt;0,($H214/$G214)*EU214,0)*(1-$K214)</f>
        <v>0</v>
      </c>
      <c r="EW214" s="1117">
        <f>VLOOKUP($E214,EU$442:EX$453,3,FALSE)*EU214*($K214)+IF($G214&lt;&gt;0,($I214/$G214)*EU214,0)*(1-$K214)</f>
        <v>0</v>
      </c>
      <c r="EX214" s="1117">
        <f>VLOOKUP($E214,EU$442:EX$453,4,FALSE)*EU214*($K214)+(EU214-EV214-EW214)*(1-$K214)</f>
        <v>43646</v>
      </c>
      <c r="EY214" s="1073"/>
      <c r="FC214" s="1116">
        <f>$G214</f>
        <v>43646</v>
      </c>
      <c r="FD214" s="1117">
        <f>VLOOKUP($E214,FC$442:FF$453,2,FALSE)*FC214*($K214)+IF($G214&lt;&gt;0,($H214/$G214)*FC214,0)*(1-$K214)</f>
        <v>0</v>
      </c>
      <c r="FE214" s="1117">
        <f>VLOOKUP($E214,FC$442:FF$453,3,FALSE)*FC214*($K214)+IF($G214&lt;&gt;0,($I214/$G214)*FC214,0)*(1-$K214)</f>
        <v>0</v>
      </c>
      <c r="FF214" s="1117">
        <f>VLOOKUP($E214,FC$442:FF$453,4,FALSE)*FC214*($K214)+(FC214-FD214-FE214)*(1-$K214)</f>
        <v>43646</v>
      </c>
      <c r="FG214" s="1073"/>
      <c r="FK214" s="1116">
        <f>$G214</f>
        <v>43646</v>
      </c>
      <c r="FL214" s="1117">
        <f>VLOOKUP($E214,FK$442:FN$453,2,FALSE)*FK214*($K214)+IF($G214&lt;&gt;0,($H214/$G214)*FK214,0)*(1-$K214)</f>
        <v>0</v>
      </c>
      <c r="FM214" s="1117">
        <f>VLOOKUP($E214,FK$442:FN$453,3,FALSE)*FK214*($K214)+IF($G214&lt;&gt;0,($I214/$G214)*FK214,0)*(1-$K214)</f>
        <v>0</v>
      </c>
      <c r="FN214" s="1117">
        <f>VLOOKUP($E214,FK$442:FN$453,4,FALSE)*FK214*($K214)+(FK214-FL214-FM214)*(1-$K214)</f>
        <v>43646</v>
      </c>
      <c r="FO214" s="1073"/>
    </row>
    <row r="215" spans="1:171">
      <c r="A215" s="1345" t="s">
        <v>494</v>
      </c>
      <c r="B215" s="10"/>
      <c r="C215" s="914"/>
      <c r="D215" s="915"/>
      <c r="E215" s="915"/>
      <c r="F215" s="916"/>
      <c r="G215" s="923">
        <f>SUM(G210:G214)</f>
        <v>43420871.850000001</v>
      </c>
      <c r="H215" s="923">
        <f>SUM(H210:H214)</f>
        <v>0</v>
      </c>
      <c r="I215" s="923">
        <f>SUM(I210:I214)</f>
        <v>0</v>
      </c>
      <c r="J215" s="1431">
        <f>SUM(J210:J214)</f>
        <v>43420871.850000001</v>
      </c>
      <c r="K215" s="903"/>
      <c r="O215" s="1136">
        <f>SUM(O210:O214)</f>
        <v>43420871.850000001</v>
      </c>
      <c r="P215" s="1136">
        <f>SUM(P210:P214)</f>
        <v>0</v>
      </c>
      <c r="Q215" s="1136">
        <f>SUM(Q210:Q214)</f>
        <v>0</v>
      </c>
      <c r="R215" s="1136">
        <f>SUM(R210:R214)</f>
        <v>43420871.850000001</v>
      </c>
      <c r="S215" s="1073"/>
      <c r="W215" s="1136">
        <f>SUM(W210:W214)</f>
        <v>43420871.850000001</v>
      </c>
      <c r="X215" s="1136">
        <f>SUM(X210:X214)</f>
        <v>0</v>
      </c>
      <c r="Y215" s="1136">
        <f>SUM(Y210:Y214)</f>
        <v>0</v>
      </c>
      <c r="Z215" s="1136">
        <f>SUM(Z210:Z214)</f>
        <v>43420871.850000001</v>
      </c>
      <c r="AA215" s="1073"/>
      <c r="AE215" s="1136">
        <f>SUM(AE210:AE214)</f>
        <v>43420871.850000001</v>
      </c>
      <c r="AF215" s="1136">
        <f>SUM(AF210:AF214)</f>
        <v>0</v>
      </c>
      <c r="AG215" s="1136">
        <f>SUM(AG210:AG214)</f>
        <v>0</v>
      </c>
      <c r="AH215" s="1136">
        <f>SUM(AH210:AH214)</f>
        <v>43420871.850000001</v>
      </c>
      <c r="AI215" s="1073"/>
      <c r="AM215" s="1136">
        <f>SUM(AM210:AM214)</f>
        <v>43420871.850000001</v>
      </c>
      <c r="AN215" s="1136">
        <f>SUM(AN210:AN214)</f>
        <v>0</v>
      </c>
      <c r="AO215" s="1136">
        <f>SUM(AO210:AO214)</f>
        <v>0</v>
      </c>
      <c r="AP215" s="1136">
        <f>SUM(AP210:AP214)</f>
        <v>43420871.850000001</v>
      </c>
      <c r="AQ215" s="1073"/>
      <c r="AU215" s="1136">
        <f>SUM(AU210:AU214)</f>
        <v>43420871.850000001</v>
      </c>
      <c r="AV215" s="1136">
        <f>SUM(AV210:AV214)</f>
        <v>0</v>
      </c>
      <c r="AW215" s="1136">
        <f>SUM(AW210:AW214)</f>
        <v>0</v>
      </c>
      <c r="AX215" s="1136">
        <f>SUM(AX210:AX214)</f>
        <v>43420871.850000001</v>
      </c>
      <c r="AY215" s="1073"/>
      <c r="BC215" s="1136">
        <f>SUM(BC210:BC214)</f>
        <v>43420871.850000001</v>
      </c>
      <c r="BD215" s="1136">
        <f>SUM(BD210:BD214)</f>
        <v>0</v>
      </c>
      <c r="BE215" s="1136">
        <f>SUM(BE210:BE214)</f>
        <v>0</v>
      </c>
      <c r="BF215" s="1136">
        <f>SUM(BF210:BF214)</f>
        <v>43420871.850000001</v>
      </c>
      <c r="BG215" s="1073"/>
      <c r="BK215" s="1136">
        <f>SUM(BK210:BK214)</f>
        <v>43420871.850000001</v>
      </c>
      <c r="BL215" s="1136">
        <f>SUM(BL210:BL214)</f>
        <v>0</v>
      </c>
      <c r="BM215" s="1136">
        <f>SUM(BM210:BM214)</f>
        <v>0</v>
      </c>
      <c r="BN215" s="1136">
        <f>SUM(BN210:BN214)</f>
        <v>43420871.850000001</v>
      </c>
      <c r="BO215" s="1073"/>
      <c r="BS215" s="1136">
        <f>SUM(BS210:BS214)</f>
        <v>43420871.850000001</v>
      </c>
      <c r="BT215" s="1136">
        <f>SUM(BT210:BT214)</f>
        <v>0</v>
      </c>
      <c r="BU215" s="1136">
        <f>SUM(BU210:BU214)</f>
        <v>0</v>
      </c>
      <c r="BV215" s="1136">
        <f>SUM(BV210:BV214)</f>
        <v>43420871.850000001</v>
      </c>
      <c r="BW215" s="1073"/>
      <c r="CA215" s="1136">
        <f>SUM(CA210:CA214)</f>
        <v>43420871.850000001</v>
      </c>
      <c r="CB215" s="1136">
        <f>SUM(CB210:CB214)</f>
        <v>0</v>
      </c>
      <c r="CC215" s="1136">
        <f>SUM(CC210:CC214)</f>
        <v>0</v>
      </c>
      <c r="CD215" s="1136">
        <f>SUM(CD210:CD214)</f>
        <v>43420871.850000001</v>
      </c>
      <c r="CE215" s="1073"/>
      <c r="CI215" s="1136">
        <f>SUM(CI210:CI214)</f>
        <v>43420871.850000001</v>
      </c>
      <c r="CJ215" s="1136">
        <f>SUM(CJ210:CJ214)</f>
        <v>0</v>
      </c>
      <c r="CK215" s="1136">
        <f>SUM(CK210:CK214)</f>
        <v>0</v>
      </c>
      <c r="CL215" s="1136">
        <f>SUM(CL210:CL214)</f>
        <v>43420871.850000001</v>
      </c>
      <c r="CM215" s="1073"/>
      <c r="CQ215" s="1136">
        <f>SUM(CQ210:CQ214)</f>
        <v>43420871.850000001</v>
      </c>
      <c r="CR215" s="1136">
        <f>SUM(CR210:CR214)</f>
        <v>0</v>
      </c>
      <c r="CS215" s="1136">
        <f>SUM(CS210:CS214)</f>
        <v>0</v>
      </c>
      <c r="CT215" s="1136">
        <f>SUM(CT210:CT214)</f>
        <v>43420871.850000001</v>
      </c>
      <c r="CU215" s="1073"/>
      <c r="CY215" s="1136">
        <f>SUM(CY210:CY214)</f>
        <v>43420871.850000001</v>
      </c>
      <c r="CZ215" s="1136">
        <f>SUM(CZ210:CZ214)</f>
        <v>0</v>
      </c>
      <c r="DA215" s="1136">
        <f>SUM(DA210:DA214)</f>
        <v>0</v>
      </c>
      <c r="DB215" s="1136">
        <f>SUM(DB210:DB214)</f>
        <v>43420871.850000001</v>
      </c>
      <c r="DC215" s="1073"/>
      <c r="DG215" s="1136">
        <f>SUM(DG210:DG214)</f>
        <v>43420871.850000001</v>
      </c>
      <c r="DH215" s="1136">
        <f>SUM(DH210:DH214)</f>
        <v>0</v>
      </c>
      <c r="DI215" s="1136">
        <f>SUM(DI210:DI214)</f>
        <v>0</v>
      </c>
      <c r="DJ215" s="1136">
        <f>SUM(DJ210:DJ214)</f>
        <v>43420871.850000001</v>
      </c>
      <c r="DK215" s="1073"/>
      <c r="DO215" s="1136">
        <f>SUM(DO210:DO214)</f>
        <v>43420871.850000001</v>
      </c>
      <c r="DP215" s="1136">
        <f>SUM(DP210:DP214)</f>
        <v>0</v>
      </c>
      <c r="DQ215" s="1136">
        <f>SUM(DQ210:DQ214)</f>
        <v>0</v>
      </c>
      <c r="DR215" s="1136">
        <f>SUM(DR210:DR214)</f>
        <v>43420871.850000001</v>
      </c>
      <c r="DS215" s="1073"/>
      <c r="DW215" s="1136">
        <f>SUM(DW210:DW214)</f>
        <v>43420871.850000001</v>
      </c>
      <c r="DX215" s="1136">
        <f>SUM(DX210:DX214)</f>
        <v>0</v>
      </c>
      <c r="DY215" s="1136">
        <f>SUM(DY210:DY214)</f>
        <v>0</v>
      </c>
      <c r="DZ215" s="1136">
        <f>SUM(DZ210:DZ214)</f>
        <v>43420871.850000001</v>
      </c>
      <c r="EA215" s="1073"/>
      <c r="EE215" s="1136">
        <f>SUM(EE210:EE214)</f>
        <v>43420871.850000001</v>
      </c>
      <c r="EF215" s="1136">
        <f>SUM(EF210:EF214)</f>
        <v>0</v>
      </c>
      <c r="EG215" s="1136">
        <f>SUM(EG210:EG214)</f>
        <v>0</v>
      </c>
      <c r="EH215" s="1136">
        <f>SUM(EH210:EH214)</f>
        <v>43420871.850000001</v>
      </c>
      <c r="EI215" s="1073"/>
      <c r="EM215" s="1136">
        <f>SUM(EM210:EM214)</f>
        <v>43420871.850000001</v>
      </c>
      <c r="EN215" s="1136">
        <f>SUM(EN210:EN214)</f>
        <v>0</v>
      </c>
      <c r="EO215" s="1136">
        <f>SUM(EO210:EO214)</f>
        <v>0</v>
      </c>
      <c r="EP215" s="1136">
        <f>SUM(EP210:EP214)</f>
        <v>43420871.850000001</v>
      </c>
      <c r="EQ215" s="1073"/>
      <c r="EU215" s="1136">
        <f>SUM(EU210:EU214)</f>
        <v>43420871.850000001</v>
      </c>
      <c r="EV215" s="1136">
        <f>SUM(EV210:EV214)</f>
        <v>0</v>
      </c>
      <c r="EW215" s="1136">
        <f>SUM(EW210:EW214)</f>
        <v>0</v>
      </c>
      <c r="EX215" s="1136">
        <f>SUM(EX210:EX214)</f>
        <v>43420871.850000001</v>
      </c>
      <c r="EY215" s="1073"/>
      <c r="FC215" s="1136">
        <f>SUM(FC210:FC214)</f>
        <v>43420871.850000001</v>
      </c>
      <c r="FD215" s="1136">
        <f>SUM(FD210:FD214)</f>
        <v>0</v>
      </c>
      <c r="FE215" s="1136">
        <f>SUM(FE210:FE214)</f>
        <v>0</v>
      </c>
      <c r="FF215" s="1136">
        <f>SUM(FF210:FF214)</f>
        <v>43420871.850000001</v>
      </c>
      <c r="FG215" s="1073"/>
      <c r="FK215" s="1136">
        <f>SUM(FK210:FK214)</f>
        <v>43420871.850000001</v>
      </c>
      <c r="FL215" s="1136">
        <f>SUM(FL210:FL214)</f>
        <v>0</v>
      </c>
      <c r="FM215" s="1136">
        <f>SUM(FM210:FM214)</f>
        <v>0</v>
      </c>
      <c r="FN215" s="1136">
        <f>SUM(FN210:FN214)</f>
        <v>43420871.850000001</v>
      </c>
      <c r="FO215" s="1073"/>
    </row>
    <row r="216" spans="1:171">
      <c r="A216" s="1373"/>
      <c r="B216" s="10"/>
      <c r="C216" s="55"/>
      <c r="D216" s="196"/>
      <c r="E216" s="196"/>
      <c r="F216" s="196"/>
      <c r="G216" s="998"/>
      <c r="H216" s="56"/>
      <c r="I216" s="56"/>
      <c r="J216" s="1471"/>
      <c r="K216" s="903"/>
      <c r="O216" s="1079"/>
      <c r="S216" s="1073"/>
      <c r="W216" s="1079"/>
      <c r="AA216" s="1073"/>
      <c r="AE216" s="1079"/>
      <c r="AI216" s="1073"/>
      <c r="AM216" s="1079"/>
      <c r="AQ216" s="1073"/>
      <c r="AU216" s="1079"/>
      <c r="AY216" s="1073"/>
      <c r="BC216" s="1079"/>
      <c r="BG216" s="1073"/>
      <c r="BK216" s="1079"/>
      <c r="BO216" s="1073"/>
      <c r="BS216" s="1079"/>
      <c r="BW216" s="1073"/>
      <c r="CA216" s="1079"/>
      <c r="CE216" s="1073"/>
      <c r="CI216" s="1079"/>
      <c r="CM216" s="1073"/>
      <c r="CQ216" s="1079"/>
      <c r="CU216" s="1073"/>
      <c r="CY216" s="1079"/>
      <c r="DC216" s="1073"/>
      <c r="DG216" s="1079"/>
      <c r="DK216" s="1073"/>
      <c r="DO216" s="1079"/>
      <c r="DS216" s="1073"/>
      <c r="DW216" s="1079"/>
      <c r="EA216" s="1073"/>
      <c r="EE216" s="1079"/>
      <c r="EI216" s="1073"/>
      <c r="EM216" s="1079"/>
      <c r="EQ216" s="1073"/>
      <c r="EU216" s="1079"/>
      <c r="EY216" s="1073"/>
      <c r="FC216" s="1079"/>
      <c r="FG216" s="1073"/>
      <c r="FK216" s="1079"/>
      <c r="FO216" s="1073"/>
    </row>
    <row r="217" spans="1:171">
      <c r="A217" s="1362" t="s">
        <v>495</v>
      </c>
      <c r="B217" s="10"/>
      <c r="C217" s="55"/>
      <c r="D217" s="196"/>
      <c r="E217" s="10"/>
      <c r="F217" s="10"/>
      <c r="G217" s="989"/>
      <c r="H217" s="885"/>
      <c r="I217" s="885"/>
      <c r="J217" s="1436"/>
      <c r="K217" s="903"/>
      <c r="O217" s="1079"/>
      <c r="S217" s="1073"/>
      <c r="W217" s="1079"/>
      <c r="AA217" s="1073"/>
      <c r="AE217" s="1079"/>
      <c r="AI217" s="1073"/>
      <c r="AM217" s="1079"/>
      <c r="AQ217" s="1073"/>
      <c r="AU217" s="1079"/>
      <c r="AY217" s="1073"/>
      <c r="BC217" s="1079"/>
      <c r="BG217" s="1073"/>
      <c r="BK217" s="1079"/>
      <c r="BO217" s="1073"/>
      <c r="BS217" s="1079"/>
      <c r="BW217" s="1073"/>
      <c r="CA217" s="1079"/>
      <c r="CE217" s="1073"/>
      <c r="CI217" s="1079"/>
      <c r="CM217" s="1073"/>
      <c r="CQ217" s="1079"/>
      <c r="CU217" s="1073"/>
      <c r="CY217" s="1079"/>
      <c r="DC217" s="1073"/>
      <c r="DG217" s="1079"/>
      <c r="DK217" s="1073"/>
      <c r="DO217" s="1079"/>
      <c r="DS217" s="1073"/>
      <c r="DW217" s="1079"/>
      <c r="EA217" s="1073"/>
      <c r="EE217" s="1079"/>
      <c r="EI217" s="1073"/>
      <c r="EM217" s="1079"/>
      <c r="EQ217" s="1073"/>
      <c r="EU217" s="1079"/>
      <c r="EY217" s="1073"/>
      <c r="FC217" s="1079"/>
      <c r="FG217" s="1073"/>
      <c r="FK217" s="1079"/>
      <c r="FO217" s="1073"/>
    </row>
    <row r="218" spans="1:171">
      <c r="A218" s="1362"/>
      <c r="B218" s="990" t="s">
        <v>441</v>
      </c>
      <c r="C218" s="55"/>
      <c r="D218" s="196"/>
      <c r="E218" s="10"/>
      <c r="F218" s="10"/>
      <c r="G218" s="989"/>
      <c r="H218" s="885"/>
      <c r="I218" s="885"/>
      <c r="J218" s="1436"/>
      <c r="K218" s="903"/>
      <c r="O218" s="1079"/>
      <c r="S218" s="1073"/>
      <c r="W218" s="1079"/>
      <c r="AA218" s="1073"/>
      <c r="AE218" s="1079"/>
      <c r="AI218" s="1073"/>
      <c r="AM218" s="1079"/>
      <c r="AQ218" s="1073"/>
      <c r="AU218" s="1079"/>
      <c r="AY218" s="1073"/>
      <c r="BC218" s="1079"/>
      <c r="BG218" s="1073"/>
      <c r="BK218" s="1079"/>
      <c r="BO218" s="1073"/>
      <c r="BS218" s="1079"/>
      <c r="BW218" s="1073"/>
      <c r="CA218" s="1079"/>
      <c r="CE218" s="1073"/>
      <c r="CI218" s="1079"/>
      <c r="CM218" s="1073"/>
      <c r="CQ218" s="1079"/>
      <c r="CU218" s="1073"/>
      <c r="CY218" s="1079"/>
      <c r="DC218" s="1073"/>
      <c r="DG218" s="1079"/>
      <c r="DK218" s="1073"/>
      <c r="DO218" s="1079"/>
      <c r="DS218" s="1073"/>
      <c r="DW218" s="1079"/>
      <c r="EA218" s="1073"/>
      <c r="EE218" s="1079"/>
      <c r="EI218" s="1073"/>
      <c r="EM218" s="1079"/>
      <c r="EQ218" s="1073"/>
      <c r="EU218" s="1079"/>
      <c r="EY218" s="1073"/>
      <c r="FC218" s="1079"/>
      <c r="FG218" s="1073"/>
      <c r="FK218" s="1079"/>
      <c r="FO218" s="1073"/>
    </row>
    <row r="219" spans="1:171">
      <c r="A219" s="1423"/>
      <c r="B219" s="913" t="s">
        <v>163</v>
      </c>
      <c r="C219" s="888" t="s">
        <v>72</v>
      </c>
      <c r="D219" s="888">
        <v>920</v>
      </c>
      <c r="E219" s="182" t="str">
        <f>'Sch 3 - Expenses'!E59</f>
        <v>LABOR</v>
      </c>
      <c r="F219" s="889"/>
      <c r="G219" s="182">
        <f>'Sch 3 - Expenses'!G59</f>
        <v>32491999.100000001</v>
      </c>
      <c r="H219" s="182">
        <f>'Sch 3 - Expenses'!H59</f>
        <v>11894366.986961963</v>
      </c>
      <c r="I219" s="182">
        <f>'Sch 3 - Expenses'!I59</f>
        <v>0</v>
      </c>
      <c r="J219" s="1424">
        <f>'Sch 3 - Expenses'!J59</f>
        <v>20597632.113038037</v>
      </c>
      <c r="K219" s="903">
        <f t="shared" ref="K219:K234" si="548">IF($E219="DIRECT",0,1)</f>
        <v>1</v>
      </c>
      <c r="O219" s="1116">
        <f t="shared" ref="O219:O232" si="549">$G219</f>
        <v>32491999.100000001</v>
      </c>
      <c r="P219" s="1117">
        <f t="shared" ref="P219:P234" si="550">VLOOKUP($E219,O$442:R$453,2,FALSE)*O219*($K219)+IF($G219&lt;&gt;0,($H219/$G219)*O219,0)*(1-$K219)</f>
        <v>11894366.986961963</v>
      </c>
      <c r="Q219" s="1117">
        <f t="shared" ref="Q219:Q234" si="551">VLOOKUP($E219,O$442:R$453,3,FALSE)*O219*($K219)+IF($G219&lt;&gt;0,($I219/$G219)*O219,0)*(1-$K219)</f>
        <v>2492568.0737208417</v>
      </c>
      <c r="R219" s="1117">
        <f t="shared" ref="R219:R234" si="552">VLOOKUP($E219,O$442:R$453,4,FALSE)*O219*($K219)+(O219-P219-Q219)*(1-$K219)</f>
        <v>18105064.039317198</v>
      </c>
      <c r="S219" s="1073"/>
      <c r="W219" s="1116">
        <f t="shared" ref="W219:W232" si="553">$G219</f>
        <v>32491999.100000001</v>
      </c>
      <c r="X219" s="1117">
        <f t="shared" ref="X219:X232" si="554">VLOOKUP($E219,W$442:Z$453,2,FALSE)*W219*($K219)+IF($G219&lt;&gt;0,($H219/$G219)*W219,0)*(1-$K219)</f>
        <v>11894366.986961963</v>
      </c>
      <c r="Y219" s="1117">
        <f t="shared" ref="Y219:Y232" si="555">VLOOKUP($E219,W$442:Z$453,3,FALSE)*W219*($K219)+IF($G219&lt;&gt;0,($I219/$G219)*W219,0)*(1-$K219)</f>
        <v>2492568.0737208417</v>
      </c>
      <c r="Z219" s="1117">
        <f t="shared" ref="Z219:Z232" si="556">VLOOKUP($E219,W$442:Z$453,4,FALSE)*W219*($K219)+(W219-X219-Y219)*(1-$K219)</f>
        <v>18105064.039317198</v>
      </c>
      <c r="AA219" s="1073"/>
      <c r="AE219" s="1116">
        <f t="shared" ref="AE219:AE232" si="557">$G219</f>
        <v>32491999.100000001</v>
      </c>
      <c r="AF219" s="1117">
        <f t="shared" ref="AF219:AF232" si="558">VLOOKUP($E219,AE$442:AH$453,2,FALSE)*AE219*($K219)+IF($G219&lt;&gt;0,($H219/$G219)*AE219,0)*(1-$K219)</f>
        <v>11894366.986961963</v>
      </c>
      <c r="AG219" s="1117">
        <f t="shared" ref="AG219:AG232" si="559">VLOOKUP($E219,AE$442:AH$453,3,FALSE)*AE219*($K219)+IF($G219&lt;&gt;0,($I219/$G219)*AE219,0)*(1-$K219)</f>
        <v>2492568.0737208417</v>
      </c>
      <c r="AH219" s="1117">
        <f t="shared" ref="AH219:AH232" si="560">VLOOKUP($E219,AE$442:AH$453,4,FALSE)*AE219*($K219)+(AE219-AF219-AG219)*(1-$K219)</f>
        <v>18105064.039317198</v>
      </c>
      <c r="AI219" s="1073"/>
      <c r="AM219" s="1116">
        <f t="shared" ref="AM219:AM232" si="561">$G219</f>
        <v>32491999.100000001</v>
      </c>
      <c r="AN219" s="1117">
        <f t="shared" ref="AN219:AN232" si="562">VLOOKUP($E219,AM$442:AP$453,2,FALSE)*AM219*($K219)+IF($G219&lt;&gt;0,($H219/$G219)*AM219,0)*(1-$K219)</f>
        <v>11894366.986961963</v>
      </c>
      <c r="AO219" s="1117">
        <f t="shared" ref="AO219:AO232" si="563">VLOOKUP($E219,AM$442:AP$453,3,FALSE)*AM219*($K219)+IF($G219&lt;&gt;0,($I219/$G219)*AM219,0)*(1-$K219)</f>
        <v>2492568.0737208417</v>
      </c>
      <c r="AP219" s="1117">
        <f t="shared" ref="AP219:AP232" si="564">VLOOKUP($E219,AM$442:AP$453,4,FALSE)*AM219*($K219)+(AM219-AN219-AO219)*(1-$K219)</f>
        <v>18105064.039317198</v>
      </c>
      <c r="AQ219" s="1073"/>
      <c r="AU219" s="1116">
        <f t="shared" ref="AU219:AU232" si="565">$G219</f>
        <v>32491999.100000001</v>
      </c>
      <c r="AV219" s="1117">
        <f t="shared" ref="AV219:AV232" si="566">VLOOKUP($E219,AU$442:AX$453,2,FALSE)*AU219*($K219)+IF($G219&lt;&gt;0,($H219/$G219)*AU219,0)*(1-$K219)</f>
        <v>11894366.986961963</v>
      </c>
      <c r="AW219" s="1117">
        <f t="shared" ref="AW219:AW232" si="567">VLOOKUP($E219,AU$442:AX$453,3,FALSE)*AU219*($K219)+IF($G219&lt;&gt;0,($I219/$G219)*AU219,0)*(1-$K219)</f>
        <v>2492568.0737208417</v>
      </c>
      <c r="AX219" s="1117">
        <f t="shared" ref="AX219:AX232" si="568">VLOOKUP($E219,AU$442:AX$453,4,FALSE)*AU219*($K219)+(AU219-AV219-AW219)*(1-$K219)</f>
        <v>18105064.039317198</v>
      </c>
      <c r="AY219" s="1073"/>
      <c r="BC219" s="1116">
        <f t="shared" ref="BC219:BC232" si="569">$G219</f>
        <v>32491999.100000001</v>
      </c>
      <c r="BD219" s="1117">
        <f t="shared" ref="BD219:BD232" si="570">VLOOKUP($E219,BC$442:BF$453,2,FALSE)*BC219*($K219)+IF($G219&lt;&gt;0,($H219/$G219)*BC219,0)*(1-$K219)</f>
        <v>11894366.986961963</v>
      </c>
      <c r="BE219" s="1117">
        <f t="shared" ref="BE219:BE232" si="571">VLOOKUP($E219,BC$442:BF$453,3,FALSE)*BC219*($K219)+IF($G219&lt;&gt;0,($I219/$G219)*BC219,0)*(1-$K219)</f>
        <v>2492568.0737208417</v>
      </c>
      <c r="BF219" s="1117">
        <f t="shared" ref="BF219:BF232" si="572">VLOOKUP($E219,BC$442:BF$453,4,FALSE)*BC219*($K219)+(BC219-BD219-BE219)*(1-$K219)</f>
        <v>18105064.039317198</v>
      </c>
      <c r="BG219" s="1073"/>
      <c r="BK219" s="1116">
        <f t="shared" ref="BK219:BK232" si="573">$G219</f>
        <v>32491999.100000001</v>
      </c>
      <c r="BL219" s="1117">
        <f t="shared" ref="BL219:BL232" si="574">VLOOKUP($E219,BK$442:BN$453,2,FALSE)*BK219*($K219)+IF($G219&lt;&gt;0,($H219/$G219)*BK219,0)*(1-$K219)</f>
        <v>11894366.986961963</v>
      </c>
      <c r="BM219" s="1117">
        <f t="shared" ref="BM219:BM232" si="575">VLOOKUP($E219,BK$442:BN$453,3,FALSE)*BK219*($K219)+IF($G219&lt;&gt;0,($I219/$G219)*BK219,0)*(1-$K219)</f>
        <v>2492568.0737208417</v>
      </c>
      <c r="BN219" s="1117">
        <f t="shared" ref="BN219:BN232" si="576">VLOOKUP($E219,BK$442:BN$453,4,FALSE)*BK219*($K219)+(BK219-BL219-BM219)*(1-$K219)</f>
        <v>18105064.039317198</v>
      </c>
      <c r="BO219" s="1073"/>
      <c r="BS219" s="1116">
        <f t="shared" ref="BS219:BS232" si="577">$G219</f>
        <v>32491999.100000001</v>
      </c>
      <c r="BT219" s="1117">
        <f t="shared" ref="BT219:BT232" si="578">VLOOKUP($E219,BS$442:BV$453,2,FALSE)*BS219*($K219)+IF($G219&lt;&gt;0,($H219/$G219)*BS219,0)*(1-$K219)</f>
        <v>11894366.986961963</v>
      </c>
      <c r="BU219" s="1117">
        <f t="shared" ref="BU219:BU232" si="579">VLOOKUP($E219,BS$442:BV$453,3,FALSE)*BS219*($K219)+IF($G219&lt;&gt;0,($I219/$G219)*BS219,0)*(1-$K219)</f>
        <v>2492568.0737208417</v>
      </c>
      <c r="BV219" s="1117">
        <f t="shared" ref="BV219:BV232" si="580">VLOOKUP($E219,BS$442:BV$453,4,FALSE)*BS219*($K219)+(BS219-BT219-BU219)*(1-$K219)</f>
        <v>18105064.039317198</v>
      </c>
      <c r="BW219" s="1073"/>
      <c r="CA219" s="1116">
        <f t="shared" ref="CA219:CA232" si="581">$G219</f>
        <v>32491999.100000001</v>
      </c>
      <c r="CB219" s="1117">
        <f t="shared" ref="CB219:CB232" si="582">VLOOKUP($E219,CA$442:CD$453,2,FALSE)*CA219*($K219)+IF($G219&lt;&gt;0,($H219/$G219)*CA219,0)*(1-$K219)</f>
        <v>11894366.986961963</v>
      </c>
      <c r="CC219" s="1117">
        <f t="shared" ref="CC219:CC232" si="583">VLOOKUP($E219,CA$442:CD$453,3,FALSE)*CA219*($K219)+IF($G219&lt;&gt;0,($I219/$G219)*CA219,0)*(1-$K219)</f>
        <v>2492568.0737208417</v>
      </c>
      <c r="CD219" s="1117">
        <f t="shared" ref="CD219:CD232" si="584">VLOOKUP($E219,CA$442:CD$453,4,FALSE)*CA219*($K219)+(CA219-CB219-CC219)*(1-$K219)</f>
        <v>18105064.039317198</v>
      </c>
      <c r="CE219" s="1073"/>
      <c r="CI219" s="1116">
        <f t="shared" ref="CI219:CI232" si="585">$G219</f>
        <v>32491999.100000001</v>
      </c>
      <c r="CJ219" s="1117">
        <f t="shared" ref="CJ219:CJ232" si="586">VLOOKUP($E219,CI$442:CL$453,2,FALSE)*CI219*($K219)+IF($G219&lt;&gt;0,($H219/$G219)*CI219,0)*(1-$K219)</f>
        <v>11894366.986961963</v>
      </c>
      <c r="CK219" s="1117">
        <f t="shared" ref="CK219:CK232" si="587">VLOOKUP($E219,CI$442:CL$453,3,FALSE)*CI219*($K219)+IF($G219&lt;&gt;0,($I219/$G219)*CI219,0)*(1-$K219)</f>
        <v>2492568.0737208417</v>
      </c>
      <c r="CL219" s="1117">
        <f t="shared" ref="CL219:CL232" si="588">VLOOKUP($E219,CI$442:CL$453,4,FALSE)*CI219*($K219)+(CI219-CJ219-CK219)*(1-$K219)</f>
        <v>18105064.039317198</v>
      </c>
      <c r="CM219" s="1073"/>
      <c r="CQ219" s="1116">
        <f t="shared" ref="CQ219:CQ232" si="589">$G219</f>
        <v>32491999.100000001</v>
      </c>
      <c r="CR219" s="1117">
        <f t="shared" ref="CR219:CR232" si="590">VLOOKUP($E219,CQ$442:CT$453,2,FALSE)*CQ219*($K219)+IF($G219&lt;&gt;0,($H219/$G219)*CQ219,0)*(1-$K219)</f>
        <v>11894366.986961963</v>
      </c>
      <c r="CS219" s="1117">
        <f t="shared" ref="CS219:CS232" si="591">VLOOKUP($E219,CQ$442:CT$453,3,FALSE)*CQ219*($K219)+IF($G219&lt;&gt;0,($I219/$G219)*CQ219,0)*(1-$K219)</f>
        <v>2492568.0737208417</v>
      </c>
      <c r="CT219" s="1117">
        <f t="shared" ref="CT219:CT232" si="592">VLOOKUP($E219,CQ$442:CT$453,4,FALSE)*CQ219*($K219)+(CQ219-CR219-CS219)*(1-$K219)</f>
        <v>18105064.039317198</v>
      </c>
      <c r="CU219" s="1073"/>
      <c r="CY219" s="1116">
        <f t="shared" ref="CY219:CY232" si="593">$G219</f>
        <v>32491999.100000001</v>
      </c>
      <c r="CZ219" s="1117">
        <f t="shared" ref="CZ219:CZ232" si="594">VLOOKUP($E219,CY$442:DB$453,2,FALSE)*CY219*($K219)+IF($G219&lt;&gt;0,($H219/$G219)*CY219,0)*(1-$K219)</f>
        <v>11894366.986961963</v>
      </c>
      <c r="DA219" s="1117">
        <f t="shared" ref="DA219:DA232" si="595">VLOOKUP($E219,CY$442:DB$453,3,FALSE)*CY219*($K219)+IF($G219&lt;&gt;0,($I219/$G219)*CY219,0)*(1-$K219)</f>
        <v>2492568.0737208417</v>
      </c>
      <c r="DB219" s="1117">
        <f t="shared" ref="DB219:DB232" si="596">VLOOKUP($E219,CY$442:DB$453,4,FALSE)*CY219*($K219)+(CY219-CZ219-DA219)*(1-$K219)</f>
        <v>18105064.039317198</v>
      </c>
      <c r="DC219" s="1073"/>
      <c r="DG219" s="1116">
        <f t="shared" ref="DG219:DG232" si="597">$G219</f>
        <v>32491999.100000001</v>
      </c>
      <c r="DH219" s="1117">
        <f t="shared" ref="DH219:DH232" si="598">VLOOKUP($E219,DG$442:DJ$453,2,FALSE)*DG219*($K219)+IF($G219&lt;&gt;0,($H219/$G219)*DG219,0)*(1-$K219)</f>
        <v>11894366.986961963</v>
      </c>
      <c r="DI219" s="1117">
        <f t="shared" ref="DI219:DI232" si="599">VLOOKUP($E219,DG$442:DJ$453,3,FALSE)*DG219*($K219)+IF($G219&lt;&gt;0,($I219/$G219)*DG219,0)*(1-$K219)</f>
        <v>2492568.0737208417</v>
      </c>
      <c r="DJ219" s="1117">
        <f t="shared" ref="DJ219:DJ232" si="600">VLOOKUP($E219,DG$442:DJ$453,4,FALSE)*DG219*($K219)+(DG219-DH219-DI219)*(1-$K219)</f>
        <v>18105064.039317198</v>
      </c>
      <c r="DK219" s="1073"/>
      <c r="DO219" s="1116">
        <f t="shared" ref="DO219:DO232" si="601">$G219</f>
        <v>32491999.100000001</v>
      </c>
      <c r="DP219" s="1117">
        <f t="shared" ref="DP219:DP232" si="602">VLOOKUP($E219,DO$442:DR$453,2,FALSE)*DO219*($K219)+IF($G219&lt;&gt;0,($H219/$G219)*DO219,0)*(1-$K219)</f>
        <v>11894366.986961963</v>
      </c>
      <c r="DQ219" s="1117">
        <f t="shared" ref="DQ219:DQ232" si="603">VLOOKUP($E219,DO$442:DR$453,3,FALSE)*DO219*($K219)+IF($G219&lt;&gt;0,($I219/$G219)*DO219,0)*(1-$K219)</f>
        <v>2492568.0737208417</v>
      </c>
      <c r="DR219" s="1117">
        <f t="shared" ref="DR219:DR232" si="604">VLOOKUP($E219,DO$442:DR$453,4,FALSE)*DO219*($K219)+(DO219-DP219-DQ219)*(1-$K219)</f>
        <v>18105064.039317198</v>
      </c>
      <c r="DS219" s="1073"/>
      <c r="DW219" s="1116">
        <f t="shared" ref="DW219:DW232" si="605">$G219</f>
        <v>32491999.100000001</v>
      </c>
      <c r="DX219" s="1117">
        <f t="shared" ref="DX219:DX232" si="606">VLOOKUP($E219,DW$442:DZ$453,2,FALSE)*DW219*($K219)+IF($G219&lt;&gt;0,($H219/$G219)*DW219,0)*(1-$K219)</f>
        <v>11894366.986961963</v>
      </c>
      <c r="DY219" s="1117">
        <f t="shared" ref="DY219:DY232" si="607">VLOOKUP($E219,DW$442:DZ$453,3,FALSE)*DW219*($K219)+IF($G219&lt;&gt;0,($I219/$G219)*DW219,0)*(1-$K219)</f>
        <v>2492568.0737208417</v>
      </c>
      <c r="DZ219" s="1117">
        <f t="shared" ref="DZ219:DZ232" si="608">VLOOKUP($E219,DW$442:DZ$453,4,FALSE)*DW219*($K219)+(DW219-DX219-DY219)*(1-$K219)</f>
        <v>18105064.039317198</v>
      </c>
      <c r="EA219" s="1073"/>
      <c r="EE219" s="1116">
        <f t="shared" ref="EE219:EE232" si="609">$G219</f>
        <v>32491999.100000001</v>
      </c>
      <c r="EF219" s="1117">
        <f t="shared" ref="EF219:EF232" si="610">VLOOKUP($E219,EE$442:EH$453,2,FALSE)*EE219*($K219)+IF($G219&lt;&gt;0,($H219/$G219)*EE219,0)*(1-$K219)</f>
        <v>11894366.986961963</v>
      </c>
      <c r="EG219" s="1117">
        <f t="shared" ref="EG219:EG232" si="611">VLOOKUP($E219,EE$442:EH$453,3,FALSE)*EE219*($K219)+IF($G219&lt;&gt;0,($I219/$G219)*EE219,0)*(1-$K219)</f>
        <v>2492568.0737208417</v>
      </c>
      <c r="EH219" s="1117">
        <f t="shared" ref="EH219:EH232" si="612">VLOOKUP($E219,EE$442:EH$453,4,FALSE)*EE219*($K219)+(EE219-EF219-EG219)*(1-$K219)</f>
        <v>18105064.039317198</v>
      </c>
      <c r="EI219" s="1073"/>
      <c r="EM219" s="1116">
        <f t="shared" ref="EM219:EM232" si="613">$G219</f>
        <v>32491999.100000001</v>
      </c>
      <c r="EN219" s="1117">
        <f t="shared" ref="EN219:EN232" si="614">VLOOKUP($E219,EM$442:EP$453,2,FALSE)*EM219*($K219)+IF($G219&lt;&gt;0,($H219/$G219)*EM219,0)*(1-$K219)</f>
        <v>11894366.986961963</v>
      </c>
      <c r="EO219" s="1117">
        <f t="shared" ref="EO219:EO232" si="615">VLOOKUP($E219,EM$442:EP$453,3,FALSE)*EM219*($K219)+IF($G219&lt;&gt;0,($I219/$G219)*EM219,0)*(1-$K219)</f>
        <v>2492568.0737208417</v>
      </c>
      <c r="EP219" s="1117">
        <f t="shared" ref="EP219:EP232" si="616">VLOOKUP($E219,EM$442:EP$453,4,FALSE)*EM219*($K219)+(EM219-EN219-EO219)*(1-$K219)</f>
        <v>18105064.039317198</v>
      </c>
      <c r="EQ219" s="1073"/>
      <c r="EU219" s="1116">
        <f t="shared" ref="EU219:EU232" si="617">$G219</f>
        <v>32491999.100000001</v>
      </c>
      <c r="EV219" s="1117">
        <f t="shared" ref="EV219:EV232" si="618">VLOOKUP($E219,EU$442:EX$453,2,FALSE)*EU219*($K219)+IF($G219&lt;&gt;0,($H219/$G219)*EU219,0)*(1-$K219)</f>
        <v>11894366.986961963</v>
      </c>
      <c r="EW219" s="1117">
        <f t="shared" ref="EW219:EW232" si="619">VLOOKUP($E219,EU$442:EX$453,3,FALSE)*EU219*($K219)+IF($G219&lt;&gt;0,($I219/$G219)*EU219,0)*(1-$K219)</f>
        <v>2492568.0737208417</v>
      </c>
      <c r="EX219" s="1117">
        <f t="shared" ref="EX219:EX232" si="620">VLOOKUP($E219,EU$442:EX$453,4,FALSE)*EU219*($K219)+(EU219-EV219-EW219)*(1-$K219)</f>
        <v>18105064.039317198</v>
      </c>
      <c r="EY219" s="1073"/>
      <c r="FC219" s="1116">
        <f t="shared" ref="FC219:FC232" si="621">$G219</f>
        <v>32491999.100000001</v>
      </c>
      <c r="FD219" s="1117">
        <f t="shared" ref="FD219:FD232" si="622">VLOOKUP($E219,FC$442:FF$453,2,FALSE)*FC219*($K219)+IF($G219&lt;&gt;0,($H219/$G219)*FC219,0)*(1-$K219)</f>
        <v>11894366.986961963</v>
      </c>
      <c r="FE219" s="1117">
        <f t="shared" ref="FE219:FE232" si="623">VLOOKUP($E219,FC$442:FF$453,3,FALSE)*FC219*($K219)+IF($G219&lt;&gt;0,($I219/$G219)*FC219,0)*(1-$K219)</f>
        <v>2492568.0737208417</v>
      </c>
      <c r="FF219" s="1117">
        <f t="shared" ref="FF219:FF232" si="624">VLOOKUP($E219,FC$442:FF$453,4,FALSE)*FC219*($K219)+(FC219-FD219-FE219)*(1-$K219)</f>
        <v>18105064.039317198</v>
      </c>
      <c r="FG219" s="1073"/>
      <c r="FK219" s="1116">
        <f t="shared" ref="FK219:FK232" si="625">$G219</f>
        <v>32491999.100000001</v>
      </c>
      <c r="FL219" s="1117">
        <f t="shared" ref="FL219:FL232" si="626">VLOOKUP($E219,FK$442:FN$453,2,FALSE)*FK219*($K219)+IF($G219&lt;&gt;0,($H219/$G219)*FK219,0)*(1-$K219)</f>
        <v>11894366.986961963</v>
      </c>
      <c r="FM219" s="1117">
        <f t="shared" ref="FM219:FM232" si="627">VLOOKUP($E219,FK$442:FN$453,3,FALSE)*FK219*($K219)+IF($G219&lt;&gt;0,($I219/$G219)*FK219,0)*(1-$K219)</f>
        <v>2492568.0737208417</v>
      </c>
      <c r="FN219" s="1117">
        <f t="shared" ref="FN219:FN232" si="628">VLOOKUP($E219,FK$442:FN$453,4,FALSE)*FK219*($K219)+(FK219-FL219-FM219)*(1-$K219)</f>
        <v>18105064.039317198</v>
      </c>
      <c r="FO219" s="1073"/>
    </row>
    <row r="220" spans="1:171">
      <c r="A220" s="1423"/>
      <c r="B220" s="913" t="s">
        <v>164</v>
      </c>
      <c r="C220" s="888" t="s">
        <v>72</v>
      </c>
      <c r="D220" s="888">
        <v>921</v>
      </c>
      <c r="E220" s="182" t="str">
        <f>'Sch 3 - Expenses'!E60</f>
        <v>LABOR</v>
      </c>
      <c r="F220" s="889"/>
      <c r="G220" s="182">
        <f>'Sch 3 - Expenses'!G60</f>
        <v>3924957.88</v>
      </c>
      <c r="H220" s="182">
        <f>'Sch 3 - Expenses'!H60</f>
        <v>1436811.8529551544</v>
      </c>
      <c r="I220" s="182">
        <f>'Sch 3 - Expenses'!I60</f>
        <v>0</v>
      </c>
      <c r="J220" s="1424">
        <f>'Sch 3 - Expenses'!J60</f>
        <v>2488146.0270448453</v>
      </c>
      <c r="K220" s="903">
        <f t="shared" si="548"/>
        <v>1</v>
      </c>
      <c r="O220" s="1116">
        <f t="shared" si="549"/>
        <v>3924957.88</v>
      </c>
      <c r="P220" s="1117">
        <f t="shared" si="550"/>
        <v>1436811.8529551544</v>
      </c>
      <c r="Q220" s="1117">
        <f t="shared" si="551"/>
        <v>301096.42291560437</v>
      </c>
      <c r="R220" s="1117">
        <f t="shared" si="552"/>
        <v>2187049.6041292408</v>
      </c>
      <c r="S220" s="1073"/>
      <c r="W220" s="1116">
        <f t="shared" si="553"/>
        <v>3924957.88</v>
      </c>
      <c r="X220" s="1117">
        <f t="shared" si="554"/>
        <v>1436811.8529551544</v>
      </c>
      <c r="Y220" s="1117">
        <f t="shared" si="555"/>
        <v>301096.42291560437</v>
      </c>
      <c r="Z220" s="1117">
        <f t="shared" si="556"/>
        <v>2187049.6041292408</v>
      </c>
      <c r="AA220" s="1073"/>
      <c r="AE220" s="1116">
        <f t="shared" si="557"/>
        <v>3924957.88</v>
      </c>
      <c r="AF220" s="1117">
        <f t="shared" si="558"/>
        <v>1436811.8529551544</v>
      </c>
      <c r="AG220" s="1117">
        <f t="shared" si="559"/>
        <v>301096.42291560437</v>
      </c>
      <c r="AH220" s="1117">
        <f t="shared" si="560"/>
        <v>2187049.6041292408</v>
      </c>
      <c r="AI220" s="1073"/>
      <c r="AM220" s="1116">
        <f t="shared" si="561"/>
        <v>3924957.88</v>
      </c>
      <c r="AN220" s="1117">
        <f t="shared" si="562"/>
        <v>1436811.8529551544</v>
      </c>
      <c r="AO220" s="1117">
        <f t="shared" si="563"/>
        <v>301096.42291560437</v>
      </c>
      <c r="AP220" s="1117">
        <f t="shared" si="564"/>
        <v>2187049.6041292408</v>
      </c>
      <c r="AQ220" s="1073"/>
      <c r="AU220" s="1116">
        <f t="shared" si="565"/>
        <v>3924957.88</v>
      </c>
      <c r="AV220" s="1117">
        <f t="shared" si="566"/>
        <v>1436811.8529551544</v>
      </c>
      <c r="AW220" s="1117">
        <f t="shared" si="567"/>
        <v>301096.42291560437</v>
      </c>
      <c r="AX220" s="1117">
        <f t="shared" si="568"/>
        <v>2187049.6041292408</v>
      </c>
      <c r="AY220" s="1073"/>
      <c r="BC220" s="1116">
        <f t="shared" si="569"/>
        <v>3924957.88</v>
      </c>
      <c r="BD220" s="1117">
        <f t="shared" si="570"/>
        <v>1436811.8529551544</v>
      </c>
      <c r="BE220" s="1117">
        <f t="shared" si="571"/>
        <v>301096.42291560437</v>
      </c>
      <c r="BF220" s="1117">
        <f t="shared" si="572"/>
        <v>2187049.6041292408</v>
      </c>
      <c r="BG220" s="1073"/>
      <c r="BK220" s="1116">
        <f t="shared" si="573"/>
        <v>3924957.88</v>
      </c>
      <c r="BL220" s="1117">
        <f t="shared" si="574"/>
        <v>1436811.8529551544</v>
      </c>
      <c r="BM220" s="1117">
        <f t="shared" si="575"/>
        <v>301096.42291560437</v>
      </c>
      <c r="BN220" s="1117">
        <f t="shared" si="576"/>
        <v>2187049.6041292408</v>
      </c>
      <c r="BO220" s="1073"/>
      <c r="BS220" s="1116">
        <f t="shared" si="577"/>
        <v>3924957.88</v>
      </c>
      <c r="BT220" s="1117">
        <f t="shared" si="578"/>
        <v>1436811.8529551544</v>
      </c>
      <c r="BU220" s="1117">
        <f t="shared" si="579"/>
        <v>301096.42291560437</v>
      </c>
      <c r="BV220" s="1117">
        <f t="shared" si="580"/>
        <v>2187049.6041292408</v>
      </c>
      <c r="BW220" s="1073"/>
      <c r="CA220" s="1116">
        <f t="shared" si="581"/>
        <v>3924957.88</v>
      </c>
      <c r="CB220" s="1117">
        <f t="shared" si="582"/>
        <v>1436811.8529551544</v>
      </c>
      <c r="CC220" s="1117">
        <f t="shared" si="583"/>
        <v>301096.42291560437</v>
      </c>
      <c r="CD220" s="1117">
        <f t="shared" si="584"/>
        <v>2187049.6041292408</v>
      </c>
      <c r="CE220" s="1073"/>
      <c r="CI220" s="1116">
        <f t="shared" si="585"/>
        <v>3924957.88</v>
      </c>
      <c r="CJ220" s="1117">
        <f t="shared" si="586"/>
        <v>1436811.8529551544</v>
      </c>
      <c r="CK220" s="1117">
        <f t="shared" si="587"/>
        <v>301096.42291560437</v>
      </c>
      <c r="CL220" s="1117">
        <f t="shared" si="588"/>
        <v>2187049.6041292408</v>
      </c>
      <c r="CM220" s="1073"/>
      <c r="CQ220" s="1116">
        <f t="shared" si="589"/>
        <v>3924957.88</v>
      </c>
      <c r="CR220" s="1117">
        <f t="shared" si="590"/>
        <v>1436811.8529551544</v>
      </c>
      <c r="CS220" s="1117">
        <f t="shared" si="591"/>
        <v>301096.42291560437</v>
      </c>
      <c r="CT220" s="1117">
        <f t="shared" si="592"/>
        <v>2187049.6041292408</v>
      </c>
      <c r="CU220" s="1073"/>
      <c r="CY220" s="1116">
        <f t="shared" si="593"/>
        <v>3924957.88</v>
      </c>
      <c r="CZ220" s="1117">
        <f t="shared" si="594"/>
        <v>1436811.8529551544</v>
      </c>
      <c r="DA220" s="1117">
        <f t="shared" si="595"/>
        <v>301096.42291560437</v>
      </c>
      <c r="DB220" s="1117">
        <f t="shared" si="596"/>
        <v>2187049.6041292408</v>
      </c>
      <c r="DC220" s="1073"/>
      <c r="DG220" s="1116">
        <f t="shared" si="597"/>
        <v>3924957.88</v>
      </c>
      <c r="DH220" s="1117">
        <f t="shared" si="598"/>
        <v>1436811.8529551544</v>
      </c>
      <c r="DI220" s="1117">
        <f t="shared" si="599"/>
        <v>301096.42291560437</v>
      </c>
      <c r="DJ220" s="1117">
        <f t="shared" si="600"/>
        <v>2187049.6041292408</v>
      </c>
      <c r="DK220" s="1073"/>
      <c r="DO220" s="1116">
        <f t="shared" si="601"/>
        <v>3924957.88</v>
      </c>
      <c r="DP220" s="1117">
        <f t="shared" si="602"/>
        <v>1436811.8529551544</v>
      </c>
      <c r="DQ220" s="1117">
        <f t="shared" si="603"/>
        <v>301096.42291560437</v>
      </c>
      <c r="DR220" s="1117">
        <f t="shared" si="604"/>
        <v>2187049.6041292408</v>
      </c>
      <c r="DS220" s="1073"/>
      <c r="DW220" s="1116">
        <f t="shared" si="605"/>
        <v>3924957.88</v>
      </c>
      <c r="DX220" s="1117">
        <f t="shared" si="606"/>
        <v>1436811.8529551544</v>
      </c>
      <c r="DY220" s="1117">
        <f t="shared" si="607"/>
        <v>301096.42291560437</v>
      </c>
      <c r="DZ220" s="1117">
        <f t="shared" si="608"/>
        <v>2187049.6041292408</v>
      </c>
      <c r="EA220" s="1073"/>
      <c r="EE220" s="1116">
        <f t="shared" si="609"/>
        <v>3924957.88</v>
      </c>
      <c r="EF220" s="1117">
        <f t="shared" si="610"/>
        <v>1436811.8529551544</v>
      </c>
      <c r="EG220" s="1117">
        <f t="shared" si="611"/>
        <v>301096.42291560437</v>
      </c>
      <c r="EH220" s="1117">
        <f t="shared" si="612"/>
        <v>2187049.6041292408</v>
      </c>
      <c r="EI220" s="1073"/>
      <c r="EM220" s="1116">
        <f t="shared" si="613"/>
        <v>3924957.88</v>
      </c>
      <c r="EN220" s="1117">
        <f t="shared" si="614"/>
        <v>1436811.8529551544</v>
      </c>
      <c r="EO220" s="1117">
        <f t="shared" si="615"/>
        <v>301096.42291560437</v>
      </c>
      <c r="EP220" s="1117">
        <f t="shared" si="616"/>
        <v>2187049.6041292408</v>
      </c>
      <c r="EQ220" s="1073"/>
      <c r="EU220" s="1116">
        <f t="shared" si="617"/>
        <v>3924957.88</v>
      </c>
      <c r="EV220" s="1117">
        <f t="shared" si="618"/>
        <v>1436811.8529551544</v>
      </c>
      <c r="EW220" s="1117">
        <f t="shared" si="619"/>
        <v>301096.42291560437</v>
      </c>
      <c r="EX220" s="1117">
        <f t="shared" si="620"/>
        <v>2187049.6041292408</v>
      </c>
      <c r="EY220" s="1073"/>
      <c r="FC220" s="1116">
        <f t="shared" si="621"/>
        <v>3924957.88</v>
      </c>
      <c r="FD220" s="1117">
        <f t="shared" si="622"/>
        <v>1436811.8529551544</v>
      </c>
      <c r="FE220" s="1117">
        <f t="shared" si="623"/>
        <v>301096.42291560437</v>
      </c>
      <c r="FF220" s="1117">
        <f t="shared" si="624"/>
        <v>2187049.6041292408</v>
      </c>
      <c r="FG220" s="1073"/>
      <c r="FK220" s="1116">
        <f t="shared" si="625"/>
        <v>3924957.88</v>
      </c>
      <c r="FL220" s="1117">
        <f t="shared" si="626"/>
        <v>1436811.8529551544</v>
      </c>
      <c r="FM220" s="1117">
        <f t="shared" si="627"/>
        <v>301096.42291560437</v>
      </c>
      <c r="FN220" s="1117">
        <f t="shared" si="628"/>
        <v>2187049.6041292408</v>
      </c>
      <c r="FO220" s="1073"/>
    </row>
    <row r="221" spans="1:171">
      <c r="A221" s="1423"/>
      <c r="B221" s="913" t="s">
        <v>165</v>
      </c>
      <c r="C221" s="888" t="s">
        <v>72</v>
      </c>
      <c r="D221" s="888">
        <v>922</v>
      </c>
      <c r="E221" s="182" t="str">
        <f>'Sch 3 - Expenses'!E61</f>
        <v>LABOR</v>
      </c>
      <c r="F221" s="889"/>
      <c r="G221" s="182">
        <f>'Sch 3 - Expenses'!G61</f>
        <v>114021.94</v>
      </c>
      <c r="H221" s="182">
        <f>'Sch 3 - Expenses'!H61</f>
        <v>41740.084836003756</v>
      </c>
      <c r="I221" s="182">
        <f>'Sch 3 - Expenses'!I61</f>
        <v>0</v>
      </c>
      <c r="J221" s="1424">
        <f>'Sch 3 - Expenses'!J61</f>
        <v>72281.855163996253</v>
      </c>
      <c r="K221" s="903">
        <f t="shared" si="548"/>
        <v>1</v>
      </c>
      <c r="O221" s="1116">
        <f t="shared" si="549"/>
        <v>114021.94</v>
      </c>
      <c r="P221" s="1117">
        <f t="shared" si="550"/>
        <v>41740.084836003756</v>
      </c>
      <c r="Q221" s="1117">
        <f t="shared" si="551"/>
        <v>8746.9978831715944</v>
      </c>
      <c r="R221" s="1117">
        <f t="shared" si="552"/>
        <v>63534.857280824654</v>
      </c>
      <c r="S221" s="1073"/>
      <c r="W221" s="1116">
        <f t="shared" si="553"/>
        <v>114021.94</v>
      </c>
      <c r="X221" s="1117">
        <f t="shared" si="554"/>
        <v>41740.084836003756</v>
      </c>
      <c r="Y221" s="1117">
        <f t="shared" si="555"/>
        <v>8746.9978831715944</v>
      </c>
      <c r="Z221" s="1117">
        <f t="shared" si="556"/>
        <v>63534.857280824654</v>
      </c>
      <c r="AA221" s="1073"/>
      <c r="AE221" s="1116">
        <f t="shared" si="557"/>
        <v>114021.94</v>
      </c>
      <c r="AF221" s="1117">
        <f t="shared" si="558"/>
        <v>41740.084836003756</v>
      </c>
      <c r="AG221" s="1117">
        <f t="shared" si="559"/>
        <v>8746.9978831715944</v>
      </c>
      <c r="AH221" s="1117">
        <f t="shared" si="560"/>
        <v>63534.857280824654</v>
      </c>
      <c r="AI221" s="1073"/>
      <c r="AM221" s="1116">
        <f t="shared" si="561"/>
        <v>114021.94</v>
      </c>
      <c r="AN221" s="1117">
        <f t="shared" si="562"/>
        <v>41740.084836003756</v>
      </c>
      <c r="AO221" s="1117">
        <f t="shared" si="563"/>
        <v>8746.9978831715944</v>
      </c>
      <c r="AP221" s="1117">
        <f t="shared" si="564"/>
        <v>63534.857280824654</v>
      </c>
      <c r="AQ221" s="1073"/>
      <c r="AU221" s="1116">
        <f t="shared" si="565"/>
        <v>114021.94</v>
      </c>
      <c r="AV221" s="1117">
        <f t="shared" si="566"/>
        <v>41740.084836003756</v>
      </c>
      <c r="AW221" s="1117">
        <f t="shared" si="567"/>
        <v>8746.9978831715944</v>
      </c>
      <c r="AX221" s="1117">
        <f t="shared" si="568"/>
        <v>63534.857280824654</v>
      </c>
      <c r="AY221" s="1073"/>
      <c r="BC221" s="1116">
        <f t="shared" si="569"/>
        <v>114021.94</v>
      </c>
      <c r="BD221" s="1117">
        <f t="shared" si="570"/>
        <v>41740.084836003756</v>
      </c>
      <c r="BE221" s="1117">
        <f t="shared" si="571"/>
        <v>8746.9978831715944</v>
      </c>
      <c r="BF221" s="1117">
        <f t="shared" si="572"/>
        <v>63534.857280824654</v>
      </c>
      <c r="BG221" s="1073"/>
      <c r="BK221" s="1116">
        <f t="shared" si="573"/>
        <v>114021.94</v>
      </c>
      <c r="BL221" s="1117">
        <f t="shared" si="574"/>
        <v>41740.084836003756</v>
      </c>
      <c r="BM221" s="1117">
        <f t="shared" si="575"/>
        <v>8746.9978831715944</v>
      </c>
      <c r="BN221" s="1117">
        <f t="shared" si="576"/>
        <v>63534.857280824654</v>
      </c>
      <c r="BO221" s="1073"/>
      <c r="BS221" s="1116">
        <f t="shared" si="577"/>
        <v>114021.94</v>
      </c>
      <c r="BT221" s="1117">
        <f t="shared" si="578"/>
        <v>41740.084836003756</v>
      </c>
      <c r="BU221" s="1117">
        <f t="shared" si="579"/>
        <v>8746.9978831715944</v>
      </c>
      <c r="BV221" s="1117">
        <f t="shared" si="580"/>
        <v>63534.857280824654</v>
      </c>
      <c r="BW221" s="1073"/>
      <c r="CA221" s="1116">
        <f t="shared" si="581"/>
        <v>114021.94</v>
      </c>
      <c r="CB221" s="1117">
        <f t="shared" si="582"/>
        <v>41740.084836003756</v>
      </c>
      <c r="CC221" s="1117">
        <f t="shared" si="583"/>
        <v>8746.9978831715944</v>
      </c>
      <c r="CD221" s="1117">
        <f t="shared" si="584"/>
        <v>63534.857280824654</v>
      </c>
      <c r="CE221" s="1073"/>
      <c r="CI221" s="1116">
        <f t="shared" si="585"/>
        <v>114021.94</v>
      </c>
      <c r="CJ221" s="1117">
        <f t="shared" si="586"/>
        <v>41740.084836003756</v>
      </c>
      <c r="CK221" s="1117">
        <f t="shared" si="587"/>
        <v>8746.9978831715944</v>
      </c>
      <c r="CL221" s="1117">
        <f t="shared" si="588"/>
        <v>63534.857280824654</v>
      </c>
      <c r="CM221" s="1073"/>
      <c r="CQ221" s="1116">
        <f t="shared" si="589"/>
        <v>114021.94</v>
      </c>
      <c r="CR221" s="1117">
        <f t="shared" si="590"/>
        <v>41740.084836003756</v>
      </c>
      <c r="CS221" s="1117">
        <f t="shared" si="591"/>
        <v>8746.9978831715944</v>
      </c>
      <c r="CT221" s="1117">
        <f t="shared" si="592"/>
        <v>63534.857280824654</v>
      </c>
      <c r="CU221" s="1073"/>
      <c r="CY221" s="1116">
        <f t="shared" si="593"/>
        <v>114021.94</v>
      </c>
      <c r="CZ221" s="1117">
        <f t="shared" si="594"/>
        <v>41740.084836003756</v>
      </c>
      <c r="DA221" s="1117">
        <f t="shared" si="595"/>
        <v>8746.9978831715944</v>
      </c>
      <c r="DB221" s="1117">
        <f t="shared" si="596"/>
        <v>63534.857280824654</v>
      </c>
      <c r="DC221" s="1073"/>
      <c r="DG221" s="1116">
        <f t="shared" si="597"/>
        <v>114021.94</v>
      </c>
      <c r="DH221" s="1117">
        <f t="shared" si="598"/>
        <v>41740.084836003756</v>
      </c>
      <c r="DI221" s="1117">
        <f t="shared" si="599"/>
        <v>8746.9978831715944</v>
      </c>
      <c r="DJ221" s="1117">
        <f t="shared" si="600"/>
        <v>63534.857280824654</v>
      </c>
      <c r="DK221" s="1073"/>
      <c r="DO221" s="1116">
        <f t="shared" si="601"/>
        <v>114021.94</v>
      </c>
      <c r="DP221" s="1117">
        <f t="shared" si="602"/>
        <v>41740.084836003756</v>
      </c>
      <c r="DQ221" s="1117">
        <f t="shared" si="603"/>
        <v>8746.9978831715944</v>
      </c>
      <c r="DR221" s="1117">
        <f t="shared" si="604"/>
        <v>63534.857280824654</v>
      </c>
      <c r="DS221" s="1073"/>
      <c r="DW221" s="1116">
        <f t="shared" si="605"/>
        <v>114021.94</v>
      </c>
      <c r="DX221" s="1117">
        <f t="shared" si="606"/>
        <v>41740.084836003756</v>
      </c>
      <c r="DY221" s="1117">
        <f t="shared" si="607"/>
        <v>8746.9978831715944</v>
      </c>
      <c r="DZ221" s="1117">
        <f t="shared" si="608"/>
        <v>63534.857280824654</v>
      </c>
      <c r="EA221" s="1073"/>
      <c r="EE221" s="1116">
        <f t="shared" si="609"/>
        <v>114021.94</v>
      </c>
      <c r="EF221" s="1117">
        <f t="shared" si="610"/>
        <v>41740.084836003756</v>
      </c>
      <c r="EG221" s="1117">
        <f t="shared" si="611"/>
        <v>8746.9978831715944</v>
      </c>
      <c r="EH221" s="1117">
        <f t="shared" si="612"/>
        <v>63534.857280824654</v>
      </c>
      <c r="EI221" s="1073"/>
      <c r="EM221" s="1116">
        <f t="shared" si="613"/>
        <v>114021.94</v>
      </c>
      <c r="EN221" s="1117">
        <f t="shared" si="614"/>
        <v>41740.084836003756</v>
      </c>
      <c r="EO221" s="1117">
        <f t="shared" si="615"/>
        <v>8746.9978831715944</v>
      </c>
      <c r="EP221" s="1117">
        <f t="shared" si="616"/>
        <v>63534.857280824654</v>
      </c>
      <c r="EQ221" s="1073"/>
      <c r="EU221" s="1116">
        <f t="shared" si="617"/>
        <v>114021.94</v>
      </c>
      <c r="EV221" s="1117">
        <f t="shared" si="618"/>
        <v>41740.084836003756</v>
      </c>
      <c r="EW221" s="1117">
        <f t="shared" si="619"/>
        <v>8746.9978831715944</v>
      </c>
      <c r="EX221" s="1117">
        <f t="shared" si="620"/>
        <v>63534.857280824654</v>
      </c>
      <c r="EY221" s="1073"/>
      <c r="FC221" s="1116">
        <f t="shared" si="621"/>
        <v>114021.94</v>
      </c>
      <c r="FD221" s="1117">
        <f t="shared" si="622"/>
        <v>41740.084836003756</v>
      </c>
      <c r="FE221" s="1117">
        <f t="shared" si="623"/>
        <v>8746.9978831715944</v>
      </c>
      <c r="FF221" s="1117">
        <f t="shared" si="624"/>
        <v>63534.857280824654</v>
      </c>
      <c r="FG221" s="1073"/>
      <c r="FK221" s="1116">
        <f t="shared" si="625"/>
        <v>114021.94</v>
      </c>
      <c r="FL221" s="1117">
        <f t="shared" si="626"/>
        <v>41740.084836003756</v>
      </c>
      <c r="FM221" s="1117">
        <f t="shared" si="627"/>
        <v>8746.9978831715944</v>
      </c>
      <c r="FN221" s="1117">
        <f t="shared" si="628"/>
        <v>63534.857280824654</v>
      </c>
      <c r="FO221" s="1073"/>
    </row>
    <row r="222" spans="1:171">
      <c r="A222" s="1423"/>
      <c r="B222" s="913" t="s">
        <v>166</v>
      </c>
      <c r="C222" s="888" t="s">
        <v>72</v>
      </c>
      <c r="D222" s="888">
        <v>923</v>
      </c>
      <c r="E222" s="182" t="str">
        <f>'Sch 3 - Expenses'!E62</f>
        <v>LABOR</v>
      </c>
      <c r="F222" s="889"/>
      <c r="G222" s="182">
        <f>'Sch 3 - Expenses'!G62</f>
        <v>14933868.609999999</v>
      </c>
      <c r="H222" s="182">
        <f>'Sch 3 - Expenses'!H62</f>
        <v>5466850.8772183098</v>
      </c>
      <c r="I222" s="182">
        <f>'Sch 3 - Expenses'!I62</f>
        <v>0</v>
      </c>
      <c r="J222" s="1424">
        <f>'Sch 3 - Expenses'!J62</f>
        <v>9467017.7327816896</v>
      </c>
      <c r="K222" s="903">
        <f t="shared" si="548"/>
        <v>1</v>
      </c>
      <c r="O222" s="1116">
        <f t="shared" si="549"/>
        <v>14933868.609999999</v>
      </c>
      <c r="P222" s="1117">
        <f t="shared" si="550"/>
        <v>5466850.8772183098</v>
      </c>
      <c r="Q222" s="1117">
        <f t="shared" si="551"/>
        <v>1145626.1586080075</v>
      </c>
      <c r="R222" s="1117">
        <f t="shared" si="552"/>
        <v>8321391.5741736824</v>
      </c>
      <c r="S222" s="1073"/>
      <c r="W222" s="1116">
        <f t="shared" si="553"/>
        <v>14933868.609999999</v>
      </c>
      <c r="X222" s="1117">
        <f t="shared" si="554"/>
        <v>5466850.8772183098</v>
      </c>
      <c r="Y222" s="1117">
        <f t="shared" si="555"/>
        <v>1145626.1586080075</v>
      </c>
      <c r="Z222" s="1117">
        <f t="shared" si="556"/>
        <v>8321391.5741736824</v>
      </c>
      <c r="AA222" s="1073"/>
      <c r="AE222" s="1116">
        <f t="shared" si="557"/>
        <v>14933868.609999999</v>
      </c>
      <c r="AF222" s="1117">
        <f t="shared" si="558"/>
        <v>5466850.8772183098</v>
      </c>
      <c r="AG222" s="1117">
        <f t="shared" si="559"/>
        <v>1145626.1586080075</v>
      </c>
      <c r="AH222" s="1117">
        <f t="shared" si="560"/>
        <v>8321391.5741736824</v>
      </c>
      <c r="AI222" s="1073"/>
      <c r="AM222" s="1116">
        <f t="shared" si="561"/>
        <v>14933868.609999999</v>
      </c>
      <c r="AN222" s="1117">
        <f t="shared" si="562"/>
        <v>5466850.8772183098</v>
      </c>
      <c r="AO222" s="1117">
        <f t="shared" si="563"/>
        <v>1145626.1586080075</v>
      </c>
      <c r="AP222" s="1117">
        <f t="shared" si="564"/>
        <v>8321391.5741736824</v>
      </c>
      <c r="AQ222" s="1073"/>
      <c r="AU222" s="1116">
        <f t="shared" si="565"/>
        <v>14933868.609999999</v>
      </c>
      <c r="AV222" s="1117">
        <f t="shared" si="566"/>
        <v>5466850.8772183098</v>
      </c>
      <c r="AW222" s="1117">
        <f t="shared" si="567"/>
        <v>1145626.1586080075</v>
      </c>
      <c r="AX222" s="1117">
        <f t="shared" si="568"/>
        <v>8321391.5741736824</v>
      </c>
      <c r="AY222" s="1073"/>
      <c r="BC222" s="1116">
        <f t="shared" si="569"/>
        <v>14933868.609999999</v>
      </c>
      <c r="BD222" s="1117">
        <f t="shared" si="570"/>
        <v>5466850.8772183098</v>
      </c>
      <c r="BE222" s="1117">
        <f t="shared" si="571"/>
        <v>1145626.1586080075</v>
      </c>
      <c r="BF222" s="1117">
        <f t="shared" si="572"/>
        <v>8321391.5741736824</v>
      </c>
      <c r="BG222" s="1073"/>
      <c r="BK222" s="1116">
        <f t="shared" si="573"/>
        <v>14933868.609999999</v>
      </c>
      <c r="BL222" s="1117">
        <f t="shared" si="574"/>
        <v>5466850.8772183098</v>
      </c>
      <c r="BM222" s="1117">
        <f t="shared" si="575"/>
        <v>1145626.1586080075</v>
      </c>
      <c r="BN222" s="1117">
        <f t="shared" si="576"/>
        <v>8321391.5741736824</v>
      </c>
      <c r="BO222" s="1073"/>
      <c r="BS222" s="1116">
        <f t="shared" si="577"/>
        <v>14933868.609999999</v>
      </c>
      <c r="BT222" s="1117">
        <f t="shared" si="578"/>
        <v>5466850.8772183098</v>
      </c>
      <c r="BU222" s="1117">
        <f t="shared" si="579"/>
        <v>1145626.1586080075</v>
      </c>
      <c r="BV222" s="1117">
        <f t="shared" si="580"/>
        <v>8321391.5741736824</v>
      </c>
      <c r="BW222" s="1073"/>
      <c r="CA222" s="1116">
        <f t="shared" si="581"/>
        <v>14933868.609999999</v>
      </c>
      <c r="CB222" s="1117">
        <f t="shared" si="582"/>
        <v>5466850.8772183098</v>
      </c>
      <c r="CC222" s="1117">
        <f t="shared" si="583"/>
        <v>1145626.1586080075</v>
      </c>
      <c r="CD222" s="1117">
        <f t="shared" si="584"/>
        <v>8321391.5741736824</v>
      </c>
      <c r="CE222" s="1073"/>
      <c r="CI222" s="1116">
        <f t="shared" si="585"/>
        <v>14933868.609999999</v>
      </c>
      <c r="CJ222" s="1117">
        <f t="shared" si="586"/>
        <v>5466850.8772183098</v>
      </c>
      <c r="CK222" s="1117">
        <f t="shared" si="587"/>
        <v>1145626.1586080075</v>
      </c>
      <c r="CL222" s="1117">
        <f t="shared" si="588"/>
        <v>8321391.5741736824</v>
      </c>
      <c r="CM222" s="1073"/>
      <c r="CQ222" s="1116">
        <f t="shared" si="589"/>
        <v>14933868.609999999</v>
      </c>
      <c r="CR222" s="1117">
        <f t="shared" si="590"/>
        <v>5466850.8772183098</v>
      </c>
      <c r="CS222" s="1117">
        <f t="shared" si="591"/>
        <v>1145626.1586080075</v>
      </c>
      <c r="CT222" s="1117">
        <f t="shared" si="592"/>
        <v>8321391.5741736824</v>
      </c>
      <c r="CU222" s="1073"/>
      <c r="CY222" s="1116">
        <f t="shared" si="593"/>
        <v>14933868.609999999</v>
      </c>
      <c r="CZ222" s="1117">
        <f t="shared" si="594"/>
        <v>5466850.8772183098</v>
      </c>
      <c r="DA222" s="1117">
        <f t="shared" si="595"/>
        <v>1145626.1586080075</v>
      </c>
      <c r="DB222" s="1117">
        <f t="shared" si="596"/>
        <v>8321391.5741736824</v>
      </c>
      <c r="DC222" s="1073"/>
      <c r="DG222" s="1116">
        <f t="shared" si="597"/>
        <v>14933868.609999999</v>
      </c>
      <c r="DH222" s="1117">
        <f t="shared" si="598"/>
        <v>5466850.8772183098</v>
      </c>
      <c r="DI222" s="1117">
        <f t="shared" si="599"/>
        <v>1145626.1586080075</v>
      </c>
      <c r="DJ222" s="1117">
        <f t="shared" si="600"/>
        <v>8321391.5741736824</v>
      </c>
      <c r="DK222" s="1073"/>
      <c r="DO222" s="1116">
        <f t="shared" si="601"/>
        <v>14933868.609999999</v>
      </c>
      <c r="DP222" s="1117">
        <f t="shared" si="602"/>
        <v>5466850.8772183098</v>
      </c>
      <c r="DQ222" s="1117">
        <f t="shared" si="603"/>
        <v>1145626.1586080075</v>
      </c>
      <c r="DR222" s="1117">
        <f t="shared" si="604"/>
        <v>8321391.5741736824</v>
      </c>
      <c r="DS222" s="1073"/>
      <c r="DW222" s="1116">
        <f t="shared" si="605"/>
        <v>14933868.609999999</v>
      </c>
      <c r="DX222" s="1117">
        <f t="shared" si="606"/>
        <v>5466850.8772183098</v>
      </c>
      <c r="DY222" s="1117">
        <f t="shared" si="607"/>
        <v>1145626.1586080075</v>
      </c>
      <c r="DZ222" s="1117">
        <f t="shared" si="608"/>
        <v>8321391.5741736824</v>
      </c>
      <c r="EA222" s="1073"/>
      <c r="EE222" s="1116">
        <f t="shared" si="609"/>
        <v>14933868.609999999</v>
      </c>
      <c r="EF222" s="1117">
        <f t="shared" si="610"/>
        <v>5466850.8772183098</v>
      </c>
      <c r="EG222" s="1117">
        <f t="shared" si="611"/>
        <v>1145626.1586080075</v>
      </c>
      <c r="EH222" s="1117">
        <f t="shared" si="612"/>
        <v>8321391.5741736824</v>
      </c>
      <c r="EI222" s="1073"/>
      <c r="EM222" s="1116">
        <f t="shared" si="613"/>
        <v>14933868.609999999</v>
      </c>
      <c r="EN222" s="1117">
        <f t="shared" si="614"/>
        <v>5466850.8772183098</v>
      </c>
      <c r="EO222" s="1117">
        <f t="shared" si="615"/>
        <v>1145626.1586080075</v>
      </c>
      <c r="EP222" s="1117">
        <f t="shared" si="616"/>
        <v>8321391.5741736824</v>
      </c>
      <c r="EQ222" s="1073"/>
      <c r="EU222" s="1116">
        <f t="shared" si="617"/>
        <v>14933868.609999999</v>
      </c>
      <c r="EV222" s="1117">
        <f t="shared" si="618"/>
        <v>5466850.8772183098</v>
      </c>
      <c r="EW222" s="1117">
        <f t="shared" si="619"/>
        <v>1145626.1586080075</v>
      </c>
      <c r="EX222" s="1117">
        <f t="shared" si="620"/>
        <v>8321391.5741736824</v>
      </c>
      <c r="EY222" s="1073"/>
      <c r="FC222" s="1116">
        <f t="shared" si="621"/>
        <v>14933868.609999999</v>
      </c>
      <c r="FD222" s="1117">
        <f t="shared" si="622"/>
        <v>5466850.8772183098</v>
      </c>
      <c r="FE222" s="1117">
        <f t="shared" si="623"/>
        <v>1145626.1586080075</v>
      </c>
      <c r="FF222" s="1117">
        <f t="shared" si="624"/>
        <v>8321391.5741736824</v>
      </c>
      <c r="FG222" s="1073"/>
      <c r="FK222" s="1116">
        <f t="shared" si="625"/>
        <v>14933868.609999999</v>
      </c>
      <c r="FL222" s="1117">
        <f t="shared" si="626"/>
        <v>5466850.8772183098</v>
      </c>
      <c r="FM222" s="1117">
        <f t="shared" si="627"/>
        <v>1145626.1586080075</v>
      </c>
      <c r="FN222" s="1117">
        <f t="shared" si="628"/>
        <v>8321391.5741736824</v>
      </c>
      <c r="FO222" s="1073"/>
    </row>
    <row r="223" spans="1:171">
      <c r="A223" s="1444">
        <v>94000</v>
      </c>
      <c r="B223" s="913" t="s">
        <v>167</v>
      </c>
      <c r="C223" s="888" t="s">
        <v>72</v>
      </c>
      <c r="D223" s="888">
        <v>924</v>
      </c>
      <c r="E223" s="182" t="str">
        <f>'Sch 3 - Expenses'!E63</f>
        <v>PTDG</v>
      </c>
      <c r="F223" s="889"/>
      <c r="G223" s="182">
        <f>'Sch 3 - Expenses'!G63</f>
        <v>2806700.76</v>
      </c>
      <c r="H223" s="182">
        <f>'Sch 3 - Expenses'!H63</f>
        <v>893155.9014630107</v>
      </c>
      <c r="I223" s="182">
        <f>'Sch 3 - Expenses'!I63</f>
        <v>0</v>
      </c>
      <c r="J223" s="1424">
        <f>'Sch 3 - Expenses'!J63</f>
        <v>1913544.8582485989</v>
      </c>
      <c r="K223" s="903">
        <f t="shared" si="548"/>
        <v>1</v>
      </c>
      <c r="N223" s="1161">
        <f>VLOOKUP($A223,'New Resources - Group'!$A$4:$Y$133,N$2,FALSE)*N$1</f>
        <v>0</v>
      </c>
      <c r="O223" s="1116">
        <f>$G223+N223</f>
        <v>2806700.76</v>
      </c>
      <c r="P223" s="1117">
        <f t="shared" si="550"/>
        <v>893155.9014630107</v>
      </c>
      <c r="Q223" s="1117">
        <f t="shared" si="551"/>
        <v>577279.95080004726</v>
      </c>
      <c r="R223" s="1117">
        <f t="shared" si="552"/>
        <v>1336264.9077369422</v>
      </c>
      <c r="S223" s="1073"/>
      <c r="V223" s="1161">
        <f>VLOOKUP($A223,'New Resources - Group'!$A$4:$Y$133,V$2,FALSE)*V$1</f>
        <v>0</v>
      </c>
      <c r="W223" s="1116">
        <f>$G223+V223</f>
        <v>2806700.76</v>
      </c>
      <c r="X223" s="1117">
        <f t="shared" si="554"/>
        <v>893155.9014630107</v>
      </c>
      <c r="Y223" s="1117">
        <f t="shared" si="555"/>
        <v>577279.95080004726</v>
      </c>
      <c r="Z223" s="1117">
        <f t="shared" si="556"/>
        <v>1336264.9077369422</v>
      </c>
      <c r="AA223" s="1073"/>
      <c r="AD223" s="1161">
        <f>VLOOKUP($A223,'New Resources - Group'!$A$4:$Y$133,AD$2,FALSE)*AD$1</f>
        <v>0</v>
      </c>
      <c r="AE223" s="1116">
        <f>$G223+AD223</f>
        <v>2806700.76</v>
      </c>
      <c r="AF223" s="1117">
        <f t="shared" si="558"/>
        <v>893155.9014630107</v>
      </c>
      <c r="AG223" s="1117">
        <f t="shared" si="559"/>
        <v>577279.95080004726</v>
      </c>
      <c r="AH223" s="1117">
        <f t="shared" si="560"/>
        <v>1336264.9077369422</v>
      </c>
      <c r="AI223" s="1073"/>
      <c r="AL223" s="1161">
        <f>VLOOKUP($A223,'New Resources - Group'!$A$4:$Y$133,AL$2,FALSE)*AL$1</f>
        <v>0</v>
      </c>
      <c r="AM223" s="1116">
        <f>$G223+AL223</f>
        <v>2806700.76</v>
      </c>
      <c r="AN223" s="1117">
        <f t="shared" si="562"/>
        <v>893155.9014630107</v>
      </c>
      <c r="AO223" s="1117">
        <f t="shared" si="563"/>
        <v>577279.95080004726</v>
      </c>
      <c r="AP223" s="1117">
        <f t="shared" si="564"/>
        <v>1336264.9077369422</v>
      </c>
      <c r="AQ223" s="1073"/>
      <c r="AT223" s="1161">
        <f>VLOOKUP($A223,'New Resources - Group'!$A$4:$Y$133,AT$2,FALSE)*AT$1</f>
        <v>0</v>
      </c>
      <c r="AU223" s="1116">
        <f>$G223+AT223</f>
        <v>2806700.76</v>
      </c>
      <c r="AV223" s="1117">
        <f t="shared" si="566"/>
        <v>893155.9014630107</v>
      </c>
      <c r="AW223" s="1117">
        <f t="shared" si="567"/>
        <v>577279.95080004726</v>
      </c>
      <c r="AX223" s="1117">
        <f t="shared" si="568"/>
        <v>1336264.9077369422</v>
      </c>
      <c r="AY223" s="1073"/>
      <c r="BB223" s="1161">
        <f>VLOOKUP($A223,'New Resources - Group'!$A$4:$Y$133,BB$2,FALSE)*BB$1</f>
        <v>0</v>
      </c>
      <c r="BC223" s="1116">
        <f>$G223+BB223</f>
        <v>2806700.76</v>
      </c>
      <c r="BD223" s="1117">
        <f t="shared" si="570"/>
        <v>893155.9014630107</v>
      </c>
      <c r="BE223" s="1117">
        <f t="shared" si="571"/>
        <v>577279.95080004726</v>
      </c>
      <c r="BF223" s="1117">
        <f t="shared" si="572"/>
        <v>1336264.9077369422</v>
      </c>
      <c r="BG223" s="1073"/>
      <c r="BJ223" s="1161">
        <f>VLOOKUP($A223,'New Resources - Group'!$A$4:$Y$133,BJ$2,FALSE)*BJ$1</f>
        <v>0</v>
      </c>
      <c r="BK223" s="1116">
        <f>$G223+BJ223</f>
        <v>2806700.76</v>
      </c>
      <c r="BL223" s="1117">
        <f t="shared" si="574"/>
        <v>893155.9014630107</v>
      </c>
      <c r="BM223" s="1117">
        <f t="shared" si="575"/>
        <v>577279.95080004726</v>
      </c>
      <c r="BN223" s="1117">
        <f t="shared" si="576"/>
        <v>1336264.9077369422</v>
      </c>
      <c r="BO223" s="1073"/>
      <c r="BR223" s="1161">
        <f>VLOOKUP($A223,'New Resources - Group'!$A$4:$Y$133,BR$2,FALSE)*BR$1</f>
        <v>0</v>
      </c>
      <c r="BS223" s="1116">
        <f>$G223+BR223</f>
        <v>2806700.76</v>
      </c>
      <c r="BT223" s="1117">
        <f t="shared" si="578"/>
        <v>893155.9014630107</v>
      </c>
      <c r="BU223" s="1117">
        <f t="shared" si="579"/>
        <v>577279.95080004726</v>
      </c>
      <c r="BV223" s="1117">
        <f t="shared" si="580"/>
        <v>1336264.9077369422</v>
      </c>
      <c r="BW223" s="1073"/>
      <c r="BZ223" s="1161">
        <f>VLOOKUP($A223,'New Resources - Group'!$A$4:$Y$133,BZ$2,FALSE)*BZ$1</f>
        <v>0</v>
      </c>
      <c r="CA223" s="1116">
        <f>$G223+BZ223</f>
        <v>2806700.76</v>
      </c>
      <c r="CB223" s="1117">
        <f t="shared" si="582"/>
        <v>893155.9014630107</v>
      </c>
      <c r="CC223" s="1117">
        <f t="shared" si="583"/>
        <v>577279.95080004726</v>
      </c>
      <c r="CD223" s="1117">
        <f t="shared" si="584"/>
        <v>1336264.9077369422</v>
      </c>
      <c r="CE223" s="1073"/>
      <c r="CH223" s="1161">
        <f>VLOOKUP($A223,'New Resources - Group'!$A$4:$Y$133,CH$2,FALSE)*CH$1</f>
        <v>0</v>
      </c>
      <c r="CI223" s="1116">
        <f>$G223+CH223</f>
        <v>2806700.76</v>
      </c>
      <c r="CJ223" s="1117">
        <f t="shared" si="586"/>
        <v>893155.9014630107</v>
      </c>
      <c r="CK223" s="1117">
        <f t="shared" si="587"/>
        <v>577279.95080004726</v>
      </c>
      <c r="CL223" s="1117">
        <f t="shared" si="588"/>
        <v>1336264.9077369422</v>
      </c>
      <c r="CM223" s="1073"/>
      <c r="CP223" s="1161">
        <f>VLOOKUP($A223,'New Resources - Group'!$A$4:$Y$133,CP$2,FALSE)*CP$1</f>
        <v>0</v>
      </c>
      <c r="CQ223" s="1116">
        <f>$G223+CP223</f>
        <v>2806700.76</v>
      </c>
      <c r="CR223" s="1117">
        <f t="shared" si="590"/>
        <v>893155.9014630107</v>
      </c>
      <c r="CS223" s="1117">
        <f t="shared" si="591"/>
        <v>577279.95080004726</v>
      </c>
      <c r="CT223" s="1117">
        <f t="shared" si="592"/>
        <v>1336264.9077369422</v>
      </c>
      <c r="CU223" s="1073"/>
      <c r="CX223" s="1161">
        <f>VLOOKUP($A223,'New Resources - Group'!$A$4:$Y$133,CX$2,FALSE)*CX$1</f>
        <v>0</v>
      </c>
      <c r="CY223" s="1116">
        <f>$G223+CX223</f>
        <v>2806700.76</v>
      </c>
      <c r="CZ223" s="1117">
        <f t="shared" si="594"/>
        <v>893155.9014630107</v>
      </c>
      <c r="DA223" s="1117">
        <f t="shared" si="595"/>
        <v>577279.95080004726</v>
      </c>
      <c r="DB223" s="1117">
        <f t="shared" si="596"/>
        <v>1336264.9077369422</v>
      </c>
      <c r="DC223" s="1073"/>
      <c r="DF223" s="1161">
        <f>VLOOKUP($A223,'New Resources - Group'!$A$4:$Y$133,DF$2,FALSE)*DF$1</f>
        <v>0</v>
      </c>
      <c r="DG223" s="1116">
        <f>$G223+DF223</f>
        <v>2806700.76</v>
      </c>
      <c r="DH223" s="1117">
        <f t="shared" si="598"/>
        <v>893155.9014630107</v>
      </c>
      <c r="DI223" s="1117">
        <f t="shared" si="599"/>
        <v>577279.95080004726</v>
      </c>
      <c r="DJ223" s="1117">
        <f t="shared" si="600"/>
        <v>1336264.9077369422</v>
      </c>
      <c r="DK223" s="1073"/>
      <c r="DN223" s="1161">
        <f>VLOOKUP($A223,'New Resources - Group'!$A$4:$Y$133,DN$2,FALSE)*DN$1</f>
        <v>0</v>
      </c>
      <c r="DO223" s="1116">
        <f>$G223+DN223</f>
        <v>2806700.76</v>
      </c>
      <c r="DP223" s="1117">
        <f t="shared" si="602"/>
        <v>893155.9014630107</v>
      </c>
      <c r="DQ223" s="1117">
        <f t="shared" si="603"/>
        <v>577279.95080004726</v>
      </c>
      <c r="DR223" s="1117">
        <f t="shared" si="604"/>
        <v>1336264.9077369422</v>
      </c>
      <c r="DS223" s="1073"/>
      <c r="DV223" s="1161">
        <f>VLOOKUP($A223,'New Resources - Group'!$A$4:$Y$133,DV$2,FALSE)*DV$1</f>
        <v>0</v>
      </c>
      <c r="DW223" s="1116">
        <f>$G223+DV223</f>
        <v>2806700.76</v>
      </c>
      <c r="DX223" s="1117">
        <f t="shared" si="606"/>
        <v>893155.9014630107</v>
      </c>
      <c r="DY223" s="1117">
        <f t="shared" si="607"/>
        <v>577279.95080004726</v>
      </c>
      <c r="DZ223" s="1117">
        <f t="shared" si="608"/>
        <v>1336264.9077369422</v>
      </c>
      <c r="EA223" s="1073"/>
      <c r="ED223" s="1161">
        <f>VLOOKUP($A223,'New Resources - Group'!$A$4:$Y$133,ED$2,FALSE)*ED$1</f>
        <v>0</v>
      </c>
      <c r="EE223" s="1116">
        <f>$G223+ED223</f>
        <v>2806700.76</v>
      </c>
      <c r="EF223" s="1117">
        <f t="shared" si="610"/>
        <v>893155.9014630107</v>
      </c>
      <c r="EG223" s="1117">
        <f t="shared" si="611"/>
        <v>577279.95080004726</v>
      </c>
      <c r="EH223" s="1117">
        <f t="shared" si="612"/>
        <v>1336264.9077369422</v>
      </c>
      <c r="EI223" s="1073"/>
      <c r="EL223" s="1161">
        <f>VLOOKUP($A223,'New Resources - Group'!$A$4:$Y$133,EL$2,FALSE)*EL$1</f>
        <v>0</v>
      </c>
      <c r="EM223" s="1116">
        <f>$G223+EL223</f>
        <v>2806700.76</v>
      </c>
      <c r="EN223" s="1117">
        <f t="shared" si="614"/>
        <v>893155.9014630107</v>
      </c>
      <c r="EO223" s="1117">
        <f t="shared" si="615"/>
        <v>577279.95080004726</v>
      </c>
      <c r="EP223" s="1117">
        <f t="shared" si="616"/>
        <v>1336264.9077369422</v>
      </c>
      <c r="EQ223" s="1073"/>
      <c r="ET223" s="1161">
        <f>VLOOKUP($A223,'New Resources - Group'!$A$4:$Y$133,ET$2,FALSE)*ET$1</f>
        <v>0</v>
      </c>
      <c r="EU223" s="1116">
        <f>$G223+ET223</f>
        <v>2806700.76</v>
      </c>
      <c r="EV223" s="1117">
        <f t="shared" si="618"/>
        <v>893155.9014630107</v>
      </c>
      <c r="EW223" s="1117">
        <f t="shared" si="619"/>
        <v>577279.95080004726</v>
      </c>
      <c r="EX223" s="1117">
        <f t="shared" si="620"/>
        <v>1336264.9077369422</v>
      </c>
      <c r="EY223" s="1073"/>
      <c r="FB223" s="1161">
        <f>VLOOKUP($A223,'New Resources - Group'!$A$4:$Y$133,FB$2,FALSE)*FB$1</f>
        <v>0</v>
      </c>
      <c r="FC223" s="1116">
        <f>$G223+FB223</f>
        <v>2806700.76</v>
      </c>
      <c r="FD223" s="1117">
        <f t="shared" si="622"/>
        <v>893155.9014630107</v>
      </c>
      <c r="FE223" s="1117">
        <f t="shared" si="623"/>
        <v>577279.95080004726</v>
      </c>
      <c r="FF223" s="1117">
        <f t="shared" si="624"/>
        <v>1336264.9077369422</v>
      </c>
      <c r="FG223" s="1073"/>
      <c r="FJ223" s="1161">
        <f>VLOOKUP($A223,'New Resources - Group'!$A$4:$Y$133,FJ$2,FALSE)*FJ$1</f>
        <v>0</v>
      </c>
      <c r="FK223" s="1116">
        <f>$G223+FJ223</f>
        <v>2806700.76</v>
      </c>
      <c r="FL223" s="1117">
        <f t="shared" si="626"/>
        <v>893155.9014630107</v>
      </c>
      <c r="FM223" s="1117">
        <f t="shared" si="627"/>
        <v>577279.95080004726</v>
      </c>
      <c r="FN223" s="1117">
        <f t="shared" si="628"/>
        <v>1336264.9077369422</v>
      </c>
      <c r="FO223" s="1073"/>
    </row>
    <row r="224" spans="1:171">
      <c r="A224" s="1423"/>
      <c r="B224" s="913" t="s">
        <v>469</v>
      </c>
      <c r="C224" s="888" t="s">
        <v>72</v>
      </c>
      <c r="D224" s="888">
        <v>925</v>
      </c>
      <c r="E224" s="182" t="str">
        <f>'Sch 3 - Expenses'!E64</f>
        <v>labor</v>
      </c>
      <c r="F224" s="889"/>
      <c r="G224" s="182">
        <f>'Sch 3 - Expenses'!G64</f>
        <v>10784298.52</v>
      </c>
      <c r="H224" s="182">
        <f>'Sch 3 - Expenses'!H64</f>
        <v>3947815.0882329289</v>
      </c>
      <c r="I224" s="182">
        <f>'Sch 3 - Expenses'!I64</f>
        <v>0</v>
      </c>
      <c r="J224" s="1424">
        <f>'Sch 3 - Expenses'!J64</f>
        <v>6836483.4317670707</v>
      </c>
      <c r="K224" s="903">
        <f t="shared" si="548"/>
        <v>1</v>
      </c>
      <c r="O224" s="1116">
        <f t="shared" si="549"/>
        <v>10784298.52</v>
      </c>
      <c r="P224" s="1117">
        <f t="shared" si="550"/>
        <v>3947815.0882329289</v>
      </c>
      <c r="Q224" s="1117">
        <f t="shared" si="551"/>
        <v>827298.99461393617</v>
      </c>
      <c r="R224" s="1117">
        <f t="shared" si="552"/>
        <v>6009184.4371531345</v>
      </c>
      <c r="S224" s="1073"/>
      <c r="W224" s="1116">
        <f t="shared" si="553"/>
        <v>10784298.52</v>
      </c>
      <c r="X224" s="1117">
        <f t="shared" si="554"/>
        <v>3947815.0882329289</v>
      </c>
      <c r="Y224" s="1117">
        <f t="shared" si="555"/>
        <v>827298.99461393617</v>
      </c>
      <c r="Z224" s="1117">
        <f t="shared" si="556"/>
        <v>6009184.4371531345</v>
      </c>
      <c r="AA224" s="1073"/>
      <c r="AE224" s="1116">
        <f t="shared" si="557"/>
        <v>10784298.52</v>
      </c>
      <c r="AF224" s="1117">
        <f t="shared" si="558"/>
        <v>3947815.0882329289</v>
      </c>
      <c r="AG224" s="1117">
        <f t="shared" si="559"/>
        <v>827298.99461393617</v>
      </c>
      <c r="AH224" s="1117">
        <f t="shared" si="560"/>
        <v>6009184.4371531345</v>
      </c>
      <c r="AI224" s="1073"/>
      <c r="AM224" s="1116">
        <f t="shared" si="561"/>
        <v>10784298.52</v>
      </c>
      <c r="AN224" s="1117">
        <f t="shared" si="562"/>
        <v>3947815.0882329289</v>
      </c>
      <c r="AO224" s="1117">
        <f t="shared" si="563"/>
        <v>827298.99461393617</v>
      </c>
      <c r="AP224" s="1117">
        <f t="shared" si="564"/>
        <v>6009184.4371531345</v>
      </c>
      <c r="AQ224" s="1073"/>
      <c r="AU224" s="1116">
        <f t="shared" si="565"/>
        <v>10784298.52</v>
      </c>
      <c r="AV224" s="1117">
        <f t="shared" si="566"/>
        <v>3947815.0882329289</v>
      </c>
      <c r="AW224" s="1117">
        <f t="shared" si="567"/>
        <v>827298.99461393617</v>
      </c>
      <c r="AX224" s="1117">
        <f t="shared" si="568"/>
        <v>6009184.4371531345</v>
      </c>
      <c r="AY224" s="1073"/>
      <c r="BC224" s="1116">
        <f t="shared" si="569"/>
        <v>10784298.52</v>
      </c>
      <c r="BD224" s="1117">
        <f t="shared" si="570"/>
        <v>3947815.0882329289</v>
      </c>
      <c r="BE224" s="1117">
        <f t="shared" si="571"/>
        <v>827298.99461393617</v>
      </c>
      <c r="BF224" s="1117">
        <f t="shared" si="572"/>
        <v>6009184.4371531345</v>
      </c>
      <c r="BG224" s="1073"/>
      <c r="BK224" s="1116">
        <f t="shared" si="573"/>
        <v>10784298.52</v>
      </c>
      <c r="BL224" s="1117">
        <f t="shared" si="574"/>
        <v>3947815.0882329289</v>
      </c>
      <c r="BM224" s="1117">
        <f t="shared" si="575"/>
        <v>827298.99461393617</v>
      </c>
      <c r="BN224" s="1117">
        <f t="shared" si="576"/>
        <v>6009184.4371531345</v>
      </c>
      <c r="BO224" s="1073"/>
      <c r="BS224" s="1116">
        <f t="shared" si="577"/>
        <v>10784298.52</v>
      </c>
      <c r="BT224" s="1117">
        <f t="shared" si="578"/>
        <v>3947815.0882329289</v>
      </c>
      <c r="BU224" s="1117">
        <f t="shared" si="579"/>
        <v>827298.99461393617</v>
      </c>
      <c r="BV224" s="1117">
        <f t="shared" si="580"/>
        <v>6009184.4371531345</v>
      </c>
      <c r="BW224" s="1073"/>
      <c r="CA224" s="1116">
        <f t="shared" si="581"/>
        <v>10784298.52</v>
      </c>
      <c r="CB224" s="1117">
        <f t="shared" si="582"/>
        <v>3947815.0882329289</v>
      </c>
      <c r="CC224" s="1117">
        <f t="shared" si="583"/>
        <v>827298.99461393617</v>
      </c>
      <c r="CD224" s="1117">
        <f t="shared" si="584"/>
        <v>6009184.4371531345</v>
      </c>
      <c r="CE224" s="1073"/>
      <c r="CI224" s="1116">
        <f t="shared" si="585"/>
        <v>10784298.52</v>
      </c>
      <c r="CJ224" s="1117">
        <f t="shared" si="586"/>
        <v>3947815.0882329289</v>
      </c>
      <c r="CK224" s="1117">
        <f t="shared" si="587"/>
        <v>827298.99461393617</v>
      </c>
      <c r="CL224" s="1117">
        <f t="shared" si="588"/>
        <v>6009184.4371531345</v>
      </c>
      <c r="CM224" s="1073"/>
      <c r="CQ224" s="1116">
        <f t="shared" si="589"/>
        <v>10784298.52</v>
      </c>
      <c r="CR224" s="1117">
        <f t="shared" si="590"/>
        <v>3947815.0882329289</v>
      </c>
      <c r="CS224" s="1117">
        <f t="shared" si="591"/>
        <v>827298.99461393617</v>
      </c>
      <c r="CT224" s="1117">
        <f t="shared" si="592"/>
        <v>6009184.4371531345</v>
      </c>
      <c r="CU224" s="1073"/>
      <c r="CY224" s="1116">
        <f t="shared" si="593"/>
        <v>10784298.52</v>
      </c>
      <c r="CZ224" s="1117">
        <f t="shared" si="594"/>
        <v>3947815.0882329289</v>
      </c>
      <c r="DA224" s="1117">
        <f t="shared" si="595"/>
        <v>827298.99461393617</v>
      </c>
      <c r="DB224" s="1117">
        <f t="shared" si="596"/>
        <v>6009184.4371531345</v>
      </c>
      <c r="DC224" s="1073"/>
      <c r="DG224" s="1116">
        <f t="shared" si="597"/>
        <v>10784298.52</v>
      </c>
      <c r="DH224" s="1117">
        <f t="shared" si="598"/>
        <v>3947815.0882329289</v>
      </c>
      <c r="DI224" s="1117">
        <f t="shared" si="599"/>
        <v>827298.99461393617</v>
      </c>
      <c r="DJ224" s="1117">
        <f t="shared" si="600"/>
        <v>6009184.4371531345</v>
      </c>
      <c r="DK224" s="1073"/>
      <c r="DO224" s="1116">
        <f t="shared" si="601"/>
        <v>10784298.52</v>
      </c>
      <c r="DP224" s="1117">
        <f t="shared" si="602"/>
        <v>3947815.0882329289</v>
      </c>
      <c r="DQ224" s="1117">
        <f t="shared" si="603"/>
        <v>827298.99461393617</v>
      </c>
      <c r="DR224" s="1117">
        <f t="shared" si="604"/>
        <v>6009184.4371531345</v>
      </c>
      <c r="DS224" s="1073"/>
      <c r="DW224" s="1116">
        <f t="shared" si="605"/>
        <v>10784298.52</v>
      </c>
      <c r="DX224" s="1117">
        <f t="shared" si="606"/>
        <v>3947815.0882329289</v>
      </c>
      <c r="DY224" s="1117">
        <f t="shared" si="607"/>
        <v>827298.99461393617</v>
      </c>
      <c r="DZ224" s="1117">
        <f t="shared" si="608"/>
        <v>6009184.4371531345</v>
      </c>
      <c r="EA224" s="1073"/>
      <c r="EE224" s="1116">
        <f t="shared" si="609"/>
        <v>10784298.52</v>
      </c>
      <c r="EF224" s="1117">
        <f t="shared" si="610"/>
        <v>3947815.0882329289</v>
      </c>
      <c r="EG224" s="1117">
        <f t="shared" si="611"/>
        <v>827298.99461393617</v>
      </c>
      <c r="EH224" s="1117">
        <f t="shared" si="612"/>
        <v>6009184.4371531345</v>
      </c>
      <c r="EI224" s="1073"/>
      <c r="EM224" s="1116">
        <f t="shared" si="613"/>
        <v>10784298.52</v>
      </c>
      <c r="EN224" s="1117">
        <f t="shared" si="614"/>
        <v>3947815.0882329289</v>
      </c>
      <c r="EO224" s="1117">
        <f t="shared" si="615"/>
        <v>827298.99461393617</v>
      </c>
      <c r="EP224" s="1117">
        <f t="shared" si="616"/>
        <v>6009184.4371531345</v>
      </c>
      <c r="EQ224" s="1073"/>
      <c r="EU224" s="1116">
        <f t="shared" si="617"/>
        <v>10784298.52</v>
      </c>
      <c r="EV224" s="1117">
        <f t="shared" si="618"/>
        <v>3947815.0882329289</v>
      </c>
      <c r="EW224" s="1117">
        <f t="shared" si="619"/>
        <v>827298.99461393617</v>
      </c>
      <c r="EX224" s="1117">
        <f t="shared" si="620"/>
        <v>6009184.4371531345</v>
      </c>
      <c r="EY224" s="1073"/>
      <c r="FC224" s="1116">
        <f t="shared" si="621"/>
        <v>10784298.52</v>
      </c>
      <c r="FD224" s="1117">
        <f t="shared" si="622"/>
        <v>3947815.0882329289</v>
      </c>
      <c r="FE224" s="1117">
        <f t="shared" si="623"/>
        <v>827298.99461393617</v>
      </c>
      <c r="FF224" s="1117">
        <f t="shared" si="624"/>
        <v>6009184.4371531345</v>
      </c>
      <c r="FG224" s="1073"/>
      <c r="FK224" s="1116">
        <f t="shared" si="625"/>
        <v>10784298.52</v>
      </c>
      <c r="FL224" s="1117">
        <f t="shared" si="626"/>
        <v>3947815.0882329289</v>
      </c>
      <c r="FM224" s="1117">
        <f t="shared" si="627"/>
        <v>827298.99461393617</v>
      </c>
      <c r="FN224" s="1117">
        <f t="shared" si="628"/>
        <v>6009184.4371531345</v>
      </c>
      <c r="FO224" s="1073"/>
    </row>
    <row r="225" spans="1:171">
      <c r="A225" s="1423"/>
      <c r="B225" s="913" t="s">
        <v>470</v>
      </c>
      <c r="C225" s="888" t="s">
        <v>72</v>
      </c>
      <c r="D225" s="888">
        <v>926</v>
      </c>
      <c r="E225" s="182" t="str">
        <f>'Sch 3 - Expenses'!E65</f>
        <v>LABOR</v>
      </c>
      <c r="F225" s="889"/>
      <c r="G225" s="182">
        <f>'Sch 3 - Expenses'!G65</f>
        <v>28096653.760000002</v>
      </c>
      <c r="H225" s="182">
        <f>'Sch 3 - Expenses'!H65</f>
        <v>10285360.094296098</v>
      </c>
      <c r="I225" s="182">
        <f>'Sch 3 - Expenses'!I65</f>
        <v>0</v>
      </c>
      <c r="J225" s="1424">
        <f>'Sch 3 - Expenses'!J65</f>
        <v>17811293.665703904</v>
      </c>
      <c r="K225" s="903">
        <f t="shared" si="548"/>
        <v>1</v>
      </c>
      <c r="O225" s="1116">
        <f t="shared" si="549"/>
        <v>28096653.760000002</v>
      </c>
      <c r="P225" s="1117">
        <f t="shared" si="550"/>
        <v>10285360.094296098</v>
      </c>
      <c r="Q225" s="1117">
        <f t="shared" si="551"/>
        <v>2155386.6822729488</v>
      </c>
      <c r="R225" s="1117">
        <f t="shared" si="552"/>
        <v>15655906.983430956</v>
      </c>
      <c r="S225" s="1073"/>
      <c r="W225" s="1116">
        <f t="shared" si="553"/>
        <v>28096653.760000002</v>
      </c>
      <c r="X225" s="1117">
        <f t="shared" si="554"/>
        <v>10285360.094296098</v>
      </c>
      <c r="Y225" s="1117">
        <f t="shared" si="555"/>
        <v>2155386.6822729488</v>
      </c>
      <c r="Z225" s="1117">
        <f t="shared" si="556"/>
        <v>15655906.983430956</v>
      </c>
      <c r="AA225" s="1073"/>
      <c r="AE225" s="1116">
        <f t="shared" si="557"/>
        <v>28096653.760000002</v>
      </c>
      <c r="AF225" s="1117">
        <f t="shared" si="558"/>
        <v>10285360.094296098</v>
      </c>
      <c r="AG225" s="1117">
        <f t="shared" si="559"/>
        <v>2155386.6822729488</v>
      </c>
      <c r="AH225" s="1117">
        <f t="shared" si="560"/>
        <v>15655906.983430956</v>
      </c>
      <c r="AI225" s="1073"/>
      <c r="AM225" s="1116">
        <f t="shared" si="561"/>
        <v>28096653.760000002</v>
      </c>
      <c r="AN225" s="1117">
        <f t="shared" si="562"/>
        <v>10285360.094296098</v>
      </c>
      <c r="AO225" s="1117">
        <f t="shared" si="563"/>
        <v>2155386.6822729488</v>
      </c>
      <c r="AP225" s="1117">
        <f t="shared" si="564"/>
        <v>15655906.983430956</v>
      </c>
      <c r="AQ225" s="1073"/>
      <c r="AU225" s="1116">
        <f t="shared" si="565"/>
        <v>28096653.760000002</v>
      </c>
      <c r="AV225" s="1117">
        <f t="shared" si="566"/>
        <v>10285360.094296098</v>
      </c>
      <c r="AW225" s="1117">
        <f t="shared" si="567"/>
        <v>2155386.6822729488</v>
      </c>
      <c r="AX225" s="1117">
        <f t="shared" si="568"/>
        <v>15655906.983430956</v>
      </c>
      <c r="AY225" s="1073"/>
      <c r="BC225" s="1116">
        <f t="shared" si="569"/>
        <v>28096653.760000002</v>
      </c>
      <c r="BD225" s="1117">
        <f t="shared" si="570"/>
        <v>10285360.094296098</v>
      </c>
      <c r="BE225" s="1117">
        <f t="shared" si="571"/>
        <v>2155386.6822729488</v>
      </c>
      <c r="BF225" s="1117">
        <f t="shared" si="572"/>
        <v>15655906.983430956</v>
      </c>
      <c r="BG225" s="1073"/>
      <c r="BK225" s="1116">
        <f t="shared" si="573"/>
        <v>28096653.760000002</v>
      </c>
      <c r="BL225" s="1117">
        <f t="shared" si="574"/>
        <v>10285360.094296098</v>
      </c>
      <c r="BM225" s="1117">
        <f t="shared" si="575"/>
        <v>2155386.6822729488</v>
      </c>
      <c r="BN225" s="1117">
        <f t="shared" si="576"/>
        <v>15655906.983430956</v>
      </c>
      <c r="BO225" s="1073"/>
      <c r="BS225" s="1116">
        <f t="shared" si="577"/>
        <v>28096653.760000002</v>
      </c>
      <c r="BT225" s="1117">
        <f t="shared" si="578"/>
        <v>10285360.094296098</v>
      </c>
      <c r="BU225" s="1117">
        <f t="shared" si="579"/>
        <v>2155386.6822729488</v>
      </c>
      <c r="BV225" s="1117">
        <f t="shared" si="580"/>
        <v>15655906.983430956</v>
      </c>
      <c r="BW225" s="1073"/>
      <c r="CA225" s="1116">
        <f t="shared" si="581"/>
        <v>28096653.760000002</v>
      </c>
      <c r="CB225" s="1117">
        <f t="shared" si="582"/>
        <v>10285360.094296098</v>
      </c>
      <c r="CC225" s="1117">
        <f t="shared" si="583"/>
        <v>2155386.6822729488</v>
      </c>
      <c r="CD225" s="1117">
        <f t="shared" si="584"/>
        <v>15655906.983430956</v>
      </c>
      <c r="CE225" s="1073"/>
      <c r="CI225" s="1116">
        <f t="shared" si="585"/>
        <v>28096653.760000002</v>
      </c>
      <c r="CJ225" s="1117">
        <f t="shared" si="586"/>
        <v>10285360.094296098</v>
      </c>
      <c r="CK225" s="1117">
        <f t="shared" si="587"/>
        <v>2155386.6822729488</v>
      </c>
      <c r="CL225" s="1117">
        <f t="shared" si="588"/>
        <v>15655906.983430956</v>
      </c>
      <c r="CM225" s="1073"/>
      <c r="CQ225" s="1116">
        <f t="shared" si="589"/>
        <v>28096653.760000002</v>
      </c>
      <c r="CR225" s="1117">
        <f t="shared" si="590"/>
        <v>10285360.094296098</v>
      </c>
      <c r="CS225" s="1117">
        <f t="shared" si="591"/>
        <v>2155386.6822729488</v>
      </c>
      <c r="CT225" s="1117">
        <f t="shared" si="592"/>
        <v>15655906.983430956</v>
      </c>
      <c r="CU225" s="1073"/>
      <c r="CY225" s="1116">
        <f t="shared" si="593"/>
        <v>28096653.760000002</v>
      </c>
      <c r="CZ225" s="1117">
        <f t="shared" si="594"/>
        <v>10285360.094296098</v>
      </c>
      <c r="DA225" s="1117">
        <f t="shared" si="595"/>
        <v>2155386.6822729488</v>
      </c>
      <c r="DB225" s="1117">
        <f t="shared" si="596"/>
        <v>15655906.983430956</v>
      </c>
      <c r="DC225" s="1073"/>
      <c r="DG225" s="1116">
        <f t="shared" si="597"/>
        <v>28096653.760000002</v>
      </c>
      <c r="DH225" s="1117">
        <f t="shared" si="598"/>
        <v>10285360.094296098</v>
      </c>
      <c r="DI225" s="1117">
        <f t="shared" si="599"/>
        <v>2155386.6822729488</v>
      </c>
      <c r="DJ225" s="1117">
        <f t="shared" si="600"/>
        <v>15655906.983430956</v>
      </c>
      <c r="DK225" s="1073"/>
      <c r="DO225" s="1116">
        <f t="shared" si="601"/>
        <v>28096653.760000002</v>
      </c>
      <c r="DP225" s="1117">
        <f t="shared" si="602"/>
        <v>10285360.094296098</v>
      </c>
      <c r="DQ225" s="1117">
        <f t="shared" si="603"/>
        <v>2155386.6822729488</v>
      </c>
      <c r="DR225" s="1117">
        <f t="shared" si="604"/>
        <v>15655906.983430956</v>
      </c>
      <c r="DS225" s="1073"/>
      <c r="DW225" s="1116">
        <f t="shared" si="605"/>
        <v>28096653.760000002</v>
      </c>
      <c r="DX225" s="1117">
        <f t="shared" si="606"/>
        <v>10285360.094296098</v>
      </c>
      <c r="DY225" s="1117">
        <f t="shared" si="607"/>
        <v>2155386.6822729488</v>
      </c>
      <c r="DZ225" s="1117">
        <f t="shared" si="608"/>
        <v>15655906.983430956</v>
      </c>
      <c r="EA225" s="1073"/>
      <c r="EE225" s="1116">
        <f t="shared" si="609"/>
        <v>28096653.760000002</v>
      </c>
      <c r="EF225" s="1117">
        <f t="shared" si="610"/>
        <v>10285360.094296098</v>
      </c>
      <c r="EG225" s="1117">
        <f t="shared" si="611"/>
        <v>2155386.6822729488</v>
      </c>
      <c r="EH225" s="1117">
        <f t="shared" si="612"/>
        <v>15655906.983430956</v>
      </c>
      <c r="EI225" s="1073"/>
      <c r="EM225" s="1116">
        <f t="shared" si="613"/>
        <v>28096653.760000002</v>
      </c>
      <c r="EN225" s="1117">
        <f t="shared" si="614"/>
        <v>10285360.094296098</v>
      </c>
      <c r="EO225" s="1117">
        <f t="shared" si="615"/>
        <v>2155386.6822729488</v>
      </c>
      <c r="EP225" s="1117">
        <f t="shared" si="616"/>
        <v>15655906.983430956</v>
      </c>
      <c r="EQ225" s="1073"/>
      <c r="EU225" s="1116">
        <f t="shared" si="617"/>
        <v>28096653.760000002</v>
      </c>
      <c r="EV225" s="1117">
        <f t="shared" si="618"/>
        <v>10285360.094296098</v>
      </c>
      <c r="EW225" s="1117">
        <f t="shared" si="619"/>
        <v>2155386.6822729488</v>
      </c>
      <c r="EX225" s="1117">
        <f t="shared" si="620"/>
        <v>15655906.983430956</v>
      </c>
      <c r="EY225" s="1073"/>
      <c r="FC225" s="1116">
        <f t="shared" si="621"/>
        <v>28096653.760000002</v>
      </c>
      <c r="FD225" s="1117">
        <f t="shared" si="622"/>
        <v>10285360.094296098</v>
      </c>
      <c r="FE225" s="1117">
        <f t="shared" si="623"/>
        <v>2155386.6822729488</v>
      </c>
      <c r="FF225" s="1117">
        <f t="shared" si="624"/>
        <v>15655906.983430956</v>
      </c>
      <c r="FG225" s="1073"/>
      <c r="FK225" s="1116">
        <f t="shared" si="625"/>
        <v>28096653.760000002</v>
      </c>
      <c r="FL225" s="1117">
        <f t="shared" si="626"/>
        <v>10285360.094296098</v>
      </c>
      <c r="FM225" s="1117">
        <f t="shared" si="627"/>
        <v>2155386.6822729488</v>
      </c>
      <c r="FN225" s="1117">
        <f t="shared" si="628"/>
        <v>15655906.983430956</v>
      </c>
      <c r="FO225" s="1073"/>
    </row>
    <row r="226" spans="1:171">
      <c r="A226" s="1423"/>
      <c r="B226" s="913" t="s">
        <v>471</v>
      </c>
      <c r="C226" s="888" t="s">
        <v>72</v>
      </c>
      <c r="D226" s="888">
        <v>927</v>
      </c>
      <c r="E226" s="182" t="str">
        <f>'Sch 3 - Expenses'!E66</f>
        <v>DIST</v>
      </c>
      <c r="F226" s="889"/>
      <c r="G226" s="182">
        <f>'Sch 3 - Expenses'!G66</f>
        <v>1200</v>
      </c>
      <c r="H226" s="182">
        <f>'Sch 3 - Expenses'!H66</f>
        <v>0</v>
      </c>
      <c r="I226" s="182">
        <f>'Sch 3 - Expenses'!I66</f>
        <v>0</v>
      </c>
      <c r="J226" s="1424">
        <f>'Sch 3 - Expenses'!J66</f>
        <v>1200</v>
      </c>
      <c r="K226" s="903">
        <f t="shared" si="548"/>
        <v>1</v>
      </c>
      <c r="O226" s="1116">
        <f t="shared" si="549"/>
        <v>1200</v>
      </c>
      <c r="P226" s="1117">
        <f t="shared" si="550"/>
        <v>0</v>
      </c>
      <c r="Q226" s="1117">
        <f t="shared" si="551"/>
        <v>0</v>
      </c>
      <c r="R226" s="1117">
        <f t="shared" si="552"/>
        <v>1200</v>
      </c>
      <c r="S226" s="1073"/>
      <c r="W226" s="1116">
        <f t="shared" si="553"/>
        <v>1200</v>
      </c>
      <c r="X226" s="1117">
        <f t="shared" si="554"/>
        <v>0</v>
      </c>
      <c r="Y226" s="1117">
        <f t="shared" si="555"/>
        <v>0</v>
      </c>
      <c r="Z226" s="1117">
        <f t="shared" si="556"/>
        <v>1200</v>
      </c>
      <c r="AA226" s="1073"/>
      <c r="AE226" s="1116">
        <f t="shared" si="557"/>
        <v>1200</v>
      </c>
      <c r="AF226" s="1117">
        <f t="shared" si="558"/>
        <v>0</v>
      </c>
      <c r="AG226" s="1117">
        <f t="shared" si="559"/>
        <v>0</v>
      </c>
      <c r="AH226" s="1117">
        <f t="shared" si="560"/>
        <v>1200</v>
      </c>
      <c r="AI226" s="1073"/>
      <c r="AM226" s="1116">
        <f t="shared" si="561"/>
        <v>1200</v>
      </c>
      <c r="AN226" s="1117">
        <f t="shared" si="562"/>
        <v>0</v>
      </c>
      <c r="AO226" s="1117">
        <f t="shared" si="563"/>
        <v>0</v>
      </c>
      <c r="AP226" s="1117">
        <f t="shared" si="564"/>
        <v>1200</v>
      </c>
      <c r="AQ226" s="1073"/>
      <c r="AU226" s="1116">
        <f t="shared" si="565"/>
        <v>1200</v>
      </c>
      <c r="AV226" s="1117">
        <f t="shared" si="566"/>
        <v>0</v>
      </c>
      <c r="AW226" s="1117">
        <f t="shared" si="567"/>
        <v>0</v>
      </c>
      <c r="AX226" s="1117">
        <f t="shared" si="568"/>
        <v>1200</v>
      </c>
      <c r="AY226" s="1073"/>
      <c r="BC226" s="1116">
        <f t="shared" si="569"/>
        <v>1200</v>
      </c>
      <c r="BD226" s="1117">
        <f t="shared" si="570"/>
        <v>0</v>
      </c>
      <c r="BE226" s="1117">
        <f t="shared" si="571"/>
        <v>0</v>
      </c>
      <c r="BF226" s="1117">
        <f t="shared" si="572"/>
        <v>1200</v>
      </c>
      <c r="BG226" s="1073"/>
      <c r="BK226" s="1116">
        <f t="shared" si="573"/>
        <v>1200</v>
      </c>
      <c r="BL226" s="1117">
        <f t="shared" si="574"/>
        <v>0</v>
      </c>
      <c r="BM226" s="1117">
        <f t="shared" si="575"/>
        <v>0</v>
      </c>
      <c r="BN226" s="1117">
        <f t="shared" si="576"/>
        <v>1200</v>
      </c>
      <c r="BO226" s="1073"/>
      <c r="BS226" s="1116">
        <f t="shared" si="577"/>
        <v>1200</v>
      </c>
      <c r="BT226" s="1117">
        <f t="shared" si="578"/>
        <v>0</v>
      </c>
      <c r="BU226" s="1117">
        <f t="shared" si="579"/>
        <v>0</v>
      </c>
      <c r="BV226" s="1117">
        <f t="shared" si="580"/>
        <v>1200</v>
      </c>
      <c r="BW226" s="1073"/>
      <c r="CA226" s="1116">
        <f t="shared" si="581"/>
        <v>1200</v>
      </c>
      <c r="CB226" s="1117">
        <f t="shared" si="582"/>
        <v>0</v>
      </c>
      <c r="CC226" s="1117">
        <f t="shared" si="583"/>
        <v>0</v>
      </c>
      <c r="CD226" s="1117">
        <f t="shared" si="584"/>
        <v>1200</v>
      </c>
      <c r="CE226" s="1073"/>
      <c r="CI226" s="1116">
        <f t="shared" si="585"/>
        <v>1200</v>
      </c>
      <c r="CJ226" s="1117">
        <f t="shared" si="586"/>
        <v>0</v>
      </c>
      <c r="CK226" s="1117">
        <f t="shared" si="587"/>
        <v>0</v>
      </c>
      <c r="CL226" s="1117">
        <f t="shared" si="588"/>
        <v>1200</v>
      </c>
      <c r="CM226" s="1073"/>
      <c r="CQ226" s="1116">
        <f t="shared" si="589"/>
        <v>1200</v>
      </c>
      <c r="CR226" s="1117">
        <f t="shared" si="590"/>
        <v>0</v>
      </c>
      <c r="CS226" s="1117">
        <f t="shared" si="591"/>
        <v>0</v>
      </c>
      <c r="CT226" s="1117">
        <f t="shared" si="592"/>
        <v>1200</v>
      </c>
      <c r="CU226" s="1073"/>
      <c r="CY226" s="1116">
        <f t="shared" si="593"/>
        <v>1200</v>
      </c>
      <c r="CZ226" s="1117">
        <f t="shared" si="594"/>
        <v>0</v>
      </c>
      <c r="DA226" s="1117">
        <f t="shared" si="595"/>
        <v>0</v>
      </c>
      <c r="DB226" s="1117">
        <f t="shared" si="596"/>
        <v>1200</v>
      </c>
      <c r="DC226" s="1073"/>
      <c r="DG226" s="1116">
        <f t="shared" si="597"/>
        <v>1200</v>
      </c>
      <c r="DH226" s="1117">
        <f t="shared" si="598"/>
        <v>0</v>
      </c>
      <c r="DI226" s="1117">
        <f t="shared" si="599"/>
        <v>0</v>
      </c>
      <c r="DJ226" s="1117">
        <f t="shared" si="600"/>
        <v>1200</v>
      </c>
      <c r="DK226" s="1073"/>
      <c r="DO226" s="1116">
        <f t="shared" si="601"/>
        <v>1200</v>
      </c>
      <c r="DP226" s="1117">
        <f t="shared" si="602"/>
        <v>0</v>
      </c>
      <c r="DQ226" s="1117">
        <f t="shared" si="603"/>
        <v>0</v>
      </c>
      <c r="DR226" s="1117">
        <f t="shared" si="604"/>
        <v>1200</v>
      </c>
      <c r="DS226" s="1073"/>
      <c r="DW226" s="1116">
        <f t="shared" si="605"/>
        <v>1200</v>
      </c>
      <c r="DX226" s="1117">
        <f t="shared" si="606"/>
        <v>0</v>
      </c>
      <c r="DY226" s="1117">
        <f t="shared" si="607"/>
        <v>0</v>
      </c>
      <c r="DZ226" s="1117">
        <f t="shared" si="608"/>
        <v>1200</v>
      </c>
      <c r="EA226" s="1073"/>
      <c r="EE226" s="1116">
        <f t="shared" si="609"/>
        <v>1200</v>
      </c>
      <c r="EF226" s="1117">
        <f t="shared" si="610"/>
        <v>0</v>
      </c>
      <c r="EG226" s="1117">
        <f t="shared" si="611"/>
        <v>0</v>
      </c>
      <c r="EH226" s="1117">
        <f t="shared" si="612"/>
        <v>1200</v>
      </c>
      <c r="EI226" s="1073"/>
      <c r="EM226" s="1116">
        <f t="shared" si="613"/>
        <v>1200</v>
      </c>
      <c r="EN226" s="1117">
        <f t="shared" si="614"/>
        <v>0</v>
      </c>
      <c r="EO226" s="1117">
        <f t="shared" si="615"/>
        <v>0</v>
      </c>
      <c r="EP226" s="1117">
        <f t="shared" si="616"/>
        <v>1200</v>
      </c>
      <c r="EQ226" s="1073"/>
      <c r="EU226" s="1116">
        <f t="shared" si="617"/>
        <v>1200</v>
      </c>
      <c r="EV226" s="1117">
        <f t="shared" si="618"/>
        <v>0</v>
      </c>
      <c r="EW226" s="1117">
        <f t="shared" si="619"/>
        <v>0</v>
      </c>
      <c r="EX226" s="1117">
        <f t="shared" si="620"/>
        <v>1200</v>
      </c>
      <c r="EY226" s="1073"/>
      <c r="FC226" s="1116">
        <f t="shared" si="621"/>
        <v>1200</v>
      </c>
      <c r="FD226" s="1117">
        <f t="shared" si="622"/>
        <v>0</v>
      </c>
      <c r="FE226" s="1117">
        <f t="shared" si="623"/>
        <v>0</v>
      </c>
      <c r="FF226" s="1117">
        <f t="shared" si="624"/>
        <v>1200</v>
      </c>
      <c r="FG226" s="1073"/>
      <c r="FK226" s="1116">
        <f t="shared" si="625"/>
        <v>1200</v>
      </c>
      <c r="FL226" s="1117">
        <f t="shared" si="626"/>
        <v>0</v>
      </c>
      <c r="FM226" s="1117">
        <f t="shared" si="627"/>
        <v>0</v>
      </c>
      <c r="FN226" s="1117">
        <f t="shared" si="628"/>
        <v>1200</v>
      </c>
      <c r="FO226" s="1073"/>
    </row>
    <row r="227" spans="1:171">
      <c r="A227" s="1423"/>
      <c r="B227" s="913" t="s">
        <v>473</v>
      </c>
      <c r="C227" s="888" t="s">
        <v>72</v>
      </c>
      <c r="D227" s="888">
        <v>928</v>
      </c>
      <c r="E227" s="182" t="str">
        <f>'Sch 3 - Expenses'!E67</f>
        <v>DIST</v>
      </c>
      <c r="F227" s="889"/>
      <c r="G227" s="182">
        <f>'Sch 3 - Expenses'!G67</f>
        <v>8387545.0899999999</v>
      </c>
      <c r="H227" s="182">
        <f>'Sch 3 - Expenses'!H67</f>
        <v>0</v>
      </c>
      <c r="I227" s="182">
        <f>'Sch 3 - Expenses'!I67</f>
        <v>0</v>
      </c>
      <c r="J227" s="1424">
        <f>'Sch 3 - Expenses'!J67</f>
        <v>8387545.0899999999</v>
      </c>
      <c r="K227" s="903">
        <f t="shared" si="548"/>
        <v>1</v>
      </c>
      <c r="O227" s="1116">
        <f t="shared" si="549"/>
        <v>8387545.0899999999</v>
      </c>
      <c r="P227" s="1117">
        <f t="shared" si="550"/>
        <v>0</v>
      </c>
      <c r="Q227" s="1117">
        <f t="shared" si="551"/>
        <v>0</v>
      </c>
      <c r="R227" s="1117">
        <f t="shared" si="552"/>
        <v>8387545.0899999999</v>
      </c>
      <c r="S227" s="1073"/>
      <c r="W227" s="1116">
        <f t="shared" si="553"/>
        <v>8387545.0899999999</v>
      </c>
      <c r="X227" s="1117">
        <f t="shared" si="554"/>
        <v>0</v>
      </c>
      <c r="Y227" s="1117">
        <f t="shared" si="555"/>
        <v>0</v>
      </c>
      <c r="Z227" s="1117">
        <f t="shared" si="556"/>
        <v>8387545.0899999999</v>
      </c>
      <c r="AA227" s="1073"/>
      <c r="AE227" s="1116">
        <f t="shared" si="557"/>
        <v>8387545.0899999999</v>
      </c>
      <c r="AF227" s="1117">
        <f t="shared" si="558"/>
        <v>0</v>
      </c>
      <c r="AG227" s="1117">
        <f t="shared" si="559"/>
        <v>0</v>
      </c>
      <c r="AH227" s="1117">
        <f t="shared" si="560"/>
        <v>8387545.0899999999</v>
      </c>
      <c r="AI227" s="1073"/>
      <c r="AM227" s="1116">
        <f t="shared" si="561"/>
        <v>8387545.0899999999</v>
      </c>
      <c r="AN227" s="1117">
        <f t="shared" si="562"/>
        <v>0</v>
      </c>
      <c r="AO227" s="1117">
        <f t="shared" si="563"/>
        <v>0</v>
      </c>
      <c r="AP227" s="1117">
        <f t="shared" si="564"/>
        <v>8387545.0899999999</v>
      </c>
      <c r="AQ227" s="1073"/>
      <c r="AU227" s="1116">
        <f t="shared" si="565"/>
        <v>8387545.0899999999</v>
      </c>
      <c r="AV227" s="1117">
        <f t="shared" si="566"/>
        <v>0</v>
      </c>
      <c r="AW227" s="1117">
        <f t="shared" si="567"/>
        <v>0</v>
      </c>
      <c r="AX227" s="1117">
        <f t="shared" si="568"/>
        <v>8387545.0899999999</v>
      </c>
      <c r="AY227" s="1073"/>
      <c r="BC227" s="1116">
        <f t="shared" si="569"/>
        <v>8387545.0899999999</v>
      </c>
      <c r="BD227" s="1117">
        <f t="shared" si="570"/>
        <v>0</v>
      </c>
      <c r="BE227" s="1117">
        <f t="shared" si="571"/>
        <v>0</v>
      </c>
      <c r="BF227" s="1117">
        <f t="shared" si="572"/>
        <v>8387545.0899999999</v>
      </c>
      <c r="BG227" s="1073"/>
      <c r="BK227" s="1116">
        <f t="shared" si="573"/>
        <v>8387545.0899999999</v>
      </c>
      <c r="BL227" s="1117">
        <f t="shared" si="574"/>
        <v>0</v>
      </c>
      <c r="BM227" s="1117">
        <f t="shared" si="575"/>
        <v>0</v>
      </c>
      <c r="BN227" s="1117">
        <f t="shared" si="576"/>
        <v>8387545.0899999999</v>
      </c>
      <c r="BO227" s="1073"/>
      <c r="BS227" s="1116">
        <f t="shared" si="577"/>
        <v>8387545.0899999999</v>
      </c>
      <c r="BT227" s="1117">
        <f t="shared" si="578"/>
        <v>0</v>
      </c>
      <c r="BU227" s="1117">
        <f t="shared" si="579"/>
        <v>0</v>
      </c>
      <c r="BV227" s="1117">
        <f t="shared" si="580"/>
        <v>8387545.0899999999</v>
      </c>
      <c r="BW227" s="1073"/>
      <c r="CA227" s="1116">
        <f t="shared" si="581"/>
        <v>8387545.0899999999</v>
      </c>
      <c r="CB227" s="1117">
        <f t="shared" si="582"/>
        <v>0</v>
      </c>
      <c r="CC227" s="1117">
        <f t="shared" si="583"/>
        <v>0</v>
      </c>
      <c r="CD227" s="1117">
        <f t="shared" si="584"/>
        <v>8387545.0899999999</v>
      </c>
      <c r="CE227" s="1073"/>
      <c r="CI227" s="1116">
        <f t="shared" si="585"/>
        <v>8387545.0899999999</v>
      </c>
      <c r="CJ227" s="1117">
        <f t="shared" si="586"/>
        <v>0</v>
      </c>
      <c r="CK227" s="1117">
        <f t="shared" si="587"/>
        <v>0</v>
      </c>
      <c r="CL227" s="1117">
        <f t="shared" si="588"/>
        <v>8387545.0899999999</v>
      </c>
      <c r="CM227" s="1073"/>
      <c r="CQ227" s="1116">
        <f t="shared" si="589"/>
        <v>8387545.0899999999</v>
      </c>
      <c r="CR227" s="1117">
        <f t="shared" si="590"/>
        <v>0</v>
      </c>
      <c r="CS227" s="1117">
        <f t="shared" si="591"/>
        <v>0</v>
      </c>
      <c r="CT227" s="1117">
        <f t="shared" si="592"/>
        <v>8387545.0899999999</v>
      </c>
      <c r="CU227" s="1073"/>
      <c r="CY227" s="1116">
        <f t="shared" si="593"/>
        <v>8387545.0899999999</v>
      </c>
      <c r="CZ227" s="1117">
        <f t="shared" si="594"/>
        <v>0</v>
      </c>
      <c r="DA227" s="1117">
        <f t="shared" si="595"/>
        <v>0</v>
      </c>
      <c r="DB227" s="1117">
        <f t="shared" si="596"/>
        <v>8387545.0899999999</v>
      </c>
      <c r="DC227" s="1073"/>
      <c r="DG227" s="1116">
        <f t="shared" si="597"/>
        <v>8387545.0899999999</v>
      </c>
      <c r="DH227" s="1117">
        <f t="shared" si="598"/>
        <v>0</v>
      </c>
      <c r="DI227" s="1117">
        <f t="shared" si="599"/>
        <v>0</v>
      </c>
      <c r="DJ227" s="1117">
        <f t="shared" si="600"/>
        <v>8387545.0899999999</v>
      </c>
      <c r="DK227" s="1073"/>
      <c r="DO227" s="1116">
        <f t="shared" si="601"/>
        <v>8387545.0899999999</v>
      </c>
      <c r="DP227" s="1117">
        <f t="shared" si="602"/>
        <v>0</v>
      </c>
      <c r="DQ227" s="1117">
        <f t="shared" si="603"/>
        <v>0</v>
      </c>
      <c r="DR227" s="1117">
        <f t="shared" si="604"/>
        <v>8387545.0899999999</v>
      </c>
      <c r="DS227" s="1073"/>
      <c r="DW227" s="1116">
        <f t="shared" si="605"/>
        <v>8387545.0899999999</v>
      </c>
      <c r="DX227" s="1117">
        <f t="shared" si="606"/>
        <v>0</v>
      </c>
      <c r="DY227" s="1117">
        <f t="shared" si="607"/>
        <v>0</v>
      </c>
      <c r="DZ227" s="1117">
        <f t="shared" si="608"/>
        <v>8387545.0899999999</v>
      </c>
      <c r="EA227" s="1073"/>
      <c r="EE227" s="1116">
        <f t="shared" si="609"/>
        <v>8387545.0899999999</v>
      </c>
      <c r="EF227" s="1117">
        <f t="shared" si="610"/>
        <v>0</v>
      </c>
      <c r="EG227" s="1117">
        <f t="shared" si="611"/>
        <v>0</v>
      </c>
      <c r="EH227" s="1117">
        <f t="shared" si="612"/>
        <v>8387545.0899999999</v>
      </c>
      <c r="EI227" s="1073"/>
      <c r="EM227" s="1116">
        <f t="shared" si="613"/>
        <v>8387545.0899999999</v>
      </c>
      <c r="EN227" s="1117">
        <f t="shared" si="614"/>
        <v>0</v>
      </c>
      <c r="EO227" s="1117">
        <f t="shared" si="615"/>
        <v>0</v>
      </c>
      <c r="EP227" s="1117">
        <f t="shared" si="616"/>
        <v>8387545.0899999999</v>
      </c>
      <c r="EQ227" s="1073"/>
      <c r="EU227" s="1116">
        <f t="shared" si="617"/>
        <v>8387545.0899999999</v>
      </c>
      <c r="EV227" s="1117">
        <f t="shared" si="618"/>
        <v>0</v>
      </c>
      <c r="EW227" s="1117">
        <f t="shared" si="619"/>
        <v>0</v>
      </c>
      <c r="EX227" s="1117">
        <f t="shared" si="620"/>
        <v>8387545.0899999999</v>
      </c>
      <c r="EY227" s="1073"/>
      <c r="FC227" s="1116">
        <f t="shared" si="621"/>
        <v>8387545.0899999999</v>
      </c>
      <c r="FD227" s="1117">
        <f t="shared" si="622"/>
        <v>0</v>
      </c>
      <c r="FE227" s="1117">
        <f t="shared" si="623"/>
        <v>0</v>
      </c>
      <c r="FF227" s="1117">
        <f t="shared" si="624"/>
        <v>8387545.0899999999</v>
      </c>
      <c r="FG227" s="1073"/>
      <c r="FK227" s="1116">
        <f t="shared" si="625"/>
        <v>8387545.0899999999</v>
      </c>
      <c r="FL227" s="1117">
        <f t="shared" si="626"/>
        <v>0</v>
      </c>
      <c r="FM227" s="1117">
        <f t="shared" si="627"/>
        <v>0</v>
      </c>
      <c r="FN227" s="1117">
        <f t="shared" si="628"/>
        <v>8387545.0899999999</v>
      </c>
      <c r="FO227" s="1073"/>
    </row>
    <row r="228" spans="1:171">
      <c r="A228" s="1423"/>
      <c r="B228" s="913" t="s">
        <v>168</v>
      </c>
      <c r="C228" s="888" t="s">
        <v>72</v>
      </c>
      <c r="D228" s="888">
        <v>929</v>
      </c>
      <c r="E228" s="182" t="str">
        <f>'Sch 3 - Expenses'!E68</f>
        <v>PTDG</v>
      </c>
      <c r="F228" s="889"/>
      <c r="G228" s="182">
        <f>'Sch 3 - Expenses'!G68</f>
        <v>0</v>
      </c>
      <c r="H228" s="182">
        <f>'Sch 3 - Expenses'!H68</f>
        <v>0</v>
      </c>
      <c r="I228" s="182">
        <f>'Sch 3 - Expenses'!I68</f>
        <v>0</v>
      </c>
      <c r="J228" s="1424">
        <f>'Sch 3 - Expenses'!J68</f>
        <v>0</v>
      </c>
      <c r="K228" s="903">
        <f t="shared" si="548"/>
        <v>1</v>
      </c>
      <c r="O228" s="1116">
        <f t="shared" si="549"/>
        <v>0</v>
      </c>
      <c r="P228" s="1117">
        <f t="shared" si="550"/>
        <v>0</v>
      </c>
      <c r="Q228" s="1117">
        <f t="shared" si="551"/>
        <v>0</v>
      </c>
      <c r="R228" s="1117">
        <f t="shared" si="552"/>
        <v>0</v>
      </c>
      <c r="S228" s="1073"/>
      <c r="W228" s="1116">
        <f t="shared" si="553"/>
        <v>0</v>
      </c>
      <c r="X228" s="1117">
        <f t="shared" si="554"/>
        <v>0</v>
      </c>
      <c r="Y228" s="1117">
        <f t="shared" si="555"/>
        <v>0</v>
      </c>
      <c r="Z228" s="1117">
        <f t="shared" si="556"/>
        <v>0</v>
      </c>
      <c r="AA228" s="1073"/>
      <c r="AE228" s="1116">
        <f t="shared" si="557"/>
        <v>0</v>
      </c>
      <c r="AF228" s="1117">
        <f t="shared" si="558"/>
        <v>0</v>
      </c>
      <c r="AG228" s="1117">
        <f t="shared" si="559"/>
        <v>0</v>
      </c>
      <c r="AH228" s="1117">
        <f t="shared" si="560"/>
        <v>0</v>
      </c>
      <c r="AI228" s="1073"/>
      <c r="AM228" s="1116">
        <f t="shared" si="561"/>
        <v>0</v>
      </c>
      <c r="AN228" s="1117">
        <f t="shared" si="562"/>
        <v>0</v>
      </c>
      <c r="AO228" s="1117">
        <f t="shared" si="563"/>
        <v>0</v>
      </c>
      <c r="AP228" s="1117">
        <f t="shared" si="564"/>
        <v>0</v>
      </c>
      <c r="AQ228" s="1073"/>
      <c r="AU228" s="1116">
        <f t="shared" si="565"/>
        <v>0</v>
      </c>
      <c r="AV228" s="1117">
        <f t="shared" si="566"/>
        <v>0</v>
      </c>
      <c r="AW228" s="1117">
        <f t="shared" si="567"/>
        <v>0</v>
      </c>
      <c r="AX228" s="1117">
        <f t="shared" si="568"/>
        <v>0</v>
      </c>
      <c r="AY228" s="1073"/>
      <c r="BC228" s="1116">
        <f t="shared" si="569"/>
        <v>0</v>
      </c>
      <c r="BD228" s="1117">
        <f t="shared" si="570"/>
        <v>0</v>
      </c>
      <c r="BE228" s="1117">
        <f t="shared" si="571"/>
        <v>0</v>
      </c>
      <c r="BF228" s="1117">
        <f t="shared" si="572"/>
        <v>0</v>
      </c>
      <c r="BG228" s="1073"/>
      <c r="BK228" s="1116">
        <f t="shared" si="573"/>
        <v>0</v>
      </c>
      <c r="BL228" s="1117">
        <f t="shared" si="574"/>
        <v>0</v>
      </c>
      <c r="BM228" s="1117">
        <f t="shared" si="575"/>
        <v>0</v>
      </c>
      <c r="BN228" s="1117">
        <f t="shared" si="576"/>
        <v>0</v>
      </c>
      <c r="BO228" s="1073"/>
      <c r="BS228" s="1116">
        <f t="shared" si="577"/>
        <v>0</v>
      </c>
      <c r="BT228" s="1117">
        <f t="shared" si="578"/>
        <v>0</v>
      </c>
      <c r="BU228" s="1117">
        <f t="shared" si="579"/>
        <v>0</v>
      </c>
      <c r="BV228" s="1117">
        <f t="shared" si="580"/>
        <v>0</v>
      </c>
      <c r="BW228" s="1073"/>
      <c r="CA228" s="1116">
        <f t="shared" si="581"/>
        <v>0</v>
      </c>
      <c r="CB228" s="1117">
        <f t="shared" si="582"/>
        <v>0</v>
      </c>
      <c r="CC228" s="1117">
        <f t="shared" si="583"/>
        <v>0</v>
      </c>
      <c r="CD228" s="1117">
        <f t="shared" si="584"/>
        <v>0</v>
      </c>
      <c r="CE228" s="1073"/>
      <c r="CI228" s="1116">
        <f t="shared" si="585"/>
        <v>0</v>
      </c>
      <c r="CJ228" s="1117">
        <f t="shared" si="586"/>
        <v>0</v>
      </c>
      <c r="CK228" s="1117">
        <f t="shared" si="587"/>
        <v>0</v>
      </c>
      <c r="CL228" s="1117">
        <f t="shared" si="588"/>
        <v>0</v>
      </c>
      <c r="CM228" s="1073"/>
      <c r="CQ228" s="1116">
        <f t="shared" si="589"/>
        <v>0</v>
      </c>
      <c r="CR228" s="1117">
        <f t="shared" si="590"/>
        <v>0</v>
      </c>
      <c r="CS228" s="1117">
        <f t="shared" si="591"/>
        <v>0</v>
      </c>
      <c r="CT228" s="1117">
        <f t="shared" si="592"/>
        <v>0</v>
      </c>
      <c r="CU228" s="1073"/>
      <c r="CY228" s="1116">
        <f t="shared" si="593"/>
        <v>0</v>
      </c>
      <c r="CZ228" s="1117">
        <f t="shared" si="594"/>
        <v>0</v>
      </c>
      <c r="DA228" s="1117">
        <f t="shared" si="595"/>
        <v>0</v>
      </c>
      <c r="DB228" s="1117">
        <f t="shared" si="596"/>
        <v>0</v>
      </c>
      <c r="DC228" s="1073"/>
      <c r="DG228" s="1116">
        <f t="shared" si="597"/>
        <v>0</v>
      </c>
      <c r="DH228" s="1117">
        <f t="shared" si="598"/>
        <v>0</v>
      </c>
      <c r="DI228" s="1117">
        <f t="shared" si="599"/>
        <v>0</v>
      </c>
      <c r="DJ228" s="1117">
        <f t="shared" si="600"/>
        <v>0</v>
      </c>
      <c r="DK228" s="1073"/>
      <c r="DO228" s="1116">
        <f t="shared" si="601"/>
        <v>0</v>
      </c>
      <c r="DP228" s="1117">
        <f t="shared" si="602"/>
        <v>0</v>
      </c>
      <c r="DQ228" s="1117">
        <f t="shared" si="603"/>
        <v>0</v>
      </c>
      <c r="DR228" s="1117">
        <f t="shared" si="604"/>
        <v>0</v>
      </c>
      <c r="DS228" s="1073"/>
      <c r="DW228" s="1116">
        <f t="shared" si="605"/>
        <v>0</v>
      </c>
      <c r="DX228" s="1117">
        <f t="shared" si="606"/>
        <v>0</v>
      </c>
      <c r="DY228" s="1117">
        <f t="shared" si="607"/>
        <v>0</v>
      </c>
      <c r="DZ228" s="1117">
        <f t="shared" si="608"/>
        <v>0</v>
      </c>
      <c r="EA228" s="1073"/>
      <c r="EE228" s="1116">
        <f t="shared" si="609"/>
        <v>0</v>
      </c>
      <c r="EF228" s="1117">
        <f t="shared" si="610"/>
        <v>0</v>
      </c>
      <c r="EG228" s="1117">
        <f t="shared" si="611"/>
        <v>0</v>
      </c>
      <c r="EH228" s="1117">
        <f t="shared" si="612"/>
        <v>0</v>
      </c>
      <c r="EI228" s="1073"/>
      <c r="EM228" s="1116">
        <f t="shared" si="613"/>
        <v>0</v>
      </c>
      <c r="EN228" s="1117">
        <f t="shared" si="614"/>
        <v>0</v>
      </c>
      <c r="EO228" s="1117">
        <f t="shared" si="615"/>
        <v>0</v>
      </c>
      <c r="EP228" s="1117">
        <f t="shared" si="616"/>
        <v>0</v>
      </c>
      <c r="EQ228" s="1073"/>
      <c r="EU228" s="1116">
        <f t="shared" si="617"/>
        <v>0</v>
      </c>
      <c r="EV228" s="1117">
        <f t="shared" si="618"/>
        <v>0</v>
      </c>
      <c r="EW228" s="1117">
        <f t="shared" si="619"/>
        <v>0</v>
      </c>
      <c r="EX228" s="1117">
        <f t="shared" si="620"/>
        <v>0</v>
      </c>
      <c r="EY228" s="1073"/>
      <c r="FC228" s="1116">
        <f t="shared" si="621"/>
        <v>0</v>
      </c>
      <c r="FD228" s="1117">
        <f t="shared" si="622"/>
        <v>0</v>
      </c>
      <c r="FE228" s="1117">
        <f t="shared" si="623"/>
        <v>0</v>
      </c>
      <c r="FF228" s="1117">
        <f t="shared" si="624"/>
        <v>0</v>
      </c>
      <c r="FG228" s="1073"/>
      <c r="FK228" s="1116">
        <f t="shared" si="625"/>
        <v>0</v>
      </c>
      <c r="FL228" s="1117">
        <f t="shared" si="626"/>
        <v>0</v>
      </c>
      <c r="FM228" s="1117">
        <f t="shared" si="627"/>
        <v>0</v>
      </c>
      <c r="FN228" s="1117">
        <f t="shared" si="628"/>
        <v>0</v>
      </c>
      <c r="FO228" s="1073"/>
    </row>
    <row r="229" spans="1:171">
      <c r="A229" s="1423"/>
      <c r="B229" s="913" t="s">
        <v>169</v>
      </c>
      <c r="C229" s="888" t="s">
        <v>72</v>
      </c>
      <c r="D229" s="888">
        <v>930.1</v>
      </c>
      <c r="E229" s="182" t="str">
        <f>'Sch 3 - Expenses'!E69</f>
        <v>DIST</v>
      </c>
      <c r="F229" s="889"/>
      <c r="G229" s="182">
        <f>'Sch 3 - Expenses'!G69</f>
        <v>0</v>
      </c>
      <c r="H229" s="182">
        <f>'Sch 3 - Expenses'!H69</f>
        <v>0</v>
      </c>
      <c r="I229" s="182">
        <f>'Sch 3 - Expenses'!I69</f>
        <v>0</v>
      </c>
      <c r="J229" s="1424">
        <f>'Sch 3 - Expenses'!J69</f>
        <v>0</v>
      </c>
      <c r="K229" s="903">
        <f t="shared" si="548"/>
        <v>1</v>
      </c>
      <c r="O229" s="1116">
        <f t="shared" si="549"/>
        <v>0</v>
      </c>
      <c r="P229" s="1117">
        <f t="shared" si="550"/>
        <v>0</v>
      </c>
      <c r="Q229" s="1117">
        <f t="shared" si="551"/>
        <v>0</v>
      </c>
      <c r="R229" s="1117">
        <f t="shared" si="552"/>
        <v>0</v>
      </c>
      <c r="S229" s="1073"/>
      <c r="W229" s="1116">
        <f t="shared" si="553"/>
        <v>0</v>
      </c>
      <c r="X229" s="1117">
        <f t="shared" si="554"/>
        <v>0</v>
      </c>
      <c r="Y229" s="1117">
        <f t="shared" si="555"/>
        <v>0</v>
      </c>
      <c r="Z229" s="1117">
        <f t="shared" si="556"/>
        <v>0</v>
      </c>
      <c r="AA229" s="1073"/>
      <c r="AE229" s="1116">
        <f t="shared" si="557"/>
        <v>0</v>
      </c>
      <c r="AF229" s="1117">
        <f t="shared" si="558"/>
        <v>0</v>
      </c>
      <c r="AG229" s="1117">
        <f t="shared" si="559"/>
        <v>0</v>
      </c>
      <c r="AH229" s="1117">
        <f t="shared" si="560"/>
        <v>0</v>
      </c>
      <c r="AI229" s="1073"/>
      <c r="AM229" s="1116">
        <f t="shared" si="561"/>
        <v>0</v>
      </c>
      <c r="AN229" s="1117">
        <f t="shared" si="562"/>
        <v>0</v>
      </c>
      <c r="AO229" s="1117">
        <f t="shared" si="563"/>
        <v>0</v>
      </c>
      <c r="AP229" s="1117">
        <f t="shared" si="564"/>
        <v>0</v>
      </c>
      <c r="AQ229" s="1073"/>
      <c r="AU229" s="1116">
        <f t="shared" si="565"/>
        <v>0</v>
      </c>
      <c r="AV229" s="1117">
        <f t="shared" si="566"/>
        <v>0</v>
      </c>
      <c r="AW229" s="1117">
        <f t="shared" si="567"/>
        <v>0</v>
      </c>
      <c r="AX229" s="1117">
        <f t="shared" si="568"/>
        <v>0</v>
      </c>
      <c r="AY229" s="1073"/>
      <c r="BC229" s="1116">
        <f t="shared" si="569"/>
        <v>0</v>
      </c>
      <c r="BD229" s="1117">
        <f t="shared" si="570"/>
        <v>0</v>
      </c>
      <c r="BE229" s="1117">
        <f t="shared" si="571"/>
        <v>0</v>
      </c>
      <c r="BF229" s="1117">
        <f t="shared" si="572"/>
        <v>0</v>
      </c>
      <c r="BG229" s="1073"/>
      <c r="BK229" s="1116">
        <f t="shared" si="573"/>
        <v>0</v>
      </c>
      <c r="BL229" s="1117">
        <f t="shared" si="574"/>
        <v>0</v>
      </c>
      <c r="BM229" s="1117">
        <f t="shared" si="575"/>
        <v>0</v>
      </c>
      <c r="BN229" s="1117">
        <f t="shared" si="576"/>
        <v>0</v>
      </c>
      <c r="BO229" s="1073"/>
      <c r="BS229" s="1116">
        <f t="shared" si="577"/>
        <v>0</v>
      </c>
      <c r="BT229" s="1117">
        <f t="shared" si="578"/>
        <v>0</v>
      </c>
      <c r="BU229" s="1117">
        <f t="shared" si="579"/>
        <v>0</v>
      </c>
      <c r="BV229" s="1117">
        <f t="shared" si="580"/>
        <v>0</v>
      </c>
      <c r="BW229" s="1073"/>
      <c r="CA229" s="1116">
        <f t="shared" si="581"/>
        <v>0</v>
      </c>
      <c r="CB229" s="1117">
        <f t="shared" si="582"/>
        <v>0</v>
      </c>
      <c r="CC229" s="1117">
        <f t="shared" si="583"/>
        <v>0</v>
      </c>
      <c r="CD229" s="1117">
        <f t="shared" si="584"/>
        <v>0</v>
      </c>
      <c r="CE229" s="1073"/>
      <c r="CI229" s="1116">
        <f t="shared" si="585"/>
        <v>0</v>
      </c>
      <c r="CJ229" s="1117">
        <f t="shared" si="586"/>
        <v>0</v>
      </c>
      <c r="CK229" s="1117">
        <f t="shared" si="587"/>
        <v>0</v>
      </c>
      <c r="CL229" s="1117">
        <f t="shared" si="588"/>
        <v>0</v>
      </c>
      <c r="CM229" s="1073"/>
      <c r="CQ229" s="1116">
        <f t="shared" si="589"/>
        <v>0</v>
      </c>
      <c r="CR229" s="1117">
        <f t="shared" si="590"/>
        <v>0</v>
      </c>
      <c r="CS229" s="1117">
        <f t="shared" si="591"/>
        <v>0</v>
      </c>
      <c r="CT229" s="1117">
        <f t="shared" si="592"/>
        <v>0</v>
      </c>
      <c r="CU229" s="1073"/>
      <c r="CY229" s="1116">
        <f t="shared" si="593"/>
        <v>0</v>
      </c>
      <c r="CZ229" s="1117">
        <f t="shared" si="594"/>
        <v>0</v>
      </c>
      <c r="DA229" s="1117">
        <f t="shared" si="595"/>
        <v>0</v>
      </c>
      <c r="DB229" s="1117">
        <f t="shared" si="596"/>
        <v>0</v>
      </c>
      <c r="DC229" s="1073"/>
      <c r="DG229" s="1116">
        <f t="shared" si="597"/>
        <v>0</v>
      </c>
      <c r="DH229" s="1117">
        <f t="shared" si="598"/>
        <v>0</v>
      </c>
      <c r="DI229" s="1117">
        <f t="shared" si="599"/>
        <v>0</v>
      </c>
      <c r="DJ229" s="1117">
        <f t="shared" si="600"/>
        <v>0</v>
      </c>
      <c r="DK229" s="1073"/>
      <c r="DO229" s="1116">
        <f t="shared" si="601"/>
        <v>0</v>
      </c>
      <c r="DP229" s="1117">
        <f t="shared" si="602"/>
        <v>0</v>
      </c>
      <c r="DQ229" s="1117">
        <f t="shared" si="603"/>
        <v>0</v>
      </c>
      <c r="DR229" s="1117">
        <f t="shared" si="604"/>
        <v>0</v>
      </c>
      <c r="DS229" s="1073"/>
      <c r="DW229" s="1116">
        <f t="shared" si="605"/>
        <v>0</v>
      </c>
      <c r="DX229" s="1117">
        <f t="shared" si="606"/>
        <v>0</v>
      </c>
      <c r="DY229" s="1117">
        <f t="shared" si="607"/>
        <v>0</v>
      </c>
      <c r="DZ229" s="1117">
        <f t="shared" si="608"/>
        <v>0</v>
      </c>
      <c r="EA229" s="1073"/>
      <c r="EE229" s="1116">
        <f t="shared" si="609"/>
        <v>0</v>
      </c>
      <c r="EF229" s="1117">
        <f t="shared" si="610"/>
        <v>0</v>
      </c>
      <c r="EG229" s="1117">
        <f t="shared" si="611"/>
        <v>0</v>
      </c>
      <c r="EH229" s="1117">
        <f t="shared" si="612"/>
        <v>0</v>
      </c>
      <c r="EI229" s="1073"/>
      <c r="EM229" s="1116">
        <f t="shared" si="613"/>
        <v>0</v>
      </c>
      <c r="EN229" s="1117">
        <f t="shared" si="614"/>
        <v>0</v>
      </c>
      <c r="EO229" s="1117">
        <f t="shared" si="615"/>
        <v>0</v>
      </c>
      <c r="EP229" s="1117">
        <f t="shared" si="616"/>
        <v>0</v>
      </c>
      <c r="EQ229" s="1073"/>
      <c r="EU229" s="1116">
        <f t="shared" si="617"/>
        <v>0</v>
      </c>
      <c r="EV229" s="1117">
        <f t="shared" si="618"/>
        <v>0</v>
      </c>
      <c r="EW229" s="1117">
        <f t="shared" si="619"/>
        <v>0</v>
      </c>
      <c r="EX229" s="1117">
        <f t="shared" si="620"/>
        <v>0</v>
      </c>
      <c r="EY229" s="1073"/>
      <c r="FC229" s="1116">
        <f t="shared" si="621"/>
        <v>0</v>
      </c>
      <c r="FD229" s="1117">
        <f t="shared" si="622"/>
        <v>0</v>
      </c>
      <c r="FE229" s="1117">
        <f t="shared" si="623"/>
        <v>0</v>
      </c>
      <c r="FF229" s="1117">
        <f t="shared" si="624"/>
        <v>0</v>
      </c>
      <c r="FG229" s="1073"/>
      <c r="FK229" s="1116">
        <f t="shared" si="625"/>
        <v>0</v>
      </c>
      <c r="FL229" s="1117">
        <f t="shared" si="626"/>
        <v>0</v>
      </c>
      <c r="FM229" s="1117">
        <f t="shared" si="627"/>
        <v>0</v>
      </c>
      <c r="FN229" s="1117">
        <f t="shared" si="628"/>
        <v>0</v>
      </c>
      <c r="FO229" s="1073"/>
    </row>
    <row r="230" spans="1:171">
      <c r="A230" s="1423"/>
      <c r="B230" s="913" t="s">
        <v>472</v>
      </c>
      <c r="C230" s="888" t="s">
        <v>72</v>
      </c>
      <c r="D230" s="888">
        <v>930.2</v>
      </c>
      <c r="E230" s="182" t="str">
        <f>'Sch 3 - Expenses'!E70</f>
        <v>DIST</v>
      </c>
      <c r="F230" s="889"/>
      <c r="G230" s="182">
        <f>'Sch 3 - Expenses'!G70</f>
        <v>5644866</v>
      </c>
      <c r="H230" s="182">
        <f>'Sch 3 - Expenses'!H70</f>
        <v>0</v>
      </c>
      <c r="I230" s="182">
        <f>'Sch 3 - Expenses'!I70</f>
        <v>0</v>
      </c>
      <c r="J230" s="1424">
        <f>'Sch 3 - Expenses'!J70</f>
        <v>5644866</v>
      </c>
      <c r="K230" s="903">
        <f t="shared" si="548"/>
        <v>1</v>
      </c>
      <c r="O230" s="1116">
        <f t="shared" si="549"/>
        <v>5644866</v>
      </c>
      <c r="P230" s="1117">
        <f t="shared" si="550"/>
        <v>0</v>
      </c>
      <c r="Q230" s="1117">
        <f t="shared" si="551"/>
        <v>0</v>
      </c>
      <c r="R230" s="1117">
        <f t="shared" si="552"/>
        <v>5644866</v>
      </c>
      <c r="S230" s="1073"/>
      <c r="W230" s="1116">
        <f t="shared" si="553"/>
        <v>5644866</v>
      </c>
      <c r="X230" s="1117">
        <f t="shared" si="554"/>
        <v>0</v>
      </c>
      <c r="Y230" s="1117">
        <f t="shared" si="555"/>
        <v>0</v>
      </c>
      <c r="Z230" s="1117">
        <f t="shared" si="556"/>
        <v>5644866</v>
      </c>
      <c r="AA230" s="1073"/>
      <c r="AE230" s="1116">
        <f t="shared" si="557"/>
        <v>5644866</v>
      </c>
      <c r="AF230" s="1117">
        <f t="shared" si="558"/>
        <v>0</v>
      </c>
      <c r="AG230" s="1117">
        <f t="shared" si="559"/>
        <v>0</v>
      </c>
      <c r="AH230" s="1117">
        <f t="shared" si="560"/>
        <v>5644866</v>
      </c>
      <c r="AI230" s="1073"/>
      <c r="AM230" s="1116">
        <f t="shared" si="561"/>
        <v>5644866</v>
      </c>
      <c r="AN230" s="1117">
        <f t="shared" si="562"/>
        <v>0</v>
      </c>
      <c r="AO230" s="1117">
        <f t="shared" si="563"/>
        <v>0</v>
      </c>
      <c r="AP230" s="1117">
        <f t="shared" si="564"/>
        <v>5644866</v>
      </c>
      <c r="AQ230" s="1073"/>
      <c r="AU230" s="1116">
        <f t="shared" si="565"/>
        <v>5644866</v>
      </c>
      <c r="AV230" s="1117">
        <f t="shared" si="566"/>
        <v>0</v>
      </c>
      <c r="AW230" s="1117">
        <f t="shared" si="567"/>
        <v>0</v>
      </c>
      <c r="AX230" s="1117">
        <f t="shared" si="568"/>
        <v>5644866</v>
      </c>
      <c r="AY230" s="1073"/>
      <c r="BC230" s="1116">
        <f t="shared" si="569"/>
        <v>5644866</v>
      </c>
      <c r="BD230" s="1117">
        <f t="shared" si="570"/>
        <v>0</v>
      </c>
      <c r="BE230" s="1117">
        <f t="shared" si="571"/>
        <v>0</v>
      </c>
      <c r="BF230" s="1117">
        <f t="shared" si="572"/>
        <v>5644866</v>
      </c>
      <c r="BG230" s="1073"/>
      <c r="BK230" s="1116">
        <f t="shared" si="573"/>
        <v>5644866</v>
      </c>
      <c r="BL230" s="1117">
        <f t="shared" si="574"/>
        <v>0</v>
      </c>
      <c r="BM230" s="1117">
        <f t="shared" si="575"/>
        <v>0</v>
      </c>
      <c r="BN230" s="1117">
        <f t="shared" si="576"/>
        <v>5644866</v>
      </c>
      <c r="BO230" s="1073"/>
      <c r="BS230" s="1116">
        <f t="shared" si="577"/>
        <v>5644866</v>
      </c>
      <c r="BT230" s="1117">
        <f t="shared" si="578"/>
        <v>0</v>
      </c>
      <c r="BU230" s="1117">
        <f t="shared" si="579"/>
        <v>0</v>
      </c>
      <c r="BV230" s="1117">
        <f t="shared" si="580"/>
        <v>5644866</v>
      </c>
      <c r="BW230" s="1073"/>
      <c r="CA230" s="1116">
        <f t="shared" si="581"/>
        <v>5644866</v>
      </c>
      <c r="CB230" s="1117">
        <f t="shared" si="582"/>
        <v>0</v>
      </c>
      <c r="CC230" s="1117">
        <f t="shared" si="583"/>
        <v>0</v>
      </c>
      <c r="CD230" s="1117">
        <f t="shared" si="584"/>
        <v>5644866</v>
      </c>
      <c r="CE230" s="1073"/>
      <c r="CI230" s="1116">
        <f t="shared" si="585"/>
        <v>5644866</v>
      </c>
      <c r="CJ230" s="1117">
        <f t="shared" si="586"/>
        <v>0</v>
      </c>
      <c r="CK230" s="1117">
        <f t="shared" si="587"/>
        <v>0</v>
      </c>
      <c r="CL230" s="1117">
        <f t="shared" si="588"/>
        <v>5644866</v>
      </c>
      <c r="CM230" s="1073"/>
      <c r="CQ230" s="1116">
        <f t="shared" si="589"/>
        <v>5644866</v>
      </c>
      <c r="CR230" s="1117">
        <f t="shared" si="590"/>
        <v>0</v>
      </c>
      <c r="CS230" s="1117">
        <f t="shared" si="591"/>
        <v>0</v>
      </c>
      <c r="CT230" s="1117">
        <f t="shared" si="592"/>
        <v>5644866</v>
      </c>
      <c r="CU230" s="1073"/>
      <c r="CY230" s="1116">
        <f t="shared" si="593"/>
        <v>5644866</v>
      </c>
      <c r="CZ230" s="1117">
        <f t="shared" si="594"/>
        <v>0</v>
      </c>
      <c r="DA230" s="1117">
        <f t="shared" si="595"/>
        <v>0</v>
      </c>
      <c r="DB230" s="1117">
        <f t="shared" si="596"/>
        <v>5644866</v>
      </c>
      <c r="DC230" s="1073"/>
      <c r="DG230" s="1116">
        <f t="shared" si="597"/>
        <v>5644866</v>
      </c>
      <c r="DH230" s="1117">
        <f t="shared" si="598"/>
        <v>0</v>
      </c>
      <c r="DI230" s="1117">
        <f t="shared" si="599"/>
        <v>0</v>
      </c>
      <c r="DJ230" s="1117">
        <f t="shared" si="600"/>
        <v>5644866</v>
      </c>
      <c r="DK230" s="1073"/>
      <c r="DO230" s="1116">
        <f t="shared" si="601"/>
        <v>5644866</v>
      </c>
      <c r="DP230" s="1117">
        <f t="shared" si="602"/>
        <v>0</v>
      </c>
      <c r="DQ230" s="1117">
        <f t="shared" si="603"/>
        <v>0</v>
      </c>
      <c r="DR230" s="1117">
        <f t="shared" si="604"/>
        <v>5644866</v>
      </c>
      <c r="DS230" s="1073"/>
      <c r="DW230" s="1116">
        <f t="shared" si="605"/>
        <v>5644866</v>
      </c>
      <c r="DX230" s="1117">
        <f t="shared" si="606"/>
        <v>0</v>
      </c>
      <c r="DY230" s="1117">
        <f t="shared" si="607"/>
        <v>0</v>
      </c>
      <c r="DZ230" s="1117">
        <f t="shared" si="608"/>
        <v>5644866</v>
      </c>
      <c r="EA230" s="1073"/>
      <c r="EE230" s="1116">
        <f t="shared" si="609"/>
        <v>5644866</v>
      </c>
      <c r="EF230" s="1117">
        <f t="shared" si="610"/>
        <v>0</v>
      </c>
      <c r="EG230" s="1117">
        <f t="shared" si="611"/>
        <v>0</v>
      </c>
      <c r="EH230" s="1117">
        <f t="shared" si="612"/>
        <v>5644866</v>
      </c>
      <c r="EI230" s="1073"/>
      <c r="EM230" s="1116">
        <f t="shared" si="613"/>
        <v>5644866</v>
      </c>
      <c r="EN230" s="1117">
        <f t="shared" si="614"/>
        <v>0</v>
      </c>
      <c r="EO230" s="1117">
        <f t="shared" si="615"/>
        <v>0</v>
      </c>
      <c r="EP230" s="1117">
        <f t="shared" si="616"/>
        <v>5644866</v>
      </c>
      <c r="EQ230" s="1073"/>
      <c r="EU230" s="1116">
        <f t="shared" si="617"/>
        <v>5644866</v>
      </c>
      <c r="EV230" s="1117">
        <f t="shared" si="618"/>
        <v>0</v>
      </c>
      <c r="EW230" s="1117">
        <f t="shared" si="619"/>
        <v>0</v>
      </c>
      <c r="EX230" s="1117">
        <f t="shared" si="620"/>
        <v>5644866</v>
      </c>
      <c r="EY230" s="1073"/>
      <c r="FC230" s="1116">
        <f t="shared" si="621"/>
        <v>5644866</v>
      </c>
      <c r="FD230" s="1117">
        <f t="shared" si="622"/>
        <v>0</v>
      </c>
      <c r="FE230" s="1117">
        <f t="shared" si="623"/>
        <v>0</v>
      </c>
      <c r="FF230" s="1117">
        <f t="shared" si="624"/>
        <v>5644866</v>
      </c>
      <c r="FG230" s="1073"/>
      <c r="FK230" s="1116">
        <f t="shared" si="625"/>
        <v>5644866</v>
      </c>
      <c r="FL230" s="1117">
        <f t="shared" si="626"/>
        <v>0</v>
      </c>
      <c r="FM230" s="1117">
        <f t="shared" si="627"/>
        <v>0</v>
      </c>
      <c r="FN230" s="1117">
        <f t="shared" si="628"/>
        <v>5644866</v>
      </c>
      <c r="FO230" s="1073"/>
    </row>
    <row r="231" spans="1:171">
      <c r="A231" s="1423"/>
      <c r="B231" s="913" t="s">
        <v>496</v>
      </c>
      <c r="C231" s="888" t="s">
        <v>72</v>
      </c>
      <c r="D231" s="888">
        <v>931</v>
      </c>
      <c r="E231" s="182" t="str">
        <f>'Sch 3 - Expenses'!E71</f>
        <v>DIST</v>
      </c>
      <c r="F231" s="889"/>
      <c r="G231" s="182">
        <f>'Sch 3 - Expenses'!G71</f>
        <v>938930</v>
      </c>
      <c r="H231" s="182">
        <f>'Sch 3 - Expenses'!H71</f>
        <v>0</v>
      </c>
      <c r="I231" s="182">
        <f>'Sch 3 - Expenses'!I71</f>
        <v>0</v>
      </c>
      <c r="J231" s="1424">
        <f>'Sch 3 - Expenses'!J71</f>
        <v>938930</v>
      </c>
      <c r="K231" s="903">
        <f t="shared" si="548"/>
        <v>1</v>
      </c>
      <c r="O231" s="1116">
        <f t="shared" si="549"/>
        <v>938930</v>
      </c>
      <c r="P231" s="1117">
        <f t="shared" si="550"/>
        <v>0</v>
      </c>
      <c r="Q231" s="1117">
        <f t="shared" si="551"/>
        <v>0</v>
      </c>
      <c r="R231" s="1117">
        <f t="shared" si="552"/>
        <v>938930</v>
      </c>
      <c r="S231" s="1073"/>
      <c r="W231" s="1116">
        <f t="shared" si="553"/>
        <v>938930</v>
      </c>
      <c r="X231" s="1117">
        <f t="shared" si="554"/>
        <v>0</v>
      </c>
      <c r="Y231" s="1117">
        <f t="shared" si="555"/>
        <v>0</v>
      </c>
      <c r="Z231" s="1117">
        <f t="shared" si="556"/>
        <v>938930</v>
      </c>
      <c r="AA231" s="1073"/>
      <c r="AE231" s="1116">
        <f t="shared" si="557"/>
        <v>938930</v>
      </c>
      <c r="AF231" s="1117">
        <f t="shared" si="558"/>
        <v>0</v>
      </c>
      <c r="AG231" s="1117">
        <f t="shared" si="559"/>
        <v>0</v>
      </c>
      <c r="AH231" s="1117">
        <f t="shared" si="560"/>
        <v>938930</v>
      </c>
      <c r="AI231" s="1073"/>
      <c r="AM231" s="1116">
        <f t="shared" si="561"/>
        <v>938930</v>
      </c>
      <c r="AN231" s="1117">
        <f t="shared" si="562"/>
        <v>0</v>
      </c>
      <c r="AO231" s="1117">
        <f t="shared" si="563"/>
        <v>0</v>
      </c>
      <c r="AP231" s="1117">
        <f t="shared" si="564"/>
        <v>938930</v>
      </c>
      <c r="AQ231" s="1073"/>
      <c r="AU231" s="1116">
        <f t="shared" si="565"/>
        <v>938930</v>
      </c>
      <c r="AV231" s="1117">
        <f t="shared" si="566"/>
        <v>0</v>
      </c>
      <c r="AW231" s="1117">
        <f t="shared" si="567"/>
        <v>0</v>
      </c>
      <c r="AX231" s="1117">
        <f t="shared" si="568"/>
        <v>938930</v>
      </c>
      <c r="AY231" s="1073"/>
      <c r="BC231" s="1116">
        <f t="shared" si="569"/>
        <v>938930</v>
      </c>
      <c r="BD231" s="1117">
        <f t="shared" si="570"/>
        <v>0</v>
      </c>
      <c r="BE231" s="1117">
        <f t="shared" si="571"/>
        <v>0</v>
      </c>
      <c r="BF231" s="1117">
        <f t="shared" si="572"/>
        <v>938930</v>
      </c>
      <c r="BG231" s="1073"/>
      <c r="BK231" s="1116">
        <f t="shared" si="573"/>
        <v>938930</v>
      </c>
      <c r="BL231" s="1117">
        <f t="shared" si="574"/>
        <v>0</v>
      </c>
      <c r="BM231" s="1117">
        <f t="shared" si="575"/>
        <v>0</v>
      </c>
      <c r="BN231" s="1117">
        <f t="shared" si="576"/>
        <v>938930</v>
      </c>
      <c r="BO231" s="1073"/>
      <c r="BS231" s="1116">
        <f t="shared" si="577"/>
        <v>938930</v>
      </c>
      <c r="BT231" s="1117">
        <f t="shared" si="578"/>
        <v>0</v>
      </c>
      <c r="BU231" s="1117">
        <f t="shared" si="579"/>
        <v>0</v>
      </c>
      <c r="BV231" s="1117">
        <f t="shared" si="580"/>
        <v>938930</v>
      </c>
      <c r="BW231" s="1073"/>
      <c r="CA231" s="1116">
        <f t="shared" si="581"/>
        <v>938930</v>
      </c>
      <c r="CB231" s="1117">
        <f t="shared" si="582"/>
        <v>0</v>
      </c>
      <c r="CC231" s="1117">
        <f t="shared" si="583"/>
        <v>0</v>
      </c>
      <c r="CD231" s="1117">
        <f t="shared" si="584"/>
        <v>938930</v>
      </c>
      <c r="CE231" s="1073"/>
      <c r="CI231" s="1116">
        <f t="shared" si="585"/>
        <v>938930</v>
      </c>
      <c r="CJ231" s="1117">
        <f t="shared" si="586"/>
        <v>0</v>
      </c>
      <c r="CK231" s="1117">
        <f t="shared" si="587"/>
        <v>0</v>
      </c>
      <c r="CL231" s="1117">
        <f t="shared" si="588"/>
        <v>938930</v>
      </c>
      <c r="CM231" s="1073"/>
      <c r="CQ231" s="1116">
        <f t="shared" si="589"/>
        <v>938930</v>
      </c>
      <c r="CR231" s="1117">
        <f t="shared" si="590"/>
        <v>0</v>
      </c>
      <c r="CS231" s="1117">
        <f t="shared" si="591"/>
        <v>0</v>
      </c>
      <c r="CT231" s="1117">
        <f t="shared" si="592"/>
        <v>938930</v>
      </c>
      <c r="CU231" s="1073"/>
      <c r="CY231" s="1116">
        <f t="shared" si="593"/>
        <v>938930</v>
      </c>
      <c r="CZ231" s="1117">
        <f t="shared" si="594"/>
        <v>0</v>
      </c>
      <c r="DA231" s="1117">
        <f t="shared" si="595"/>
        <v>0</v>
      </c>
      <c r="DB231" s="1117">
        <f t="shared" si="596"/>
        <v>938930</v>
      </c>
      <c r="DC231" s="1073"/>
      <c r="DG231" s="1116">
        <f t="shared" si="597"/>
        <v>938930</v>
      </c>
      <c r="DH231" s="1117">
        <f t="shared" si="598"/>
        <v>0</v>
      </c>
      <c r="DI231" s="1117">
        <f t="shared" si="599"/>
        <v>0</v>
      </c>
      <c r="DJ231" s="1117">
        <f t="shared" si="600"/>
        <v>938930</v>
      </c>
      <c r="DK231" s="1073"/>
      <c r="DO231" s="1116">
        <f t="shared" si="601"/>
        <v>938930</v>
      </c>
      <c r="DP231" s="1117">
        <f t="shared" si="602"/>
        <v>0</v>
      </c>
      <c r="DQ231" s="1117">
        <f t="shared" si="603"/>
        <v>0</v>
      </c>
      <c r="DR231" s="1117">
        <f t="shared" si="604"/>
        <v>938930</v>
      </c>
      <c r="DS231" s="1073"/>
      <c r="DW231" s="1116">
        <f t="shared" si="605"/>
        <v>938930</v>
      </c>
      <c r="DX231" s="1117">
        <f t="shared" si="606"/>
        <v>0</v>
      </c>
      <c r="DY231" s="1117">
        <f t="shared" si="607"/>
        <v>0</v>
      </c>
      <c r="DZ231" s="1117">
        <f t="shared" si="608"/>
        <v>938930</v>
      </c>
      <c r="EA231" s="1073"/>
      <c r="EE231" s="1116">
        <f t="shared" si="609"/>
        <v>938930</v>
      </c>
      <c r="EF231" s="1117">
        <f t="shared" si="610"/>
        <v>0</v>
      </c>
      <c r="EG231" s="1117">
        <f t="shared" si="611"/>
        <v>0</v>
      </c>
      <c r="EH231" s="1117">
        <f t="shared" si="612"/>
        <v>938930</v>
      </c>
      <c r="EI231" s="1073"/>
      <c r="EM231" s="1116">
        <f t="shared" si="613"/>
        <v>938930</v>
      </c>
      <c r="EN231" s="1117">
        <f t="shared" si="614"/>
        <v>0</v>
      </c>
      <c r="EO231" s="1117">
        <f t="shared" si="615"/>
        <v>0</v>
      </c>
      <c r="EP231" s="1117">
        <f t="shared" si="616"/>
        <v>938930</v>
      </c>
      <c r="EQ231" s="1073"/>
      <c r="EU231" s="1116">
        <f t="shared" si="617"/>
        <v>938930</v>
      </c>
      <c r="EV231" s="1117">
        <f t="shared" si="618"/>
        <v>0</v>
      </c>
      <c r="EW231" s="1117">
        <f t="shared" si="619"/>
        <v>0</v>
      </c>
      <c r="EX231" s="1117">
        <f t="shared" si="620"/>
        <v>938930</v>
      </c>
      <c r="EY231" s="1073"/>
      <c r="FC231" s="1116">
        <f t="shared" si="621"/>
        <v>938930</v>
      </c>
      <c r="FD231" s="1117">
        <f t="shared" si="622"/>
        <v>0</v>
      </c>
      <c r="FE231" s="1117">
        <f t="shared" si="623"/>
        <v>0</v>
      </c>
      <c r="FF231" s="1117">
        <f t="shared" si="624"/>
        <v>938930</v>
      </c>
      <c r="FG231" s="1073"/>
      <c r="FK231" s="1116">
        <f t="shared" si="625"/>
        <v>938930</v>
      </c>
      <c r="FL231" s="1117">
        <f t="shared" si="626"/>
        <v>0</v>
      </c>
      <c r="FM231" s="1117">
        <f t="shared" si="627"/>
        <v>0</v>
      </c>
      <c r="FN231" s="1117">
        <f t="shared" si="628"/>
        <v>938930</v>
      </c>
      <c r="FO231" s="1073"/>
    </row>
    <row r="232" spans="1:171">
      <c r="A232" s="1423"/>
      <c r="B232" s="913" t="s">
        <v>269</v>
      </c>
      <c r="C232" s="888" t="s">
        <v>268</v>
      </c>
      <c r="D232" s="888">
        <v>933</v>
      </c>
      <c r="E232" s="182" t="str">
        <f>'Sch 3 - Expenses'!E72</f>
        <v>DIST</v>
      </c>
      <c r="F232" s="889"/>
      <c r="G232" s="182">
        <f>'Sch 3 - Expenses'!G72</f>
        <v>0</v>
      </c>
      <c r="H232" s="182">
        <f>'Sch 3 - Expenses'!H72</f>
        <v>0</v>
      </c>
      <c r="I232" s="182">
        <f>'Sch 3 - Expenses'!I72</f>
        <v>0</v>
      </c>
      <c r="J232" s="1424">
        <f>'Sch 3 - Expenses'!J72</f>
        <v>0</v>
      </c>
      <c r="K232" s="903">
        <f t="shared" si="548"/>
        <v>1</v>
      </c>
      <c r="O232" s="1116">
        <f t="shared" si="549"/>
        <v>0</v>
      </c>
      <c r="P232" s="1117">
        <f t="shared" si="550"/>
        <v>0</v>
      </c>
      <c r="Q232" s="1117">
        <f t="shared" si="551"/>
        <v>0</v>
      </c>
      <c r="R232" s="1117">
        <f t="shared" si="552"/>
        <v>0</v>
      </c>
      <c r="S232" s="1073"/>
      <c r="W232" s="1116">
        <f t="shared" si="553"/>
        <v>0</v>
      </c>
      <c r="X232" s="1117">
        <f t="shared" si="554"/>
        <v>0</v>
      </c>
      <c r="Y232" s="1117">
        <f t="shared" si="555"/>
        <v>0</v>
      </c>
      <c r="Z232" s="1117">
        <f t="shared" si="556"/>
        <v>0</v>
      </c>
      <c r="AA232" s="1073"/>
      <c r="AE232" s="1116">
        <f t="shared" si="557"/>
        <v>0</v>
      </c>
      <c r="AF232" s="1117">
        <f t="shared" si="558"/>
        <v>0</v>
      </c>
      <c r="AG232" s="1117">
        <f t="shared" si="559"/>
        <v>0</v>
      </c>
      <c r="AH232" s="1117">
        <f t="shared" si="560"/>
        <v>0</v>
      </c>
      <c r="AI232" s="1073"/>
      <c r="AM232" s="1116">
        <f t="shared" si="561"/>
        <v>0</v>
      </c>
      <c r="AN232" s="1117">
        <f t="shared" si="562"/>
        <v>0</v>
      </c>
      <c r="AO232" s="1117">
        <f t="shared" si="563"/>
        <v>0</v>
      </c>
      <c r="AP232" s="1117">
        <f t="shared" si="564"/>
        <v>0</v>
      </c>
      <c r="AQ232" s="1073"/>
      <c r="AU232" s="1116">
        <f t="shared" si="565"/>
        <v>0</v>
      </c>
      <c r="AV232" s="1117">
        <f t="shared" si="566"/>
        <v>0</v>
      </c>
      <c r="AW232" s="1117">
        <f t="shared" si="567"/>
        <v>0</v>
      </c>
      <c r="AX232" s="1117">
        <f t="shared" si="568"/>
        <v>0</v>
      </c>
      <c r="AY232" s="1073"/>
      <c r="BC232" s="1116">
        <f t="shared" si="569"/>
        <v>0</v>
      </c>
      <c r="BD232" s="1117">
        <f t="shared" si="570"/>
        <v>0</v>
      </c>
      <c r="BE232" s="1117">
        <f t="shared" si="571"/>
        <v>0</v>
      </c>
      <c r="BF232" s="1117">
        <f t="shared" si="572"/>
        <v>0</v>
      </c>
      <c r="BG232" s="1073"/>
      <c r="BK232" s="1116">
        <f t="shared" si="573"/>
        <v>0</v>
      </c>
      <c r="BL232" s="1117">
        <f t="shared" si="574"/>
        <v>0</v>
      </c>
      <c r="BM232" s="1117">
        <f t="shared" si="575"/>
        <v>0</v>
      </c>
      <c r="BN232" s="1117">
        <f t="shared" si="576"/>
        <v>0</v>
      </c>
      <c r="BO232" s="1073"/>
      <c r="BS232" s="1116">
        <f t="shared" si="577"/>
        <v>0</v>
      </c>
      <c r="BT232" s="1117">
        <f t="shared" si="578"/>
        <v>0</v>
      </c>
      <c r="BU232" s="1117">
        <f t="shared" si="579"/>
        <v>0</v>
      </c>
      <c r="BV232" s="1117">
        <f t="shared" si="580"/>
        <v>0</v>
      </c>
      <c r="BW232" s="1073"/>
      <c r="CA232" s="1116">
        <f t="shared" si="581"/>
        <v>0</v>
      </c>
      <c r="CB232" s="1117">
        <f t="shared" si="582"/>
        <v>0</v>
      </c>
      <c r="CC232" s="1117">
        <f t="shared" si="583"/>
        <v>0</v>
      </c>
      <c r="CD232" s="1117">
        <f t="shared" si="584"/>
        <v>0</v>
      </c>
      <c r="CE232" s="1073"/>
      <c r="CI232" s="1116">
        <f t="shared" si="585"/>
        <v>0</v>
      </c>
      <c r="CJ232" s="1117">
        <f t="shared" si="586"/>
        <v>0</v>
      </c>
      <c r="CK232" s="1117">
        <f t="shared" si="587"/>
        <v>0</v>
      </c>
      <c r="CL232" s="1117">
        <f t="shared" si="588"/>
        <v>0</v>
      </c>
      <c r="CM232" s="1073"/>
      <c r="CQ232" s="1116">
        <f t="shared" si="589"/>
        <v>0</v>
      </c>
      <c r="CR232" s="1117">
        <f t="shared" si="590"/>
        <v>0</v>
      </c>
      <c r="CS232" s="1117">
        <f t="shared" si="591"/>
        <v>0</v>
      </c>
      <c r="CT232" s="1117">
        <f t="shared" si="592"/>
        <v>0</v>
      </c>
      <c r="CU232" s="1073"/>
      <c r="CY232" s="1116">
        <f t="shared" si="593"/>
        <v>0</v>
      </c>
      <c r="CZ232" s="1117">
        <f t="shared" si="594"/>
        <v>0</v>
      </c>
      <c r="DA232" s="1117">
        <f t="shared" si="595"/>
        <v>0</v>
      </c>
      <c r="DB232" s="1117">
        <f t="shared" si="596"/>
        <v>0</v>
      </c>
      <c r="DC232" s="1073"/>
      <c r="DG232" s="1116">
        <f t="shared" si="597"/>
        <v>0</v>
      </c>
      <c r="DH232" s="1117">
        <f t="shared" si="598"/>
        <v>0</v>
      </c>
      <c r="DI232" s="1117">
        <f t="shared" si="599"/>
        <v>0</v>
      </c>
      <c r="DJ232" s="1117">
        <f t="shared" si="600"/>
        <v>0</v>
      </c>
      <c r="DK232" s="1073"/>
      <c r="DO232" s="1116">
        <f t="shared" si="601"/>
        <v>0</v>
      </c>
      <c r="DP232" s="1117">
        <f t="shared" si="602"/>
        <v>0</v>
      </c>
      <c r="DQ232" s="1117">
        <f t="shared" si="603"/>
        <v>0</v>
      </c>
      <c r="DR232" s="1117">
        <f t="shared" si="604"/>
        <v>0</v>
      </c>
      <c r="DS232" s="1073"/>
      <c r="DW232" s="1116">
        <f t="shared" si="605"/>
        <v>0</v>
      </c>
      <c r="DX232" s="1117">
        <f t="shared" si="606"/>
        <v>0</v>
      </c>
      <c r="DY232" s="1117">
        <f t="shared" si="607"/>
        <v>0</v>
      </c>
      <c r="DZ232" s="1117">
        <f t="shared" si="608"/>
        <v>0</v>
      </c>
      <c r="EA232" s="1073"/>
      <c r="EE232" s="1116">
        <f t="shared" si="609"/>
        <v>0</v>
      </c>
      <c r="EF232" s="1117">
        <f t="shared" si="610"/>
        <v>0</v>
      </c>
      <c r="EG232" s="1117">
        <f t="shared" si="611"/>
        <v>0</v>
      </c>
      <c r="EH232" s="1117">
        <f t="shared" si="612"/>
        <v>0</v>
      </c>
      <c r="EI232" s="1073"/>
      <c r="EM232" s="1116">
        <f t="shared" si="613"/>
        <v>0</v>
      </c>
      <c r="EN232" s="1117">
        <f t="shared" si="614"/>
        <v>0</v>
      </c>
      <c r="EO232" s="1117">
        <f t="shared" si="615"/>
        <v>0</v>
      </c>
      <c r="EP232" s="1117">
        <f t="shared" si="616"/>
        <v>0</v>
      </c>
      <c r="EQ232" s="1073"/>
      <c r="EU232" s="1116">
        <f t="shared" si="617"/>
        <v>0</v>
      </c>
      <c r="EV232" s="1117">
        <f t="shared" si="618"/>
        <v>0</v>
      </c>
      <c r="EW232" s="1117">
        <f t="shared" si="619"/>
        <v>0</v>
      </c>
      <c r="EX232" s="1117">
        <f t="shared" si="620"/>
        <v>0</v>
      </c>
      <c r="EY232" s="1073"/>
      <c r="FC232" s="1116">
        <f t="shared" si="621"/>
        <v>0</v>
      </c>
      <c r="FD232" s="1117">
        <f t="shared" si="622"/>
        <v>0</v>
      </c>
      <c r="FE232" s="1117">
        <f t="shared" si="623"/>
        <v>0</v>
      </c>
      <c r="FF232" s="1117">
        <f t="shared" si="624"/>
        <v>0</v>
      </c>
      <c r="FG232" s="1073"/>
      <c r="FK232" s="1116">
        <f t="shared" si="625"/>
        <v>0</v>
      </c>
      <c r="FL232" s="1117">
        <f t="shared" si="626"/>
        <v>0</v>
      </c>
      <c r="FM232" s="1117">
        <f t="shared" si="627"/>
        <v>0</v>
      </c>
      <c r="FN232" s="1117">
        <f t="shared" si="628"/>
        <v>0</v>
      </c>
      <c r="FO232" s="1073"/>
    </row>
    <row r="233" spans="1:171">
      <c r="A233" s="1423"/>
      <c r="B233" s="990" t="s">
        <v>442</v>
      </c>
      <c r="C233" s="55"/>
      <c r="D233" s="196"/>
      <c r="E233" s="196"/>
      <c r="F233" s="196"/>
      <c r="G233" s="68"/>
      <c r="H233" s="68"/>
      <c r="I233" s="68"/>
      <c r="J233" s="1467"/>
      <c r="K233" s="903"/>
      <c r="O233" s="1116"/>
      <c r="S233" s="1073"/>
      <c r="W233" s="1116"/>
      <c r="AA233" s="1073"/>
      <c r="AE233" s="1116"/>
      <c r="AI233" s="1073"/>
      <c r="AM233" s="1116"/>
      <c r="AQ233" s="1073"/>
      <c r="AU233" s="1116"/>
      <c r="AY233" s="1073"/>
      <c r="BC233" s="1116"/>
      <c r="BG233" s="1073"/>
      <c r="BK233" s="1116"/>
      <c r="BO233" s="1073"/>
      <c r="BS233" s="1116"/>
      <c r="BW233" s="1073"/>
      <c r="CA233" s="1116"/>
      <c r="CE233" s="1073"/>
      <c r="CI233" s="1116"/>
      <c r="CM233" s="1073"/>
      <c r="CQ233" s="1116"/>
      <c r="CU233" s="1073"/>
      <c r="CY233" s="1116"/>
      <c r="DC233" s="1073"/>
      <c r="DG233" s="1116"/>
      <c r="DK233" s="1073"/>
      <c r="DO233" s="1116"/>
      <c r="DS233" s="1073"/>
      <c r="DW233" s="1116"/>
      <c r="EA233" s="1073"/>
      <c r="EE233" s="1116"/>
      <c r="EI233" s="1073"/>
      <c r="EM233" s="1116"/>
      <c r="EQ233" s="1073"/>
      <c r="EU233" s="1116"/>
      <c r="EY233" s="1073"/>
      <c r="FC233" s="1116"/>
      <c r="FG233" s="1073"/>
      <c r="FK233" s="1116"/>
      <c r="FO233" s="1073"/>
    </row>
    <row r="234" spans="1:171">
      <c r="A234" s="1423"/>
      <c r="B234" s="913" t="s">
        <v>94</v>
      </c>
      <c r="C234" s="888" t="s">
        <v>72</v>
      </c>
      <c r="D234" s="888">
        <v>935</v>
      </c>
      <c r="E234" s="182" t="str">
        <f>'Sch 3 - Expenses'!E74</f>
        <v>GPM</v>
      </c>
      <c r="F234" s="889"/>
      <c r="G234" s="182">
        <f>'Sch 3 - Expenses'!G74</f>
        <v>14630422</v>
      </c>
      <c r="H234" s="182">
        <f>'Sch 3 - Expenses'!H74</f>
        <v>4690577.0284544546</v>
      </c>
      <c r="I234" s="182">
        <f>'Sch 3 - Expenses'!I74</f>
        <v>0</v>
      </c>
      <c r="J234" s="1424">
        <f>'Sch 3 - Expenses'!J74</f>
        <v>9939844.9715455435</v>
      </c>
      <c r="K234" s="903">
        <f t="shared" si="548"/>
        <v>1</v>
      </c>
      <c r="O234" s="1116">
        <f>$G234</f>
        <v>14630422</v>
      </c>
      <c r="P234" s="1117">
        <f t="shared" si="550"/>
        <v>4690577.0284544546</v>
      </c>
      <c r="Q234" s="1117">
        <f t="shared" si="551"/>
        <v>2933614.5121187121</v>
      </c>
      <c r="R234" s="1117">
        <f t="shared" si="552"/>
        <v>7006230.4594268333</v>
      </c>
      <c r="S234" s="1073"/>
      <c r="W234" s="1116">
        <f>$G234</f>
        <v>14630422</v>
      </c>
      <c r="X234" s="1117">
        <f>VLOOKUP($E234,W$442:Z$453,2,FALSE)*W234*($K234)+IF($G234&lt;&gt;0,($H234/$G234)*W234,0)*(1-$K234)</f>
        <v>4690577.0284544546</v>
      </c>
      <c r="Y234" s="1117">
        <f>VLOOKUP($E234,W$442:Z$453,3,FALSE)*W234*($K234)+IF($G234&lt;&gt;0,($I234/$G234)*W234,0)*(1-$K234)</f>
        <v>2933614.5121187121</v>
      </c>
      <c r="Z234" s="1117">
        <f>VLOOKUP($E234,W$442:Z$453,4,FALSE)*W234*($K234)+(W234-X234-Y234)*(1-$K234)</f>
        <v>7006230.4594268333</v>
      </c>
      <c r="AA234" s="1073"/>
      <c r="AE234" s="1116">
        <f>$G234</f>
        <v>14630422</v>
      </c>
      <c r="AF234" s="1117">
        <f>VLOOKUP($E234,AE$442:AH$453,2,FALSE)*AE234*($K234)+IF($G234&lt;&gt;0,($H234/$G234)*AE234,0)*(1-$K234)</f>
        <v>4690577.0284544546</v>
      </c>
      <c r="AG234" s="1117">
        <f>VLOOKUP($E234,AE$442:AH$453,3,FALSE)*AE234*($K234)+IF($G234&lt;&gt;0,($I234/$G234)*AE234,0)*(1-$K234)</f>
        <v>2933614.5121187121</v>
      </c>
      <c r="AH234" s="1117">
        <f>VLOOKUP($E234,AE$442:AH$453,4,FALSE)*AE234*($K234)+(AE234-AF234-AG234)*(1-$K234)</f>
        <v>7006230.4594268333</v>
      </c>
      <c r="AI234" s="1073"/>
      <c r="AM234" s="1116">
        <f>$G234</f>
        <v>14630422</v>
      </c>
      <c r="AN234" s="1117">
        <f>VLOOKUP($E234,AM$442:AP$453,2,FALSE)*AM234*($K234)+IF($G234&lt;&gt;0,($H234/$G234)*AM234,0)*(1-$K234)</f>
        <v>4690577.0284544546</v>
      </c>
      <c r="AO234" s="1117">
        <f>VLOOKUP($E234,AM$442:AP$453,3,FALSE)*AM234*($K234)+IF($G234&lt;&gt;0,($I234/$G234)*AM234,0)*(1-$K234)</f>
        <v>2933614.5121187121</v>
      </c>
      <c r="AP234" s="1117">
        <f>VLOOKUP($E234,AM$442:AP$453,4,FALSE)*AM234*($K234)+(AM234-AN234-AO234)*(1-$K234)</f>
        <v>7006230.4594268333</v>
      </c>
      <c r="AQ234" s="1073"/>
      <c r="AU234" s="1116">
        <f>$G234</f>
        <v>14630422</v>
      </c>
      <c r="AV234" s="1117">
        <f>VLOOKUP($E234,AU$442:AX$453,2,FALSE)*AU234*($K234)+IF($G234&lt;&gt;0,($H234/$G234)*AU234,0)*(1-$K234)</f>
        <v>4690577.0284544546</v>
      </c>
      <c r="AW234" s="1117">
        <f>VLOOKUP($E234,AU$442:AX$453,3,FALSE)*AU234*($K234)+IF($G234&lt;&gt;0,($I234/$G234)*AU234,0)*(1-$K234)</f>
        <v>2933614.5121187121</v>
      </c>
      <c r="AX234" s="1117">
        <f>VLOOKUP($E234,AU$442:AX$453,4,FALSE)*AU234*($K234)+(AU234-AV234-AW234)*(1-$K234)</f>
        <v>7006230.4594268333</v>
      </c>
      <c r="AY234" s="1073"/>
      <c r="BC234" s="1116">
        <f>$G234</f>
        <v>14630422</v>
      </c>
      <c r="BD234" s="1117">
        <f>VLOOKUP($E234,BC$442:BF$453,2,FALSE)*BC234*($K234)+IF($G234&lt;&gt;0,($H234/$G234)*BC234,0)*(1-$K234)</f>
        <v>4690577.0284544546</v>
      </c>
      <c r="BE234" s="1117">
        <f>VLOOKUP($E234,BC$442:BF$453,3,FALSE)*BC234*($K234)+IF($G234&lt;&gt;0,($I234/$G234)*BC234,0)*(1-$K234)</f>
        <v>2933614.5121187121</v>
      </c>
      <c r="BF234" s="1117">
        <f>VLOOKUP($E234,BC$442:BF$453,4,FALSE)*BC234*($K234)+(BC234-BD234-BE234)*(1-$K234)</f>
        <v>7006230.4594268333</v>
      </c>
      <c r="BG234" s="1073"/>
      <c r="BK234" s="1116">
        <f>$G234</f>
        <v>14630422</v>
      </c>
      <c r="BL234" s="1117">
        <f>VLOOKUP($E234,BK$442:BN$453,2,FALSE)*BK234*($K234)+IF($G234&lt;&gt;0,($H234/$G234)*BK234,0)*(1-$K234)</f>
        <v>4690577.0284544546</v>
      </c>
      <c r="BM234" s="1117">
        <f>VLOOKUP($E234,BK$442:BN$453,3,FALSE)*BK234*($K234)+IF($G234&lt;&gt;0,($I234/$G234)*BK234,0)*(1-$K234)</f>
        <v>2933614.5121187121</v>
      </c>
      <c r="BN234" s="1117">
        <f>VLOOKUP($E234,BK$442:BN$453,4,FALSE)*BK234*($K234)+(BK234-BL234-BM234)*(1-$K234)</f>
        <v>7006230.4594268333</v>
      </c>
      <c r="BO234" s="1073"/>
      <c r="BS234" s="1116">
        <f>$G234</f>
        <v>14630422</v>
      </c>
      <c r="BT234" s="1117">
        <f>VLOOKUP($E234,BS$442:BV$453,2,FALSE)*BS234*($K234)+IF($G234&lt;&gt;0,($H234/$G234)*BS234,0)*(1-$K234)</f>
        <v>4690577.0284544546</v>
      </c>
      <c r="BU234" s="1117">
        <f>VLOOKUP($E234,BS$442:BV$453,3,FALSE)*BS234*($K234)+IF($G234&lt;&gt;0,($I234/$G234)*BS234,0)*(1-$K234)</f>
        <v>2933614.5121187121</v>
      </c>
      <c r="BV234" s="1117">
        <f>VLOOKUP($E234,BS$442:BV$453,4,FALSE)*BS234*($K234)+(BS234-BT234-BU234)*(1-$K234)</f>
        <v>7006230.4594268333</v>
      </c>
      <c r="BW234" s="1073"/>
      <c r="CA234" s="1116">
        <f>$G234</f>
        <v>14630422</v>
      </c>
      <c r="CB234" s="1117">
        <f>VLOOKUP($E234,CA$442:CD$453,2,FALSE)*CA234*($K234)+IF($G234&lt;&gt;0,($H234/$G234)*CA234,0)*(1-$K234)</f>
        <v>4690577.0284544546</v>
      </c>
      <c r="CC234" s="1117">
        <f>VLOOKUP($E234,CA$442:CD$453,3,FALSE)*CA234*($K234)+IF($G234&lt;&gt;0,($I234/$G234)*CA234,0)*(1-$K234)</f>
        <v>2933614.5121187121</v>
      </c>
      <c r="CD234" s="1117">
        <f>VLOOKUP($E234,CA$442:CD$453,4,FALSE)*CA234*($K234)+(CA234-CB234-CC234)*(1-$K234)</f>
        <v>7006230.4594268333</v>
      </c>
      <c r="CE234" s="1073"/>
      <c r="CI234" s="1116">
        <f>$G234</f>
        <v>14630422</v>
      </c>
      <c r="CJ234" s="1117">
        <f>VLOOKUP($E234,CI$442:CL$453,2,FALSE)*CI234*($K234)+IF($G234&lt;&gt;0,($H234/$G234)*CI234,0)*(1-$K234)</f>
        <v>4690577.0284544546</v>
      </c>
      <c r="CK234" s="1117">
        <f>VLOOKUP($E234,CI$442:CL$453,3,FALSE)*CI234*($K234)+IF($G234&lt;&gt;0,($I234/$G234)*CI234,0)*(1-$K234)</f>
        <v>2933614.5121187121</v>
      </c>
      <c r="CL234" s="1117">
        <f>VLOOKUP($E234,CI$442:CL$453,4,FALSE)*CI234*($K234)+(CI234-CJ234-CK234)*(1-$K234)</f>
        <v>7006230.4594268333</v>
      </c>
      <c r="CM234" s="1073"/>
      <c r="CQ234" s="1116">
        <f>$G234</f>
        <v>14630422</v>
      </c>
      <c r="CR234" s="1117">
        <f>VLOOKUP($E234,CQ$442:CT$453,2,FALSE)*CQ234*($K234)+IF($G234&lt;&gt;0,($H234/$G234)*CQ234,0)*(1-$K234)</f>
        <v>4690577.0284544546</v>
      </c>
      <c r="CS234" s="1117">
        <f>VLOOKUP($E234,CQ$442:CT$453,3,FALSE)*CQ234*($K234)+IF($G234&lt;&gt;0,($I234/$G234)*CQ234,0)*(1-$K234)</f>
        <v>2933614.5121187121</v>
      </c>
      <c r="CT234" s="1117">
        <f>VLOOKUP($E234,CQ$442:CT$453,4,FALSE)*CQ234*($K234)+(CQ234-CR234-CS234)*(1-$K234)</f>
        <v>7006230.4594268333</v>
      </c>
      <c r="CU234" s="1073"/>
      <c r="CY234" s="1116">
        <f>$G234</f>
        <v>14630422</v>
      </c>
      <c r="CZ234" s="1117">
        <f>VLOOKUP($E234,CY$442:DB$453,2,FALSE)*CY234*($K234)+IF($G234&lt;&gt;0,($H234/$G234)*CY234,0)*(1-$K234)</f>
        <v>4690577.0284544546</v>
      </c>
      <c r="DA234" s="1117">
        <f>VLOOKUP($E234,CY$442:DB$453,3,FALSE)*CY234*($K234)+IF($G234&lt;&gt;0,($I234/$G234)*CY234,0)*(1-$K234)</f>
        <v>2933614.5121187121</v>
      </c>
      <c r="DB234" s="1117">
        <f>VLOOKUP($E234,CY$442:DB$453,4,FALSE)*CY234*($K234)+(CY234-CZ234-DA234)*(1-$K234)</f>
        <v>7006230.4594268333</v>
      </c>
      <c r="DC234" s="1073"/>
      <c r="DG234" s="1116">
        <f>$G234</f>
        <v>14630422</v>
      </c>
      <c r="DH234" s="1117">
        <f>VLOOKUP($E234,DG$442:DJ$453,2,FALSE)*DG234*($K234)+IF($G234&lt;&gt;0,($H234/$G234)*DG234,0)*(1-$K234)</f>
        <v>4690577.0284544546</v>
      </c>
      <c r="DI234" s="1117">
        <f>VLOOKUP($E234,DG$442:DJ$453,3,FALSE)*DG234*($K234)+IF($G234&lt;&gt;0,($I234/$G234)*DG234,0)*(1-$K234)</f>
        <v>2933614.5121187121</v>
      </c>
      <c r="DJ234" s="1117">
        <f>VLOOKUP($E234,DG$442:DJ$453,4,FALSE)*DG234*($K234)+(DG234-DH234-DI234)*(1-$K234)</f>
        <v>7006230.4594268333</v>
      </c>
      <c r="DK234" s="1073"/>
      <c r="DO234" s="1116">
        <f>$G234</f>
        <v>14630422</v>
      </c>
      <c r="DP234" s="1117">
        <f>VLOOKUP($E234,DO$442:DR$453,2,FALSE)*DO234*($K234)+IF($G234&lt;&gt;0,($H234/$G234)*DO234,0)*(1-$K234)</f>
        <v>4690577.0284544546</v>
      </c>
      <c r="DQ234" s="1117">
        <f>VLOOKUP($E234,DO$442:DR$453,3,FALSE)*DO234*($K234)+IF($G234&lt;&gt;0,($I234/$G234)*DO234,0)*(1-$K234)</f>
        <v>2933614.5121187121</v>
      </c>
      <c r="DR234" s="1117">
        <f>VLOOKUP($E234,DO$442:DR$453,4,FALSE)*DO234*($K234)+(DO234-DP234-DQ234)*(1-$K234)</f>
        <v>7006230.4594268333</v>
      </c>
      <c r="DS234" s="1073"/>
      <c r="DW234" s="1116">
        <f>$G234</f>
        <v>14630422</v>
      </c>
      <c r="DX234" s="1117">
        <f>VLOOKUP($E234,DW$442:DZ$453,2,FALSE)*DW234*($K234)+IF($G234&lt;&gt;0,($H234/$G234)*DW234,0)*(1-$K234)</f>
        <v>4690577.0284544546</v>
      </c>
      <c r="DY234" s="1117">
        <f>VLOOKUP($E234,DW$442:DZ$453,3,FALSE)*DW234*($K234)+IF($G234&lt;&gt;0,($I234/$G234)*DW234,0)*(1-$K234)</f>
        <v>2933614.5121187121</v>
      </c>
      <c r="DZ234" s="1117">
        <f>VLOOKUP($E234,DW$442:DZ$453,4,FALSE)*DW234*($K234)+(DW234-DX234-DY234)*(1-$K234)</f>
        <v>7006230.4594268333</v>
      </c>
      <c r="EA234" s="1073"/>
      <c r="EE234" s="1116">
        <f>$G234</f>
        <v>14630422</v>
      </c>
      <c r="EF234" s="1117">
        <f>VLOOKUP($E234,EE$442:EH$453,2,FALSE)*EE234*($K234)+IF($G234&lt;&gt;0,($H234/$G234)*EE234,0)*(1-$K234)</f>
        <v>4690577.0284544546</v>
      </c>
      <c r="EG234" s="1117">
        <f>VLOOKUP($E234,EE$442:EH$453,3,FALSE)*EE234*($K234)+IF($G234&lt;&gt;0,($I234/$G234)*EE234,0)*(1-$K234)</f>
        <v>2933614.5121187121</v>
      </c>
      <c r="EH234" s="1117">
        <f>VLOOKUP($E234,EE$442:EH$453,4,FALSE)*EE234*($K234)+(EE234-EF234-EG234)*(1-$K234)</f>
        <v>7006230.4594268333</v>
      </c>
      <c r="EI234" s="1073"/>
      <c r="EM234" s="1116">
        <f>$G234</f>
        <v>14630422</v>
      </c>
      <c r="EN234" s="1117">
        <f>VLOOKUP($E234,EM$442:EP$453,2,FALSE)*EM234*($K234)+IF($G234&lt;&gt;0,($H234/$G234)*EM234,0)*(1-$K234)</f>
        <v>4690577.0284544546</v>
      </c>
      <c r="EO234" s="1117">
        <f>VLOOKUP($E234,EM$442:EP$453,3,FALSE)*EM234*($K234)+IF($G234&lt;&gt;0,($I234/$G234)*EM234,0)*(1-$K234)</f>
        <v>2933614.5121187121</v>
      </c>
      <c r="EP234" s="1117">
        <f>VLOOKUP($E234,EM$442:EP$453,4,FALSE)*EM234*($K234)+(EM234-EN234-EO234)*(1-$K234)</f>
        <v>7006230.4594268333</v>
      </c>
      <c r="EQ234" s="1073"/>
      <c r="EU234" s="1116">
        <f>$G234</f>
        <v>14630422</v>
      </c>
      <c r="EV234" s="1117">
        <f>VLOOKUP($E234,EU$442:EX$453,2,FALSE)*EU234*($K234)+IF($G234&lt;&gt;0,($H234/$G234)*EU234,0)*(1-$K234)</f>
        <v>4690577.0284544546</v>
      </c>
      <c r="EW234" s="1117">
        <f>VLOOKUP($E234,EU$442:EX$453,3,FALSE)*EU234*($K234)+IF($G234&lt;&gt;0,($I234/$G234)*EU234,0)*(1-$K234)</f>
        <v>2933614.5121187121</v>
      </c>
      <c r="EX234" s="1117">
        <f>VLOOKUP($E234,EU$442:EX$453,4,FALSE)*EU234*($K234)+(EU234-EV234-EW234)*(1-$K234)</f>
        <v>7006230.4594268333</v>
      </c>
      <c r="EY234" s="1073"/>
      <c r="FC234" s="1116">
        <f>$G234</f>
        <v>14630422</v>
      </c>
      <c r="FD234" s="1117">
        <f>VLOOKUP($E234,FC$442:FF$453,2,FALSE)*FC234*($K234)+IF($G234&lt;&gt;0,($H234/$G234)*FC234,0)*(1-$K234)</f>
        <v>4690577.0284544546</v>
      </c>
      <c r="FE234" s="1117">
        <f>VLOOKUP($E234,FC$442:FF$453,3,FALSE)*FC234*($K234)+IF($G234&lt;&gt;0,($I234/$G234)*FC234,0)*(1-$K234)</f>
        <v>2933614.5121187121</v>
      </c>
      <c r="FF234" s="1117">
        <f>VLOOKUP($E234,FC$442:FF$453,4,FALSE)*FC234*($K234)+(FC234-FD234-FE234)*(1-$K234)</f>
        <v>7006230.4594268333</v>
      </c>
      <c r="FG234" s="1073"/>
      <c r="FK234" s="1116">
        <f>$G234</f>
        <v>14630422</v>
      </c>
      <c r="FL234" s="1117">
        <f>VLOOKUP($E234,FK$442:FN$453,2,FALSE)*FK234*($K234)+IF($G234&lt;&gt;0,($H234/$G234)*FK234,0)*(1-$K234)</f>
        <v>4690577.0284544546</v>
      </c>
      <c r="FM234" s="1117">
        <f>VLOOKUP($E234,FK$442:FN$453,3,FALSE)*FK234*($K234)+IF($G234&lt;&gt;0,($I234/$G234)*FK234,0)*(1-$K234)</f>
        <v>2933614.5121187121</v>
      </c>
      <c r="FN234" s="1117">
        <f>VLOOKUP($E234,FK$442:FN$453,4,FALSE)*FK234*($K234)+(FK234-FL234-FM234)*(1-$K234)</f>
        <v>7006230.4594268333</v>
      </c>
      <c r="FO234" s="1073"/>
    </row>
    <row r="235" spans="1:171">
      <c r="A235" s="1345" t="s">
        <v>497</v>
      </c>
      <c r="B235" s="10"/>
      <c r="C235" s="914"/>
      <c r="D235" s="915"/>
      <c r="E235" s="915"/>
      <c r="F235" s="916"/>
      <c r="G235" s="923">
        <f>SUM(G219:G220,G222:G227,G229:G232,G234)-G221-G228</f>
        <v>122527419.78000002</v>
      </c>
      <c r="H235" s="923">
        <f>SUM(H219:H220,H222:H227,H229:H232,H234)-H221-H228</f>
        <v>38573197.74474591</v>
      </c>
      <c r="I235" s="923">
        <f>SUM(I219:I220,I222:I227,I229:I232,I234)-I221-I228</f>
        <v>0</v>
      </c>
      <c r="J235" s="1431">
        <f>SUM(J219:J220,J222:J227,J229:J232,J234)-J221-J228</f>
        <v>83954222.034965694</v>
      </c>
      <c r="K235" s="903"/>
      <c r="O235" s="1136">
        <f>SUM(O219:O220,O222:O227,O229:O232,O234)-O221-O228</f>
        <v>122527419.78000002</v>
      </c>
      <c r="P235" s="1136">
        <f>SUM(P219:P220,P222:P227,P229:P232,P234)-P221-P228</f>
        <v>38573197.74474591</v>
      </c>
      <c r="Q235" s="1136">
        <f>SUM(Q219:Q220,Q222:Q227,Q229:Q232,Q234)-Q221-Q228</f>
        <v>10424123.797166927</v>
      </c>
      <c r="R235" s="1136">
        <f>SUM(R219:R220,R222:R227,R229:R232,R234)-R221-R228</f>
        <v>73530098.238087162</v>
      </c>
      <c r="S235" s="1073"/>
      <c r="W235" s="1136">
        <f>SUM(W219:W220,W222:W227,W229:W232,W234)-W221-W228</f>
        <v>122527419.78000002</v>
      </c>
      <c r="X235" s="1136">
        <f>SUM(X219:X220,X222:X227,X229:X232,X234)-X221-X228</f>
        <v>38573197.74474591</v>
      </c>
      <c r="Y235" s="1136">
        <f>SUM(Y219:Y220,Y222:Y227,Y229:Y232,Y234)-Y221-Y228</f>
        <v>10424123.797166927</v>
      </c>
      <c r="Z235" s="1136">
        <f>SUM(Z219:Z220,Z222:Z227,Z229:Z232,Z234)-Z221-Z228</f>
        <v>73530098.238087162</v>
      </c>
      <c r="AA235" s="1073"/>
      <c r="AE235" s="1136">
        <f>SUM(AE219:AE220,AE222:AE227,AE229:AE232,AE234)-AE221-AE228</f>
        <v>122527419.78000002</v>
      </c>
      <c r="AF235" s="1136">
        <f>SUM(AF219:AF220,AF222:AF227,AF229:AF232,AF234)-AF221-AF228</f>
        <v>38573197.74474591</v>
      </c>
      <c r="AG235" s="1136">
        <f>SUM(AG219:AG220,AG222:AG227,AG229:AG232,AG234)-AG221-AG228</f>
        <v>10424123.797166927</v>
      </c>
      <c r="AH235" s="1136">
        <f>SUM(AH219:AH220,AH222:AH227,AH229:AH232,AH234)-AH221-AH228</f>
        <v>73530098.238087162</v>
      </c>
      <c r="AI235" s="1073"/>
      <c r="AM235" s="1136">
        <f>SUM(AM219:AM220,AM222:AM227,AM229:AM232,AM234)-AM221-AM228</f>
        <v>122527419.78000002</v>
      </c>
      <c r="AN235" s="1136">
        <f>SUM(AN219:AN220,AN222:AN227,AN229:AN232,AN234)-AN221-AN228</f>
        <v>38573197.74474591</v>
      </c>
      <c r="AO235" s="1136">
        <f>SUM(AO219:AO220,AO222:AO227,AO229:AO232,AO234)-AO221-AO228</f>
        <v>10424123.797166927</v>
      </c>
      <c r="AP235" s="1136">
        <f>SUM(AP219:AP220,AP222:AP227,AP229:AP232,AP234)-AP221-AP228</f>
        <v>73530098.238087162</v>
      </c>
      <c r="AQ235" s="1073"/>
      <c r="AU235" s="1136">
        <f>SUM(AU219:AU220,AU222:AU227,AU229:AU232,AU234)-AU221-AU228</f>
        <v>122527419.78000002</v>
      </c>
      <c r="AV235" s="1136">
        <f>SUM(AV219:AV220,AV222:AV227,AV229:AV232,AV234)-AV221-AV228</f>
        <v>38573197.74474591</v>
      </c>
      <c r="AW235" s="1136">
        <f>SUM(AW219:AW220,AW222:AW227,AW229:AW232,AW234)-AW221-AW228</f>
        <v>10424123.797166927</v>
      </c>
      <c r="AX235" s="1136">
        <f>SUM(AX219:AX220,AX222:AX227,AX229:AX232,AX234)-AX221-AX228</f>
        <v>73530098.238087162</v>
      </c>
      <c r="AY235" s="1073"/>
      <c r="BC235" s="1136">
        <f>SUM(BC219:BC220,BC222:BC227,BC229:BC232,BC234)-BC221-BC228</f>
        <v>122527419.78000002</v>
      </c>
      <c r="BD235" s="1136">
        <f>SUM(BD219:BD220,BD222:BD227,BD229:BD232,BD234)-BD221-BD228</f>
        <v>38573197.74474591</v>
      </c>
      <c r="BE235" s="1136">
        <f>SUM(BE219:BE220,BE222:BE227,BE229:BE232,BE234)-BE221-BE228</f>
        <v>10424123.797166927</v>
      </c>
      <c r="BF235" s="1136">
        <f>SUM(BF219:BF220,BF222:BF227,BF229:BF232,BF234)-BF221-BF228</f>
        <v>73530098.238087162</v>
      </c>
      <c r="BG235" s="1073"/>
      <c r="BK235" s="1136">
        <f>SUM(BK219:BK220,BK222:BK227,BK229:BK232,BK234)-BK221-BK228</f>
        <v>122527419.78000002</v>
      </c>
      <c r="BL235" s="1136">
        <f>SUM(BL219:BL220,BL222:BL227,BL229:BL232,BL234)-BL221-BL228</f>
        <v>38573197.74474591</v>
      </c>
      <c r="BM235" s="1136">
        <f>SUM(BM219:BM220,BM222:BM227,BM229:BM232,BM234)-BM221-BM228</f>
        <v>10424123.797166927</v>
      </c>
      <c r="BN235" s="1136">
        <f>SUM(BN219:BN220,BN222:BN227,BN229:BN232,BN234)-BN221-BN228</f>
        <v>73530098.238087162</v>
      </c>
      <c r="BO235" s="1073"/>
      <c r="BS235" s="1136">
        <f>SUM(BS219:BS220,BS222:BS227,BS229:BS232,BS234)-BS221-BS228</f>
        <v>122527419.78000002</v>
      </c>
      <c r="BT235" s="1136">
        <f>SUM(BT219:BT220,BT222:BT227,BT229:BT232,BT234)-BT221-BT228</f>
        <v>38573197.74474591</v>
      </c>
      <c r="BU235" s="1136">
        <f>SUM(BU219:BU220,BU222:BU227,BU229:BU232,BU234)-BU221-BU228</f>
        <v>10424123.797166927</v>
      </c>
      <c r="BV235" s="1136">
        <f>SUM(BV219:BV220,BV222:BV227,BV229:BV232,BV234)-BV221-BV228</f>
        <v>73530098.238087162</v>
      </c>
      <c r="BW235" s="1073"/>
      <c r="CA235" s="1136">
        <f>SUM(CA219:CA220,CA222:CA227,CA229:CA232,CA234)-CA221-CA228</f>
        <v>122527419.78000002</v>
      </c>
      <c r="CB235" s="1136">
        <f>SUM(CB219:CB220,CB222:CB227,CB229:CB232,CB234)-CB221-CB228</f>
        <v>38573197.74474591</v>
      </c>
      <c r="CC235" s="1136">
        <f>SUM(CC219:CC220,CC222:CC227,CC229:CC232,CC234)-CC221-CC228</f>
        <v>10424123.797166927</v>
      </c>
      <c r="CD235" s="1136">
        <f>SUM(CD219:CD220,CD222:CD227,CD229:CD232,CD234)-CD221-CD228</f>
        <v>73530098.238087162</v>
      </c>
      <c r="CE235" s="1073"/>
      <c r="CI235" s="1136">
        <f>SUM(CI219:CI220,CI222:CI227,CI229:CI232,CI234)-CI221-CI228</f>
        <v>122527419.78000002</v>
      </c>
      <c r="CJ235" s="1136">
        <f>SUM(CJ219:CJ220,CJ222:CJ227,CJ229:CJ232,CJ234)-CJ221-CJ228</f>
        <v>38573197.74474591</v>
      </c>
      <c r="CK235" s="1136">
        <f>SUM(CK219:CK220,CK222:CK227,CK229:CK232,CK234)-CK221-CK228</f>
        <v>10424123.797166927</v>
      </c>
      <c r="CL235" s="1136">
        <f>SUM(CL219:CL220,CL222:CL227,CL229:CL232,CL234)-CL221-CL228</f>
        <v>73530098.238087162</v>
      </c>
      <c r="CM235" s="1073"/>
      <c r="CQ235" s="1136">
        <f>SUM(CQ219:CQ220,CQ222:CQ227,CQ229:CQ232,CQ234)-CQ221-CQ228</f>
        <v>122527419.78000002</v>
      </c>
      <c r="CR235" s="1136">
        <f>SUM(CR219:CR220,CR222:CR227,CR229:CR232,CR234)-CR221-CR228</f>
        <v>38573197.74474591</v>
      </c>
      <c r="CS235" s="1136">
        <f>SUM(CS219:CS220,CS222:CS227,CS229:CS232,CS234)-CS221-CS228</f>
        <v>10424123.797166927</v>
      </c>
      <c r="CT235" s="1136">
        <f>SUM(CT219:CT220,CT222:CT227,CT229:CT232,CT234)-CT221-CT228</f>
        <v>73530098.238087162</v>
      </c>
      <c r="CU235" s="1073"/>
      <c r="CY235" s="1136">
        <f>SUM(CY219:CY220,CY222:CY227,CY229:CY232,CY234)-CY221-CY228</f>
        <v>122527419.78000002</v>
      </c>
      <c r="CZ235" s="1136">
        <f>SUM(CZ219:CZ220,CZ222:CZ227,CZ229:CZ232,CZ234)-CZ221-CZ228</f>
        <v>38573197.74474591</v>
      </c>
      <c r="DA235" s="1136">
        <f>SUM(DA219:DA220,DA222:DA227,DA229:DA232,DA234)-DA221-DA228</f>
        <v>10424123.797166927</v>
      </c>
      <c r="DB235" s="1136">
        <f>SUM(DB219:DB220,DB222:DB227,DB229:DB232,DB234)-DB221-DB228</f>
        <v>73530098.238087162</v>
      </c>
      <c r="DC235" s="1073"/>
      <c r="DG235" s="1136">
        <f>SUM(DG219:DG220,DG222:DG227,DG229:DG232,DG234)-DG221-DG228</f>
        <v>122527419.78000002</v>
      </c>
      <c r="DH235" s="1136">
        <f>SUM(DH219:DH220,DH222:DH227,DH229:DH232,DH234)-DH221-DH228</f>
        <v>38573197.74474591</v>
      </c>
      <c r="DI235" s="1136">
        <f>SUM(DI219:DI220,DI222:DI227,DI229:DI232,DI234)-DI221-DI228</f>
        <v>10424123.797166927</v>
      </c>
      <c r="DJ235" s="1136">
        <f>SUM(DJ219:DJ220,DJ222:DJ227,DJ229:DJ232,DJ234)-DJ221-DJ228</f>
        <v>73530098.238087162</v>
      </c>
      <c r="DK235" s="1073"/>
      <c r="DO235" s="1136">
        <f>SUM(DO219:DO220,DO222:DO227,DO229:DO232,DO234)-DO221-DO228</f>
        <v>122527419.78000002</v>
      </c>
      <c r="DP235" s="1136">
        <f>SUM(DP219:DP220,DP222:DP227,DP229:DP232,DP234)-DP221-DP228</f>
        <v>38573197.74474591</v>
      </c>
      <c r="DQ235" s="1136">
        <f>SUM(DQ219:DQ220,DQ222:DQ227,DQ229:DQ232,DQ234)-DQ221-DQ228</f>
        <v>10424123.797166927</v>
      </c>
      <c r="DR235" s="1136">
        <f>SUM(DR219:DR220,DR222:DR227,DR229:DR232,DR234)-DR221-DR228</f>
        <v>73530098.238087162</v>
      </c>
      <c r="DS235" s="1073"/>
      <c r="DW235" s="1136">
        <f>SUM(DW219:DW220,DW222:DW227,DW229:DW232,DW234)-DW221-DW228</f>
        <v>122527419.78000002</v>
      </c>
      <c r="DX235" s="1136">
        <f>SUM(DX219:DX220,DX222:DX227,DX229:DX232,DX234)-DX221-DX228</f>
        <v>38573197.74474591</v>
      </c>
      <c r="DY235" s="1136">
        <f>SUM(DY219:DY220,DY222:DY227,DY229:DY232,DY234)-DY221-DY228</f>
        <v>10424123.797166927</v>
      </c>
      <c r="DZ235" s="1136">
        <f>SUM(DZ219:DZ220,DZ222:DZ227,DZ229:DZ232,DZ234)-DZ221-DZ228</f>
        <v>73530098.238087162</v>
      </c>
      <c r="EA235" s="1073"/>
      <c r="EE235" s="1136">
        <f>SUM(EE219:EE220,EE222:EE227,EE229:EE232,EE234)-EE221-EE228</f>
        <v>122527419.78000002</v>
      </c>
      <c r="EF235" s="1136">
        <f>SUM(EF219:EF220,EF222:EF227,EF229:EF232,EF234)-EF221-EF228</f>
        <v>38573197.74474591</v>
      </c>
      <c r="EG235" s="1136">
        <f>SUM(EG219:EG220,EG222:EG227,EG229:EG232,EG234)-EG221-EG228</f>
        <v>10424123.797166927</v>
      </c>
      <c r="EH235" s="1136">
        <f>SUM(EH219:EH220,EH222:EH227,EH229:EH232,EH234)-EH221-EH228</f>
        <v>73530098.238087162</v>
      </c>
      <c r="EI235" s="1073"/>
      <c r="EM235" s="1136">
        <f>SUM(EM219:EM220,EM222:EM227,EM229:EM232,EM234)-EM221-EM228</f>
        <v>122527419.78000002</v>
      </c>
      <c r="EN235" s="1136">
        <f>SUM(EN219:EN220,EN222:EN227,EN229:EN232,EN234)-EN221-EN228</f>
        <v>38573197.74474591</v>
      </c>
      <c r="EO235" s="1136">
        <f>SUM(EO219:EO220,EO222:EO227,EO229:EO232,EO234)-EO221-EO228</f>
        <v>10424123.797166927</v>
      </c>
      <c r="EP235" s="1136">
        <f>SUM(EP219:EP220,EP222:EP227,EP229:EP232,EP234)-EP221-EP228</f>
        <v>73530098.238087162</v>
      </c>
      <c r="EQ235" s="1073"/>
      <c r="EU235" s="1136">
        <f>SUM(EU219:EU220,EU222:EU227,EU229:EU232,EU234)-EU221-EU228</f>
        <v>122527419.78000002</v>
      </c>
      <c r="EV235" s="1136">
        <f>SUM(EV219:EV220,EV222:EV227,EV229:EV232,EV234)-EV221-EV228</f>
        <v>38573197.74474591</v>
      </c>
      <c r="EW235" s="1136">
        <f>SUM(EW219:EW220,EW222:EW227,EW229:EW232,EW234)-EW221-EW228</f>
        <v>10424123.797166927</v>
      </c>
      <c r="EX235" s="1136">
        <f>SUM(EX219:EX220,EX222:EX227,EX229:EX232,EX234)-EX221-EX228</f>
        <v>73530098.238087162</v>
      </c>
      <c r="EY235" s="1073"/>
      <c r="FC235" s="1136">
        <f>SUM(FC219:FC220,FC222:FC227,FC229:FC232,FC234)-FC221-FC228</f>
        <v>122527419.78000002</v>
      </c>
      <c r="FD235" s="1136">
        <f>SUM(FD219:FD220,FD222:FD227,FD229:FD232,FD234)-FD221-FD228</f>
        <v>38573197.74474591</v>
      </c>
      <c r="FE235" s="1136">
        <f>SUM(FE219:FE220,FE222:FE227,FE229:FE232,FE234)-FE221-FE228</f>
        <v>10424123.797166927</v>
      </c>
      <c r="FF235" s="1136">
        <f>SUM(FF219:FF220,FF222:FF227,FF229:FF232,FF234)-FF221-FF228</f>
        <v>73530098.238087162</v>
      </c>
      <c r="FG235" s="1073"/>
      <c r="FK235" s="1136">
        <f>SUM(FK219:FK220,FK222:FK227,FK229:FK232,FK234)-FK221-FK228</f>
        <v>122527419.78000002</v>
      </c>
      <c r="FL235" s="1136">
        <f>SUM(FL219:FL220,FL222:FL227,FL229:FL232,FL234)-FL221-FL228</f>
        <v>38573197.74474591</v>
      </c>
      <c r="FM235" s="1136">
        <f>SUM(FM219:FM220,FM222:FM227,FM229:FM232,FM234)-FM221-FM228</f>
        <v>10424123.797166927</v>
      </c>
      <c r="FN235" s="1136">
        <f>SUM(FN219:FN220,FN222:FN227,FN229:FN232,FN234)-FN221-FN228</f>
        <v>73530098.238087162</v>
      </c>
      <c r="FO235" s="1073"/>
    </row>
    <row r="236" spans="1:171" ht="16.5" thickBot="1">
      <c r="A236" s="1472"/>
      <c r="B236" s="995"/>
      <c r="C236" s="932"/>
      <c r="D236" s="1000"/>
      <c r="E236" s="1000"/>
      <c r="F236" s="1000"/>
      <c r="G236" s="1001"/>
      <c r="H236" s="1002"/>
      <c r="I236" s="1002"/>
      <c r="J236" s="1435"/>
      <c r="K236" s="903"/>
      <c r="O236" s="1079"/>
      <c r="S236" s="1073"/>
      <c r="W236" s="1079"/>
      <c r="AA236" s="1073"/>
      <c r="AE236" s="1079"/>
      <c r="AI236" s="1073"/>
      <c r="AM236" s="1079"/>
      <c r="AQ236" s="1073"/>
      <c r="AU236" s="1079"/>
      <c r="AY236" s="1073"/>
      <c r="BC236" s="1079"/>
      <c r="BG236" s="1073"/>
      <c r="BK236" s="1079"/>
      <c r="BO236" s="1073"/>
      <c r="BS236" s="1079"/>
      <c r="BW236" s="1073"/>
      <c r="CA236" s="1079"/>
      <c r="CE236" s="1073"/>
      <c r="CI236" s="1079"/>
      <c r="CM236" s="1073"/>
      <c r="CQ236" s="1079"/>
      <c r="CU236" s="1073"/>
      <c r="CY236" s="1079"/>
      <c r="DC236" s="1073"/>
      <c r="DG236" s="1079"/>
      <c r="DK236" s="1073"/>
      <c r="DO236" s="1079"/>
      <c r="DS236" s="1073"/>
      <c r="DW236" s="1079"/>
      <c r="EA236" s="1073"/>
      <c r="EE236" s="1079"/>
      <c r="EI236" s="1073"/>
      <c r="EM236" s="1079"/>
      <c r="EQ236" s="1073"/>
      <c r="EU236" s="1079"/>
      <c r="EY236" s="1073"/>
      <c r="FC236" s="1079"/>
      <c r="FG236" s="1073"/>
      <c r="FK236" s="1079"/>
      <c r="FO236" s="1073"/>
    </row>
    <row r="237" spans="1:171" ht="16.5" thickTop="1">
      <c r="A237" s="1345" t="s">
        <v>498</v>
      </c>
      <c r="B237" s="10"/>
      <c r="C237" s="914"/>
      <c r="D237" s="915"/>
      <c r="E237" s="915"/>
      <c r="F237" s="916"/>
      <c r="G237" s="923">
        <f>G196+G202+G207+G215+G235</f>
        <v>741262086.83000004</v>
      </c>
      <c r="H237" s="923">
        <f>H196+H202+H207+H215+H235</f>
        <v>543260025.74474597</v>
      </c>
      <c r="I237" s="923">
        <f>I196+I202+I207+I215+I235</f>
        <v>0</v>
      </c>
      <c r="J237" s="1431">
        <f>J196+J202+J207+J215+J235</f>
        <v>198002061.08496571</v>
      </c>
      <c r="K237" s="903"/>
      <c r="O237" s="1135">
        <f>O196+O202+O207+O215+O235</f>
        <v>741262086.83000004</v>
      </c>
      <c r="P237" s="1135">
        <f>P196+P202+P207+P215+P235</f>
        <v>543260025.74474597</v>
      </c>
      <c r="Q237" s="1135">
        <f>Q196+Q202+Q207+Q215+Q235</f>
        <v>25026305.797166929</v>
      </c>
      <c r="R237" s="1135">
        <f>R196+R202+R207+R215+R235</f>
        <v>172975755.28808719</v>
      </c>
      <c r="S237" s="1073"/>
      <c r="W237" s="1135">
        <f>W196+W202+W207+W215+W235</f>
        <v>741262086.83000004</v>
      </c>
      <c r="X237" s="1135">
        <f>X196+X202+X207+X215+X235</f>
        <v>543260025.74474597</v>
      </c>
      <c r="Y237" s="1135">
        <f>Y196+Y202+Y207+Y215+Y235</f>
        <v>25026305.797166929</v>
      </c>
      <c r="Z237" s="1135">
        <f>Z196+Z202+Z207+Z215+Z235</f>
        <v>172975755.28808719</v>
      </c>
      <c r="AA237" s="1073"/>
      <c r="AE237" s="1135">
        <f>AE196+AE202+AE207+AE215+AE235</f>
        <v>741262086.83000004</v>
      </c>
      <c r="AF237" s="1135">
        <f>AF196+AF202+AF207+AF215+AF235</f>
        <v>543260025.74474597</v>
      </c>
      <c r="AG237" s="1135">
        <f>AG196+AG202+AG207+AG215+AG235</f>
        <v>25026305.797166929</v>
      </c>
      <c r="AH237" s="1135">
        <f>AH196+AH202+AH207+AH215+AH235</f>
        <v>172975755.28808719</v>
      </c>
      <c r="AI237" s="1073"/>
      <c r="AM237" s="1135">
        <f>AM196+AM202+AM207+AM215+AM235</f>
        <v>741262086.83000004</v>
      </c>
      <c r="AN237" s="1135">
        <f>AN196+AN202+AN207+AN215+AN235</f>
        <v>543260025.74474597</v>
      </c>
      <c r="AO237" s="1135">
        <f>AO196+AO202+AO207+AO215+AO235</f>
        <v>25026305.797166929</v>
      </c>
      <c r="AP237" s="1135">
        <f>AP196+AP202+AP207+AP215+AP235</f>
        <v>172975755.28808719</v>
      </c>
      <c r="AQ237" s="1073"/>
      <c r="AU237" s="1135">
        <f>AU196+AU202+AU207+AU215+AU235</f>
        <v>741262086.83000004</v>
      </c>
      <c r="AV237" s="1135">
        <f>AV196+AV202+AV207+AV215+AV235</f>
        <v>543260025.74474597</v>
      </c>
      <c r="AW237" s="1135">
        <f>AW196+AW202+AW207+AW215+AW235</f>
        <v>25026305.797166929</v>
      </c>
      <c r="AX237" s="1135">
        <f>AX196+AX202+AX207+AX215+AX235</f>
        <v>172975755.28808719</v>
      </c>
      <c r="AY237" s="1073"/>
      <c r="BC237" s="1135">
        <f>BC196+BC202+BC207+BC215+BC235</f>
        <v>741262086.83000004</v>
      </c>
      <c r="BD237" s="1135">
        <f>BD196+BD202+BD207+BD215+BD235</f>
        <v>543260025.74474597</v>
      </c>
      <c r="BE237" s="1135">
        <f>BE196+BE202+BE207+BE215+BE235</f>
        <v>25026305.797166929</v>
      </c>
      <c r="BF237" s="1135">
        <f>BF196+BF202+BF207+BF215+BF235</f>
        <v>172975755.28808719</v>
      </c>
      <c r="BG237" s="1073"/>
      <c r="BK237" s="1135">
        <f>BK196+BK202+BK207+BK215+BK235</f>
        <v>741262086.83000004</v>
      </c>
      <c r="BL237" s="1135">
        <f>BL196+BL202+BL207+BL215+BL235</f>
        <v>543260025.74474597</v>
      </c>
      <c r="BM237" s="1135">
        <f>BM196+BM202+BM207+BM215+BM235</f>
        <v>25026305.797166929</v>
      </c>
      <c r="BN237" s="1135">
        <f>BN196+BN202+BN207+BN215+BN235</f>
        <v>172975755.28808719</v>
      </c>
      <c r="BO237" s="1073"/>
      <c r="BS237" s="1135">
        <f>BS196+BS202+BS207+BS215+BS235</f>
        <v>741262086.83000004</v>
      </c>
      <c r="BT237" s="1135">
        <f>BT196+BT202+BT207+BT215+BT235</f>
        <v>543260025.74474597</v>
      </c>
      <c r="BU237" s="1135">
        <f>BU196+BU202+BU207+BU215+BU235</f>
        <v>25026305.797166929</v>
      </c>
      <c r="BV237" s="1135">
        <f>BV196+BV202+BV207+BV215+BV235</f>
        <v>172975755.28808719</v>
      </c>
      <c r="BW237" s="1073"/>
      <c r="CA237" s="1135">
        <f>CA196+CA202+CA207+CA215+CA235</f>
        <v>741262086.83000004</v>
      </c>
      <c r="CB237" s="1135">
        <f>CB196+CB202+CB207+CB215+CB235</f>
        <v>543260025.74474597</v>
      </c>
      <c r="CC237" s="1135">
        <f>CC196+CC202+CC207+CC215+CC235</f>
        <v>25026305.797166929</v>
      </c>
      <c r="CD237" s="1135">
        <f>CD196+CD202+CD207+CD215+CD235</f>
        <v>172975755.28808719</v>
      </c>
      <c r="CE237" s="1073"/>
      <c r="CI237" s="1135">
        <f>CI196+CI202+CI207+CI215+CI235</f>
        <v>741262086.83000004</v>
      </c>
      <c r="CJ237" s="1135">
        <f>CJ196+CJ202+CJ207+CJ215+CJ235</f>
        <v>543260025.74474597</v>
      </c>
      <c r="CK237" s="1135">
        <f>CK196+CK202+CK207+CK215+CK235</f>
        <v>25026305.797166929</v>
      </c>
      <c r="CL237" s="1135">
        <f>CL196+CL202+CL207+CL215+CL235</f>
        <v>172975755.28808719</v>
      </c>
      <c r="CM237" s="1073"/>
      <c r="CQ237" s="1135">
        <f>CQ196+CQ202+CQ207+CQ215+CQ235</f>
        <v>741262086.83000004</v>
      </c>
      <c r="CR237" s="1135">
        <f>CR196+CR202+CR207+CR215+CR235</f>
        <v>543260025.74474597</v>
      </c>
      <c r="CS237" s="1135">
        <f>CS196+CS202+CS207+CS215+CS235</f>
        <v>25026305.797166929</v>
      </c>
      <c r="CT237" s="1135">
        <f>CT196+CT202+CT207+CT215+CT235</f>
        <v>172975755.28808719</v>
      </c>
      <c r="CU237" s="1073"/>
      <c r="CY237" s="1135">
        <f>CY196+CY202+CY207+CY215+CY235</f>
        <v>741262086.83000004</v>
      </c>
      <c r="CZ237" s="1135">
        <f>CZ196+CZ202+CZ207+CZ215+CZ235</f>
        <v>543260025.74474597</v>
      </c>
      <c r="DA237" s="1135">
        <f>DA196+DA202+DA207+DA215+DA235</f>
        <v>25026305.797166929</v>
      </c>
      <c r="DB237" s="1135">
        <f>DB196+DB202+DB207+DB215+DB235</f>
        <v>172975755.28808719</v>
      </c>
      <c r="DC237" s="1073"/>
      <c r="DG237" s="1135">
        <f>DG196+DG202+DG207+DG215+DG235</f>
        <v>741262086.83000004</v>
      </c>
      <c r="DH237" s="1135">
        <f>DH196+DH202+DH207+DH215+DH235</f>
        <v>543260025.74474597</v>
      </c>
      <c r="DI237" s="1135">
        <f>DI196+DI202+DI207+DI215+DI235</f>
        <v>25026305.797166929</v>
      </c>
      <c r="DJ237" s="1135">
        <f>DJ196+DJ202+DJ207+DJ215+DJ235</f>
        <v>172975755.28808719</v>
      </c>
      <c r="DK237" s="1073"/>
      <c r="DO237" s="1135">
        <f>DO196+DO202+DO207+DO215+DO235</f>
        <v>741262086.83000004</v>
      </c>
      <c r="DP237" s="1135">
        <f>DP196+DP202+DP207+DP215+DP235</f>
        <v>543260025.74474597</v>
      </c>
      <c r="DQ237" s="1135">
        <f>DQ196+DQ202+DQ207+DQ215+DQ235</f>
        <v>25026305.797166929</v>
      </c>
      <c r="DR237" s="1135">
        <f>DR196+DR202+DR207+DR215+DR235</f>
        <v>172975755.28808719</v>
      </c>
      <c r="DS237" s="1073"/>
      <c r="DW237" s="1135">
        <f>DW196+DW202+DW207+DW215+DW235</f>
        <v>741262086.83000004</v>
      </c>
      <c r="DX237" s="1135">
        <f>DX196+DX202+DX207+DX215+DX235</f>
        <v>543260025.74474597</v>
      </c>
      <c r="DY237" s="1135">
        <f>DY196+DY202+DY207+DY215+DY235</f>
        <v>25026305.797166929</v>
      </c>
      <c r="DZ237" s="1135">
        <f>DZ196+DZ202+DZ207+DZ215+DZ235</f>
        <v>172975755.28808719</v>
      </c>
      <c r="EA237" s="1073"/>
      <c r="EE237" s="1135">
        <f>EE196+EE202+EE207+EE215+EE235</f>
        <v>741262086.83000004</v>
      </c>
      <c r="EF237" s="1135">
        <f>EF196+EF202+EF207+EF215+EF235</f>
        <v>543260025.74474597</v>
      </c>
      <c r="EG237" s="1135">
        <f>EG196+EG202+EG207+EG215+EG235</f>
        <v>25026305.797166929</v>
      </c>
      <c r="EH237" s="1135">
        <f>EH196+EH202+EH207+EH215+EH235</f>
        <v>172975755.28808719</v>
      </c>
      <c r="EI237" s="1073"/>
      <c r="EM237" s="1135">
        <f>EM196+EM202+EM207+EM215+EM235</f>
        <v>741262086.83000004</v>
      </c>
      <c r="EN237" s="1135">
        <f>EN196+EN202+EN207+EN215+EN235</f>
        <v>543260025.74474597</v>
      </c>
      <c r="EO237" s="1135">
        <f>EO196+EO202+EO207+EO215+EO235</f>
        <v>25026305.797166929</v>
      </c>
      <c r="EP237" s="1135">
        <f>EP196+EP202+EP207+EP215+EP235</f>
        <v>172975755.28808719</v>
      </c>
      <c r="EQ237" s="1073"/>
      <c r="EU237" s="1135">
        <f>EU196+EU202+EU207+EU215+EU235</f>
        <v>741262086.83000004</v>
      </c>
      <c r="EV237" s="1135">
        <f>EV196+EV202+EV207+EV215+EV235</f>
        <v>543260025.74474597</v>
      </c>
      <c r="EW237" s="1135">
        <f>EW196+EW202+EW207+EW215+EW235</f>
        <v>25026305.797166929</v>
      </c>
      <c r="EX237" s="1135">
        <f>EX196+EX202+EX207+EX215+EX235</f>
        <v>172975755.28808719</v>
      </c>
      <c r="EY237" s="1073"/>
      <c r="FC237" s="1135">
        <f>FC196+FC202+FC207+FC215+FC235</f>
        <v>741262086.83000004</v>
      </c>
      <c r="FD237" s="1135">
        <f>FD196+FD202+FD207+FD215+FD235</f>
        <v>543260025.74474597</v>
      </c>
      <c r="FE237" s="1135">
        <f>FE196+FE202+FE207+FE215+FE235</f>
        <v>25026305.797166929</v>
      </c>
      <c r="FF237" s="1135">
        <f>FF196+FF202+FF207+FF215+FF235</f>
        <v>172975755.28808719</v>
      </c>
      <c r="FG237" s="1073"/>
      <c r="FK237" s="1135">
        <f>FK196+FK202+FK207+FK215+FK235</f>
        <v>741262086.83000004</v>
      </c>
      <c r="FL237" s="1135">
        <f>FL196+FL202+FL207+FL215+FL235</f>
        <v>543260025.74474597</v>
      </c>
      <c r="FM237" s="1135">
        <f>FM196+FM202+FM207+FM215+FM235</f>
        <v>25026305.797166929</v>
      </c>
      <c r="FN237" s="1135">
        <f>FN196+FN202+FN207+FN215+FN235</f>
        <v>172975755.28808719</v>
      </c>
      <c r="FO237" s="1073"/>
    </row>
    <row r="238" spans="1:171">
      <c r="A238" s="1473" t="s">
        <v>433</v>
      </c>
      <c r="B238" s="1003"/>
      <c r="C238" s="85"/>
      <c r="D238" s="913"/>
      <c r="E238" s="913"/>
      <c r="F238" s="913"/>
      <c r="G238" s="998"/>
      <c r="H238" s="1004"/>
      <c r="I238" s="1004"/>
      <c r="J238" s="1474"/>
      <c r="K238" s="903"/>
      <c r="S238" s="1073"/>
      <c r="AA238" s="1073"/>
      <c r="AI238" s="1073"/>
      <c r="AQ238" s="1073"/>
      <c r="AY238" s="1073"/>
      <c r="BG238" s="1073"/>
      <c r="BO238" s="1073"/>
      <c r="BW238" s="1073"/>
      <c r="CE238" s="1073"/>
      <c r="CM238" s="1073"/>
      <c r="CU238" s="1073"/>
      <c r="DC238" s="1073"/>
      <c r="DK238" s="1073"/>
      <c r="DS238" s="1073"/>
      <c r="EA238" s="1073"/>
      <c r="EI238" s="1073"/>
      <c r="EQ238" s="1073"/>
      <c r="EY238" s="1073"/>
      <c r="FG238" s="1073"/>
      <c r="FO238" s="1073"/>
    </row>
    <row r="239" spans="1:171">
      <c r="A239" s="1442"/>
      <c r="B239" s="947"/>
      <c r="C239" s="1006"/>
      <c r="D239" s="1007"/>
      <c r="E239" s="1006"/>
      <c r="F239" s="1006"/>
      <c r="G239" s="1008"/>
      <c r="H239" s="1009"/>
      <c r="I239" s="1009"/>
      <c r="J239" s="1475"/>
      <c r="K239" s="903"/>
      <c r="S239" s="1073"/>
      <c r="AA239" s="1073"/>
      <c r="AI239" s="1073"/>
      <c r="AQ239" s="1073"/>
      <c r="AY239" s="1073"/>
      <c r="BG239" s="1073"/>
      <c r="BO239" s="1073"/>
      <c r="BW239" s="1073"/>
      <c r="CE239" s="1073"/>
      <c r="CM239" s="1073"/>
      <c r="CU239" s="1073"/>
      <c r="DC239" s="1073"/>
      <c r="DK239" s="1073"/>
      <c r="DS239" s="1073"/>
      <c r="EA239" s="1073"/>
      <c r="EI239" s="1073"/>
      <c r="EQ239" s="1073"/>
      <c r="EY239" s="1073"/>
      <c r="FG239" s="1073"/>
      <c r="FO239" s="1073"/>
    </row>
    <row r="240" spans="1:171">
      <c r="A240" s="1362" t="s">
        <v>40</v>
      </c>
      <c r="B240" s="1011"/>
      <c r="C240" s="1012"/>
      <c r="D240" s="1012"/>
      <c r="E240" s="1012"/>
      <c r="F240" s="10"/>
      <c r="G240" s="1013"/>
      <c r="H240" s="989"/>
      <c r="I240" s="989"/>
      <c r="J240" s="1476"/>
      <c r="K240" s="903"/>
      <c r="S240" s="1073"/>
      <c r="AA240" s="1073"/>
      <c r="AI240" s="1073"/>
      <c r="AQ240" s="1073"/>
      <c r="AY240" s="1073"/>
      <c r="BG240" s="1073"/>
      <c r="BO240" s="1073"/>
      <c r="BW240" s="1073"/>
      <c r="CE240" s="1073"/>
      <c r="CM240" s="1073"/>
      <c r="CU240" s="1073"/>
      <c r="DC240" s="1073"/>
      <c r="DK240" s="1073"/>
      <c r="DS240" s="1073"/>
      <c r="EA240" s="1073"/>
      <c r="EI240" s="1073"/>
      <c r="EQ240" s="1073"/>
      <c r="EY240" s="1073"/>
      <c r="FG240" s="1073"/>
      <c r="FO240" s="1073"/>
    </row>
    <row r="241" spans="1:171">
      <c r="A241" s="1439"/>
      <c r="B241" s="913" t="s">
        <v>373</v>
      </c>
      <c r="C241" s="888">
        <v>336</v>
      </c>
      <c r="D241" s="888">
        <v>403</v>
      </c>
      <c r="E241" s="182" t="str">
        <f>'Sch 3 - Expenses'!E81</f>
        <v>DIST</v>
      </c>
      <c r="F241" s="889"/>
      <c r="G241" s="182">
        <f>'Sch 3 - Expenses'!G81</f>
        <v>0</v>
      </c>
      <c r="H241" s="182">
        <f>'Sch 3 - Expenses'!H81</f>
        <v>0</v>
      </c>
      <c r="I241" s="182">
        <f>'Sch 3 - Expenses'!I81</f>
        <v>0</v>
      </c>
      <c r="J241" s="1424">
        <f>'Sch 3 - Expenses'!J81</f>
        <v>0</v>
      </c>
      <c r="K241" s="903">
        <f t="shared" ref="K241:K256" si="629">IF($E241="DIRECT",0,1)</f>
        <v>1</v>
      </c>
      <c r="O241" s="1116">
        <f>$G241</f>
        <v>0</v>
      </c>
      <c r="P241" s="1117">
        <f t="shared" ref="P241:P256" si="630">VLOOKUP($E241,O$442:R$453,2,FALSE)*O241*($K241)+IF($G241&lt;&gt;0,($H241/$G241)*O241,0)*(1-$K241)</f>
        <v>0</v>
      </c>
      <c r="Q241" s="1117">
        <f t="shared" ref="Q241:Q256" si="631">VLOOKUP($E241,O$442:R$453,3,FALSE)*O241*($K241)+IF($G241&lt;&gt;0,($I241/$G241)*O241,0)*(1-$K241)</f>
        <v>0</v>
      </c>
      <c r="R241" s="1117">
        <f t="shared" ref="R241:R256" si="632">VLOOKUP($E241,O$442:R$453,4,FALSE)*O241*($K241)+(O241-P241-Q241)*(1-$K241)</f>
        <v>0</v>
      </c>
      <c r="S241" s="1073"/>
      <c r="W241" s="1116">
        <f>$G241</f>
        <v>0</v>
      </c>
      <c r="X241" s="1117">
        <f t="shared" ref="X241:X256" si="633">VLOOKUP($E241,W$442:Z$453,2,FALSE)*W241*($K241)+IF($G241&lt;&gt;0,($H241/$G241)*W241,0)*(1-$K241)</f>
        <v>0</v>
      </c>
      <c r="Y241" s="1117">
        <f t="shared" ref="Y241:Y256" si="634">VLOOKUP($E241,W$442:Z$453,3,FALSE)*W241*($K241)+IF($G241&lt;&gt;0,($I241/$G241)*W241,0)*(1-$K241)</f>
        <v>0</v>
      </c>
      <c r="Z241" s="1117">
        <f t="shared" ref="Z241:Z256" si="635">VLOOKUP($E241,W$442:Z$453,4,FALSE)*W241*($K241)+(W241-X241-Y241)*(1-$K241)</f>
        <v>0</v>
      </c>
      <c r="AA241" s="1073"/>
      <c r="AE241" s="1116">
        <f>$G241</f>
        <v>0</v>
      </c>
      <c r="AF241" s="1117">
        <f t="shared" ref="AF241:AF256" si="636">VLOOKUP($E241,AE$442:AH$453,2,FALSE)*AE241*($K241)+IF($G241&lt;&gt;0,($H241/$G241)*AE241,0)*(1-$K241)</f>
        <v>0</v>
      </c>
      <c r="AG241" s="1117">
        <f t="shared" ref="AG241:AG256" si="637">VLOOKUP($E241,AE$442:AH$453,3,FALSE)*AE241*($K241)+IF($G241&lt;&gt;0,($I241/$G241)*AE241,0)*(1-$K241)</f>
        <v>0</v>
      </c>
      <c r="AH241" s="1117">
        <f t="shared" ref="AH241:AH256" si="638">VLOOKUP($E241,AE$442:AH$453,4,FALSE)*AE241*($K241)+(AE241-AF241-AG241)*(1-$K241)</f>
        <v>0</v>
      </c>
      <c r="AI241" s="1073"/>
      <c r="AM241" s="1116">
        <f>$G241</f>
        <v>0</v>
      </c>
      <c r="AN241" s="1117">
        <f t="shared" ref="AN241:AN256" si="639">VLOOKUP($E241,AM$442:AP$453,2,FALSE)*AM241*($K241)+IF($G241&lt;&gt;0,($H241/$G241)*AM241,0)*(1-$K241)</f>
        <v>0</v>
      </c>
      <c r="AO241" s="1117">
        <f t="shared" ref="AO241:AO256" si="640">VLOOKUP($E241,AM$442:AP$453,3,FALSE)*AM241*($K241)+IF($G241&lt;&gt;0,($I241/$G241)*AM241,0)*(1-$K241)</f>
        <v>0</v>
      </c>
      <c r="AP241" s="1117">
        <f t="shared" ref="AP241:AP256" si="641">VLOOKUP($E241,AM$442:AP$453,4,FALSE)*AM241*($K241)+(AM241-AN241-AO241)*(1-$K241)</f>
        <v>0</v>
      </c>
      <c r="AQ241" s="1073"/>
      <c r="AU241" s="1116">
        <f>$G241</f>
        <v>0</v>
      </c>
      <c r="AV241" s="1117">
        <f t="shared" ref="AV241:AV256" si="642">VLOOKUP($E241,AU$442:AX$453,2,FALSE)*AU241*($K241)+IF($G241&lt;&gt;0,($H241/$G241)*AU241,0)*(1-$K241)</f>
        <v>0</v>
      </c>
      <c r="AW241" s="1117">
        <f t="shared" ref="AW241:AW256" si="643">VLOOKUP($E241,AU$442:AX$453,3,FALSE)*AU241*($K241)+IF($G241&lt;&gt;0,($I241/$G241)*AU241,0)*(1-$K241)</f>
        <v>0</v>
      </c>
      <c r="AX241" s="1117">
        <f t="shared" ref="AX241:AX256" si="644">VLOOKUP($E241,AU$442:AX$453,4,FALSE)*AU241*($K241)+(AU241-AV241-AW241)*(1-$K241)</f>
        <v>0</v>
      </c>
      <c r="AY241" s="1073"/>
      <c r="BC241" s="1116">
        <f>$G241</f>
        <v>0</v>
      </c>
      <c r="BD241" s="1117">
        <f t="shared" ref="BD241:BD256" si="645">VLOOKUP($E241,BC$442:BF$453,2,FALSE)*BC241*($K241)+IF($G241&lt;&gt;0,($H241/$G241)*BC241,0)*(1-$K241)</f>
        <v>0</v>
      </c>
      <c r="BE241" s="1117">
        <f t="shared" ref="BE241:BE256" si="646">VLOOKUP($E241,BC$442:BF$453,3,FALSE)*BC241*($K241)+IF($G241&lt;&gt;0,($I241/$G241)*BC241,0)*(1-$K241)</f>
        <v>0</v>
      </c>
      <c r="BF241" s="1117">
        <f t="shared" ref="BF241:BF256" si="647">VLOOKUP($E241,BC$442:BF$453,4,FALSE)*BC241*($K241)+(BC241-BD241-BE241)*(1-$K241)</f>
        <v>0</v>
      </c>
      <c r="BG241" s="1073"/>
      <c r="BK241" s="1116">
        <f>$G241</f>
        <v>0</v>
      </c>
      <c r="BL241" s="1117">
        <f t="shared" ref="BL241:BL256" si="648">VLOOKUP($E241,BK$442:BN$453,2,FALSE)*BK241*($K241)+IF($G241&lt;&gt;0,($H241/$G241)*BK241,0)*(1-$K241)</f>
        <v>0</v>
      </c>
      <c r="BM241" s="1117">
        <f t="shared" ref="BM241:BM256" si="649">VLOOKUP($E241,BK$442:BN$453,3,FALSE)*BK241*($K241)+IF($G241&lt;&gt;0,($I241/$G241)*BK241,0)*(1-$K241)</f>
        <v>0</v>
      </c>
      <c r="BN241" s="1117">
        <f t="shared" ref="BN241:BN256" si="650">VLOOKUP($E241,BK$442:BN$453,4,FALSE)*BK241*($K241)+(BK241-BL241-BM241)*(1-$K241)</f>
        <v>0</v>
      </c>
      <c r="BO241" s="1073"/>
      <c r="BS241" s="1116">
        <f>$G241</f>
        <v>0</v>
      </c>
      <c r="BT241" s="1117">
        <f t="shared" ref="BT241:BT256" si="651">VLOOKUP($E241,BS$442:BV$453,2,FALSE)*BS241*($K241)+IF($G241&lt;&gt;0,($H241/$G241)*BS241,0)*(1-$K241)</f>
        <v>0</v>
      </c>
      <c r="BU241" s="1117">
        <f t="shared" ref="BU241:BU256" si="652">VLOOKUP($E241,BS$442:BV$453,3,FALSE)*BS241*($K241)+IF($G241&lt;&gt;0,($I241/$G241)*BS241,0)*(1-$K241)</f>
        <v>0</v>
      </c>
      <c r="BV241" s="1117">
        <f t="shared" ref="BV241:BV256" si="653">VLOOKUP($E241,BS$442:BV$453,4,FALSE)*BS241*($K241)+(BS241-BT241-BU241)*(1-$K241)</f>
        <v>0</v>
      </c>
      <c r="BW241" s="1073"/>
      <c r="CA241" s="1116">
        <f>$G241</f>
        <v>0</v>
      </c>
      <c r="CB241" s="1117">
        <f t="shared" ref="CB241:CB256" si="654">VLOOKUP($E241,CA$442:CD$453,2,FALSE)*CA241*($K241)+IF($G241&lt;&gt;0,($H241/$G241)*CA241,0)*(1-$K241)</f>
        <v>0</v>
      </c>
      <c r="CC241" s="1117">
        <f t="shared" ref="CC241:CC256" si="655">VLOOKUP($E241,CA$442:CD$453,3,FALSE)*CA241*($K241)+IF($G241&lt;&gt;0,($I241/$G241)*CA241,0)*(1-$K241)</f>
        <v>0</v>
      </c>
      <c r="CD241" s="1117">
        <f t="shared" ref="CD241:CD256" si="656">VLOOKUP($E241,CA$442:CD$453,4,FALSE)*CA241*($K241)+(CA241-CB241-CC241)*(1-$K241)</f>
        <v>0</v>
      </c>
      <c r="CE241" s="1073"/>
      <c r="CI241" s="1116">
        <f>$G241</f>
        <v>0</v>
      </c>
      <c r="CJ241" s="1117">
        <f t="shared" ref="CJ241:CJ256" si="657">VLOOKUP($E241,CI$442:CL$453,2,FALSE)*CI241*($K241)+IF($G241&lt;&gt;0,($H241/$G241)*CI241,0)*(1-$K241)</f>
        <v>0</v>
      </c>
      <c r="CK241" s="1117">
        <f t="shared" ref="CK241:CK256" si="658">VLOOKUP($E241,CI$442:CL$453,3,FALSE)*CI241*($K241)+IF($G241&lt;&gt;0,($I241/$G241)*CI241,0)*(1-$K241)</f>
        <v>0</v>
      </c>
      <c r="CL241" s="1117">
        <f t="shared" ref="CL241:CL256" si="659">VLOOKUP($E241,CI$442:CL$453,4,FALSE)*CI241*($K241)+(CI241-CJ241-CK241)*(1-$K241)</f>
        <v>0</v>
      </c>
      <c r="CM241" s="1073"/>
      <c r="CQ241" s="1116">
        <f>$G241</f>
        <v>0</v>
      </c>
      <c r="CR241" s="1117">
        <f t="shared" ref="CR241:CR256" si="660">VLOOKUP($E241,CQ$442:CT$453,2,FALSE)*CQ241*($K241)+IF($G241&lt;&gt;0,($H241/$G241)*CQ241,0)*(1-$K241)</f>
        <v>0</v>
      </c>
      <c r="CS241" s="1117">
        <f t="shared" ref="CS241:CS256" si="661">VLOOKUP($E241,CQ$442:CT$453,3,FALSE)*CQ241*($K241)+IF($G241&lt;&gt;0,($I241/$G241)*CQ241,0)*(1-$K241)</f>
        <v>0</v>
      </c>
      <c r="CT241" s="1117">
        <f t="shared" ref="CT241:CT256" si="662">VLOOKUP($E241,CQ$442:CT$453,4,FALSE)*CQ241*($K241)+(CQ241-CR241-CS241)*(1-$K241)</f>
        <v>0</v>
      </c>
      <c r="CU241" s="1073"/>
      <c r="CY241" s="1116">
        <f>$G241</f>
        <v>0</v>
      </c>
      <c r="CZ241" s="1117">
        <f t="shared" ref="CZ241:CZ256" si="663">VLOOKUP($E241,CY$442:DB$453,2,FALSE)*CY241*($K241)+IF($G241&lt;&gt;0,($H241/$G241)*CY241,0)*(1-$K241)</f>
        <v>0</v>
      </c>
      <c r="DA241" s="1117">
        <f t="shared" ref="DA241:DA256" si="664">VLOOKUP($E241,CY$442:DB$453,3,FALSE)*CY241*($K241)+IF($G241&lt;&gt;0,($I241/$G241)*CY241,0)*(1-$K241)</f>
        <v>0</v>
      </c>
      <c r="DB241" s="1117">
        <f t="shared" ref="DB241:DB256" si="665">VLOOKUP($E241,CY$442:DB$453,4,FALSE)*CY241*($K241)+(CY241-CZ241-DA241)*(1-$K241)</f>
        <v>0</v>
      </c>
      <c r="DC241" s="1073"/>
      <c r="DG241" s="1116">
        <f>$G241</f>
        <v>0</v>
      </c>
      <c r="DH241" s="1117">
        <f t="shared" ref="DH241:DH256" si="666">VLOOKUP($E241,DG$442:DJ$453,2,FALSE)*DG241*($K241)+IF($G241&lt;&gt;0,($H241/$G241)*DG241,0)*(1-$K241)</f>
        <v>0</v>
      </c>
      <c r="DI241" s="1117">
        <f t="shared" ref="DI241:DI256" si="667">VLOOKUP($E241,DG$442:DJ$453,3,FALSE)*DG241*($K241)+IF($G241&lt;&gt;0,($I241/$G241)*DG241,0)*(1-$K241)</f>
        <v>0</v>
      </c>
      <c r="DJ241" s="1117">
        <f t="shared" ref="DJ241:DJ256" si="668">VLOOKUP($E241,DG$442:DJ$453,4,FALSE)*DG241*($K241)+(DG241-DH241-DI241)*(1-$K241)</f>
        <v>0</v>
      </c>
      <c r="DK241" s="1073"/>
      <c r="DO241" s="1116">
        <f>$G241</f>
        <v>0</v>
      </c>
      <c r="DP241" s="1117">
        <f t="shared" ref="DP241:DP256" si="669">VLOOKUP($E241,DO$442:DR$453,2,FALSE)*DO241*($K241)+IF($G241&lt;&gt;0,($H241/$G241)*DO241,0)*(1-$K241)</f>
        <v>0</v>
      </c>
      <c r="DQ241" s="1117">
        <f t="shared" ref="DQ241:DQ256" si="670">VLOOKUP($E241,DO$442:DR$453,3,FALSE)*DO241*($K241)+IF($G241&lt;&gt;0,($I241/$G241)*DO241,0)*(1-$K241)</f>
        <v>0</v>
      </c>
      <c r="DR241" s="1117">
        <f t="shared" ref="DR241:DR256" si="671">VLOOKUP($E241,DO$442:DR$453,4,FALSE)*DO241*($K241)+(DO241-DP241-DQ241)*(1-$K241)</f>
        <v>0</v>
      </c>
      <c r="DS241" s="1073"/>
      <c r="DW241" s="1116">
        <f>$G241</f>
        <v>0</v>
      </c>
      <c r="DX241" s="1117">
        <f t="shared" ref="DX241:DX256" si="672">VLOOKUP($E241,DW$442:DZ$453,2,FALSE)*DW241*($K241)+IF($G241&lt;&gt;0,($H241/$G241)*DW241,0)*(1-$K241)</f>
        <v>0</v>
      </c>
      <c r="DY241" s="1117">
        <f t="shared" ref="DY241:DY256" si="673">VLOOKUP($E241,DW$442:DZ$453,3,FALSE)*DW241*($K241)+IF($G241&lt;&gt;0,($I241/$G241)*DW241,0)*(1-$K241)</f>
        <v>0</v>
      </c>
      <c r="DZ241" s="1117">
        <f t="shared" ref="DZ241:DZ256" si="674">VLOOKUP($E241,DW$442:DZ$453,4,FALSE)*DW241*($K241)+(DW241-DX241-DY241)*(1-$K241)</f>
        <v>0</v>
      </c>
      <c r="EA241" s="1073"/>
      <c r="EE241" s="1116">
        <f>$G241</f>
        <v>0</v>
      </c>
      <c r="EF241" s="1117">
        <f t="shared" ref="EF241:EF256" si="675">VLOOKUP($E241,EE$442:EH$453,2,FALSE)*EE241*($K241)+IF($G241&lt;&gt;0,($H241/$G241)*EE241,0)*(1-$K241)</f>
        <v>0</v>
      </c>
      <c r="EG241" s="1117">
        <f t="shared" ref="EG241:EG256" si="676">VLOOKUP($E241,EE$442:EH$453,3,FALSE)*EE241*($K241)+IF($G241&lt;&gt;0,($I241/$G241)*EE241,0)*(1-$K241)</f>
        <v>0</v>
      </c>
      <c r="EH241" s="1117">
        <f t="shared" ref="EH241:EH256" si="677">VLOOKUP($E241,EE$442:EH$453,4,FALSE)*EE241*($K241)+(EE241-EF241-EG241)*(1-$K241)</f>
        <v>0</v>
      </c>
      <c r="EI241" s="1073"/>
      <c r="EM241" s="1116">
        <f>$G241</f>
        <v>0</v>
      </c>
      <c r="EN241" s="1117">
        <f t="shared" ref="EN241:EN256" si="678">VLOOKUP($E241,EM$442:EP$453,2,FALSE)*EM241*($K241)+IF($G241&lt;&gt;0,($H241/$G241)*EM241,0)*(1-$K241)</f>
        <v>0</v>
      </c>
      <c r="EO241" s="1117">
        <f t="shared" ref="EO241:EO256" si="679">VLOOKUP($E241,EM$442:EP$453,3,FALSE)*EM241*($K241)+IF($G241&lt;&gt;0,($I241/$G241)*EM241,0)*(1-$K241)</f>
        <v>0</v>
      </c>
      <c r="EP241" s="1117">
        <f t="shared" ref="EP241:EP256" si="680">VLOOKUP($E241,EM$442:EP$453,4,FALSE)*EM241*($K241)+(EM241-EN241-EO241)*(1-$K241)</f>
        <v>0</v>
      </c>
      <c r="EQ241" s="1073"/>
      <c r="EU241" s="1116">
        <f>$G241</f>
        <v>0</v>
      </c>
      <c r="EV241" s="1117">
        <f t="shared" ref="EV241:EV256" si="681">VLOOKUP($E241,EU$442:EX$453,2,FALSE)*EU241*($K241)+IF($G241&lt;&gt;0,($H241/$G241)*EU241,0)*(1-$K241)</f>
        <v>0</v>
      </c>
      <c r="EW241" s="1117">
        <f t="shared" ref="EW241:EW256" si="682">VLOOKUP($E241,EU$442:EX$453,3,FALSE)*EU241*($K241)+IF($G241&lt;&gt;0,($I241/$G241)*EU241,0)*(1-$K241)</f>
        <v>0</v>
      </c>
      <c r="EX241" s="1117">
        <f t="shared" ref="EX241:EX256" si="683">VLOOKUP($E241,EU$442:EX$453,4,FALSE)*EU241*($K241)+(EU241-EV241-EW241)*(1-$K241)</f>
        <v>0</v>
      </c>
      <c r="EY241" s="1073"/>
      <c r="FC241" s="1116">
        <f>$G241</f>
        <v>0</v>
      </c>
      <c r="FD241" s="1117">
        <f t="shared" ref="FD241:FD256" si="684">VLOOKUP($E241,FC$442:FF$453,2,FALSE)*FC241*($K241)+IF($G241&lt;&gt;0,($H241/$G241)*FC241,0)*(1-$K241)</f>
        <v>0</v>
      </c>
      <c r="FE241" s="1117">
        <f t="shared" ref="FE241:FE256" si="685">VLOOKUP($E241,FC$442:FF$453,3,FALSE)*FC241*($K241)+IF($G241&lt;&gt;0,($I241/$G241)*FC241,0)*(1-$K241)</f>
        <v>0</v>
      </c>
      <c r="FF241" s="1117">
        <f t="shared" ref="FF241:FF256" si="686">VLOOKUP($E241,FC$442:FF$453,4,FALSE)*FC241*($K241)+(FC241-FD241-FE241)*(1-$K241)</f>
        <v>0</v>
      </c>
      <c r="FG241" s="1073"/>
      <c r="FK241" s="1116">
        <f>$G241</f>
        <v>0</v>
      </c>
      <c r="FL241" s="1117">
        <f t="shared" ref="FL241:FL256" si="687">VLOOKUP($E241,FK$442:FN$453,2,FALSE)*FK241*($K241)+IF($G241&lt;&gt;0,($H241/$G241)*FK241,0)*(1-$K241)</f>
        <v>0</v>
      </c>
      <c r="FM241" s="1117">
        <f t="shared" ref="FM241:FM256" si="688">VLOOKUP($E241,FK$442:FN$453,3,FALSE)*FK241*($K241)+IF($G241&lt;&gt;0,($I241/$G241)*FK241,0)*(1-$K241)</f>
        <v>0</v>
      </c>
      <c r="FN241" s="1117">
        <f t="shared" ref="FN241:FN256" si="689">VLOOKUP($E241,FK$442:FN$453,4,FALSE)*FK241*($K241)+(FK241-FL241-FM241)*(1-$K241)</f>
        <v>0</v>
      </c>
      <c r="FO241" s="1073"/>
    </row>
    <row r="242" spans="1:171">
      <c r="A242" s="1439"/>
      <c r="B242" s="913" t="s">
        <v>374</v>
      </c>
      <c r="C242" s="888">
        <v>336</v>
      </c>
      <c r="D242" s="888">
        <v>403</v>
      </c>
      <c r="E242" s="182" t="str">
        <f>'Sch 3 - Expenses'!E82</f>
        <v>DIRECT</v>
      </c>
      <c r="F242" s="889"/>
      <c r="G242" s="182">
        <f>'Sch 3 - Expenses'!G82</f>
        <v>2226233</v>
      </c>
      <c r="H242" s="182">
        <f>'Sch 3 - Expenses'!H82</f>
        <v>2010137.6126880527</v>
      </c>
      <c r="I242" s="182">
        <f>'Sch 3 - Expenses'!I82</f>
        <v>0</v>
      </c>
      <c r="J242" s="1424">
        <f>'Sch 3 - Expenses'!J82</f>
        <v>216095.50131194707</v>
      </c>
      <c r="K242" s="903">
        <f t="shared" si="629"/>
        <v>0</v>
      </c>
      <c r="O242" s="1116">
        <f>$G242</f>
        <v>2226233</v>
      </c>
      <c r="P242" s="1117">
        <f t="shared" si="630"/>
        <v>2010137.6126880527</v>
      </c>
      <c r="Q242" s="1117">
        <f t="shared" si="631"/>
        <v>0</v>
      </c>
      <c r="R242" s="1117">
        <f t="shared" si="632"/>
        <v>216095.3873119473</v>
      </c>
      <c r="S242" s="1073"/>
      <c r="W242" s="1116">
        <f>$G242</f>
        <v>2226233</v>
      </c>
      <c r="X242" s="1117">
        <f t="shared" si="633"/>
        <v>2010137.6126880527</v>
      </c>
      <c r="Y242" s="1117">
        <f t="shared" si="634"/>
        <v>0</v>
      </c>
      <c r="Z242" s="1117">
        <f t="shared" si="635"/>
        <v>216095.3873119473</v>
      </c>
      <c r="AA242" s="1073"/>
      <c r="AE242" s="1116">
        <f>$G242</f>
        <v>2226233</v>
      </c>
      <c r="AF242" s="1117">
        <f t="shared" si="636"/>
        <v>2010137.6126880527</v>
      </c>
      <c r="AG242" s="1117">
        <f t="shared" si="637"/>
        <v>0</v>
      </c>
      <c r="AH242" s="1117">
        <f t="shared" si="638"/>
        <v>216095.3873119473</v>
      </c>
      <c r="AI242" s="1073"/>
      <c r="AM242" s="1116">
        <f>$G242</f>
        <v>2226233</v>
      </c>
      <c r="AN242" s="1117">
        <f t="shared" si="639"/>
        <v>2010137.6126880527</v>
      </c>
      <c r="AO242" s="1117">
        <f t="shared" si="640"/>
        <v>0</v>
      </c>
      <c r="AP242" s="1117">
        <f t="shared" si="641"/>
        <v>216095.3873119473</v>
      </c>
      <c r="AQ242" s="1073"/>
      <c r="AU242" s="1116">
        <f>$G242</f>
        <v>2226233</v>
      </c>
      <c r="AV242" s="1117">
        <f t="shared" si="642"/>
        <v>2010137.6126880527</v>
      </c>
      <c r="AW242" s="1117">
        <f t="shared" si="643"/>
        <v>0</v>
      </c>
      <c r="AX242" s="1117">
        <f t="shared" si="644"/>
        <v>216095.3873119473</v>
      </c>
      <c r="AY242" s="1073"/>
      <c r="BC242" s="1116">
        <f>$G242</f>
        <v>2226233</v>
      </c>
      <c r="BD242" s="1117">
        <f t="shared" si="645"/>
        <v>2010137.6126880527</v>
      </c>
      <c r="BE242" s="1117">
        <f t="shared" si="646"/>
        <v>0</v>
      </c>
      <c r="BF242" s="1117">
        <f t="shared" si="647"/>
        <v>216095.3873119473</v>
      </c>
      <c r="BG242" s="1073"/>
      <c r="BK242" s="1116">
        <f>$G242</f>
        <v>2226233</v>
      </c>
      <c r="BL242" s="1117">
        <f t="shared" si="648"/>
        <v>2010137.6126880527</v>
      </c>
      <c r="BM242" s="1117">
        <f t="shared" si="649"/>
        <v>0</v>
      </c>
      <c r="BN242" s="1117">
        <f t="shared" si="650"/>
        <v>216095.3873119473</v>
      </c>
      <c r="BO242" s="1073"/>
      <c r="BS242" s="1116">
        <f>$G242</f>
        <v>2226233</v>
      </c>
      <c r="BT242" s="1117">
        <f t="shared" si="651"/>
        <v>2010137.6126880527</v>
      </c>
      <c r="BU242" s="1117">
        <f t="shared" si="652"/>
        <v>0</v>
      </c>
      <c r="BV242" s="1117">
        <f t="shared" si="653"/>
        <v>216095.3873119473</v>
      </c>
      <c r="BW242" s="1073"/>
      <c r="CA242" s="1116">
        <f>$G242</f>
        <v>2226233</v>
      </c>
      <c r="CB242" s="1117">
        <f t="shared" si="654"/>
        <v>2010137.6126880527</v>
      </c>
      <c r="CC242" s="1117">
        <f t="shared" si="655"/>
        <v>0</v>
      </c>
      <c r="CD242" s="1117">
        <f t="shared" si="656"/>
        <v>216095.3873119473</v>
      </c>
      <c r="CE242" s="1073"/>
      <c r="CI242" s="1116">
        <f>$G242</f>
        <v>2226233</v>
      </c>
      <c r="CJ242" s="1117">
        <f t="shared" si="657"/>
        <v>2010137.6126880527</v>
      </c>
      <c r="CK242" s="1117">
        <f t="shared" si="658"/>
        <v>0</v>
      </c>
      <c r="CL242" s="1117">
        <f t="shared" si="659"/>
        <v>216095.3873119473</v>
      </c>
      <c r="CM242" s="1073"/>
      <c r="CQ242" s="1116">
        <f>$G242</f>
        <v>2226233</v>
      </c>
      <c r="CR242" s="1117">
        <f t="shared" si="660"/>
        <v>2010137.6126880527</v>
      </c>
      <c r="CS242" s="1117">
        <f t="shared" si="661"/>
        <v>0</v>
      </c>
      <c r="CT242" s="1117">
        <f t="shared" si="662"/>
        <v>216095.3873119473</v>
      </c>
      <c r="CU242" s="1073"/>
      <c r="CY242" s="1116">
        <f>$G242</f>
        <v>2226233</v>
      </c>
      <c r="CZ242" s="1117">
        <f t="shared" si="663"/>
        <v>2010137.6126880527</v>
      </c>
      <c r="DA242" s="1117">
        <f t="shared" si="664"/>
        <v>0</v>
      </c>
      <c r="DB242" s="1117">
        <f t="shared" si="665"/>
        <v>216095.3873119473</v>
      </c>
      <c r="DC242" s="1073"/>
      <c r="DG242" s="1116">
        <f>$G242</f>
        <v>2226233</v>
      </c>
      <c r="DH242" s="1117">
        <f t="shared" si="666"/>
        <v>2010137.6126880527</v>
      </c>
      <c r="DI242" s="1117">
        <f t="shared" si="667"/>
        <v>0</v>
      </c>
      <c r="DJ242" s="1117">
        <f t="shared" si="668"/>
        <v>216095.3873119473</v>
      </c>
      <c r="DK242" s="1073"/>
      <c r="DO242" s="1116">
        <f>$G242</f>
        <v>2226233</v>
      </c>
      <c r="DP242" s="1117">
        <f t="shared" si="669"/>
        <v>2010137.6126880527</v>
      </c>
      <c r="DQ242" s="1117">
        <f t="shared" si="670"/>
        <v>0</v>
      </c>
      <c r="DR242" s="1117">
        <f t="shared" si="671"/>
        <v>216095.3873119473</v>
      </c>
      <c r="DS242" s="1073"/>
      <c r="DW242" s="1116">
        <f>$G242</f>
        <v>2226233</v>
      </c>
      <c r="DX242" s="1117">
        <f t="shared" si="672"/>
        <v>2010137.6126880527</v>
      </c>
      <c r="DY242" s="1117">
        <f t="shared" si="673"/>
        <v>0</v>
      </c>
      <c r="DZ242" s="1117">
        <f t="shared" si="674"/>
        <v>216095.3873119473</v>
      </c>
      <c r="EA242" s="1073"/>
      <c r="EE242" s="1116">
        <f>$G242</f>
        <v>2226233</v>
      </c>
      <c r="EF242" s="1117">
        <f t="shared" si="675"/>
        <v>2010137.6126880527</v>
      </c>
      <c r="EG242" s="1117">
        <f t="shared" si="676"/>
        <v>0</v>
      </c>
      <c r="EH242" s="1117">
        <f t="shared" si="677"/>
        <v>216095.3873119473</v>
      </c>
      <c r="EI242" s="1073"/>
      <c r="EM242" s="1116">
        <f>$G242</f>
        <v>2226233</v>
      </c>
      <c r="EN242" s="1117">
        <f t="shared" si="678"/>
        <v>2010137.6126880527</v>
      </c>
      <c r="EO242" s="1117">
        <f t="shared" si="679"/>
        <v>0</v>
      </c>
      <c r="EP242" s="1117">
        <f t="shared" si="680"/>
        <v>216095.3873119473</v>
      </c>
      <c r="EQ242" s="1073"/>
      <c r="EU242" s="1116">
        <f>$G242</f>
        <v>2226233</v>
      </c>
      <c r="EV242" s="1117">
        <f t="shared" si="681"/>
        <v>2010137.6126880527</v>
      </c>
      <c r="EW242" s="1117">
        <f t="shared" si="682"/>
        <v>0</v>
      </c>
      <c r="EX242" s="1117">
        <f t="shared" si="683"/>
        <v>216095.3873119473</v>
      </c>
      <c r="EY242" s="1073"/>
      <c r="FC242" s="1116">
        <f>$G242</f>
        <v>2226233</v>
      </c>
      <c r="FD242" s="1117">
        <f t="shared" si="684"/>
        <v>2010137.6126880527</v>
      </c>
      <c r="FE242" s="1117">
        <f t="shared" si="685"/>
        <v>0</v>
      </c>
      <c r="FF242" s="1117">
        <f t="shared" si="686"/>
        <v>216095.3873119473</v>
      </c>
      <c r="FG242" s="1073"/>
      <c r="FK242" s="1116">
        <f>$G242</f>
        <v>2226233</v>
      </c>
      <c r="FL242" s="1117">
        <f t="shared" si="687"/>
        <v>2010137.6126880527</v>
      </c>
      <c r="FM242" s="1117">
        <f t="shared" si="688"/>
        <v>0</v>
      </c>
      <c r="FN242" s="1117">
        <f t="shared" si="689"/>
        <v>216095.3873119473</v>
      </c>
      <c r="FO242" s="1073"/>
    </row>
    <row r="243" spans="1:171">
      <c r="A243" s="1439"/>
      <c r="B243" s="913" t="s">
        <v>403</v>
      </c>
      <c r="C243" s="888">
        <v>336</v>
      </c>
      <c r="D243" s="888">
        <v>403</v>
      </c>
      <c r="E243" s="182" t="str">
        <f>'Sch 3 - Expenses'!E83</f>
        <v>DIRECT</v>
      </c>
      <c r="F243" s="889"/>
      <c r="G243" s="182">
        <f>'Sch 3 - Expenses'!G83</f>
        <v>7624356</v>
      </c>
      <c r="H243" s="182">
        <f>'Sch 3 - Expenses'!H83</f>
        <v>5568168.3742585769</v>
      </c>
      <c r="I243" s="182">
        <f>'Sch 3 - Expenses'!I83</f>
        <v>0</v>
      </c>
      <c r="J243" s="1424">
        <f>'Sch 3 - Expenses'!J83</f>
        <v>2056187.510306925</v>
      </c>
      <c r="K243" s="903">
        <f t="shared" si="629"/>
        <v>0</v>
      </c>
      <c r="O243" s="1116">
        <f>$G243</f>
        <v>7624356</v>
      </c>
      <c r="P243" s="1117">
        <f t="shared" si="630"/>
        <v>5568168.3742585769</v>
      </c>
      <c r="Q243" s="1117">
        <f t="shared" si="631"/>
        <v>0</v>
      </c>
      <c r="R243" s="1117">
        <f t="shared" si="632"/>
        <v>2056187.6257414231</v>
      </c>
      <c r="S243" s="1073"/>
      <c r="W243" s="1116">
        <f>$G243</f>
        <v>7624356</v>
      </c>
      <c r="X243" s="1117">
        <f t="shared" si="633"/>
        <v>5568168.3742585769</v>
      </c>
      <c r="Y243" s="1117">
        <f t="shared" si="634"/>
        <v>0</v>
      </c>
      <c r="Z243" s="1117">
        <f t="shared" si="635"/>
        <v>2056187.6257414231</v>
      </c>
      <c r="AA243" s="1073"/>
      <c r="AE243" s="1116">
        <f>$G243</f>
        <v>7624356</v>
      </c>
      <c r="AF243" s="1117">
        <f t="shared" si="636"/>
        <v>5568168.3742585769</v>
      </c>
      <c r="AG243" s="1117">
        <f t="shared" si="637"/>
        <v>0</v>
      </c>
      <c r="AH243" s="1117">
        <f t="shared" si="638"/>
        <v>2056187.6257414231</v>
      </c>
      <c r="AI243" s="1073"/>
      <c r="AM243" s="1116">
        <f>$G243</f>
        <v>7624356</v>
      </c>
      <c r="AN243" s="1117">
        <f t="shared" si="639"/>
        <v>5568168.3742585769</v>
      </c>
      <c r="AO243" s="1117">
        <f t="shared" si="640"/>
        <v>0</v>
      </c>
      <c r="AP243" s="1117">
        <f t="shared" si="641"/>
        <v>2056187.6257414231</v>
      </c>
      <c r="AQ243" s="1073"/>
      <c r="AU243" s="1116">
        <f>$G243</f>
        <v>7624356</v>
      </c>
      <c r="AV243" s="1117">
        <f t="shared" si="642"/>
        <v>5568168.3742585769</v>
      </c>
      <c r="AW243" s="1117">
        <f t="shared" si="643"/>
        <v>0</v>
      </c>
      <c r="AX243" s="1117">
        <f t="shared" si="644"/>
        <v>2056187.6257414231</v>
      </c>
      <c r="AY243" s="1073"/>
      <c r="BC243" s="1116">
        <f>$G243</f>
        <v>7624356</v>
      </c>
      <c r="BD243" s="1117">
        <f t="shared" si="645"/>
        <v>5568168.3742585769</v>
      </c>
      <c r="BE243" s="1117">
        <f t="shared" si="646"/>
        <v>0</v>
      </c>
      <c r="BF243" s="1117">
        <f t="shared" si="647"/>
        <v>2056187.6257414231</v>
      </c>
      <c r="BG243" s="1073"/>
      <c r="BK243" s="1116">
        <f>$G243</f>
        <v>7624356</v>
      </c>
      <c r="BL243" s="1117">
        <f t="shared" si="648"/>
        <v>5568168.3742585769</v>
      </c>
      <c r="BM243" s="1117">
        <f t="shared" si="649"/>
        <v>0</v>
      </c>
      <c r="BN243" s="1117">
        <f t="shared" si="650"/>
        <v>2056187.6257414231</v>
      </c>
      <c r="BO243" s="1073"/>
      <c r="BS243" s="1116">
        <f>$G243</f>
        <v>7624356</v>
      </c>
      <c r="BT243" s="1117">
        <f t="shared" si="651"/>
        <v>5568168.3742585769</v>
      </c>
      <c r="BU243" s="1117">
        <f t="shared" si="652"/>
        <v>0</v>
      </c>
      <c r="BV243" s="1117">
        <f t="shared" si="653"/>
        <v>2056187.6257414231</v>
      </c>
      <c r="BW243" s="1073"/>
      <c r="CA243" s="1116">
        <f>$G243</f>
        <v>7624356</v>
      </c>
      <c r="CB243" s="1117">
        <f t="shared" si="654"/>
        <v>5568168.3742585769</v>
      </c>
      <c r="CC243" s="1117">
        <f t="shared" si="655"/>
        <v>0</v>
      </c>
      <c r="CD243" s="1117">
        <f t="shared" si="656"/>
        <v>2056187.6257414231</v>
      </c>
      <c r="CE243" s="1073"/>
      <c r="CI243" s="1116">
        <f>$G243</f>
        <v>7624356</v>
      </c>
      <c r="CJ243" s="1117">
        <f t="shared" si="657"/>
        <v>5568168.3742585769</v>
      </c>
      <c r="CK243" s="1117">
        <f t="shared" si="658"/>
        <v>0</v>
      </c>
      <c r="CL243" s="1117">
        <f t="shared" si="659"/>
        <v>2056187.6257414231</v>
      </c>
      <c r="CM243" s="1073"/>
      <c r="CQ243" s="1116">
        <f>$G243</f>
        <v>7624356</v>
      </c>
      <c r="CR243" s="1117">
        <f t="shared" si="660"/>
        <v>5568168.3742585769</v>
      </c>
      <c r="CS243" s="1117">
        <f t="shared" si="661"/>
        <v>0</v>
      </c>
      <c r="CT243" s="1117">
        <f t="shared" si="662"/>
        <v>2056187.6257414231</v>
      </c>
      <c r="CU243" s="1073"/>
      <c r="CY243" s="1116">
        <f>$G243</f>
        <v>7624356</v>
      </c>
      <c r="CZ243" s="1117">
        <f t="shared" si="663"/>
        <v>5568168.3742585769</v>
      </c>
      <c r="DA243" s="1117">
        <f t="shared" si="664"/>
        <v>0</v>
      </c>
      <c r="DB243" s="1117">
        <f t="shared" si="665"/>
        <v>2056187.6257414231</v>
      </c>
      <c r="DC243" s="1073"/>
      <c r="DG243" s="1116">
        <f>$G243</f>
        <v>7624356</v>
      </c>
      <c r="DH243" s="1117">
        <f t="shared" si="666"/>
        <v>5568168.3742585769</v>
      </c>
      <c r="DI243" s="1117">
        <f t="shared" si="667"/>
        <v>0</v>
      </c>
      <c r="DJ243" s="1117">
        <f t="shared" si="668"/>
        <v>2056187.6257414231</v>
      </c>
      <c r="DK243" s="1073"/>
      <c r="DO243" s="1116">
        <f>$G243</f>
        <v>7624356</v>
      </c>
      <c r="DP243" s="1117">
        <f t="shared" si="669"/>
        <v>5568168.3742585769</v>
      </c>
      <c r="DQ243" s="1117">
        <f t="shared" si="670"/>
        <v>0</v>
      </c>
      <c r="DR243" s="1117">
        <f t="shared" si="671"/>
        <v>2056187.6257414231</v>
      </c>
      <c r="DS243" s="1073"/>
      <c r="DW243" s="1116">
        <f>$G243</f>
        <v>7624356</v>
      </c>
      <c r="DX243" s="1117">
        <f t="shared" si="672"/>
        <v>5568168.3742585769</v>
      </c>
      <c r="DY243" s="1117">
        <f t="shared" si="673"/>
        <v>0</v>
      </c>
      <c r="DZ243" s="1117">
        <f t="shared" si="674"/>
        <v>2056187.6257414231</v>
      </c>
      <c r="EA243" s="1073"/>
      <c r="EE243" s="1116">
        <f>$G243</f>
        <v>7624356</v>
      </c>
      <c r="EF243" s="1117">
        <f t="shared" si="675"/>
        <v>5568168.3742585769</v>
      </c>
      <c r="EG243" s="1117">
        <f t="shared" si="676"/>
        <v>0</v>
      </c>
      <c r="EH243" s="1117">
        <f t="shared" si="677"/>
        <v>2056187.6257414231</v>
      </c>
      <c r="EI243" s="1073"/>
      <c r="EM243" s="1116">
        <f>$G243</f>
        <v>7624356</v>
      </c>
      <c r="EN243" s="1117">
        <f t="shared" si="678"/>
        <v>5568168.3742585769</v>
      </c>
      <c r="EO243" s="1117">
        <f t="shared" si="679"/>
        <v>0</v>
      </c>
      <c r="EP243" s="1117">
        <f t="shared" si="680"/>
        <v>2056187.6257414231</v>
      </c>
      <c r="EQ243" s="1073"/>
      <c r="EU243" s="1116">
        <f>$G243</f>
        <v>7624356</v>
      </c>
      <c r="EV243" s="1117">
        <f t="shared" si="681"/>
        <v>5568168.3742585769</v>
      </c>
      <c r="EW243" s="1117">
        <f t="shared" si="682"/>
        <v>0</v>
      </c>
      <c r="EX243" s="1117">
        <f t="shared" si="683"/>
        <v>2056187.6257414231</v>
      </c>
      <c r="EY243" s="1073"/>
      <c r="FC243" s="1116">
        <f>$G243</f>
        <v>7624356</v>
      </c>
      <c r="FD243" s="1117">
        <f t="shared" si="684"/>
        <v>5568168.3742585769</v>
      </c>
      <c r="FE243" s="1117">
        <f t="shared" si="685"/>
        <v>0</v>
      </c>
      <c r="FF243" s="1117">
        <f t="shared" si="686"/>
        <v>2056187.6257414231</v>
      </c>
      <c r="FG243" s="1073"/>
      <c r="FK243" s="1116">
        <f>$G243</f>
        <v>7624356</v>
      </c>
      <c r="FL243" s="1117">
        <f t="shared" si="687"/>
        <v>5568168.3742585769</v>
      </c>
      <c r="FM243" s="1117">
        <f t="shared" si="688"/>
        <v>0</v>
      </c>
      <c r="FN243" s="1117">
        <f t="shared" si="689"/>
        <v>2056187.6257414231</v>
      </c>
      <c r="FO243" s="1073"/>
    </row>
    <row r="244" spans="1:171">
      <c r="A244" s="1444">
        <v>200</v>
      </c>
      <c r="B244" s="913" t="s">
        <v>88</v>
      </c>
      <c r="C244" s="888">
        <v>336</v>
      </c>
      <c r="D244" s="888">
        <v>403</v>
      </c>
      <c r="E244" s="182" t="str">
        <f>'Sch 3 - Expenses'!E84</f>
        <v>PROD</v>
      </c>
      <c r="F244" s="889"/>
      <c r="G244" s="182">
        <f>'Sch 3 - Expenses'!G84</f>
        <v>17056563</v>
      </c>
      <c r="H244" s="182">
        <f>'Sch 3 - Expenses'!H84</f>
        <v>17056563</v>
      </c>
      <c r="I244" s="182">
        <f>'Sch 3 - Expenses'!I84</f>
        <v>0</v>
      </c>
      <c r="J244" s="1424">
        <f>'Sch 3 - Expenses'!J84</f>
        <v>0</v>
      </c>
      <c r="K244" s="903">
        <f t="shared" si="629"/>
        <v>1</v>
      </c>
      <c r="N244" s="1161">
        <f>VLOOKUP($A244,'New Resources - Group'!$A$4:$Y$133,N$2,FALSE)*N$1</f>
        <v>0</v>
      </c>
      <c r="O244" s="1116">
        <f t="shared" ref="O244:O249" si="690">$G244+N244</f>
        <v>17056563</v>
      </c>
      <c r="P244" s="1117">
        <f t="shared" si="630"/>
        <v>17056563</v>
      </c>
      <c r="Q244" s="1117">
        <f t="shared" si="631"/>
        <v>0</v>
      </c>
      <c r="R244" s="1117">
        <f t="shared" si="632"/>
        <v>0</v>
      </c>
      <c r="S244" s="1073"/>
      <c r="V244" s="1161">
        <f>VLOOKUP($A244,'New Resources - Group'!$A$4:$Y$133,V$2,FALSE)*V$1</f>
        <v>0</v>
      </c>
      <c r="W244" s="1116">
        <f t="shared" ref="W244:W249" si="691">$G244+V244</f>
        <v>17056563</v>
      </c>
      <c r="X244" s="1117">
        <f t="shared" si="633"/>
        <v>17056563</v>
      </c>
      <c r="Y244" s="1117">
        <f t="shared" si="634"/>
        <v>0</v>
      </c>
      <c r="Z244" s="1117">
        <f t="shared" si="635"/>
        <v>0</v>
      </c>
      <c r="AA244" s="1073"/>
      <c r="AD244" s="1161">
        <f>VLOOKUP($A244,'New Resources - Group'!$A$4:$Y$133,AD$2,FALSE)*AD$1</f>
        <v>0</v>
      </c>
      <c r="AE244" s="1116">
        <f t="shared" ref="AE244:AE249" si="692">$G244+AD244</f>
        <v>17056563</v>
      </c>
      <c r="AF244" s="1117">
        <f t="shared" si="636"/>
        <v>17056563</v>
      </c>
      <c r="AG244" s="1117">
        <f t="shared" si="637"/>
        <v>0</v>
      </c>
      <c r="AH244" s="1117">
        <f t="shared" si="638"/>
        <v>0</v>
      </c>
      <c r="AI244" s="1073"/>
      <c r="AL244" s="1161">
        <f>VLOOKUP($A244,'New Resources - Group'!$A$4:$Y$133,AL$2,FALSE)*AL$1</f>
        <v>0</v>
      </c>
      <c r="AM244" s="1116">
        <f t="shared" ref="AM244:AM249" si="693">$G244+AL244</f>
        <v>17056563</v>
      </c>
      <c r="AN244" s="1117">
        <f t="shared" si="639"/>
        <v>17056563</v>
      </c>
      <c r="AO244" s="1117">
        <f t="shared" si="640"/>
        <v>0</v>
      </c>
      <c r="AP244" s="1117">
        <f t="shared" si="641"/>
        <v>0</v>
      </c>
      <c r="AQ244" s="1073"/>
      <c r="AT244" s="1161">
        <f>VLOOKUP($A244,'New Resources - Group'!$A$4:$Y$133,AT$2,FALSE)*AT$1</f>
        <v>0</v>
      </c>
      <c r="AU244" s="1116">
        <f t="shared" ref="AU244:AU249" si="694">$G244+AT244</f>
        <v>17056563</v>
      </c>
      <c r="AV244" s="1117">
        <f t="shared" si="642"/>
        <v>17056563</v>
      </c>
      <c r="AW244" s="1117">
        <f t="shared" si="643"/>
        <v>0</v>
      </c>
      <c r="AX244" s="1117">
        <f t="shared" si="644"/>
        <v>0</v>
      </c>
      <c r="AY244" s="1073"/>
      <c r="BB244" s="1161">
        <f>VLOOKUP($A244,'New Resources - Group'!$A$4:$Y$133,BB$2,FALSE)*BB$1</f>
        <v>0</v>
      </c>
      <c r="BC244" s="1116">
        <f t="shared" ref="BC244:BC249" si="695">$G244+BB244</f>
        <v>17056563</v>
      </c>
      <c r="BD244" s="1117">
        <f t="shared" si="645"/>
        <v>17056563</v>
      </c>
      <c r="BE244" s="1117">
        <f t="shared" si="646"/>
        <v>0</v>
      </c>
      <c r="BF244" s="1117">
        <f t="shared" si="647"/>
        <v>0</v>
      </c>
      <c r="BG244" s="1073"/>
      <c r="BJ244" s="1161">
        <f>VLOOKUP($A244,'New Resources - Group'!$A$4:$Y$133,BJ$2,FALSE)*BJ$1</f>
        <v>0</v>
      </c>
      <c r="BK244" s="1116">
        <f t="shared" ref="BK244:BK249" si="696">$G244+BJ244</f>
        <v>17056563</v>
      </c>
      <c r="BL244" s="1117">
        <f t="shared" si="648"/>
        <v>17056563</v>
      </c>
      <c r="BM244" s="1117">
        <f t="shared" si="649"/>
        <v>0</v>
      </c>
      <c r="BN244" s="1117">
        <f t="shared" si="650"/>
        <v>0</v>
      </c>
      <c r="BO244" s="1073"/>
      <c r="BR244" s="1161">
        <f>VLOOKUP($A244,'New Resources - Group'!$A$4:$Y$133,BR$2,FALSE)*BR$1</f>
        <v>0</v>
      </c>
      <c r="BS244" s="1116">
        <f t="shared" ref="BS244:BS249" si="697">$G244+BR244</f>
        <v>17056563</v>
      </c>
      <c r="BT244" s="1117">
        <f t="shared" si="651"/>
        <v>17056563</v>
      </c>
      <c r="BU244" s="1117">
        <f t="shared" si="652"/>
        <v>0</v>
      </c>
      <c r="BV244" s="1117">
        <f t="shared" si="653"/>
        <v>0</v>
      </c>
      <c r="BW244" s="1073"/>
      <c r="BZ244" s="1161">
        <f>VLOOKUP($A244,'New Resources - Group'!$A$4:$Y$133,BZ$2,FALSE)*BZ$1</f>
        <v>0</v>
      </c>
      <c r="CA244" s="1116">
        <f t="shared" ref="CA244:CA249" si="698">$G244+BZ244</f>
        <v>17056563</v>
      </c>
      <c r="CB244" s="1117">
        <f t="shared" si="654"/>
        <v>17056563</v>
      </c>
      <c r="CC244" s="1117">
        <f t="shared" si="655"/>
        <v>0</v>
      </c>
      <c r="CD244" s="1117">
        <f t="shared" si="656"/>
        <v>0</v>
      </c>
      <c r="CE244" s="1073"/>
      <c r="CH244" s="1161">
        <f>VLOOKUP($A244,'New Resources - Group'!$A$4:$Y$133,CH$2,FALSE)*CH$1</f>
        <v>0</v>
      </c>
      <c r="CI244" s="1116">
        <f t="shared" ref="CI244:CI249" si="699">$G244+CH244</f>
        <v>17056563</v>
      </c>
      <c r="CJ244" s="1117">
        <f t="shared" si="657"/>
        <v>17056563</v>
      </c>
      <c r="CK244" s="1117">
        <f t="shared" si="658"/>
        <v>0</v>
      </c>
      <c r="CL244" s="1117">
        <f t="shared" si="659"/>
        <v>0</v>
      </c>
      <c r="CM244" s="1073"/>
      <c r="CP244" s="1161">
        <f>VLOOKUP($A244,'New Resources - Group'!$A$4:$Y$133,CP$2,FALSE)*CP$1</f>
        <v>0</v>
      </c>
      <c r="CQ244" s="1116">
        <f t="shared" ref="CQ244:CQ249" si="700">$G244+CP244</f>
        <v>17056563</v>
      </c>
      <c r="CR244" s="1117">
        <f t="shared" si="660"/>
        <v>17056563</v>
      </c>
      <c r="CS244" s="1117">
        <f t="shared" si="661"/>
        <v>0</v>
      </c>
      <c r="CT244" s="1117">
        <f t="shared" si="662"/>
        <v>0</v>
      </c>
      <c r="CU244" s="1073"/>
      <c r="CX244" s="1161">
        <f>VLOOKUP($A244,'New Resources - Group'!$A$4:$Y$133,CX$2,FALSE)*CX$1</f>
        <v>0</v>
      </c>
      <c r="CY244" s="1116">
        <f t="shared" ref="CY244:CY249" si="701">$G244+CX244</f>
        <v>17056563</v>
      </c>
      <c r="CZ244" s="1117">
        <f t="shared" si="663"/>
        <v>17056563</v>
      </c>
      <c r="DA244" s="1117">
        <f t="shared" si="664"/>
        <v>0</v>
      </c>
      <c r="DB244" s="1117">
        <f t="shared" si="665"/>
        <v>0</v>
      </c>
      <c r="DC244" s="1073"/>
      <c r="DF244" s="1161">
        <f>VLOOKUP($A244,'New Resources - Group'!$A$4:$Y$133,DF$2,FALSE)*DF$1</f>
        <v>0</v>
      </c>
      <c r="DG244" s="1116">
        <f t="shared" ref="DG244:DG249" si="702">$G244+DF244</f>
        <v>17056563</v>
      </c>
      <c r="DH244" s="1117">
        <f t="shared" si="666"/>
        <v>17056563</v>
      </c>
      <c r="DI244" s="1117">
        <f t="shared" si="667"/>
        <v>0</v>
      </c>
      <c r="DJ244" s="1117">
        <f t="shared" si="668"/>
        <v>0</v>
      </c>
      <c r="DK244" s="1073"/>
      <c r="DN244" s="1161">
        <f>VLOOKUP($A244,'New Resources - Group'!$A$4:$Y$133,DN$2,FALSE)*DN$1</f>
        <v>0</v>
      </c>
      <c r="DO244" s="1116">
        <f t="shared" ref="DO244:DO249" si="703">$G244+DN244</f>
        <v>17056563</v>
      </c>
      <c r="DP244" s="1117">
        <f t="shared" si="669"/>
        <v>17056563</v>
      </c>
      <c r="DQ244" s="1117">
        <f t="shared" si="670"/>
        <v>0</v>
      </c>
      <c r="DR244" s="1117">
        <f t="shared" si="671"/>
        <v>0</v>
      </c>
      <c r="DS244" s="1073"/>
      <c r="DV244" s="1161">
        <f>VLOOKUP($A244,'New Resources - Group'!$A$4:$Y$133,DV$2,FALSE)*DV$1</f>
        <v>0</v>
      </c>
      <c r="DW244" s="1116">
        <f t="shared" ref="DW244:DW249" si="704">$G244+DV244</f>
        <v>17056563</v>
      </c>
      <c r="DX244" s="1117">
        <f t="shared" si="672"/>
        <v>17056563</v>
      </c>
      <c r="DY244" s="1117">
        <f t="shared" si="673"/>
        <v>0</v>
      </c>
      <c r="DZ244" s="1117">
        <f t="shared" si="674"/>
        <v>0</v>
      </c>
      <c r="EA244" s="1073"/>
      <c r="ED244" s="1161">
        <f>VLOOKUP($A244,'New Resources - Group'!$A$4:$Y$133,ED$2,FALSE)*ED$1</f>
        <v>0</v>
      </c>
      <c r="EE244" s="1116">
        <f t="shared" ref="EE244:EE249" si="705">$G244+ED244</f>
        <v>17056563</v>
      </c>
      <c r="EF244" s="1117">
        <f t="shared" si="675"/>
        <v>17056563</v>
      </c>
      <c r="EG244" s="1117">
        <f t="shared" si="676"/>
        <v>0</v>
      </c>
      <c r="EH244" s="1117">
        <f t="shared" si="677"/>
        <v>0</v>
      </c>
      <c r="EI244" s="1073"/>
      <c r="EL244" s="1161">
        <f>VLOOKUP($A244,'New Resources - Group'!$A$4:$Y$133,EL$2,FALSE)*EL$1</f>
        <v>0</v>
      </c>
      <c r="EM244" s="1116">
        <f t="shared" ref="EM244:EM249" si="706">$G244+EL244</f>
        <v>17056563</v>
      </c>
      <c r="EN244" s="1117">
        <f t="shared" si="678"/>
        <v>17056563</v>
      </c>
      <c r="EO244" s="1117">
        <f t="shared" si="679"/>
        <v>0</v>
      </c>
      <c r="EP244" s="1117">
        <f t="shared" si="680"/>
        <v>0</v>
      </c>
      <c r="EQ244" s="1073"/>
      <c r="ET244" s="1161">
        <f>VLOOKUP($A244,'New Resources - Group'!$A$4:$Y$133,ET$2,FALSE)*ET$1</f>
        <v>0</v>
      </c>
      <c r="EU244" s="1116">
        <f t="shared" ref="EU244:EU249" si="707">$G244+ET244</f>
        <v>17056563</v>
      </c>
      <c r="EV244" s="1117">
        <f t="shared" si="681"/>
        <v>17056563</v>
      </c>
      <c r="EW244" s="1117">
        <f t="shared" si="682"/>
        <v>0</v>
      </c>
      <c r="EX244" s="1117">
        <f t="shared" si="683"/>
        <v>0</v>
      </c>
      <c r="EY244" s="1073"/>
      <c r="FB244" s="1161">
        <f>VLOOKUP($A244,'New Resources - Group'!$A$4:$Y$133,FB$2,FALSE)*FB$1</f>
        <v>0</v>
      </c>
      <c r="FC244" s="1116">
        <f t="shared" ref="FC244:FC249" si="708">$G244+FB244</f>
        <v>17056563</v>
      </c>
      <c r="FD244" s="1117">
        <f t="shared" si="684"/>
        <v>17056563</v>
      </c>
      <c r="FE244" s="1117">
        <f t="shared" si="685"/>
        <v>0</v>
      </c>
      <c r="FF244" s="1117">
        <f t="shared" si="686"/>
        <v>0</v>
      </c>
      <c r="FG244" s="1073"/>
      <c r="FJ244" s="1161">
        <f>VLOOKUP($A244,'New Resources - Group'!$A$4:$Y$133,FJ$2,FALSE)*FJ$1</f>
        <v>0</v>
      </c>
      <c r="FK244" s="1116">
        <f t="shared" ref="FK244:FK249" si="709">$G244+FJ244</f>
        <v>17056563</v>
      </c>
      <c r="FL244" s="1117">
        <f t="shared" si="687"/>
        <v>17056563</v>
      </c>
      <c r="FM244" s="1117">
        <f t="shared" si="688"/>
        <v>0</v>
      </c>
      <c r="FN244" s="1117">
        <f t="shared" si="689"/>
        <v>0</v>
      </c>
      <c r="FO244" s="1073"/>
    </row>
    <row r="245" spans="1:171">
      <c r="A245" s="1444">
        <v>330</v>
      </c>
      <c r="B245" s="913" t="s">
        <v>89</v>
      </c>
      <c r="C245" s="888">
        <v>336</v>
      </c>
      <c r="D245" s="888">
        <v>403</v>
      </c>
      <c r="E245" s="182" t="str">
        <f>'Sch 3 - Expenses'!E85</f>
        <v>PROD</v>
      </c>
      <c r="F245" s="889"/>
      <c r="G245" s="182">
        <f>'Sch 3 - Expenses'!G85</f>
        <v>0</v>
      </c>
      <c r="H245" s="182">
        <f>'Sch 3 - Expenses'!H85</f>
        <v>0</v>
      </c>
      <c r="I245" s="182">
        <f>'Sch 3 - Expenses'!I85</f>
        <v>0</v>
      </c>
      <c r="J245" s="1424">
        <f>'Sch 3 - Expenses'!J85</f>
        <v>0</v>
      </c>
      <c r="K245" s="903">
        <f t="shared" si="629"/>
        <v>1</v>
      </c>
      <c r="N245" s="1161">
        <f>VLOOKUP($A245,'New Resources - Group'!$A$4:$Y$133,N$2,FALSE)*N$1</f>
        <v>0</v>
      </c>
      <c r="O245" s="1116">
        <f t="shared" si="690"/>
        <v>0</v>
      </c>
      <c r="P245" s="1117">
        <f t="shared" si="630"/>
        <v>0</v>
      </c>
      <c r="Q245" s="1117">
        <f t="shared" si="631"/>
        <v>0</v>
      </c>
      <c r="R245" s="1117">
        <f t="shared" si="632"/>
        <v>0</v>
      </c>
      <c r="S245" s="1073"/>
      <c r="V245" s="1161">
        <f>VLOOKUP($A245,'New Resources - Group'!$A$4:$Y$133,V$2,FALSE)*V$1</f>
        <v>0</v>
      </c>
      <c r="W245" s="1116">
        <f t="shared" si="691"/>
        <v>0</v>
      </c>
      <c r="X245" s="1117">
        <f t="shared" si="633"/>
        <v>0</v>
      </c>
      <c r="Y245" s="1117">
        <f t="shared" si="634"/>
        <v>0</v>
      </c>
      <c r="Z245" s="1117">
        <f t="shared" si="635"/>
        <v>0</v>
      </c>
      <c r="AA245" s="1073"/>
      <c r="AD245" s="1161">
        <f>VLOOKUP($A245,'New Resources - Group'!$A$4:$Y$133,AD$2,FALSE)*AD$1</f>
        <v>0</v>
      </c>
      <c r="AE245" s="1116">
        <f t="shared" si="692"/>
        <v>0</v>
      </c>
      <c r="AF245" s="1117">
        <f t="shared" si="636"/>
        <v>0</v>
      </c>
      <c r="AG245" s="1117">
        <f t="shared" si="637"/>
        <v>0</v>
      </c>
      <c r="AH245" s="1117">
        <f t="shared" si="638"/>
        <v>0</v>
      </c>
      <c r="AI245" s="1073"/>
      <c r="AL245" s="1161">
        <f>VLOOKUP($A245,'New Resources - Group'!$A$4:$Y$133,AL$2,FALSE)*AL$1</f>
        <v>0</v>
      </c>
      <c r="AM245" s="1116">
        <f t="shared" si="693"/>
        <v>0</v>
      </c>
      <c r="AN245" s="1117">
        <f t="shared" si="639"/>
        <v>0</v>
      </c>
      <c r="AO245" s="1117">
        <f t="shared" si="640"/>
        <v>0</v>
      </c>
      <c r="AP245" s="1117">
        <f t="shared" si="641"/>
        <v>0</v>
      </c>
      <c r="AQ245" s="1073"/>
      <c r="AT245" s="1161">
        <f>VLOOKUP($A245,'New Resources - Group'!$A$4:$Y$133,AT$2,FALSE)*AT$1</f>
        <v>0</v>
      </c>
      <c r="AU245" s="1116">
        <f t="shared" si="694"/>
        <v>0</v>
      </c>
      <c r="AV245" s="1117">
        <f t="shared" si="642"/>
        <v>0</v>
      </c>
      <c r="AW245" s="1117">
        <f t="shared" si="643"/>
        <v>0</v>
      </c>
      <c r="AX245" s="1117">
        <f t="shared" si="644"/>
        <v>0</v>
      </c>
      <c r="AY245" s="1073"/>
      <c r="BB245" s="1161">
        <f>VLOOKUP($A245,'New Resources - Group'!$A$4:$Y$133,BB$2,FALSE)*BB$1</f>
        <v>0</v>
      </c>
      <c r="BC245" s="1116">
        <f t="shared" si="695"/>
        <v>0</v>
      </c>
      <c r="BD245" s="1117">
        <f t="shared" si="645"/>
        <v>0</v>
      </c>
      <c r="BE245" s="1117">
        <f t="shared" si="646"/>
        <v>0</v>
      </c>
      <c r="BF245" s="1117">
        <f t="shared" si="647"/>
        <v>0</v>
      </c>
      <c r="BG245" s="1073"/>
      <c r="BJ245" s="1161">
        <f>VLOOKUP($A245,'New Resources - Group'!$A$4:$Y$133,BJ$2,FALSE)*BJ$1</f>
        <v>0</v>
      </c>
      <c r="BK245" s="1116">
        <f t="shared" si="696"/>
        <v>0</v>
      </c>
      <c r="BL245" s="1117">
        <f t="shared" si="648"/>
        <v>0</v>
      </c>
      <c r="BM245" s="1117">
        <f t="shared" si="649"/>
        <v>0</v>
      </c>
      <c r="BN245" s="1117">
        <f t="shared" si="650"/>
        <v>0</v>
      </c>
      <c r="BO245" s="1073"/>
      <c r="BR245" s="1161">
        <f>VLOOKUP($A245,'New Resources - Group'!$A$4:$Y$133,BR$2,FALSE)*BR$1</f>
        <v>0</v>
      </c>
      <c r="BS245" s="1116">
        <f t="shared" si="697"/>
        <v>0</v>
      </c>
      <c r="BT245" s="1117">
        <f t="shared" si="651"/>
        <v>0</v>
      </c>
      <c r="BU245" s="1117">
        <f t="shared" si="652"/>
        <v>0</v>
      </c>
      <c r="BV245" s="1117">
        <f t="shared" si="653"/>
        <v>0</v>
      </c>
      <c r="BW245" s="1073"/>
      <c r="BZ245" s="1161">
        <f>VLOOKUP($A245,'New Resources - Group'!$A$4:$Y$133,BZ$2,FALSE)*BZ$1</f>
        <v>0</v>
      </c>
      <c r="CA245" s="1116">
        <f t="shared" si="698"/>
        <v>0</v>
      </c>
      <c r="CB245" s="1117">
        <f t="shared" si="654"/>
        <v>0</v>
      </c>
      <c r="CC245" s="1117">
        <f t="shared" si="655"/>
        <v>0</v>
      </c>
      <c r="CD245" s="1117">
        <f t="shared" si="656"/>
        <v>0</v>
      </c>
      <c r="CE245" s="1073"/>
      <c r="CH245" s="1161">
        <f>VLOOKUP($A245,'New Resources - Group'!$A$4:$Y$133,CH$2,FALSE)*CH$1</f>
        <v>0</v>
      </c>
      <c r="CI245" s="1116">
        <f t="shared" si="699"/>
        <v>0</v>
      </c>
      <c r="CJ245" s="1117">
        <f t="shared" si="657"/>
        <v>0</v>
      </c>
      <c r="CK245" s="1117">
        <f t="shared" si="658"/>
        <v>0</v>
      </c>
      <c r="CL245" s="1117">
        <f t="shared" si="659"/>
        <v>0</v>
      </c>
      <c r="CM245" s="1073"/>
      <c r="CP245" s="1161">
        <f>VLOOKUP($A245,'New Resources - Group'!$A$4:$Y$133,CP$2,FALSE)*CP$1</f>
        <v>0</v>
      </c>
      <c r="CQ245" s="1116">
        <f t="shared" si="700"/>
        <v>0</v>
      </c>
      <c r="CR245" s="1117">
        <f t="shared" si="660"/>
        <v>0</v>
      </c>
      <c r="CS245" s="1117">
        <f t="shared" si="661"/>
        <v>0</v>
      </c>
      <c r="CT245" s="1117">
        <f t="shared" si="662"/>
        <v>0</v>
      </c>
      <c r="CU245" s="1073"/>
      <c r="CX245" s="1161">
        <f>VLOOKUP($A245,'New Resources - Group'!$A$4:$Y$133,CX$2,FALSE)*CX$1</f>
        <v>0</v>
      </c>
      <c r="CY245" s="1116">
        <f t="shared" si="701"/>
        <v>0</v>
      </c>
      <c r="CZ245" s="1117">
        <f t="shared" si="663"/>
        <v>0</v>
      </c>
      <c r="DA245" s="1117">
        <f t="shared" si="664"/>
        <v>0</v>
      </c>
      <c r="DB245" s="1117">
        <f t="shared" si="665"/>
        <v>0</v>
      </c>
      <c r="DC245" s="1073"/>
      <c r="DF245" s="1161">
        <f>VLOOKUP($A245,'New Resources - Group'!$A$4:$Y$133,DF$2,FALSE)*DF$1</f>
        <v>0</v>
      </c>
      <c r="DG245" s="1116">
        <f t="shared" si="702"/>
        <v>0</v>
      </c>
      <c r="DH245" s="1117">
        <f t="shared" si="666"/>
        <v>0</v>
      </c>
      <c r="DI245" s="1117">
        <f t="shared" si="667"/>
        <v>0</v>
      </c>
      <c r="DJ245" s="1117">
        <f t="shared" si="668"/>
        <v>0</v>
      </c>
      <c r="DK245" s="1073"/>
      <c r="DN245" s="1161">
        <f>VLOOKUP($A245,'New Resources - Group'!$A$4:$Y$133,DN$2,FALSE)*DN$1</f>
        <v>0</v>
      </c>
      <c r="DO245" s="1116">
        <f t="shared" si="703"/>
        <v>0</v>
      </c>
      <c r="DP245" s="1117">
        <f t="shared" si="669"/>
        <v>0</v>
      </c>
      <c r="DQ245" s="1117">
        <f t="shared" si="670"/>
        <v>0</v>
      </c>
      <c r="DR245" s="1117">
        <f t="shared" si="671"/>
        <v>0</v>
      </c>
      <c r="DS245" s="1073"/>
      <c r="DV245" s="1161">
        <f>VLOOKUP($A245,'New Resources - Group'!$A$4:$Y$133,DV$2,FALSE)*DV$1</f>
        <v>0</v>
      </c>
      <c r="DW245" s="1116">
        <f t="shared" si="704"/>
        <v>0</v>
      </c>
      <c r="DX245" s="1117">
        <f t="shared" si="672"/>
        <v>0</v>
      </c>
      <c r="DY245" s="1117">
        <f t="shared" si="673"/>
        <v>0</v>
      </c>
      <c r="DZ245" s="1117">
        <f t="shared" si="674"/>
        <v>0</v>
      </c>
      <c r="EA245" s="1073"/>
      <c r="ED245" s="1161">
        <f>VLOOKUP($A245,'New Resources - Group'!$A$4:$Y$133,ED$2,FALSE)*ED$1</f>
        <v>0</v>
      </c>
      <c r="EE245" s="1116">
        <f t="shared" si="705"/>
        <v>0</v>
      </c>
      <c r="EF245" s="1117">
        <f t="shared" si="675"/>
        <v>0</v>
      </c>
      <c r="EG245" s="1117">
        <f t="shared" si="676"/>
        <v>0</v>
      </c>
      <c r="EH245" s="1117">
        <f t="shared" si="677"/>
        <v>0</v>
      </c>
      <c r="EI245" s="1073"/>
      <c r="EL245" s="1161">
        <f>VLOOKUP($A245,'New Resources - Group'!$A$4:$Y$133,EL$2,FALSE)*EL$1</f>
        <v>0</v>
      </c>
      <c r="EM245" s="1116">
        <f t="shared" si="706"/>
        <v>0</v>
      </c>
      <c r="EN245" s="1117">
        <f t="shared" si="678"/>
        <v>0</v>
      </c>
      <c r="EO245" s="1117">
        <f t="shared" si="679"/>
        <v>0</v>
      </c>
      <c r="EP245" s="1117">
        <f t="shared" si="680"/>
        <v>0</v>
      </c>
      <c r="EQ245" s="1073"/>
      <c r="ET245" s="1161">
        <f>VLOOKUP($A245,'New Resources - Group'!$A$4:$Y$133,ET$2,FALSE)*ET$1</f>
        <v>0</v>
      </c>
      <c r="EU245" s="1116">
        <f t="shared" si="707"/>
        <v>0</v>
      </c>
      <c r="EV245" s="1117">
        <f t="shared" si="681"/>
        <v>0</v>
      </c>
      <c r="EW245" s="1117">
        <f t="shared" si="682"/>
        <v>0</v>
      </c>
      <c r="EX245" s="1117">
        <f t="shared" si="683"/>
        <v>0</v>
      </c>
      <c r="EY245" s="1073"/>
      <c r="FB245" s="1161">
        <f>VLOOKUP($A245,'New Resources - Group'!$A$4:$Y$133,FB$2,FALSE)*FB$1</f>
        <v>0</v>
      </c>
      <c r="FC245" s="1116">
        <f t="shared" si="708"/>
        <v>0</v>
      </c>
      <c r="FD245" s="1117">
        <f t="shared" si="684"/>
        <v>0</v>
      </c>
      <c r="FE245" s="1117">
        <f t="shared" si="685"/>
        <v>0</v>
      </c>
      <c r="FF245" s="1117">
        <f t="shared" si="686"/>
        <v>0</v>
      </c>
      <c r="FG245" s="1073"/>
      <c r="FJ245" s="1161">
        <f>VLOOKUP($A245,'New Resources - Group'!$A$4:$Y$133,FJ$2,FALSE)*FJ$1</f>
        <v>0</v>
      </c>
      <c r="FK245" s="1116">
        <f t="shared" si="709"/>
        <v>0</v>
      </c>
      <c r="FL245" s="1117">
        <f t="shared" si="687"/>
        <v>0</v>
      </c>
      <c r="FM245" s="1117">
        <f t="shared" si="688"/>
        <v>0</v>
      </c>
      <c r="FN245" s="1117">
        <f t="shared" si="689"/>
        <v>0</v>
      </c>
      <c r="FO245" s="1073"/>
    </row>
    <row r="246" spans="1:171">
      <c r="A246" s="1444">
        <v>450</v>
      </c>
      <c r="B246" s="913" t="s">
        <v>434</v>
      </c>
      <c r="C246" s="888">
        <v>336</v>
      </c>
      <c r="D246" s="888">
        <v>403</v>
      </c>
      <c r="E246" s="182" t="str">
        <f>'Sch 3 - Expenses'!E86</f>
        <v>PROD</v>
      </c>
      <c r="F246" s="889"/>
      <c r="G246" s="182">
        <f>'Sch 3 - Expenses'!G86</f>
        <v>16632247</v>
      </c>
      <c r="H246" s="182">
        <f>'Sch 3 - Expenses'!H86</f>
        <v>16632247</v>
      </c>
      <c r="I246" s="182">
        <f>'Sch 3 - Expenses'!I86</f>
        <v>0</v>
      </c>
      <c r="J246" s="1424">
        <f>'Sch 3 - Expenses'!J86</f>
        <v>0</v>
      </c>
      <c r="K246" s="903">
        <f t="shared" si="629"/>
        <v>1</v>
      </c>
      <c r="N246" s="1161">
        <f>VLOOKUP($A246,'New Resources - Group'!$A$4:$Y$133,N$2,FALSE)*N$1</f>
        <v>0</v>
      </c>
      <c r="O246" s="1116">
        <f t="shared" si="690"/>
        <v>16632247</v>
      </c>
      <c r="P246" s="1117">
        <f t="shared" si="630"/>
        <v>16632247</v>
      </c>
      <c r="Q246" s="1117">
        <f t="shared" si="631"/>
        <v>0</v>
      </c>
      <c r="R246" s="1117">
        <f t="shared" si="632"/>
        <v>0</v>
      </c>
      <c r="S246" s="1073"/>
      <c r="V246" s="1161">
        <f>VLOOKUP($A246,'New Resources - Group'!$A$4:$Y$133,V$2,FALSE)*V$1</f>
        <v>0</v>
      </c>
      <c r="W246" s="1116">
        <f t="shared" si="691"/>
        <v>16632247</v>
      </c>
      <c r="X246" s="1117">
        <f t="shared" si="633"/>
        <v>16632247</v>
      </c>
      <c r="Y246" s="1117">
        <f t="shared" si="634"/>
        <v>0</v>
      </c>
      <c r="Z246" s="1117">
        <f t="shared" si="635"/>
        <v>0</v>
      </c>
      <c r="AA246" s="1073"/>
      <c r="AD246" s="1161">
        <f>VLOOKUP($A246,'New Resources - Group'!$A$4:$Y$133,AD$2,FALSE)*AD$1</f>
        <v>0</v>
      </c>
      <c r="AE246" s="1116">
        <f t="shared" si="692"/>
        <v>16632247</v>
      </c>
      <c r="AF246" s="1117">
        <f t="shared" si="636"/>
        <v>16632247</v>
      </c>
      <c r="AG246" s="1117">
        <f t="shared" si="637"/>
        <v>0</v>
      </c>
      <c r="AH246" s="1117">
        <f t="shared" si="638"/>
        <v>0</v>
      </c>
      <c r="AI246" s="1073"/>
      <c r="AL246" s="1161">
        <f>VLOOKUP($A246,'New Resources - Group'!$A$4:$Y$133,AL$2,FALSE)*AL$1</f>
        <v>0</v>
      </c>
      <c r="AM246" s="1116">
        <f t="shared" si="693"/>
        <v>16632247</v>
      </c>
      <c r="AN246" s="1117">
        <f t="shared" si="639"/>
        <v>16632247</v>
      </c>
      <c r="AO246" s="1117">
        <f t="shared" si="640"/>
        <v>0</v>
      </c>
      <c r="AP246" s="1117">
        <f t="shared" si="641"/>
        <v>0</v>
      </c>
      <c r="AQ246" s="1073"/>
      <c r="AT246" s="1161">
        <f>VLOOKUP($A246,'New Resources - Group'!$A$4:$Y$133,AT$2,FALSE)*AT$1</f>
        <v>0</v>
      </c>
      <c r="AU246" s="1116">
        <f t="shared" si="694"/>
        <v>16632247</v>
      </c>
      <c r="AV246" s="1117">
        <f t="shared" si="642"/>
        <v>16632247</v>
      </c>
      <c r="AW246" s="1117">
        <f t="shared" si="643"/>
        <v>0</v>
      </c>
      <c r="AX246" s="1117">
        <f t="shared" si="644"/>
        <v>0</v>
      </c>
      <c r="AY246" s="1073"/>
      <c r="BB246" s="1161">
        <f>VLOOKUP($A246,'New Resources - Group'!$A$4:$Y$133,BB$2,FALSE)*BB$1</f>
        <v>0</v>
      </c>
      <c r="BC246" s="1116">
        <f t="shared" si="695"/>
        <v>16632247</v>
      </c>
      <c r="BD246" s="1117">
        <f t="shared" si="645"/>
        <v>16632247</v>
      </c>
      <c r="BE246" s="1117">
        <f t="shared" si="646"/>
        <v>0</v>
      </c>
      <c r="BF246" s="1117">
        <f t="shared" si="647"/>
        <v>0</v>
      </c>
      <c r="BG246" s="1073"/>
      <c r="BJ246" s="1161">
        <f>VLOOKUP($A246,'New Resources - Group'!$A$4:$Y$133,BJ$2,FALSE)*BJ$1</f>
        <v>0</v>
      </c>
      <c r="BK246" s="1116">
        <f t="shared" si="696"/>
        <v>16632247</v>
      </c>
      <c r="BL246" s="1117">
        <f t="shared" si="648"/>
        <v>16632247</v>
      </c>
      <c r="BM246" s="1117">
        <f t="shared" si="649"/>
        <v>0</v>
      </c>
      <c r="BN246" s="1117">
        <f t="shared" si="650"/>
        <v>0</v>
      </c>
      <c r="BO246" s="1073"/>
      <c r="BR246" s="1161">
        <f>VLOOKUP($A246,'New Resources - Group'!$A$4:$Y$133,BR$2,FALSE)*BR$1</f>
        <v>0</v>
      </c>
      <c r="BS246" s="1116">
        <f t="shared" si="697"/>
        <v>16632247</v>
      </c>
      <c r="BT246" s="1117">
        <f t="shared" si="651"/>
        <v>16632247</v>
      </c>
      <c r="BU246" s="1117">
        <f t="shared" si="652"/>
        <v>0</v>
      </c>
      <c r="BV246" s="1117">
        <f t="shared" si="653"/>
        <v>0</v>
      </c>
      <c r="BW246" s="1073"/>
      <c r="BZ246" s="1161">
        <f>VLOOKUP($A246,'New Resources - Group'!$A$4:$Y$133,BZ$2,FALSE)*BZ$1</f>
        <v>0</v>
      </c>
      <c r="CA246" s="1116">
        <f t="shared" si="698"/>
        <v>16632247</v>
      </c>
      <c r="CB246" s="1117">
        <f t="shared" si="654"/>
        <v>16632247</v>
      </c>
      <c r="CC246" s="1117">
        <f t="shared" si="655"/>
        <v>0</v>
      </c>
      <c r="CD246" s="1117">
        <f t="shared" si="656"/>
        <v>0</v>
      </c>
      <c r="CE246" s="1073"/>
      <c r="CH246" s="1161">
        <f>VLOOKUP($A246,'New Resources - Group'!$A$4:$Y$133,CH$2,FALSE)*CH$1</f>
        <v>0</v>
      </c>
      <c r="CI246" s="1116">
        <f t="shared" si="699"/>
        <v>16632247</v>
      </c>
      <c r="CJ246" s="1117">
        <f t="shared" si="657"/>
        <v>16632247</v>
      </c>
      <c r="CK246" s="1117">
        <f t="shared" si="658"/>
        <v>0</v>
      </c>
      <c r="CL246" s="1117">
        <f t="shared" si="659"/>
        <v>0</v>
      </c>
      <c r="CM246" s="1073"/>
      <c r="CP246" s="1161">
        <f>VLOOKUP($A246,'New Resources - Group'!$A$4:$Y$133,CP$2,FALSE)*CP$1</f>
        <v>0</v>
      </c>
      <c r="CQ246" s="1116">
        <f t="shared" si="700"/>
        <v>16632247</v>
      </c>
      <c r="CR246" s="1117">
        <f t="shared" si="660"/>
        <v>16632247</v>
      </c>
      <c r="CS246" s="1117">
        <f t="shared" si="661"/>
        <v>0</v>
      </c>
      <c r="CT246" s="1117">
        <f t="shared" si="662"/>
        <v>0</v>
      </c>
      <c r="CU246" s="1073"/>
      <c r="CX246" s="1161">
        <f>VLOOKUP($A246,'New Resources - Group'!$A$4:$Y$133,CX$2,FALSE)*CX$1</f>
        <v>0</v>
      </c>
      <c r="CY246" s="1116">
        <f t="shared" si="701"/>
        <v>16632247</v>
      </c>
      <c r="CZ246" s="1117">
        <f t="shared" si="663"/>
        <v>16632247</v>
      </c>
      <c r="DA246" s="1117">
        <f t="shared" si="664"/>
        <v>0</v>
      </c>
      <c r="DB246" s="1117">
        <f t="shared" si="665"/>
        <v>0</v>
      </c>
      <c r="DC246" s="1073"/>
      <c r="DF246" s="1161">
        <f>VLOOKUP($A246,'New Resources - Group'!$A$4:$Y$133,DF$2,FALSE)*DF$1</f>
        <v>0</v>
      </c>
      <c r="DG246" s="1116">
        <f t="shared" si="702"/>
        <v>16632247</v>
      </c>
      <c r="DH246" s="1117">
        <f t="shared" si="666"/>
        <v>16632247</v>
      </c>
      <c r="DI246" s="1117">
        <f t="shared" si="667"/>
        <v>0</v>
      </c>
      <c r="DJ246" s="1117">
        <f t="shared" si="668"/>
        <v>0</v>
      </c>
      <c r="DK246" s="1073"/>
      <c r="DN246" s="1161">
        <f>VLOOKUP($A246,'New Resources - Group'!$A$4:$Y$133,DN$2,FALSE)*DN$1</f>
        <v>0</v>
      </c>
      <c r="DO246" s="1116">
        <f t="shared" si="703"/>
        <v>16632247</v>
      </c>
      <c r="DP246" s="1117">
        <f t="shared" si="669"/>
        <v>16632247</v>
      </c>
      <c r="DQ246" s="1117">
        <f t="shared" si="670"/>
        <v>0</v>
      </c>
      <c r="DR246" s="1117">
        <f t="shared" si="671"/>
        <v>0</v>
      </c>
      <c r="DS246" s="1073"/>
      <c r="DV246" s="1161">
        <f>VLOOKUP($A246,'New Resources - Group'!$A$4:$Y$133,DV$2,FALSE)*DV$1</f>
        <v>0</v>
      </c>
      <c r="DW246" s="1116">
        <f t="shared" si="704"/>
        <v>16632247</v>
      </c>
      <c r="DX246" s="1117">
        <f t="shared" si="672"/>
        <v>16632247</v>
      </c>
      <c r="DY246" s="1117">
        <f t="shared" si="673"/>
        <v>0</v>
      </c>
      <c r="DZ246" s="1117">
        <f t="shared" si="674"/>
        <v>0</v>
      </c>
      <c r="EA246" s="1073"/>
      <c r="ED246" s="1161">
        <f>VLOOKUP($A246,'New Resources - Group'!$A$4:$Y$133,ED$2,FALSE)*ED$1</f>
        <v>0</v>
      </c>
      <c r="EE246" s="1116">
        <f t="shared" si="705"/>
        <v>16632247</v>
      </c>
      <c r="EF246" s="1117">
        <f t="shared" si="675"/>
        <v>16632247</v>
      </c>
      <c r="EG246" s="1117">
        <f t="shared" si="676"/>
        <v>0</v>
      </c>
      <c r="EH246" s="1117">
        <f t="shared" si="677"/>
        <v>0</v>
      </c>
      <c r="EI246" s="1073"/>
      <c r="EL246" s="1161">
        <f>VLOOKUP($A246,'New Resources - Group'!$A$4:$Y$133,EL$2,FALSE)*EL$1</f>
        <v>0</v>
      </c>
      <c r="EM246" s="1116">
        <f t="shared" si="706"/>
        <v>16632247</v>
      </c>
      <c r="EN246" s="1117">
        <f t="shared" si="678"/>
        <v>16632247</v>
      </c>
      <c r="EO246" s="1117">
        <f t="shared" si="679"/>
        <v>0</v>
      </c>
      <c r="EP246" s="1117">
        <f t="shared" si="680"/>
        <v>0</v>
      </c>
      <c r="EQ246" s="1073"/>
      <c r="ET246" s="1161">
        <f>VLOOKUP($A246,'New Resources - Group'!$A$4:$Y$133,ET$2,FALSE)*ET$1</f>
        <v>0</v>
      </c>
      <c r="EU246" s="1116">
        <f t="shared" si="707"/>
        <v>16632247</v>
      </c>
      <c r="EV246" s="1117">
        <f t="shared" si="681"/>
        <v>16632247</v>
      </c>
      <c r="EW246" s="1117">
        <f t="shared" si="682"/>
        <v>0</v>
      </c>
      <c r="EX246" s="1117">
        <f t="shared" si="683"/>
        <v>0</v>
      </c>
      <c r="EY246" s="1073"/>
      <c r="FB246" s="1161">
        <f>VLOOKUP($A246,'New Resources - Group'!$A$4:$Y$133,FB$2,FALSE)*FB$1</f>
        <v>0</v>
      </c>
      <c r="FC246" s="1116">
        <f t="shared" si="708"/>
        <v>16632247</v>
      </c>
      <c r="FD246" s="1117">
        <f t="shared" si="684"/>
        <v>16632247</v>
      </c>
      <c r="FE246" s="1117">
        <f t="shared" si="685"/>
        <v>0</v>
      </c>
      <c r="FF246" s="1117">
        <f t="shared" si="686"/>
        <v>0</v>
      </c>
      <c r="FG246" s="1073"/>
      <c r="FJ246" s="1161">
        <f>VLOOKUP($A246,'New Resources - Group'!$A$4:$Y$133,FJ$2,FALSE)*FJ$1</f>
        <v>0</v>
      </c>
      <c r="FK246" s="1116">
        <f t="shared" si="709"/>
        <v>16632247</v>
      </c>
      <c r="FL246" s="1117">
        <f t="shared" si="687"/>
        <v>16632247</v>
      </c>
      <c r="FM246" s="1117">
        <f t="shared" si="688"/>
        <v>0</v>
      </c>
      <c r="FN246" s="1117">
        <f t="shared" si="689"/>
        <v>0</v>
      </c>
      <c r="FO246" s="1073"/>
    </row>
    <row r="247" spans="1:171">
      <c r="A247" s="1444">
        <v>460</v>
      </c>
      <c r="B247" s="913" t="s">
        <v>435</v>
      </c>
      <c r="C247" s="888">
        <v>336</v>
      </c>
      <c r="D247" s="888">
        <v>403</v>
      </c>
      <c r="E247" s="182" t="str">
        <f>'Sch 3 - Expenses'!E87</f>
        <v>PROD</v>
      </c>
      <c r="F247" s="889"/>
      <c r="G247" s="182">
        <f>'Sch 3 - Expenses'!G87</f>
        <v>0</v>
      </c>
      <c r="H247" s="182">
        <f>'Sch 3 - Expenses'!H87</f>
        <v>0</v>
      </c>
      <c r="I247" s="182">
        <f>'Sch 3 - Expenses'!I87</f>
        <v>0</v>
      </c>
      <c r="J247" s="1424">
        <f>'Sch 3 - Expenses'!J87</f>
        <v>0</v>
      </c>
      <c r="K247" s="903">
        <f t="shared" si="629"/>
        <v>1</v>
      </c>
      <c r="N247" s="1161">
        <f>VLOOKUP($A247,'New Resources - Group'!$A$4:$Y$133,N$2,FALSE)*N$1</f>
        <v>0</v>
      </c>
      <c r="O247" s="1116">
        <f t="shared" si="690"/>
        <v>0</v>
      </c>
      <c r="P247" s="1117">
        <f t="shared" si="630"/>
        <v>0</v>
      </c>
      <c r="Q247" s="1117">
        <f t="shared" si="631"/>
        <v>0</v>
      </c>
      <c r="R247" s="1117">
        <f t="shared" si="632"/>
        <v>0</v>
      </c>
      <c r="S247" s="1073"/>
      <c r="V247" s="1161">
        <f>VLOOKUP($A247,'New Resources - Group'!$A$4:$Y$133,V$2,FALSE)*V$1</f>
        <v>0</v>
      </c>
      <c r="W247" s="1116">
        <f t="shared" si="691"/>
        <v>0</v>
      </c>
      <c r="X247" s="1117">
        <f t="shared" si="633"/>
        <v>0</v>
      </c>
      <c r="Y247" s="1117">
        <f t="shared" si="634"/>
        <v>0</v>
      </c>
      <c r="Z247" s="1117">
        <f t="shared" si="635"/>
        <v>0</v>
      </c>
      <c r="AA247" s="1073"/>
      <c r="AD247" s="1161">
        <f>VLOOKUP($A247,'New Resources - Group'!$A$4:$Y$133,AD$2,FALSE)*AD$1</f>
        <v>0</v>
      </c>
      <c r="AE247" s="1116">
        <f t="shared" si="692"/>
        <v>0</v>
      </c>
      <c r="AF247" s="1117">
        <f t="shared" si="636"/>
        <v>0</v>
      </c>
      <c r="AG247" s="1117">
        <f t="shared" si="637"/>
        <v>0</v>
      </c>
      <c r="AH247" s="1117">
        <f t="shared" si="638"/>
        <v>0</v>
      </c>
      <c r="AI247" s="1073"/>
      <c r="AL247" s="1161">
        <f>VLOOKUP($A247,'New Resources - Group'!$A$4:$Y$133,AL$2,FALSE)*AL$1</f>
        <v>0</v>
      </c>
      <c r="AM247" s="1116">
        <f t="shared" si="693"/>
        <v>0</v>
      </c>
      <c r="AN247" s="1117">
        <f t="shared" si="639"/>
        <v>0</v>
      </c>
      <c r="AO247" s="1117">
        <f t="shared" si="640"/>
        <v>0</v>
      </c>
      <c r="AP247" s="1117">
        <f t="shared" si="641"/>
        <v>0</v>
      </c>
      <c r="AQ247" s="1073"/>
      <c r="AT247" s="1161">
        <f>VLOOKUP($A247,'New Resources - Group'!$A$4:$Y$133,AT$2,FALSE)*AT$1</f>
        <v>0</v>
      </c>
      <c r="AU247" s="1116">
        <f t="shared" si="694"/>
        <v>0</v>
      </c>
      <c r="AV247" s="1117">
        <f t="shared" si="642"/>
        <v>0</v>
      </c>
      <c r="AW247" s="1117">
        <f t="shared" si="643"/>
        <v>0</v>
      </c>
      <c r="AX247" s="1117">
        <f t="shared" si="644"/>
        <v>0</v>
      </c>
      <c r="AY247" s="1073"/>
      <c r="BB247" s="1161">
        <f>VLOOKUP($A247,'New Resources - Group'!$A$4:$Y$133,BB$2,FALSE)*BB$1</f>
        <v>0</v>
      </c>
      <c r="BC247" s="1116">
        <f t="shared" si="695"/>
        <v>0</v>
      </c>
      <c r="BD247" s="1117">
        <f t="shared" si="645"/>
        <v>0</v>
      </c>
      <c r="BE247" s="1117">
        <f t="shared" si="646"/>
        <v>0</v>
      </c>
      <c r="BF247" s="1117">
        <f t="shared" si="647"/>
        <v>0</v>
      </c>
      <c r="BG247" s="1073"/>
      <c r="BJ247" s="1161">
        <f>VLOOKUP($A247,'New Resources - Group'!$A$4:$Y$133,BJ$2,FALSE)*BJ$1</f>
        <v>0</v>
      </c>
      <c r="BK247" s="1116">
        <f t="shared" si="696"/>
        <v>0</v>
      </c>
      <c r="BL247" s="1117">
        <f t="shared" si="648"/>
        <v>0</v>
      </c>
      <c r="BM247" s="1117">
        <f t="shared" si="649"/>
        <v>0</v>
      </c>
      <c r="BN247" s="1117">
        <f t="shared" si="650"/>
        <v>0</v>
      </c>
      <c r="BO247" s="1073"/>
      <c r="BR247" s="1161">
        <f>VLOOKUP($A247,'New Resources - Group'!$A$4:$Y$133,BR$2,FALSE)*BR$1</f>
        <v>0</v>
      </c>
      <c r="BS247" s="1116">
        <f t="shared" si="697"/>
        <v>0</v>
      </c>
      <c r="BT247" s="1117">
        <f t="shared" si="651"/>
        <v>0</v>
      </c>
      <c r="BU247" s="1117">
        <f t="shared" si="652"/>
        <v>0</v>
      </c>
      <c r="BV247" s="1117">
        <f t="shared" si="653"/>
        <v>0</v>
      </c>
      <c r="BW247" s="1073"/>
      <c r="BZ247" s="1161">
        <f>VLOOKUP($A247,'New Resources - Group'!$A$4:$Y$133,BZ$2,FALSE)*BZ$1</f>
        <v>0</v>
      </c>
      <c r="CA247" s="1116">
        <f t="shared" si="698"/>
        <v>0</v>
      </c>
      <c r="CB247" s="1117">
        <f t="shared" si="654"/>
        <v>0</v>
      </c>
      <c r="CC247" s="1117">
        <f t="shared" si="655"/>
        <v>0</v>
      </c>
      <c r="CD247" s="1117">
        <f t="shared" si="656"/>
        <v>0</v>
      </c>
      <c r="CE247" s="1073"/>
      <c r="CH247" s="1161">
        <f>VLOOKUP($A247,'New Resources - Group'!$A$4:$Y$133,CH$2,FALSE)*CH$1</f>
        <v>0</v>
      </c>
      <c r="CI247" s="1116">
        <f t="shared" si="699"/>
        <v>0</v>
      </c>
      <c r="CJ247" s="1117">
        <f t="shared" si="657"/>
        <v>0</v>
      </c>
      <c r="CK247" s="1117">
        <f t="shared" si="658"/>
        <v>0</v>
      </c>
      <c r="CL247" s="1117">
        <f t="shared" si="659"/>
        <v>0</v>
      </c>
      <c r="CM247" s="1073"/>
      <c r="CP247" s="1161">
        <f>VLOOKUP($A247,'New Resources - Group'!$A$4:$Y$133,CP$2,FALSE)*CP$1</f>
        <v>0</v>
      </c>
      <c r="CQ247" s="1116">
        <f t="shared" si="700"/>
        <v>0</v>
      </c>
      <c r="CR247" s="1117">
        <f t="shared" si="660"/>
        <v>0</v>
      </c>
      <c r="CS247" s="1117">
        <f t="shared" si="661"/>
        <v>0</v>
      </c>
      <c r="CT247" s="1117">
        <f t="shared" si="662"/>
        <v>0</v>
      </c>
      <c r="CU247" s="1073"/>
      <c r="CX247" s="1161">
        <f>VLOOKUP($A247,'New Resources - Group'!$A$4:$Y$133,CX$2,FALSE)*CX$1</f>
        <v>0</v>
      </c>
      <c r="CY247" s="1116">
        <f t="shared" si="701"/>
        <v>0</v>
      </c>
      <c r="CZ247" s="1117">
        <f t="shared" si="663"/>
        <v>0</v>
      </c>
      <c r="DA247" s="1117">
        <f t="shared" si="664"/>
        <v>0</v>
      </c>
      <c r="DB247" s="1117">
        <f t="shared" si="665"/>
        <v>0</v>
      </c>
      <c r="DC247" s="1073"/>
      <c r="DF247" s="1161">
        <f>VLOOKUP($A247,'New Resources - Group'!$A$4:$Y$133,DF$2,FALSE)*DF$1</f>
        <v>0</v>
      </c>
      <c r="DG247" s="1116">
        <f t="shared" si="702"/>
        <v>0</v>
      </c>
      <c r="DH247" s="1117">
        <f t="shared" si="666"/>
        <v>0</v>
      </c>
      <c r="DI247" s="1117">
        <f t="shared" si="667"/>
        <v>0</v>
      </c>
      <c r="DJ247" s="1117">
        <f t="shared" si="668"/>
        <v>0</v>
      </c>
      <c r="DK247" s="1073"/>
      <c r="DN247" s="1161">
        <f>VLOOKUP($A247,'New Resources - Group'!$A$4:$Y$133,DN$2,FALSE)*DN$1</f>
        <v>0</v>
      </c>
      <c r="DO247" s="1116">
        <f t="shared" si="703"/>
        <v>0</v>
      </c>
      <c r="DP247" s="1117">
        <f t="shared" si="669"/>
        <v>0</v>
      </c>
      <c r="DQ247" s="1117">
        <f t="shared" si="670"/>
        <v>0</v>
      </c>
      <c r="DR247" s="1117">
        <f t="shared" si="671"/>
        <v>0</v>
      </c>
      <c r="DS247" s="1073"/>
      <c r="DV247" s="1161">
        <f>VLOOKUP($A247,'New Resources - Group'!$A$4:$Y$133,DV$2,FALSE)*DV$1</f>
        <v>0</v>
      </c>
      <c r="DW247" s="1116">
        <f t="shared" si="704"/>
        <v>0</v>
      </c>
      <c r="DX247" s="1117">
        <f t="shared" si="672"/>
        <v>0</v>
      </c>
      <c r="DY247" s="1117">
        <f t="shared" si="673"/>
        <v>0</v>
      </c>
      <c r="DZ247" s="1117">
        <f t="shared" si="674"/>
        <v>0</v>
      </c>
      <c r="EA247" s="1073"/>
      <c r="ED247" s="1161">
        <f>VLOOKUP($A247,'New Resources - Group'!$A$4:$Y$133,ED$2,FALSE)*ED$1</f>
        <v>0</v>
      </c>
      <c r="EE247" s="1116">
        <f t="shared" si="705"/>
        <v>0</v>
      </c>
      <c r="EF247" s="1117">
        <f t="shared" si="675"/>
        <v>0</v>
      </c>
      <c r="EG247" s="1117">
        <f t="shared" si="676"/>
        <v>0</v>
      </c>
      <c r="EH247" s="1117">
        <f t="shared" si="677"/>
        <v>0</v>
      </c>
      <c r="EI247" s="1073"/>
      <c r="EL247" s="1161">
        <f>VLOOKUP($A247,'New Resources - Group'!$A$4:$Y$133,EL$2,FALSE)*EL$1</f>
        <v>0</v>
      </c>
      <c r="EM247" s="1116">
        <f t="shared" si="706"/>
        <v>0</v>
      </c>
      <c r="EN247" s="1117">
        <f t="shared" si="678"/>
        <v>0</v>
      </c>
      <c r="EO247" s="1117">
        <f t="shared" si="679"/>
        <v>0</v>
      </c>
      <c r="EP247" s="1117">
        <f t="shared" si="680"/>
        <v>0</v>
      </c>
      <c r="EQ247" s="1073"/>
      <c r="ET247" s="1161">
        <f>VLOOKUP($A247,'New Resources - Group'!$A$4:$Y$133,ET$2,FALSE)*ET$1</f>
        <v>0</v>
      </c>
      <c r="EU247" s="1116">
        <f t="shared" si="707"/>
        <v>0</v>
      </c>
      <c r="EV247" s="1117">
        <f t="shared" si="681"/>
        <v>0</v>
      </c>
      <c r="EW247" s="1117">
        <f t="shared" si="682"/>
        <v>0</v>
      </c>
      <c r="EX247" s="1117">
        <f t="shared" si="683"/>
        <v>0</v>
      </c>
      <c r="EY247" s="1073"/>
      <c r="FB247" s="1161">
        <f>VLOOKUP($A247,'New Resources - Group'!$A$4:$Y$133,FB$2,FALSE)*FB$1</f>
        <v>0</v>
      </c>
      <c r="FC247" s="1116">
        <f t="shared" si="708"/>
        <v>0</v>
      </c>
      <c r="FD247" s="1117">
        <f t="shared" si="684"/>
        <v>0</v>
      </c>
      <c r="FE247" s="1117">
        <f t="shared" si="685"/>
        <v>0</v>
      </c>
      <c r="FF247" s="1117">
        <f t="shared" si="686"/>
        <v>0</v>
      </c>
      <c r="FG247" s="1073"/>
      <c r="FJ247" s="1161">
        <f>VLOOKUP($A247,'New Resources - Group'!$A$4:$Y$133,FJ$2,FALSE)*FJ$1</f>
        <v>0</v>
      </c>
      <c r="FK247" s="1116">
        <f t="shared" si="709"/>
        <v>0</v>
      </c>
      <c r="FL247" s="1117">
        <f t="shared" si="687"/>
        <v>0</v>
      </c>
      <c r="FM247" s="1117">
        <f t="shared" si="688"/>
        <v>0</v>
      </c>
      <c r="FN247" s="1117">
        <f t="shared" si="689"/>
        <v>0</v>
      </c>
      <c r="FO247" s="1073"/>
    </row>
    <row r="248" spans="1:171">
      <c r="A248" s="1444">
        <v>600</v>
      </c>
      <c r="B248" s="913" t="s">
        <v>137</v>
      </c>
      <c r="C248" s="888">
        <v>336</v>
      </c>
      <c r="D248" s="888">
        <v>403</v>
      </c>
      <c r="E248" s="182" t="str">
        <f>'Sch 3 - Expenses'!E88</f>
        <v>PROD</v>
      </c>
      <c r="F248" s="889"/>
      <c r="G248" s="182">
        <f>'Sch 3 - Expenses'!G88</f>
        <v>11041726</v>
      </c>
      <c r="H248" s="182">
        <f>'Sch 3 - Expenses'!H88</f>
        <v>11041726</v>
      </c>
      <c r="I248" s="182">
        <f>'Sch 3 - Expenses'!I88</f>
        <v>0</v>
      </c>
      <c r="J248" s="1424">
        <f>'Sch 3 - Expenses'!J88</f>
        <v>0</v>
      </c>
      <c r="K248" s="903">
        <f t="shared" si="629"/>
        <v>1</v>
      </c>
      <c r="N248" s="1161">
        <f>VLOOKUP($A248,'New Resources - Group'!$A$4:$Y$133,N$2,FALSE)*N$1</f>
        <v>0</v>
      </c>
      <c r="O248" s="1116">
        <f t="shared" si="690"/>
        <v>11041726</v>
      </c>
      <c r="P248" s="1117">
        <f t="shared" si="630"/>
        <v>11041726</v>
      </c>
      <c r="Q248" s="1117">
        <f t="shared" si="631"/>
        <v>0</v>
      </c>
      <c r="R248" s="1117">
        <f t="shared" si="632"/>
        <v>0</v>
      </c>
      <c r="S248" s="1073"/>
      <c r="V248" s="1161">
        <f>VLOOKUP($A248,'New Resources - Group'!$A$4:$Y$133,V$2,FALSE)*V$1</f>
        <v>0</v>
      </c>
      <c r="W248" s="1116">
        <f t="shared" si="691"/>
        <v>11041726</v>
      </c>
      <c r="X248" s="1117">
        <f t="shared" si="633"/>
        <v>11041726</v>
      </c>
      <c r="Y248" s="1117">
        <f t="shared" si="634"/>
        <v>0</v>
      </c>
      <c r="Z248" s="1117">
        <f t="shared" si="635"/>
        <v>0</v>
      </c>
      <c r="AA248" s="1073"/>
      <c r="AD248" s="1161">
        <f>VLOOKUP($A248,'New Resources - Group'!$A$4:$Y$133,AD$2,FALSE)*AD$1</f>
        <v>0</v>
      </c>
      <c r="AE248" s="1116">
        <f t="shared" si="692"/>
        <v>11041726</v>
      </c>
      <c r="AF248" s="1117">
        <f t="shared" si="636"/>
        <v>11041726</v>
      </c>
      <c r="AG248" s="1117">
        <f t="shared" si="637"/>
        <v>0</v>
      </c>
      <c r="AH248" s="1117">
        <f t="shared" si="638"/>
        <v>0</v>
      </c>
      <c r="AI248" s="1073"/>
      <c r="AL248" s="1161">
        <f>VLOOKUP($A248,'New Resources - Group'!$A$4:$Y$133,AL$2,FALSE)*AL$1</f>
        <v>0</v>
      </c>
      <c r="AM248" s="1116">
        <f t="shared" si="693"/>
        <v>11041726</v>
      </c>
      <c r="AN248" s="1117">
        <f t="shared" si="639"/>
        <v>11041726</v>
      </c>
      <c r="AO248" s="1117">
        <f t="shared" si="640"/>
        <v>0</v>
      </c>
      <c r="AP248" s="1117">
        <f t="shared" si="641"/>
        <v>0</v>
      </c>
      <c r="AQ248" s="1073"/>
      <c r="AT248" s="1161">
        <f>VLOOKUP($A248,'New Resources - Group'!$A$4:$Y$133,AT$2,FALSE)*AT$1</f>
        <v>0</v>
      </c>
      <c r="AU248" s="1116">
        <f t="shared" si="694"/>
        <v>11041726</v>
      </c>
      <c r="AV248" s="1117">
        <f t="shared" si="642"/>
        <v>11041726</v>
      </c>
      <c r="AW248" s="1117">
        <f t="shared" si="643"/>
        <v>0</v>
      </c>
      <c r="AX248" s="1117">
        <f t="shared" si="644"/>
        <v>0</v>
      </c>
      <c r="AY248" s="1073"/>
      <c r="BB248" s="1161">
        <f>VLOOKUP($A248,'New Resources - Group'!$A$4:$Y$133,BB$2,FALSE)*BB$1</f>
        <v>0</v>
      </c>
      <c r="BC248" s="1116">
        <f t="shared" si="695"/>
        <v>11041726</v>
      </c>
      <c r="BD248" s="1117">
        <f t="shared" si="645"/>
        <v>11041726</v>
      </c>
      <c r="BE248" s="1117">
        <f t="shared" si="646"/>
        <v>0</v>
      </c>
      <c r="BF248" s="1117">
        <f t="shared" si="647"/>
        <v>0</v>
      </c>
      <c r="BG248" s="1073"/>
      <c r="BJ248" s="1161">
        <f>VLOOKUP($A248,'New Resources - Group'!$A$4:$Y$133,BJ$2,FALSE)*BJ$1</f>
        <v>0</v>
      </c>
      <c r="BK248" s="1116">
        <f t="shared" si="696"/>
        <v>11041726</v>
      </c>
      <c r="BL248" s="1117">
        <f t="shared" si="648"/>
        <v>11041726</v>
      </c>
      <c r="BM248" s="1117">
        <f t="shared" si="649"/>
        <v>0</v>
      </c>
      <c r="BN248" s="1117">
        <f t="shared" si="650"/>
        <v>0</v>
      </c>
      <c r="BO248" s="1073"/>
      <c r="BR248" s="1161">
        <f>VLOOKUP($A248,'New Resources - Group'!$A$4:$Y$133,BR$2,FALSE)*BR$1</f>
        <v>0</v>
      </c>
      <c r="BS248" s="1116">
        <f t="shared" si="697"/>
        <v>11041726</v>
      </c>
      <c r="BT248" s="1117">
        <f t="shared" si="651"/>
        <v>11041726</v>
      </c>
      <c r="BU248" s="1117">
        <f t="shared" si="652"/>
        <v>0</v>
      </c>
      <c r="BV248" s="1117">
        <f t="shared" si="653"/>
        <v>0</v>
      </c>
      <c r="BW248" s="1073"/>
      <c r="BZ248" s="1161">
        <f>VLOOKUP($A248,'New Resources - Group'!$A$4:$Y$133,BZ$2,FALSE)*BZ$1</f>
        <v>0</v>
      </c>
      <c r="CA248" s="1116">
        <f t="shared" si="698"/>
        <v>11041726</v>
      </c>
      <c r="CB248" s="1117">
        <f t="shared" si="654"/>
        <v>11041726</v>
      </c>
      <c r="CC248" s="1117">
        <f t="shared" si="655"/>
        <v>0</v>
      </c>
      <c r="CD248" s="1117">
        <f t="shared" si="656"/>
        <v>0</v>
      </c>
      <c r="CE248" s="1073"/>
      <c r="CH248" s="1161">
        <f>VLOOKUP($A248,'New Resources - Group'!$A$4:$Y$133,CH$2,FALSE)*CH$1</f>
        <v>0</v>
      </c>
      <c r="CI248" s="1116">
        <f t="shared" si="699"/>
        <v>11041726</v>
      </c>
      <c r="CJ248" s="1117">
        <f t="shared" si="657"/>
        <v>11041726</v>
      </c>
      <c r="CK248" s="1117">
        <f t="shared" si="658"/>
        <v>0</v>
      </c>
      <c r="CL248" s="1117">
        <f t="shared" si="659"/>
        <v>0</v>
      </c>
      <c r="CM248" s="1073"/>
      <c r="CP248" s="1161">
        <f>VLOOKUP($A248,'New Resources - Group'!$A$4:$Y$133,CP$2,FALSE)*CP$1</f>
        <v>0</v>
      </c>
      <c r="CQ248" s="1116">
        <f t="shared" si="700"/>
        <v>11041726</v>
      </c>
      <c r="CR248" s="1117">
        <f t="shared" si="660"/>
        <v>11041726</v>
      </c>
      <c r="CS248" s="1117">
        <f t="shared" si="661"/>
        <v>0</v>
      </c>
      <c r="CT248" s="1117">
        <f t="shared" si="662"/>
        <v>0</v>
      </c>
      <c r="CU248" s="1073"/>
      <c r="CX248" s="1161">
        <f>VLOOKUP($A248,'New Resources - Group'!$A$4:$Y$133,CX$2,FALSE)*CX$1</f>
        <v>0</v>
      </c>
      <c r="CY248" s="1116">
        <f t="shared" si="701"/>
        <v>11041726</v>
      </c>
      <c r="CZ248" s="1117">
        <f t="shared" si="663"/>
        <v>11041726</v>
      </c>
      <c r="DA248" s="1117">
        <f t="shared" si="664"/>
        <v>0</v>
      </c>
      <c r="DB248" s="1117">
        <f t="shared" si="665"/>
        <v>0</v>
      </c>
      <c r="DC248" s="1073"/>
      <c r="DF248" s="1161">
        <f>VLOOKUP($A248,'New Resources - Group'!$A$4:$Y$133,DF$2,FALSE)*DF$1</f>
        <v>0</v>
      </c>
      <c r="DG248" s="1116">
        <f t="shared" si="702"/>
        <v>11041726</v>
      </c>
      <c r="DH248" s="1117">
        <f t="shared" si="666"/>
        <v>11041726</v>
      </c>
      <c r="DI248" s="1117">
        <f t="shared" si="667"/>
        <v>0</v>
      </c>
      <c r="DJ248" s="1117">
        <f t="shared" si="668"/>
        <v>0</v>
      </c>
      <c r="DK248" s="1073"/>
      <c r="DN248" s="1161">
        <f>VLOOKUP($A248,'New Resources - Group'!$A$4:$Y$133,DN$2,FALSE)*DN$1</f>
        <v>0</v>
      </c>
      <c r="DO248" s="1116">
        <f t="shared" si="703"/>
        <v>11041726</v>
      </c>
      <c r="DP248" s="1117">
        <f t="shared" si="669"/>
        <v>11041726</v>
      </c>
      <c r="DQ248" s="1117">
        <f t="shared" si="670"/>
        <v>0</v>
      </c>
      <c r="DR248" s="1117">
        <f t="shared" si="671"/>
        <v>0</v>
      </c>
      <c r="DS248" s="1073"/>
      <c r="DV248" s="1161">
        <f>VLOOKUP($A248,'New Resources - Group'!$A$4:$Y$133,DV$2,FALSE)*DV$1</f>
        <v>0</v>
      </c>
      <c r="DW248" s="1116">
        <f t="shared" si="704"/>
        <v>11041726</v>
      </c>
      <c r="DX248" s="1117">
        <f t="shared" si="672"/>
        <v>11041726</v>
      </c>
      <c r="DY248" s="1117">
        <f t="shared" si="673"/>
        <v>0</v>
      </c>
      <c r="DZ248" s="1117">
        <f t="shared" si="674"/>
        <v>0</v>
      </c>
      <c r="EA248" s="1073"/>
      <c r="ED248" s="1161">
        <f>VLOOKUP($A248,'New Resources - Group'!$A$4:$Y$133,ED$2,FALSE)*ED$1</f>
        <v>0</v>
      </c>
      <c r="EE248" s="1116">
        <f t="shared" si="705"/>
        <v>11041726</v>
      </c>
      <c r="EF248" s="1117">
        <f t="shared" si="675"/>
        <v>11041726</v>
      </c>
      <c r="EG248" s="1117">
        <f t="shared" si="676"/>
        <v>0</v>
      </c>
      <c r="EH248" s="1117">
        <f t="shared" si="677"/>
        <v>0</v>
      </c>
      <c r="EI248" s="1073"/>
      <c r="EL248" s="1161">
        <f>VLOOKUP($A248,'New Resources - Group'!$A$4:$Y$133,EL$2,FALSE)*EL$1</f>
        <v>0</v>
      </c>
      <c r="EM248" s="1116">
        <f t="shared" si="706"/>
        <v>11041726</v>
      </c>
      <c r="EN248" s="1117">
        <f t="shared" si="678"/>
        <v>11041726</v>
      </c>
      <c r="EO248" s="1117">
        <f t="shared" si="679"/>
        <v>0</v>
      </c>
      <c r="EP248" s="1117">
        <f t="shared" si="680"/>
        <v>0</v>
      </c>
      <c r="EQ248" s="1073"/>
      <c r="ET248" s="1161">
        <f>VLOOKUP($A248,'New Resources - Group'!$A$4:$Y$133,ET$2,FALSE)*ET$1</f>
        <v>0</v>
      </c>
      <c r="EU248" s="1116">
        <f t="shared" si="707"/>
        <v>11041726</v>
      </c>
      <c r="EV248" s="1117">
        <f t="shared" si="681"/>
        <v>11041726</v>
      </c>
      <c r="EW248" s="1117">
        <f t="shared" si="682"/>
        <v>0</v>
      </c>
      <c r="EX248" s="1117">
        <f t="shared" si="683"/>
        <v>0</v>
      </c>
      <c r="EY248" s="1073"/>
      <c r="FB248" s="1161">
        <f>VLOOKUP($A248,'New Resources - Group'!$A$4:$Y$133,FB$2,FALSE)*FB$1</f>
        <v>0</v>
      </c>
      <c r="FC248" s="1116">
        <f t="shared" si="708"/>
        <v>11041726</v>
      </c>
      <c r="FD248" s="1117">
        <f t="shared" si="684"/>
        <v>11041726</v>
      </c>
      <c r="FE248" s="1117">
        <f t="shared" si="685"/>
        <v>0</v>
      </c>
      <c r="FF248" s="1117">
        <f t="shared" si="686"/>
        <v>0</v>
      </c>
      <c r="FG248" s="1073"/>
      <c r="FJ248" s="1161">
        <f>VLOOKUP($A248,'New Resources - Group'!$A$4:$Y$133,FJ$2,FALSE)*FJ$1</f>
        <v>0</v>
      </c>
      <c r="FK248" s="1116">
        <f t="shared" si="709"/>
        <v>11041726</v>
      </c>
      <c r="FL248" s="1117">
        <f t="shared" si="687"/>
        <v>11041726</v>
      </c>
      <c r="FM248" s="1117">
        <f t="shared" si="688"/>
        <v>0</v>
      </c>
      <c r="FN248" s="1117">
        <f t="shared" si="689"/>
        <v>0</v>
      </c>
      <c r="FO248" s="1073"/>
    </row>
    <row r="249" spans="1:171">
      <c r="A249" s="1444">
        <v>910</v>
      </c>
      <c r="B249" s="913" t="s">
        <v>143</v>
      </c>
      <c r="C249" s="888">
        <v>336</v>
      </c>
      <c r="D249" s="888">
        <v>403</v>
      </c>
      <c r="E249" s="182" t="str">
        <f>'Sch 3 - Expenses'!E89</f>
        <v>TRANS</v>
      </c>
      <c r="F249" s="889"/>
      <c r="G249" s="182">
        <f>'Sch 3 - Expenses'!G89</f>
        <v>21064671</v>
      </c>
      <c r="H249" s="182">
        <f>'Sch 3 - Expenses'!H89</f>
        <v>0</v>
      </c>
      <c r="I249" s="182">
        <f>'Sch 3 - Expenses'!I89</f>
        <v>0</v>
      </c>
      <c r="J249" s="1424">
        <f>'Sch 3 - Expenses'!J89</f>
        <v>21064671</v>
      </c>
      <c r="K249" s="903">
        <f t="shared" si="629"/>
        <v>1</v>
      </c>
      <c r="N249" s="1161">
        <f>VLOOKUP($A249,'New Resources - Group'!$A$4:$Y$133,N$2,FALSE)*N$1</f>
        <v>0</v>
      </c>
      <c r="O249" s="1116">
        <f t="shared" si="690"/>
        <v>21064671</v>
      </c>
      <c r="P249" s="1117">
        <f t="shared" si="630"/>
        <v>0</v>
      </c>
      <c r="Q249" s="1117">
        <f t="shared" si="631"/>
        <v>21064671</v>
      </c>
      <c r="R249" s="1117">
        <f t="shared" si="632"/>
        <v>0</v>
      </c>
      <c r="S249" s="1073"/>
      <c r="V249" s="1161">
        <f>VLOOKUP($A249,'New Resources - Group'!$A$4:$Y$133,V$2,FALSE)*V$1</f>
        <v>0</v>
      </c>
      <c r="W249" s="1116">
        <f t="shared" si="691"/>
        <v>21064671</v>
      </c>
      <c r="X249" s="1117">
        <f t="shared" si="633"/>
        <v>0</v>
      </c>
      <c r="Y249" s="1117">
        <f t="shared" si="634"/>
        <v>21064671</v>
      </c>
      <c r="Z249" s="1117">
        <f t="shared" si="635"/>
        <v>0</v>
      </c>
      <c r="AA249" s="1073"/>
      <c r="AD249" s="1161">
        <f>VLOOKUP($A249,'New Resources - Group'!$A$4:$Y$133,AD$2,FALSE)*AD$1</f>
        <v>0</v>
      </c>
      <c r="AE249" s="1116">
        <f t="shared" si="692"/>
        <v>21064671</v>
      </c>
      <c r="AF249" s="1117">
        <f t="shared" si="636"/>
        <v>0</v>
      </c>
      <c r="AG249" s="1117">
        <f t="shared" si="637"/>
        <v>21064671</v>
      </c>
      <c r="AH249" s="1117">
        <f t="shared" si="638"/>
        <v>0</v>
      </c>
      <c r="AI249" s="1073"/>
      <c r="AL249" s="1161">
        <f>VLOOKUP($A249,'New Resources - Group'!$A$4:$Y$133,AL$2,FALSE)*AL$1</f>
        <v>0</v>
      </c>
      <c r="AM249" s="1116">
        <f t="shared" si="693"/>
        <v>21064671</v>
      </c>
      <c r="AN249" s="1117">
        <f t="shared" si="639"/>
        <v>0</v>
      </c>
      <c r="AO249" s="1117">
        <f t="shared" si="640"/>
        <v>21064671</v>
      </c>
      <c r="AP249" s="1117">
        <f t="shared" si="641"/>
        <v>0</v>
      </c>
      <c r="AQ249" s="1073"/>
      <c r="AT249" s="1161">
        <f>VLOOKUP($A249,'New Resources - Group'!$A$4:$Y$133,AT$2,FALSE)*AT$1</f>
        <v>0</v>
      </c>
      <c r="AU249" s="1116">
        <f t="shared" si="694"/>
        <v>21064671</v>
      </c>
      <c r="AV249" s="1117">
        <f t="shared" si="642"/>
        <v>0</v>
      </c>
      <c r="AW249" s="1117">
        <f t="shared" si="643"/>
        <v>21064671</v>
      </c>
      <c r="AX249" s="1117">
        <f t="shared" si="644"/>
        <v>0</v>
      </c>
      <c r="AY249" s="1073"/>
      <c r="BB249" s="1161">
        <f>VLOOKUP($A249,'New Resources - Group'!$A$4:$Y$133,BB$2,FALSE)*BB$1</f>
        <v>0</v>
      </c>
      <c r="BC249" s="1116">
        <f t="shared" si="695"/>
        <v>21064671</v>
      </c>
      <c r="BD249" s="1117">
        <f t="shared" si="645"/>
        <v>0</v>
      </c>
      <c r="BE249" s="1117">
        <f t="shared" si="646"/>
        <v>21064671</v>
      </c>
      <c r="BF249" s="1117">
        <f t="shared" si="647"/>
        <v>0</v>
      </c>
      <c r="BG249" s="1073"/>
      <c r="BJ249" s="1161">
        <f>VLOOKUP($A249,'New Resources - Group'!$A$4:$Y$133,BJ$2,FALSE)*BJ$1</f>
        <v>0</v>
      </c>
      <c r="BK249" s="1116">
        <f t="shared" si="696"/>
        <v>21064671</v>
      </c>
      <c r="BL249" s="1117">
        <f t="shared" si="648"/>
        <v>0</v>
      </c>
      <c r="BM249" s="1117">
        <f t="shared" si="649"/>
        <v>21064671</v>
      </c>
      <c r="BN249" s="1117">
        <f t="shared" si="650"/>
        <v>0</v>
      </c>
      <c r="BO249" s="1073"/>
      <c r="BR249" s="1161">
        <f>VLOOKUP($A249,'New Resources - Group'!$A$4:$Y$133,BR$2,FALSE)*BR$1</f>
        <v>0</v>
      </c>
      <c r="BS249" s="1116">
        <f t="shared" si="697"/>
        <v>21064671</v>
      </c>
      <c r="BT249" s="1117">
        <f t="shared" si="651"/>
        <v>0</v>
      </c>
      <c r="BU249" s="1117">
        <f t="shared" si="652"/>
        <v>21064671</v>
      </c>
      <c r="BV249" s="1117">
        <f t="shared" si="653"/>
        <v>0</v>
      </c>
      <c r="BW249" s="1073"/>
      <c r="BZ249" s="1161">
        <f>VLOOKUP($A249,'New Resources - Group'!$A$4:$Y$133,BZ$2,FALSE)*BZ$1</f>
        <v>0</v>
      </c>
      <c r="CA249" s="1116">
        <f t="shared" si="698"/>
        <v>21064671</v>
      </c>
      <c r="CB249" s="1117">
        <f t="shared" si="654"/>
        <v>0</v>
      </c>
      <c r="CC249" s="1117">
        <f t="shared" si="655"/>
        <v>21064671</v>
      </c>
      <c r="CD249" s="1117">
        <f t="shared" si="656"/>
        <v>0</v>
      </c>
      <c r="CE249" s="1073"/>
      <c r="CH249" s="1161">
        <f>VLOOKUP($A249,'New Resources - Group'!$A$4:$Y$133,CH$2,FALSE)*CH$1</f>
        <v>0</v>
      </c>
      <c r="CI249" s="1116">
        <f t="shared" si="699"/>
        <v>21064671</v>
      </c>
      <c r="CJ249" s="1117">
        <f t="shared" si="657"/>
        <v>0</v>
      </c>
      <c r="CK249" s="1117">
        <f t="shared" si="658"/>
        <v>21064671</v>
      </c>
      <c r="CL249" s="1117">
        <f t="shared" si="659"/>
        <v>0</v>
      </c>
      <c r="CM249" s="1073"/>
      <c r="CP249" s="1161">
        <f>VLOOKUP($A249,'New Resources - Group'!$A$4:$Y$133,CP$2,FALSE)*CP$1</f>
        <v>0</v>
      </c>
      <c r="CQ249" s="1116">
        <f t="shared" si="700"/>
        <v>21064671</v>
      </c>
      <c r="CR249" s="1117">
        <f t="shared" si="660"/>
        <v>0</v>
      </c>
      <c r="CS249" s="1117">
        <f t="shared" si="661"/>
        <v>21064671</v>
      </c>
      <c r="CT249" s="1117">
        <f t="shared" si="662"/>
        <v>0</v>
      </c>
      <c r="CU249" s="1073"/>
      <c r="CX249" s="1161">
        <f>VLOOKUP($A249,'New Resources - Group'!$A$4:$Y$133,CX$2,FALSE)*CX$1</f>
        <v>0</v>
      </c>
      <c r="CY249" s="1116">
        <f t="shared" si="701"/>
        <v>21064671</v>
      </c>
      <c r="CZ249" s="1117">
        <f t="shared" si="663"/>
        <v>0</v>
      </c>
      <c r="DA249" s="1117">
        <f t="shared" si="664"/>
        <v>21064671</v>
      </c>
      <c r="DB249" s="1117">
        <f t="shared" si="665"/>
        <v>0</v>
      </c>
      <c r="DC249" s="1073"/>
      <c r="DF249" s="1161">
        <f>VLOOKUP($A249,'New Resources - Group'!$A$4:$Y$133,DF$2,FALSE)*DF$1</f>
        <v>0</v>
      </c>
      <c r="DG249" s="1116">
        <f t="shared" si="702"/>
        <v>21064671</v>
      </c>
      <c r="DH249" s="1117">
        <f t="shared" si="666"/>
        <v>0</v>
      </c>
      <c r="DI249" s="1117">
        <f t="shared" si="667"/>
        <v>21064671</v>
      </c>
      <c r="DJ249" s="1117">
        <f t="shared" si="668"/>
        <v>0</v>
      </c>
      <c r="DK249" s="1073"/>
      <c r="DN249" s="1161">
        <f>VLOOKUP($A249,'New Resources - Group'!$A$4:$Y$133,DN$2,FALSE)*DN$1</f>
        <v>0</v>
      </c>
      <c r="DO249" s="1116">
        <f t="shared" si="703"/>
        <v>21064671</v>
      </c>
      <c r="DP249" s="1117">
        <f t="shared" si="669"/>
        <v>0</v>
      </c>
      <c r="DQ249" s="1117">
        <f t="shared" si="670"/>
        <v>21064671</v>
      </c>
      <c r="DR249" s="1117">
        <f t="shared" si="671"/>
        <v>0</v>
      </c>
      <c r="DS249" s="1073"/>
      <c r="DV249" s="1161">
        <f>VLOOKUP($A249,'New Resources - Group'!$A$4:$Y$133,DV$2,FALSE)*DV$1</f>
        <v>0</v>
      </c>
      <c r="DW249" s="1116">
        <f t="shared" si="704"/>
        <v>21064671</v>
      </c>
      <c r="DX249" s="1117">
        <f t="shared" si="672"/>
        <v>0</v>
      </c>
      <c r="DY249" s="1117">
        <f t="shared" si="673"/>
        <v>21064671</v>
      </c>
      <c r="DZ249" s="1117">
        <f t="shared" si="674"/>
        <v>0</v>
      </c>
      <c r="EA249" s="1073"/>
      <c r="ED249" s="1161">
        <f>VLOOKUP($A249,'New Resources - Group'!$A$4:$Y$133,ED$2,FALSE)*ED$1</f>
        <v>0</v>
      </c>
      <c r="EE249" s="1116">
        <f t="shared" si="705"/>
        <v>21064671</v>
      </c>
      <c r="EF249" s="1117">
        <f t="shared" si="675"/>
        <v>0</v>
      </c>
      <c r="EG249" s="1117">
        <f t="shared" si="676"/>
        <v>21064671</v>
      </c>
      <c r="EH249" s="1117">
        <f t="shared" si="677"/>
        <v>0</v>
      </c>
      <c r="EI249" s="1073"/>
      <c r="EL249" s="1161">
        <f>VLOOKUP($A249,'New Resources - Group'!$A$4:$Y$133,EL$2,FALSE)*EL$1</f>
        <v>0</v>
      </c>
      <c r="EM249" s="1116">
        <f t="shared" si="706"/>
        <v>21064671</v>
      </c>
      <c r="EN249" s="1117">
        <f t="shared" si="678"/>
        <v>0</v>
      </c>
      <c r="EO249" s="1117">
        <f t="shared" si="679"/>
        <v>21064671</v>
      </c>
      <c r="EP249" s="1117">
        <f t="shared" si="680"/>
        <v>0</v>
      </c>
      <c r="EQ249" s="1073"/>
      <c r="ET249" s="1161">
        <f>VLOOKUP($A249,'New Resources - Group'!$A$4:$Y$133,ET$2,FALSE)*ET$1</f>
        <v>0</v>
      </c>
      <c r="EU249" s="1116">
        <f t="shared" si="707"/>
        <v>21064671</v>
      </c>
      <c r="EV249" s="1117">
        <f t="shared" si="681"/>
        <v>0</v>
      </c>
      <c r="EW249" s="1117">
        <f t="shared" si="682"/>
        <v>21064671</v>
      </c>
      <c r="EX249" s="1117">
        <f t="shared" si="683"/>
        <v>0</v>
      </c>
      <c r="EY249" s="1073"/>
      <c r="FB249" s="1161">
        <f>VLOOKUP($A249,'New Resources - Group'!$A$4:$Y$133,FB$2,FALSE)*FB$1</f>
        <v>0</v>
      </c>
      <c r="FC249" s="1116">
        <f t="shared" si="708"/>
        <v>21064671</v>
      </c>
      <c r="FD249" s="1117">
        <f t="shared" si="684"/>
        <v>0</v>
      </c>
      <c r="FE249" s="1117">
        <f t="shared" si="685"/>
        <v>21064671</v>
      </c>
      <c r="FF249" s="1117">
        <f t="shared" si="686"/>
        <v>0</v>
      </c>
      <c r="FG249" s="1073"/>
      <c r="FJ249" s="1161">
        <f>VLOOKUP($A249,'New Resources - Group'!$A$4:$Y$133,FJ$2,FALSE)*FJ$1</f>
        <v>0</v>
      </c>
      <c r="FK249" s="1116">
        <f t="shared" si="709"/>
        <v>21064671</v>
      </c>
      <c r="FL249" s="1117">
        <f t="shared" si="687"/>
        <v>0</v>
      </c>
      <c r="FM249" s="1117">
        <f t="shared" si="688"/>
        <v>21064671</v>
      </c>
      <c r="FN249" s="1117">
        <f t="shared" si="689"/>
        <v>0</v>
      </c>
      <c r="FO249" s="1073"/>
    </row>
    <row r="250" spans="1:171">
      <c r="A250" s="1439"/>
      <c r="B250" s="913" t="s">
        <v>474</v>
      </c>
      <c r="C250" s="888">
        <v>336</v>
      </c>
      <c r="D250" s="888">
        <v>403</v>
      </c>
      <c r="E250" s="182" t="str">
        <f>'Sch 3 - Expenses'!E90</f>
        <v>DIST</v>
      </c>
      <c r="F250" s="889"/>
      <c r="G250" s="182">
        <f>'Sch 3 - Expenses'!G90</f>
        <v>60509580</v>
      </c>
      <c r="H250" s="182">
        <f>'Sch 3 - Expenses'!H90</f>
        <v>0</v>
      </c>
      <c r="I250" s="182">
        <f>'Sch 3 - Expenses'!I90</f>
        <v>0</v>
      </c>
      <c r="J250" s="1424">
        <f>'Sch 3 - Expenses'!J90</f>
        <v>60509580</v>
      </c>
      <c r="K250" s="903">
        <f t="shared" si="629"/>
        <v>1</v>
      </c>
      <c r="O250" s="1116">
        <f t="shared" ref="O250:O256" si="710">$G250</f>
        <v>60509580</v>
      </c>
      <c r="P250" s="1117">
        <f t="shared" si="630"/>
        <v>0</v>
      </c>
      <c r="Q250" s="1117">
        <f t="shared" si="631"/>
        <v>0</v>
      </c>
      <c r="R250" s="1117">
        <f t="shared" si="632"/>
        <v>60509580</v>
      </c>
      <c r="S250" s="1073"/>
      <c r="W250" s="1116">
        <f t="shared" ref="W250:W256" si="711">$G250</f>
        <v>60509580</v>
      </c>
      <c r="X250" s="1117">
        <f t="shared" si="633"/>
        <v>0</v>
      </c>
      <c r="Y250" s="1117">
        <f t="shared" si="634"/>
        <v>0</v>
      </c>
      <c r="Z250" s="1117">
        <f t="shared" si="635"/>
        <v>60509580</v>
      </c>
      <c r="AA250" s="1073"/>
      <c r="AE250" s="1116">
        <f t="shared" ref="AE250:AE256" si="712">$G250</f>
        <v>60509580</v>
      </c>
      <c r="AF250" s="1117">
        <f t="shared" si="636"/>
        <v>0</v>
      </c>
      <c r="AG250" s="1117">
        <f t="shared" si="637"/>
        <v>0</v>
      </c>
      <c r="AH250" s="1117">
        <f t="shared" si="638"/>
        <v>60509580</v>
      </c>
      <c r="AI250" s="1073"/>
      <c r="AM250" s="1116">
        <f t="shared" ref="AM250:AM256" si="713">$G250</f>
        <v>60509580</v>
      </c>
      <c r="AN250" s="1117">
        <f t="shared" si="639"/>
        <v>0</v>
      </c>
      <c r="AO250" s="1117">
        <f t="shared" si="640"/>
        <v>0</v>
      </c>
      <c r="AP250" s="1117">
        <f t="shared" si="641"/>
        <v>60509580</v>
      </c>
      <c r="AQ250" s="1073"/>
      <c r="AU250" s="1116">
        <f t="shared" ref="AU250:AU256" si="714">$G250</f>
        <v>60509580</v>
      </c>
      <c r="AV250" s="1117">
        <f t="shared" si="642"/>
        <v>0</v>
      </c>
      <c r="AW250" s="1117">
        <f t="shared" si="643"/>
        <v>0</v>
      </c>
      <c r="AX250" s="1117">
        <f t="shared" si="644"/>
        <v>60509580</v>
      </c>
      <c r="AY250" s="1073"/>
      <c r="BC250" s="1116">
        <f t="shared" ref="BC250:BC256" si="715">$G250</f>
        <v>60509580</v>
      </c>
      <c r="BD250" s="1117">
        <f t="shared" si="645"/>
        <v>0</v>
      </c>
      <c r="BE250" s="1117">
        <f t="shared" si="646"/>
        <v>0</v>
      </c>
      <c r="BF250" s="1117">
        <f t="shared" si="647"/>
        <v>60509580</v>
      </c>
      <c r="BG250" s="1073"/>
      <c r="BK250" s="1116">
        <f t="shared" ref="BK250:BK256" si="716">$G250</f>
        <v>60509580</v>
      </c>
      <c r="BL250" s="1117">
        <f t="shared" si="648"/>
        <v>0</v>
      </c>
      <c r="BM250" s="1117">
        <f t="shared" si="649"/>
        <v>0</v>
      </c>
      <c r="BN250" s="1117">
        <f t="shared" si="650"/>
        <v>60509580</v>
      </c>
      <c r="BO250" s="1073"/>
      <c r="BS250" s="1116">
        <f t="shared" ref="BS250:BS256" si="717">$G250</f>
        <v>60509580</v>
      </c>
      <c r="BT250" s="1117">
        <f t="shared" si="651"/>
        <v>0</v>
      </c>
      <c r="BU250" s="1117">
        <f t="shared" si="652"/>
        <v>0</v>
      </c>
      <c r="BV250" s="1117">
        <f t="shared" si="653"/>
        <v>60509580</v>
      </c>
      <c r="BW250" s="1073"/>
      <c r="CA250" s="1116">
        <f t="shared" ref="CA250:CA256" si="718">$G250</f>
        <v>60509580</v>
      </c>
      <c r="CB250" s="1117">
        <f t="shared" si="654"/>
        <v>0</v>
      </c>
      <c r="CC250" s="1117">
        <f t="shared" si="655"/>
        <v>0</v>
      </c>
      <c r="CD250" s="1117">
        <f t="shared" si="656"/>
        <v>60509580</v>
      </c>
      <c r="CE250" s="1073"/>
      <c r="CI250" s="1116">
        <f t="shared" ref="CI250:CI256" si="719">$G250</f>
        <v>60509580</v>
      </c>
      <c r="CJ250" s="1117">
        <f t="shared" si="657"/>
        <v>0</v>
      </c>
      <c r="CK250" s="1117">
        <f t="shared" si="658"/>
        <v>0</v>
      </c>
      <c r="CL250" s="1117">
        <f t="shared" si="659"/>
        <v>60509580</v>
      </c>
      <c r="CM250" s="1073"/>
      <c r="CQ250" s="1116">
        <f t="shared" ref="CQ250:CQ256" si="720">$G250</f>
        <v>60509580</v>
      </c>
      <c r="CR250" s="1117">
        <f t="shared" si="660"/>
        <v>0</v>
      </c>
      <c r="CS250" s="1117">
        <f t="shared" si="661"/>
        <v>0</v>
      </c>
      <c r="CT250" s="1117">
        <f t="shared" si="662"/>
        <v>60509580</v>
      </c>
      <c r="CU250" s="1073"/>
      <c r="CY250" s="1116">
        <f t="shared" ref="CY250:CY256" si="721">$G250</f>
        <v>60509580</v>
      </c>
      <c r="CZ250" s="1117">
        <f t="shared" si="663"/>
        <v>0</v>
      </c>
      <c r="DA250" s="1117">
        <f t="shared" si="664"/>
        <v>0</v>
      </c>
      <c r="DB250" s="1117">
        <f t="shared" si="665"/>
        <v>60509580</v>
      </c>
      <c r="DC250" s="1073"/>
      <c r="DG250" s="1116">
        <f t="shared" ref="DG250:DG256" si="722">$G250</f>
        <v>60509580</v>
      </c>
      <c r="DH250" s="1117">
        <f t="shared" si="666"/>
        <v>0</v>
      </c>
      <c r="DI250" s="1117">
        <f t="shared" si="667"/>
        <v>0</v>
      </c>
      <c r="DJ250" s="1117">
        <f t="shared" si="668"/>
        <v>60509580</v>
      </c>
      <c r="DK250" s="1073"/>
      <c r="DO250" s="1116">
        <f t="shared" ref="DO250:DO256" si="723">$G250</f>
        <v>60509580</v>
      </c>
      <c r="DP250" s="1117">
        <f t="shared" si="669"/>
        <v>0</v>
      </c>
      <c r="DQ250" s="1117">
        <f t="shared" si="670"/>
        <v>0</v>
      </c>
      <c r="DR250" s="1117">
        <f t="shared" si="671"/>
        <v>60509580</v>
      </c>
      <c r="DS250" s="1073"/>
      <c r="DW250" s="1116">
        <f t="shared" ref="DW250:DW256" si="724">$G250</f>
        <v>60509580</v>
      </c>
      <c r="DX250" s="1117">
        <f t="shared" si="672"/>
        <v>0</v>
      </c>
      <c r="DY250" s="1117">
        <f t="shared" si="673"/>
        <v>0</v>
      </c>
      <c r="DZ250" s="1117">
        <f t="shared" si="674"/>
        <v>60509580</v>
      </c>
      <c r="EA250" s="1073"/>
      <c r="EE250" s="1116">
        <f t="shared" ref="EE250:EE256" si="725">$G250</f>
        <v>60509580</v>
      </c>
      <c r="EF250" s="1117">
        <f t="shared" si="675"/>
        <v>0</v>
      </c>
      <c r="EG250" s="1117">
        <f t="shared" si="676"/>
        <v>0</v>
      </c>
      <c r="EH250" s="1117">
        <f t="shared" si="677"/>
        <v>60509580</v>
      </c>
      <c r="EI250" s="1073"/>
      <c r="EM250" s="1116">
        <f t="shared" ref="EM250:EM256" si="726">$G250</f>
        <v>60509580</v>
      </c>
      <c r="EN250" s="1117">
        <f t="shared" si="678"/>
        <v>0</v>
      </c>
      <c r="EO250" s="1117">
        <f t="shared" si="679"/>
        <v>0</v>
      </c>
      <c r="EP250" s="1117">
        <f t="shared" si="680"/>
        <v>60509580</v>
      </c>
      <c r="EQ250" s="1073"/>
      <c r="EU250" s="1116">
        <f t="shared" ref="EU250:EU256" si="727">$G250</f>
        <v>60509580</v>
      </c>
      <c r="EV250" s="1117">
        <f t="shared" si="681"/>
        <v>0</v>
      </c>
      <c r="EW250" s="1117">
        <f t="shared" si="682"/>
        <v>0</v>
      </c>
      <c r="EX250" s="1117">
        <f t="shared" si="683"/>
        <v>60509580</v>
      </c>
      <c r="EY250" s="1073"/>
      <c r="FC250" s="1116">
        <f t="shared" ref="FC250:FC256" si="728">$G250</f>
        <v>60509580</v>
      </c>
      <c r="FD250" s="1117">
        <f t="shared" si="684"/>
        <v>0</v>
      </c>
      <c r="FE250" s="1117">
        <f t="shared" si="685"/>
        <v>0</v>
      </c>
      <c r="FF250" s="1117">
        <f t="shared" si="686"/>
        <v>60509580</v>
      </c>
      <c r="FG250" s="1073"/>
      <c r="FK250" s="1116">
        <f t="shared" ref="FK250:FK256" si="729">$G250</f>
        <v>60509580</v>
      </c>
      <c r="FL250" s="1117">
        <f t="shared" si="687"/>
        <v>0</v>
      </c>
      <c r="FM250" s="1117">
        <f t="shared" si="688"/>
        <v>0</v>
      </c>
      <c r="FN250" s="1117">
        <f t="shared" si="689"/>
        <v>60509580</v>
      </c>
      <c r="FO250" s="1073"/>
    </row>
    <row r="251" spans="1:171">
      <c r="A251" s="1439"/>
      <c r="B251" s="913" t="s">
        <v>92</v>
      </c>
      <c r="C251" s="888">
        <v>336</v>
      </c>
      <c r="D251" s="888">
        <v>403</v>
      </c>
      <c r="E251" s="182" t="str">
        <f>'Sch 3 - Expenses'!E91</f>
        <v>GP</v>
      </c>
      <c r="F251" s="889"/>
      <c r="G251" s="182">
        <f>'Sch 3 - Expenses'!G91</f>
        <v>5172455</v>
      </c>
      <c r="H251" s="182">
        <f>'Sch 3 - Expenses'!H91</f>
        <v>796769.34241722547</v>
      </c>
      <c r="I251" s="182">
        <f>'Sch 3 - Expenses'!I91</f>
        <v>0</v>
      </c>
      <c r="J251" s="1424">
        <f>'Sch 3 - Expenses'!J91</f>
        <v>4375685.6575827738</v>
      </c>
      <c r="K251" s="903">
        <f t="shared" si="629"/>
        <v>1</v>
      </c>
      <c r="O251" s="1116">
        <f>($G251/$G50)*O50</f>
        <v>5172455</v>
      </c>
      <c r="P251" s="1117">
        <f t="shared" si="630"/>
        <v>796769.34241722547</v>
      </c>
      <c r="Q251" s="1117">
        <f t="shared" si="631"/>
        <v>1321506.1325498871</v>
      </c>
      <c r="R251" s="1117">
        <f t="shared" si="632"/>
        <v>3054179.5250328877</v>
      </c>
      <c r="S251" s="1073"/>
      <c r="W251" s="1116">
        <f>($G251/$G50)*W50</f>
        <v>5172455</v>
      </c>
      <c r="X251" s="1117">
        <f t="shared" si="633"/>
        <v>796769.34241722547</v>
      </c>
      <c r="Y251" s="1117">
        <f t="shared" si="634"/>
        <v>1321506.1325498871</v>
      </c>
      <c r="Z251" s="1117">
        <f t="shared" si="635"/>
        <v>3054179.5250328877</v>
      </c>
      <c r="AA251" s="1073"/>
      <c r="AE251" s="1116">
        <f>($G251/$G50)*AE50</f>
        <v>5172455</v>
      </c>
      <c r="AF251" s="1117">
        <f t="shared" si="636"/>
        <v>796769.34241722547</v>
      </c>
      <c r="AG251" s="1117">
        <f t="shared" si="637"/>
        <v>1321506.1325498871</v>
      </c>
      <c r="AH251" s="1117">
        <f t="shared" si="638"/>
        <v>3054179.5250328877</v>
      </c>
      <c r="AI251" s="1073"/>
      <c r="AM251" s="1116">
        <f>($G251/$G50)*AM50</f>
        <v>5172455</v>
      </c>
      <c r="AN251" s="1117">
        <f t="shared" si="639"/>
        <v>796769.34241722547</v>
      </c>
      <c r="AO251" s="1117">
        <f t="shared" si="640"/>
        <v>1321506.1325498871</v>
      </c>
      <c r="AP251" s="1117">
        <f t="shared" si="641"/>
        <v>3054179.5250328877</v>
      </c>
      <c r="AQ251" s="1073"/>
      <c r="AU251" s="1116">
        <f>($G251/$G50)*AU50</f>
        <v>5172455</v>
      </c>
      <c r="AV251" s="1117">
        <f t="shared" si="642"/>
        <v>796769.34241722547</v>
      </c>
      <c r="AW251" s="1117">
        <f t="shared" si="643"/>
        <v>1321506.1325498871</v>
      </c>
      <c r="AX251" s="1117">
        <f t="shared" si="644"/>
        <v>3054179.5250328877</v>
      </c>
      <c r="AY251" s="1073"/>
      <c r="BC251" s="1116">
        <f>($G251/$G50)*BC50</f>
        <v>5172455</v>
      </c>
      <c r="BD251" s="1117">
        <f t="shared" si="645"/>
        <v>796769.34241722547</v>
      </c>
      <c r="BE251" s="1117">
        <f t="shared" si="646"/>
        <v>1321506.1325498871</v>
      </c>
      <c r="BF251" s="1117">
        <f t="shared" si="647"/>
        <v>3054179.5250328877</v>
      </c>
      <c r="BG251" s="1073"/>
      <c r="BK251" s="1116">
        <f>($G251/$G50)*BK50</f>
        <v>5172455</v>
      </c>
      <c r="BL251" s="1117">
        <f t="shared" si="648"/>
        <v>796769.34241722547</v>
      </c>
      <c r="BM251" s="1117">
        <f t="shared" si="649"/>
        <v>1321506.1325498871</v>
      </c>
      <c r="BN251" s="1117">
        <f t="shared" si="650"/>
        <v>3054179.5250328877</v>
      </c>
      <c r="BO251" s="1073"/>
      <c r="BS251" s="1116">
        <f>($G251/$G50)*BS50</f>
        <v>5172455</v>
      </c>
      <c r="BT251" s="1117">
        <f t="shared" si="651"/>
        <v>796769.34241722547</v>
      </c>
      <c r="BU251" s="1117">
        <f t="shared" si="652"/>
        <v>1321506.1325498871</v>
      </c>
      <c r="BV251" s="1117">
        <f t="shared" si="653"/>
        <v>3054179.5250328877</v>
      </c>
      <c r="BW251" s="1073"/>
      <c r="CA251" s="1116">
        <f>($G251/$G50)*CA50</f>
        <v>5172455</v>
      </c>
      <c r="CB251" s="1117">
        <f t="shared" si="654"/>
        <v>796769.34241722547</v>
      </c>
      <c r="CC251" s="1117">
        <f t="shared" si="655"/>
        <v>1321506.1325498871</v>
      </c>
      <c r="CD251" s="1117">
        <f t="shared" si="656"/>
        <v>3054179.5250328877</v>
      </c>
      <c r="CE251" s="1073"/>
      <c r="CI251" s="1116">
        <f>($G251/$G50)*CI50</f>
        <v>5172455</v>
      </c>
      <c r="CJ251" s="1117">
        <f t="shared" si="657"/>
        <v>796769.34241722547</v>
      </c>
      <c r="CK251" s="1117">
        <f t="shared" si="658"/>
        <v>1321506.1325498871</v>
      </c>
      <c r="CL251" s="1117">
        <f t="shared" si="659"/>
        <v>3054179.5250328877</v>
      </c>
      <c r="CM251" s="1073"/>
      <c r="CQ251" s="1116">
        <f>($G251/$G50)*CQ50</f>
        <v>5172455</v>
      </c>
      <c r="CR251" s="1117">
        <f t="shared" si="660"/>
        <v>796769.34241722547</v>
      </c>
      <c r="CS251" s="1117">
        <f t="shared" si="661"/>
        <v>1321506.1325498871</v>
      </c>
      <c r="CT251" s="1117">
        <f t="shared" si="662"/>
        <v>3054179.5250328877</v>
      </c>
      <c r="CU251" s="1073"/>
      <c r="CY251" s="1116">
        <f>($G251/$G50)*CY50</f>
        <v>5172455</v>
      </c>
      <c r="CZ251" s="1117">
        <f t="shared" si="663"/>
        <v>796769.34241722547</v>
      </c>
      <c r="DA251" s="1117">
        <f t="shared" si="664"/>
        <v>1321506.1325498871</v>
      </c>
      <c r="DB251" s="1117">
        <f t="shared" si="665"/>
        <v>3054179.5250328877</v>
      </c>
      <c r="DC251" s="1073"/>
      <c r="DG251" s="1116">
        <f>($G251/$G50)*DG50</f>
        <v>5172455</v>
      </c>
      <c r="DH251" s="1117">
        <f t="shared" si="666"/>
        <v>796769.34241722547</v>
      </c>
      <c r="DI251" s="1117">
        <f t="shared" si="667"/>
        <v>1321506.1325498871</v>
      </c>
      <c r="DJ251" s="1117">
        <f t="shared" si="668"/>
        <v>3054179.5250328877</v>
      </c>
      <c r="DK251" s="1073"/>
      <c r="DO251" s="1116">
        <f>($G251/$G50)*DO50</f>
        <v>5172455</v>
      </c>
      <c r="DP251" s="1117">
        <f t="shared" si="669"/>
        <v>796769.34241722547</v>
      </c>
      <c r="DQ251" s="1117">
        <f t="shared" si="670"/>
        <v>1321506.1325498871</v>
      </c>
      <c r="DR251" s="1117">
        <f t="shared" si="671"/>
        <v>3054179.5250328877</v>
      </c>
      <c r="DS251" s="1073"/>
      <c r="DW251" s="1116">
        <f>($G251/$G50)*DW50</f>
        <v>5172455</v>
      </c>
      <c r="DX251" s="1117">
        <f t="shared" si="672"/>
        <v>796769.34241722547</v>
      </c>
      <c r="DY251" s="1117">
        <f t="shared" si="673"/>
        <v>1321506.1325498871</v>
      </c>
      <c r="DZ251" s="1117">
        <f t="shared" si="674"/>
        <v>3054179.5250328877</v>
      </c>
      <c r="EA251" s="1073"/>
      <c r="EE251" s="1116">
        <f>($G251/$G50)*EE50</f>
        <v>5172455</v>
      </c>
      <c r="EF251" s="1117">
        <f t="shared" si="675"/>
        <v>796769.34241722547</v>
      </c>
      <c r="EG251" s="1117">
        <f t="shared" si="676"/>
        <v>1321506.1325498871</v>
      </c>
      <c r="EH251" s="1117">
        <f t="shared" si="677"/>
        <v>3054179.5250328877</v>
      </c>
      <c r="EI251" s="1073"/>
      <c r="EM251" s="1116">
        <f>($G251/$G50)*EM50</f>
        <v>5172455</v>
      </c>
      <c r="EN251" s="1117">
        <f t="shared" si="678"/>
        <v>796769.34241722547</v>
      </c>
      <c r="EO251" s="1117">
        <f t="shared" si="679"/>
        <v>1321506.1325498871</v>
      </c>
      <c r="EP251" s="1117">
        <f t="shared" si="680"/>
        <v>3054179.5250328877</v>
      </c>
      <c r="EQ251" s="1073"/>
      <c r="EU251" s="1116">
        <f>($G251/$G50)*EU50</f>
        <v>5172455</v>
      </c>
      <c r="EV251" s="1117">
        <f t="shared" si="681"/>
        <v>796769.34241722547</v>
      </c>
      <c r="EW251" s="1117">
        <f t="shared" si="682"/>
        <v>1321506.1325498871</v>
      </c>
      <c r="EX251" s="1117">
        <f t="shared" si="683"/>
        <v>3054179.5250328877</v>
      </c>
      <c r="EY251" s="1073"/>
      <c r="FC251" s="1116">
        <f>($G251/$G50)*FC50</f>
        <v>5172455</v>
      </c>
      <c r="FD251" s="1117">
        <f t="shared" si="684"/>
        <v>796769.34241722547</v>
      </c>
      <c r="FE251" s="1117">
        <f t="shared" si="685"/>
        <v>1321506.1325498871</v>
      </c>
      <c r="FF251" s="1117">
        <f t="shared" si="686"/>
        <v>3054179.5250328877</v>
      </c>
      <c r="FG251" s="1073"/>
      <c r="FK251" s="1116">
        <f>($G251/$G50)*FK50</f>
        <v>5172455</v>
      </c>
      <c r="FL251" s="1117">
        <f t="shared" si="687"/>
        <v>796769.34241722547</v>
      </c>
      <c r="FM251" s="1117">
        <f t="shared" si="688"/>
        <v>1321506.1325498871</v>
      </c>
      <c r="FN251" s="1117">
        <f t="shared" si="689"/>
        <v>3054179.5250328877</v>
      </c>
      <c r="FO251" s="1073"/>
    </row>
    <row r="252" spans="1:171">
      <c r="A252" s="1439"/>
      <c r="B252" s="913" t="s">
        <v>436</v>
      </c>
      <c r="C252" s="888">
        <v>336</v>
      </c>
      <c r="D252" s="1015">
        <v>404</v>
      </c>
      <c r="E252" s="182" t="str">
        <f>'Sch 3 - Expenses'!E92</f>
        <v>DIRECT</v>
      </c>
      <c r="F252" s="889"/>
      <c r="G252" s="182">
        <f>'Sch 3 - Expenses'!G92</f>
        <v>18217879</v>
      </c>
      <c r="H252" s="182">
        <f>'Sch 3 - Expenses'!H92</f>
        <v>5101006.12</v>
      </c>
      <c r="I252" s="182">
        <f>'Sch 3 - Expenses'!I92</f>
        <v>0</v>
      </c>
      <c r="J252" s="1424">
        <f>'Sch 3 - Expenses'!J92</f>
        <v>13116872.879999999</v>
      </c>
      <c r="K252" s="903">
        <f t="shared" si="629"/>
        <v>0</v>
      </c>
      <c r="O252" s="1116">
        <f t="shared" si="710"/>
        <v>18217879</v>
      </c>
      <c r="P252" s="1117">
        <f t="shared" si="630"/>
        <v>5101006.12</v>
      </c>
      <c r="Q252" s="1117">
        <f t="shared" si="631"/>
        <v>0</v>
      </c>
      <c r="R252" s="1117">
        <f t="shared" si="632"/>
        <v>13116872.879999999</v>
      </c>
      <c r="S252" s="1073"/>
      <c r="W252" s="1116">
        <f t="shared" si="711"/>
        <v>18217879</v>
      </c>
      <c r="X252" s="1117">
        <f t="shared" si="633"/>
        <v>5101006.12</v>
      </c>
      <c r="Y252" s="1117">
        <f t="shared" si="634"/>
        <v>0</v>
      </c>
      <c r="Z252" s="1117">
        <f t="shared" si="635"/>
        <v>13116872.879999999</v>
      </c>
      <c r="AA252" s="1073"/>
      <c r="AE252" s="1116">
        <f t="shared" si="712"/>
        <v>18217879</v>
      </c>
      <c r="AF252" s="1117">
        <f t="shared" si="636"/>
        <v>5101006.12</v>
      </c>
      <c r="AG252" s="1117">
        <f t="shared" si="637"/>
        <v>0</v>
      </c>
      <c r="AH252" s="1117">
        <f t="shared" si="638"/>
        <v>13116872.879999999</v>
      </c>
      <c r="AI252" s="1073"/>
      <c r="AM252" s="1116">
        <f t="shared" si="713"/>
        <v>18217879</v>
      </c>
      <c r="AN252" s="1117">
        <f t="shared" si="639"/>
        <v>5101006.12</v>
      </c>
      <c r="AO252" s="1117">
        <f t="shared" si="640"/>
        <v>0</v>
      </c>
      <c r="AP252" s="1117">
        <f t="shared" si="641"/>
        <v>13116872.879999999</v>
      </c>
      <c r="AQ252" s="1073"/>
      <c r="AU252" s="1116">
        <f t="shared" si="714"/>
        <v>18217879</v>
      </c>
      <c r="AV252" s="1117">
        <f t="shared" si="642"/>
        <v>5101006.12</v>
      </c>
      <c r="AW252" s="1117">
        <f t="shared" si="643"/>
        <v>0</v>
      </c>
      <c r="AX252" s="1117">
        <f t="shared" si="644"/>
        <v>13116872.879999999</v>
      </c>
      <c r="AY252" s="1073"/>
      <c r="BC252" s="1116">
        <f t="shared" si="715"/>
        <v>18217879</v>
      </c>
      <c r="BD252" s="1117">
        <f t="shared" si="645"/>
        <v>5101006.12</v>
      </c>
      <c r="BE252" s="1117">
        <f t="shared" si="646"/>
        <v>0</v>
      </c>
      <c r="BF252" s="1117">
        <f t="shared" si="647"/>
        <v>13116872.879999999</v>
      </c>
      <c r="BG252" s="1073"/>
      <c r="BK252" s="1116">
        <f t="shared" si="716"/>
        <v>18217879</v>
      </c>
      <c r="BL252" s="1117">
        <f t="shared" si="648"/>
        <v>5101006.12</v>
      </c>
      <c r="BM252" s="1117">
        <f t="shared" si="649"/>
        <v>0</v>
      </c>
      <c r="BN252" s="1117">
        <f t="shared" si="650"/>
        <v>13116872.879999999</v>
      </c>
      <c r="BO252" s="1073"/>
      <c r="BS252" s="1116">
        <f t="shared" si="717"/>
        <v>18217879</v>
      </c>
      <c r="BT252" s="1117">
        <f t="shared" si="651"/>
        <v>5101006.12</v>
      </c>
      <c r="BU252" s="1117">
        <f t="shared" si="652"/>
        <v>0</v>
      </c>
      <c r="BV252" s="1117">
        <f t="shared" si="653"/>
        <v>13116872.879999999</v>
      </c>
      <c r="BW252" s="1073"/>
      <c r="CA252" s="1116">
        <f t="shared" si="718"/>
        <v>18217879</v>
      </c>
      <c r="CB252" s="1117">
        <f t="shared" si="654"/>
        <v>5101006.12</v>
      </c>
      <c r="CC252" s="1117">
        <f t="shared" si="655"/>
        <v>0</v>
      </c>
      <c r="CD252" s="1117">
        <f t="shared" si="656"/>
        <v>13116872.879999999</v>
      </c>
      <c r="CE252" s="1073"/>
      <c r="CI252" s="1116">
        <f t="shared" si="719"/>
        <v>18217879</v>
      </c>
      <c r="CJ252" s="1117">
        <f t="shared" si="657"/>
        <v>5101006.12</v>
      </c>
      <c r="CK252" s="1117">
        <f t="shared" si="658"/>
        <v>0</v>
      </c>
      <c r="CL252" s="1117">
        <f t="shared" si="659"/>
        <v>13116872.879999999</v>
      </c>
      <c r="CM252" s="1073"/>
      <c r="CQ252" s="1116">
        <f t="shared" si="720"/>
        <v>18217879</v>
      </c>
      <c r="CR252" s="1117">
        <f t="shared" si="660"/>
        <v>5101006.12</v>
      </c>
      <c r="CS252" s="1117">
        <f t="shared" si="661"/>
        <v>0</v>
      </c>
      <c r="CT252" s="1117">
        <f t="shared" si="662"/>
        <v>13116872.879999999</v>
      </c>
      <c r="CU252" s="1073"/>
      <c r="CY252" s="1116">
        <f t="shared" si="721"/>
        <v>18217879</v>
      </c>
      <c r="CZ252" s="1117">
        <f t="shared" si="663"/>
        <v>5101006.12</v>
      </c>
      <c r="DA252" s="1117">
        <f t="shared" si="664"/>
        <v>0</v>
      </c>
      <c r="DB252" s="1117">
        <f t="shared" si="665"/>
        <v>13116872.879999999</v>
      </c>
      <c r="DC252" s="1073"/>
      <c r="DG252" s="1116">
        <f t="shared" si="722"/>
        <v>18217879</v>
      </c>
      <c r="DH252" s="1117">
        <f t="shared" si="666"/>
        <v>5101006.12</v>
      </c>
      <c r="DI252" s="1117">
        <f t="shared" si="667"/>
        <v>0</v>
      </c>
      <c r="DJ252" s="1117">
        <f t="shared" si="668"/>
        <v>13116872.879999999</v>
      </c>
      <c r="DK252" s="1073"/>
      <c r="DO252" s="1116">
        <f t="shared" si="723"/>
        <v>18217879</v>
      </c>
      <c r="DP252" s="1117">
        <f t="shared" si="669"/>
        <v>5101006.12</v>
      </c>
      <c r="DQ252" s="1117">
        <f t="shared" si="670"/>
        <v>0</v>
      </c>
      <c r="DR252" s="1117">
        <f t="shared" si="671"/>
        <v>13116872.879999999</v>
      </c>
      <c r="DS252" s="1073"/>
      <c r="DW252" s="1116">
        <f t="shared" si="724"/>
        <v>18217879</v>
      </c>
      <c r="DX252" s="1117">
        <f t="shared" si="672"/>
        <v>5101006.12</v>
      </c>
      <c r="DY252" s="1117">
        <f t="shared" si="673"/>
        <v>0</v>
      </c>
      <c r="DZ252" s="1117">
        <f t="shared" si="674"/>
        <v>13116872.879999999</v>
      </c>
      <c r="EA252" s="1073"/>
      <c r="EE252" s="1116">
        <f t="shared" si="725"/>
        <v>18217879</v>
      </c>
      <c r="EF252" s="1117">
        <f t="shared" si="675"/>
        <v>5101006.12</v>
      </c>
      <c r="EG252" s="1117">
        <f t="shared" si="676"/>
        <v>0</v>
      </c>
      <c r="EH252" s="1117">
        <f t="shared" si="677"/>
        <v>13116872.879999999</v>
      </c>
      <c r="EI252" s="1073"/>
      <c r="EM252" s="1116">
        <f t="shared" si="726"/>
        <v>18217879</v>
      </c>
      <c r="EN252" s="1117">
        <f t="shared" si="678"/>
        <v>5101006.12</v>
      </c>
      <c r="EO252" s="1117">
        <f t="shared" si="679"/>
        <v>0</v>
      </c>
      <c r="EP252" s="1117">
        <f t="shared" si="680"/>
        <v>13116872.879999999</v>
      </c>
      <c r="EQ252" s="1073"/>
      <c r="EU252" s="1116">
        <f t="shared" si="727"/>
        <v>18217879</v>
      </c>
      <c r="EV252" s="1117">
        <f t="shared" si="681"/>
        <v>5101006.12</v>
      </c>
      <c r="EW252" s="1117">
        <f t="shared" si="682"/>
        <v>0</v>
      </c>
      <c r="EX252" s="1117">
        <f t="shared" si="683"/>
        <v>13116872.879999999</v>
      </c>
      <c r="EY252" s="1073"/>
      <c r="FC252" s="1116">
        <f t="shared" si="728"/>
        <v>18217879</v>
      </c>
      <c r="FD252" s="1117">
        <f t="shared" si="684"/>
        <v>5101006.12</v>
      </c>
      <c r="FE252" s="1117">
        <f t="shared" si="685"/>
        <v>0</v>
      </c>
      <c r="FF252" s="1117">
        <f t="shared" si="686"/>
        <v>13116872.879999999</v>
      </c>
      <c r="FG252" s="1073"/>
      <c r="FK252" s="1116">
        <f t="shared" si="729"/>
        <v>18217879</v>
      </c>
      <c r="FL252" s="1117">
        <f t="shared" si="687"/>
        <v>5101006.12</v>
      </c>
      <c r="FM252" s="1117">
        <f t="shared" si="688"/>
        <v>0</v>
      </c>
      <c r="FN252" s="1117">
        <f t="shared" si="689"/>
        <v>13116872.879999999</v>
      </c>
      <c r="FO252" s="1073"/>
    </row>
    <row r="253" spans="1:171">
      <c r="A253" s="1439"/>
      <c r="B253" s="913" t="s">
        <v>436</v>
      </c>
      <c r="C253" s="888">
        <v>336</v>
      </c>
      <c r="D253" s="1015">
        <v>404</v>
      </c>
      <c r="E253" s="182" t="str">
        <f>'Sch 3 - Expenses'!E93</f>
        <v>DIRECT</v>
      </c>
      <c r="F253" s="889"/>
      <c r="G253" s="182">
        <f>'Sch 3 - Expenses'!G93</f>
        <v>36465620</v>
      </c>
      <c r="H253" s="182">
        <f>'Sch 3 - Expenses'!H93</f>
        <v>10210373.600000001</v>
      </c>
      <c r="I253" s="182">
        <f>'Sch 3 - Expenses'!I93</f>
        <v>0</v>
      </c>
      <c r="J253" s="1424">
        <f>'Sch 3 - Expenses'!J93</f>
        <v>26255246.399999999</v>
      </c>
      <c r="K253" s="903">
        <f t="shared" si="629"/>
        <v>0</v>
      </c>
      <c r="O253" s="1116">
        <f t="shared" si="710"/>
        <v>36465620</v>
      </c>
      <c r="P253" s="1117">
        <f t="shared" si="630"/>
        <v>10210373.600000001</v>
      </c>
      <c r="Q253" s="1117">
        <f t="shared" si="631"/>
        <v>0</v>
      </c>
      <c r="R253" s="1117">
        <f t="shared" si="632"/>
        <v>26255246.399999999</v>
      </c>
      <c r="S253" s="1073"/>
      <c r="W253" s="1116">
        <f t="shared" si="711"/>
        <v>36465620</v>
      </c>
      <c r="X253" s="1117">
        <f t="shared" si="633"/>
        <v>10210373.600000001</v>
      </c>
      <c r="Y253" s="1117">
        <f t="shared" si="634"/>
        <v>0</v>
      </c>
      <c r="Z253" s="1117">
        <f t="shared" si="635"/>
        <v>26255246.399999999</v>
      </c>
      <c r="AA253" s="1073"/>
      <c r="AE253" s="1116">
        <f t="shared" si="712"/>
        <v>36465620</v>
      </c>
      <c r="AF253" s="1117">
        <f t="shared" si="636"/>
        <v>10210373.600000001</v>
      </c>
      <c r="AG253" s="1117">
        <f t="shared" si="637"/>
        <v>0</v>
      </c>
      <c r="AH253" s="1117">
        <f t="shared" si="638"/>
        <v>26255246.399999999</v>
      </c>
      <c r="AI253" s="1073"/>
      <c r="AM253" s="1116">
        <f t="shared" si="713"/>
        <v>36465620</v>
      </c>
      <c r="AN253" s="1117">
        <f t="shared" si="639"/>
        <v>10210373.600000001</v>
      </c>
      <c r="AO253" s="1117">
        <f t="shared" si="640"/>
        <v>0</v>
      </c>
      <c r="AP253" s="1117">
        <f t="shared" si="641"/>
        <v>26255246.399999999</v>
      </c>
      <c r="AQ253" s="1073"/>
      <c r="AU253" s="1116">
        <f t="shared" si="714"/>
        <v>36465620</v>
      </c>
      <c r="AV253" s="1117">
        <f t="shared" si="642"/>
        <v>10210373.600000001</v>
      </c>
      <c r="AW253" s="1117">
        <f t="shared" si="643"/>
        <v>0</v>
      </c>
      <c r="AX253" s="1117">
        <f t="shared" si="644"/>
        <v>26255246.399999999</v>
      </c>
      <c r="AY253" s="1073"/>
      <c r="BC253" s="1116">
        <f t="shared" si="715"/>
        <v>36465620</v>
      </c>
      <c r="BD253" s="1117">
        <f t="shared" si="645"/>
        <v>10210373.600000001</v>
      </c>
      <c r="BE253" s="1117">
        <f t="shared" si="646"/>
        <v>0</v>
      </c>
      <c r="BF253" s="1117">
        <f t="shared" si="647"/>
        <v>26255246.399999999</v>
      </c>
      <c r="BG253" s="1073"/>
      <c r="BK253" s="1116">
        <f t="shared" si="716"/>
        <v>36465620</v>
      </c>
      <c r="BL253" s="1117">
        <f t="shared" si="648"/>
        <v>10210373.600000001</v>
      </c>
      <c r="BM253" s="1117">
        <f t="shared" si="649"/>
        <v>0</v>
      </c>
      <c r="BN253" s="1117">
        <f t="shared" si="650"/>
        <v>26255246.399999999</v>
      </c>
      <c r="BO253" s="1073"/>
      <c r="BS253" s="1116">
        <f t="shared" si="717"/>
        <v>36465620</v>
      </c>
      <c r="BT253" s="1117">
        <f t="shared" si="651"/>
        <v>10210373.600000001</v>
      </c>
      <c r="BU253" s="1117">
        <f t="shared" si="652"/>
        <v>0</v>
      </c>
      <c r="BV253" s="1117">
        <f t="shared" si="653"/>
        <v>26255246.399999999</v>
      </c>
      <c r="BW253" s="1073"/>
      <c r="CA253" s="1116">
        <f t="shared" si="718"/>
        <v>36465620</v>
      </c>
      <c r="CB253" s="1117">
        <f t="shared" si="654"/>
        <v>10210373.600000001</v>
      </c>
      <c r="CC253" s="1117">
        <f t="shared" si="655"/>
        <v>0</v>
      </c>
      <c r="CD253" s="1117">
        <f t="shared" si="656"/>
        <v>26255246.399999999</v>
      </c>
      <c r="CE253" s="1073"/>
      <c r="CI253" s="1116">
        <f t="shared" si="719"/>
        <v>36465620</v>
      </c>
      <c r="CJ253" s="1117">
        <f t="shared" si="657"/>
        <v>10210373.600000001</v>
      </c>
      <c r="CK253" s="1117">
        <f t="shared" si="658"/>
        <v>0</v>
      </c>
      <c r="CL253" s="1117">
        <f t="shared" si="659"/>
        <v>26255246.399999999</v>
      </c>
      <c r="CM253" s="1073"/>
      <c r="CQ253" s="1116">
        <f t="shared" si="720"/>
        <v>36465620</v>
      </c>
      <c r="CR253" s="1117">
        <f t="shared" si="660"/>
        <v>10210373.600000001</v>
      </c>
      <c r="CS253" s="1117">
        <f t="shared" si="661"/>
        <v>0</v>
      </c>
      <c r="CT253" s="1117">
        <f t="shared" si="662"/>
        <v>26255246.399999999</v>
      </c>
      <c r="CU253" s="1073"/>
      <c r="CY253" s="1116">
        <f t="shared" si="721"/>
        <v>36465620</v>
      </c>
      <c r="CZ253" s="1117">
        <f t="shared" si="663"/>
        <v>10210373.600000001</v>
      </c>
      <c r="DA253" s="1117">
        <f t="shared" si="664"/>
        <v>0</v>
      </c>
      <c r="DB253" s="1117">
        <f t="shared" si="665"/>
        <v>26255246.399999999</v>
      </c>
      <c r="DC253" s="1073"/>
      <c r="DG253" s="1116">
        <f t="shared" si="722"/>
        <v>36465620</v>
      </c>
      <c r="DH253" s="1117">
        <f t="shared" si="666"/>
        <v>10210373.600000001</v>
      </c>
      <c r="DI253" s="1117">
        <f t="shared" si="667"/>
        <v>0</v>
      </c>
      <c r="DJ253" s="1117">
        <f t="shared" si="668"/>
        <v>26255246.399999999</v>
      </c>
      <c r="DK253" s="1073"/>
      <c r="DO253" s="1116">
        <f t="shared" si="723"/>
        <v>36465620</v>
      </c>
      <c r="DP253" s="1117">
        <f t="shared" si="669"/>
        <v>10210373.600000001</v>
      </c>
      <c r="DQ253" s="1117">
        <f t="shared" si="670"/>
        <v>0</v>
      </c>
      <c r="DR253" s="1117">
        <f t="shared" si="671"/>
        <v>26255246.399999999</v>
      </c>
      <c r="DS253" s="1073"/>
      <c r="DW253" s="1116">
        <f t="shared" si="724"/>
        <v>36465620</v>
      </c>
      <c r="DX253" s="1117">
        <f t="shared" si="672"/>
        <v>10210373.600000001</v>
      </c>
      <c r="DY253" s="1117">
        <f t="shared" si="673"/>
        <v>0</v>
      </c>
      <c r="DZ253" s="1117">
        <f t="shared" si="674"/>
        <v>26255246.399999999</v>
      </c>
      <c r="EA253" s="1073"/>
      <c r="EE253" s="1116">
        <f t="shared" si="725"/>
        <v>36465620</v>
      </c>
      <c r="EF253" s="1117">
        <f t="shared" si="675"/>
        <v>10210373.600000001</v>
      </c>
      <c r="EG253" s="1117">
        <f t="shared" si="676"/>
        <v>0</v>
      </c>
      <c r="EH253" s="1117">
        <f t="shared" si="677"/>
        <v>26255246.399999999</v>
      </c>
      <c r="EI253" s="1073"/>
      <c r="EM253" s="1116">
        <f t="shared" si="726"/>
        <v>36465620</v>
      </c>
      <c r="EN253" s="1117">
        <f t="shared" si="678"/>
        <v>10210373.600000001</v>
      </c>
      <c r="EO253" s="1117">
        <f t="shared" si="679"/>
        <v>0</v>
      </c>
      <c r="EP253" s="1117">
        <f t="shared" si="680"/>
        <v>26255246.399999999</v>
      </c>
      <c r="EQ253" s="1073"/>
      <c r="EU253" s="1116">
        <f t="shared" si="727"/>
        <v>36465620</v>
      </c>
      <c r="EV253" s="1117">
        <f t="shared" si="681"/>
        <v>10210373.600000001</v>
      </c>
      <c r="EW253" s="1117">
        <f t="shared" si="682"/>
        <v>0</v>
      </c>
      <c r="EX253" s="1117">
        <f t="shared" si="683"/>
        <v>26255246.399999999</v>
      </c>
      <c r="EY253" s="1073"/>
      <c r="FC253" s="1116">
        <f t="shared" si="728"/>
        <v>36465620</v>
      </c>
      <c r="FD253" s="1117">
        <f t="shared" si="684"/>
        <v>10210373.600000001</v>
      </c>
      <c r="FE253" s="1117">
        <f t="shared" si="685"/>
        <v>0</v>
      </c>
      <c r="FF253" s="1117">
        <f t="shared" si="686"/>
        <v>26255246.399999999</v>
      </c>
      <c r="FG253" s="1073"/>
      <c r="FK253" s="1116">
        <f t="shared" si="729"/>
        <v>36465620</v>
      </c>
      <c r="FL253" s="1117">
        <f t="shared" si="687"/>
        <v>10210373.600000001</v>
      </c>
      <c r="FM253" s="1117">
        <f t="shared" si="688"/>
        <v>0</v>
      </c>
      <c r="FN253" s="1117">
        <f t="shared" si="689"/>
        <v>26255246.399999999</v>
      </c>
      <c r="FO253" s="1073"/>
    </row>
    <row r="254" spans="1:171">
      <c r="A254" s="1439"/>
      <c r="B254" s="913" t="s">
        <v>568</v>
      </c>
      <c r="C254" s="888">
        <v>336</v>
      </c>
      <c r="D254" s="1015">
        <v>403.1</v>
      </c>
      <c r="E254" s="182" t="str">
        <f>'Sch 3 - Expenses'!E94</f>
        <v>DIRECT</v>
      </c>
      <c r="F254" s="889"/>
      <c r="G254" s="182">
        <f>'Sch 3 - Expenses'!G94</f>
        <v>0</v>
      </c>
      <c r="H254" s="182">
        <f>'Sch 3 - Expenses'!H94</f>
        <v>0</v>
      </c>
      <c r="I254" s="182">
        <f>'Sch 3 - Expenses'!I94</f>
        <v>0</v>
      </c>
      <c r="J254" s="1424">
        <f>'Sch 3 - Expenses'!J94</f>
        <v>0</v>
      </c>
      <c r="K254" s="903">
        <f t="shared" si="629"/>
        <v>0</v>
      </c>
      <c r="O254" s="1116">
        <f t="shared" si="710"/>
        <v>0</v>
      </c>
      <c r="P254" s="1117">
        <f t="shared" si="630"/>
        <v>0</v>
      </c>
      <c r="Q254" s="1117">
        <f t="shared" si="631"/>
        <v>0</v>
      </c>
      <c r="R254" s="1117">
        <f t="shared" si="632"/>
        <v>0</v>
      </c>
      <c r="S254" s="1073"/>
      <c r="W254" s="1116">
        <f t="shared" si="711"/>
        <v>0</v>
      </c>
      <c r="X254" s="1117">
        <f t="shared" si="633"/>
        <v>0</v>
      </c>
      <c r="Y254" s="1117">
        <f t="shared" si="634"/>
        <v>0</v>
      </c>
      <c r="Z254" s="1117">
        <f t="shared" si="635"/>
        <v>0</v>
      </c>
      <c r="AA254" s="1073"/>
      <c r="AE254" s="1116">
        <f t="shared" si="712"/>
        <v>0</v>
      </c>
      <c r="AF254" s="1117">
        <f t="shared" si="636"/>
        <v>0</v>
      </c>
      <c r="AG254" s="1117">
        <f t="shared" si="637"/>
        <v>0</v>
      </c>
      <c r="AH254" s="1117">
        <f t="shared" si="638"/>
        <v>0</v>
      </c>
      <c r="AI254" s="1073"/>
      <c r="AM254" s="1116">
        <f t="shared" si="713"/>
        <v>0</v>
      </c>
      <c r="AN254" s="1117">
        <f t="shared" si="639"/>
        <v>0</v>
      </c>
      <c r="AO254" s="1117">
        <f t="shared" si="640"/>
        <v>0</v>
      </c>
      <c r="AP254" s="1117">
        <f t="shared" si="641"/>
        <v>0</v>
      </c>
      <c r="AQ254" s="1073"/>
      <c r="AU254" s="1116">
        <f t="shared" si="714"/>
        <v>0</v>
      </c>
      <c r="AV254" s="1117">
        <f t="shared" si="642"/>
        <v>0</v>
      </c>
      <c r="AW254" s="1117">
        <f t="shared" si="643"/>
        <v>0</v>
      </c>
      <c r="AX254" s="1117">
        <f t="shared" si="644"/>
        <v>0</v>
      </c>
      <c r="AY254" s="1073"/>
      <c r="BC254" s="1116">
        <f t="shared" si="715"/>
        <v>0</v>
      </c>
      <c r="BD254" s="1117">
        <f t="shared" si="645"/>
        <v>0</v>
      </c>
      <c r="BE254" s="1117">
        <f t="shared" si="646"/>
        <v>0</v>
      </c>
      <c r="BF254" s="1117">
        <f t="shared" si="647"/>
        <v>0</v>
      </c>
      <c r="BG254" s="1073"/>
      <c r="BK254" s="1116">
        <f t="shared" si="716"/>
        <v>0</v>
      </c>
      <c r="BL254" s="1117">
        <f t="shared" si="648"/>
        <v>0</v>
      </c>
      <c r="BM254" s="1117">
        <f t="shared" si="649"/>
        <v>0</v>
      </c>
      <c r="BN254" s="1117">
        <f t="shared" si="650"/>
        <v>0</v>
      </c>
      <c r="BO254" s="1073"/>
      <c r="BS254" s="1116">
        <f t="shared" si="717"/>
        <v>0</v>
      </c>
      <c r="BT254" s="1117">
        <f t="shared" si="651"/>
        <v>0</v>
      </c>
      <c r="BU254" s="1117">
        <f t="shared" si="652"/>
        <v>0</v>
      </c>
      <c r="BV254" s="1117">
        <f t="shared" si="653"/>
        <v>0</v>
      </c>
      <c r="BW254" s="1073"/>
      <c r="CA254" s="1116">
        <f t="shared" si="718"/>
        <v>0</v>
      </c>
      <c r="CB254" s="1117">
        <f t="shared" si="654"/>
        <v>0</v>
      </c>
      <c r="CC254" s="1117">
        <f t="shared" si="655"/>
        <v>0</v>
      </c>
      <c r="CD254" s="1117">
        <f t="shared" si="656"/>
        <v>0</v>
      </c>
      <c r="CE254" s="1073"/>
      <c r="CI254" s="1116">
        <f t="shared" si="719"/>
        <v>0</v>
      </c>
      <c r="CJ254" s="1117">
        <f t="shared" si="657"/>
        <v>0</v>
      </c>
      <c r="CK254" s="1117">
        <f t="shared" si="658"/>
        <v>0</v>
      </c>
      <c r="CL254" s="1117">
        <f t="shared" si="659"/>
        <v>0</v>
      </c>
      <c r="CM254" s="1073"/>
      <c r="CQ254" s="1116">
        <f t="shared" si="720"/>
        <v>0</v>
      </c>
      <c r="CR254" s="1117">
        <f t="shared" si="660"/>
        <v>0</v>
      </c>
      <c r="CS254" s="1117">
        <f t="shared" si="661"/>
        <v>0</v>
      </c>
      <c r="CT254" s="1117">
        <f t="shared" si="662"/>
        <v>0</v>
      </c>
      <c r="CU254" s="1073"/>
      <c r="CY254" s="1116">
        <f t="shared" si="721"/>
        <v>0</v>
      </c>
      <c r="CZ254" s="1117">
        <f t="shared" si="663"/>
        <v>0</v>
      </c>
      <c r="DA254" s="1117">
        <f t="shared" si="664"/>
        <v>0</v>
      </c>
      <c r="DB254" s="1117">
        <f t="shared" si="665"/>
        <v>0</v>
      </c>
      <c r="DC254" s="1073"/>
      <c r="DG254" s="1116">
        <f t="shared" si="722"/>
        <v>0</v>
      </c>
      <c r="DH254" s="1117">
        <f t="shared" si="666"/>
        <v>0</v>
      </c>
      <c r="DI254" s="1117">
        <f t="shared" si="667"/>
        <v>0</v>
      </c>
      <c r="DJ254" s="1117">
        <f t="shared" si="668"/>
        <v>0</v>
      </c>
      <c r="DK254" s="1073"/>
      <c r="DO254" s="1116">
        <f t="shared" si="723"/>
        <v>0</v>
      </c>
      <c r="DP254" s="1117">
        <f t="shared" si="669"/>
        <v>0</v>
      </c>
      <c r="DQ254" s="1117">
        <f t="shared" si="670"/>
        <v>0</v>
      </c>
      <c r="DR254" s="1117">
        <f t="shared" si="671"/>
        <v>0</v>
      </c>
      <c r="DS254" s="1073"/>
      <c r="DW254" s="1116">
        <f t="shared" si="724"/>
        <v>0</v>
      </c>
      <c r="DX254" s="1117">
        <f t="shared" si="672"/>
        <v>0</v>
      </c>
      <c r="DY254" s="1117">
        <f t="shared" si="673"/>
        <v>0</v>
      </c>
      <c r="DZ254" s="1117">
        <f t="shared" si="674"/>
        <v>0</v>
      </c>
      <c r="EA254" s="1073"/>
      <c r="EE254" s="1116">
        <f t="shared" si="725"/>
        <v>0</v>
      </c>
      <c r="EF254" s="1117">
        <f t="shared" si="675"/>
        <v>0</v>
      </c>
      <c r="EG254" s="1117">
        <f t="shared" si="676"/>
        <v>0</v>
      </c>
      <c r="EH254" s="1117">
        <f t="shared" si="677"/>
        <v>0</v>
      </c>
      <c r="EI254" s="1073"/>
      <c r="EM254" s="1116">
        <f t="shared" si="726"/>
        <v>0</v>
      </c>
      <c r="EN254" s="1117">
        <f t="shared" si="678"/>
        <v>0</v>
      </c>
      <c r="EO254" s="1117">
        <f t="shared" si="679"/>
        <v>0</v>
      </c>
      <c r="EP254" s="1117">
        <f t="shared" si="680"/>
        <v>0</v>
      </c>
      <c r="EQ254" s="1073"/>
      <c r="EU254" s="1116">
        <f t="shared" si="727"/>
        <v>0</v>
      </c>
      <c r="EV254" s="1117">
        <f t="shared" si="681"/>
        <v>0</v>
      </c>
      <c r="EW254" s="1117">
        <f t="shared" si="682"/>
        <v>0</v>
      </c>
      <c r="EX254" s="1117">
        <f t="shared" si="683"/>
        <v>0</v>
      </c>
      <c r="EY254" s="1073"/>
      <c r="FC254" s="1116">
        <f t="shared" si="728"/>
        <v>0</v>
      </c>
      <c r="FD254" s="1117">
        <f t="shared" si="684"/>
        <v>0</v>
      </c>
      <c r="FE254" s="1117">
        <f t="shared" si="685"/>
        <v>0</v>
      </c>
      <c r="FF254" s="1117">
        <f t="shared" si="686"/>
        <v>0</v>
      </c>
      <c r="FG254" s="1073"/>
      <c r="FK254" s="1116">
        <f t="shared" si="729"/>
        <v>0</v>
      </c>
      <c r="FL254" s="1117">
        <f t="shared" si="687"/>
        <v>0</v>
      </c>
      <c r="FM254" s="1117">
        <f t="shared" si="688"/>
        <v>0</v>
      </c>
      <c r="FN254" s="1117">
        <f t="shared" si="689"/>
        <v>0</v>
      </c>
      <c r="FO254" s="1073"/>
    </row>
    <row r="255" spans="1:171">
      <c r="A255" s="1439"/>
      <c r="B255" s="913" t="s">
        <v>569</v>
      </c>
      <c r="C255" s="888">
        <v>336</v>
      </c>
      <c r="D255" s="1015">
        <v>404</v>
      </c>
      <c r="E255" s="182" t="str">
        <f>'Sch 3 - Expenses'!E95</f>
        <v>DIRECT</v>
      </c>
      <c r="F255" s="889"/>
      <c r="G255" s="182">
        <f>'Sch 3 - Expenses'!G95</f>
        <v>0</v>
      </c>
      <c r="H255" s="182">
        <f>'Sch 3 - Expenses'!H95</f>
        <v>0</v>
      </c>
      <c r="I255" s="182">
        <f>'Sch 3 - Expenses'!I95</f>
        <v>0</v>
      </c>
      <c r="J255" s="1424">
        <f>'Sch 3 - Expenses'!J95</f>
        <v>0</v>
      </c>
      <c r="K255" s="903">
        <f t="shared" si="629"/>
        <v>0</v>
      </c>
      <c r="O255" s="1116">
        <f t="shared" si="710"/>
        <v>0</v>
      </c>
      <c r="P255" s="1117">
        <f t="shared" si="630"/>
        <v>0</v>
      </c>
      <c r="Q255" s="1117">
        <f t="shared" si="631"/>
        <v>0</v>
      </c>
      <c r="R255" s="1117">
        <f t="shared" si="632"/>
        <v>0</v>
      </c>
      <c r="S255" s="1073"/>
      <c r="W255" s="1116">
        <f t="shared" si="711"/>
        <v>0</v>
      </c>
      <c r="X255" s="1117">
        <f t="shared" si="633"/>
        <v>0</v>
      </c>
      <c r="Y255" s="1117">
        <f t="shared" si="634"/>
        <v>0</v>
      </c>
      <c r="Z255" s="1117">
        <f t="shared" si="635"/>
        <v>0</v>
      </c>
      <c r="AA255" s="1073"/>
      <c r="AE255" s="1116">
        <f t="shared" si="712"/>
        <v>0</v>
      </c>
      <c r="AF255" s="1117">
        <f t="shared" si="636"/>
        <v>0</v>
      </c>
      <c r="AG255" s="1117">
        <f t="shared" si="637"/>
        <v>0</v>
      </c>
      <c r="AH255" s="1117">
        <f t="shared" si="638"/>
        <v>0</v>
      </c>
      <c r="AI255" s="1073"/>
      <c r="AM255" s="1116">
        <f t="shared" si="713"/>
        <v>0</v>
      </c>
      <c r="AN255" s="1117">
        <f t="shared" si="639"/>
        <v>0</v>
      </c>
      <c r="AO255" s="1117">
        <f t="shared" si="640"/>
        <v>0</v>
      </c>
      <c r="AP255" s="1117">
        <f t="shared" si="641"/>
        <v>0</v>
      </c>
      <c r="AQ255" s="1073"/>
      <c r="AU255" s="1116">
        <f t="shared" si="714"/>
        <v>0</v>
      </c>
      <c r="AV255" s="1117">
        <f t="shared" si="642"/>
        <v>0</v>
      </c>
      <c r="AW255" s="1117">
        <f t="shared" si="643"/>
        <v>0</v>
      </c>
      <c r="AX255" s="1117">
        <f t="shared" si="644"/>
        <v>0</v>
      </c>
      <c r="AY255" s="1073"/>
      <c r="BC255" s="1116">
        <f t="shared" si="715"/>
        <v>0</v>
      </c>
      <c r="BD255" s="1117">
        <f t="shared" si="645"/>
        <v>0</v>
      </c>
      <c r="BE255" s="1117">
        <f t="shared" si="646"/>
        <v>0</v>
      </c>
      <c r="BF255" s="1117">
        <f t="shared" si="647"/>
        <v>0</v>
      </c>
      <c r="BG255" s="1073"/>
      <c r="BK255" s="1116">
        <f t="shared" si="716"/>
        <v>0</v>
      </c>
      <c r="BL255" s="1117">
        <f t="shared" si="648"/>
        <v>0</v>
      </c>
      <c r="BM255" s="1117">
        <f t="shared" si="649"/>
        <v>0</v>
      </c>
      <c r="BN255" s="1117">
        <f t="shared" si="650"/>
        <v>0</v>
      </c>
      <c r="BO255" s="1073"/>
      <c r="BS255" s="1116">
        <f t="shared" si="717"/>
        <v>0</v>
      </c>
      <c r="BT255" s="1117">
        <f t="shared" si="651"/>
        <v>0</v>
      </c>
      <c r="BU255" s="1117">
        <f t="shared" si="652"/>
        <v>0</v>
      </c>
      <c r="BV255" s="1117">
        <f t="shared" si="653"/>
        <v>0</v>
      </c>
      <c r="BW255" s="1073"/>
      <c r="CA255" s="1116">
        <f t="shared" si="718"/>
        <v>0</v>
      </c>
      <c r="CB255" s="1117">
        <f t="shared" si="654"/>
        <v>0</v>
      </c>
      <c r="CC255" s="1117">
        <f t="shared" si="655"/>
        <v>0</v>
      </c>
      <c r="CD255" s="1117">
        <f t="shared" si="656"/>
        <v>0</v>
      </c>
      <c r="CE255" s="1073"/>
      <c r="CI255" s="1116">
        <f t="shared" si="719"/>
        <v>0</v>
      </c>
      <c r="CJ255" s="1117">
        <f t="shared" si="657"/>
        <v>0</v>
      </c>
      <c r="CK255" s="1117">
        <f t="shared" si="658"/>
        <v>0</v>
      </c>
      <c r="CL255" s="1117">
        <f t="shared" si="659"/>
        <v>0</v>
      </c>
      <c r="CM255" s="1073"/>
      <c r="CQ255" s="1116">
        <f t="shared" si="720"/>
        <v>0</v>
      </c>
      <c r="CR255" s="1117">
        <f t="shared" si="660"/>
        <v>0</v>
      </c>
      <c r="CS255" s="1117">
        <f t="shared" si="661"/>
        <v>0</v>
      </c>
      <c r="CT255" s="1117">
        <f t="shared" si="662"/>
        <v>0</v>
      </c>
      <c r="CU255" s="1073"/>
      <c r="CY255" s="1116">
        <f t="shared" si="721"/>
        <v>0</v>
      </c>
      <c r="CZ255" s="1117">
        <f t="shared" si="663"/>
        <v>0</v>
      </c>
      <c r="DA255" s="1117">
        <f t="shared" si="664"/>
        <v>0</v>
      </c>
      <c r="DB255" s="1117">
        <f t="shared" si="665"/>
        <v>0</v>
      </c>
      <c r="DC255" s="1073"/>
      <c r="DG255" s="1116">
        <f t="shared" si="722"/>
        <v>0</v>
      </c>
      <c r="DH255" s="1117">
        <f t="shared" si="666"/>
        <v>0</v>
      </c>
      <c r="DI255" s="1117">
        <f t="shared" si="667"/>
        <v>0</v>
      </c>
      <c r="DJ255" s="1117">
        <f t="shared" si="668"/>
        <v>0</v>
      </c>
      <c r="DK255" s="1073"/>
      <c r="DO255" s="1116">
        <f t="shared" si="723"/>
        <v>0</v>
      </c>
      <c r="DP255" s="1117">
        <f t="shared" si="669"/>
        <v>0</v>
      </c>
      <c r="DQ255" s="1117">
        <f t="shared" si="670"/>
        <v>0</v>
      </c>
      <c r="DR255" s="1117">
        <f t="shared" si="671"/>
        <v>0</v>
      </c>
      <c r="DS255" s="1073"/>
      <c r="DW255" s="1116">
        <f t="shared" si="724"/>
        <v>0</v>
      </c>
      <c r="DX255" s="1117">
        <f t="shared" si="672"/>
        <v>0</v>
      </c>
      <c r="DY255" s="1117">
        <f t="shared" si="673"/>
        <v>0</v>
      </c>
      <c r="DZ255" s="1117">
        <f t="shared" si="674"/>
        <v>0</v>
      </c>
      <c r="EA255" s="1073"/>
      <c r="EE255" s="1116">
        <f t="shared" si="725"/>
        <v>0</v>
      </c>
      <c r="EF255" s="1117">
        <f t="shared" si="675"/>
        <v>0</v>
      </c>
      <c r="EG255" s="1117">
        <f t="shared" si="676"/>
        <v>0</v>
      </c>
      <c r="EH255" s="1117">
        <f t="shared" si="677"/>
        <v>0</v>
      </c>
      <c r="EI255" s="1073"/>
      <c r="EM255" s="1116">
        <f t="shared" si="726"/>
        <v>0</v>
      </c>
      <c r="EN255" s="1117">
        <f t="shared" si="678"/>
        <v>0</v>
      </c>
      <c r="EO255" s="1117">
        <f t="shared" si="679"/>
        <v>0</v>
      </c>
      <c r="EP255" s="1117">
        <f t="shared" si="680"/>
        <v>0</v>
      </c>
      <c r="EQ255" s="1073"/>
      <c r="EU255" s="1116">
        <f t="shared" si="727"/>
        <v>0</v>
      </c>
      <c r="EV255" s="1117">
        <f t="shared" si="681"/>
        <v>0</v>
      </c>
      <c r="EW255" s="1117">
        <f t="shared" si="682"/>
        <v>0</v>
      </c>
      <c r="EX255" s="1117">
        <f t="shared" si="683"/>
        <v>0</v>
      </c>
      <c r="EY255" s="1073"/>
      <c r="FC255" s="1116">
        <f t="shared" si="728"/>
        <v>0</v>
      </c>
      <c r="FD255" s="1117">
        <f t="shared" si="684"/>
        <v>0</v>
      </c>
      <c r="FE255" s="1117">
        <f t="shared" si="685"/>
        <v>0</v>
      </c>
      <c r="FF255" s="1117">
        <f t="shared" si="686"/>
        <v>0</v>
      </c>
      <c r="FG255" s="1073"/>
      <c r="FK255" s="1116">
        <f t="shared" si="729"/>
        <v>0</v>
      </c>
      <c r="FL255" s="1117">
        <f t="shared" si="687"/>
        <v>0</v>
      </c>
      <c r="FM255" s="1117">
        <f t="shared" si="688"/>
        <v>0</v>
      </c>
      <c r="FN255" s="1117">
        <f t="shared" si="689"/>
        <v>0</v>
      </c>
      <c r="FO255" s="1073"/>
    </row>
    <row r="256" spans="1:171">
      <c r="A256" s="1439"/>
      <c r="B256" s="913" t="s">
        <v>30</v>
      </c>
      <c r="C256" s="888" t="s">
        <v>69</v>
      </c>
      <c r="D256" s="1015">
        <v>114</v>
      </c>
      <c r="E256" s="182" t="str">
        <f>'Sch 3 - Expenses'!E96</f>
        <v>DIRECT</v>
      </c>
      <c r="F256" s="889"/>
      <c r="G256" s="182">
        <f>'Sch 3 - Expenses'!G96</f>
        <v>0</v>
      </c>
      <c r="H256" s="182">
        <f>'Sch 3 - Expenses'!H96</f>
        <v>0</v>
      </c>
      <c r="I256" s="182">
        <f>'Sch 3 - Expenses'!I96</f>
        <v>0</v>
      </c>
      <c r="J256" s="1424">
        <f>'Sch 3 - Expenses'!J96</f>
        <v>0</v>
      </c>
      <c r="K256" s="903">
        <f t="shared" si="629"/>
        <v>0</v>
      </c>
      <c r="O256" s="1116">
        <f t="shared" si="710"/>
        <v>0</v>
      </c>
      <c r="P256" s="1117">
        <f t="shared" si="630"/>
        <v>0</v>
      </c>
      <c r="Q256" s="1117">
        <f t="shared" si="631"/>
        <v>0</v>
      </c>
      <c r="R256" s="1117">
        <f t="shared" si="632"/>
        <v>0</v>
      </c>
      <c r="S256" s="1073"/>
      <c r="W256" s="1116">
        <f t="shared" si="711"/>
        <v>0</v>
      </c>
      <c r="X256" s="1117">
        <f t="shared" si="633"/>
        <v>0</v>
      </c>
      <c r="Y256" s="1117">
        <f t="shared" si="634"/>
        <v>0</v>
      </c>
      <c r="Z256" s="1117">
        <f t="shared" si="635"/>
        <v>0</v>
      </c>
      <c r="AA256" s="1073"/>
      <c r="AE256" s="1116">
        <f t="shared" si="712"/>
        <v>0</v>
      </c>
      <c r="AF256" s="1117">
        <f t="shared" si="636"/>
        <v>0</v>
      </c>
      <c r="AG256" s="1117">
        <f t="shared" si="637"/>
        <v>0</v>
      </c>
      <c r="AH256" s="1117">
        <f t="shared" si="638"/>
        <v>0</v>
      </c>
      <c r="AI256" s="1073"/>
      <c r="AM256" s="1116">
        <f t="shared" si="713"/>
        <v>0</v>
      </c>
      <c r="AN256" s="1117">
        <f t="shared" si="639"/>
        <v>0</v>
      </c>
      <c r="AO256" s="1117">
        <f t="shared" si="640"/>
        <v>0</v>
      </c>
      <c r="AP256" s="1117">
        <f t="shared" si="641"/>
        <v>0</v>
      </c>
      <c r="AQ256" s="1073"/>
      <c r="AU256" s="1116">
        <f t="shared" si="714"/>
        <v>0</v>
      </c>
      <c r="AV256" s="1117">
        <f t="shared" si="642"/>
        <v>0</v>
      </c>
      <c r="AW256" s="1117">
        <f t="shared" si="643"/>
        <v>0</v>
      </c>
      <c r="AX256" s="1117">
        <f t="shared" si="644"/>
        <v>0</v>
      </c>
      <c r="AY256" s="1073"/>
      <c r="BC256" s="1116">
        <f t="shared" si="715"/>
        <v>0</v>
      </c>
      <c r="BD256" s="1117">
        <f t="shared" si="645"/>
        <v>0</v>
      </c>
      <c r="BE256" s="1117">
        <f t="shared" si="646"/>
        <v>0</v>
      </c>
      <c r="BF256" s="1117">
        <f t="shared" si="647"/>
        <v>0</v>
      </c>
      <c r="BG256" s="1073"/>
      <c r="BK256" s="1116">
        <f t="shared" si="716"/>
        <v>0</v>
      </c>
      <c r="BL256" s="1117">
        <f t="shared" si="648"/>
        <v>0</v>
      </c>
      <c r="BM256" s="1117">
        <f t="shared" si="649"/>
        <v>0</v>
      </c>
      <c r="BN256" s="1117">
        <f t="shared" si="650"/>
        <v>0</v>
      </c>
      <c r="BO256" s="1073"/>
      <c r="BS256" s="1116">
        <f t="shared" si="717"/>
        <v>0</v>
      </c>
      <c r="BT256" s="1117">
        <f t="shared" si="651"/>
        <v>0</v>
      </c>
      <c r="BU256" s="1117">
        <f t="shared" si="652"/>
        <v>0</v>
      </c>
      <c r="BV256" s="1117">
        <f t="shared" si="653"/>
        <v>0</v>
      </c>
      <c r="BW256" s="1073"/>
      <c r="CA256" s="1116">
        <f t="shared" si="718"/>
        <v>0</v>
      </c>
      <c r="CB256" s="1117">
        <f t="shared" si="654"/>
        <v>0</v>
      </c>
      <c r="CC256" s="1117">
        <f t="shared" si="655"/>
        <v>0</v>
      </c>
      <c r="CD256" s="1117">
        <f t="shared" si="656"/>
        <v>0</v>
      </c>
      <c r="CE256" s="1073"/>
      <c r="CI256" s="1116">
        <f t="shared" si="719"/>
        <v>0</v>
      </c>
      <c r="CJ256" s="1117">
        <f t="shared" si="657"/>
        <v>0</v>
      </c>
      <c r="CK256" s="1117">
        <f t="shared" si="658"/>
        <v>0</v>
      </c>
      <c r="CL256" s="1117">
        <f t="shared" si="659"/>
        <v>0</v>
      </c>
      <c r="CM256" s="1073"/>
      <c r="CQ256" s="1116">
        <f t="shared" si="720"/>
        <v>0</v>
      </c>
      <c r="CR256" s="1117">
        <f t="shared" si="660"/>
        <v>0</v>
      </c>
      <c r="CS256" s="1117">
        <f t="shared" si="661"/>
        <v>0</v>
      </c>
      <c r="CT256" s="1117">
        <f t="shared" si="662"/>
        <v>0</v>
      </c>
      <c r="CU256" s="1073"/>
      <c r="CY256" s="1116">
        <f t="shared" si="721"/>
        <v>0</v>
      </c>
      <c r="CZ256" s="1117">
        <f t="shared" si="663"/>
        <v>0</v>
      </c>
      <c r="DA256" s="1117">
        <f t="shared" si="664"/>
        <v>0</v>
      </c>
      <c r="DB256" s="1117">
        <f t="shared" si="665"/>
        <v>0</v>
      </c>
      <c r="DC256" s="1073"/>
      <c r="DG256" s="1116">
        <f t="shared" si="722"/>
        <v>0</v>
      </c>
      <c r="DH256" s="1117">
        <f t="shared" si="666"/>
        <v>0</v>
      </c>
      <c r="DI256" s="1117">
        <f t="shared" si="667"/>
        <v>0</v>
      </c>
      <c r="DJ256" s="1117">
        <f t="shared" si="668"/>
        <v>0</v>
      </c>
      <c r="DK256" s="1073"/>
      <c r="DO256" s="1116">
        <f t="shared" si="723"/>
        <v>0</v>
      </c>
      <c r="DP256" s="1117">
        <f t="shared" si="669"/>
        <v>0</v>
      </c>
      <c r="DQ256" s="1117">
        <f t="shared" si="670"/>
        <v>0</v>
      </c>
      <c r="DR256" s="1117">
        <f t="shared" si="671"/>
        <v>0</v>
      </c>
      <c r="DS256" s="1073"/>
      <c r="DW256" s="1116">
        <f t="shared" si="724"/>
        <v>0</v>
      </c>
      <c r="DX256" s="1117">
        <f t="shared" si="672"/>
        <v>0</v>
      </c>
      <c r="DY256" s="1117">
        <f t="shared" si="673"/>
        <v>0</v>
      </c>
      <c r="DZ256" s="1117">
        <f t="shared" si="674"/>
        <v>0</v>
      </c>
      <c r="EA256" s="1073"/>
      <c r="EE256" s="1116">
        <f t="shared" si="725"/>
        <v>0</v>
      </c>
      <c r="EF256" s="1117">
        <f t="shared" si="675"/>
        <v>0</v>
      </c>
      <c r="EG256" s="1117">
        <f t="shared" si="676"/>
        <v>0</v>
      </c>
      <c r="EH256" s="1117">
        <f t="shared" si="677"/>
        <v>0</v>
      </c>
      <c r="EI256" s="1073"/>
      <c r="EM256" s="1116">
        <f t="shared" si="726"/>
        <v>0</v>
      </c>
      <c r="EN256" s="1117">
        <f t="shared" si="678"/>
        <v>0</v>
      </c>
      <c r="EO256" s="1117">
        <f t="shared" si="679"/>
        <v>0</v>
      </c>
      <c r="EP256" s="1117">
        <f t="shared" si="680"/>
        <v>0</v>
      </c>
      <c r="EQ256" s="1073"/>
      <c r="EU256" s="1116">
        <f t="shared" si="727"/>
        <v>0</v>
      </c>
      <c r="EV256" s="1117">
        <f t="shared" si="681"/>
        <v>0</v>
      </c>
      <c r="EW256" s="1117">
        <f t="shared" si="682"/>
        <v>0</v>
      </c>
      <c r="EX256" s="1117">
        <f t="shared" si="683"/>
        <v>0</v>
      </c>
      <c r="EY256" s="1073"/>
      <c r="FC256" s="1116">
        <f t="shared" si="728"/>
        <v>0</v>
      </c>
      <c r="FD256" s="1117">
        <f t="shared" si="684"/>
        <v>0</v>
      </c>
      <c r="FE256" s="1117">
        <f t="shared" si="685"/>
        <v>0</v>
      </c>
      <c r="FF256" s="1117">
        <f t="shared" si="686"/>
        <v>0</v>
      </c>
      <c r="FG256" s="1073"/>
      <c r="FK256" s="1116">
        <f t="shared" si="729"/>
        <v>0</v>
      </c>
      <c r="FL256" s="1117">
        <f t="shared" si="687"/>
        <v>0</v>
      </c>
      <c r="FM256" s="1117">
        <f t="shared" si="688"/>
        <v>0</v>
      </c>
      <c r="FN256" s="1117">
        <f t="shared" si="689"/>
        <v>0</v>
      </c>
      <c r="FO256" s="1073"/>
    </row>
    <row r="257" spans="1:171">
      <c r="A257" s="1345" t="s">
        <v>475</v>
      </c>
      <c r="B257" s="10"/>
      <c r="C257" s="914"/>
      <c r="D257" s="915"/>
      <c r="E257" s="915"/>
      <c r="F257" s="916"/>
      <c r="G257" s="923">
        <f>SUM(G241:G256)</f>
        <v>196011330</v>
      </c>
      <c r="H257" s="923">
        <f>SUM(H241:H256)</f>
        <v>68416991.049363852</v>
      </c>
      <c r="I257" s="923">
        <f>SUM(I241:I256)</f>
        <v>0</v>
      </c>
      <c r="J257" s="1431">
        <f>SUM(J241:J256)</f>
        <v>127594338.94920164</v>
      </c>
      <c r="K257" s="903"/>
      <c r="O257" s="1135">
        <f>SUM(O241:O256)</f>
        <v>196011330</v>
      </c>
      <c r="P257" s="1135">
        <f>SUM(P241:P256)</f>
        <v>68416991.049363852</v>
      </c>
      <c r="Q257" s="1135">
        <f>SUM(Q241:Q256)</f>
        <v>22386177.132549886</v>
      </c>
      <c r="R257" s="1135">
        <f>SUM(R241:R256)</f>
        <v>105208161.81808627</v>
      </c>
      <c r="S257" s="1073"/>
      <c r="W257" s="1135">
        <f>SUM(W241:W256)</f>
        <v>196011330</v>
      </c>
      <c r="X257" s="1135">
        <f>SUM(X241:X256)</f>
        <v>68416991.049363852</v>
      </c>
      <c r="Y257" s="1135">
        <f>SUM(Y241:Y256)</f>
        <v>22386177.132549886</v>
      </c>
      <c r="Z257" s="1135">
        <f>SUM(Z241:Z256)</f>
        <v>105208161.81808627</v>
      </c>
      <c r="AA257" s="1073"/>
      <c r="AE257" s="1135">
        <f>SUM(AE241:AE256)</f>
        <v>196011330</v>
      </c>
      <c r="AF257" s="1135">
        <f>SUM(AF241:AF256)</f>
        <v>68416991.049363852</v>
      </c>
      <c r="AG257" s="1135">
        <f>SUM(AG241:AG256)</f>
        <v>22386177.132549886</v>
      </c>
      <c r="AH257" s="1135">
        <f>SUM(AH241:AH256)</f>
        <v>105208161.81808627</v>
      </c>
      <c r="AI257" s="1073"/>
      <c r="AM257" s="1135">
        <f>SUM(AM241:AM256)</f>
        <v>196011330</v>
      </c>
      <c r="AN257" s="1135">
        <f>SUM(AN241:AN256)</f>
        <v>68416991.049363852</v>
      </c>
      <c r="AO257" s="1135">
        <f>SUM(AO241:AO256)</f>
        <v>22386177.132549886</v>
      </c>
      <c r="AP257" s="1135">
        <f>SUM(AP241:AP256)</f>
        <v>105208161.81808627</v>
      </c>
      <c r="AQ257" s="1073"/>
      <c r="AU257" s="1135">
        <f>SUM(AU241:AU256)</f>
        <v>196011330</v>
      </c>
      <c r="AV257" s="1135">
        <f>SUM(AV241:AV256)</f>
        <v>68416991.049363852</v>
      </c>
      <c r="AW257" s="1135">
        <f>SUM(AW241:AW256)</f>
        <v>22386177.132549886</v>
      </c>
      <c r="AX257" s="1135">
        <f>SUM(AX241:AX256)</f>
        <v>105208161.81808627</v>
      </c>
      <c r="AY257" s="1073"/>
      <c r="BC257" s="1135">
        <f>SUM(BC241:BC256)</f>
        <v>196011330</v>
      </c>
      <c r="BD257" s="1135">
        <f>SUM(BD241:BD256)</f>
        <v>68416991.049363852</v>
      </c>
      <c r="BE257" s="1135">
        <f>SUM(BE241:BE256)</f>
        <v>22386177.132549886</v>
      </c>
      <c r="BF257" s="1135">
        <f>SUM(BF241:BF256)</f>
        <v>105208161.81808627</v>
      </c>
      <c r="BG257" s="1073"/>
      <c r="BK257" s="1135">
        <f>SUM(BK241:BK256)</f>
        <v>196011330</v>
      </c>
      <c r="BL257" s="1135">
        <f>SUM(BL241:BL256)</f>
        <v>68416991.049363852</v>
      </c>
      <c r="BM257" s="1135">
        <f>SUM(BM241:BM256)</f>
        <v>22386177.132549886</v>
      </c>
      <c r="BN257" s="1135">
        <f>SUM(BN241:BN256)</f>
        <v>105208161.81808627</v>
      </c>
      <c r="BO257" s="1073"/>
      <c r="BS257" s="1135">
        <f>SUM(BS241:BS256)</f>
        <v>196011330</v>
      </c>
      <c r="BT257" s="1135">
        <f>SUM(BT241:BT256)</f>
        <v>68416991.049363852</v>
      </c>
      <c r="BU257" s="1135">
        <f>SUM(BU241:BU256)</f>
        <v>22386177.132549886</v>
      </c>
      <c r="BV257" s="1135">
        <f>SUM(BV241:BV256)</f>
        <v>105208161.81808627</v>
      </c>
      <c r="BW257" s="1073"/>
      <c r="CA257" s="1135">
        <f>SUM(CA241:CA256)</f>
        <v>196011330</v>
      </c>
      <c r="CB257" s="1135">
        <f>SUM(CB241:CB256)</f>
        <v>68416991.049363852</v>
      </c>
      <c r="CC257" s="1135">
        <f>SUM(CC241:CC256)</f>
        <v>22386177.132549886</v>
      </c>
      <c r="CD257" s="1135">
        <f>SUM(CD241:CD256)</f>
        <v>105208161.81808627</v>
      </c>
      <c r="CE257" s="1073"/>
      <c r="CI257" s="1135">
        <f>SUM(CI241:CI256)</f>
        <v>196011330</v>
      </c>
      <c r="CJ257" s="1135">
        <f>SUM(CJ241:CJ256)</f>
        <v>68416991.049363852</v>
      </c>
      <c r="CK257" s="1135">
        <f>SUM(CK241:CK256)</f>
        <v>22386177.132549886</v>
      </c>
      <c r="CL257" s="1135">
        <f>SUM(CL241:CL256)</f>
        <v>105208161.81808627</v>
      </c>
      <c r="CM257" s="1073"/>
      <c r="CQ257" s="1135">
        <f>SUM(CQ241:CQ256)</f>
        <v>196011330</v>
      </c>
      <c r="CR257" s="1135">
        <f>SUM(CR241:CR256)</f>
        <v>68416991.049363852</v>
      </c>
      <c r="CS257" s="1135">
        <f>SUM(CS241:CS256)</f>
        <v>22386177.132549886</v>
      </c>
      <c r="CT257" s="1135">
        <f>SUM(CT241:CT256)</f>
        <v>105208161.81808627</v>
      </c>
      <c r="CU257" s="1073"/>
      <c r="CY257" s="1135">
        <f>SUM(CY241:CY256)</f>
        <v>196011330</v>
      </c>
      <c r="CZ257" s="1135">
        <f>SUM(CZ241:CZ256)</f>
        <v>68416991.049363852</v>
      </c>
      <c r="DA257" s="1135">
        <f>SUM(DA241:DA256)</f>
        <v>22386177.132549886</v>
      </c>
      <c r="DB257" s="1135">
        <f>SUM(DB241:DB256)</f>
        <v>105208161.81808627</v>
      </c>
      <c r="DC257" s="1073"/>
      <c r="DG257" s="1135">
        <f>SUM(DG241:DG256)</f>
        <v>196011330</v>
      </c>
      <c r="DH257" s="1135">
        <f>SUM(DH241:DH256)</f>
        <v>68416991.049363852</v>
      </c>
      <c r="DI257" s="1135">
        <f>SUM(DI241:DI256)</f>
        <v>22386177.132549886</v>
      </c>
      <c r="DJ257" s="1135">
        <f>SUM(DJ241:DJ256)</f>
        <v>105208161.81808627</v>
      </c>
      <c r="DK257" s="1073"/>
      <c r="DO257" s="1135">
        <f>SUM(DO241:DO256)</f>
        <v>196011330</v>
      </c>
      <c r="DP257" s="1135">
        <f>SUM(DP241:DP256)</f>
        <v>68416991.049363852</v>
      </c>
      <c r="DQ257" s="1135">
        <f>SUM(DQ241:DQ256)</f>
        <v>22386177.132549886</v>
      </c>
      <c r="DR257" s="1135">
        <f>SUM(DR241:DR256)</f>
        <v>105208161.81808627</v>
      </c>
      <c r="DS257" s="1073"/>
      <c r="DW257" s="1135">
        <f>SUM(DW241:DW256)</f>
        <v>196011330</v>
      </c>
      <c r="DX257" s="1135">
        <f>SUM(DX241:DX256)</f>
        <v>68416991.049363852</v>
      </c>
      <c r="DY257" s="1135">
        <f>SUM(DY241:DY256)</f>
        <v>22386177.132549886</v>
      </c>
      <c r="DZ257" s="1135">
        <f>SUM(DZ241:DZ256)</f>
        <v>105208161.81808627</v>
      </c>
      <c r="EA257" s="1073"/>
      <c r="EE257" s="1135">
        <f>SUM(EE241:EE256)</f>
        <v>196011330</v>
      </c>
      <c r="EF257" s="1135">
        <f>SUM(EF241:EF256)</f>
        <v>68416991.049363852</v>
      </c>
      <c r="EG257" s="1135">
        <f>SUM(EG241:EG256)</f>
        <v>22386177.132549886</v>
      </c>
      <c r="EH257" s="1135">
        <f>SUM(EH241:EH256)</f>
        <v>105208161.81808627</v>
      </c>
      <c r="EI257" s="1073"/>
      <c r="EM257" s="1135">
        <f>SUM(EM241:EM256)</f>
        <v>196011330</v>
      </c>
      <c r="EN257" s="1135">
        <f>SUM(EN241:EN256)</f>
        <v>68416991.049363852</v>
      </c>
      <c r="EO257" s="1135">
        <f>SUM(EO241:EO256)</f>
        <v>22386177.132549886</v>
      </c>
      <c r="EP257" s="1135">
        <f>SUM(EP241:EP256)</f>
        <v>105208161.81808627</v>
      </c>
      <c r="EQ257" s="1073"/>
      <c r="EU257" s="1135">
        <f>SUM(EU241:EU256)</f>
        <v>196011330</v>
      </c>
      <c r="EV257" s="1135">
        <f>SUM(EV241:EV256)</f>
        <v>68416991.049363852</v>
      </c>
      <c r="EW257" s="1135">
        <f>SUM(EW241:EW256)</f>
        <v>22386177.132549886</v>
      </c>
      <c r="EX257" s="1135">
        <f>SUM(EX241:EX256)</f>
        <v>105208161.81808627</v>
      </c>
      <c r="EY257" s="1073"/>
      <c r="FC257" s="1135">
        <f>SUM(FC241:FC256)</f>
        <v>196011330</v>
      </c>
      <c r="FD257" s="1135">
        <f>SUM(FD241:FD256)</f>
        <v>68416991.049363852</v>
      </c>
      <c r="FE257" s="1135">
        <f>SUM(FE241:FE256)</f>
        <v>22386177.132549886</v>
      </c>
      <c r="FF257" s="1135">
        <f>SUM(FF241:FF256)</f>
        <v>105208161.81808627</v>
      </c>
      <c r="FG257" s="1073"/>
      <c r="FK257" s="1135">
        <f>SUM(FK241:FK256)</f>
        <v>196011330</v>
      </c>
      <c r="FL257" s="1135">
        <f>SUM(FL241:FL256)</f>
        <v>68416991.049363852</v>
      </c>
      <c r="FM257" s="1135">
        <f>SUM(FM241:FM256)</f>
        <v>22386177.132549886</v>
      </c>
      <c r="FN257" s="1135">
        <f>SUM(FN241:FN256)</f>
        <v>105208161.81808627</v>
      </c>
      <c r="FO257" s="1073"/>
    </row>
    <row r="258" spans="1:171">
      <c r="A258" s="1345"/>
      <c r="B258" s="10"/>
      <c r="C258" s="55"/>
      <c r="D258" s="196"/>
      <c r="E258" s="10"/>
      <c r="F258" s="10"/>
      <c r="G258" s="1016"/>
      <c r="H258" s="1017"/>
      <c r="I258" s="1017"/>
      <c r="J258" s="1477"/>
      <c r="K258" s="903"/>
      <c r="S258" s="1073"/>
      <c r="AA258" s="1073"/>
      <c r="AI258" s="1073"/>
      <c r="AQ258" s="1073"/>
      <c r="AY258" s="1073"/>
      <c r="BG258" s="1073"/>
      <c r="BO258" s="1073"/>
      <c r="BW258" s="1073"/>
      <c r="CE258" s="1073"/>
      <c r="CM258" s="1073"/>
      <c r="CU258" s="1073"/>
      <c r="DC258" s="1073"/>
      <c r="DK258" s="1073"/>
      <c r="DS258" s="1073"/>
      <c r="EA258" s="1073"/>
      <c r="EI258" s="1073"/>
      <c r="EQ258" s="1073"/>
      <c r="EY258" s="1073"/>
      <c r="FG258" s="1073"/>
      <c r="FO258" s="1073"/>
    </row>
    <row r="259" spans="1:171">
      <c r="A259" s="1374"/>
      <c r="B259" s="79"/>
      <c r="C259" s="79"/>
      <c r="D259" s="79"/>
      <c r="E259" s="79"/>
      <c r="F259" s="79"/>
      <c r="G259" s="1011"/>
      <c r="H259" s="1"/>
      <c r="I259" s="1"/>
      <c r="J259" s="1458"/>
      <c r="K259" s="903"/>
      <c r="S259" s="1073"/>
      <c r="AA259" s="1073"/>
      <c r="AI259" s="1073"/>
      <c r="AQ259" s="1073"/>
      <c r="AY259" s="1073"/>
      <c r="BG259" s="1073"/>
      <c r="BO259" s="1073"/>
      <c r="BW259" s="1073"/>
      <c r="CE259" s="1073"/>
      <c r="CM259" s="1073"/>
      <c r="CU259" s="1073"/>
      <c r="DC259" s="1073"/>
      <c r="DK259" s="1073"/>
      <c r="DS259" s="1073"/>
      <c r="EA259" s="1073"/>
      <c r="EI259" s="1073"/>
      <c r="EQ259" s="1073"/>
      <c r="EY259" s="1073"/>
      <c r="FG259" s="1073"/>
      <c r="FO259" s="1073"/>
    </row>
    <row r="260" spans="1:171">
      <c r="A260" s="1345" t="s">
        <v>50</v>
      </c>
      <c r="B260" s="64"/>
      <c r="C260" s="914"/>
      <c r="D260" s="915"/>
      <c r="E260" s="915"/>
      <c r="F260" s="916"/>
      <c r="G260" s="923">
        <f>G237+G257</f>
        <v>937273416.83000004</v>
      </c>
      <c r="H260" s="923">
        <f>H237+H257</f>
        <v>611677016.79410982</v>
      </c>
      <c r="I260" s="923">
        <f>I237+I257</f>
        <v>0</v>
      </c>
      <c r="J260" s="1431">
        <f>J237+J257</f>
        <v>325596400.03416735</v>
      </c>
      <c r="K260" s="903"/>
      <c r="O260" s="1136">
        <f>O237+O257</f>
        <v>937273416.83000004</v>
      </c>
      <c r="P260" s="1136">
        <f>P237+P257</f>
        <v>611677016.79410982</v>
      </c>
      <c r="Q260" s="1136">
        <f>Q237+Q257</f>
        <v>47412482.929716811</v>
      </c>
      <c r="R260" s="1136">
        <f>R237+R257</f>
        <v>278183917.10617346</v>
      </c>
      <c r="S260" s="1073"/>
      <c r="W260" s="1136">
        <f>W237+W257</f>
        <v>937273416.83000004</v>
      </c>
      <c r="X260" s="1136">
        <f>X237+X257</f>
        <v>611677016.79410982</v>
      </c>
      <c r="Y260" s="1136">
        <f>Y237+Y257</f>
        <v>47412482.929716811</v>
      </c>
      <c r="Z260" s="1136">
        <f>Z237+Z257</f>
        <v>278183917.10617346</v>
      </c>
      <c r="AA260" s="1073"/>
      <c r="AE260" s="1136">
        <f>AE237+AE257</f>
        <v>937273416.83000004</v>
      </c>
      <c r="AF260" s="1136">
        <f>AF237+AF257</f>
        <v>611677016.79410982</v>
      </c>
      <c r="AG260" s="1136">
        <f>AG237+AG257</f>
        <v>47412482.929716811</v>
      </c>
      <c r="AH260" s="1136">
        <f>AH237+AH257</f>
        <v>278183917.10617346</v>
      </c>
      <c r="AI260" s="1073"/>
      <c r="AM260" s="1136">
        <f>AM237+AM257</f>
        <v>937273416.83000004</v>
      </c>
      <c r="AN260" s="1136">
        <f>AN237+AN257</f>
        <v>611677016.79410982</v>
      </c>
      <c r="AO260" s="1136">
        <f>AO237+AO257</f>
        <v>47412482.929716811</v>
      </c>
      <c r="AP260" s="1136">
        <f>AP237+AP257</f>
        <v>278183917.10617346</v>
      </c>
      <c r="AQ260" s="1073"/>
      <c r="AU260" s="1136">
        <f>AU237+AU257</f>
        <v>937273416.83000004</v>
      </c>
      <c r="AV260" s="1136">
        <f>AV237+AV257</f>
        <v>611677016.79410982</v>
      </c>
      <c r="AW260" s="1136">
        <f>AW237+AW257</f>
        <v>47412482.929716811</v>
      </c>
      <c r="AX260" s="1136">
        <f>AX237+AX257</f>
        <v>278183917.10617346</v>
      </c>
      <c r="AY260" s="1073"/>
      <c r="BC260" s="1136">
        <f>BC237+BC257</f>
        <v>937273416.83000004</v>
      </c>
      <c r="BD260" s="1136">
        <f>BD237+BD257</f>
        <v>611677016.79410982</v>
      </c>
      <c r="BE260" s="1136">
        <f>BE237+BE257</f>
        <v>47412482.929716811</v>
      </c>
      <c r="BF260" s="1136">
        <f>BF237+BF257</f>
        <v>278183917.10617346</v>
      </c>
      <c r="BG260" s="1073"/>
      <c r="BK260" s="1136">
        <f>BK237+BK257</f>
        <v>937273416.83000004</v>
      </c>
      <c r="BL260" s="1136">
        <f>BL237+BL257</f>
        <v>611677016.79410982</v>
      </c>
      <c r="BM260" s="1136">
        <f>BM237+BM257</f>
        <v>47412482.929716811</v>
      </c>
      <c r="BN260" s="1136">
        <f>BN237+BN257</f>
        <v>278183917.10617346</v>
      </c>
      <c r="BO260" s="1073"/>
      <c r="BS260" s="1136">
        <f>BS237+BS257</f>
        <v>937273416.83000004</v>
      </c>
      <c r="BT260" s="1136">
        <f>BT237+BT257</f>
        <v>611677016.79410982</v>
      </c>
      <c r="BU260" s="1136">
        <f>BU237+BU257</f>
        <v>47412482.929716811</v>
      </c>
      <c r="BV260" s="1136">
        <f>BV237+BV257</f>
        <v>278183917.10617346</v>
      </c>
      <c r="BW260" s="1073"/>
      <c r="CA260" s="1136">
        <f>CA237+CA257</f>
        <v>937273416.83000004</v>
      </c>
      <c r="CB260" s="1136">
        <f>CB237+CB257</f>
        <v>611677016.79410982</v>
      </c>
      <c r="CC260" s="1136">
        <f>CC237+CC257</f>
        <v>47412482.929716811</v>
      </c>
      <c r="CD260" s="1136">
        <f>CD237+CD257</f>
        <v>278183917.10617346</v>
      </c>
      <c r="CE260" s="1073"/>
      <c r="CI260" s="1136">
        <f>CI237+CI257</f>
        <v>937273416.83000004</v>
      </c>
      <c r="CJ260" s="1136">
        <f>CJ237+CJ257</f>
        <v>611677016.79410982</v>
      </c>
      <c r="CK260" s="1136">
        <f>CK237+CK257</f>
        <v>47412482.929716811</v>
      </c>
      <c r="CL260" s="1136">
        <f>CL237+CL257</f>
        <v>278183917.10617346</v>
      </c>
      <c r="CM260" s="1073"/>
      <c r="CQ260" s="1136">
        <f>CQ237+CQ257</f>
        <v>937273416.83000004</v>
      </c>
      <c r="CR260" s="1136">
        <f>CR237+CR257</f>
        <v>611677016.79410982</v>
      </c>
      <c r="CS260" s="1136">
        <f>CS237+CS257</f>
        <v>47412482.929716811</v>
      </c>
      <c r="CT260" s="1136">
        <f>CT237+CT257</f>
        <v>278183917.10617346</v>
      </c>
      <c r="CU260" s="1073"/>
      <c r="CY260" s="1136">
        <f>CY237+CY257</f>
        <v>937273416.83000004</v>
      </c>
      <c r="CZ260" s="1136">
        <f>CZ237+CZ257</f>
        <v>611677016.79410982</v>
      </c>
      <c r="DA260" s="1136">
        <f>DA237+DA257</f>
        <v>47412482.929716811</v>
      </c>
      <c r="DB260" s="1136">
        <f>DB237+DB257</f>
        <v>278183917.10617346</v>
      </c>
      <c r="DC260" s="1073"/>
      <c r="DG260" s="1136">
        <f>DG237+DG257</f>
        <v>937273416.83000004</v>
      </c>
      <c r="DH260" s="1136">
        <f>DH237+DH257</f>
        <v>611677016.79410982</v>
      </c>
      <c r="DI260" s="1136">
        <f>DI237+DI257</f>
        <v>47412482.929716811</v>
      </c>
      <c r="DJ260" s="1136">
        <f>DJ237+DJ257</f>
        <v>278183917.10617346</v>
      </c>
      <c r="DK260" s="1073"/>
      <c r="DO260" s="1136">
        <f>DO237+DO257</f>
        <v>937273416.83000004</v>
      </c>
      <c r="DP260" s="1136">
        <f>DP237+DP257</f>
        <v>611677016.79410982</v>
      </c>
      <c r="DQ260" s="1136">
        <f>DQ237+DQ257</f>
        <v>47412482.929716811</v>
      </c>
      <c r="DR260" s="1136">
        <f>DR237+DR257</f>
        <v>278183917.10617346</v>
      </c>
      <c r="DS260" s="1073"/>
      <c r="DW260" s="1136">
        <f>DW237+DW257</f>
        <v>937273416.83000004</v>
      </c>
      <c r="DX260" s="1136">
        <f>DX237+DX257</f>
        <v>611677016.79410982</v>
      </c>
      <c r="DY260" s="1136">
        <f>DY237+DY257</f>
        <v>47412482.929716811</v>
      </c>
      <c r="DZ260" s="1136">
        <f>DZ237+DZ257</f>
        <v>278183917.10617346</v>
      </c>
      <c r="EA260" s="1073"/>
      <c r="EE260" s="1136">
        <f>EE237+EE257</f>
        <v>937273416.83000004</v>
      </c>
      <c r="EF260" s="1136">
        <f>EF237+EF257</f>
        <v>611677016.79410982</v>
      </c>
      <c r="EG260" s="1136">
        <f>EG237+EG257</f>
        <v>47412482.929716811</v>
      </c>
      <c r="EH260" s="1136">
        <f>EH237+EH257</f>
        <v>278183917.10617346</v>
      </c>
      <c r="EI260" s="1073"/>
      <c r="EM260" s="1136">
        <f>EM237+EM257</f>
        <v>937273416.83000004</v>
      </c>
      <c r="EN260" s="1136">
        <f>EN237+EN257</f>
        <v>611677016.79410982</v>
      </c>
      <c r="EO260" s="1136">
        <f>EO237+EO257</f>
        <v>47412482.929716811</v>
      </c>
      <c r="EP260" s="1136">
        <f>EP237+EP257</f>
        <v>278183917.10617346</v>
      </c>
      <c r="EQ260" s="1073"/>
      <c r="EU260" s="1136">
        <f>EU237+EU257</f>
        <v>937273416.83000004</v>
      </c>
      <c r="EV260" s="1136">
        <f>EV237+EV257</f>
        <v>611677016.79410982</v>
      </c>
      <c r="EW260" s="1136">
        <f>EW237+EW257</f>
        <v>47412482.929716811</v>
      </c>
      <c r="EX260" s="1136">
        <f>EX237+EX257</f>
        <v>278183917.10617346</v>
      </c>
      <c r="EY260" s="1073"/>
      <c r="FC260" s="1136">
        <f>FC237+FC257</f>
        <v>937273416.83000004</v>
      </c>
      <c r="FD260" s="1136">
        <f>FD237+FD257</f>
        <v>611677016.79410982</v>
      </c>
      <c r="FE260" s="1136">
        <f>FE237+FE257</f>
        <v>47412482.929716811</v>
      </c>
      <c r="FF260" s="1136">
        <f>FF237+FF257</f>
        <v>278183917.10617346</v>
      </c>
      <c r="FG260" s="1073"/>
      <c r="FK260" s="1136">
        <f>FK237+FK257</f>
        <v>937273416.83000004</v>
      </c>
      <c r="FL260" s="1136">
        <f>FL237+FL257</f>
        <v>611677016.79410982</v>
      </c>
      <c r="FM260" s="1136">
        <f>FM237+FM257</f>
        <v>47412482.929716811</v>
      </c>
      <c r="FN260" s="1136">
        <f>FN237+FN257</f>
        <v>278183917.10617346</v>
      </c>
      <c r="FO260" s="1073"/>
    </row>
    <row r="261" spans="1:171" ht="16.5" thickBot="1">
      <c r="A261" s="1360"/>
      <c r="B261" s="931"/>
      <c r="C261" s="932"/>
      <c r="D261" s="932"/>
      <c r="E261" s="932"/>
      <c r="F261" s="932"/>
      <c r="G261" s="1001"/>
      <c r="H261" s="1002"/>
      <c r="I261" s="1002"/>
      <c r="J261" s="1435"/>
      <c r="K261" s="903"/>
      <c r="S261" s="1073"/>
      <c r="AA261" s="1073"/>
      <c r="AI261" s="1073"/>
      <c r="AQ261" s="1073"/>
      <c r="AY261" s="1073"/>
      <c r="BG261" s="1073"/>
      <c r="BO261" s="1073"/>
      <c r="BW261" s="1073"/>
      <c r="CE261" s="1073"/>
      <c r="CM261" s="1073"/>
      <c r="CU261" s="1073"/>
      <c r="DC261" s="1073"/>
      <c r="DK261" s="1073"/>
      <c r="DS261" s="1073"/>
      <c r="EA261" s="1073"/>
      <c r="EI261" s="1073"/>
      <c r="EQ261" s="1073"/>
      <c r="EY261" s="1073"/>
      <c r="FG261" s="1073"/>
      <c r="FO261" s="1073"/>
    </row>
    <row r="262" spans="1:171" ht="16.5" thickTop="1">
      <c r="A262" s="1457"/>
      <c r="B262" s="1"/>
      <c r="C262" s="1"/>
      <c r="D262" s="1"/>
      <c r="E262" s="1"/>
      <c r="F262" s="1"/>
      <c r="G262" s="1011"/>
      <c r="H262" s="1011"/>
      <c r="I262" s="1011"/>
      <c r="J262" s="1478"/>
      <c r="K262" s="903"/>
      <c r="S262" s="1073"/>
      <c r="AA262" s="1073"/>
      <c r="AI262" s="1073"/>
      <c r="AQ262" s="1073"/>
      <c r="AY262" s="1073"/>
      <c r="BG262" s="1073"/>
      <c r="BO262" s="1073"/>
      <c r="BW262" s="1073"/>
      <c r="CE262" s="1073"/>
      <c r="CM262" s="1073"/>
      <c r="CU262" s="1073"/>
      <c r="DC262" s="1073"/>
      <c r="DK262" s="1073"/>
      <c r="DS262" s="1073"/>
      <c r="EA262" s="1073"/>
      <c r="EI262" s="1073"/>
      <c r="EQ262" s="1073"/>
      <c r="EY262" s="1073"/>
      <c r="FG262" s="1073"/>
      <c r="FO262" s="1073"/>
    </row>
    <row r="263" spans="1:171" ht="16.5" thickBot="1">
      <c r="A263" s="1479" t="s">
        <v>148</v>
      </c>
      <c r="B263" s="1019"/>
      <c r="C263" s="1019"/>
      <c r="D263" s="1019"/>
      <c r="E263" s="147"/>
      <c r="F263" s="4"/>
      <c r="G263" s="1020"/>
      <c r="H263" s="1020"/>
      <c r="I263" s="1021"/>
      <c r="J263" s="1480"/>
      <c r="K263" s="903"/>
      <c r="S263" s="1073"/>
      <c r="AA263" s="1073"/>
      <c r="AI263" s="1073"/>
      <c r="AQ263" s="1073"/>
      <c r="AY263" s="1073"/>
      <c r="BG263" s="1073"/>
      <c r="BO263" s="1073"/>
      <c r="BW263" s="1073"/>
      <c r="CE263" s="1073"/>
      <c r="CM263" s="1073"/>
      <c r="CU263" s="1073"/>
      <c r="DC263" s="1073"/>
      <c r="DK263" s="1073"/>
      <c r="DS263" s="1073"/>
      <c r="EA263" s="1073"/>
      <c r="EI263" s="1073"/>
      <c r="EQ263" s="1073"/>
      <c r="EY263" s="1073"/>
      <c r="FG263" s="1073"/>
      <c r="FO263" s="1073"/>
    </row>
    <row r="264" spans="1:171" ht="17.25" thickTop="1" thickBot="1">
      <c r="A264" s="1463"/>
      <c r="B264" s="2382" t="s">
        <v>100</v>
      </c>
      <c r="C264" s="325" t="s">
        <v>323</v>
      </c>
      <c r="D264" s="325"/>
      <c r="E264" s="2490" t="s">
        <v>354</v>
      </c>
      <c r="F264" s="2481"/>
      <c r="G264" s="2482" t="s">
        <v>104</v>
      </c>
      <c r="H264" s="2484" t="s">
        <v>105</v>
      </c>
      <c r="I264" s="2460" t="s">
        <v>106</v>
      </c>
      <c r="J264" s="1464"/>
      <c r="K264" s="903"/>
      <c r="S264" s="1073"/>
      <c r="AA264" s="1073"/>
      <c r="AI264" s="1073"/>
      <c r="AQ264" s="1073"/>
      <c r="AY264" s="1073"/>
      <c r="BG264" s="1073"/>
      <c r="BO264" s="1073"/>
      <c r="BW264" s="1073"/>
      <c r="CE264" s="1073"/>
      <c r="CM264" s="1073"/>
      <c r="CU264" s="1073"/>
      <c r="DC264" s="1073"/>
      <c r="DK264" s="1073"/>
      <c r="DS264" s="1073"/>
      <c r="EA264" s="1073"/>
      <c r="EI264" s="1073"/>
      <c r="EQ264" s="1073"/>
      <c r="EY264" s="1073"/>
      <c r="FG264" s="1073"/>
      <c r="FO264" s="1073"/>
    </row>
    <row r="265" spans="1:171" ht="16.5" thickBot="1">
      <c r="A265" s="1340"/>
      <c r="B265" s="2463"/>
      <c r="C265" s="322" t="s">
        <v>272</v>
      </c>
      <c r="D265" s="322" t="s">
        <v>96</v>
      </c>
      <c r="E265" s="2467"/>
      <c r="F265" s="2468"/>
      <c r="G265" s="2470"/>
      <c r="H265" s="2473"/>
      <c r="I265" s="2461"/>
      <c r="J265" s="1341" t="s">
        <v>98</v>
      </c>
      <c r="K265" s="903"/>
      <c r="S265" s="1073"/>
      <c r="AA265" s="1073"/>
      <c r="AI265" s="1073"/>
      <c r="AQ265" s="1073"/>
      <c r="AY265" s="1073"/>
      <c r="BG265" s="1073"/>
      <c r="BO265" s="1073"/>
      <c r="BW265" s="1073"/>
      <c r="CE265" s="1073"/>
      <c r="CM265" s="1073"/>
      <c r="CU265" s="1073"/>
      <c r="DC265" s="1073"/>
      <c r="DK265" s="1073"/>
      <c r="DS265" s="1073"/>
      <c r="EA265" s="1073"/>
      <c r="EI265" s="1073"/>
      <c r="EQ265" s="1073"/>
      <c r="EY265" s="1073"/>
      <c r="FG265" s="1073"/>
      <c r="FO265" s="1073"/>
    </row>
    <row r="266" spans="1:171" ht="16.5" thickBot="1">
      <c r="A266" s="1465"/>
      <c r="B266" s="2464"/>
      <c r="C266" s="311" t="s">
        <v>273</v>
      </c>
      <c r="D266" s="311" t="s">
        <v>252</v>
      </c>
      <c r="E266" s="311" t="s">
        <v>454</v>
      </c>
      <c r="F266" s="311" t="s">
        <v>623</v>
      </c>
      <c r="G266" s="2471"/>
      <c r="H266" s="2474"/>
      <c r="I266" s="2476"/>
      <c r="J266" s="1466" t="s">
        <v>107</v>
      </c>
      <c r="K266" s="903"/>
      <c r="S266" s="1073"/>
      <c r="AA266" s="1073"/>
      <c r="AI266" s="1073"/>
      <c r="AQ266" s="1073"/>
      <c r="AY266" s="1073"/>
      <c r="BG266" s="1073"/>
      <c r="BO266" s="1073"/>
      <c r="BW266" s="1073"/>
      <c r="CE266" s="1073"/>
      <c r="CM266" s="1073"/>
      <c r="CU266" s="1073"/>
      <c r="DC266" s="1073"/>
      <c r="DK266" s="1073"/>
      <c r="DS266" s="1073"/>
      <c r="EA266" s="1073"/>
      <c r="EI266" s="1073"/>
      <c r="EQ266" s="1073"/>
      <c r="EY266" s="1073"/>
      <c r="FG266" s="1073"/>
      <c r="FO266" s="1073"/>
    </row>
    <row r="267" spans="1:171" ht="16.5" thickTop="1">
      <c r="A267" s="1342" t="s">
        <v>149</v>
      </c>
      <c r="B267" s="79"/>
      <c r="C267" s="150"/>
      <c r="D267" s="195"/>
      <c r="E267" s="196"/>
      <c r="F267" s="196"/>
      <c r="G267" s="197"/>
      <c r="H267" s="198"/>
      <c r="I267" s="198"/>
      <c r="J267" s="1429"/>
      <c r="K267" s="903"/>
      <c r="S267" s="1073"/>
      <c r="AA267" s="1073"/>
      <c r="AI267" s="1073"/>
      <c r="AQ267" s="1073"/>
      <c r="AY267" s="1073"/>
      <c r="BG267" s="1073"/>
      <c r="BO267" s="1073"/>
      <c r="BW267" s="1073"/>
      <c r="CE267" s="1073"/>
      <c r="CM267" s="1073"/>
      <c r="CU267" s="1073"/>
      <c r="DC267" s="1073"/>
      <c r="DK267" s="1073"/>
      <c r="DS267" s="1073"/>
      <c r="EA267" s="1073"/>
      <c r="EI267" s="1073"/>
      <c r="EQ267" s="1073"/>
      <c r="EY267" s="1073"/>
      <c r="FG267" s="1073"/>
      <c r="FO267" s="1073"/>
    </row>
    <row r="268" spans="1:171">
      <c r="A268" s="1374"/>
      <c r="B268" s="63" t="s">
        <v>35</v>
      </c>
      <c r="C268" s="1022">
        <v>262</v>
      </c>
      <c r="D268" s="1023">
        <v>409.1</v>
      </c>
      <c r="E268" s="182" t="str">
        <f>'Sch 3A - Taxes'!E16</f>
        <v>DIST</v>
      </c>
      <c r="F268" s="889"/>
      <c r="G268" s="182">
        <f>'Sch 3A - Taxes'!F16</f>
        <v>-2240752</v>
      </c>
      <c r="H268" s="182">
        <f>'Sch 3A - Taxes'!G16</f>
        <v>0</v>
      </c>
      <c r="I268" s="182">
        <f>'Sch 3A - Taxes'!H16</f>
        <v>0</v>
      </c>
      <c r="J268" s="1424">
        <f>'Sch 3A - Taxes'!I16</f>
        <v>-2240752</v>
      </c>
      <c r="K268" s="903">
        <f>IF($E268="DIRECT",0,1)</f>
        <v>1</v>
      </c>
      <c r="O268" s="1116">
        <f>$G268</f>
        <v>-2240752</v>
      </c>
      <c r="P268" s="1117">
        <f>VLOOKUP($E268,O$442:R$453,2,FALSE)*O268*($K268)+IF($G268&lt;&gt;0,($H268/$G268)*O268,0)*(1-$K268)</f>
        <v>0</v>
      </c>
      <c r="Q268" s="1117">
        <f>VLOOKUP($E268,O$442:R$453,3,FALSE)*O268*($K268)+IF($G268&lt;&gt;0,($I268/$G268)*O268,0)*(1-$K268)</f>
        <v>0</v>
      </c>
      <c r="R268" s="1117">
        <f>VLOOKUP($E268,O$442:R$453,4,FALSE)*O268*($K268)+(O268-P268-Q268)*(1-$K268)</f>
        <v>-2240752</v>
      </c>
      <c r="S268" s="1073"/>
      <c r="W268" s="1116">
        <f>$G268</f>
        <v>-2240752</v>
      </c>
      <c r="X268" s="1117">
        <f>VLOOKUP($E268,W$442:Z$453,2,FALSE)*W268*($K268)+IF($G268&lt;&gt;0,($H268/$G268)*W268,0)*(1-$K268)</f>
        <v>0</v>
      </c>
      <c r="Y268" s="1117">
        <f>VLOOKUP($E268,W$442:Z$453,3,FALSE)*W268*($K268)+IF($G268&lt;&gt;0,($I268/$G268)*W268,0)*(1-$K268)</f>
        <v>0</v>
      </c>
      <c r="Z268" s="1117">
        <f>VLOOKUP($E268,W$442:Z$453,4,FALSE)*W268*($K268)+(W268-X268-Y268)*(1-$K268)</f>
        <v>-2240752</v>
      </c>
      <c r="AA268" s="1073"/>
      <c r="AE268" s="1116">
        <f>$G268</f>
        <v>-2240752</v>
      </c>
      <c r="AF268" s="1117">
        <f>VLOOKUP($E268,AE$442:AH$453,2,FALSE)*AE268*($K268)+IF($G268&lt;&gt;0,($H268/$G268)*AE268,0)*(1-$K268)</f>
        <v>0</v>
      </c>
      <c r="AG268" s="1117">
        <f>VLOOKUP($E268,AE$442:AH$453,3,FALSE)*AE268*($K268)+IF($G268&lt;&gt;0,($I268/$G268)*AE268,0)*(1-$K268)</f>
        <v>0</v>
      </c>
      <c r="AH268" s="1117">
        <f>VLOOKUP($E268,AE$442:AH$453,4,FALSE)*AE268*($K268)+(AE268-AF268-AG268)*(1-$K268)</f>
        <v>-2240752</v>
      </c>
      <c r="AI268" s="1073"/>
      <c r="AM268" s="1116">
        <f>$G268</f>
        <v>-2240752</v>
      </c>
      <c r="AN268" s="1117">
        <f>VLOOKUP($E268,AM$442:AP$453,2,FALSE)*AM268*($K268)+IF($G268&lt;&gt;0,($H268/$G268)*AM268,0)*(1-$K268)</f>
        <v>0</v>
      </c>
      <c r="AO268" s="1117">
        <f>VLOOKUP($E268,AM$442:AP$453,3,FALSE)*AM268*($K268)+IF($G268&lt;&gt;0,($I268/$G268)*AM268,0)*(1-$K268)</f>
        <v>0</v>
      </c>
      <c r="AP268" s="1117">
        <f>VLOOKUP($E268,AM$442:AP$453,4,FALSE)*AM268*($K268)+(AM268-AN268-AO268)*(1-$K268)</f>
        <v>-2240752</v>
      </c>
      <c r="AQ268" s="1073"/>
      <c r="AU268" s="1116">
        <f>$G268</f>
        <v>-2240752</v>
      </c>
      <c r="AV268" s="1117">
        <f>VLOOKUP($E268,AU$442:AX$453,2,FALSE)*AU268*($K268)+IF($G268&lt;&gt;0,($H268/$G268)*AU268,0)*(1-$K268)</f>
        <v>0</v>
      </c>
      <c r="AW268" s="1117">
        <f>VLOOKUP($E268,AU$442:AX$453,3,FALSE)*AU268*($K268)+IF($G268&lt;&gt;0,($I268/$G268)*AU268,0)*(1-$K268)</f>
        <v>0</v>
      </c>
      <c r="AX268" s="1117">
        <f>VLOOKUP($E268,AU$442:AX$453,4,FALSE)*AU268*($K268)+(AU268-AV268-AW268)*(1-$K268)</f>
        <v>-2240752</v>
      </c>
      <c r="AY268" s="1073"/>
      <c r="BC268" s="1116">
        <f>$G268</f>
        <v>-2240752</v>
      </c>
      <c r="BD268" s="1117">
        <f>VLOOKUP($E268,BC$442:BF$453,2,FALSE)*BC268*($K268)+IF($G268&lt;&gt;0,($H268/$G268)*BC268,0)*(1-$K268)</f>
        <v>0</v>
      </c>
      <c r="BE268" s="1117">
        <f>VLOOKUP($E268,BC$442:BF$453,3,FALSE)*BC268*($K268)+IF($G268&lt;&gt;0,($I268/$G268)*BC268,0)*(1-$K268)</f>
        <v>0</v>
      </c>
      <c r="BF268" s="1117">
        <f>VLOOKUP($E268,BC$442:BF$453,4,FALSE)*BC268*($K268)+(BC268-BD268-BE268)*(1-$K268)</f>
        <v>-2240752</v>
      </c>
      <c r="BG268" s="1073"/>
      <c r="BK268" s="1116">
        <f>$G268</f>
        <v>-2240752</v>
      </c>
      <c r="BL268" s="1117">
        <f>VLOOKUP($E268,BK$442:BN$453,2,FALSE)*BK268*($K268)+IF($G268&lt;&gt;0,($H268/$G268)*BK268,0)*(1-$K268)</f>
        <v>0</v>
      </c>
      <c r="BM268" s="1117">
        <f>VLOOKUP($E268,BK$442:BN$453,3,FALSE)*BK268*($K268)+IF($G268&lt;&gt;0,($I268/$G268)*BK268,0)*(1-$K268)</f>
        <v>0</v>
      </c>
      <c r="BN268" s="1117">
        <f>VLOOKUP($E268,BK$442:BN$453,4,FALSE)*BK268*($K268)+(BK268-BL268-BM268)*(1-$K268)</f>
        <v>-2240752</v>
      </c>
      <c r="BO268" s="1073"/>
      <c r="BS268" s="1116">
        <f>$G268</f>
        <v>-2240752</v>
      </c>
      <c r="BT268" s="1117">
        <f>VLOOKUP($E268,BS$442:BV$453,2,FALSE)*BS268*($K268)+IF($G268&lt;&gt;0,($H268/$G268)*BS268,0)*(1-$K268)</f>
        <v>0</v>
      </c>
      <c r="BU268" s="1117">
        <f>VLOOKUP($E268,BS$442:BV$453,3,FALSE)*BS268*($K268)+IF($G268&lt;&gt;0,($I268/$G268)*BS268,0)*(1-$K268)</f>
        <v>0</v>
      </c>
      <c r="BV268" s="1117">
        <f>VLOOKUP($E268,BS$442:BV$453,4,FALSE)*BS268*($K268)+(BS268-BT268-BU268)*(1-$K268)</f>
        <v>-2240752</v>
      </c>
      <c r="BW268" s="1073"/>
      <c r="CA268" s="1116">
        <f>$G268</f>
        <v>-2240752</v>
      </c>
      <c r="CB268" s="1117">
        <f>VLOOKUP($E268,CA$442:CD$453,2,FALSE)*CA268*($K268)+IF($G268&lt;&gt;0,($H268/$G268)*CA268,0)*(1-$K268)</f>
        <v>0</v>
      </c>
      <c r="CC268" s="1117">
        <f>VLOOKUP($E268,CA$442:CD$453,3,FALSE)*CA268*($K268)+IF($G268&lt;&gt;0,($I268/$G268)*CA268,0)*(1-$K268)</f>
        <v>0</v>
      </c>
      <c r="CD268" s="1117">
        <f>VLOOKUP($E268,CA$442:CD$453,4,FALSE)*CA268*($K268)+(CA268-CB268-CC268)*(1-$K268)</f>
        <v>-2240752</v>
      </c>
      <c r="CE268" s="1073"/>
      <c r="CI268" s="1116">
        <f>$G268</f>
        <v>-2240752</v>
      </c>
      <c r="CJ268" s="1117">
        <f>VLOOKUP($E268,CI$442:CL$453,2,FALSE)*CI268*($K268)+IF($G268&lt;&gt;0,($H268/$G268)*CI268,0)*(1-$K268)</f>
        <v>0</v>
      </c>
      <c r="CK268" s="1117">
        <f>VLOOKUP($E268,CI$442:CL$453,3,FALSE)*CI268*($K268)+IF($G268&lt;&gt;0,($I268/$G268)*CI268,0)*(1-$K268)</f>
        <v>0</v>
      </c>
      <c r="CL268" s="1117">
        <f>VLOOKUP($E268,CI$442:CL$453,4,FALSE)*CI268*($K268)+(CI268-CJ268-CK268)*(1-$K268)</f>
        <v>-2240752</v>
      </c>
      <c r="CM268" s="1073"/>
      <c r="CQ268" s="1116">
        <f>$G268</f>
        <v>-2240752</v>
      </c>
      <c r="CR268" s="1117">
        <f>VLOOKUP($E268,CQ$442:CT$453,2,FALSE)*CQ268*($K268)+IF($G268&lt;&gt;0,($H268/$G268)*CQ268,0)*(1-$K268)</f>
        <v>0</v>
      </c>
      <c r="CS268" s="1117">
        <f>VLOOKUP($E268,CQ$442:CT$453,3,FALSE)*CQ268*($K268)+IF($G268&lt;&gt;0,($I268/$G268)*CQ268,0)*(1-$K268)</f>
        <v>0</v>
      </c>
      <c r="CT268" s="1117">
        <f>VLOOKUP($E268,CQ$442:CT$453,4,FALSE)*CQ268*($K268)+(CQ268-CR268-CS268)*(1-$K268)</f>
        <v>-2240752</v>
      </c>
      <c r="CU268" s="1073"/>
      <c r="CY268" s="1116">
        <f>$G268</f>
        <v>-2240752</v>
      </c>
      <c r="CZ268" s="1117">
        <f>VLOOKUP($E268,CY$442:DB$453,2,FALSE)*CY268*($K268)+IF($G268&lt;&gt;0,($H268/$G268)*CY268,0)*(1-$K268)</f>
        <v>0</v>
      </c>
      <c r="DA268" s="1117">
        <f>VLOOKUP($E268,CY$442:DB$453,3,FALSE)*CY268*($K268)+IF($G268&lt;&gt;0,($I268/$G268)*CY268,0)*(1-$K268)</f>
        <v>0</v>
      </c>
      <c r="DB268" s="1117">
        <f>VLOOKUP($E268,CY$442:DB$453,4,FALSE)*CY268*($K268)+(CY268-CZ268-DA268)*(1-$K268)</f>
        <v>-2240752</v>
      </c>
      <c r="DC268" s="1073"/>
      <c r="DG268" s="1116">
        <f>$G268</f>
        <v>-2240752</v>
      </c>
      <c r="DH268" s="1117">
        <f>VLOOKUP($E268,DG$442:DJ$453,2,FALSE)*DG268*($K268)+IF($G268&lt;&gt;0,($H268/$G268)*DG268,0)*(1-$K268)</f>
        <v>0</v>
      </c>
      <c r="DI268" s="1117">
        <f>VLOOKUP($E268,DG$442:DJ$453,3,FALSE)*DG268*($K268)+IF($G268&lt;&gt;0,($I268/$G268)*DG268,0)*(1-$K268)</f>
        <v>0</v>
      </c>
      <c r="DJ268" s="1117">
        <f>VLOOKUP($E268,DG$442:DJ$453,4,FALSE)*DG268*($K268)+(DG268-DH268-DI268)*(1-$K268)</f>
        <v>-2240752</v>
      </c>
      <c r="DK268" s="1073"/>
      <c r="DO268" s="1116">
        <f>$G268</f>
        <v>-2240752</v>
      </c>
      <c r="DP268" s="1117">
        <f>VLOOKUP($E268,DO$442:DR$453,2,FALSE)*DO268*($K268)+IF($G268&lt;&gt;0,($H268/$G268)*DO268,0)*(1-$K268)</f>
        <v>0</v>
      </c>
      <c r="DQ268" s="1117">
        <f>VLOOKUP($E268,DO$442:DR$453,3,FALSE)*DO268*($K268)+IF($G268&lt;&gt;0,($I268/$G268)*DO268,0)*(1-$K268)</f>
        <v>0</v>
      </c>
      <c r="DR268" s="1117">
        <f>VLOOKUP($E268,DO$442:DR$453,4,FALSE)*DO268*($K268)+(DO268-DP268-DQ268)*(1-$K268)</f>
        <v>-2240752</v>
      </c>
      <c r="DS268" s="1073"/>
      <c r="DW268" s="1116">
        <f>$G268</f>
        <v>-2240752</v>
      </c>
      <c r="DX268" s="1117">
        <f>VLOOKUP($E268,DW$442:DZ$453,2,FALSE)*DW268*($K268)+IF($G268&lt;&gt;0,($H268/$G268)*DW268,0)*(1-$K268)</f>
        <v>0</v>
      </c>
      <c r="DY268" s="1117">
        <f>VLOOKUP($E268,DW$442:DZ$453,3,FALSE)*DW268*($K268)+IF($G268&lt;&gt;0,($I268/$G268)*DW268,0)*(1-$K268)</f>
        <v>0</v>
      </c>
      <c r="DZ268" s="1117">
        <f>VLOOKUP($E268,DW$442:DZ$453,4,FALSE)*DW268*($K268)+(DW268-DX268-DY268)*(1-$K268)</f>
        <v>-2240752</v>
      </c>
      <c r="EA268" s="1073"/>
      <c r="EE268" s="1116">
        <f>$G268</f>
        <v>-2240752</v>
      </c>
      <c r="EF268" s="1117">
        <f>VLOOKUP($E268,EE$442:EH$453,2,FALSE)*EE268*($K268)+IF($G268&lt;&gt;0,($H268/$G268)*EE268,0)*(1-$K268)</f>
        <v>0</v>
      </c>
      <c r="EG268" s="1117">
        <f>VLOOKUP($E268,EE$442:EH$453,3,FALSE)*EE268*($K268)+IF($G268&lt;&gt;0,($I268/$G268)*EE268,0)*(1-$K268)</f>
        <v>0</v>
      </c>
      <c r="EH268" s="1117">
        <f>VLOOKUP($E268,EE$442:EH$453,4,FALSE)*EE268*($K268)+(EE268-EF268-EG268)*(1-$K268)</f>
        <v>-2240752</v>
      </c>
      <c r="EI268" s="1073"/>
      <c r="EM268" s="1116">
        <f>$G268</f>
        <v>-2240752</v>
      </c>
      <c r="EN268" s="1117">
        <f>VLOOKUP($E268,EM$442:EP$453,2,FALSE)*EM268*($K268)+IF($G268&lt;&gt;0,($H268/$G268)*EM268,0)*(1-$K268)</f>
        <v>0</v>
      </c>
      <c r="EO268" s="1117">
        <f>VLOOKUP($E268,EM$442:EP$453,3,FALSE)*EM268*($K268)+IF($G268&lt;&gt;0,($I268/$G268)*EM268,0)*(1-$K268)</f>
        <v>0</v>
      </c>
      <c r="EP268" s="1117">
        <f>VLOOKUP($E268,EM$442:EP$453,4,FALSE)*EM268*($K268)+(EM268-EN268-EO268)*(1-$K268)</f>
        <v>-2240752</v>
      </c>
      <c r="EQ268" s="1073"/>
      <c r="EU268" s="1116">
        <f>$G268</f>
        <v>-2240752</v>
      </c>
      <c r="EV268" s="1117">
        <f>VLOOKUP($E268,EU$442:EX$453,2,FALSE)*EU268*($K268)+IF($G268&lt;&gt;0,($H268/$G268)*EU268,0)*(1-$K268)</f>
        <v>0</v>
      </c>
      <c r="EW268" s="1117">
        <f>VLOOKUP($E268,EU$442:EX$453,3,FALSE)*EU268*($K268)+IF($G268&lt;&gt;0,($I268/$G268)*EU268,0)*(1-$K268)</f>
        <v>0</v>
      </c>
      <c r="EX268" s="1117">
        <f>VLOOKUP($E268,EU$442:EX$453,4,FALSE)*EU268*($K268)+(EU268-EV268-EW268)*(1-$K268)</f>
        <v>-2240752</v>
      </c>
      <c r="EY268" s="1073"/>
      <c r="FC268" s="1116">
        <f>$G268</f>
        <v>-2240752</v>
      </c>
      <c r="FD268" s="1117">
        <f>VLOOKUP($E268,FC$442:FF$453,2,FALSE)*FC268*($K268)+IF($G268&lt;&gt;0,($H268/$G268)*FC268,0)*(1-$K268)</f>
        <v>0</v>
      </c>
      <c r="FE268" s="1117">
        <f>VLOOKUP($E268,FC$442:FF$453,3,FALSE)*FC268*($K268)+IF($G268&lt;&gt;0,($I268/$G268)*FC268,0)*(1-$K268)</f>
        <v>0</v>
      </c>
      <c r="FF268" s="1117">
        <f>VLOOKUP($E268,FC$442:FF$453,4,FALSE)*FC268*($K268)+(FC268-FD268-FE268)*(1-$K268)</f>
        <v>-2240752</v>
      </c>
      <c r="FG268" s="1073"/>
      <c r="FK268" s="1116">
        <f>$G268</f>
        <v>-2240752</v>
      </c>
      <c r="FL268" s="1117">
        <f>VLOOKUP($E268,FK$442:FN$453,2,FALSE)*FK268*($K268)+IF($G268&lt;&gt;0,($H268/$G268)*FK268,0)*(1-$K268)</f>
        <v>0</v>
      </c>
      <c r="FM268" s="1117">
        <f>VLOOKUP($E268,FK$442:FN$453,3,FALSE)*FK268*($K268)+IF($G268&lt;&gt;0,($I268/$G268)*FK268,0)*(1-$K268)</f>
        <v>0</v>
      </c>
      <c r="FN268" s="1117">
        <f>VLOOKUP($E268,FK$442:FN$453,4,FALSE)*FK268*($K268)+(FK268-FL268-FM268)*(1-$K268)</f>
        <v>-2240752</v>
      </c>
      <c r="FO268" s="1073"/>
    </row>
    <row r="269" spans="1:171">
      <c r="A269" s="1374"/>
      <c r="B269" s="63" t="s">
        <v>150</v>
      </c>
      <c r="C269" s="1022">
        <v>262</v>
      </c>
      <c r="D269" s="1023">
        <v>408.1</v>
      </c>
      <c r="E269" s="182" t="str">
        <f>'Sch 3A - Taxes'!E17</f>
        <v>LABOR</v>
      </c>
      <c r="F269" s="889"/>
      <c r="G269" s="182">
        <f>'Sch 3A - Taxes'!F17</f>
        <v>17254667</v>
      </c>
      <c r="H269" s="182">
        <f>'Sch 3A - Taxes'!G17</f>
        <v>6316427.0349811129</v>
      </c>
      <c r="I269" s="182">
        <f>'Sch 3A - Taxes'!H17</f>
        <v>0</v>
      </c>
      <c r="J269" s="1424">
        <f>'Sch 3A - Taxes'!I17</f>
        <v>10938239.965018887</v>
      </c>
      <c r="K269" s="903">
        <f>IF($E269="DIRECT",0,1)</f>
        <v>1</v>
      </c>
      <c r="O269" s="1116">
        <f>$G269</f>
        <v>17254667</v>
      </c>
      <c r="P269" s="1117">
        <f>VLOOKUP($E269,O$442:R$453,2,FALSE)*O269*($K269)+IF($G269&lt;&gt;0,($H269/$G269)*O269,0)*(1-$K269)</f>
        <v>6316427.0349811129</v>
      </c>
      <c r="Q269" s="1117">
        <f>VLOOKUP($E269,O$442:R$453,3,FALSE)*O269*($K269)+IF($G269&lt;&gt;0,($I269/$G269)*O269,0)*(1-$K269)</f>
        <v>1323662.2331090909</v>
      </c>
      <c r="R269" s="1117">
        <f>VLOOKUP($E269,O$442:R$453,4,FALSE)*O269*($K269)+(O269-P269-Q269)*(1-$K269)</f>
        <v>9614577.7319097947</v>
      </c>
      <c r="S269" s="1073"/>
      <c r="W269" s="1116">
        <f>$G269</f>
        <v>17254667</v>
      </c>
      <c r="X269" s="1117">
        <f>VLOOKUP($E269,W$442:Z$453,2,FALSE)*W269*($K269)+IF($G269&lt;&gt;0,($H269/$G269)*W269,0)*(1-$K269)</f>
        <v>6316427.0349811129</v>
      </c>
      <c r="Y269" s="1117">
        <f>VLOOKUP($E269,W$442:Z$453,3,FALSE)*W269*($K269)+IF($G269&lt;&gt;0,($I269/$G269)*W269,0)*(1-$K269)</f>
        <v>1323662.2331090909</v>
      </c>
      <c r="Z269" s="1117">
        <f>VLOOKUP($E269,W$442:Z$453,4,FALSE)*W269*($K269)+(W269-X269-Y269)*(1-$K269)</f>
        <v>9614577.7319097947</v>
      </c>
      <c r="AA269" s="1073"/>
      <c r="AE269" s="1116">
        <f>$G269</f>
        <v>17254667</v>
      </c>
      <c r="AF269" s="1117">
        <f>VLOOKUP($E269,AE$442:AH$453,2,FALSE)*AE269*($K269)+IF($G269&lt;&gt;0,($H269/$G269)*AE269,0)*(1-$K269)</f>
        <v>6316427.0349811129</v>
      </c>
      <c r="AG269" s="1117">
        <f>VLOOKUP($E269,AE$442:AH$453,3,FALSE)*AE269*($K269)+IF($G269&lt;&gt;0,($I269/$G269)*AE269,0)*(1-$K269)</f>
        <v>1323662.2331090909</v>
      </c>
      <c r="AH269" s="1117">
        <f>VLOOKUP($E269,AE$442:AH$453,4,FALSE)*AE269*($K269)+(AE269-AF269-AG269)*(1-$K269)</f>
        <v>9614577.7319097947</v>
      </c>
      <c r="AI269" s="1073"/>
      <c r="AM269" s="1116">
        <f>$G269</f>
        <v>17254667</v>
      </c>
      <c r="AN269" s="1117">
        <f>VLOOKUP($E269,AM$442:AP$453,2,FALSE)*AM269*($K269)+IF($G269&lt;&gt;0,($H269/$G269)*AM269,0)*(1-$K269)</f>
        <v>6316427.0349811129</v>
      </c>
      <c r="AO269" s="1117">
        <f>VLOOKUP($E269,AM$442:AP$453,3,FALSE)*AM269*($K269)+IF($G269&lt;&gt;0,($I269/$G269)*AM269,0)*(1-$K269)</f>
        <v>1323662.2331090909</v>
      </c>
      <c r="AP269" s="1117">
        <f>VLOOKUP($E269,AM$442:AP$453,4,FALSE)*AM269*($K269)+(AM269-AN269-AO269)*(1-$K269)</f>
        <v>9614577.7319097947</v>
      </c>
      <c r="AQ269" s="1073"/>
      <c r="AU269" s="1116">
        <f>$G269</f>
        <v>17254667</v>
      </c>
      <c r="AV269" s="1117">
        <f>VLOOKUP($E269,AU$442:AX$453,2,FALSE)*AU269*($K269)+IF($G269&lt;&gt;0,($H269/$G269)*AU269,0)*(1-$K269)</f>
        <v>6316427.0349811129</v>
      </c>
      <c r="AW269" s="1117">
        <f>VLOOKUP($E269,AU$442:AX$453,3,FALSE)*AU269*($K269)+IF($G269&lt;&gt;0,($I269/$G269)*AU269,0)*(1-$K269)</f>
        <v>1323662.2331090909</v>
      </c>
      <c r="AX269" s="1117">
        <f>VLOOKUP($E269,AU$442:AX$453,4,FALSE)*AU269*($K269)+(AU269-AV269-AW269)*(1-$K269)</f>
        <v>9614577.7319097947</v>
      </c>
      <c r="AY269" s="1073"/>
      <c r="BC269" s="1116">
        <f>$G269</f>
        <v>17254667</v>
      </c>
      <c r="BD269" s="1117">
        <f>VLOOKUP($E269,BC$442:BF$453,2,FALSE)*BC269*($K269)+IF($G269&lt;&gt;0,($H269/$G269)*BC269,0)*(1-$K269)</f>
        <v>6316427.0349811129</v>
      </c>
      <c r="BE269" s="1117">
        <f>VLOOKUP($E269,BC$442:BF$453,3,FALSE)*BC269*($K269)+IF($G269&lt;&gt;0,($I269/$G269)*BC269,0)*(1-$K269)</f>
        <v>1323662.2331090909</v>
      </c>
      <c r="BF269" s="1117">
        <f>VLOOKUP($E269,BC$442:BF$453,4,FALSE)*BC269*($K269)+(BC269-BD269-BE269)*(1-$K269)</f>
        <v>9614577.7319097947</v>
      </c>
      <c r="BG269" s="1073"/>
      <c r="BK269" s="1116">
        <f>$G269</f>
        <v>17254667</v>
      </c>
      <c r="BL269" s="1117">
        <f>VLOOKUP($E269,BK$442:BN$453,2,FALSE)*BK269*($K269)+IF($G269&lt;&gt;0,($H269/$G269)*BK269,0)*(1-$K269)</f>
        <v>6316427.0349811129</v>
      </c>
      <c r="BM269" s="1117">
        <f>VLOOKUP($E269,BK$442:BN$453,3,FALSE)*BK269*($K269)+IF($G269&lt;&gt;0,($I269/$G269)*BK269,0)*(1-$K269)</f>
        <v>1323662.2331090909</v>
      </c>
      <c r="BN269" s="1117">
        <f>VLOOKUP($E269,BK$442:BN$453,4,FALSE)*BK269*($K269)+(BK269-BL269-BM269)*(1-$K269)</f>
        <v>9614577.7319097947</v>
      </c>
      <c r="BO269" s="1073"/>
      <c r="BS269" s="1116">
        <f>$G269</f>
        <v>17254667</v>
      </c>
      <c r="BT269" s="1117">
        <f>VLOOKUP($E269,BS$442:BV$453,2,FALSE)*BS269*($K269)+IF($G269&lt;&gt;0,($H269/$G269)*BS269,0)*(1-$K269)</f>
        <v>6316427.0349811129</v>
      </c>
      <c r="BU269" s="1117">
        <f>VLOOKUP($E269,BS$442:BV$453,3,FALSE)*BS269*($K269)+IF($G269&lt;&gt;0,($I269/$G269)*BS269,0)*(1-$K269)</f>
        <v>1323662.2331090909</v>
      </c>
      <c r="BV269" s="1117">
        <f>VLOOKUP($E269,BS$442:BV$453,4,FALSE)*BS269*($K269)+(BS269-BT269-BU269)*(1-$K269)</f>
        <v>9614577.7319097947</v>
      </c>
      <c r="BW269" s="1073"/>
      <c r="CA269" s="1116">
        <f>$G269</f>
        <v>17254667</v>
      </c>
      <c r="CB269" s="1117">
        <f>VLOOKUP($E269,CA$442:CD$453,2,FALSE)*CA269*($K269)+IF($G269&lt;&gt;0,($H269/$G269)*CA269,0)*(1-$K269)</f>
        <v>6316427.0349811129</v>
      </c>
      <c r="CC269" s="1117">
        <f>VLOOKUP($E269,CA$442:CD$453,3,FALSE)*CA269*($K269)+IF($G269&lt;&gt;0,($I269/$G269)*CA269,0)*(1-$K269)</f>
        <v>1323662.2331090909</v>
      </c>
      <c r="CD269" s="1117">
        <f>VLOOKUP($E269,CA$442:CD$453,4,FALSE)*CA269*($K269)+(CA269-CB269-CC269)*(1-$K269)</f>
        <v>9614577.7319097947</v>
      </c>
      <c r="CE269" s="1073"/>
      <c r="CI269" s="1116">
        <f>$G269</f>
        <v>17254667</v>
      </c>
      <c r="CJ269" s="1117">
        <f>VLOOKUP($E269,CI$442:CL$453,2,FALSE)*CI269*($K269)+IF($G269&lt;&gt;0,($H269/$G269)*CI269,0)*(1-$K269)</f>
        <v>6316427.0349811129</v>
      </c>
      <c r="CK269" s="1117">
        <f>VLOOKUP($E269,CI$442:CL$453,3,FALSE)*CI269*($K269)+IF($G269&lt;&gt;0,($I269/$G269)*CI269,0)*(1-$K269)</f>
        <v>1323662.2331090909</v>
      </c>
      <c r="CL269" s="1117">
        <f>VLOOKUP($E269,CI$442:CL$453,4,FALSE)*CI269*($K269)+(CI269-CJ269-CK269)*(1-$K269)</f>
        <v>9614577.7319097947</v>
      </c>
      <c r="CM269" s="1073"/>
      <c r="CQ269" s="1116">
        <f>$G269</f>
        <v>17254667</v>
      </c>
      <c r="CR269" s="1117">
        <f>VLOOKUP($E269,CQ$442:CT$453,2,FALSE)*CQ269*($K269)+IF($G269&lt;&gt;0,($H269/$G269)*CQ269,0)*(1-$K269)</f>
        <v>6316427.0349811129</v>
      </c>
      <c r="CS269" s="1117">
        <f>VLOOKUP($E269,CQ$442:CT$453,3,FALSE)*CQ269*($K269)+IF($G269&lt;&gt;0,($I269/$G269)*CQ269,0)*(1-$K269)</f>
        <v>1323662.2331090909</v>
      </c>
      <c r="CT269" s="1117">
        <f>VLOOKUP($E269,CQ$442:CT$453,4,FALSE)*CQ269*($K269)+(CQ269-CR269-CS269)*(1-$K269)</f>
        <v>9614577.7319097947</v>
      </c>
      <c r="CU269" s="1073"/>
      <c r="CY269" s="1116">
        <f>$G269</f>
        <v>17254667</v>
      </c>
      <c r="CZ269" s="1117">
        <f>VLOOKUP($E269,CY$442:DB$453,2,FALSE)*CY269*($K269)+IF($G269&lt;&gt;0,($H269/$G269)*CY269,0)*(1-$K269)</f>
        <v>6316427.0349811129</v>
      </c>
      <c r="DA269" s="1117">
        <f>VLOOKUP($E269,CY$442:DB$453,3,FALSE)*CY269*($K269)+IF($G269&lt;&gt;0,($I269/$G269)*CY269,0)*(1-$K269)</f>
        <v>1323662.2331090909</v>
      </c>
      <c r="DB269" s="1117">
        <f>VLOOKUP($E269,CY$442:DB$453,4,FALSE)*CY269*($K269)+(CY269-CZ269-DA269)*(1-$K269)</f>
        <v>9614577.7319097947</v>
      </c>
      <c r="DC269" s="1073"/>
      <c r="DG269" s="1116">
        <f>$G269</f>
        <v>17254667</v>
      </c>
      <c r="DH269" s="1117">
        <f>VLOOKUP($E269,DG$442:DJ$453,2,FALSE)*DG269*($K269)+IF($G269&lt;&gt;0,($H269/$G269)*DG269,0)*(1-$K269)</f>
        <v>6316427.0349811129</v>
      </c>
      <c r="DI269" s="1117">
        <f>VLOOKUP($E269,DG$442:DJ$453,3,FALSE)*DG269*($K269)+IF($G269&lt;&gt;0,($I269/$G269)*DG269,0)*(1-$K269)</f>
        <v>1323662.2331090909</v>
      </c>
      <c r="DJ269" s="1117">
        <f>VLOOKUP($E269,DG$442:DJ$453,4,FALSE)*DG269*($K269)+(DG269-DH269-DI269)*(1-$K269)</f>
        <v>9614577.7319097947</v>
      </c>
      <c r="DK269" s="1073"/>
      <c r="DO269" s="1116">
        <f>$G269</f>
        <v>17254667</v>
      </c>
      <c r="DP269" s="1117">
        <f>VLOOKUP($E269,DO$442:DR$453,2,FALSE)*DO269*($K269)+IF($G269&lt;&gt;0,($H269/$G269)*DO269,0)*(1-$K269)</f>
        <v>6316427.0349811129</v>
      </c>
      <c r="DQ269" s="1117">
        <f>VLOOKUP($E269,DO$442:DR$453,3,FALSE)*DO269*($K269)+IF($G269&lt;&gt;0,($I269/$G269)*DO269,0)*(1-$K269)</f>
        <v>1323662.2331090909</v>
      </c>
      <c r="DR269" s="1117">
        <f>VLOOKUP($E269,DO$442:DR$453,4,FALSE)*DO269*($K269)+(DO269-DP269-DQ269)*(1-$K269)</f>
        <v>9614577.7319097947</v>
      </c>
      <c r="DS269" s="1073"/>
      <c r="DW269" s="1116">
        <f>$G269</f>
        <v>17254667</v>
      </c>
      <c r="DX269" s="1117">
        <f>VLOOKUP($E269,DW$442:DZ$453,2,FALSE)*DW269*($K269)+IF($G269&lt;&gt;0,($H269/$G269)*DW269,0)*(1-$K269)</f>
        <v>6316427.0349811129</v>
      </c>
      <c r="DY269" s="1117">
        <f>VLOOKUP($E269,DW$442:DZ$453,3,FALSE)*DW269*($K269)+IF($G269&lt;&gt;0,($I269/$G269)*DW269,0)*(1-$K269)</f>
        <v>1323662.2331090909</v>
      </c>
      <c r="DZ269" s="1117">
        <f>VLOOKUP($E269,DW$442:DZ$453,4,FALSE)*DW269*($K269)+(DW269-DX269-DY269)*(1-$K269)</f>
        <v>9614577.7319097947</v>
      </c>
      <c r="EA269" s="1073"/>
      <c r="EE269" s="1116">
        <f>$G269</f>
        <v>17254667</v>
      </c>
      <c r="EF269" s="1117">
        <f>VLOOKUP($E269,EE$442:EH$453,2,FALSE)*EE269*($K269)+IF($G269&lt;&gt;0,($H269/$G269)*EE269,0)*(1-$K269)</f>
        <v>6316427.0349811129</v>
      </c>
      <c r="EG269" s="1117">
        <f>VLOOKUP($E269,EE$442:EH$453,3,FALSE)*EE269*($K269)+IF($G269&lt;&gt;0,($I269/$G269)*EE269,0)*(1-$K269)</f>
        <v>1323662.2331090909</v>
      </c>
      <c r="EH269" s="1117">
        <f>VLOOKUP($E269,EE$442:EH$453,4,FALSE)*EE269*($K269)+(EE269-EF269-EG269)*(1-$K269)</f>
        <v>9614577.7319097947</v>
      </c>
      <c r="EI269" s="1073"/>
      <c r="EM269" s="1116">
        <f>$G269</f>
        <v>17254667</v>
      </c>
      <c r="EN269" s="1117">
        <f>VLOOKUP($E269,EM$442:EP$453,2,FALSE)*EM269*($K269)+IF($G269&lt;&gt;0,($H269/$G269)*EM269,0)*(1-$K269)</f>
        <v>6316427.0349811129</v>
      </c>
      <c r="EO269" s="1117">
        <f>VLOOKUP($E269,EM$442:EP$453,3,FALSE)*EM269*($K269)+IF($G269&lt;&gt;0,($I269/$G269)*EM269,0)*(1-$K269)</f>
        <v>1323662.2331090909</v>
      </c>
      <c r="EP269" s="1117">
        <f>VLOOKUP($E269,EM$442:EP$453,4,FALSE)*EM269*($K269)+(EM269-EN269-EO269)*(1-$K269)</f>
        <v>9614577.7319097947</v>
      </c>
      <c r="EQ269" s="1073"/>
      <c r="EU269" s="1116">
        <f>$G269</f>
        <v>17254667</v>
      </c>
      <c r="EV269" s="1117">
        <f>VLOOKUP($E269,EU$442:EX$453,2,FALSE)*EU269*($K269)+IF($G269&lt;&gt;0,($H269/$G269)*EU269,0)*(1-$K269)</f>
        <v>6316427.0349811129</v>
      </c>
      <c r="EW269" s="1117">
        <f>VLOOKUP($E269,EU$442:EX$453,3,FALSE)*EU269*($K269)+IF($G269&lt;&gt;0,($I269/$G269)*EU269,0)*(1-$K269)</f>
        <v>1323662.2331090909</v>
      </c>
      <c r="EX269" s="1117">
        <f>VLOOKUP($E269,EU$442:EX$453,4,FALSE)*EU269*($K269)+(EU269-EV269-EW269)*(1-$K269)</f>
        <v>9614577.7319097947</v>
      </c>
      <c r="EY269" s="1073"/>
      <c r="FC269" s="1116">
        <f>$G269</f>
        <v>17254667</v>
      </c>
      <c r="FD269" s="1117">
        <f>VLOOKUP($E269,FC$442:FF$453,2,FALSE)*FC269*($K269)+IF($G269&lt;&gt;0,($H269/$G269)*FC269,0)*(1-$K269)</f>
        <v>6316427.0349811129</v>
      </c>
      <c r="FE269" s="1117">
        <f>VLOOKUP($E269,FC$442:FF$453,3,FALSE)*FC269*($K269)+IF($G269&lt;&gt;0,($I269/$G269)*FC269,0)*(1-$K269)</f>
        <v>1323662.2331090909</v>
      </c>
      <c r="FF269" s="1117">
        <f>VLOOKUP($E269,FC$442:FF$453,4,FALSE)*FC269*($K269)+(FC269-FD269-FE269)*(1-$K269)</f>
        <v>9614577.7319097947</v>
      </c>
      <c r="FG269" s="1073"/>
      <c r="FK269" s="1116">
        <f>$G269</f>
        <v>17254667</v>
      </c>
      <c r="FL269" s="1117">
        <f>VLOOKUP($E269,FK$442:FN$453,2,FALSE)*FK269*($K269)+IF($G269&lt;&gt;0,($H269/$G269)*FK269,0)*(1-$K269)</f>
        <v>6316427.0349811129</v>
      </c>
      <c r="FM269" s="1117">
        <f>VLOOKUP($E269,FK$442:FN$453,3,FALSE)*FK269*($K269)+IF($G269&lt;&gt;0,($I269/$G269)*FK269,0)*(1-$K269)</f>
        <v>1323662.2331090909</v>
      </c>
      <c r="FN269" s="1117">
        <f>VLOOKUP($E269,FK$442:FN$453,4,FALSE)*FK269*($K269)+(FK269-FL269-FM269)*(1-$K269)</f>
        <v>9614577.7319097947</v>
      </c>
      <c r="FO269" s="1073"/>
    </row>
    <row r="270" spans="1:171" ht="16.5" thickBot="1">
      <c r="A270" s="1374"/>
      <c r="B270" s="63" t="s">
        <v>151</v>
      </c>
      <c r="C270" s="1022">
        <v>262</v>
      </c>
      <c r="D270" s="1023">
        <v>408.1</v>
      </c>
      <c r="E270" s="182" t="str">
        <f>'Sch 3A - Taxes'!E18</f>
        <v>DIST</v>
      </c>
      <c r="F270" s="889"/>
      <c r="G270" s="182">
        <f>'Sch 3A - Taxes'!F18</f>
        <v>0</v>
      </c>
      <c r="H270" s="182">
        <f>'Sch 3A - Taxes'!G18</f>
        <v>0</v>
      </c>
      <c r="I270" s="182">
        <f>'Sch 3A - Taxes'!H18</f>
        <v>0</v>
      </c>
      <c r="J270" s="1424">
        <f>'Sch 3A - Taxes'!I18</f>
        <v>0</v>
      </c>
      <c r="K270" s="903">
        <f>IF($E270="DIRECT",0,1)</f>
        <v>1</v>
      </c>
      <c r="O270" s="1116">
        <f>$G270</f>
        <v>0</v>
      </c>
      <c r="P270" s="1117">
        <f>VLOOKUP($E270,O$442:R$453,2,FALSE)*O270*($K270)+IF($G270&lt;&gt;0,($H270/$G270)*O270,0)*(1-$K270)</f>
        <v>0</v>
      </c>
      <c r="Q270" s="1117">
        <f>VLOOKUP($E270,O$442:R$453,3,FALSE)*O270*($K270)+IF($G270&lt;&gt;0,($I270/$G270)*O270,0)*(1-$K270)</f>
        <v>0</v>
      </c>
      <c r="R270" s="1117">
        <f>VLOOKUP($E270,O$442:R$453,4,FALSE)*O270*($K270)+(O270-P270-Q270)*(1-$K270)</f>
        <v>0</v>
      </c>
      <c r="S270" s="1073"/>
      <c r="W270" s="1116">
        <f>$G270</f>
        <v>0</v>
      </c>
      <c r="X270" s="1117">
        <f>VLOOKUP($E270,W$442:Z$453,2,FALSE)*W270*($K270)+IF($G270&lt;&gt;0,($H270/$G270)*W270,0)*(1-$K270)</f>
        <v>0</v>
      </c>
      <c r="Y270" s="1117">
        <f>VLOOKUP($E270,W$442:Z$453,3,FALSE)*W270*($K270)+IF($G270&lt;&gt;0,($I270/$G270)*W270,0)*(1-$K270)</f>
        <v>0</v>
      </c>
      <c r="Z270" s="1117">
        <f>VLOOKUP($E270,W$442:Z$453,4,FALSE)*W270*($K270)+(W270-X270-Y270)*(1-$K270)</f>
        <v>0</v>
      </c>
      <c r="AA270" s="1073"/>
      <c r="AE270" s="1116">
        <f>$G270</f>
        <v>0</v>
      </c>
      <c r="AF270" s="1117">
        <f>VLOOKUP($E270,AE$442:AH$453,2,FALSE)*AE270*($K270)+IF($G270&lt;&gt;0,($H270/$G270)*AE270,0)*(1-$K270)</f>
        <v>0</v>
      </c>
      <c r="AG270" s="1117">
        <f>VLOOKUP($E270,AE$442:AH$453,3,FALSE)*AE270*($K270)+IF($G270&lt;&gt;0,($I270/$G270)*AE270,0)*(1-$K270)</f>
        <v>0</v>
      </c>
      <c r="AH270" s="1117">
        <f>VLOOKUP($E270,AE$442:AH$453,4,FALSE)*AE270*($K270)+(AE270-AF270-AG270)*(1-$K270)</f>
        <v>0</v>
      </c>
      <c r="AI270" s="1073"/>
      <c r="AM270" s="1116">
        <f>$G270</f>
        <v>0</v>
      </c>
      <c r="AN270" s="1117">
        <f>VLOOKUP($E270,AM$442:AP$453,2,FALSE)*AM270*($K270)+IF($G270&lt;&gt;0,($H270/$G270)*AM270,0)*(1-$K270)</f>
        <v>0</v>
      </c>
      <c r="AO270" s="1117">
        <f>VLOOKUP($E270,AM$442:AP$453,3,FALSE)*AM270*($K270)+IF($G270&lt;&gt;0,($I270/$G270)*AM270,0)*(1-$K270)</f>
        <v>0</v>
      </c>
      <c r="AP270" s="1117">
        <f>VLOOKUP($E270,AM$442:AP$453,4,FALSE)*AM270*($K270)+(AM270-AN270-AO270)*(1-$K270)</f>
        <v>0</v>
      </c>
      <c r="AQ270" s="1073"/>
      <c r="AU270" s="1116">
        <f>$G270</f>
        <v>0</v>
      </c>
      <c r="AV270" s="1117">
        <f>VLOOKUP($E270,AU$442:AX$453,2,FALSE)*AU270*($K270)+IF($G270&lt;&gt;0,($H270/$G270)*AU270,0)*(1-$K270)</f>
        <v>0</v>
      </c>
      <c r="AW270" s="1117">
        <f>VLOOKUP($E270,AU$442:AX$453,3,FALSE)*AU270*($K270)+IF($G270&lt;&gt;0,($I270/$G270)*AU270,0)*(1-$K270)</f>
        <v>0</v>
      </c>
      <c r="AX270" s="1117">
        <f>VLOOKUP($E270,AU$442:AX$453,4,FALSE)*AU270*($K270)+(AU270-AV270-AW270)*(1-$K270)</f>
        <v>0</v>
      </c>
      <c r="AY270" s="1073"/>
      <c r="BC270" s="1116">
        <f>$G270</f>
        <v>0</v>
      </c>
      <c r="BD270" s="1117">
        <f>VLOOKUP($E270,BC$442:BF$453,2,FALSE)*BC270*($K270)+IF($G270&lt;&gt;0,($H270/$G270)*BC270,0)*(1-$K270)</f>
        <v>0</v>
      </c>
      <c r="BE270" s="1117">
        <f>VLOOKUP($E270,BC$442:BF$453,3,FALSE)*BC270*($K270)+IF($G270&lt;&gt;0,($I270/$G270)*BC270,0)*(1-$K270)</f>
        <v>0</v>
      </c>
      <c r="BF270" s="1117">
        <f>VLOOKUP($E270,BC$442:BF$453,4,FALSE)*BC270*($K270)+(BC270-BD270-BE270)*(1-$K270)</f>
        <v>0</v>
      </c>
      <c r="BG270" s="1073"/>
      <c r="BK270" s="1116">
        <f>$G270</f>
        <v>0</v>
      </c>
      <c r="BL270" s="1117">
        <f>VLOOKUP($E270,BK$442:BN$453,2,FALSE)*BK270*($K270)+IF($G270&lt;&gt;0,($H270/$G270)*BK270,0)*(1-$K270)</f>
        <v>0</v>
      </c>
      <c r="BM270" s="1117">
        <f>VLOOKUP($E270,BK$442:BN$453,3,FALSE)*BK270*($K270)+IF($G270&lt;&gt;0,($I270/$G270)*BK270,0)*(1-$K270)</f>
        <v>0</v>
      </c>
      <c r="BN270" s="1117">
        <f>VLOOKUP($E270,BK$442:BN$453,4,FALSE)*BK270*($K270)+(BK270-BL270-BM270)*(1-$K270)</f>
        <v>0</v>
      </c>
      <c r="BO270" s="1073"/>
      <c r="BS270" s="1116">
        <f>$G270</f>
        <v>0</v>
      </c>
      <c r="BT270" s="1117">
        <f>VLOOKUP($E270,BS$442:BV$453,2,FALSE)*BS270*($K270)+IF($G270&lt;&gt;0,($H270/$G270)*BS270,0)*(1-$K270)</f>
        <v>0</v>
      </c>
      <c r="BU270" s="1117">
        <f>VLOOKUP($E270,BS$442:BV$453,3,FALSE)*BS270*($K270)+IF($G270&lt;&gt;0,($I270/$G270)*BS270,0)*(1-$K270)</f>
        <v>0</v>
      </c>
      <c r="BV270" s="1117">
        <f>VLOOKUP($E270,BS$442:BV$453,4,FALSE)*BS270*($K270)+(BS270-BT270-BU270)*(1-$K270)</f>
        <v>0</v>
      </c>
      <c r="BW270" s="1073"/>
      <c r="CA270" s="1116">
        <f>$G270</f>
        <v>0</v>
      </c>
      <c r="CB270" s="1117">
        <f>VLOOKUP($E270,CA$442:CD$453,2,FALSE)*CA270*($K270)+IF($G270&lt;&gt;0,($H270/$G270)*CA270,0)*(1-$K270)</f>
        <v>0</v>
      </c>
      <c r="CC270" s="1117">
        <f>VLOOKUP($E270,CA$442:CD$453,3,FALSE)*CA270*($K270)+IF($G270&lt;&gt;0,($I270/$G270)*CA270,0)*(1-$K270)</f>
        <v>0</v>
      </c>
      <c r="CD270" s="1117">
        <f>VLOOKUP($E270,CA$442:CD$453,4,FALSE)*CA270*($K270)+(CA270-CB270-CC270)*(1-$K270)</f>
        <v>0</v>
      </c>
      <c r="CE270" s="1073"/>
      <c r="CI270" s="1116">
        <f>$G270</f>
        <v>0</v>
      </c>
      <c r="CJ270" s="1117">
        <f>VLOOKUP($E270,CI$442:CL$453,2,FALSE)*CI270*($K270)+IF($G270&lt;&gt;0,($H270/$G270)*CI270,0)*(1-$K270)</f>
        <v>0</v>
      </c>
      <c r="CK270" s="1117">
        <f>VLOOKUP($E270,CI$442:CL$453,3,FALSE)*CI270*($K270)+IF($G270&lt;&gt;0,($I270/$G270)*CI270,0)*(1-$K270)</f>
        <v>0</v>
      </c>
      <c r="CL270" s="1117">
        <f>VLOOKUP($E270,CI$442:CL$453,4,FALSE)*CI270*($K270)+(CI270-CJ270-CK270)*(1-$K270)</f>
        <v>0</v>
      </c>
      <c r="CM270" s="1073"/>
      <c r="CQ270" s="1116">
        <f>$G270</f>
        <v>0</v>
      </c>
      <c r="CR270" s="1117">
        <f>VLOOKUP($E270,CQ$442:CT$453,2,FALSE)*CQ270*($K270)+IF($G270&lt;&gt;0,($H270/$G270)*CQ270,0)*(1-$K270)</f>
        <v>0</v>
      </c>
      <c r="CS270" s="1117">
        <f>VLOOKUP($E270,CQ$442:CT$453,3,FALSE)*CQ270*($K270)+IF($G270&lt;&gt;0,($I270/$G270)*CQ270,0)*(1-$K270)</f>
        <v>0</v>
      </c>
      <c r="CT270" s="1117">
        <f>VLOOKUP($E270,CQ$442:CT$453,4,FALSE)*CQ270*($K270)+(CQ270-CR270-CS270)*(1-$K270)</f>
        <v>0</v>
      </c>
      <c r="CU270" s="1073"/>
      <c r="CY270" s="1116">
        <f>$G270</f>
        <v>0</v>
      </c>
      <c r="CZ270" s="1117">
        <f>VLOOKUP($E270,CY$442:DB$453,2,FALSE)*CY270*($K270)+IF($G270&lt;&gt;0,($H270/$G270)*CY270,0)*(1-$K270)</f>
        <v>0</v>
      </c>
      <c r="DA270" s="1117">
        <f>VLOOKUP($E270,CY$442:DB$453,3,FALSE)*CY270*($K270)+IF($G270&lt;&gt;0,($I270/$G270)*CY270,0)*(1-$K270)</f>
        <v>0</v>
      </c>
      <c r="DB270" s="1117">
        <f>VLOOKUP($E270,CY$442:DB$453,4,FALSE)*CY270*($K270)+(CY270-CZ270-DA270)*(1-$K270)</f>
        <v>0</v>
      </c>
      <c r="DC270" s="1073"/>
      <c r="DG270" s="1116">
        <f>$G270</f>
        <v>0</v>
      </c>
      <c r="DH270" s="1117">
        <f>VLOOKUP($E270,DG$442:DJ$453,2,FALSE)*DG270*($K270)+IF($G270&lt;&gt;0,($H270/$G270)*DG270,0)*(1-$K270)</f>
        <v>0</v>
      </c>
      <c r="DI270" s="1117">
        <f>VLOOKUP($E270,DG$442:DJ$453,3,FALSE)*DG270*($K270)+IF($G270&lt;&gt;0,($I270/$G270)*DG270,0)*(1-$K270)</f>
        <v>0</v>
      </c>
      <c r="DJ270" s="1117">
        <f>VLOOKUP($E270,DG$442:DJ$453,4,FALSE)*DG270*($K270)+(DG270-DH270-DI270)*(1-$K270)</f>
        <v>0</v>
      </c>
      <c r="DK270" s="1073"/>
      <c r="DO270" s="1116">
        <f>$G270</f>
        <v>0</v>
      </c>
      <c r="DP270" s="1117">
        <f>VLOOKUP($E270,DO$442:DR$453,2,FALSE)*DO270*($K270)+IF($G270&lt;&gt;0,($H270/$G270)*DO270,0)*(1-$K270)</f>
        <v>0</v>
      </c>
      <c r="DQ270" s="1117">
        <f>VLOOKUP($E270,DO$442:DR$453,3,FALSE)*DO270*($K270)+IF($G270&lt;&gt;0,($I270/$G270)*DO270,0)*(1-$K270)</f>
        <v>0</v>
      </c>
      <c r="DR270" s="1117">
        <f>VLOOKUP($E270,DO$442:DR$453,4,FALSE)*DO270*($K270)+(DO270-DP270-DQ270)*(1-$K270)</f>
        <v>0</v>
      </c>
      <c r="DS270" s="1073"/>
      <c r="DW270" s="1116">
        <f>$G270</f>
        <v>0</v>
      </c>
      <c r="DX270" s="1117">
        <f>VLOOKUP($E270,DW$442:DZ$453,2,FALSE)*DW270*($K270)+IF($G270&lt;&gt;0,($H270/$G270)*DW270,0)*(1-$K270)</f>
        <v>0</v>
      </c>
      <c r="DY270" s="1117">
        <f>VLOOKUP($E270,DW$442:DZ$453,3,FALSE)*DW270*($K270)+IF($G270&lt;&gt;0,($I270/$G270)*DW270,0)*(1-$K270)</f>
        <v>0</v>
      </c>
      <c r="DZ270" s="1117">
        <f>VLOOKUP($E270,DW$442:DZ$453,4,FALSE)*DW270*($K270)+(DW270-DX270-DY270)*(1-$K270)</f>
        <v>0</v>
      </c>
      <c r="EA270" s="1073"/>
      <c r="EE270" s="1116">
        <f>$G270</f>
        <v>0</v>
      </c>
      <c r="EF270" s="1117">
        <f>VLOOKUP($E270,EE$442:EH$453,2,FALSE)*EE270*($K270)+IF($G270&lt;&gt;0,($H270/$G270)*EE270,0)*(1-$K270)</f>
        <v>0</v>
      </c>
      <c r="EG270" s="1117">
        <f>VLOOKUP($E270,EE$442:EH$453,3,FALSE)*EE270*($K270)+IF($G270&lt;&gt;0,($I270/$G270)*EE270,0)*(1-$K270)</f>
        <v>0</v>
      </c>
      <c r="EH270" s="1117">
        <f>VLOOKUP($E270,EE$442:EH$453,4,FALSE)*EE270*($K270)+(EE270-EF270-EG270)*(1-$K270)</f>
        <v>0</v>
      </c>
      <c r="EI270" s="1073"/>
      <c r="EM270" s="1116">
        <f>$G270</f>
        <v>0</v>
      </c>
      <c r="EN270" s="1117">
        <f>VLOOKUP($E270,EM$442:EP$453,2,FALSE)*EM270*($K270)+IF($G270&lt;&gt;0,($H270/$G270)*EM270,0)*(1-$K270)</f>
        <v>0</v>
      </c>
      <c r="EO270" s="1117">
        <f>VLOOKUP($E270,EM$442:EP$453,3,FALSE)*EM270*($K270)+IF($G270&lt;&gt;0,($I270/$G270)*EM270,0)*(1-$K270)</f>
        <v>0</v>
      </c>
      <c r="EP270" s="1117">
        <f>VLOOKUP($E270,EM$442:EP$453,4,FALSE)*EM270*($K270)+(EM270-EN270-EO270)*(1-$K270)</f>
        <v>0</v>
      </c>
      <c r="EQ270" s="1073"/>
      <c r="EU270" s="1116">
        <f>$G270</f>
        <v>0</v>
      </c>
      <c r="EV270" s="1117">
        <f>VLOOKUP($E270,EU$442:EX$453,2,FALSE)*EU270*($K270)+IF($G270&lt;&gt;0,($H270/$G270)*EU270,0)*(1-$K270)</f>
        <v>0</v>
      </c>
      <c r="EW270" s="1117">
        <f>VLOOKUP($E270,EU$442:EX$453,3,FALSE)*EU270*($K270)+IF($G270&lt;&gt;0,($I270/$G270)*EU270,0)*(1-$K270)</f>
        <v>0</v>
      </c>
      <c r="EX270" s="1117">
        <f>VLOOKUP($E270,EU$442:EX$453,4,FALSE)*EU270*($K270)+(EU270-EV270-EW270)*(1-$K270)</f>
        <v>0</v>
      </c>
      <c r="EY270" s="1073"/>
      <c r="FC270" s="1116">
        <f>$G270</f>
        <v>0</v>
      </c>
      <c r="FD270" s="1117">
        <f>VLOOKUP($E270,FC$442:FF$453,2,FALSE)*FC270*($K270)+IF($G270&lt;&gt;0,($H270/$G270)*FC270,0)*(1-$K270)</f>
        <v>0</v>
      </c>
      <c r="FE270" s="1117">
        <f>VLOOKUP($E270,FC$442:FF$453,3,FALSE)*FC270*($K270)+IF($G270&lt;&gt;0,($I270/$G270)*FC270,0)*(1-$K270)</f>
        <v>0</v>
      </c>
      <c r="FF270" s="1117">
        <f>VLOOKUP($E270,FC$442:FF$453,4,FALSE)*FC270*($K270)+(FC270-FD270-FE270)*(1-$K270)</f>
        <v>0</v>
      </c>
      <c r="FG270" s="1073"/>
      <c r="FK270" s="1116">
        <f>$G270</f>
        <v>0</v>
      </c>
      <c r="FL270" s="1117">
        <f>VLOOKUP($E270,FK$442:FN$453,2,FALSE)*FK270*($K270)+IF($G270&lt;&gt;0,($H270/$G270)*FK270,0)*(1-$K270)</f>
        <v>0</v>
      </c>
      <c r="FM270" s="1117">
        <f>VLOOKUP($E270,FK$442:FN$453,3,FALSE)*FK270*($K270)+IF($G270&lt;&gt;0,($I270/$G270)*FK270,0)*(1-$K270)</f>
        <v>0</v>
      </c>
      <c r="FN270" s="1117">
        <f>VLOOKUP($E270,FK$442:FN$453,4,FALSE)*FK270*($K270)+(FK270-FL270-FM270)*(1-$K270)</f>
        <v>0</v>
      </c>
      <c r="FO270" s="1073"/>
    </row>
    <row r="271" spans="1:171" ht="16.5" thickBot="1">
      <c r="A271" s="1481" t="s">
        <v>37</v>
      </c>
      <c r="B271" s="58"/>
      <c r="C271" s="914"/>
      <c r="D271" s="915"/>
      <c r="E271" s="915"/>
      <c r="F271" s="916"/>
      <c r="G271" s="923">
        <f>SUM(G268:G270)</f>
        <v>15013915</v>
      </c>
      <c r="H271" s="923">
        <f>SUM(H268:H270)</f>
        <v>6316427.0349811129</v>
      </c>
      <c r="I271" s="923">
        <f>SUM(I268:I270)</f>
        <v>0</v>
      </c>
      <c r="J271" s="1431">
        <f>SUM(J268:J270)</f>
        <v>8697487.9650188871</v>
      </c>
      <c r="K271" s="903"/>
      <c r="O271" s="1137">
        <f>SUM(O268:O270)</f>
        <v>15013915</v>
      </c>
      <c r="P271" s="1138">
        <f>SUM(P268:P270)</f>
        <v>6316427.0349811129</v>
      </c>
      <c r="Q271" s="1138">
        <f>SUM(Q268:Q270)</f>
        <v>1323662.2331090909</v>
      </c>
      <c r="R271" s="1138">
        <f>SUM(R268:R270)</f>
        <v>7373825.7319097947</v>
      </c>
      <c r="S271" s="1073"/>
      <c r="W271" s="1137">
        <f>SUM(W268:W270)</f>
        <v>15013915</v>
      </c>
      <c r="X271" s="1138">
        <f>SUM(X268:X270)</f>
        <v>6316427.0349811129</v>
      </c>
      <c r="Y271" s="1138">
        <f>SUM(Y268:Y270)</f>
        <v>1323662.2331090909</v>
      </c>
      <c r="Z271" s="1138">
        <f>SUM(Z268:Z270)</f>
        <v>7373825.7319097947</v>
      </c>
      <c r="AA271" s="1073"/>
      <c r="AE271" s="1137">
        <f>SUM(AE268:AE270)</f>
        <v>15013915</v>
      </c>
      <c r="AF271" s="1138">
        <f>SUM(AF268:AF270)</f>
        <v>6316427.0349811129</v>
      </c>
      <c r="AG271" s="1138">
        <f>SUM(AG268:AG270)</f>
        <v>1323662.2331090909</v>
      </c>
      <c r="AH271" s="1138">
        <f>SUM(AH268:AH270)</f>
        <v>7373825.7319097947</v>
      </c>
      <c r="AI271" s="1073"/>
      <c r="AM271" s="1137">
        <f>SUM(AM268:AM270)</f>
        <v>15013915</v>
      </c>
      <c r="AN271" s="1138">
        <f>SUM(AN268:AN270)</f>
        <v>6316427.0349811129</v>
      </c>
      <c r="AO271" s="1138">
        <f>SUM(AO268:AO270)</f>
        <v>1323662.2331090909</v>
      </c>
      <c r="AP271" s="1138">
        <f>SUM(AP268:AP270)</f>
        <v>7373825.7319097947</v>
      </c>
      <c r="AQ271" s="1073"/>
      <c r="AU271" s="1137">
        <f>SUM(AU268:AU270)</f>
        <v>15013915</v>
      </c>
      <c r="AV271" s="1138">
        <f>SUM(AV268:AV270)</f>
        <v>6316427.0349811129</v>
      </c>
      <c r="AW271" s="1138">
        <f>SUM(AW268:AW270)</f>
        <v>1323662.2331090909</v>
      </c>
      <c r="AX271" s="1138">
        <f>SUM(AX268:AX270)</f>
        <v>7373825.7319097947</v>
      </c>
      <c r="AY271" s="1073"/>
      <c r="BC271" s="1137">
        <f>SUM(BC268:BC270)</f>
        <v>15013915</v>
      </c>
      <c r="BD271" s="1138">
        <f>SUM(BD268:BD270)</f>
        <v>6316427.0349811129</v>
      </c>
      <c r="BE271" s="1138">
        <f>SUM(BE268:BE270)</f>
        <v>1323662.2331090909</v>
      </c>
      <c r="BF271" s="1138">
        <f>SUM(BF268:BF270)</f>
        <v>7373825.7319097947</v>
      </c>
      <c r="BG271" s="1073"/>
      <c r="BK271" s="1137">
        <f>SUM(BK268:BK270)</f>
        <v>15013915</v>
      </c>
      <c r="BL271" s="1138">
        <f>SUM(BL268:BL270)</f>
        <v>6316427.0349811129</v>
      </c>
      <c r="BM271" s="1138">
        <f>SUM(BM268:BM270)</f>
        <v>1323662.2331090909</v>
      </c>
      <c r="BN271" s="1138">
        <f>SUM(BN268:BN270)</f>
        <v>7373825.7319097947</v>
      </c>
      <c r="BO271" s="1073"/>
      <c r="BS271" s="1137">
        <f>SUM(BS268:BS270)</f>
        <v>15013915</v>
      </c>
      <c r="BT271" s="1138">
        <f>SUM(BT268:BT270)</f>
        <v>6316427.0349811129</v>
      </c>
      <c r="BU271" s="1138">
        <f>SUM(BU268:BU270)</f>
        <v>1323662.2331090909</v>
      </c>
      <c r="BV271" s="1138">
        <f>SUM(BV268:BV270)</f>
        <v>7373825.7319097947</v>
      </c>
      <c r="BW271" s="1073"/>
      <c r="CA271" s="1137">
        <f>SUM(CA268:CA270)</f>
        <v>15013915</v>
      </c>
      <c r="CB271" s="1138">
        <f>SUM(CB268:CB270)</f>
        <v>6316427.0349811129</v>
      </c>
      <c r="CC271" s="1138">
        <f>SUM(CC268:CC270)</f>
        <v>1323662.2331090909</v>
      </c>
      <c r="CD271" s="1138">
        <f>SUM(CD268:CD270)</f>
        <v>7373825.7319097947</v>
      </c>
      <c r="CE271" s="1073"/>
      <c r="CI271" s="1137">
        <f>SUM(CI268:CI270)</f>
        <v>15013915</v>
      </c>
      <c r="CJ271" s="1138">
        <f>SUM(CJ268:CJ270)</f>
        <v>6316427.0349811129</v>
      </c>
      <c r="CK271" s="1138">
        <f>SUM(CK268:CK270)</f>
        <v>1323662.2331090909</v>
      </c>
      <c r="CL271" s="1138">
        <f>SUM(CL268:CL270)</f>
        <v>7373825.7319097947</v>
      </c>
      <c r="CM271" s="1073"/>
      <c r="CQ271" s="1137">
        <f>SUM(CQ268:CQ270)</f>
        <v>15013915</v>
      </c>
      <c r="CR271" s="1138">
        <f>SUM(CR268:CR270)</f>
        <v>6316427.0349811129</v>
      </c>
      <c r="CS271" s="1138">
        <f>SUM(CS268:CS270)</f>
        <v>1323662.2331090909</v>
      </c>
      <c r="CT271" s="1138">
        <f>SUM(CT268:CT270)</f>
        <v>7373825.7319097947</v>
      </c>
      <c r="CU271" s="1073"/>
      <c r="CY271" s="1137">
        <f>SUM(CY268:CY270)</f>
        <v>15013915</v>
      </c>
      <c r="CZ271" s="1138">
        <f>SUM(CZ268:CZ270)</f>
        <v>6316427.0349811129</v>
      </c>
      <c r="DA271" s="1138">
        <f>SUM(DA268:DA270)</f>
        <v>1323662.2331090909</v>
      </c>
      <c r="DB271" s="1138">
        <f>SUM(DB268:DB270)</f>
        <v>7373825.7319097947</v>
      </c>
      <c r="DC271" s="1073"/>
      <c r="DG271" s="1137">
        <f>SUM(DG268:DG270)</f>
        <v>15013915</v>
      </c>
      <c r="DH271" s="1138">
        <f>SUM(DH268:DH270)</f>
        <v>6316427.0349811129</v>
      </c>
      <c r="DI271" s="1138">
        <f>SUM(DI268:DI270)</f>
        <v>1323662.2331090909</v>
      </c>
      <c r="DJ271" s="1138">
        <f>SUM(DJ268:DJ270)</f>
        <v>7373825.7319097947</v>
      </c>
      <c r="DK271" s="1073"/>
      <c r="DO271" s="1137">
        <f>SUM(DO268:DO270)</f>
        <v>15013915</v>
      </c>
      <c r="DP271" s="1138">
        <f>SUM(DP268:DP270)</f>
        <v>6316427.0349811129</v>
      </c>
      <c r="DQ271" s="1138">
        <f>SUM(DQ268:DQ270)</f>
        <v>1323662.2331090909</v>
      </c>
      <c r="DR271" s="1138">
        <f>SUM(DR268:DR270)</f>
        <v>7373825.7319097947</v>
      </c>
      <c r="DS271" s="1073"/>
      <c r="DW271" s="1137">
        <f>SUM(DW268:DW270)</f>
        <v>15013915</v>
      </c>
      <c r="DX271" s="1138">
        <f>SUM(DX268:DX270)</f>
        <v>6316427.0349811129</v>
      </c>
      <c r="DY271" s="1138">
        <f>SUM(DY268:DY270)</f>
        <v>1323662.2331090909</v>
      </c>
      <c r="DZ271" s="1138">
        <f>SUM(DZ268:DZ270)</f>
        <v>7373825.7319097947</v>
      </c>
      <c r="EA271" s="1073"/>
      <c r="EE271" s="1137">
        <f>SUM(EE268:EE270)</f>
        <v>15013915</v>
      </c>
      <c r="EF271" s="1138">
        <f>SUM(EF268:EF270)</f>
        <v>6316427.0349811129</v>
      </c>
      <c r="EG271" s="1138">
        <f>SUM(EG268:EG270)</f>
        <v>1323662.2331090909</v>
      </c>
      <c r="EH271" s="1138">
        <f>SUM(EH268:EH270)</f>
        <v>7373825.7319097947</v>
      </c>
      <c r="EI271" s="1073"/>
      <c r="EM271" s="1137">
        <f>SUM(EM268:EM270)</f>
        <v>15013915</v>
      </c>
      <c r="EN271" s="1138">
        <f>SUM(EN268:EN270)</f>
        <v>6316427.0349811129</v>
      </c>
      <c r="EO271" s="1138">
        <f>SUM(EO268:EO270)</f>
        <v>1323662.2331090909</v>
      </c>
      <c r="EP271" s="1138">
        <f>SUM(EP268:EP270)</f>
        <v>7373825.7319097947</v>
      </c>
      <c r="EQ271" s="1073"/>
      <c r="EU271" s="1137">
        <f>SUM(EU268:EU270)</f>
        <v>15013915</v>
      </c>
      <c r="EV271" s="1138">
        <f>SUM(EV268:EV270)</f>
        <v>6316427.0349811129</v>
      </c>
      <c r="EW271" s="1138">
        <f>SUM(EW268:EW270)</f>
        <v>1323662.2331090909</v>
      </c>
      <c r="EX271" s="1138">
        <f>SUM(EX268:EX270)</f>
        <v>7373825.7319097947</v>
      </c>
      <c r="EY271" s="1073"/>
      <c r="FC271" s="1137">
        <f>SUM(FC268:FC270)</f>
        <v>15013915</v>
      </c>
      <c r="FD271" s="1138">
        <f>SUM(FD268:FD270)</f>
        <v>6316427.0349811129</v>
      </c>
      <c r="FE271" s="1138">
        <f>SUM(FE268:FE270)</f>
        <v>1323662.2331090909</v>
      </c>
      <c r="FF271" s="1138">
        <f>SUM(FF268:FF270)</f>
        <v>7373825.7319097947</v>
      </c>
      <c r="FG271" s="1073"/>
      <c r="FK271" s="1137">
        <f>SUM(FK268:FK270)</f>
        <v>15013915</v>
      </c>
      <c r="FL271" s="1138">
        <f>SUM(FL268:FL270)</f>
        <v>6316427.0349811129</v>
      </c>
      <c r="FM271" s="1138">
        <f>SUM(FM268:FM270)</f>
        <v>1323662.2331090909</v>
      </c>
      <c r="FN271" s="1138">
        <f>SUM(FN268:FN270)</f>
        <v>7373825.7319097947</v>
      </c>
      <c r="FO271" s="1073"/>
    </row>
    <row r="272" spans="1:171">
      <c r="A272" s="1481"/>
      <c r="B272" s="58"/>
      <c r="C272" s="1024"/>
      <c r="D272" s="1025"/>
      <c r="E272" s="196"/>
      <c r="F272" s="196"/>
      <c r="G272" s="197"/>
      <c r="H272" s="197"/>
      <c r="I272" s="197"/>
      <c r="J272" s="1482"/>
      <c r="K272" s="903"/>
      <c r="S272" s="1073"/>
      <c r="AA272" s="1073"/>
      <c r="AI272" s="1073"/>
      <c r="AQ272" s="1073"/>
      <c r="AY272" s="1073"/>
      <c r="BG272" s="1073"/>
      <c r="BO272" s="1073"/>
      <c r="BW272" s="1073"/>
      <c r="CE272" s="1073"/>
      <c r="CM272" s="1073"/>
      <c r="CU272" s="1073"/>
      <c r="DC272" s="1073"/>
      <c r="DK272" s="1073"/>
      <c r="DS272" s="1073"/>
      <c r="EA272" s="1073"/>
      <c r="EI272" s="1073"/>
      <c r="EQ272" s="1073"/>
      <c r="EY272" s="1073"/>
      <c r="FG272" s="1073"/>
      <c r="FO272" s="1073"/>
    </row>
    <row r="273" spans="1:171">
      <c r="A273" s="1483" t="s">
        <v>38</v>
      </c>
      <c r="B273" s="63"/>
      <c r="C273" s="150"/>
      <c r="D273" s="195"/>
      <c r="E273" s="196"/>
      <c r="F273" s="196"/>
      <c r="G273" s="197"/>
      <c r="H273" s="197"/>
      <c r="I273" s="197"/>
      <c r="J273" s="1482"/>
      <c r="K273" s="903"/>
      <c r="S273" s="1073"/>
      <c r="AA273" s="1073"/>
      <c r="AI273" s="1073"/>
      <c r="AQ273" s="1073"/>
      <c r="AY273" s="1073"/>
      <c r="BG273" s="1073"/>
      <c r="BO273" s="1073"/>
      <c r="BW273" s="1073"/>
      <c r="CE273" s="1073"/>
      <c r="CM273" s="1073"/>
      <c r="CU273" s="1073"/>
      <c r="DC273" s="1073"/>
      <c r="DK273" s="1073"/>
      <c r="DS273" s="1073"/>
      <c r="EA273" s="1073"/>
      <c r="EI273" s="1073"/>
      <c r="EQ273" s="1073"/>
      <c r="EY273" s="1073"/>
      <c r="FG273" s="1073"/>
      <c r="FO273" s="1073"/>
    </row>
    <row r="274" spans="1:171">
      <c r="A274" s="1444">
        <v>96000</v>
      </c>
      <c r="B274" s="63" t="s">
        <v>571</v>
      </c>
      <c r="C274" s="1022">
        <v>262</v>
      </c>
      <c r="D274" s="1023">
        <v>408.1</v>
      </c>
      <c r="E274" s="182" t="str">
        <f>'Sch 3A - Taxes'!E22</f>
        <v>PTDG</v>
      </c>
      <c r="F274" s="889"/>
      <c r="G274" s="182">
        <f>'Sch 3A - Taxes'!F22</f>
        <v>37863278</v>
      </c>
      <c r="H274" s="182">
        <f>'Sch 3A - Taxes'!G22</f>
        <v>12048954.657508478</v>
      </c>
      <c r="I274" s="182">
        <f>'Sch 3A - Taxes'!H22</f>
        <v>0</v>
      </c>
      <c r="J274" s="1424">
        <f>'Sch 3A - Taxes'!I22</f>
        <v>25814323.338601049</v>
      </c>
      <c r="K274" s="903">
        <f t="shared" ref="K274:K280" si="730">IF($E274="DIRECT",0,1)</f>
        <v>1</v>
      </c>
      <c r="N274" s="1161">
        <f>VLOOKUP($A274,'New Resources - Group'!$A$4:$Y$133,N$2,FALSE)*N$1</f>
        <v>0</v>
      </c>
      <c r="O274" s="1116">
        <f>$G274+N274</f>
        <v>37863278</v>
      </c>
      <c r="P274" s="1117">
        <f t="shared" ref="P274:P280" si="731">VLOOKUP($E274,O$442:R$453,2,FALSE)*O274*($K274)+IF($G274&lt;&gt;0,($H274/$G274)*O274,0)*(1-$K274)</f>
        <v>12048954.657508478</v>
      </c>
      <c r="Q274" s="1117">
        <f t="shared" ref="Q274:Q280" si="732">VLOOKUP($E274,O$442:R$453,3,FALSE)*O274*($K274)+IF($G274&lt;&gt;0,($I274/$G274)*O274,0)*(1-$K274)</f>
        <v>7787688.5104661146</v>
      </c>
      <c r="R274" s="1117">
        <f t="shared" ref="R274:R280" si="733">VLOOKUP($E274,O$442:R$453,4,FALSE)*O274*($K274)+(O274-P274-Q274)*(1-$K274)</f>
        <v>18026634.832025412</v>
      </c>
      <c r="S274" s="1073"/>
      <c r="V274" s="1161">
        <f>VLOOKUP($A274,'New Resources - Group'!$A$4:$Y$133,V$2,FALSE)*V$1</f>
        <v>0</v>
      </c>
      <c r="W274" s="1116">
        <f>$G274+V274</f>
        <v>37863278</v>
      </c>
      <c r="X274" s="1117">
        <f t="shared" ref="X274:X280" si="734">VLOOKUP($E274,W$442:Z$453,2,FALSE)*W274*($K274)+IF($G274&lt;&gt;0,($H274/$G274)*W274,0)*(1-$K274)</f>
        <v>12048954.657508478</v>
      </c>
      <c r="Y274" s="1117">
        <f t="shared" ref="Y274:Y280" si="735">VLOOKUP($E274,W$442:Z$453,3,FALSE)*W274*($K274)+IF($G274&lt;&gt;0,($I274/$G274)*W274,0)*(1-$K274)</f>
        <v>7787688.5104661146</v>
      </c>
      <c r="Z274" s="1117">
        <f t="shared" ref="Z274:Z280" si="736">VLOOKUP($E274,W$442:Z$453,4,FALSE)*W274*($K274)+(W274-X274-Y274)*(1-$K274)</f>
        <v>18026634.832025412</v>
      </c>
      <c r="AA274" s="1073"/>
      <c r="AD274" s="1161">
        <f>VLOOKUP($A274,'New Resources - Group'!$A$4:$Y$133,AD$2,FALSE)*AD$1</f>
        <v>0</v>
      </c>
      <c r="AE274" s="1116">
        <f>$G274+AD274</f>
        <v>37863278</v>
      </c>
      <c r="AF274" s="1117">
        <f t="shared" ref="AF274:AF280" si="737">VLOOKUP($E274,AE$442:AH$453,2,FALSE)*AE274*($K274)+IF($G274&lt;&gt;0,($H274/$G274)*AE274,0)*(1-$K274)</f>
        <v>12048954.657508478</v>
      </c>
      <c r="AG274" s="1117">
        <f t="shared" ref="AG274:AG280" si="738">VLOOKUP($E274,AE$442:AH$453,3,FALSE)*AE274*($K274)+IF($G274&lt;&gt;0,($I274/$G274)*AE274,0)*(1-$K274)</f>
        <v>7787688.5104661146</v>
      </c>
      <c r="AH274" s="1117">
        <f t="shared" ref="AH274:AH280" si="739">VLOOKUP($E274,AE$442:AH$453,4,FALSE)*AE274*($K274)+(AE274-AF274-AG274)*(1-$K274)</f>
        <v>18026634.832025412</v>
      </c>
      <c r="AI274" s="1073"/>
      <c r="AL274" s="1161">
        <f>VLOOKUP($A274,'New Resources - Group'!$A$4:$Y$133,AL$2,FALSE)*AL$1</f>
        <v>0</v>
      </c>
      <c r="AM274" s="1116">
        <f>$G274+AL274</f>
        <v>37863278</v>
      </c>
      <c r="AN274" s="1117">
        <f t="shared" ref="AN274:AN280" si="740">VLOOKUP($E274,AM$442:AP$453,2,FALSE)*AM274*($K274)+IF($G274&lt;&gt;0,($H274/$G274)*AM274,0)*(1-$K274)</f>
        <v>12048954.657508478</v>
      </c>
      <c r="AO274" s="1117">
        <f t="shared" ref="AO274:AO280" si="741">VLOOKUP($E274,AM$442:AP$453,3,FALSE)*AM274*($K274)+IF($G274&lt;&gt;0,($I274/$G274)*AM274,0)*(1-$K274)</f>
        <v>7787688.5104661146</v>
      </c>
      <c r="AP274" s="1117">
        <f t="shared" ref="AP274:AP280" si="742">VLOOKUP($E274,AM$442:AP$453,4,FALSE)*AM274*($K274)+(AM274-AN274-AO274)*(1-$K274)</f>
        <v>18026634.832025412</v>
      </c>
      <c r="AQ274" s="1073"/>
      <c r="AT274" s="1161">
        <f>VLOOKUP($A274,'New Resources - Group'!$A$4:$Y$133,AT$2,FALSE)*AT$1</f>
        <v>0</v>
      </c>
      <c r="AU274" s="1116">
        <f>$G274+AT274</f>
        <v>37863278</v>
      </c>
      <c r="AV274" s="1117">
        <f t="shared" ref="AV274:AV280" si="743">VLOOKUP($E274,AU$442:AX$453,2,FALSE)*AU274*($K274)+IF($G274&lt;&gt;0,($H274/$G274)*AU274,0)*(1-$K274)</f>
        <v>12048954.657508478</v>
      </c>
      <c r="AW274" s="1117">
        <f t="shared" ref="AW274:AW280" si="744">VLOOKUP($E274,AU$442:AX$453,3,FALSE)*AU274*($K274)+IF($G274&lt;&gt;0,($I274/$G274)*AU274,0)*(1-$K274)</f>
        <v>7787688.5104661146</v>
      </c>
      <c r="AX274" s="1117">
        <f t="shared" ref="AX274:AX280" si="745">VLOOKUP($E274,AU$442:AX$453,4,FALSE)*AU274*($K274)+(AU274-AV274-AW274)*(1-$K274)</f>
        <v>18026634.832025412</v>
      </c>
      <c r="AY274" s="1073"/>
      <c r="BB274" s="1161">
        <f>VLOOKUP($A274,'New Resources - Group'!$A$4:$Y$133,BB$2,FALSE)*BB$1</f>
        <v>0</v>
      </c>
      <c r="BC274" s="1116">
        <f>$G274+BB274</f>
        <v>37863278</v>
      </c>
      <c r="BD274" s="1117">
        <f t="shared" ref="BD274:BD280" si="746">VLOOKUP($E274,BC$442:BF$453,2,FALSE)*BC274*($K274)+IF($G274&lt;&gt;0,($H274/$G274)*BC274,0)*(1-$K274)</f>
        <v>12048954.657508478</v>
      </c>
      <c r="BE274" s="1117">
        <f t="shared" ref="BE274:BE280" si="747">VLOOKUP($E274,BC$442:BF$453,3,FALSE)*BC274*($K274)+IF($G274&lt;&gt;0,($I274/$G274)*BC274,0)*(1-$K274)</f>
        <v>7787688.5104661146</v>
      </c>
      <c r="BF274" s="1117">
        <f t="shared" ref="BF274:BF280" si="748">VLOOKUP($E274,BC$442:BF$453,4,FALSE)*BC274*($K274)+(BC274-BD274-BE274)*(1-$K274)</f>
        <v>18026634.832025412</v>
      </c>
      <c r="BG274" s="1073"/>
      <c r="BJ274" s="1161">
        <f>VLOOKUP($A274,'New Resources - Group'!$A$4:$Y$133,BJ$2,FALSE)*BJ$1</f>
        <v>0</v>
      </c>
      <c r="BK274" s="1116">
        <f>$G274+BJ274</f>
        <v>37863278</v>
      </c>
      <c r="BL274" s="1117">
        <f t="shared" ref="BL274:BL280" si="749">VLOOKUP($E274,BK$442:BN$453,2,FALSE)*BK274*($K274)+IF($G274&lt;&gt;0,($H274/$G274)*BK274,0)*(1-$K274)</f>
        <v>12048954.657508478</v>
      </c>
      <c r="BM274" s="1117">
        <f t="shared" ref="BM274:BM280" si="750">VLOOKUP($E274,BK$442:BN$453,3,FALSE)*BK274*($K274)+IF($G274&lt;&gt;0,($I274/$G274)*BK274,0)*(1-$K274)</f>
        <v>7787688.5104661146</v>
      </c>
      <c r="BN274" s="1117">
        <f t="shared" ref="BN274:BN280" si="751">VLOOKUP($E274,BK$442:BN$453,4,FALSE)*BK274*($K274)+(BK274-BL274-BM274)*(1-$K274)</f>
        <v>18026634.832025412</v>
      </c>
      <c r="BO274" s="1073"/>
      <c r="BR274" s="1161">
        <f>VLOOKUP($A274,'New Resources - Group'!$A$4:$Y$133,BR$2,FALSE)*BR$1</f>
        <v>0</v>
      </c>
      <c r="BS274" s="1116">
        <f>$G274+BR274</f>
        <v>37863278</v>
      </c>
      <c r="BT274" s="1117">
        <f t="shared" ref="BT274:BT280" si="752">VLOOKUP($E274,BS$442:BV$453,2,FALSE)*BS274*($K274)+IF($G274&lt;&gt;0,($H274/$G274)*BS274,0)*(1-$K274)</f>
        <v>12048954.657508478</v>
      </c>
      <c r="BU274" s="1117">
        <f t="shared" ref="BU274:BU280" si="753">VLOOKUP($E274,BS$442:BV$453,3,FALSE)*BS274*($K274)+IF($G274&lt;&gt;0,($I274/$G274)*BS274,0)*(1-$K274)</f>
        <v>7787688.5104661146</v>
      </c>
      <c r="BV274" s="1117">
        <f t="shared" ref="BV274:BV280" si="754">VLOOKUP($E274,BS$442:BV$453,4,FALSE)*BS274*($K274)+(BS274-BT274-BU274)*(1-$K274)</f>
        <v>18026634.832025412</v>
      </c>
      <c r="BW274" s="1073"/>
      <c r="BZ274" s="1161">
        <f>VLOOKUP($A274,'New Resources - Group'!$A$4:$Y$133,BZ$2,FALSE)*BZ$1</f>
        <v>0</v>
      </c>
      <c r="CA274" s="1116">
        <f>$G274+BZ274</f>
        <v>37863278</v>
      </c>
      <c r="CB274" s="1117">
        <f t="shared" ref="CB274:CB280" si="755">VLOOKUP($E274,CA$442:CD$453,2,FALSE)*CA274*($K274)+IF($G274&lt;&gt;0,($H274/$G274)*CA274,0)*(1-$K274)</f>
        <v>12048954.657508478</v>
      </c>
      <c r="CC274" s="1117">
        <f t="shared" ref="CC274:CC280" si="756">VLOOKUP($E274,CA$442:CD$453,3,FALSE)*CA274*($K274)+IF($G274&lt;&gt;0,($I274/$G274)*CA274,0)*(1-$K274)</f>
        <v>7787688.5104661146</v>
      </c>
      <c r="CD274" s="1117">
        <f t="shared" ref="CD274:CD280" si="757">VLOOKUP($E274,CA$442:CD$453,4,FALSE)*CA274*($K274)+(CA274-CB274-CC274)*(1-$K274)</f>
        <v>18026634.832025412</v>
      </c>
      <c r="CE274" s="1073"/>
      <c r="CH274" s="1161">
        <f>VLOOKUP($A274,'New Resources - Group'!$A$4:$Y$133,CH$2,FALSE)*CH$1</f>
        <v>0</v>
      </c>
      <c r="CI274" s="1116">
        <f>$G274+CH274</f>
        <v>37863278</v>
      </c>
      <c r="CJ274" s="1117">
        <f t="shared" ref="CJ274:CJ280" si="758">VLOOKUP($E274,CI$442:CL$453,2,FALSE)*CI274*($K274)+IF($G274&lt;&gt;0,($H274/$G274)*CI274,0)*(1-$K274)</f>
        <v>12048954.657508478</v>
      </c>
      <c r="CK274" s="1117">
        <f t="shared" ref="CK274:CK280" si="759">VLOOKUP($E274,CI$442:CL$453,3,FALSE)*CI274*($K274)+IF($G274&lt;&gt;0,($I274/$G274)*CI274,0)*(1-$K274)</f>
        <v>7787688.5104661146</v>
      </c>
      <c r="CL274" s="1117">
        <f t="shared" ref="CL274:CL280" si="760">VLOOKUP($E274,CI$442:CL$453,4,FALSE)*CI274*($K274)+(CI274-CJ274-CK274)*(1-$K274)</f>
        <v>18026634.832025412</v>
      </c>
      <c r="CM274" s="1073"/>
      <c r="CP274" s="1161">
        <f>VLOOKUP($A274,'New Resources - Group'!$A$4:$Y$133,CP$2,FALSE)*CP$1</f>
        <v>0</v>
      </c>
      <c r="CQ274" s="1116">
        <f>$G274+CP274</f>
        <v>37863278</v>
      </c>
      <c r="CR274" s="1117">
        <f t="shared" ref="CR274:CR280" si="761">VLOOKUP($E274,CQ$442:CT$453,2,FALSE)*CQ274*($K274)+IF($G274&lt;&gt;0,($H274/$G274)*CQ274,0)*(1-$K274)</f>
        <v>12048954.657508478</v>
      </c>
      <c r="CS274" s="1117">
        <f t="shared" ref="CS274:CS280" si="762">VLOOKUP($E274,CQ$442:CT$453,3,FALSE)*CQ274*($K274)+IF($G274&lt;&gt;0,($I274/$G274)*CQ274,0)*(1-$K274)</f>
        <v>7787688.5104661146</v>
      </c>
      <c r="CT274" s="1117">
        <f t="shared" ref="CT274:CT280" si="763">VLOOKUP($E274,CQ$442:CT$453,4,FALSE)*CQ274*($K274)+(CQ274-CR274-CS274)*(1-$K274)</f>
        <v>18026634.832025412</v>
      </c>
      <c r="CU274" s="1073"/>
      <c r="CX274" s="1161">
        <f>VLOOKUP($A274,'New Resources - Group'!$A$4:$Y$133,CX$2,FALSE)*CX$1</f>
        <v>0</v>
      </c>
      <c r="CY274" s="1116">
        <f>$G274+CX274</f>
        <v>37863278</v>
      </c>
      <c r="CZ274" s="1117">
        <f t="shared" ref="CZ274:CZ280" si="764">VLOOKUP($E274,CY$442:DB$453,2,FALSE)*CY274*($K274)+IF($G274&lt;&gt;0,($H274/$G274)*CY274,0)*(1-$K274)</f>
        <v>12048954.657508478</v>
      </c>
      <c r="DA274" s="1117">
        <f t="shared" ref="DA274:DA280" si="765">VLOOKUP($E274,CY$442:DB$453,3,FALSE)*CY274*($K274)+IF($G274&lt;&gt;0,($I274/$G274)*CY274,0)*(1-$K274)</f>
        <v>7787688.5104661146</v>
      </c>
      <c r="DB274" s="1117">
        <f t="shared" ref="DB274:DB280" si="766">VLOOKUP($E274,CY$442:DB$453,4,FALSE)*CY274*($K274)+(CY274-CZ274-DA274)*(1-$K274)</f>
        <v>18026634.832025412</v>
      </c>
      <c r="DC274" s="1073"/>
      <c r="DF274" s="1161">
        <f>VLOOKUP($A274,'New Resources - Group'!$A$4:$Y$133,DF$2,FALSE)*DF$1</f>
        <v>0</v>
      </c>
      <c r="DG274" s="1116">
        <f>$G274+DF274</f>
        <v>37863278</v>
      </c>
      <c r="DH274" s="1117">
        <f t="shared" ref="DH274:DH280" si="767">VLOOKUP($E274,DG$442:DJ$453,2,FALSE)*DG274*($K274)+IF($G274&lt;&gt;0,($H274/$G274)*DG274,0)*(1-$K274)</f>
        <v>12048954.657508478</v>
      </c>
      <c r="DI274" s="1117">
        <f t="shared" ref="DI274:DI280" si="768">VLOOKUP($E274,DG$442:DJ$453,3,FALSE)*DG274*($K274)+IF($G274&lt;&gt;0,($I274/$G274)*DG274,0)*(1-$K274)</f>
        <v>7787688.5104661146</v>
      </c>
      <c r="DJ274" s="1117">
        <f t="shared" ref="DJ274:DJ280" si="769">VLOOKUP($E274,DG$442:DJ$453,4,FALSE)*DG274*($K274)+(DG274-DH274-DI274)*(1-$K274)</f>
        <v>18026634.832025412</v>
      </c>
      <c r="DK274" s="1073"/>
      <c r="DN274" s="1161">
        <f>VLOOKUP($A274,'New Resources - Group'!$A$4:$Y$133,DN$2,FALSE)*DN$1</f>
        <v>0</v>
      </c>
      <c r="DO274" s="1116">
        <f>$G274+DN274</f>
        <v>37863278</v>
      </c>
      <c r="DP274" s="1117">
        <f t="shared" ref="DP274:DP280" si="770">VLOOKUP($E274,DO$442:DR$453,2,FALSE)*DO274*($K274)+IF($G274&lt;&gt;0,($H274/$G274)*DO274,0)*(1-$K274)</f>
        <v>12048954.657508478</v>
      </c>
      <c r="DQ274" s="1117">
        <f t="shared" ref="DQ274:DQ280" si="771">VLOOKUP($E274,DO$442:DR$453,3,FALSE)*DO274*($K274)+IF($G274&lt;&gt;0,($I274/$G274)*DO274,0)*(1-$K274)</f>
        <v>7787688.5104661146</v>
      </c>
      <c r="DR274" s="1117">
        <f t="shared" ref="DR274:DR280" si="772">VLOOKUP($E274,DO$442:DR$453,4,FALSE)*DO274*($K274)+(DO274-DP274-DQ274)*(1-$K274)</f>
        <v>18026634.832025412</v>
      </c>
      <c r="DS274" s="1073"/>
      <c r="DV274" s="1161">
        <f>VLOOKUP($A274,'New Resources - Group'!$A$4:$Y$133,DV$2,FALSE)*DV$1</f>
        <v>0</v>
      </c>
      <c r="DW274" s="1116">
        <f>$G274+DV274</f>
        <v>37863278</v>
      </c>
      <c r="DX274" s="1117">
        <f t="shared" ref="DX274:DX280" si="773">VLOOKUP($E274,DW$442:DZ$453,2,FALSE)*DW274*($K274)+IF($G274&lt;&gt;0,($H274/$G274)*DW274,0)*(1-$K274)</f>
        <v>12048954.657508478</v>
      </c>
      <c r="DY274" s="1117">
        <f t="shared" ref="DY274:DY280" si="774">VLOOKUP($E274,DW$442:DZ$453,3,FALSE)*DW274*($K274)+IF($G274&lt;&gt;0,($I274/$G274)*DW274,0)*(1-$K274)</f>
        <v>7787688.5104661146</v>
      </c>
      <c r="DZ274" s="1117">
        <f t="shared" ref="DZ274:DZ280" si="775">VLOOKUP($E274,DW$442:DZ$453,4,FALSE)*DW274*($K274)+(DW274-DX274-DY274)*(1-$K274)</f>
        <v>18026634.832025412</v>
      </c>
      <c r="EA274" s="1073"/>
      <c r="ED274" s="1161">
        <f>VLOOKUP($A274,'New Resources - Group'!$A$4:$Y$133,ED$2,FALSE)*ED$1</f>
        <v>0</v>
      </c>
      <c r="EE274" s="1116">
        <f>$G274+ED274</f>
        <v>37863278</v>
      </c>
      <c r="EF274" s="1117">
        <f t="shared" ref="EF274:EF280" si="776">VLOOKUP($E274,EE$442:EH$453,2,FALSE)*EE274*($K274)+IF($G274&lt;&gt;0,($H274/$G274)*EE274,0)*(1-$K274)</f>
        <v>12048954.657508478</v>
      </c>
      <c r="EG274" s="1117">
        <f t="shared" ref="EG274:EG280" si="777">VLOOKUP($E274,EE$442:EH$453,3,FALSE)*EE274*($K274)+IF($G274&lt;&gt;0,($I274/$G274)*EE274,0)*(1-$K274)</f>
        <v>7787688.5104661146</v>
      </c>
      <c r="EH274" s="1117">
        <f t="shared" ref="EH274:EH280" si="778">VLOOKUP($E274,EE$442:EH$453,4,FALSE)*EE274*($K274)+(EE274-EF274-EG274)*(1-$K274)</f>
        <v>18026634.832025412</v>
      </c>
      <c r="EI274" s="1073"/>
      <c r="EL274" s="1161">
        <f>VLOOKUP($A274,'New Resources - Group'!$A$4:$Y$133,EL$2,FALSE)*EL$1</f>
        <v>0</v>
      </c>
      <c r="EM274" s="1116">
        <f>$G274+EL274</f>
        <v>37863278</v>
      </c>
      <c r="EN274" s="1117">
        <f t="shared" ref="EN274:EN280" si="779">VLOOKUP($E274,EM$442:EP$453,2,FALSE)*EM274*($K274)+IF($G274&lt;&gt;0,($H274/$G274)*EM274,0)*(1-$K274)</f>
        <v>12048954.657508478</v>
      </c>
      <c r="EO274" s="1117">
        <f t="shared" ref="EO274:EO280" si="780">VLOOKUP($E274,EM$442:EP$453,3,FALSE)*EM274*($K274)+IF($G274&lt;&gt;0,($I274/$G274)*EM274,0)*(1-$K274)</f>
        <v>7787688.5104661146</v>
      </c>
      <c r="EP274" s="1117">
        <f t="shared" ref="EP274:EP280" si="781">VLOOKUP($E274,EM$442:EP$453,4,FALSE)*EM274*($K274)+(EM274-EN274-EO274)*(1-$K274)</f>
        <v>18026634.832025412</v>
      </c>
      <c r="EQ274" s="1073"/>
      <c r="ET274" s="1161">
        <f>VLOOKUP($A274,'New Resources - Group'!$A$4:$Y$133,ET$2,FALSE)*ET$1</f>
        <v>0</v>
      </c>
      <c r="EU274" s="1116">
        <f>$G274+ET274</f>
        <v>37863278</v>
      </c>
      <c r="EV274" s="1117">
        <f t="shared" ref="EV274:EV280" si="782">VLOOKUP($E274,EU$442:EX$453,2,FALSE)*EU274*($K274)+IF($G274&lt;&gt;0,($H274/$G274)*EU274,0)*(1-$K274)</f>
        <v>12048954.657508478</v>
      </c>
      <c r="EW274" s="1117">
        <f t="shared" ref="EW274:EW280" si="783">VLOOKUP($E274,EU$442:EX$453,3,FALSE)*EU274*($K274)+IF($G274&lt;&gt;0,($I274/$G274)*EU274,0)*(1-$K274)</f>
        <v>7787688.5104661146</v>
      </c>
      <c r="EX274" s="1117">
        <f t="shared" ref="EX274:EX280" si="784">VLOOKUP($E274,EU$442:EX$453,4,FALSE)*EU274*($K274)+(EU274-EV274-EW274)*(1-$K274)</f>
        <v>18026634.832025412</v>
      </c>
      <c r="EY274" s="1073"/>
      <c r="FB274" s="1161">
        <f>VLOOKUP($A274,'New Resources - Group'!$A$4:$Y$133,FB$2,FALSE)*FB$1</f>
        <v>0</v>
      </c>
      <c r="FC274" s="1116">
        <f>$G274+FB274</f>
        <v>37863278</v>
      </c>
      <c r="FD274" s="1117">
        <f t="shared" ref="FD274:FD280" si="785">VLOOKUP($E274,FC$442:FF$453,2,FALSE)*FC274*($K274)+IF($G274&lt;&gt;0,($H274/$G274)*FC274,0)*(1-$K274)</f>
        <v>12048954.657508478</v>
      </c>
      <c r="FE274" s="1117">
        <f t="shared" ref="FE274:FE280" si="786">VLOOKUP($E274,FC$442:FF$453,3,FALSE)*FC274*($K274)+IF($G274&lt;&gt;0,($I274/$G274)*FC274,0)*(1-$K274)</f>
        <v>7787688.5104661146</v>
      </c>
      <c r="FF274" s="1117">
        <f t="shared" ref="FF274:FF280" si="787">VLOOKUP($E274,FC$442:FF$453,4,FALSE)*FC274*($K274)+(FC274-FD274-FE274)*(1-$K274)</f>
        <v>18026634.832025412</v>
      </c>
      <c r="FG274" s="1073"/>
      <c r="FJ274" s="1161">
        <f>VLOOKUP($A274,'New Resources - Group'!$A$4:$Y$133,FJ$2,FALSE)*FJ$1</f>
        <v>0</v>
      </c>
      <c r="FK274" s="1116">
        <f>$G274+FJ274</f>
        <v>37863278</v>
      </c>
      <c r="FL274" s="1117">
        <f t="shared" ref="FL274:FL280" si="788">VLOOKUP($E274,FK$442:FN$453,2,FALSE)*FK274*($K274)+IF($G274&lt;&gt;0,($H274/$G274)*FK274,0)*(1-$K274)</f>
        <v>12048954.657508478</v>
      </c>
      <c r="FM274" s="1117">
        <f t="shared" ref="FM274:FM280" si="789">VLOOKUP($E274,FK$442:FN$453,3,FALSE)*FK274*($K274)+IF($G274&lt;&gt;0,($I274/$G274)*FK274,0)*(1-$K274)</f>
        <v>7787688.5104661146</v>
      </c>
      <c r="FN274" s="1117">
        <f t="shared" ref="FN274:FN280" si="790">VLOOKUP($E274,FK$442:FN$453,4,FALSE)*FK274*($K274)+(FK274-FL274-FM274)*(1-$K274)</f>
        <v>18026634.832025412</v>
      </c>
      <c r="FO274" s="1073"/>
    </row>
    <row r="275" spans="1:171">
      <c r="A275" s="1374"/>
      <c r="B275" s="63" t="s">
        <v>152</v>
      </c>
      <c r="C275" s="1022">
        <v>262</v>
      </c>
      <c r="D275" s="1023">
        <v>408.1</v>
      </c>
      <c r="E275" s="182" t="str">
        <f>'Sch 3A - Taxes'!E23</f>
        <v>LABOR</v>
      </c>
      <c r="F275" s="889"/>
      <c r="G275" s="182">
        <f>'Sch 3A - Taxes'!F23</f>
        <v>110882</v>
      </c>
      <c r="H275" s="182">
        <f>'Sch 3A - Taxes'!G23</f>
        <v>40590.644982761813</v>
      </c>
      <c r="I275" s="182">
        <f>'Sch 3A - Taxes'!H23</f>
        <v>0</v>
      </c>
      <c r="J275" s="1424">
        <f>'Sch 3A - Taxes'!I23</f>
        <v>70291.355017238195</v>
      </c>
      <c r="K275" s="903">
        <f t="shared" si="730"/>
        <v>1</v>
      </c>
      <c r="O275" s="1116">
        <f t="shared" ref="O275:O280" si="791">$G275</f>
        <v>110882</v>
      </c>
      <c r="P275" s="1117">
        <f t="shared" si="731"/>
        <v>40590.644982761813</v>
      </c>
      <c r="Q275" s="1117">
        <f t="shared" si="732"/>
        <v>8506.1227627054304</v>
      </c>
      <c r="R275" s="1117">
        <f t="shared" si="733"/>
        <v>61785.232254532755</v>
      </c>
      <c r="S275" s="1073"/>
      <c r="W275" s="1116">
        <f t="shared" ref="W275:W280" si="792">$G275</f>
        <v>110882</v>
      </c>
      <c r="X275" s="1117">
        <f t="shared" si="734"/>
        <v>40590.644982761813</v>
      </c>
      <c r="Y275" s="1117">
        <f t="shared" si="735"/>
        <v>8506.1227627054304</v>
      </c>
      <c r="Z275" s="1117">
        <f t="shared" si="736"/>
        <v>61785.232254532755</v>
      </c>
      <c r="AA275" s="1073"/>
      <c r="AE275" s="1116">
        <f t="shared" ref="AE275:AE280" si="793">$G275</f>
        <v>110882</v>
      </c>
      <c r="AF275" s="1117">
        <f t="shared" si="737"/>
        <v>40590.644982761813</v>
      </c>
      <c r="AG275" s="1117">
        <f t="shared" si="738"/>
        <v>8506.1227627054304</v>
      </c>
      <c r="AH275" s="1117">
        <f t="shared" si="739"/>
        <v>61785.232254532755</v>
      </c>
      <c r="AI275" s="1073"/>
      <c r="AM275" s="1116">
        <f t="shared" ref="AM275:AM280" si="794">$G275</f>
        <v>110882</v>
      </c>
      <c r="AN275" s="1117">
        <f t="shared" si="740"/>
        <v>40590.644982761813</v>
      </c>
      <c r="AO275" s="1117">
        <f t="shared" si="741"/>
        <v>8506.1227627054304</v>
      </c>
      <c r="AP275" s="1117">
        <f t="shared" si="742"/>
        <v>61785.232254532755</v>
      </c>
      <c r="AQ275" s="1073"/>
      <c r="AU275" s="1116">
        <f t="shared" ref="AU275:AU280" si="795">$G275</f>
        <v>110882</v>
      </c>
      <c r="AV275" s="1117">
        <f t="shared" si="743"/>
        <v>40590.644982761813</v>
      </c>
      <c r="AW275" s="1117">
        <f t="shared" si="744"/>
        <v>8506.1227627054304</v>
      </c>
      <c r="AX275" s="1117">
        <f t="shared" si="745"/>
        <v>61785.232254532755</v>
      </c>
      <c r="AY275" s="1073"/>
      <c r="BC275" s="1116">
        <f t="shared" ref="BC275:BC280" si="796">$G275</f>
        <v>110882</v>
      </c>
      <c r="BD275" s="1117">
        <f t="shared" si="746"/>
        <v>40590.644982761813</v>
      </c>
      <c r="BE275" s="1117">
        <f t="shared" si="747"/>
        <v>8506.1227627054304</v>
      </c>
      <c r="BF275" s="1117">
        <f t="shared" si="748"/>
        <v>61785.232254532755</v>
      </c>
      <c r="BG275" s="1073"/>
      <c r="BK275" s="1116">
        <f t="shared" ref="BK275:BK280" si="797">$G275</f>
        <v>110882</v>
      </c>
      <c r="BL275" s="1117">
        <f t="shared" si="749"/>
        <v>40590.644982761813</v>
      </c>
      <c r="BM275" s="1117">
        <f t="shared" si="750"/>
        <v>8506.1227627054304</v>
      </c>
      <c r="BN275" s="1117">
        <f t="shared" si="751"/>
        <v>61785.232254532755</v>
      </c>
      <c r="BO275" s="1073"/>
      <c r="BS275" s="1116">
        <f t="shared" ref="BS275:BS280" si="798">$G275</f>
        <v>110882</v>
      </c>
      <c r="BT275" s="1117">
        <f t="shared" si="752"/>
        <v>40590.644982761813</v>
      </c>
      <c r="BU275" s="1117">
        <f t="shared" si="753"/>
        <v>8506.1227627054304</v>
      </c>
      <c r="BV275" s="1117">
        <f t="shared" si="754"/>
        <v>61785.232254532755</v>
      </c>
      <c r="BW275" s="1073"/>
      <c r="CA275" s="1116">
        <f t="shared" ref="CA275:CA280" si="799">$G275</f>
        <v>110882</v>
      </c>
      <c r="CB275" s="1117">
        <f t="shared" si="755"/>
        <v>40590.644982761813</v>
      </c>
      <c r="CC275" s="1117">
        <f t="shared" si="756"/>
        <v>8506.1227627054304</v>
      </c>
      <c r="CD275" s="1117">
        <f t="shared" si="757"/>
        <v>61785.232254532755</v>
      </c>
      <c r="CE275" s="1073"/>
      <c r="CI275" s="1116">
        <f t="shared" ref="CI275:CI280" si="800">$G275</f>
        <v>110882</v>
      </c>
      <c r="CJ275" s="1117">
        <f t="shared" si="758"/>
        <v>40590.644982761813</v>
      </c>
      <c r="CK275" s="1117">
        <f t="shared" si="759"/>
        <v>8506.1227627054304</v>
      </c>
      <c r="CL275" s="1117">
        <f t="shared" si="760"/>
        <v>61785.232254532755</v>
      </c>
      <c r="CM275" s="1073"/>
      <c r="CQ275" s="1116">
        <f t="shared" ref="CQ275:CQ280" si="801">$G275</f>
        <v>110882</v>
      </c>
      <c r="CR275" s="1117">
        <f t="shared" si="761"/>
        <v>40590.644982761813</v>
      </c>
      <c r="CS275" s="1117">
        <f t="shared" si="762"/>
        <v>8506.1227627054304</v>
      </c>
      <c r="CT275" s="1117">
        <f t="shared" si="763"/>
        <v>61785.232254532755</v>
      </c>
      <c r="CU275" s="1073"/>
      <c r="CY275" s="1116">
        <f t="shared" ref="CY275:CY280" si="802">$G275</f>
        <v>110882</v>
      </c>
      <c r="CZ275" s="1117">
        <f t="shared" si="764"/>
        <v>40590.644982761813</v>
      </c>
      <c r="DA275" s="1117">
        <f t="shared" si="765"/>
        <v>8506.1227627054304</v>
      </c>
      <c r="DB275" s="1117">
        <f t="shared" si="766"/>
        <v>61785.232254532755</v>
      </c>
      <c r="DC275" s="1073"/>
      <c r="DG275" s="1116">
        <f t="shared" ref="DG275:DG280" si="803">$G275</f>
        <v>110882</v>
      </c>
      <c r="DH275" s="1117">
        <f t="shared" si="767"/>
        <v>40590.644982761813</v>
      </c>
      <c r="DI275" s="1117">
        <f t="shared" si="768"/>
        <v>8506.1227627054304</v>
      </c>
      <c r="DJ275" s="1117">
        <f t="shared" si="769"/>
        <v>61785.232254532755</v>
      </c>
      <c r="DK275" s="1073"/>
      <c r="DO275" s="1116">
        <f t="shared" ref="DO275:DO280" si="804">$G275</f>
        <v>110882</v>
      </c>
      <c r="DP275" s="1117">
        <f t="shared" si="770"/>
        <v>40590.644982761813</v>
      </c>
      <c r="DQ275" s="1117">
        <f t="shared" si="771"/>
        <v>8506.1227627054304</v>
      </c>
      <c r="DR275" s="1117">
        <f t="shared" si="772"/>
        <v>61785.232254532755</v>
      </c>
      <c r="DS275" s="1073"/>
      <c r="DW275" s="1116">
        <f t="shared" ref="DW275:DW280" si="805">$G275</f>
        <v>110882</v>
      </c>
      <c r="DX275" s="1117">
        <f t="shared" si="773"/>
        <v>40590.644982761813</v>
      </c>
      <c r="DY275" s="1117">
        <f t="shared" si="774"/>
        <v>8506.1227627054304</v>
      </c>
      <c r="DZ275" s="1117">
        <f t="shared" si="775"/>
        <v>61785.232254532755</v>
      </c>
      <c r="EA275" s="1073"/>
      <c r="EE275" s="1116">
        <f t="shared" ref="EE275:EE280" si="806">$G275</f>
        <v>110882</v>
      </c>
      <c r="EF275" s="1117">
        <f t="shared" si="776"/>
        <v>40590.644982761813</v>
      </c>
      <c r="EG275" s="1117">
        <f t="shared" si="777"/>
        <v>8506.1227627054304</v>
      </c>
      <c r="EH275" s="1117">
        <f t="shared" si="778"/>
        <v>61785.232254532755</v>
      </c>
      <c r="EI275" s="1073"/>
      <c r="EM275" s="1116">
        <f t="shared" ref="EM275:EM280" si="807">$G275</f>
        <v>110882</v>
      </c>
      <c r="EN275" s="1117">
        <f t="shared" si="779"/>
        <v>40590.644982761813</v>
      </c>
      <c r="EO275" s="1117">
        <f t="shared" si="780"/>
        <v>8506.1227627054304</v>
      </c>
      <c r="EP275" s="1117">
        <f t="shared" si="781"/>
        <v>61785.232254532755</v>
      </c>
      <c r="EQ275" s="1073"/>
      <c r="EU275" s="1116">
        <f t="shared" ref="EU275:EU280" si="808">$G275</f>
        <v>110882</v>
      </c>
      <c r="EV275" s="1117">
        <f t="shared" si="782"/>
        <v>40590.644982761813</v>
      </c>
      <c r="EW275" s="1117">
        <f t="shared" si="783"/>
        <v>8506.1227627054304</v>
      </c>
      <c r="EX275" s="1117">
        <f t="shared" si="784"/>
        <v>61785.232254532755</v>
      </c>
      <c r="EY275" s="1073"/>
      <c r="FC275" s="1116">
        <f t="shared" ref="FC275:FC280" si="809">$G275</f>
        <v>110882</v>
      </c>
      <c r="FD275" s="1117">
        <f t="shared" si="785"/>
        <v>40590.644982761813</v>
      </c>
      <c r="FE275" s="1117">
        <f t="shared" si="786"/>
        <v>8506.1227627054304</v>
      </c>
      <c r="FF275" s="1117">
        <f t="shared" si="787"/>
        <v>61785.232254532755</v>
      </c>
      <c r="FG275" s="1073"/>
      <c r="FK275" s="1116">
        <f t="shared" ref="FK275:FK280" si="810">$G275</f>
        <v>110882</v>
      </c>
      <c r="FL275" s="1117">
        <f t="shared" si="788"/>
        <v>40590.644982761813</v>
      </c>
      <c r="FM275" s="1117">
        <f t="shared" si="789"/>
        <v>8506.1227627054304</v>
      </c>
      <c r="FN275" s="1117">
        <f t="shared" si="790"/>
        <v>61785.232254532755</v>
      </c>
      <c r="FO275" s="1073"/>
    </row>
    <row r="276" spans="1:171">
      <c r="A276" s="1374"/>
      <c r="B276" s="63" t="s">
        <v>572</v>
      </c>
      <c r="C276" s="1022">
        <v>262</v>
      </c>
      <c r="D276" s="1023">
        <v>409.1</v>
      </c>
      <c r="E276" s="182" t="str">
        <f>'Sch 3A - Taxes'!E24</f>
        <v>DIST</v>
      </c>
      <c r="F276" s="889"/>
      <c r="G276" s="182">
        <f>'Sch 3A - Taxes'!F24</f>
        <v>43491448</v>
      </c>
      <c r="H276" s="182">
        <f>'Sch 3A - Taxes'!G24</f>
        <v>0</v>
      </c>
      <c r="I276" s="182">
        <f>'Sch 3A - Taxes'!H24</f>
        <v>0</v>
      </c>
      <c r="J276" s="1424">
        <f>'Sch 3A - Taxes'!I24</f>
        <v>43491448</v>
      </c>
      <c r="K276" s="903">
        <f t="shared" si="730"/>
        <v>1</v>
      </c>
      <c r="O276" s="1116">
        <f t="shared" si="791"/>
        <v>43491448</v>
      </c>
      <c r="P276" s="1117">
        <f t="shared" si="731"/>
        <v>0</v>
      </c>
      <c r="Q276" s="1117">
        <f t="shared" si="732"/>
        <v>0</v>
      </c>
      <c r="R276" s="1117">
        <f t="shared" si="733"/>
        <v>43491448</v>
      </c>
      <c r="S276" s="1073"/>
      <c r="W276" s="1116">
        <f t="shared" si="792"/>
        <v>43491448</v>
      </c>
      <c r="X276" s="1117">
        <f t="shared" si="734"/>
        <v>0</v>
      </c>
      <c r="Y276" s="1117">
        <f t="shared" si="735"/>
        <v>0</v>
      </c>
      <c r="Z276" s="1117">
        <f t="shared" si="736"/>
        <v>43491448</v>
      </c>
      <c r="AA276" s="1073"/>
      <c r="AE276" s="1116">
        <f t="shared" si="793"/>
        <v>43491448</v>
      </c>
      <c r="AF276" s="1117">
        <f t="shared" si="737"/>
        <v>0</v>
      </c>
      <c r="AG276" s="1117">
        <f t="shared" si="738"/>
        <v>0</v>
      </c>
      <c r="AH276" s="1117">
        <f t="shared" si="739"/>
        <v>43491448</v>
      </c>
      <c r="AI276" s="1073"/>
      <c r="AM276" s="1116">
        <f t="shared" si="794"/>
        <v>43491448</v>
      </c>
      <c r="AN276" s="1117">
        <f t="shared" si="740"/>
        <v>0</v>
      </c>
      <c r="AO276" s="1117">
        <f t="shared" si="741"/>
        <v>0</v>
      </c>
      <c r="AP276" s="1117">
        <f t="shared" si="742"/>
        <v>43491448</v>
      </c>
      <c r="AQ276" s="1073"/>
      <c r="AU276" s="1116">
        <f t="shared" si="795"/>
        <v>43491448</v>
      </c>
      <c r="AV276" s="1117">
        <f t="shared" si="743"/>
        <v>0</v>
      </c>
      <c r="AW276" s="1117">
        <f t="shared" si="744"/>
        <v>0</v>
      </c>
      <c r="AX276" s="1117">
        <f t="shared" si="745"/>
        <v>43491448</v>
      </c>
      <c r="AY276" s="1073"/>
      <c r="BC276" s="1116">
        <f t="shared" si="796"/>
        <v>43491448</v>
      </c>
      <c r="BD276" s="1117">
        <f t="shared" si="746"/>
        <v>0</v>
      </c>
      <c r="BE276" s="1117">
        <f t="shared" si="747"/>
        <v>0</v>
      </c>
      <c r="BF276" s="1117">
        <f t="shared" si="748"/>
        <v>43491448</v>
      </c>
      <c r="BG276" s="1073"/>
      <c r="BK276" s="1116">
        <f t="shared" si="797"/>
        <v>43491448</v>
      </c>
      <c r="BL276" s="1117">
        <f t="shared" si="749"/>
        <v>0</v>
      </c>
      <c r="BM276" s="1117">
        <f t="shared" si="750"/>
        <v>0</v>
      </c>
      <c r="BN276" s="1117">
        <f t="shared" si="751"/>
        <v>43491448</v>
      </c>
      <c r="BO276" s="1073"/>
      <c r="BS276" s="1116">
        <f t="shared" si="798"/>
        <v>43491448</v>
      </c>
      <c r="BT276" s="1117">
        <f t="shared" si="752"/>
        <v>0</v>
      </c>
      <c r="BU276" s="1117">
        <f t="shared" si="753"/>
        <v>0</v>
      </c>
      <c r="BV276" s="1117">
        <f t="shared" si="754"/>
        <v>43491448</v>
      </c>
      <c r="BW276" s="1073"/>
      <c r="CA276" s="1116">
        <f t="shared" si="799"/>
        <v>43491448</v>
      </c>
      <c r="CB276" s="1117">
        <f t="shared" si="755"/>
        <v>0</v>
      </c>
      <c r="CC276" s="1117">
        <f t="shared" si="756"/>
        <v>0</v>
      </c>
      <c r="CD276" s="1117">
        <f t="shared" si="757"/>
        <v>43491448</v>
      </c>
      <c r="CE276" s="1073"/>
      <c r="CI276" s="1116">
        <f t="shared" si="800"/>
        <v>43491448</v>
      </c>
      <c r="CJ276" s="1117">
        <f t="shared" si="758"/>
        <v>0</v>
      </c>
      <c r="CK276" s="1117">
        <f t="shared" si="759"/>
        <v>0</v>
      </c>
      <c r="CL276" s="1117">
        <f t="shared" si="760"/>
        <v>43491448</v>
      </c>
      <c r="CM276" s="1073"/>
      <c r="CQ276" s="1116">
        <f t="shared" si="801"/>
        <v>43491448</v>
      </c>
      <c r="CR276" s="1117">
        <f t="shared" si="761"/>
        <v>0</v>
      </c>
      <c r="CS276" s="1117">
        <f t="shared" si="762"/>
        <v>0</v>
      </c>
      <c r="CT276" s="1117">
        <f t="shared" si="763"/>
        <v>43491448</v>
      </c>
      <c r="CU276" s="1073"/>
      <c r="CY276" s="1116">
        <f t="shared" si="802"/>
        <v>43491448</v>
      </c>
      <c r="CZ276" s="1117">
        <f t="shared" si="764"/>
        <v>0</v>
      </c>
      <c r="DA276" s="1117">
        <f t="shared" si="765"/>
        <v>0</v>
      </c>
      <c r="DB276" s="1117">
        <f t="shared" si="766"/>
        <v>43491448</v>
      </c>
      <c r="DC276" s="1073"/>
      <c r="DG276" s="1116">
        <f t="shared" si="803"/>
        <v>43491448</v>
      </c>
      <c r="DH276" s="1117">
        <f t="shared" si="767"/>
        <v>0</v>
      </c>
      <c r="DI276" s="1117">
        <f t="shared" si="768"/>
        <v>0</v>
      </c>
      <c r="DJ276" s="1117">
        <f t="shared" si="769"/>
        <v>43491448</v>
      </c>
      <c r="DK276" s="1073"/>
      <c r="DO276" s="1116">
        <f t="shared" si="804"/>
        <v>43491448</v>
      </c>
      <c r="DP276" s="1117">
        <f t="shared" si="770"/>
        <v>0</v>
      </c>
      <c r="DQ276" s="1117">
        <f t="shared" si="771"/>
        <v>0</v>
      </c>
      <c r="DR276" s="1117">
        <f t="shared" si="772"/>
        <v>43491448</v>
      </c>
      <c r="DS276" s="1073"/>
      <c r="DW276" s="1116">
        <f t="shared" si="805"/>
        <v>43491448</v>
      </c>
      <c r="DX276" s="1117">
        <f t="shared" si="773"/>
        <v>0</v>
      </c>
      <c r="DY276" s="1117">
        <f t="shared" si="774"/>
        <v>0</v>
      </c>
      <c r="DZ276" s="1117">
        <f t="shared" si="775"/>
        <v>43491448</v>
      </c>
      <c r="EA276" s="1073"/>
      <c r="EE276" s="1116">
        <f t="shared" si="806"/>
        <v>43491448</v>
      </c>
      <c r="EF276" s="1117">
        <f t="shared" si="776"/>
        <v>0</v>
      </c>
      <c r="EG276" s="1117">
        <f t="shared" si="777"/>
        <v>0</v>
      </c>
      <c r="EH276" s="1117">
        <f t="shared" si="778"/>
        <v>43491448</v>
      </c>
      <c r="EI276" s="1073"/>
      <c r="EM276" s="1116">
        <f t="shared" si="807"/>
        <v>43491448</v>
      </c>
      <c r="EN276" s="1117">
        <f t="shared" si="779"/>
        <v>0</v>
      </c>
      <c r="EO276" s="1117">
        <f t="shared" si="780"/>
        <v>0</v>
      </c>
      <c r="EP276" s="1117">
        <f t="shared" si="781"/>
        <v>43491448</v>
      </c>
      <c r="EQ276" s="1073"/>
      <c r="EU276" s="1116">
        <f t="shared" si="808"/>
        <v>43491448</v>
      </c>
      <c r="EV276" s="1117">
        <f t="shared" si="782"/>
        <v>0</v>
      </c>
      <c r="EW276" s="1117">
        <f t="shared" si="783"/>
        <v>0</v>
      </c>
      <c r="EX276" s="1117">
        <f t="shared" si="784"/>
        <v>43491448</v>
      </c>
      <c r="EY276" s="1073"/>
      <c r="FC276" s="1116">
        <f t="shared" si="809"/>
        <v>43491448</v>
      </c>
      <c r="FD276" s="1117">
        <f t="shared" si="785"/>
        <v>0</v>
      </c>
      <c r="FE276" s="1117">
        <f t="shared" si="786"/>
        <v>0</v>
      </c>
      <c r="FF276" s="1117">
        <f t="shared" si="787"/>
        <v>43491448</v>
      </c>
      <c r="FG276" s="1073"/>
      <c r="FK276" s="1116">
        <f t="shared" si="810"/>
        <v>43491448</v>
      </c>
      <c r="FL276" s="1117">
        <f t="shared" si="788"/>
        <v>0</v>
      </c>
      <c r="FM276" s="1117">
        <f t="shared" si="789"/>
        <v>0</v>
      </c>
      <c r="FN276" s="1117">
        <f t="shared" si="790"/>
        <v>43491448</v>
      </c>
      <c r="FO276" s="1073"/>
    </row>
    <row r="277" spans="1:171">
      <c r="A277" s="1374"/>
      <c r="B277" s="63" t="s">
        <v>573</v>
      </c>
      <c r="C277" s="1022">
        <v>262</v>
      </c>
      <c r="D277" s="1023">
        <v>408.1</v>
      </c>
      <c r="E277" s="182" t="str">
        <f>'Sch 3A - Taxes'!E25</f>
        <v>DIST</v>
      </c>
      <c r="F277" s="889"/>
      <c r="G277" s="182">
        <f>'Sch 3A - Taxes'!F25</f>
        <v>5991378</v>
      </c>
      <c r="H277" s="182">
        <f>'Sch 3A - Taxes'!G25</f>
        <v>0</v>
      </c>
      <c r="I277" s="182">
        <f>'Sch 3A - Taxes'!H25</f>
        <v>0</v>
      </c>
      <c r="J277" s="1424">
        <f>'Sch 3A - Taxes'!I25</f>
        <v>5991378</v>
      </c>
      <c r="K277" s="903">
        <f t="shared" si="730"/>
        <v>1</v>
      </c>
      <c r="O277" s="1116">
        <f t="shared" si="791"/>
        <v>5991378</v>
      </c>
      <c r="P277" s="1117">
        <f t="shared" si="731"/>
        <v>0</v>
      </c>
      <c r="Q277" s="1117">
        <f t="shared" si="732"/>
        <v>0</v>
      </c>
      <c r="R277" s="1117">
        <f t="shared" si="733"/>
        <v>5991378</v>
      </c>
      <c r="S277" s="1073"/>
      <c r="W277" s="1116">
        <f t="shared" si="792"/>
        <v>5991378</v>
      </c>
      <c r="X277" s="1117">
        <f t="shared" si="734"/>
        <v>0</v>
      </c>
      <c r="Y277" s="1117">
        <f t="shared" si="735"/>
        <v>0</v>
      </c>
      <c r="Z277" s="1117">
        <f t="shared" si="736"/>
        <v>5991378</v>
      </c>
      <c r="AA277" s="1073"/>
      <c r="AE277" s="1116">
        <f t="shared" si="793"/>
        <v>5991378</v>
      </c>
      <c r="AF277" s="1117">
        <f t="shared" si="737"/>
        <v>0</v>
      </c>
      <c r="AG277" s="1117">
        <f t="shared" si="738"/>
        <v>0</v>
      </c>
      <c r="AH277" s="1117">
        <f t="shared" si="739"/>
        <v>5991378</v>
      </c>
      <c r="AI277" s="1073"/>
      <c r="AM277" s="1116">
        <f t="shared" si="794"/>
        <v>5991378</v>
      </c>
      <c r="AN277" s="1117">
        <f t="shared" si="740"/>
        <v>0</v>
      </c>
      <c r="AO277" s="1117">
        <f t="shared" si="741"/>
        <v>0</v>
      </c>
      <c r="AP277" s="1117">
        <f t="shared" si="742"/>
        <v>5991378</v>
      </c>
      <c r="AQ277" s="1073"/>
      <c r="AU277" s="1116">
        <f t="shared" si="795"/>
        <v>5991378</v>
      </c>
      <c r="AV277" s="1117">
        <f t="shared" si="743"/>
        <v>0</v>
      </c>
      <c r="AW277" s="1117">
        <f t="shared" si="744"/>
        <v>0</v>
      </c>
      <c r="AX277" s="1117">
        <f t="shared" si="745"/>
        <v>5991378</v>
      </c>
      <c r="AY277" s="1073"/>
      <c r="BC277" s="1116">
        <f t="shared" si="796"/>
        <v>5991378</v>
      </c>
      <c r="BD277" s="1117">
        <f t="shared" si="746"/>
        <v>0</v>
      </c>
      <c r="BE277" s="1117">
        <f t="shared" si="747"/>
        <v>0</v>
      </c>
      <c r="BF277" s="1117">
        <f t="shared" si="748"/>
        <v>5991378</v>
      </c>
      <c r="BG277" s="1073"/>
      <c r="BK277" s="1116">
        <f t="shared" si="797"/>
        <v>5991378</v>
      </c>
      <c r="BL277" s="1117">
        <f t="shared" si="749"/>
        <v>0</v>
      </c>
      <c r="BM277" s="1117">
        <f t="shared" si="750"/>
        <v>0</v>
      </c>
      <c r="BN277" s="1117">
        <f t="shared" si="751"/>
        <v>5991378</v>
      </c>
      <c r="BO277" s="1073"/>
      <c r="BS277" s="1116">
        <f t="shared" si="798"/>
        <v>5991378</v>
      </c>
      <c r="BT277" s="1117">
        <f t="shared" si="752"/>
        <v>0</v>
      </c>
      <c r="BU277" s="1117">
        <f t="shared" si="753"/>
        <v>0</v>
      </c>
      <c r="BV277" s="1117">
        <f t="shared" si="754"/>
        <v>5991378</v>
      </c>
      <c r="BW277" s="1073"/>
      <c r="CA277" s="1116">
        <f t="shared" si="799"/>
        <v>5991378</v>
      </c>
      <c r="CB277" s="1117">
        <f t="shared" si="755"/>
        <v>0</v>
      </c>
      <c r="CC277" s="1117">
        <f t="shared" si="756"/>
        <v>0</v>
      </c>
      <c r="CD277" s="1117">
        <f t="shared" si="757"/>
        <v>5991378</v>
      </c>
      <c r="CE277" s="1073"/>
      <c r="CI277" s="1116">
        <f t="shared" si="800"/>
        <v>5991378</v>
      </c>
      <c r="CJ277" s="1117">
        <f t="shared" si="758"/>
        <v>0</v>
      </c>
      <c r="CK277" s="1117">
        <f t="shared" si="759"/>
        <v>0</v>
      </c>
      <c r="CL277" s="1117">
        <f t="shared" si="760"/>
        <v>5991378</v>
      </c>
      <c r="CM277" s="1073"/>
      <c r="CQ277" s="1116">
        <f t="shared" si="801"/>
        <v>5991378</v>
      </c>
      <c r="CR277" s="1117">
        <f t="shared" si="761"/>
        <v>0</v>
      </c>
      <c r="CS277" s="1117">
        <f t="shared" si="762"/>
        <v>0</v>
      </c>
      <c r="CT277" s="1117">
        <f t="shared" si="763"/>
        <v>5991378</v>
      </c>
      <c r="CU277" s="1073"/>
      <c r="CY277" s="1116">
        <f t="shared" si="802"/>
        <v>5991378</v>
      </c>
      <c r="CZ277" s="1117">
        <f t="shared" si="764"/>
        <v>0</v>
      </c>
      <c r="DA277" s="1117">
        <f t="shared" si="765"/>
        <v>0</v>
      </c>
      <c r="DB277" s="1117">
        <f t="shared" si="766"/>
        <v>5991378</v>
      </c>
      <c r="DC277" s="1073"/>
      <c r="DG277" s="1116">
        <f t="shared" si="803"/>
        <v>5991378</v>
      </c>
      <c r="DH277" s="1117">
        <f t="shared" si="767"/>
        <v>0</v>
      </c>
      <c r="DI277" s="1117">
        <f t="shared" si="768"/>
        <v>0</v>
      </c>
      <c r="DJ277" s="1117">
        <f t="shared" si="769"/>
        <v>5991378</v>
      </c>
      <c r="DK277" s="1073"/>
      <c r="DO277" s="1116">
        <f t="shared" si="804"/>
        <v>5991378</v>
      </c>
      <c r="DP277" s="1117">
        <f t="shared" si="770"/>
        <v>0</v>
      </c>
      <c r="DQ277" s="1117">
        <f t="shared" si="771"/>
        <v>0</v>
      </c>
      <c r="DR277" s="1117">
        <f t="shared" si="772"/>
        <v>5991378</v>
      </c>
      <c r="DS277" s="1073"/>
      <c r="DW277" s="1116">
        <f t="shared" si="805"/>
        <v>5991378</v>
      </c>
      <c r="DX277" s="1117">
        <f t="shared" si="773"/>
        <v>0</v>
      </c>
      <c r="DY277" s="1117">
        <f t="shared" si="774"/>
        <v>0</v>
      </c>
      <c r="DZ277" s="1117">
        <f t="shared" si="775"/>
        <v>5991378</v>
      </c>
      <c r="EA277" s="1073"/>
      <c r="EE277" s="1116">
        <f t="shared" si="806"/>
        <v>5991378</v>
      </c>
      <c r="EF277" s="1117">
        <f t="shared" si="776"/>
        <v>0</v>
      </c>
      <c r="EG277" s="1117">
        <f t="shared" si="777"/>
        <v>0</v>
      </c>
      <c r="EH277" s="1117">
        <f t="shared" si="778"/>
        <v>5991378</v>
      </c>
      <c r="EI277" s="1073"/>
      <c r="EM277" s="1116">
        <f t="shared" si="807"/>
        <v>5991378</v>
      </c>
      <c r="EN277" s="1117">
        <f t="shared" si="779"/>
        <v>0</v>
      </c>
      <c r="EO277" s="1117">
        <f t="shared" si="780"/>
        <v>0</v>
      </c>
      <c r="EP277" s="1117">
        <f t="shared" si="781"/>
        <v>5991378</v>
      </c>
      <c r="EQ277" s="1073"/>
      <c r="EU277" s="1116">
        <f t="shared" si="808"/>
        <v>5991378</v>
      </c>
      <c r="EV277" s="1117">
        <f t="shared" si="782"/>
        <v>0</v>
      </c>
      <c r="EW277" s="1117">
        <f t="shared" si="783"/>
        <v>0</v>
      </c>
      <c r="EX277" s="1117">
        <f t="shared" si="784"/>
        <v>5991378</v>
      </c>
      <c r="EY277" s="1073"/>
      <c r="FC277" s="1116">
        <f t="shared" si="809"/>
        <v>5991378</v>
      </c>
      <c r="FD277" s="1117">
        <f t="shared" si="785"/>
        <v>0</v>
      </c>
      <c r="FE277" s="1117">
        <f t="shared" si="786"/>
        <v>0</v>
      </c>
      <c r="FF277" s="1117">
        <f t="shared" si="787"/>
        <v>5991378</v>
      </c>
      <c r="FG277" s="1073"/>
      <c r="FK277" s="1116">
        <f t="shared" si="810"/>
        <v>5991378</v>
      </c>
      <c r="FL277" s="1117">
        <f t="shared" si="788"/>
        <v>0</v>
      </c>
      <c r="FM277" s="1117">
        <f t="shared" si="789"/>
        <v>0</v>
      </c>
      <c r="FN277" s="1117">
        <f t="shared" si="790"/>
        <v>5991378</v>
      </c>
      <c r="FO277" s="1073"/>
    </row>
    <row r="278" spans="1:171">
      <c r="A278" s="1374"/>
      <c r="B278" s="63" t="s">
        <v>153</v>
      </c>
      <c r="C278" s="1022">
        <v>262</v>
      </c>
      <c r="D278" s="1023">
        <v>408.1</v>
      </c>
      <c r="E278" s="182" t="str">
        <f>'Sch 3A - Taxes'!E26</f>
        <v>DIST</v>
      </c>
      <c r="F278" s="889"/>
      <c r="G278" s="182">
        <f>'Sch 3A - Taxes'!F26</f>
        <v>207</v>
      </c>
      <c r="H278" s="182">
        <f>'Sch 3A - Taxes'!G26</f>
        <v>0</v>
      </c>
      <c r="I278" s="182">
        <f>'Sch 3A - Taxes'!H26</f>
        <v>0</v>
      </c>
      <c r="J278" s="1424">
        <f>'Sch 3A - Taxes'!I26</f>
        <v>207</v>
      </c>
      <c r="K278" s="903">
        <f t="shared" si="730"/>
        <v>1</v>
      </c>
      <c r="O278" s="1116">
        <f t="shared" si="791"/>
        <v>207</v>
      </c>
      <c r="P278" s="1117">
        <f t="shared" si="731"/>
        <v>0</v>
      </c>
      <c r="Q278" s="1117">
        <f t="shared" si="732"/>
        <v>0</v>
      </c>
      <c r="R278" s="1117">
        <f t="shared" si="733"/>
        <v>207</v>
      </c>
      <c r="S278" s="1073"/>
      <c r="W278" s="1116">
        <f t="shared" si="792"/>
        <v>207</v>
      </c>
      <c r="X278" s="1117">
        <f t="shared" si="734"/>
        <v>0</v>
      </c>
      <c r="Y278" s="1117">
        <f t="shared" si="735"/>
        <v>0</v>
      </c>
      <c r="Z278" s="1117">
        <f t="shared" si="736"/>
        <v>207</v>
      </c>
      <c r="AA278" s="1073"/>
      <c r="AE278" s="1116">
        <f t="shared" si="793"/>
        <v>207</v>
      </c>
      <c r="AF278" s="1117">
        <f t="shared" si="737"/>
        <v>0</v>
      </c>
      <c r="AG278" s="1117">
        <f t="shared" si="738"/>
        <v>0</v>
      </c>
      <c r="AH278" s="1117">
        <f t="shared" si="739"/>
        <v>207</v>
      </c>
      <c r="AI278" s="1073"/>
      <c r="AM278" s="1116">
        <f t="shared" si="794"/>
        <v>207</v>
      </c>
      <c r="AN278" s="1117">
        <f t="shared" si="740"/>
        <v>0</v>
      </c>
      <c r="AO278" s="1117">
        <f t="shared" si="741"/>
        <v>0</v>
      </c>
      <c r="AP278" s="1117">
        <f t="shared" si="742"/>
        <v>207</v>
      </c>
      <c r="AQ278" s="1073"/>
      <c r="AU278" s="1116">
        <f t="shared" si="795"/>
        <v>207</v>
      </c>
      <c r="AV278" s="1117">
        <f t="shared" si="743"/>
        <v>0</v>
      </c>
      <c r="AW278" s="1117">
        <f t="shared" si="744"/>
        <v>0</v>
      </c>
      <c r="AX278" s="1117">
        <f t="shared" si="745"/>
        <v>207</v>
      </c>
      <c r="AY278" s="1073"/>
      <c r="BC278" s="1116">
        <f t="shared" si="796"/>
        <v>207</v>
      </c>
      <c r="BD278" s="1117">
        <f t="shared" si="746"/>
        <v>0</v>
      </c>
      <c r="BE278" s="1117">
        <f t="shared" si="747"/>
        <v>0</v>
      </c>
      <c r="BF278" s="1117">
        <f t="shared" si="748"/>
        <v>207</v>
      </c>
      <c r="BG278" s="1073"/>
      <c r="BK278" s="1116">
        <f t="shared" si="797"/>
        <v>207</v>
      </c>
      <c r="BL278" s="1117">
        <f t="shared" si="749"/>
        <v>0</v>
      </c>
      <c r="BM278" s="1117">
        <f t="shared" si="750"/>
        <v>0</v>
      </c>
      <c r="BN278" s="1117">
        <f t="shared" si="751"/>
        <v>207</v>
      </c>
      <c r="BO278" s="1073"/>
      <c r="BS278" s="1116">
        <f t="shared" si="798"/>
        <v>207</v>
      </c>
      <c r="BT278" s="1117">
        <f t="shared" si="752"/>
        <v>0</v>
      </c>
      <c r="BU278" s="1117">
        <f t="shared" si="753"/>
        <v>0</v>
      </c>
      <c r="BV278" s="1117">
        <f t="shared" si="754"/>
        <v>207</v>
      </c>
      <c r="BW278" s="1073"/>
      <c r="CA278" s="1116">
        <f t="shared" si="799"/>
        <v>207</v>
      </c>
      <c r="CB278" s="1117">
        <f t="shared" si="755"/>
        <v>0</v>
      </c>
      <c r="CC278" s="1117">
        <f t="shared" si="756"/>
        <v>0</v>
      </c>
      <c r="CD278" s="1117">
        <f t="shared" si="757"/>
        <v>207</v>
      </c>
      <c r="CE278" s="1073"/>
      <c r="CI278" s="1116">
        <f t="shared" si="800"/>
        <v>207</v>
      </c>
      <c r="CJ278" s="1117">
        <f t="shared" si="758"/>
        <v>0</v>
      </c>
      <c r="CK278" s="1117">
        <f t="shared" si="759"/>
        <v>0</v>
      </c>
      <c r="CL278" s="1117">
        <f t="shared" si="760"/>
        <v>207</v>
      </c>
      <c r="CM278" s="1073"/>
      <c r="CQ278" s="1116">
        <f t="shared" si="801"/>
        <v>207</v>
      </c>
      <c r="CR278" s="1117">
        <f t="shared" si="761"/>
        <v>0</v>
      </c>
      <c r="CS278" s="1117">
        <f t="shared" si="762"/>
        <v>0</v>
      </c>
      <c r="CT278" s="1117">
        <f t="shared" si="763"/>
        <v>207</v>
      </c>
      <c r="CU278" s="1073"/>
      <c r="CY278" s="1116">
        <f t="shared" si="802"/>
        <v>207</v>
      </c>
      <c r="CZ278" s="1117">
        <f t="shared" si="764"/>
        <v>0</v>
      </c>
      <c r="DA278" s="1117">
        <f t="shared" si="765"/>
        <v>0</v>
      </c>
      <c r="DB278" s="1117">
        <f t="shared" si="766"/>
        <v>207</v>
      </c>
      <c r="DC278" s="1073"/>
      <c r="DG278" s="1116">
        <f t="shared" si="803"/>
        <v>207</v>
      </c>
      <c r="DH278" s="1117">
        <f t="shared" si="767"/>
        <v>0</v>
      </c>
      <c r="DI278" s="1117">
        <f t="shared" si="768"/>
        <v>0</v>
      </c>
      <c r="DJ278" s="1117">
        <f t="shared" si="769"/>
        <v>207</v>
      </c>
      <c r="DK278" s="1073"/>
      <c r="DO278" s="1116">
        <f t="shared" si="804"/>
        <v>207</v>
      </c>
      <c r="DP278" s="1117">
        <f t="shared" si="770"/>
        <v>0</v>
      </c>
      <c r="DQ278" s="1117">
        <f t="shared" si="771"/>
        <v>0</v>
      </c>
      <c r="DR278" s="1117">
        <f t="shared" si="772"/>
        <v>207</v>
      </c>
      <c r="DS278" s="1073"/>
      <c r="DW278" s="1116">
        <f t="shared" si="805"/>
        <v>207</v>
      </c>
      <c r="DX278" s="1117">
        <f t="shared" si="773"/>
        <v>0</v>
      </c>
      <c r="DY278" s="1117">
        <f t="shared" si="774"/>
        <v>0</v>
      </c>
      <c r="DZ278" s="1117">
        <f t="shared" si="775"/>
        <v>207</v>
      </c>
      <c r="EA278" s="1073"/>
      <c r="EE278" s="1116">
        <f t="shared" si="806"/>
        <v>207</v>
      </c>
      <c r="EF278" s="1117">
        <f t="shared" si="776"/>
        <v>0</v>
      </c>
      <c r="EG278" s="1117">
        <f t="shared" si="777"/>
        <v>0</v>
      </c>
      <c r="EH278" s="1117">
        <f t="shared" si="778"/>
        <v>207</v>
      </c>
      <c r="EI278" s="1073"/>
      <c r="EM278" s="1116">
        <f t="shared" si="807"/>
        <v>207</v>
      </c>
      <c r="EN278" s="1117">
        <f t="shared" si="779"/>
        <v>0</v>
      </c>
      <c r="EO278" s="1117">
        <f t="shared" si="780"/>
        <v>0</v>
      </c>
      <c r="EP278" s="1117">
        <f t="shared" si="781"/>
        <v>207</v>
      </c>
      <c r="EQ278" s="1073"/>
      <c r="EU278" s="1116">
        <f t="shared" si="808"/>
        <v>207</v>
      </c>
      <c r="EV278" s="1117">
        <f t="shared" si="782"/>
        <v>0</v>
      </c>
      <c r="EW278" s="1117">
        <f t="shared" si="783"/>
        <v>0</v>
      </c>
      <c r="EX278" s="1117">
        <f t="shared" si="784"/>
        <v>207</v>
      </c>
      <c r="EY278" s="1073"/>
      <c r="FC278" s="1116">
        <f t="shared" si="809"/>
        <v>207</v>
      </c>
      <c r="FD278" s="1117">
        <f t="shared" si="785"/>
        <v>0</v>
      </c>
      <c r="FE278" s="1117">
        <f t="shared" si="786"/>
        <v>0</v>
      </c>
      <c r="FF278" s="1117">
        <f t="shared" si="787"/>
        <v>207</v>
      </c>
      <c r="FG278" s="1073"/>
      <c r="FK278" s="1116">
        <f t="shared" si="810"/>
        <v>207</v>
      </c>
      <c r="FL278" s="1117">
        <f t="shared" si="788"/>
        <v>0</v>
      </c>
      <c r="FM278" s="1117">
        <f t="shared" si="789"/>
        <v>0</v>
      </c>
      <c r="FN278" s="1117">
        <f t="shared" si="790"/>
        <v>207</v>
      </c>
      <c r="FO278" s="1073"/>
    </row>
    <row r="279" spans="1:171">
      <c r="A279" s="1374"/>
      <c r="B279" s="63" t="s">
        <v>574</v>
      </c>
      <c r="C279" s="1022">
        <v>262</v>
      </c>
      <c r="D279" s="1023">
        <v>408.1</v>
      </c>
      <c r="E279" s="182" t="str">
        <f>'Sch 3A - Taxes'!E27</f>
        <v>DIST</v>
      </c>
      <c r="F279" s="889"/>
      <c r="G279" s="182">
        <f>'Sch 3A - Taxes'!F27</f>
        <v>29955625</v>
      </c>
      <c r="H279" s="182">
        <f>'Sch 3A - Taxes'!G27</f>
        <v>0</v>
      </c>
      <c r="I279" s="182">
        <f>'Sch 3A - Taxes'!H27</f>
        <v>0</v>
      </c>
      <c r="J279" s="1424">
        <f>'Sch 3A - Taxes'!I27</f>
        <v>29955625</v>
      </c>
      <c r="K279" s="903">
        <f t="shared" si="730"/>
        <v>1</v>
      </c>
      <c r="O279" s="1116">
        <f t="shared" si="791"/>
        <v>29955625</v>
      </c>
      <c r="P279" s="1117">
        <f t="shared" si="731"/>
        <v>0</v>
      </c>
      <c r="Q279" s="1117">
        <f t="shared" si="732"/>
        <v>0</v>
      </c>
      <c r="R279" s="1117">
        <f t="shared" si="733"/>
        <v>29955625</v>
      </c>
      <c r="S279" s="1073"/>
      <c r="W279" s="1116">
        <f t="shared" si="792"/>
        <v>29955625</v>
      </c>
      <c r="X279" s="1117">
        <f t="shared" si="734"/>
        <v>0</v>
      </c>
      <c r="Y279" s="1117">
        <f t="shared" si="735"/>
        <v>0</v>
      </c>
      <c r="Z279" s="1117">
        <f t="shared" si="736"/>
        <v>29955625</v>
      </c>
      <c r="AA279" s="1073"/>
      <c r="AE279" s="1116">
        <f t="shared" si="793"/>
        <v>29955625</v>
      </c>
      <c r="AF279" s="1117">
        <f t="shared" si="737"/>
        <v>0</v>
      </c>
      <c r="AG279" s="1117">
        <f t="shared" si="738"/>
        <v>0</v>
      </c>
      <c r="AH279" s="1117">
        <f t="shared" si="739"/>
        <v>29955625</v>
      </c>
      <c r="AI279" s="1073"/>
      <c r="AM279" s="1116">
        <f t="shared" si="794"/>
        <v>29955625</v>
      </c>
      <c r="AN279" s="1117">
        <f t="shared" si="740"/>
        <v>0</v>
      </c>
      <c r="AO279" s="1117">
        <f t="shared" si="741"/>
        <v>0</v>
      </c>
      <c r="AP279" s="1117">
        <f t="shared" si="742"/>
        <v>29955625</v>
      </c>
      <c r="AQ279" s="1073"/>
      <c r="AU279" s="1116">
        <f t="shared" si="795"/>
        <v>29955625</v>
      </c>
      <c r="AV279" s="1117">
        <f t="shared" si="743"/>
        <v>0</v>
      </c>
      <c r="AW279" s="1117">
        <f t="shared" si="744"/>
        <v>0</v>
      </c>
      <c r="AX279" s="1117">
        <f t="shared" si="745"/>
        <v>29955625</v>
      </c>
      <c r="AY279" s="1073"/>
      <c r="BC279" s="1116">
        <f t="shared" si="796"/>
        <v>29955625</v>
      </c>
      <c r="BD279" s="1117">
        <f t="shared" si="746"/>
        <v>0</v>
      </c>
      <c r="BE279" s="1117">
        <f t="shared" si="747"/>
        <v>0</v>
      </c>
      <c r="BF279" s="1117">
        <f t="shared" si="748"/>
        <v>29955625</v>
      </c>
      <c r="BG279" s="1073"/>
      <c r="BK279" s="1116">
        <f t="shared" si="797"/>
        <v>29955625</v>
      </c>
      <c r="BL279" s="1117">
        <f t="shared" si="749"/>
        <v>0</v>
      </c>
      <c r="BM279" s="1117">
        <f t="shared" si="750"/>
        <v>0</v>
      </c>
      <c r="BN279" s="1117">
        <f t="shared" si="751"/>
        <v>29955625</v>
      </c>
      <c r="BO279" s="1073"/>
      <c r="BS279" s="1116">
        <f t="shared" si="798"/>
        <v>29955625</v>
      </c>
      <c r="BT279" s="1117">
        <f t="shared" si="752"/>
        <v>0</v>
      </c>
      <c r="BU279" s="1117">
        <f t="shared" si="753"/>
        <v>0</v>
      </c>
      <c r="BV279" s="1117">
        <f t="shared" si="754"/>
        <v>29955625</v>
      </c>
      <c r="BW279" s="1073"/>
      <c r="CA279" s="1116">
        <f t="shared" si="799"/>
        <v>29955625</v>
      </c>
      <c r="CB279" s="1117">
        <f t="shared" si="755"/>
        <v>0</v>
      </c>
      <c r="CC279" s="1117">
        <f t="shared" si="756"/>
        <v>0</v>
      </c>
      <c r="CD279" s="1117">
        <f t="shared" si="757"/>
        <v>29955625</v>
      </c>
      <c r="CE279" s="1073"/>
      <c r="CI279" s="1116">
        <f t="shared" si="800"/>
        <v>29955625</v>
      </c>
      <c r="CJ279" s="1117">
        <f t="shared" si="758"/>
        <v>0</v>
      </c>
      <c r="CK279" s="1117">
        <f t="shared" si="759"/>
        <v>0</v>
      </c>
      <c r="CL279" s="1117">
        <f t="shared" si="760"/>
        <v>29955625</v>
      </c>
      <c r="CM279" s="1073"/>
      <c r="CQ279" s="1116">
        <f t="shared" si="801"/>
        <v>29955625</v>
      </c>
      <c r="CR279" s="1117">
        <f t="shared" si="761"/>
        <v>0</v>
      </c>
      <c r="CS279" s="1117">
        <f t="shared" si="762"/>
        <v>0</v>
      </c>
      <c r="CT279" s="1117">
        <f t="shared" si="763"/>
        <v>29955625</v>
      </c>
      <c r="CU279" s="1073"/>
      <c r="CY279" s="1116">
        <f t="shared" si="802"/>
        <v>29955625</v>
      </c>
      <c r="CZ279" s="1117">
        <f t="shared" si="764"/>
        <v>0</v>
      </c>
      <c r="DA279" s="1117">
        <f t="shared" si="765"/>
        <v>0</v>
      </c>
      <c r="DB279" s="1117">
        <f t="shared" si="766"/>
        <v>29955625</v>
      </c>
      <c r="DC279" s="1073"/>
      <c r="DG279" s="1116">
        <f t="shared" si="803"/>
        <v>29955625</v>
      </c>
      <c r="DH279" s="1117">
        <f t="shared" si="767"/>
        <v>0</v>
      </c>
      <c r="DI279" s="1117">
        <f t="shared" si="768"/>
        <v>0</v>
      </c>
      <c r="DJ279" s="1117">
        <f t="shared" si="769"/>
        <v>29955625</v>
      </c>
      <c r="DK279" s="1073"/>
      <c r="DO279" s="1116">
        <f t="shared" si="804"/>
        <v>29955625</v>
      </c>
      <c r="DP279" s="1117">
        <f t="shared" si="770"/>
        <v>0</v>
      </c>
      <c r="DQ279" s="1117">
        <f t="shared" si="771"/>
        <v>0</v>
      </c>
      <c r="DR279" s="1117">
        <f t="shared" si="772"/>
        <v>29955625</v>
      </c>
      <c r="DS279" s="1073"/>
      <c r="DW279" s="1116">
        <f t="shared" si="805"/>
        <v>29955625</v>
      </c>
      <c r="DX279" s="1117">
        <f t="shared" si="773"/>
        <v>0</v>
      </c>
      <c r="DY279" s="1117">
        <f t="shared" si="774"/>
        <v>0</v>
      </c>
      <c r="DZ279" s="1117">
        <f t="shared" si="775"/>
        <v>29955625</v>
      </c>
      <c r="EA279" s="1073"/>
      <c r="EE279" s="1116">
        <f t="shared" si="806"/>
        <v>29955625</v>
      </c>
      <c r="EF279" s="1117">
        <f t="shared" si="776"/>
        <v>0</v>
      </c>
      <c r="EG279" s="1117">
        <f t="shared" si="777"/>
        <v>0</v>
      </c>
      <c r="EH279" s="1117">
        <f t="shared" si="778"/>
        <v>29955625</v>
      </c>
      <c r="EI279" s="1073"/>
      <c r="EM279" s="1116">
        <f t="shared" si="807"/>
        <v>29955625</v>
      </c>
      <c r="EN279" s="1117">
        <f t="shared" si="779"/>
        <v>0</v>
      </c>
      <c r="EO279" s="1117">
        <f t="shared" si="780"/>
        <v>0</v>
      </c>
      <c r="EP279" s="1117">
        <f t="shared" si="781"/>
        <v>29955625</v>
      </c>
      <c r="EQ279" s="1073"/>
      <c r="EU279" s="1116">
        <f t="shared" si="808"/>
        <v>29955625</v>
      </c>
      <c r="EV279" s="1117">
        <f t="shared" si="782"/>
        <v>0</v>
      </c>
      <c r="EW279" s="1117">
        <f t="shared" si="783"/>
        <v>0</v>
      </c>
      <c r="EX279" s="1117">
        <f t="shared" si="784"/>
        <v>29955625</v>
      </c>
      <c r="EY279" s="1073"/>
      <c r="FC279" s="1116">
        <f t="shared" si="809"/>
        <v>29955625</v>
      </c>
      <c r="FD279" s="1117">
        <f t="shared" si="785"/>
        <v>0</v>
      </c>
      <c r="FE279" s="1117">
        <f t="shared" si="786"/>
        <v>0</v>
      </c>
      <c r="FF279" s="1117">
        <f t="shared" si="787"/>
        <v>29955625</v>
      </c>
      <c r="FG279" s="1073"/>
      <c r="FK279" s="1116">
        <f t="shared" si="810"/>
        <v>29955625</v>
      </c>
      <c r="FL279" s="1117">
        <f t="shared" si="788"/>
        <v>0</v>
      </c>
      <c r="FM279" s="1117">
        <f t="shared" si="789"/>
        <v>0</v>
      </c>
      <c r="FN279" s="1117">
        <f t="shared" si="790"/>
        <v>29955625</v>
      </c>
      <c r="FO279" s="1073"/>
    </row>
    <row r="280" spans="1:171" ht="16.5" thickBot="1">
      <c r="A280" s="1374"/>
      <c r="B280" s="63" t="s">
        <v>107</v>
      </c>
      <c r="C280" s="1022">
        <v>262</v>
      </c>
      <c r="D280" s="1023">
        <v>408.1</v>
      </c>
      <c r="E280" s="182" t="str">
        <f>'Sch 3A - Taxes'!E28</f>
        <v>DIST</v>
      </c>
      <c r="F280" s="889"/>
      <c r="G280" s="182">
        <f>'Sch 3A - Taxes'!F28</f>
        <v>3348499</v>
      </c>
      <c r="H280" s="182">
        <f>'Sch 3A - Taxes'!G28</f>
        <v>0</v>
      </c>
      <c r="I280" s="182">
        <f>'Sch 3A - Taxes'!H28</f>
        <v>0</v>
      </c>
      <c r="J280" s="1424">
        <f>'Sch 3A - Taxes'!I28</f>
        <v>3348499</v>
      </c>
      <c r="K280" s="903">
        <f t="shared" si="730"/>
        <v>1</v>
      </c>
      <c r="O280" s="1116">
        <f t="shared" si="791"/>
        <v>3348499</v>
      </c>
      <c r="P280" s="1117">
        <f t="shared" si="731"/>
        <v>0</v>
      </c>
      <c r="Q280" s="1117">
        <f t="shared" si="732"/>
        <v>0</v>
      </c>
      <c r="R280" s="1117">
        <f t="shared" si="733"/>
        <v>3348499</v>
      </c>
      <c r="S280" s="1073"/>
      <c r="W280" s="1116">
        <f t="shared" si="792"/>
        <v>3348499</v>
      </c>
      <c r="X280" s="1117">
        <f t="shared" si="734"/>
        <v>0</v>
      </c>
      <c r="Y280" s="1117">
        <f t="shared" si="735"/>
        <v>0</v>
      </c>
      <c r="Z280" s="1117">
        <f t="shared" si="736"/>
        <v>3348499</v>
      </c>
      <c r="AA280" s="1073"/>
      <c r="AE280" s="1116">
        <f t="shared" si="793"/>
        <v>3348499</v>
      </c>
      <c r="AF280" s="1117">
        <f t="shared" si="737"/>
        <v>0</v>
      </c>
      <c r="AG280" s="1117">
        <f t="shared" si="738"/>
        <v>0</v>
      </c>
      <c r="AH280" s="1117">
        <f t="shared" si="739"/>
        <v>3348499</v>
      </c>
      <c r="AI280" s="1073"/>
      <c r="AM280" s="1116">
        <f t="shared" si="794"/>
        <v>3348499</v>
      </c>
      <c r="AN280" s="1117">
        <f t="shared" si="740"/>
        <v>0</v>
      </c>
      <c r="AO280" s="1117">
        <f t="shared" si="741"/>
        <v>0</v>
      </c>
      <c r="AP280" s="1117">
        <f t="shared" si="742"/>
        <v>3348499</v>
      </c>
      <c r="AQ280" s="1073"/>
      <c r="AU280" s="1116">
        <f t="shared" si="795"/>
        <v>3348499</v>
      </c>
      <c r="AV280" s="1117">
        <f t="shared" si="743"/>
        <v>0</v>
      </c>
      <c r="AW280" s="1117">
        <f t="shared" si="744"/>
        <v>0</v>
      </c>
      <c r="AX280" s="1117">
        <f t="shared" si="745"/>
        <v>3348499</v>
      </c>
      <c r="AY280" s="1073"/>
      <c r="BC280" s="1116">
        <f t="shared" si="796"/>
        <v>3348499</v>
      </c>
      <c r="BD280" s="1117">
        <f t="shared" si="746"/>
        <v>0</v>
      </c>
      <c r="BE280" s="1117">
        <f t="shared" si="747"/>
        <v>0</v>
      </c>
      <c r="BF280" s="1117">
        <f t="shared" si="748"/>
        <v>3348499</v>
      </c>
      <c r="BG280" s="1073"/>
      <c r="BK280" s="1116">
        <f t="shared" si="797"/>
        <v>3348499</v>
      </c>
      <c r="BL280" s="1117">
        <f t="shared" si="749"/>
        <v>0</v>
      </c>
      <c r="BM280" s="1117">
        <f t="shared" si="750"/>
        <v>0</v>
      </c>
      <c r="BN280" s="1117">
        <f t="shared" si="751"/>
        <v>3348499</v>
      </c>
      <c r="BO280" s="1073"/>
      <c r="BS280" s="1116">
        <f t="shared" si="798"/>
        <v>3348499</v>
      </c>
      <c r="BT280" s="1117">
        <f t="shared" si="752"/>
        <v>0</v>
      </c>
      <c r="BU280" s="1117">
        <f t="shared" si="753"/>
        <v>0</v>
      </c>
      <c r="BV280" s="1117">
        <f t="shared" si="754"/>
        <v>3348499</v>
      </c>
      <c r="BW280" s="1073"/>
      <c r="CA280" s="1116">
        <f t="shared" si="799"/>
        <v>3348499</v>
      </c>
      <c r="CB280" s="1117">
        <f t="shared" si="755"/>
        <v>0</v>
      </c>
      <c r="CC280" s="1117">
        <f t="shared" si="756"/>
        <v>0</v>
      </c>
      <c r="CD280" s="1117">
        <f t="shared" si="757"/>
        <v>3348499</v>
      </c>
      <c r="CE280" s="1073"/>
      <c r="CI280" s="1116">
        <f t="shared" si="800"/>
        <v>3348499</v>
      </c>
      <c r="CJ280" s="1117">
        <f t="shared" si="758"/>
        <v>0</v>
      </c>
      <c r="CK280" s="1117">
        <f t="shared" si="759"/>
        <v>0</v>
      </c>
      <c r="CL280" s="1117">
        <f t="shared" si="760"/>
        <v>3348499</v>
      </c>
      <c r="CM280" s="1073"/>
      <c r="CQ280" s="1116">
        <f t="shared" si="801"/>
        <v>3348499</v>
      </c>
      <c r="CR280" s="1117">
        <f t="shared" si="761"/>
        <v>0</v>
      </c>
      <c r="CS280" s="1117">
        <f t="shared" si="762"/>
        <v>0</v>
      </c>
      <c r="CT280" s="1117">
        <f t="shared" si="763"/>
        <v>3348499</v>
      </c>
      <c r="CU280" s="1073"/>
      <c r="CY280" s="1116">
        <f t="shared" si="802"/>
        <v>3348499</v>
      </c>
      <c r="CZ280" s="1117">
        <f t="shared" si="764"/>
        <v>0</v>
      </c>
      <c r="DA280" s="1117">
        <f t="shared" si="765"/>
        <v>0</v>
      </c>
      <c r="DB280" s="1117">
        <f t="shared" si="766"/>
        <v>3348499</v>
      </c>
      <c r="DC280" s="1073"/>
      <c r="DG280" s="1116">
        <f t="shared" si="803"/>
        <v>3348499</v>
      </c>
      <c r="DH280" s="1117">
        <f t="shared" si="767"/>
        <v>0</v>
      </c>
      <c r="DI280" s="1117">
        <f t="shared" si="768"/>
        <v>0</v>
      </c>
      <c r="DJ280" s="1117">
        <f t="shared" si="769"/>
        <v>3348499</v>
      </c>
      <c r="DK280" s="1073"/>
      <c r="DO280" s="1116">
        <f t="shared" si="804"/>
        <v>3348499</v>
      </c>
      <c r="DP280" s="1117">
        <f t="shared" si="770"/>
        <v>0</v>
      </c>
      <c r="DQ280" s="1117">
        <f t="shared" si="771"/>
        <v>0</v>
      </c>
      <c r="DR280" s="1117">
        <f t="shared" si="772"/>
        <v>3348499</v>
      </c>
      <c r="DS280" s="1073"/>
      <c r="DW280" s="1116">
        <f t="shared" si="805"/>
        <v>3348499</v>
      </c>
      <c r="DX280" s="1117">
        <f t="shared" si="773"/>
        <v>0</v>
      </c>
      <c r="DY280" s="1117">
        <f t="shared" si="774"/>
        <v>0</v>
      </c>
      <c r="DZ280" s="1117">
        <f t="shared" si="775"/>
        <v>3348499</v>
      </c>
      <c r="EA280" s="1073"/>
      <c r="EE280" s="1116">
        <f t="shared" si="806"/>
        <v>3348499</v>
      </c>
      <c r="EF280" s="1117">
        <f t="shared" si="776"/>
        <v>0</v>
      </c>
      <c r="EG280" s="1117">
        <f t="shared" si="777"/>
        <v>0</v>
      </c>
      <c r="EH280" s="1117">
        <f t="shared" si="778"/>
        <v>3348499</v>
      </c>
      <c r="EI280" s="1073"/>
      <c r="EM280" s="1116">
        <f t="shared" si="807"/>
        <v>3348499</v>
      </c>
      <c r="EN280" s="1117">
        <f t="shared" si="779"/>
        <v>0</v>
      </c>
      <c r="EO280" s="1117">
        <f t="shared" si="780"/>
        <v>0</v>
      </c>
      <c r="EP280" s="1117">
        <f t="shared" si="781"/>
        <v>3348499</v>
      </c>
      <c r="EQ280" s="1073"/>
      <c r="EU280" s="1116">
        <f t="shared" si="808"/>
        <v>3348499</v>
      </c>
      <c r="EV280" s="1117">
        <f t="shared" si="782"/>
        <v>0</v>
      </c>
      <c r="EW280" s="1117">
        <f t="shared" si="783"/>
        <v>0</v>
      </c>
      <c r="EX280" s="1117">
        <f t="shared" si="784"/>
        <v>3348499</v>
      </c>
      <c r="EY280" s="1073"/>
      <c r="FC280" s="1116">
        <f t="shared" si="809"/>
        <v>3348499</v>
      </c>
      <c r="FD280" s="1117">
        <f t="shared" si="785"/>
        <v>0</v>
      </c>
      <c r="FE280" s="1117">
        <f t="shared" si="786"/>
        <v>0</v>
      </c>
      <c r="FF280" s="1117">
        <f t="shared" si="787"/>
        <v>3348499</v>
      </c>
      <c r="FG280" s="1073"/>
      <c r="FK280" s="1116">
        <f t="shared" si="810"/>
        <v>3348499</v>
      </c>
      <c r="FL280" s="1117">
        <f t="shared" si="788"/>
        <v>0</v>
      </c>
      <c r="FM280" s="1117">
        <f t="shared" si="789"/>
        <v>0</v>
      </c>
      <c r="FN280" s="1117">
        <f t="shared" si="790"/>
        <v>3348499</v>
      </c>
      <c r="FO280" s="1073"/>
    </row>
    <row r="281" spans="1:171" ht="16.5" thickBot="1">
      <c r="A281" s="1481" t="s">
        <v>36</v>
      </c>
      <c r="B281" s="63"/>
      <c r="C281" s="914"/>
      <c r="D281" s="915"/>
      <c r="E281" s="915"/>
      <c r="F281" s="916"/>
      <c r="G281" s="923">
        <f>SUM(G274:G280)</f>
        <v>120761317</v>
      </c>
      <c r="H281" s="923">
        <f>SUM(H274:H280)</f>
        <v>12089545.30249124</v>
      </c>
      <c r="I281" s="923">
        <f>SUM(I274:I280)</f>
        <v>0</v>
      </c>
      <c r="J281" s="1431">
        <f>SUM(J274:J280)</f>
        <v>108671771.69361828</v>
      </c>
      <c r="K281" s="903"/>
      <c r="O281" s="1137">
        <f>SUM(O274:O280)</f>
        <v>120761317</v>
      </c>
      <c r="P281" s="1137">
        <f>SUM(P274:P280)</f>
        <v>12089545.30249124</v>
      </c>
      <c r="Q281" s="1137">
        <f>SUM(Q274:Q280)</f>
        <v>7796194.6332288198</v>
      </c>
      <c r="R281" s="1137">
        <f>SUM(R274:R280)</f>
        <v>100875577.06427994</v>
      </c>
      <c r="S281" s="1073"/>
      <c r="W281" s="1137">
        <f>SUM(W274:W280)</f>
        <v>120761317</v>
      </c>
      <c r="X281" s="1137">
        <f>SUM(X274:X280)</f>
        <v>12089545.30249124</v>
      </c>
      <c r="Y281" s="1137">
        <f>SUM(Y274:Y280)</f>
        <v>7796194.6332288198</v>
      </c>
      <c r="Z281" s="1137">
        <f>SUM(Z274:Z280)</f>
        <v>100875577.06427994</v>
      </c>
      <c r="AA281" s="1073"/>
      <c r="AE281" s="1137">
        <f>SUM(AE274:AE280)</f>
        <v>120761317</v>
      </c>
      <c r="AF281" s="1137">
        <f>SUM(AF274:AF280)</f>
        <v>12089545.30249124</v>
      </c>
      <c r="AG281" s="1137">
        <f>SUM(AG274:AG280)</f>
        <v>7796194.6332288198</v>
      </c>
      <c r="AH281" s="1137">
        <f>SUM(AH274:AH280)</f>
        <v>100875577.06427994</v>
      </c>
      <c r="AI281" s="1073"/>
      <c r="AM281" s="1137">
        <f>SUM(AM274:AM280)</f>
        <v>120761317</v>
      </c>
      <c r="AN281" s="1137">
        <f>SUM(AN274:AN280)</f>
        <v>12089545.30249124</v>
      </c>
      <c r="AO281" s="1137">
        <f>SUM(AO274:AO280)</f>
        <v>7796194.6332288198</v>
      </c>
      <c r="AP281" s="1137">
        <f>SUM(AP274:AP280)</f>
        <v>100875577.06427994</v>
      </c>
      <c r="AQ281" s="1073"/>
      <c r="AU281" s="1137">
        <f>SUM(AU274:AU280)</f>
        <v>120761317</v>
      </c>
      <c r="AV281" s="1137">
        <f>SUM(AV274:AV280)</f>
        <v>12089545.30249124</v>
      </c>
      <c r="AW281" s="1137">
        <f>SUM(AW274:AW280)</f>
        <v>7796194.6332288198</v>
      </c>
      <c r="AX281" s="1137">
        <f>SUM(AX274:AX280)</f>
        <v>100875577.06427994</v>
      </c>
      <c r="AY281" s="1073"/>
      <c r="BC281" s="1137">
        <f>SUM(BC274:BC280)</f>
        <v>120761317</v>
      </c>
      <c r="BD281" s="1137">
        <f>SUM(BD274:BD280)</f>
        <v>12089545.30249124</v>
      </c>
      <c r="BE281" s="1137">
        <f>SUM(BE274:BE280)</f>
        <v>7796194.6332288198</v>
      </c>
      <c r="BF281" s="1137">
        <f>SUM(BF274:BF280)</f>
        <v>100875577.06427994</v>
      </c>
      <c r="BG281" s="1073"/>
      <c r="BK281" s="1137">
        <f>SUM(BK274:BK280)</f>
        <v>120761317</v>
      </c>
      <c r="BL281" s="1137">
        <f>SUM(BL274:BL280)</f>
        <v>12089545.30249124</v>
      </c>
      <c r="BM281" s="1137">
        <f>SUM(BM274:BM280)</f>
        <v>7796194.6332288198</v>
      </c>
      <c r="BN281" s="1137">
        <f>SUM(BN274:BN280)</f>
        <v>100875577.06427994</v>
      </c>
      <c r="BO281" s="1073"/>
      <c r="BS281" s="1137">
        <f>SUM(BS274:BS280)</f>
        <v>120761317</v>
      </c>
      <c r="BT281" s="1137">
        <f>SUM(BT274:BT280)</f>
        <v>12089545.30249124</v>
      </c>
      <c r="BU281" s="1137">
        <f>SUM(BU274:BU280)</f>
        <v>7796194.6332288198</v>
      </c>
      <c r="BV281" s="1137">
        <f>SUM(BV274:BV280)</f>
        <v>100875577.06427994</v>
      </c>
      <c r="BW281" s="1073"/>
      <c r="CA281" s="1137">
        <f>SUM(CA274:CA280)</f>
        <v>120761317</v>
      </c>
      <c r="CB281" s="1137">
        <f>SUM(CB274:CB280)</f>
        <v>12089545.30249124</v>
      </c>
      <c r="CC281" s="1137">
        <f>SUM(CC274:CC280)</f>
        <v>7796194.6332288198</v>
      </c>
      <c r="CD281" s="1137">
        <f>SUM(CD274:CD280)</f>
        <v>100875577.06427994</v>
      </c>
      <c r="CE281" s="1073"/>
      <c r="CI281" s="1137">
        <f>SUM(CI274:CI280)</f>
        <v>120761317</v>
      </c>
      <c r="CJ281" s="1137">
        <f>SUM(CJ274:CJ280)</f>
        <v>12089545.30249124</v>
      </c>
      <c r="CK281" s="1137">
        <f>SUM(CK274:CK280)</f>
        <v>7796194.6332288198</v>
      </c>
      <c r="CL281" s="1137">
        <f>SUM(CL274:CL280)</f>
        <v>100875577.06427994</v>
      </c>
      <c r="CM281" s="1073"/>
      <c r="CQ281" s="1137">
        <f>SUM(CQ274:CQ280)</f>
        <v>120761317</v>
      </c>
      <c r="CR281" s="1137">
        <f>SUM(CR274:CR280)</f>
        <v>12089545.30249124</v>
      </c>
      <c r="CS281" s="1137">
        <f>SUM(CS274:CS280)</f>
        <v>7796194.6332288198</v>
      </c>
      <c r="CT281" s="1137">
        <f>SUM(CT274:CT280)</f>
        <v>100875577.06427994</v>
      </c>
      <c r="CU281" s="1073"/>
      <c r="CY281" s="1137">
        <f>SUM(CY274:CY280)</f>
        <v>120761317</v>
      </c>
      <c r="CZ281" s="1137">
        <f>SUM(CZ274:CZ280)</f>
        <v>12089545.30249124</v>
      </c>
      <c r="DA281" s="1137">
        <f>SUM(DA274:DA280)</f>
        <v>7796194.6332288198</v>
      </c>
      <c r="DB281" s="1137">
        <f>SUM(DB274:DB280)</f>
        <v>100875577.06427994</v>
      </c>
      <c r="DC281" s="1073"/>
      <c r="DG281" s="1137">
        <f>SUM(DG274:DG280)</f>
        <v>120761317</v>
      </c>
      <c r="DH281" s="1137">
        <f>SUM(DH274:DH280)</f>
        <v>12089545.30249124</v>
      </c>
      <c r="DI281" s="1137">
        <f>SUM(DI274:DI280)</f>
        <v>7796194.6332288198</v>
      </c>
      <c r="DJ281" s="1137">
        <f>SUM(DJ274:DJ280)</f>
        <v>100875577.06427994</v>
      </c>
      <c r="DK281" s="1073"/>
      <c r="DO281" s="1137">
        <f>SUM(DO274:DO280)</f>
        <v>120761317</v>
      </c>
      <c r="DP281" s="1137">
        <f>SUM(DP274:DP280)</f>
        <v>12089545.30249124</v>
      </c>
      <c r="DQ281" s="1137">
        <f>SUM(DQ274:DQ280)</f>
        <v>7796194.6332288198</v>
      </c>
      <c r="DR281" s="1137">
        <f>SUM(DR274:DR280)</f>
        <v>100875577.06427994</v>
      </c>
      <c r="DS281" s="1073"/>
      <c r="DW281" s="1137">
        <f>SUM(DW274:DW280)</f>
        <v>120761317</v>
      </c>
      <c r="DX281" s="1137">
        <f>SUM(DX274:DX280)</f>
        <v>12089545.30249124</v>
      </c>
      <c r="DY281" s="1137">
        <f>SUM(DY274:DY280)</f>
        <v>7796194.6332288198</v>
      </c>
      <c r="DZ281" s="1137">
        <f>SUM(DZ274:DZ280)</f>
        <v>100875577.06427994</v>
      </c>
      <c r="EA281" s="1073"/>
      <c r="EE281" s="1137">
        <f>SUM(EE274:EE280)</f>
        <v>120761317</v>
      </c>
      <c r="EF281" s="1137">
        <f>SUM(EF274:EF280)</f>
        <v>12089545.30249124</v>
      </c>
      <c r="EG281" s="1137">
        <f>SUM(EG274:EG280)</f>
        <v>7796194.6332288198</v>
      </c>
      <c r="EH281" s="1137">
        <f>SUM(EH274:EH280)</f>
        <v>100875577.06427994</v>
      </c>
      <c r="EI281" s="1073"/>
      <c r="EM281" s="1137">
        <f>SUM(EM274:EM280)</f>
        <v>120761317</v>
      </c>
      <c r="EN281" s="1137">
        <f>SUM(EN274:EN280)</f>
        <v>12089545.30249124</v>
      </c>
      <c r="EO281" s="1137">
        <f>SUM(EO274:EO280)</f>
        <v>7796194.6332288198</v>
      </c>
      <c r="EP281" s="1137">
        <f>SUM(EP274:EP280)</f>
        <v>100875577.06427994</v>
      </c>
      <c r="EQ281" s="1073"/>
      <c r="EU281" s="1137">
        <f>SUM(EU274:EU280)</f>
        <v>120761317</v>
      </c>
      <c r="EV281" s="1137">
        <f>SUM(EV274:EV280)</f>
        <v>12089545.30249124</v>
      </c>
      <c r="EW281" s="1137">
        <f>SUM(EW274:EW280)</f>
        <v>7796194.6332288198</v>
      </c>
      <c r="EX281" s="1137">
        <f>SUM(EX274:EX280)</f>
        <v>100875577.06427994</v>
      </c>
      <c r="EY281" s="1073"/>
      <c r="FC281" s="1137">
        <f>SUM(FC274:FC280)</f>
        <v>120761317</v>
      </c>
      <c r="FD281" s="1137">
        <f>SUM(FD274:FD280)</f>
        <v>12089545.30249124</v>
      </c>
      <c r="FE281" s="1137">
        <f>SUM(FE274:FE280)</f>
        <v>7796194.6332288198</v>
      </c>
      <c r="FF281" s="1137">
        <f>SUM(FF274:FF280)</f>
        <v>100875577.06427994</v>
      </c>
      <c r="FG281" s="1073"/>
      <c r="FK281" s="1137">
        <f>SUM(FK274:FK280)</f>
        <v>120761317</v>
      </c>
      <c r="FL281" s="1137">
        <f>SUM(FL274:FL280)</f>
        <v>12089545.30249124</v>
      </c>
      <c r="FM281" s="1137">
        <f>SUM(FM274:FM280)</f>
        <v>7796194.6332288198</v>
      </c>
      <c r="FN281" s="1137">
        <f>SUM(FN274:FN280)</f>
        <v>100875577.06427994</v>
      </c>
      <c r="FO281" s="1073"/>
    </row>
    <row r="282" spans="1:171" ht="16.5" thickBot="1">
      <c r="A282" s="1374"/>
      <c r="B282" s="63"/>
      <c r="C282" s="150"/>
      <c r="D282" s="195"/>
      <c r="E282" s="196"/>
      <c r="F282" s="196"/>
      <c r="G282" s="1027"/>
      <c r="H282" s="1027"/>
      <c r="I282" s="1027"/>
      <c r="J282" s="1484"/>
      <c r="K282" s="903"/>
      <c r="O282" s="1079"/>
      <c r="P282" s="1079"/>
      <c r="Q282" s="1079"/>
      <c r="R282" s="1079"/>
      <c r="S282" s="1073"/>
      <c r="W282" s="1079"/>
      <c r="X282" s="1079"/>
      <c r="Y282" s="1079"/>
      <c r="Z282" s="1079"/>
      <c r="AA282" s="1073"/>
      <c r="AE282" s="1079"/>
      <c r="AF282" s="1079"/>
      <c r="AG282" s="1079"/>
      <c r="AH282" s="1079"/>
      <c r="AI282" s="1073"/>
      <c r="AM282" s="1079"/>
      <c r="AN282" s="1079"/>
      <c r="AO282" s="1079"/>
      <c r="AP282" s="1079"/>
      <c r="AQ282" s="1073"/>
      <c r="AU282" s="1079"/>
      <c r="AV282" s="1079"/>
      <c r="AW282" s="1079"/>
      <c r="AX282" s="1079"/>
      <c r="AY282" s="1073"/>
      <c r="BC282" s="1079"/>
      <c r="BD282" s="1079"/>
      <c r="BE282" s="1079"/>
      <c r="BF282" s="1079"/>
      <c r="BG282" s="1073"/>
      <c r="BK282" s="1079"/>
      <c r="BL282" s="1079"/>
      <c r="BM282" s="1079"/>
      <c r="BN282" s="1079"/>
      <c r="BO282" s="1073"/>
      <c r="BS282" s="1079"/>
      <c r="BT282" s="1079"/>
      <c r="BU282" s="1079"/>
      <c r="BV282" s="1079"/>
      <c r="BW282" s="1073"/>
      <c r="CA282" s="1079"/>
      <c r="CB282" s="1079"/>
      <c r="CC282" s="1079"/>
      <c r="CD282" s="1079"/>
      <c r="CE282" s="1073"/>
      <c r="CI282" s="1079"/>
      <c r="CJ282" s="1079"/>
      <c r="CK282" s="1079"/>
      <c r="CL282" s="1079"/>
      <c r="CM282" s="1073"/>
      <c r="CQ282" s="1079"/>
      <c r="CR282" s="1079"/>
      <c r="CS282" s="1079"/>
      <c r="CT282" s="1079"/>
      <c r="CU282" s="1073"/>
      <c r="CY282" s="1079"/>
      <c r="CZ282" s="1079"/>
      <c r="DA282" s="1079"/>
      <c r="DB282" s="1079"/>
      <c r="DC282" s="1073"/>
      <c r="DG282" s="1079"/>
      <c r="DH282" s="1079"/>
      <c r="DI282" s="1079"/>
      <c r="DJ282" s="1079"/>
      <c r="DK282" s="1073"/>
      <c r="DO282" s="1079"/>
      <c r="DP282" s="1079"/>
      <c r="DQ282" s="1079"/>
      <c r="DR282" s="1079"/>
      <c r="DS282" s="1073"/>
      <c r="DW282" s="1079"/>
      <c r="DX282" s="1079"/>
      <c r="DY282" s="1079"/>
      <c r="DZ282" s="1079"/>
      <c r="EA282" s="1073"/>
      <c r="EE282" s="1079"/>
      <c r="EF282" s="1079"/>
      <c r="EG282" s="1079"/>
      <c r="EH282" s="1079"/>
      <c r="EI282" s="1073"/>
      <c r="EM282" s="1079"/>
      <c r="EN282" s="1079"/>
      <c r="EO282" s="1079"/>
      <c r="EP282" s="1079"/>
      <c r="EQ282" s="1073"/>
      <c r="EU282" s="1079"/>
      <c r="EV282" s="1079"/>
      <c r="EW282" s="1079"/>
      <c r="EX282" s="1079"/>
      <c r="EY282" s="1073"/>
      <c r="FC282" s="1079"/>
      <c r="FD282" s="1079"/>
      <c r="FE282" s="1079"/>
      <c r="FF282" s="1079"/>
      <c r="FG282" s="1073"/>
      <c r="FK282" s="1079"/>
      <c r="FL282" s="1079"/>
      <c r="FM282" s="1079"/>
      <c r="FN282" s="1079"/>
      <c r="FO282" s="1073"/>
    </row>
    <row r="283" spans="1:171" ht="16.5" thickBot="1">
      <c r="A283" s="1481" t="s">
        <v>575</v>
      </c>
      <c r="B283" s="79"/>
      <c r="C283" s="914"/>
      <c r="D283" s="915"/>
      <c r="E283" s="915"/>
      <c r="F283" s="916"/>
      <c r="G283" s="923">
        <f>SUM(G271,G281)</f>
        <v>135775232</v>
      </c>
      <c r="H283" s="923">
        <f>SUM(H271,H281)</f>
        <v>18405972.337472353</v>
      </c>
      <c r="I283" s="923">
        <f>SUM(I271,I281)</f>
        <v>0</v>
      </c>
      <c r="J283" s="1431">
        <f>SUM(J271,J281)</f>
        <v>117369259.65863717</v>
      </c>
      <c r="K283" s="903"/>
      <c r="O283" s="1137">
        <f>SUM(O271,O281)</f>
        <v>135775232</v>
      </c>
      <c r="P283" s="1137">
        <f>SUM(P271,P281)</f>
        <v>18405972.337472353</v>
      </c>
      <c r="Q283" s="1137">
        <f>SUM(Q271,Q281)</f>
        <v>9119856.8663379103</v>
      </c>
      <c r="R283" s="1137">
        <f>SUM(R271,R281)</f>
        <v>108249402.79618974</v>
      </c>
      <c r="S283" s="1073"/>
      <c r="W283" s="1137">
        <f>SUM(W271,W281)</f>
        <v>135775232</v>
      </c>
      <c r="X283" s="1137">
        <f>SUM(X271,X281)</f>
        <v>18405972.337472353</v>
      </c>
      <c r="Y283" s="1137">
        <f>SUM(Y271,Y281)</f>
        <v>9119856.8663379103</v>
      </c>
      <c r="Z283" s="1137">
        <f>SUM(Z271,Z281)</f>
        <v>108249402.79618974</v>
      </c>
      <c r="AA283" s="1073"/>
      <c r="AE283" s="1137">
        <f>SUM(AE271,AE281)</f>
        <v>135775232</v>
      </c>
      <c r="AF283" s="1137">
        <f>SUM(AF271,AF281)</f>
        <v>18405972.337472353</v>
      </c>
      <c r="AG283" s="1137">
        <f>SUM(AG271,AG281)</f>
        <v>9119856.8663379103</v>
      </c>
      <c r="AH283" s="1137">
        <f>SUM(AH271,AH281)</f>
        <v>108249402.79618974</v>
      </c>
      <c r="AI283" s="1073"/>
      <c r="AM283" s="1137">
        <f>SUM(AM271,AM281)</f>
        <v>135775232</v>
      </c>
      <c r="AN283" s="1137">
        <f>SUM(AN271,AN281)</f>
        <v>18405972.337472353</v>
      </c>
      <c r="AO283" s="1137">
        <f>SUM(AO271,AO281)</f>
        <v>9119856.8663379103</v>
      </c>
      <c r="AP283" s="1137">
        <f>SUM(AP271,AP281)</f>
        <v>108249402.79618974</v>
      </c>
      <c r="AQ283" s="1073"/>
      <c r="AU283" s="1137">
        <f>SUM(AU271,AU281)</f>
        <v>135775232</v>
      </c>
      <c r="AV283" s="1137">
        <f>SUM(AV271,AV281)</f>
        <v>18405972.337472353</v>
      </c>
      <c r="AW283" s="1137">
        <f>SUM(AW271,AW281)</f>
        <v>9119856.8663379103</v>
      </c>
      <c r="AX283" s="1137">
        <f>SUM(AX271,AX281)</f>
        <v>108249402.79618974</v>
      </c>
      <c r="AY283" s="1073"/>
      <c r="BC283" s="1137">
        <f>SUM(BC271,BC281)</f>
        <v>135775232</v>
      </c>
      <c r="BD283" s="1137">
        <f>SUM(BD271,BD281)</f>
        <v>18405972.337472353</v>
      </c>
      <c r="BE283" s="1137">
        <f>SUM(BE271,BE281)</f>
        <v>9119856.8663379103</v>
      </c>
      <c r="BF283" s="1137">
        <f>SUM(BF271,BF281)</f>
        <v>108249402.79618974</v>
      </c>
      <c r="BG283" s="1073"/>
      <c r="BK283" s="1137">
        <f>SUM(BK271,BK281)</f>
        <v>135775232</v>
      </c>
      <c r="BL283" s="1137">
        <f>SUM(BL271,BL281)</f>
        <v>18405972.337472353</v>
      </c>
      <c r="BM283" s="1137">
        <f>SUM(BM271,BM281)</f>
        <v>9119856.8663379103</v>
      </c>
      <c r="BN283" s="1137">
        <f>SUM(BN271,BN281)</f>
        <v>108249402.79618974</v>
      </c>
      <c r="BO283" s="1073"/>
      <c r="BS283" s="1137">
        <f>SUM(BS271,BS281)</f>
        <v>135775232</v>
      </c>
      <c r="BT283" s="1137">
        <f>SUM(BT271,BT281)</f>
        <v>18405972.337472353</v>
      </c>
      <c r="BU283" s="1137">
        <f>SUM(BU271,BU281)</f>
        <v>9119856.8663379103</v>
      </c>
      <c r="BV283" s="1137">
        <f>SUM(BV271,BV281)</f>
        <v>108249402.79618974</v>
      </c>
      <c r="BW283" s="1073"/>
      <c r="CA283" s="1137">
        <f>SUM(CA271,CA281)</f>
        <v>135775232</v>
      </c>
      <c r="CB283" s="1137">
        <f>SUM(CB271,CB281)</f>
        <v>18405972.337472353</v>
      </c>
      <c r="CC283" s="1137">
        <f>SUM(CC271,CC281)</f>
        <v>9119856.8663379103</v>
      </c>
      <c r="CD283" s="1137">
        <f>SUM(CD271,CD281)</f>
        <v>108249402.79618974</v>
      </c>
      <c r="CE283" s="1073"/>
      <c r="CI283" s="1137">
        <f>SUM(CI271,CI281)</f>
        <v>135775232</v>
      </c>
      <c r="CJ283" s="1137">
        <f>SUM(CJ271,CJ281)</f>
        <v>18405972.337472353</v>
      </c>
      <c r="CK283" s="1137">
        <f>SUM(CK271,CK281)</f>
        <v>9119856.8663379103</v>
      </c>
      <c r="CL283" s="1137">
        <f>SUM(CL271,CL281)</f>
        <v>108249402.79618974</v>
      </c>
      <c r="CM283" s="1073"/>
      <c r="CQ283" s="1137">
        <f>SUM(CQ271,CQ281)</f>
        <v>135775232</v>
      </c>
      <c r="CR283" s="1137">
        <f>SUM(CR271,CR281)</f>
        <v>18405972.337472353</v>
      </c>
      <c r="CS283" s="1137">
        <f>SUM(CS271,CS281)</f>
        <v>9119856.8663379103</v>
      </c>
      <c r="CT283" s="1137">
        <f>SUM(CT271,CT281)</f>
        <v>108249402.79618974</v>
      </c>
      <c r="CU283" s="1073"/>
      <c r="CY283" s="1137">
        <f>SUM(CY271,CY281)</f>
        <v>135775232</v>
      </c>
      <c r="CZ283" s="1137">
        <f>SUM(CZ271,CZ281)</f>
        <v>18405972.337472353</v>
      </c>
      <c r="DA283" s="1137">
        <f>SUM(DA271,DA281)</f>
        <v>9119856.8663379103</v>
      </c>
      <c r="DB283" s="1137">
        <f>SUM(DB271,DB281)</f>
        <v>108249402.79618974</v>
      </c>
      <c r="DC283" s="1073"/>
      <c r="DG283" s="1137">
        <f>SUM(DG271,DG281)</f>
        <v>135775232</v>
      </c>
      <c r="DH283" s="1137">
        <f>SUM(DH271,DH281)</f>
        <v>18405972.337472353</v>
      </c>
      <c r="DI283" s="1137">
        <f>SUM(DI271,DI281)</f>
        <v>9119856.8663379103</v>
      </c>
      <c r="DJ283" s="1137">
        <f>SUM(DJ271,DJ281)</f>
        <v>108249402.79618974</v>
      </c>
      <c r="DK283" s="1073"/>
      <c r="DO283" s="1137">
        <f>SUM(DO271,DO281)</f>
        <v>135775232</v>
      </c>
      <c r="DP283" s="1137">
        <f>SUM(DP271,DP281)</f>
        <v>18405972.337472353</v>
      </c>
      <c r="DQ283" s="1137">
        <f>SUM(DQ271,DQ281)</f>
        <v>9119856.8663379103</v>
      </c>
      <c r="DR283" s="1137">
        <f>SUM(DR271,DR281)</f>
        <v>108249402.79618974</v>
      </c>
      <c r="DS283" s="1073"/>
      <c r="DW283" s="1137">
        <f>SUM(DW271,DW281)</f>
        <v>135775232</v>
      </c>
      <c r="DX283" s="1137">
        <f>SUM(DX271,DX281)</f>
        <v>18405972.337472353</v>
      </c>
      <c r="DY283" s="1137">
        <f>SUM(DY271,DY281)</f>
        <v>9119856.8663379103</v>
      </c>
      <c r="DZ283" s="1137">
        <f>SUM(DZ271,DZ281)</f>
        <v>108249402.79618974</v>
      </c>
      <c r="EA283" s="1073"/>
      <c r="EE283" s="1137">
        <f>SUM(EE271,EE281)</f>
        <v>135775232</v>
      </c>
      <c r="EF283" s="1137">
        <f>SUM(EF271,EF281)</f>
        <v>18405972.337472353</v>
      </c>
      <c r="EG283" s="1137">
        <f>SUM(EG271,EG281)</f>
        <v>9119856.8663379103</v>
      </c>
      <c r="EH283" s="1137">
        <f>SUM(EH271,EH281)</f>
        <v>108249402.79618974</v>
      </c>
      <c r="EI283" s="1073"/>
      <c r="EM283" s="1137">
        <f>SUM(EM271,EM281)</f>
        <v>135775232</v>
      </c>
      <c r="EN283" s="1137">
        <f>SUM(EN271,EN281)</f>
        <v>18405972.337472353</v>
      </c>
      <c r="EO283" s="1137">
        <f>SUM(EO271,EO281)</f>
        <v>9119856.8663379103</v>
      </c>
      <c r="EP283" s="1137">
        <f>SUM(EP271,EP281)</f>
        <v>108249402.79618974</v>
      </c>
      <c r="EQ283" s="1073"/>
      <c r="EU283" s="1137">
        <f>SUM(EU271,EU281)</f>
        <v>135775232</v>
      </c>
      <c r="EV283" s="1137">
        <f>SUM(EV271,EV281)</f>
        <v>18405972.337472353</v>
      </c>
      <c r="EW283" s="1137">
        <f>SUM(EW271,EW281)</f>
        <v>9119856.8663379103</v>
      </c>
      <c r="EX283" s="1137">
        <f>SUM(EX271,EX281)</f>
        <v>108249402.79618974</v>
      </c>
      <c r="EY283" s="1073"/>
      <c r="FC283" s="1137">
        <f>SUM(FC271,FC281)</f>
        <v>135775232</v>
      </c>
      <c r="FD283" s="1137">
        <f>SUM(FD271,FD281)</f>
        <v>18405972.337472353</v>
      </c>
      <c r="FE283" s="1137">
        <f>SUM(FE271,FE281)</f>
        <v>9119856.8663379103</v>
      </c>
      <c r="FF283" s="1137">
        <f>SUM(FF271,FF281)</f>
        <v>108249402.79618974</v>
      </c>
      <c r="FG283" s="1073"/>
      <c r="FK283" s="1137">
        <f>SUM(FK271,FK281)</f>
        <v>135775232</v>
      </c>
      <c r="FL283" s="1137">
        <f>SUM(FL271,FL281)</f>
        <v>18405972.337472353</v>
      </c>
      <c r="FM283" s="1137">
        <f>SUM(FM271,FM281)</f>
        <v>9119856.8663379103</v>
      </c>
      <c r="FN283" s="1137">
        <f>SUM(FN271,FN281)</f>
        <v>108249402.79618974</v>
      </c>
      <c r="FO283" s="1073"/>
    </row>
    <row r="284" spans="1:171" ht="16.5" thickBot="1">
      <c r="A284" s="1472"/>
      <c r="B284" s="203"/>
      <c r="C284" s="203"/>
      <c r="D284" s="203"/>
      <c r="E284" s="203"/>
      <c r="F284" s="203"/>
      <c r="G284" s="203"/>
      <c r="H284" s="203"/>
      <c r="I284" s="203"/>
      <c r="J284" s="1485"/>
      <c r="K284" s="903"/>
      <c r="S284" s="1073"/>
      <c r="AA284" s="1073"/>
      <c r="AI284" s="1073"/>
      <c r="AQ284" s="1073"/>
      <c r="AY284" s="1073"/>
      <c r="BG284" s="1073"/>
      <c r="BO284" s="1073"/>
      <c r="BW284" s="1073"/>
      <c r="CE284" s="1073"/>
      <c r="CM284" s="1073"/>
      <c r="CU284" s="1073"/>
      <c r="DC284" s="1073"/>
      <c r="DK284" s="1073"/>
      <c r="DS284" s="1073"/>
      <c r="EA284" s="1073"/>
      <c r="EI284" s="1073"/>
      <c r="EQ284" s="1073"/>
      <c r="EY284" s="1073"/>
      <c r="FG284" s="1073"/>
      <c r="FO284" s="1073"/>
    </row>
    <row r="285" spans="1:171" ht="16.5" thickTop="1">
      <c r="A285" s="1457"/>
      <c r="B285" s="1"/>
      <c r="C285" s="1"/>
      <c r="D285" s="1"/>
      <c r="E285" s="1"/>
      <c r="F285" s="1"/>
      <c r="G285" s="1"/>
      <c r="H285" s="1"/>
      <c r="I285" s="1"/>
      <c r="J285" s="1458"/>
      <c r="K285" s="903"/>
      <c r="S285" s="1073"/>
      <c r="AA285" s="1073"/>
      <c r="AI285" s="1073"/>
      <c r="AQ285" s="1073"/>
      <c r="AY285" s="1073"/>
      <c r="BG285" s="1073"/>
      <c r="BO285" s="1073"/>
      <c r="BW285" s="1073"/>
      <c r="CE285" s="1073"/>
      <c r="CM285" s="1073"/>
      <c r="CU285" s="1073"/>
      <c r="DC285" s="1073"/>
      <c r="DK285" s="1073"/>
      <c r="DS285" s="1073"/>
      <c r="EA285" s="1073"/>
      <c r="EI285" s="1073"/>
      <c r="EQ285" s="1073"/>
      <c r="EY285" s="1073"/>
      <c r="FG285" s="1073"/>
      <c r="FO285" s="1073"/>
    </row>
    <row r="286" spans="1:171" ht="16.5" thickBot="1">
      <c r="A286" s="1479" t="s">
        <v>632</v>
      </c>
      <c r="B286" s="1019"/>
      <c r="C286" s="1019"/>
      <c r="D286" s="1019"/>
      <c r="E286" s="147"/>
      <c r="F286" s="4"/>
      <c r="G286" s="1020"/>
      <c r="H286" s="1020"/>
      <c r="I286" s="1021"/>
      <c r="J286" s="1480"/>
      <c r="K286" s="903"/>
      <c r="S286" s="1073"/>
      <c r="AA286" s="1073"/>
      <c r="AI286" s="1073"/>
      <c r="AQ286" s="1073"/>
      <c r="AY286" s="1073"/>
      <c r="BG286" s="1073"/>
      <c r="BO286" s="1073"/>
      <c r="BW286" s="1073"/>
      <c r="CE286" s="1073"/>
      <c r="CM286" s="1073"/>
      <c r="CU286" s="1073"/>
      <c r="DC286" s="1073"/>
      <c r="DK286" s="1073"/>
      <c r="DS286" s="1073"/>
      <c r="EA286" s="1073"/>
      <c r="EI286" s="1073"/>
      <c r="EQ286" s="1073"/>
      <c r="EY286" s="1073"/>
      <c r="FG286" s="1073"/>
      <c r="FO286" s="1073"/>
    </row>
    <row r="287" spans="1:171" ht="17.25" thickTop="1" thickBot="1">
      <c r="A287" s="1463"/>
      <c r="B287" s="2382" t="s">
        <v>100</v>
      </c>
      <c r="C287" s="325" t="s">
        <v>323</v>
      </c>
      <c r="D287" s="325"/>
      <c r="E287" s="2490" t="s">
        <v>354</v>
      </c>
      <c r="F287" s="2481"/>
      <c r="G287" s="2482" t="s">
        <v>104</v>
      </c>
      <c r="H287" s="2484" t="s">
        <v>105</v>
      </c>
      <c r="I287" s="2460" t="s">
        <v>106</v>
      </c>
      <c r="J287" s="1464"/>
      <c r="K287" s="903"/>
      <c r="S287" s="1073"/>
      <c r="AA287" s="1073"/>
      <c r="AI287" s="1073"/>
      <c r="AQ287" s="1073"/>
      <c r="AY287" s="1073"/>
      <c r="BG287" s="1073"/>
      <c r="BO287" s="1073"/>
      <c r="BW287" s="1073"/>
      <c r="CE287" s="1073"/>
      <c r="CM287" s="1073"/>
      <c r="CU287" s="1073"/>
      <c r="DC287" s="1073"/>
      <c r="DK287" s="1073"/>
      <c r="DS287" s="1073"/>
      <c r="EA287" s="1073"/>
      <c r="EI287" s="1073"/>
      <c r="EQ287" s="1073"/>
      <c r="EY287" s="1073"/>
      <c r="FG287" s="1073"/>
      <c r="FO287" s="1073"/>
    </row>
    <row r="288" spans="1:171" ht="16.5" thickBot="1">
      <c r="A288" s="1340"/>
      <c r="B288" s="2463"/>
      <c r="C288" s="322" t="s">
        <v>272</v>
      </c>
      <c r="D288" s="322" t="s">
        <v>96</v>
      </c>
      <c r="E288" s="2467"/>
      <c r="F288" s="2468"/>
      <c r="G288" s="2470"/>
      <c r="H288" s="2473"/>
      <c r="I288" s="2461"/>
      <c r="J288" s="1341" t="s">
        <v>98</v>
      </c>
      <c r="K288" s="903"/>
      <c r="S288" s="1073"/>
      <c r="AA288" s="1073"/>
      <c r="AI288" s="1073"/>
      <c r="AQ288" s="1073"/>
      <c r="AY288" s="1073"/>
      <c r="BG288" s="1073"/>
      <c r="BO288" s="1073"/>
      <c r="BW288" s="1073"/>
      <c r="CE288" s="1073"/>
      <c r="CM288" s="1073"/>
      <c r="CU288" s="1073"/>
      <c r="DC288" s="1073"/>
      <c r="DK288" s="1073"/>
      <c r="DS288" s="1073"/>
      <c r="EA288" s="1073"/>
      <c r="EI288" s="1073"/>
      <c r="EQ288" s="1073"/>
      <c r="EY288" s="1073"/>
      <c r="FG288" s="1073"/>
      <c r="FO288" s="1073"/>
    </row>
    <row r="289" spans="1:171" ht="16.5" thickBot="1">
      <c r="A289" s="1465"/>
      <c r="B289" s="2464"/>
      <c r="C289" s="311" t="s">
        <v>273</v>
      </c>
      <c r="D289" s="311" t="s">
        <v>252</v>
      </c>
      <c r="E289" s="311" t="s">
        <v>454</v>
      </c>
      <c r="F289" s="311" t="s">
        <v>623</v>
      </c>
      <c r="G289" s="2471"/>
      <c r="H289" s="2474"/>
      <c r="I289" s="2476"/>
      <c r="J289" s="1466" t="s">
        <v>107</v>
      </c>
      <c r="K289" s="903"/>
      <c r="S289" s="1073"/>
      <c r="AA289" s="1073"/>
      <c r="AI289" s="1073"/>
      <c r="AQ289" s="1073"/>
      <c r="AY289" s="1073"/>
      <c r="BG289" s="1073"/>
      <c r="BO289" s="1073"/>
      <c r="BW289" s="1073"/>
      <c r="CE289" s="1073"/>
      <c r="CM289" s="1073"/>
      <c r="CU289" s="1073"/>
      <c r="DC289" s="1073"/>
      <c r="DK289" s="1073"/>
      <c r="DS289" s="1073"/>
      <c r="EA289" s="1073"/>
      <c r="EI289" s="1073"/>
      <c r="EQ289" s="1073"/>
      <c r="EY289" s="1073"/>
      <c r="FG289" s="1073"/>
      <c r="FO289" s="1073"/>
    </row>
    <row r="290" spans="1:171" ht="16.5" thickTop="1">
      <c r="A290" s="1342" t="s">
        <v>41</v>
      </c>
      <c r="B290" s="10"/>
      <c r="C290" s="51"/>
      <c r="D290" s="946"/>
      <c r="E290" s="55"/>
      <c r="F290" s="55"/>
      <c r="G290" s="221"/>
      <c r="H290" s="221"/>
      <c r="I290" s="221"/>
      <c r="J290" s="1428"/>
      <c r="K290" s="903"/>
      <c r="S290" s="1073"/>
      <c r="AA290" s="1073"/>
      <c r="AI290" s="1073"/>
      <c r="AQ290" s="1073"/>
      <c r="AY290" s="1073"/>
      <c r="BG290" s="1073"/>
      <c r="BO290" s="1073"/>
      <c r="BW290" s="1073"/>
      <c r="CE290" s="1073"/>
      <c r="CM290" s="1073"/>
      <c r="CU290" s="1073"/>
      <c r="DC290" s="1073"/>
      <c r="DK290" s="1073"/>
      <c r="DS290" s="1073"/>
      <c r="EA290" s="1073"/>
      <c r="EI290" s="1073"/>
      <c r="EQ290" s="1073"/>
      <c r="EY290" s="1073"/>
      <c r="FG290" s="1073"/>
      <c r="FO290" s="1073"/>
    </row>
    <row r="291" spans="1:171">
      <c r="A291" s="1342"/>
      <c r="B291" s="1030" t="s">
        <v>570</v>
      </c>
      <c r="C291" s="888">
        <v>114</v>
      </c>
      <c r="D291" s="889">
        <v>407.3</v>
      </c>
      <c r="E291" s="182" t="str">
        <f>'Sch 3B - Other Items'!E15</f>
        <v>DIRECT</v>
      </c>
      <c r="F291" s="889"/>
      <c r="G291" s="182">
        <f>'Sch 3B - Other Items'!G15</f>
        <v>43048247.780000001</v>
      </c>
      <c r="H291" s="182">
        <f>'Sch 3B - Other Items'!H15</f>
        <v>6528962.2342846561</v>
      </c>
      <c r="I291" s="182">
        <f>'Sch 3B - Other Items'!I15</f>
        <v>0</v>
      </c>
      <c r="J291" s="1424">
        <f>'Sch 3B - Other Items'!J15</f>
        <v>36519285.765715346</v>
      </c>
      <c r="K291" s="903">
        <f t="shared" ref="K291:K297" si="811">IF($E291="DIRECT",0,1)</f>
        <v>0</v>
      </c>
      <c r="O291" s="1116">
        <f t="shared" ref="O291:O297" si="812">$G291</f>
        <v>43048247.780000001</v>
      </c>
      <c r="P291" s="1117">
        <f t="shared" ref="P291:P297" si="813">VLOOKUP($E291,O$442:R$453,2,FALSE)*O291*($K291)+IF($G291&lt;&gt;0,($H291/$G291)*O291,0)*(1-$K291)</f>
        <v>6528962.2342846561</v>
      </c>
      <c r="Q291" s="1117">
        <f t="shared" ref="Q291:Q297" si="814">VLOOKUP($E291,O$442:R$453,3,FALSE)*O291*($K291)+IF($G291&lt;&gt;0,($I291/$G291)*O291,0)*(1-$K291)</f>
        <v>0</v>
      </c>
      <c r="R291" s="1117">
        <f t="shared" ref="R291:R297" si="815">VLOOKUP($E291,O$442:R$453,4,FALSE)*O291*($K291)+(O291-P291-Q291)*(1-$K291)</f>
        <v>36519285.545715347</v>
      </c>
      <c r="S291" s="1073"/>
      <c r="W291" s="1116">
        <f t="shared" ref="W291:W297" si="816">$G291</f>
        <v>43048247.780000001</v>
      </c>
      <c r="X291" s="1117">
        <f t="shared" ref="X291:X297" si="817">VLOOKUP($E291,W$442:Z$453,2,FALSE)*W291*($K291)+IF($G291&lt;&gt;0,($H291/$G291)*W291,0)*(1-$K291)</f>
        <v>6528962.2342846561</v>
      </c>
      <c r="Y291" s="1117">
        <f t="shared" ref="Y291:Y297" si="818">VLOOKUP($E291,W$442:Z$453,3,FALSE)*W291*($K291)+IF($G291&lt;&gt;0,($I291/$G291)*W291,0)*(1-$K291)</f>
        <v>0</v>
      </c>
      <c r="Z291" s="1117">
        <f t="shared" ref="Z291:Z297" si="819">VLOOKUP($E291,W$442:Z$453,4,FALSE)*W291*($K291)+(W291-X291-Y291)*(1-$K291)</f>
        <v>36519285.545715347</v>
      </c>
      <c r="AA291" s="1073"/>
      <c r="AE291" s="1116">
        <f t="shared" ref="AE291:AE297" si="820">$G291</f>
        <v>43048247.780000001</v>
      </c>
      <c r="AF291" s="1117">
        <f t="shared" ref="AF291:AF297" si="821">VLOOKUP($E291,AE$442:AH$453,2,FALSE)*AE291*($K291)+IF($G291&lt;&gt;0,($H291/$G291)*AE291,0)*(1-$K291)</f>
        <v>6528962.2342846561</v>
      </c>
      <c r="AG291" s="1117">
        <f t="shared" ref="AG291:AG297" si="822">VLOOKUP($E291,AE$442:AH$453,3,FALSE)*AE291*($K291)+IF($G291&lt;&gt;0,($I291/$G291)*AE291,0)*(1-$K291)</f>
        <v>0</v>
      </c>
      <c r="AH291" s="1117">
        <f t="shared" ref="AH291:AH297" si="823">VLOOKUP($E291,AE$442:AH$453,4,FALSE)*AE291*($K291)+(AE291-AF291-AG291)*(1-$K291)</f>
        <v>36519285.545715347</v>
      </c>
      <c r="AI291" s="1073"/>
      <c r="AM291" s="1116">
        <f t="shared" ref="AM291:AM297" si="824">$G291</f>
        <v>43048247.780000001</v>
      </c>
      <c r="AN291" s="1117">
        <f t="shared" ref="AN291:AN297" si="825">VLOOKUP($E291,AM$442:AP$453,2,FALSE)*AM291*($K291)+IF($G291&lt;&gt;0,($H291/$G291)*AM291,0)*(1-$K291)</f>
        <v>6528962.2342846561</v>
      </c>
      <c r="AO291" s="1117">
        <f t="shared" ref="AO291:AO297" si="826">VLOOKUP($E291,AM$442:AP$453,3,FALSE)*AM291*($K291)+IF($G291&lt;&gt;0,($I291/$G291)*AM291,0)*(1-$K291)</f>
        <v>0</v>
      </c>
      <c r="AP291" s="1117">
        <f t="shared" ref="AP291:AP297" si="827">VLOOKUP($E291,AM$442:AP$453,4,FALSE)*AM291*($K291)+(AM291-AN291-AO291)*(1-$K291)</f>
        <v>36519285.545715347</v>
      </c>
      <c r="AQ291" s="1073"/>
      <c r="AU291" s="1116">
        <f t="shared" ref="AU291:AU297" si="828">$G291</f>
        <v>43048247.780000001</v>
      </c>
      <c r="AV291" s="1117">
        <f t="shared" ref="AV291:AV297" si="829">VLOOKUP($E291,AU$442:AX$453,2,FALSE)*AU291*($K291)+IF($G291&lt;&gt;0,($H291/$G291)*AU291,0)*(1-$K291)</f>
        <v>6528962.2342846561</v>
      </c>
      <c r="AW291" s="1117">
        <f t="shared" ref="AW291:AW297" si="830">VLOOKUP($E291,AU$442:AX$453,3,FALSE)*AU291*($K291)+IF($G291&lt;&gt;0,($I291/$G291)*AU291,0)*(1-$K291)</f>
        <v>0</v>
      </c>
      <c r="AX291" s="1117">
        <f t="shared" ref="AX291:AX297" si="831">VLOOKUP($E291,AU$442:AX$453,4,FALSE)*AU291*($K291)+(AU291-AV291-AW291)*(1-$K291)</f>
        <v>36519285.545715347</v>
      </c>
      <c r="AY291" s="1073"/>
      <c r="BC291" s="1116">
        <f t="shared" ref="BC291:BC297" si="832">$G291</f>
        <v>43048247.780000001</v>
      </c>
      <c r="BD291" s="1117">
        <f t="shared" ref="BD291:BD297" si="833">VLOOKUP($E291,BC$442:BF$453,2,FALSE)*BC291*($K291)+IF($G291&lt;&gt;0,($H291/$G291)*BC291,0)*(1-$K291)</f>
        <v>6528962.2342846561</v>
      </c>
      <c r="BE291" s="1117">
        <f t="shared" ref="BE291:BE297" si="834">VLOOKUP($E291,BC$442:BF$453,3,FALSE)*BC291*($K291)+IF($G291&lt;&gt;0,($I291/$G291)*BC291,0)*(1-$K291)</f>
        <v>0</v>
      </c>
      <c r="BF291" s="1117">
        <f t="shared" ref="BF291:BF297" si="835">VLOOKUP($E291,BC$442:BF$453,4,FALSE)*BC291*($K291)+(BC291-BD291-BE291)*(1-$K291)</f>
        <v>36519285.545715347</v>
      </c>
      <c r="BG291" s="1073"/>
      <c r="BK291" s="1116">
        <f t="shared" ref="BK291:BK297" si="836">$G291</f>
        <v>43048247.780000001</v>
      </c>
      <c r="BL291" s="1117">
        <f t="shared" ref="BL291:BL297" si="837">VLOOKUP($E291,BK$442:BN$453,2,FALSE)*BK291*($K291)+IF($G291&lt;&gt;0,($H291/$G291)*BK291,0)*(1-$K291)</f>
        <v>6528962.2342846561</v>
      </c>
      <c r="BM291" s="1117">
        <f t="shared" ref="BM291:BM297" si="838">VLOOKUP($E291,BK$442:BN$453,3,FALSE)*BK291*($K291)+IF($G291&lt;&gt;0,($I291/$G291)*BK291,0)*(1-$K291)</f>
        <v>0</v>
      </c>
      <c r="BN291" s="1117">
        <f t="shared" ref="BN291:BN297" si="839">VLOOKUP($E291,BK$442:BN$453,4,FALSE)*BK291*($K291)+(BK291-BL291-BM291)*(1-$K291)</f>
        <v>36519285.545715347</v>
      </c>
      <c r="BO291" s="1073"/>
      <c r="BS291" s="1116">
        <f t="shared" ref="BS291:BS297" si="840">$G291</f>
        <v>43048247.780000001</v>
      </c>
      <c r="BT291" s="1117">
        <f t="shared" ref="BT291:BT297" si="841">VLOOKUP($E291,BS$442:BV$453,2,FALSE)*BS291*($K291)+IF($G291&lt;&gt;0,($H291/$G291)*BS291,0)*(1-$K291)</f>
        <v>6528962.2342846561</v>
      </c>
      <c r="BU291" s="1117">
        <f t="shared" ref="BU291:BU297" si="842">VLOOKUP($E291,BS$442:BV$453,3,FALSE)*BS291*($K291)+IF($G291&lt;&gt;0,($I291/$G291)*BS291,0)*(1-$K291)</f>
        <v>0</v>
      </c>
      <c r="BV291" s="1117">
        <f t="shared" ref="BV291:BV297" si="843">VLOOKUP($E291,BS$442:BV$453,4,FALSE)*BS291*($K291)+(BS291-BT291-BU291)*(1-$K291)</f>
        <v>36519285.545715347</v>
      </c>
      <c r="BW291" s="1073"/>
      <c r="CA291" s="1116">
        <f t="shared" ref="CA291:CA297" si="844">$G291</f>
        <v>43048247.780000001</v>
      </c>
      <c r="CB291" s="1117">
        <f t="shared" ref="CB291:CB297" si="845">VLOOKUP($E291,CA$442:CD$453,2,FALSE)*CA291*($K291)+IF($G291&lt;&gt;0,($H291/$G291)*CA291,0)*(1-$K291)</f>
        <v>6528962.2342846561</v>
      </c>
      <c r="CC291" s="1117">
        <f t="shared" ref="CC291:CC297" si="846">VLOOKUP($E291,CA$442:CD$453,3,FALSE)*CA291*($K291)+IF($G291&lt;&gt;0,($I291/$G291)*CA291,0)*(1-$K291)</f>
        <v>0</v>
      </c>
      <c r="CD291" s="1117">
        <f t="shared" ref="CD291:CD297" si="847">VLOOKUP($E291,CA$442:CD$453,4,FALSE)*CA291*($K291)+(CA291-CB291-CC291)*(1-$K291)</f>
        <v>36519285.545715347</v>
      </c>
      <c r="CE291" s="1073"/>
      <c r="CI291" s="1116">
        <f t="shared" ref="CI291:CI297" si="848">$G291</f>
        <v>43048247.780000001</v>
      </c>
      <c r="CJ291" s="1117">
        <f t="shared" ref="CJ291:CJ297" si="849">VLOOKUP($E291,CI$442:CL$453,2,FALSE)*CI291*($K291)+IF($G291&lt;&gt;0,($H291/$G291)*CI291,0)*(1-$K291)</f>
        <v>6528962.2342846561</v>
      </c>
      <c r="CK291" s="1117">
        <f t="shared" ref="CK291:CK297" si="850">VLOOKUP($E291,CI$442:CL$453,3,FALSE)*CI291*($K291)+IF($G291&lt;&gt;0,($I291/$G291)*CI291,0)*(1-$K291)</f>
        <v>0</v>
      </c>
      <c r="CL291" s="1117">
        <f t="shared" ref="CL291:CL297" si="851">VLOOKUP($E291,CI$442:CL$453,4,FALSE)*CI291*($K291)+(CI291-CJ291-CK291)*(1-$K291)</f>
        <v>36519285.545715347</v>
      </c>
      <c r="CM291" s="1073"/>
      <c r="CQ291" s="1116">
        <f t="shared" ref="CQ291:CQ297" si="852">$G291</f>
        <v>43048247.780000001</v>
      </c>
      <c r="CR291" s="1117">
        <f t="shared" ref="CR291:CR297" si="853">VLOOKUP($E291,CQ$442:CT$453,2,FALSE)*CQ291*($K291)+IF($G291&lt;&gt;0,($H291/$G291)*CQ291,0)*(1-$K291)</f>
        <v>6528962.2342846561</v>
      </c>
      <c r="CS291" s="1117">
        <f t="shared" ref="CS291:CS297" si="854">VLOOKUP($E291,CQ$442:CT$453,3,FALSE)*CQ291*($K291)+IF($G291&lt;&gt;0,($I291/$G291)*CQ291,0)*(1-$K291)</f>
        <v>0</v>
      </c>
      <c r="CT291" s="1117">
        <f t="shared" ref="CT291:CT297" si="855">VLOOKUP($E291,CQ$442:CT$453,4,FALSE)*CQ291*($K291)+(CQ291-CR291-CS291)*(1-$K291)</f>
        <v>36519285.545715347</v>
      </c>
      <c r="CU291" s="1073"/>
      <c r="CY291" s="1116">
        <f t="shared" ref="CY291:CY297" si="856">$G291</f>
        <v>43048247.780000001</v>
      </c>
      <c r="CZ291" s="1117">
        <f t="shared" ref="CZ291:CZ297" si="857">VLOOKUP($E291,CY$442:DB$453,2,FALSE)*CY291*($K291)+IF($G291&lt;&gt;0,($H291/$G291)*CY291,0)*(1-$K291)</f>
        <v>6528962.2342846561</v>
      </c>
      <c r="DA291" s="1117">
        <f t="shared" ref="DA291:DA297" si="858">VLOOKUP($E291,CY$442:DB$453,3,FALSE)*CY291*($K291)+IF($G291&lt;&gt;0,($I291/$G291)*CY291,0)*(1-$K291)</f>
        <v>0</v>
      </c>
      <c r="DB291" s="1117">
        <f t="shared" ref="DB291:DB297" si="859">VLOOKUP($E291,CY$442:DB$453,4,FALSE)*CY291*($K291)+(CY291-CZ291-DA291)*(1-$K291)</f>
        <v>36519285.545715347</v>
      </c>
      <c r="DC291" s="1073"/>
      <c r="DG291" s="1116">
        <f t="shared" ref="DG291:DG297" si="860">$G291</f>
        <v>43048247.780000001</v>
      </c>
      <c r="DH291" s="1117">
        <f t="shared" ref="DH291:DH297" si="861">VLOOKUP($E291,DG$442:DJ$453,2,FALSE)*DG291*($K291)+IF($G291&lt;&gt;0,($H291/$G291)*DG291,0)*(1-$K291)</f>
        <v>6528962.2342846561</v>
      </c>
      <c r="DI291" s="1117">
        <f t="shared" ref="DI291:DI297" si="862">VLOOKUP($E291,DG$442:DJ$453,3,FALSE)*DG291*($K291)+IF($G291&lt;&gt;0,($I291/$G291)*DG291,0)*(1-$K291)</f>
        <v>0</v>
      </c>
      <c r="DJ291" s="1117">
        <f t="shared" ref="DJ291:DJ297" si="863">VLOOKUP($E291,DG$442:DJ$453,4,FALSE)*DG291*($K291)+(DG291-DH291-DI291)*(1-$K291)</f>
        <v>36519285.545715347</v>
      </c>
      <c r="DK291" s="1073"/>
      <c r="DO291" s="1116">
        <f t="shared" ref="DO291:DO297" si="864">$G291</f>
        <v>43048247.780000001</v>
      </c>
      <c r="DP291" s="1117">
        <f t="shared" ref="DP291:DP297" si="865">VLOOKUP($E291,DO$442:DR$453,2,FALSE)*DO291*($K291)+IF($G291&lt;&gt;0,($H291/$G291)*DO291,0)*(1-$K291)</f>
        <v>6528962.2342846561</v>
      </c>
      <c r="DQ291" s="1117">
        <f t="shared" ref="DQ291:DQ297" si="866">VLOOKUP($E291,DO$442:DR$453,3,FALSE)*DO291*($K291)+IF($G291&lt;&gt;0,($I291/$G291)*DO291,0)*(1-$K291)</f>
        <v>0</v>
      </c>
      <c r="DR291" s="1117">
        <f t="shared" ref="DR291:DR297" si="867">VLOOKUP($E291,DO$442:DR$453,4,FALSE)*DO291*($K291)+(DO291-DP291-DQ291)*(1-$K291)</f>
        <v>36519285.545715347</v>
      </c>
      <c r="DS291" s="1073"/>
      <c r="DW291" s="1116">
        <f t="shared" ref="DW291:DW297" si="868">$G291</f>
        <v>43048247.780000001</v>
      </c>
      <c r="DX291" s="1117">
        <f t="shared" ref="DX291:DX297" si="869">VLOOKUP($E291,DW$442:DZ$453,2,FALSE)*DW291*($K291)+IF($G291&lt;&gt;0,($H291/$G291)*DW291,0)*(1-$K291)</f>
        <v>6528962.2342846561</v>
      </c>
      <c r="DY291" s="1117">
        <f t="shared" ref="DY291:DY297" si="870">VLOOKUP($E291,DW$442:DZ$453,3,FALSE)*DW291*($K291)+IF($G291&lt;&gt;0,($I291/$G291)*DW291,0)*(1-$K291)</f>
        <v>0</v>
      </c>
      <c r="DZ291" s="1117">
        <f t="shared" ref="DZ291:DZ297" si="871">VLOOKUP($E291,DW$442:DZ$453,4,FALSE)*DW291*($K291)+(DW291-DX291-DY291)*(1-$K291)</f>
        <v>36519285.545715347</v>
      </c>
      <c r="EA291" s="1073"/>
      <c r="EE291" s="1116">
        <f t="shared" ref="EE291:EE297" si="872">$G291</f>
        <v>43048247.780000001</v>
      </c>
      <c r="EF291" s="1117">
        <f t="shared" ref="EF291:EF297" si="873">VLOOKUP($E291,EE$442:EH$453,2,FALSE)*EE291*($K291)+IF($G291&lt;&gt;0,($H291/$G291)*EE291,0)*(1-$K291)</f>
        <v>6528962.2342846561</v>
      </c>
      <c r="EG291" s="1117">
        <f t="shared" ref="EG291:EG297" si="874">VLOOKUP($E291,EE$442:EH$453,3,FALSE)*EE291*($K291)+IF($G291&lt;&gt;0,($I291/$G291)*EE291,0)*(1-$K291)</f>
        <v>0</v>
      </c>
      <c r="EH291" s="1117">
        <f t="shared" ref="EH291:EH297" si="875">VLOOKUP($E291,EE$442:EH$453,4,FALSE)*EE291*($K291)+(EE291-EF291-EG291)*(1-$K291)</f>
        <v>36519285.545715347</v>
      </c>
      <c r="EI291" s="1073"/>
      <c r="EM291" s="1116">
        <f t="shared" ref="EM291:EM297" si="876">$G291</f>
        <v>43048247.780000001</v>
      </c>
      <c r="EN291" s="1117">
        <f t="shared" ref="EN291:EN297" si="877">VLOOKUP($E291,EM$442:EP$453,2,FALSE)*EM291*($K291)+IF($G291&lt;&gt;0,($H291/$G291)*EM291,0)*(1-$K291)</f>
        <v>6528962.2342846561</v>
      </c>
      <c r="EO291" s="1117">
        <f t="shared" ref="EO291:EO297" si="878">VLOOKUP($E291,EM$442:EP$453,3,FALSE)*EM291*($K291)+IF($G291&lt;&gt;0,($I291/$G291)*EM291,0)*(1-$K291)</f>
        <v>0</v>
      </c>
      <c r="EP291" s="1117">
        <f t="shared" ref="EP291:EP297" si="879">VLOOKUP($E291,EM$442:EP$453,4,FALSE)*EM291*($K291)+(EM291-EN291-EO291)*(1-$K291)</f>
        <v>36519285.545715347</v>
      </c>
      <c r="EQ291" s="1073"/>
      <c r="EU291" s="1116">
        <f t="shared" ref="EU291:EU297" si="880">$G291</f>
        <v>43048247.780000001</v>
      </c>
      <c r="EV291" s="1117">
        <f t="shared" ref="EV291:EV297" si="881">VLOOKUP($E291,EU$442:EX$453,2,FALSE)*EU291*($K291)+IF($G291&lt;&gt;0,($H291/$G291)*EU291,0)*(1-$K291)</f>
        <v>6528962.2342846561</v>
      </c>
      <c r="EW291" s="1117">
        <f t="shared" ref="EW291:EW297" si="882">VLOOKUP($E291,EU$442:EX$453,3,FALSE)*EU291*($K291)+IF($G291&lt;&gt;0,($I291/$G291)*EU291,0)*(1-$K291)</f>
        <v>0</v>
      </c>
      <c r="EX291" s="1117">
        <f t="shared" ref="EX291:EX297" si="883">VLOOKUP($E291,EU$442:EX$453,4,FALSE)*EU291*($K291)+(EU291-EV291-EW291)*(1-$K291)</f>
        <v>36519285.545715347</v>
      </c>
      <c r="EY291" s="1073"/>
      <c r="FC291" s="1116">
        <f t="shared" ref="FC291:FC297" si="884">$G291</f>
        <v>43048247.780000001</v>
      </c>
      <c r="FD291" s="1117">
        <f t="shared" ref="FD291:FD297" si="885">VLOOKUP($E291,FC$442:FF$453,2,FALSE)*FC291*($K291)+IF($G291&lt;&gt;0,($H291/$G291)*FC291,0)*(1-$K291)</f>
        <v>6528962.2342846561</v>
      </c>
      <c r="FE291" s="1117">
        <f t="shared" ref="FE291:FE297" si="886">VLOOKUP($E291,FC$442:FF$453,3,FALSE)*FC291*($K291)+IF($G291&lt;&gt;0,($I291/$G291)*FC291,0)*(1-$K291)</f>
        <v>0</v>
      </c>
      <c r="FF291" s="1117">
        <f t="shared" ref="FF291:FF297" si="887">VLOOKUP($E291,FC$442:FF$453,4,FALSE)*FC291*($K291)+(FC291-FD291-FE291)*(1-$K291)</f>
        <v>36519285.545715347</v>
      </c>
      <c r="FG291" s="1073"/>
      <c r="FK291" s="1116">
        <f t="shared" ref="FK291:FK297" si="888">$G291</f>
        <v>43048247.780000001</v>
      </c>
      <c r="FL291" s="1117">
        <f t="shared" ref="FL291:FL297" si="889">VLOOKUP($E291,FK$442:FN$453,2,FALSE)*FK291*($K291)+IF($G291&lt;&gt;0,($H291/$G291)*FK291,0)*(1-$K291)</f>
        <v>6528962.2342846561</v>
      </c>
      <c r="FM291" s="1117">
        <f t="shared" ref="FM291:FM297" si="890">VLOOKUP($E291,FK$442:FN$453,3,FALSE)*FK291*($K291)+IF($G291&lt;&gt;0,($I291/$G291)*FK291,0)*(1-$K291)</f>
        <v>0</v>
      </c>
      <c r="FN291" s="1117">
        <f t="shared" ref="FN291:FN297" si="891">VLOOKUP($E291,FK$442:FN$453,4,FALSE)*FK291*($K291)+(FK291-FL291-FM291)*(1-$K291)</f>
        <v>36519285.545715347</v>
      </c>
      <c r="FO291" s="1073"/>
    </row>
    <row r="292" spans="1:171">
      <c r="A292" s="1342"/>
      <c r="B292" s="1031" t="s">
        <v>633</v>
      </c>
      <c r="C292" s="888">
        <v>114</v>
      </c>
      <c r="D292" s="889">
        <v>407.4</v>
      </c>
      <c r="E292" s="182" t="str">
        <f>'Sch 3B - Other Items'!E16</f>
        <v>DIRECT</v>
      </c>
      <c r="F292" s="889"/>
      <c r="G292" s="182">
        <f>'Sch 3B - Other Items'!G16</f>
        <v>21751021.41</v>
      </c>
      <c r="H292" s="182">
        <f>'Sch 3B - Other Items'!H16</f>
        <v>5597733.3811167059</v>
      </c>
      <c r="I292" s="182">
        <f>'Sch 3B - Other Items'!I16</f>
        <v>0</v>
      </c>
      <c r="J292" s="1424">
        <f>'Sch 3B - Other Items'!J16</f>
        <v>11163861</v>
      </c>
      <c r="K292" s="903">
        <f t="shared" si="811"/>
        <v>0</v>
      </c>
      <c r="O292" s="1116">
        <f t="shared" si="812"/>
        <v>21751021.41</v>
      </c>
      <c r="P292" s="1117">
        <f t="shared" si="813"/>
        <v>5597733.3811167069</v>
      </c>
      <c r="Q292" s="1117">
        <f t="shared" si="814"/>
        <v>0</v>
      </c>
      <c r="R292" s="1117">
        <f t="shared" si="815"/>
        <v>16153288.028883293</v>
      </c>
      <c r="S292" s="1073"/>
      <c r="W292" s="1116">
        <f t="shared" si="816"/>
        <v>21751021.41</v>
      </c>
      <c r="X292" s="1117">
        <f t="shared" si="817"/>
        <v>5597733.3811167069</v>
      </c>
      <c r="Y292" s="1117">
        <f t="shared" si="818"/>
        <v>0</v>
      </c>
      <c r="Z292" s="1117">
        <f t="shared" si="819"/>
        <v>16153288.028883293</v>
      </c>
      <c r="AA292" s="1073"/>
      <c r="AE292" s="1116">
        <f t="shared" si="820"/>
        <v>21751021.41</v>
      </c>
      <c r="AF292" s="1117">
        <f t="shared" si="821"/>
        <v>5597733.3811167069</v>
      </c>
      <c r="AG292" s="1117">
        <f t="shared" si="822"/>
        <v>0</v>
      </c>
      <c r="AH292" s="1117">
        <f t="shared" si="823"/>
        <v>16153288.028883293</v>
      </c>
      <c r="AI292" s="1073"/>
      <c r="AM292" s="1116">
        <f t="shared" si="824"/>
        <v>21751021.41</v>
      </c>
      <c r="AN292" s="1117">
        <f t="shared" si="825"/>
        <v>5597733.3811167069</v>
      </c>
      <c r="AO292" s="1117">
        <f t="shared" si="826"/>
        <v>0</v>
      </c>
      <c r="AP292" s="1117">
        <f t="shared" si="827"/>
        <v>16153288.028883293</v>
      </c>
      <c r="AQ292" s="1073"/>
      <c r="AU292" s="1116">
        <f t="shared" si="828"/>
        <v>21751021.41</v>
      </c>
      <c r="AV292" s="1117">
        <f t="shared" si="829"/>
        <v>5597733.3811167069</v>
      </c>
      <c r="AW292" s="1117">
        <f t="shared" si="830"/>
        <v>0</v>
      </c>
      <c r="AX292" s="1117">
        <f t="shared" si="831"/>
        <v>16153288.028883293</v>
      </c>
      <c r="AY292" s="1073"/>
      <c r="BC292" s="1116">
        <f t="shared" si="832"/>
        <v>21751021.41</v>
      </c>
      <c r="BD292" s="1117">
        <f t="shared" si="833"/>
        <v>5597733.3811167069</v>
      </c>
      <c r="BE292" s="1117">
        <f t="shared" si="834"/>
        <v>0</v>
      </c>
      <c r="BF292" s="1117">
        <f t="shared" si="835"/>
        <v>16153288.028883293</v>
      </c>
      <c r="BG292" s="1073"/>
      <c r="BK292" s="1116">
        <f t="shared" si="836"/>
        <v>21751021.41</v>
      </c>
      <c r="BL292" s="1117">
        <f t="shared" si="837"/>
        <v>5597733.3811167069</v>
      </c>
      <c r="BM292" s="1117">
        <f t="shared" si="838"/>
        <v>0</v>
      </c>
      <c r="BN292" s="1117">
        <f t="shared" si="839"/>
        <v>16153288.028883293</v>
      </c>
      <c r="BO292" s="1073"/>
      <c r="BS292" s="1116">
        <f t="shared" si="840"/>
        <v>21751021.41</v>
      </c>
      <c r="BT292" s="1117">
        <f t="shared" si="841"/>
        <v>5597733.3811167069</v>
      </c>
      <c r="BU292" s="1117">
        <f t="shared" si="842"/>
        <v>0</v>
      </c>
      <c r="BV292" s="1117">
        <f t="shared" si="843"/>
        <v>16153288.028883293</v>
      </c>
      <c r="BW292" s="1073"/>
      <c r="CA292" s="1116">
        <f t="shared" si="844"/>
        <v>21751021.41</v>
      </c>
      <c r="CB292" s="1117">
        <f t="shared" si="845"/>
        <v>5597733.3811167069</v>
      </c>
      <c r="CC292" s="1117">
        <f t="shared" si="846"/>
        <v>0</v>
      </c>
      <c r="CD292" s="1117">
        <f t="shared" si="847"/>
        <v>16153288.028883293</v>
      </c>
      <c r="CE292" s="1073"/>
      <c r="CI292" s="1116">
        <f t="shared" si="848"/>
        <v>21751021.41</v>
      </c>
      <c r="CJ292" s="1117">
        <f t="shared" si="849"/>
        <v>5597733.3811167069</v>
      </c>
      <c r="CK292" s="1117">
        <f t="shared" si="850"/>
        <v>0</v>
      </c>
      <c r="CL292" s="1117">
        <f t="shared" si="851"/>
        <v>16153288.028883293</v>
      </c>
      <c r="CM292" s="1073"/>
      <c r="CQ292" s="1116">
        <f t="shared" si="852"/>
        <v>21751021.41</v>
      </c>
      <c r="CR292" s="1117">
        <f t="shared" si="853"/>
        <v>5597733.3811167069</v>
      </c>
      <c r="CS292" s="1117">
        <f t="shared" si="854"/>
        <v>0</v>
      </c>
      <c r="CT292" s="1117">
        <f t="shared" si="855"/>
        <v>16153288.028883293</v>
      </c>
      <c r="CU292" s="1073"/>
      <c r="CY292" s="1116">
        <f t="shared" si="856"/>
        <v>21751021.41</v>
      </c>
      <c r="CZ292" s="1117">
        <f t="shared" si="857"/>
        <v>5597733.3811167069</v>
      </c>
      <c r="DA292" s="1117">
        <f t="shared" si="858"/>
        <v>0</v>
      </c>
      <c r="DB292" s="1117">
        <f t="shared" si="859"/>
        <v>16153288.028883293</v>
      </c>
      <c r="DC292" s="1073"/>
      <c r="DG292" s="1116">
        <f t="shared" si="860"/>
        <v>21751021.41</v>
      </c>
      <c r="DH292" s="1117">
        <f t="shared" si="861"/>
        <v>5597733.3811167069</v>
      </c>
      <c r="DI292" s="1117">
        <f t="shared" si="862"/>
        <v>0</v>
      </c>
      <c r="DJ292" s="1117">
        <f t="shared" si="863"/>
        <v>16153288.028883293</v>
      </c>
      <c r="DK292" s="1073"/>
      <c r="DO292" s="1116">
        <f t="shared" si="864"/>
        <v>21751021.41</v>
      </c>
      <c r="DP292" s="1117">
        <f t="shared" si="865"/>
        <v>5597733.3811167069</v>
      </c>
      <c r="DQ292" s="1117">
        <f t="shared" si="866"/>
        <v>0</v>
      </c>
      <c r="DR292" s="1117">
        <f t="shared" si="867"/>
        <v>16153288.028883293</v>
      </c>
      <c r="DS292" s="1073"/>
      <c r="DW292" s="1116">
        <f t="shared" si="868"/>
        <v>21751021.41</v>
      </c>
      <c r="DX292" s="1117">
        <f t="shared" si="869"/>
        <v>5597733.3811167069</v>
      </c>
      <c r="DY292" s="1117">
        <f t="shared" si="870"/>
        <v>0</v>
      </c>
      <c r="DZ292" s="1117">
        <f t="shared" si="871"/>
        <v>16153288.028883293</v>
      </c>
      <c r="EA292" s="1073"/>
      <c r="EE292" s="1116">
        <f t="shared" si="872"/>
        <v>21751021.41</v>
      </c>
      <c r="EF292" s="1117">
        <f t="shared" si="873"/>
        <v>5597733.3811167069</v>
      </c>
      <c r="EG292" s="1117">
        <f t="shared" si="874"/>
        <v>0</v>
      </c>
      <c r="EH292" s="1117">
        <f t="shared" si="875"/>
        <v>16153288.028883293</v>
      </c>
      <c r="EI292" s="1073"/>
      <c r="EM292" s="1116">
        <f t="shared" si="876"/>
        <v>21751021.41</v>
      </c>
      <c r="EN292" s="1117">
        <f t="shared" si="877"/>
        <v>5597733.3811167069</v>
      </c>
      <c r="EO292" s="1117">
        <f t="shared" si="878"/>
        <v>0</v>
      </c>
      <c r="EP292" s="1117">
        <f t="shared" si="879"/>
        <v>16153288.028883293</v>
      </c>
      <c r="EQ292" s="1073"/>
      <c r="EU292" s="1116">
        <f t="shared" si="880"/>
        <v>21751021.41</v>
      </c>
      <c r="EV292" s="1117">
        <f t="shared" si="881"/>
        <v>5597733.3811167069</v>
      </c>
      <c r="EW292" s="1117">
        <f t="shared" si="882"/>
        <v>0</v>
      </c>
      <c r="EX292" s="1117">
        <f t="shared" si="883"/>
        <v>16153288.028883293</v>
      </c>
      <c r="EY292" s="1073"/>
      <c r="FC292" s="1116">
        <f t="shared" si="884"/>
        <v>21751021.41</v>
      </c>
      <c r="FD292" s="1117">
        <f t="shared" si="885"/>
        <v>5597733.3811167069</v>
      </c>
      <c r="FE292" s="1117">
        <f t="shared" si="886"/>
        <v>0</v>
      </c>
      <c r="FF292" s="1117">
        <f t="shared" si="887"/>
        <v>16153288.028883293</v>
      </c>
      <c r="FG292" s="1073"/>
      <c r="FK292" s="1116">
        <f t="shared" si="888"/>
        <v>21751021.41</v>
      </c>
      <c r="FL292" s="1117">
        <f t="shared" si="889"/>
        <v>5597733.3811167069</v>
      </c>
      <c r="FM292" s="1117">
        <f t="shared" si="890"/>
        <v>0</v>
      </c>
      <c r="FN292" s="1117">
        <f t="shared" si="891"/>
        <v>16153288.028883293</v>
      </c>
      <c r="FO292" s="1073"/>
    </row>
    <row r="293" spans="1:171">
      <c r="A293" s="1423"/>
      <c r="B293" s="1032" t="s">
        <v>393</v>
      </c>
      <c r="C293" s="888">
        <v>114</v>
      </c>
      <c r="D293" s="889">
        <v>411.6</v>
      </c>
      <c r="E293" s="182" t="str">
        <f>'Sch 3B - Other Items'!E17</f>
        <v>DIRECT</v>
      </c>
      <c r="F293" s="889"/>
      <c r="G293" s="182">
        <f>'Sch 3B - Other Items'!G17</f>
        <v>0</v>
      </c>
      <c r="H293" s="182">
        <f>'Sch 3B - Other Items'!H17</f>
        <v>0</v>
      </c>
      <c r="I293" s="182">
        <f>'Sch 3B - Other Items'!I17</f>
        <v>0</v>
      </c>
      <c r="J293" s="1424">
        <f>'Sch 3B - Other Items'!J17</f>
        <v>0</v>
      </c>
      <c r="K293" s="903">
        <f t="shared" si="811"/>
        <v>0</v>
      </c>
      <c r="O293" s="1116">
        <f t="shared" si="812"/>
        <v>0</v>
      </c>
      <c r="P293" s="1117">
        <f t="shared" si="813"/>
        <v>0</v>
      </c>
      <c r="Q293" s="1117">
        <f t="shared" si="814"/>
        <v>0</v>
      </c>
      <c r="R293" s="1117">
        <f t="shared" si="815"/>
        <v>0</v>
      </c>
      <c r="S293" s="1073"/>
      <c r="W293" s="1116">
        <f t="shared" si="816"/>
        <v>0</v>
      </c>
      <c r="X293" s="1117">
        <f t="shared" si="817"/>
        <v>0</v>
      </c>
      <c r="Y293" s="1117">
        <f t="shared" si="818"/>
        <v>0</v>
      </c>
      <c r="Z293" s="1117">
        <f t="shared" si="819"/>
        <v>0</v>
      </c>
      <c r="AA293" s="1073"/>
      <c r="AE293" s="1116">
        <f t="shared" si="820"/>
        <v>0</v>
      </c>
      <c r="AF293" s="1117">
        <f t="shared" si="821"/>
        <v>0</v>
      </c>
      <c r="AG293" s="1117">
        <f t="shared" si="822"/>
        <v>0</v>
      </c>
      <c r="AH293" s="1117">
        <f t="shared" si="823"/>
        <v>0</v>
      </c>
      <c r="AI293" s="1073"/>
      <c r="AM293" s="1116">
        <f t="shared" si="824"/>
        <v>0</v>
      </c>
      <c r="AN293" s="1117">
        <f t="shared" si="825"/>
        <v>0</v>
      </c>
      <c r="AO293" s="1117">
        <f t="shared" si="826"/>
        <v>0</v>
      </c>
      <c r="AP293" s="1117">
        <f t="shared" si="827"/>
        <v>0</v>
      </c>
      <c r="AQ293" s="1073"/>
      <c r="AU293" s="1116">
        <f t="shared" si="828"/>
        <v>0</v>
      </c>
      <c r="AV293" s="1117">
        <f t="shared" si="829"/>
        <v>0</v>
      </c>
      <c r="AW293" s="1117">
        <f t="shared" si="830"/>
        <v>0</v>
      </c>
      <c r="AX293" s="1117">
        <f t="shared" si="831"/>
        <v>0</v>
      </c>
      <c r="AY293" s="1073"/>
      <c r="BC293" s="1116">
        <f t="shared" si="832"/>
        <v>0</v>
      </c>
      <c r="BD293" s="1117">
        <f t="shared" si="833"/>
        <v>0</v>
      </c>
      <c r="BE293" s="1117">
        <f t="shared" si="834"/>
        <v>0</v>
      </c>
      <c r="BF293" s="1117">
        <f t="shared" si="835"/>
        <v>0</v>
      </c>
      <c r="BG293" s="1073"/>
      <c r="BK293" s="1116">
        <f t="shared" si="836"/>
        <v>0</v>
      </c>
      <c r="BL293" s="1117">
        <f t="shared" si="837"/>
        <v>0</v>
      </c>
      <c r="BM293" s="1117">
        <f t="shared" si="838"/>
        <v>0</v>
      </c>
      <c r="BN293" s="1117">
        <f t="shared" si="839"/>
        <v>0</v>
      </c>
      <c r="BO293" s="1073"/>
      <c r="BS293" s="1116">
        <f t="shared" si="840"/>
        <v>0</v>
      </c>
      <c r="BT293" s="1117">
        <f t="shared" si="841"/>
        <v>0</v>
      </c>
      <c r="BU293" s="1117">
        <f t="shared" si="842"/>
        <v>0</v>
      </c>
      <c r="BV293" s="1117">
        <f t="shared" si="843"/>
        <v>0</v>
      </c>
      <c r="BW293" s="1073"/>
      <c r="CA293" s="1116">
        <f t="shared" si="844"/>
        <v>0</v>
      </c>
      <c r="CB293" s="1117">
        <f t="shared" si="845"/>
        <v>0</v>
      </c>
      <c r="CC293" s="1117">
        <f t="shared" si="846"/>
        <v>0</v>
      </c>
      <c r="CD293" s="1117">
        <f t="shared" si="847"/>
        <v>0</v>
      </c>
      <c r="CE293" s="1073"/>
      <c r="CI293" s="1116">
        <f t="shared" si="848"/>
        <v>0</v>
      </c>
      <c r="CJ293" s="1117">
        <f t="shared" si="849"/>
        <v>0</v>
      </c>
      <c r="CK293" s="1117">
        <f t="shared" si="850"/>
        <v>0</v>
      </c>
      <c r="CL293" s="1117">
        <f t="shared" si="851"/>
        <v>0</v>
      </c>
      <c r="CM293" s="1073"/>
      <c r="CQ293" s="1116">
        <f t="shared" si="852"/>
        <v>0</v>
      </c>
      <c r="CR293" s="1117">
        <f t="shared" si="853"/>
        <v>0</v>
      </c>
      <c r="CS293" s="1117">
        <f t="shared" si="854"/>
        <v>0</v>
      </c>
      <c r="CT293" s="1117">
        <f t="shared" si="855"/>
        <v>0</v>
      </c>
      <c r="CU293" s="1073"/>
      <c r="CY293" s="1116">
        <f t="shared" si="856"/>
        <v>0</v>
      </c>
      <c r="CZ293" s="1117">
        <f t="shared" si="857"/>
        <v>0</v>
      </c>
      <c r="DA293" s="1117">
        <f t="shared" si="858"/>
        <v>0</v>
      </c>
      <c r="DB293" s="1117">
        <f t="shared" si="859"/>
        <v>0</v>
      </c>
      <c r="DC293" s="1073"/>
      <c r="DG293" s="1116">
        <f t="shared" si="860"/>
        <v>0</v>
      </c>
      <c r="DH293" s="1117">
        <f t="shared" si="861"/>
        <v>0</v>
      </c>
      <c r="DI293" s="1117">
        <f t="shared" si="862"/>
        <v>0</v>
      </c>
      <c r="DJ293" s="1117">
        <f t="shared" si="863"/>
        <v>0</v>
      </c>
      <c r="DK293" s="1073"/>
      <c r="DO293" s="1116">
        <f t="shared" si="864"/>
        <v>0</v>
      </c>
      <c r="DP293" s="1117">
        <f t="shared" si="865"/>
        <v>0</v>
      </c>
      <c r="DQ293" s="1117">
        <f t="shared" si="866"/>
        <v>0</v>
      </c>
      <c r="DR293" s="1117">
        <f t="shared" si="867"/>
        <v>0</v>
      </c>
      <c r="DS293" s="1073"/>
      <c r="DW293" s="1116">
        <f t="shared" si="868"/>
        <v>0</v>
      </c>
      <c r="DX293" s="1117">
        <f t="shared" si="869"/>
        <v>0</v>
      </c>
      <c r="DY293" s="1117">
        <f t="shared" si="870"/>
        <v>0</v>
      </c>
      <c r="DZ293" s="1117">
        <f t="shared" si="871"/>
        <v>0</v>
      </c>
      <c r="EA293" s="1073"/>
      <c r="EE293" s="1116">
        <f t="shared" si="872"/>
        <v>0</v>
      </c>
      <c r="EF293" s="1117">
        <f t="shared" si="873"/>
        <v>0</v>
      </c>
      <c r="EG293" s="1117">
        <f t="shared" si="874"/>
        <v>0</v>
      </c>
      <c r="EH293" s="1117">
        <f t="shared" si="875"/>
        <v>0</v>
      </c>
      <c r="EI293" s="1073"/>
      <c r="EM293" s="1116">
        <f t="shared" si="876"/>
        <v>0</v>
      </c>
      <c r="EN293" s="1117">
        <f t="shared" si="877"/>
        <v>0</v>
      </c>
      <c r="EO293" s="1117">
        <f t="shared" si="878"/>
        <v>0</v>
      </c>
      <c r="EP293" s="1117">
        <f t="shared" si="879"/>
        <v>0</v>
      </c>
      <c r="EQ293" s="1073"/>
      <c r="EU293" s="1116">
        <f t="shared" si="880"/>
        <v>0</v>
      </c>
      <c r="EV293" s="1117">
        <f t="shared" si="881"/>
        <v>0</v>
      </c>
      <c r="EW293" s="1117">
        <f t="shared" si="882"/>
        <v>0</v>
      </c>
      <c r="EX293" s="1117">
        <f t="shared" si="883"/>
        <v>0</v>
      </c>
      <c r="EY293" s="1073"/>
      <c r="FC293" s="1116">
        <f t="shared" si="884"/>
        <v>0</v>
      </c>
      <c r="FD293" s="1117">
        <f t="shared" si="885"/>
        <v>0</v>
      </c>
      <c r="FE293" s="1117">
        <f t="shared" si="886"/>
        <v>0</v>
      </c>
      <c r="FF293" s="1117">
        <f t="shared" si="887"/>
        <v>0</v>
      </c>
      <c r="FG293" s="1073"/>
      <c r="FK293" s="1116">
        <f t="shared" si="888"/>
        <v>0</v>
      </c>
      <c r="FL293" s="1117">
        <f t="shared" si="889"/>
        <v>0</v>
      </c>
      <c r="FM293" s="1117">
        <f t="shared" si="890"/>
        <v>0</v>
      </c>
      <c r="FN293" s="1117">
        <f t="shared" si="891"/>
        <v>0</v>
      </c>
      <c r="FO293" s="1073"/>
    </row>
    <row r="294" spans="1:171">
      <c r="A294" s="1423"/>
      <c r="B294" s="1033" t="s">
        <v>634</v>
      </c>
      <c r="C294" s="888">
        <v>114</v>
      </c>
      <c r="D294" s="889" t="s">
        <v>42</v>
      </c>
      <c r="E294" s="182" t="str">
        <f>'Sch 3B - Other Items'!E18</f>
        <v>DIRECT</v>
      </c>
      <c r="F294" s="889"/>
      <c r="G294" s="182">
        <f>'Sch 3B - Other Items'!G18</f>
        <v>0</v>
      </c>
      <c r="H294" s="182">
        <f>'Sch 3B - Other Items'!H18</f>
        <v>0</v>
      </c>
      <c r="I294" s="182">
        <f>'Sch 3B - Other Items'!I18</f>
        <v>0</v>
      </c>
      <c r="J294" s="1424">
        <f>'Sch 3B - Other Items'!J18</f>
        <v>0</v>
      </c>
      <c r="K294" s="903">
        <f t="shared" si="811"/>
        <v>0</v>
      </c>
      <c r="O294" s="1116">
        <f t="shared" si="812"/>
        <v>0</v>
      </c>
      <c r="P294" s="1117">
        <f t="shared" si="813"/>
        <v>0</v>
      </c>
      <c r="Q294" s="1117">
        <f t="shared" si="814"/>
        <v>0</v>
      </c>
      <c r="R294" s="1117">
        <f t="shared" si="815"/>
        <v>0</v>
      </c>
      <c r="S294" s="1073"/>
      <c r="W294" s="1116">
        <f t="shared" si="816"/>
        <v>0</v>
      </c>
      <c r="X294" s="1117">
        <f t="shared" si="817"/>
        <v>0</v>
      </c>
      <c r="Y294" s="1117">
        <f t="shared" si="818"/>
        <v>0</v>
      </c>
      <c r="Z294" s="1117">
        <f t="shared" si="819"/>
        <v>0</v>
      </c>
      <c r="AA294" s="1073"/>
      <c r="AE294" s="1116">
        <f t="shared" si="820"/>
        <v>0</v>
      </c>
      <c r="AF294" s="1117">
        <f t="shared" si="821"/>
        <v>0</v>
      </c>
      <c r="AG294" s="1117">
        <f t="shared" si="822"/>
        <v>0</v>
      </c>
      <c r="AH294" s="1117">
        <f t="shared" si="823"/>
        <v>0</v>
      </c>
      <c r="AI294" s="1073"/>
      <c r="AM294" s="1116">
        <f t="shared" si="824"/>
        <v>0</v>
      </c>
      <c r="AN294" s="1117">
        <f t="shared" si="825"/>
        <v>0</v>
      </c>
      <c r="AO294" s="1117">
        <f t="shared" si="826"/>
        <v>0</v>
      </c>
      <c r="AP294" s="1117">
        <f t="shared" si="827"/>
        <v>0</v>
      </c>
      <c r="AQ294" s="1073"/>
      <c r="AU294" s="1116">
        <f t="shared" si="828"/>
        <v>0</v>
      </c>
      <c r="AV294" s="1117">
        <f t="shared" si="829"/>
        <v>0</v>
      </c>
      <c r="AW294" s="1117">
        <f t="shared" si="830"/>
        <v>0</v>
      </c>
      <c r="AX294" s="1117">
        <f t="shared" si="831"/>
        <v>0</v>
      </c>
      <c r="AY294" s="1073"/>
      <c r="BC294" s="1116">
        <f t="shared" si="832"/>
        <v>0</v>
      </c>
      <c r="BD294" s="1117">
        <f t="shared" si="833"/>
        <v>0</v>
      </c>
      <c r="BE294" s="1117">
        <f t="shared" si="834"/>
        <v>0</v>
      </c>
      <c r="BF294" s="1117">
        <f t="shared" si="835"/>
        <v>0</v>
      </c>
      <c r="BG294" s="1073"/>
      <c r="BK294" s="1116">
        <f t="shared" si="836"/>
        <v>0</v>
      </c>
      <c r="BL294" s="1117">
        <f t="shared" si="837"/>
        <v>0</v>
      </c>
      <c r="BM294" s="1117">
        <f t="shared" si="838"/>
        <v>0</v>
      </c>
      <c r="BN294" s="1117">
        <f t="shared" si="839"/>
        <v>0</v>
      </c>
      <c r="BO294" s="1073"/>
      <c r="BS294" s="1116">
        <f t="shared" si="840"/>
        <v>0</v>
      </c>
      <c r="BT294" s="1117">
        <f t="shared" si="841"/>
        <v>0</v>
      </c>
      <c r="BU294" s="1117">
        <f t="shared" si="842"/>
        <v>0</v>
      </c>
      <c r="BV294" s="1117">
        <f t="shared" si="843"/>
        <v>0</v>
      </c>
      <c r="BW294" s="1073"/>
      <c r="CA294" s="1116">
        <f t="shared" si="844"/>
        <v>0</v>
      </c>
      <c r="CB294" s="1117">
        <f t="shared" si="845"/>
        <v>0</v>
      </c>
      <c r="CC294" s="1117">
        <f t="shared" si="846"/>
        <v>0</v>
      </c>
      <c r="CD294" s="1117">
        <f t="shared" si="847"/>
        <v>0</v>
      </c>
      <c r="CE294" s="1073"/>
      <c r="CI294" s="1116">
        <f t="shared" si="848"/>
        <v>0</v>
      </c>
      <c r="CJ294" s="1117">
        <f t="shared" si="849"/>
        <v>0</v>
      </c>
      <c r="CK294" s="1117">
        <f t="shared" si="850"/>
        <v>0</v>
      </c>
      <c r="CL294" s="1117">
        <f t="shared" si="851"/>
        <v>0</v>
      </c>
      <c r="CM294" s="1073"/>
      <c r="CQ294" s="1116">
        <f t="shared" si="852"/>
        <v>0</v>
      </c>
      <c r="CR294" s="1117">
        <f t="shared" si="853"/>
        <v>0</v>
      </c>
      <c r="CS294" s="1117">
        <f t="shared" si="854"/>
        <v>0</v>
      </c>
      <c r="CT294" s="1117">
        <f t="shared" si="855"/>
        <v>0</v>
      </c>
      <c r="CU294" s="1073"/>
      <c r="CY294" s="1116">
        <f t="shared" si="856"/>
        <v>0</v>
      </c>
      <c r="CZ294" s="1117">
        <f t="shared" si="857"/>
        <v>0</v>
      </c>
      <c r="DA294" s="1117">
        <f t="shared" si="858"/>
        <v>0</v>
      </c>
      <c r="DB294" s="1117">
        <f t="shared" si="859"/>
        <v>0</v>
      </c>
      <c r="DC294" s="1073"/>
      <c r="DG294" s="1116">
        <f t="shared" si="860"/>
        <v>0</v>
      </c>
      <c r="DH294" s="1117">
        <f t="shared" si="861"/>
        <v>0</v>
      </c>
      <c r="DI294" s="1117">
        <f t="shared" si="862"/>
        <v>0</v>
      </c>
      <c r="DJ294" s="1117">
        <f t="shared" si="863"/>
        <v>0</v>
      </c>
      <c r="DK294" s="1073"/>
      <c r="DO294" s="1116">
        <f t="shared" si="864"/>
        <v>0</v>
      </c>
      <c r="DP294" s="1117">
        <f t="shared" si="865"/>
        <v>0</v>
      </c>
      <c r="DQ294" s="1117">
        <f t="shared" si="866"/>
        <v>0</v>
      </c>
      <c r="DR294" s="1117">
        <f t="shared" si="867"/>
        <v>0</v>
      </c>
      <c r="DS294" s="1073"/>
      <c r="DW294" s="1116">
        <f t="shared" si="868"/>
        <v>0</v>
      </c>
      <c r="DX294" s="1117">
        <f t="shared" si="869"/>
        <v>0</v>
      </c>
      <c r="DY294" s="1117">
        <f t="shared" si="870"/>
        <v>0</v>
      </c>
      <c r="DZ294" s="1117">
        <f t="shared" si="871"/>
        <v>0</v>
      </c>
      <c r="EA294" s="1073"/>
      <c r="EE294" s="1116">
        <f t="shared" si="872"/>
        <v>0</v>
      </c>
      <c r="EF294" s="1117">
        <f t="shared" si="873"/>
        <v>0</v>
      </c>
      <c r="EG294" s="1117">
        <f t="shared" si="874"/>
        <v>0</v>
      </c>
      <c r="EH294" s="1117">
        <f t="shared" si="875"/>
        <v>0</v>
      </c>
      <c r="EI294" s="1073"/>
      <c r="EM294" s="1116">
        <f t="shared" si="876"/>
        <v>0</v>
      </c>
      <c r="EN294" s="1117">
        <f t="shared" si="877"/>
        <v>0</v>
      </c>
      <c r="EO294" s="1117">
        <f t="shared" si="878"/>
        <v>0</v>
      </c>
      <c r="EP294" s="1117">
        <f t="shared" si="879"/>
        <v>0</v>
      </c>
      <c r="EQ294" s="1073"/>
      <c r="EU294" s="1116">
        <f t="shared" si="880"/>
        <v>0</v>
      </c>
      <c r="EV294" s="1117">
        <f t="shared" si="881"/>
        <v>0</v>
      </c>
      <c r="EW294" s="1117">
        <f t="shared" si="882"/>
        <v>0</v>
      </c>
      <c r="EX294" s="1117">
        <f t="shared" si="883"/>
        <v>0</v>
      </c>
      <c r="EY294" s="1073"/>
      <c r="FC294" s="1116">
        <f t="shared" si="884"/>
        <v>0</v>
      </c>
      <c r="FD294" s="1117">
        <f t="shared" si="885"/>
        <v>0</v>
      </c>
      <c r="FE294" s="1117">
        <f t="shared" si="886"/>
        <v>0</v>
      </c>
      <c r="FF294" s="1117">
        <f t="shared" si="887"/>
        <v>0</v>
      </c>
      <c r="FG294" s="1073"/>
      <c r="FK294" s="1116">
        <f t="shared" si="888"/>
        <v>0</v>
      </c>
      <c r="FL294" s="1117">
        <f t="shared" si="889"/>
        <v>0</v>
      </c>
      <c r="FM294" s="1117">
        <f t="shared" si="890"/>
        <v>0</v>
      </c>
      <c r="FN294" s="1117">
        <f t="shared" si="891"/>
        <v>0</v>
      </c>
      <c r="FO294" s="1073"/>
    </row>
    <row r="295" spans="1:171">
      <c r="A295" s="1423"/>
      <c r="B295" s="1032" t="s">
        <v>394</v>
      </c>
      <c r="C295" s="888">
        <v>114</v>
      </c>
      <c r="D295" s="889">
        <v>411.8</v>
      </c>
      <c r="E295" s="182" t="str">
        <f>'Sch 3B - Other Items'!E19</f>
        <v>PROD</v>
      </c>
      <c r="F295" s="889"/>
      <c r="G295" s="182">
        <f>'Sch 3B - Other Items'!G19</f>
        <v>0</v>
      </c>
      <c r="H295" s="182">
        <f>'Sch 3B - Other Items'!H19</f>
        <v>0</v>
      </c>
      <c r="I295" s="182">
        <f>'Sch 3B - Other Items'!I19</f>
        <v>0</v>
      </c>
      <c r="J295" s="1424">
        <f>'Sch 3B - Other Items'!J19</f>
        <v>0</v>
      </c>
      <c r="K295" s="903">
        <f t="shared" si="811"/>
        <v>1</v>
      </c>
      <c r="O295" s="1116">
        <f t="shared" si="812"/>
        <v>0</v>
      </c>
      <c r="P295" s="1117">
        <f t="shared" si="813"/>
        <v>0</v>
      </c>
      <c r="Q295" s="1117">
        <f t="shared" si="814"/>
        <v>0</v>
      </c>
      <c r="R295" s="1117">
        <f t="shared" si="815"/>
        <v>0</v>
      </c>
      <c r="S295" s="1073"/>
      <c r="W295" s="1116">
        <f t="shared" si="816"/>
        <v>0</v>
      </c>
      <c r="X295" s="1117">
        <f t="shared" si="817"/>
        <v>0</v>
      </c>
      <c r="Y295" s="1117">
        <f t="shared" si="818"/>
        <v>0</v>
      </c>
      <c r="Z295" s="1117">
        <f t="shared" si="819"/>
        <v>0</v>
      </c>
      <c r="AA295" s="1073"/>
      <c r="AE295" s="1116">
        <f t="shared" si="820"/>
        <v>0</v>
      </c>
      <c r="AF295" s="1117">
        <f t="shared" si="821"/>
        <v>0</v>
      </c>
      <c r="AG295" s="1117">
        <f t="shared" si="822"/>
        <v>0</v>
      </c>
      <c r="AH295" s="1117">
        <f t="shared" si="823"/>
        <v>0</v>
      </c>
      <c r="AI295" s="1073"/>
      <c r="AM295" s="1116">
        <f t="shared" si="824"/>
        <v>0</v>
      </c>
      <c r="AN295" s="1117">
        <f t="shared" si="825"/>
        <v>0</v>
      </c>
      <c r="AO295" s="1117">
        <f t="shared" si="826"/>
        <v>0</v>
      </c>
      <c r="AP295" s="1117">
        <f t="shared" si="827"/>
        <v>0</v>
      </c>
      <c r="AQ295" s="1073"/>
      <c r="AU295" s="1116">
        <f t="shared" si="828"/>
        <v>0</v>
      </c>
      <c r="AV295" s="1117">
        <f t="shared" si="829"/>
        <v>0</v>
      </c>
      <c r="AW295" s="1117">
        <f t="shared" si="830"/>
        <v>0</v>
      </c>
      <c r="AX295" s="1117">
        <f t="shared" si="831"/>
        <v>0</v>
      </c>
      <c r="AY295" s="1073"/>
      <c r="BC295" s="1116">
        <f t="shared" si="832"/>
        <v>0</v>
      </c>
      <c r="BD295" s="1117">
        <f t="shared" si="833"/>
        <v>0</v>
      </c>
      <c r="BE295" s="1117">
        <f t="shared" si="834"/>
        <v>0</v>
      </c>
      <c r="BF295" s="1117">
        <f t="shared" si="835"/>
        <v>0</v>
      </c>
      <c r="BG295" s="1073"/>
      <c r="BK295" s="1116">
        <f t="shared" si="836"/>
        <v>0</v>
      </c>
      <c r="BL295" s="1117">
        <f t="shared" si="837"/>
        <v>0</v>
      </c>
      <c r="BM295" s="1117">
        <f t="shared" si="838"/>
        <v>0</v>
      </c>
      <c r="BN295" s="1117">
        <f t="shared" si="839"/>
        <v>0</v>
      </c>
      <c r="BO295" s="1073"/>
      <c r="BS295" s="1116">
        <f t="shared" si="840"/>
        <v>0</v>
      </c>
      <c r="BT295" s="1117">
        <f t="shared" si="841"/>
        <v>0</v>
      </c>
      <c r="BU295" s="1117">
        <f t="shared" si="842"/>
        <v>0</v>
      </c>
      <c r="BV295" s="1117">
        <f t="shared" si="843"/>
        <v>0</v>
      </c>
      <c r="BW295" s="1073"/>
      <c r="CA295" s="1116">
        <f t="shared" si="844"/>
        <v>0</v>
      </c>
      <c r="CB295" s="1117">
        <f t="shared" si="845"/>
        <v>0</v>
      </c>
      <c r="CC295" s="1117">
        <f t="shared" si="846"/>
        <v>0</v>
      </c>
      <c r="CD295" s="1117">
        <f t="shared" si="847"/>
        <v>0</v>
      </c>
      <c r="CE295" s="1073"/>
      <c r="CI295" s="1116">
        <f t="shared" si="848"/>
        <v>0</v>
      </c>
      <c r="CJ295" s="1117">
        <f t="shared" si="849"/>
        <v>0</v>
      </c>
      <c r="CK295" s="1117">
        <f t="shared" si="850"/>
        <v>0</v>
      </c>
      <c r="CL295" s="1117">
        <f t="shared" si="851"/>
        <v>0</v>
      </c>
      <c r="CM295" s="1073"/>
      <c r="CQ295" s="1116">
        <f t="shared" si="852"/>
        <v>0</v>
      </c>
      <c r="CR295" s="1117">
        <f t="shared" si="853"/>
        <v>0</v>
      </c>
      <c r="CS295" s="1117">
        <f t="shared" si="854"/>
        <v>0</v>
      </c>
      <c r="CT295" s="1117">
        <f t="shared" si="855"/>
        <v>0</v>
      </c>
      <c r="CU295" s="1073"/>
      <c r="CY295" s="1116">
        <f t="shared" si="856"/>
        <v>0</v>
      </c>
      <c r="CZ295" s="1117">
        <f t="shared" si="857"/>
        <v>0</v>
      </c>
      <c r="DA295" s="1117">
        <f t="shared" si="858"/>
        <v>0</v>
      </c>
      <c r="DB295" s="1117">
        <f t="shared" si="859"/>
        <v>0</v>
      </c>
      <c r="DC295" s="1073"/>
      <c r="DG295" s="1116">
        <f t="shared" si="860"/>
        <v>0</v>
      </c>
      <c r="DH295" s="1117">
        <f t="shared" si="861"/>
        <v>0</v>
      </c>
      <c r="DI295" s="1117">
        <f t="shared" si="862"/>
        <v>0</v>
      </c>
      <c r="DJ295" s="1117">
        <f t="shared" si="863"/>
        <v>0</v>
      </c>
      <c r="DK295" s="1073"/>
      <c r="DO295" s="1116">
        <f t="shared" si="864"/>
        <v>0</v>
      </c>
      <c r="DP295" s="1117">
        <f t="shared" si="865"/>
        <v>0</v>
      </c>
      <c r="DQ295" s="1117">
        <f t="shared" si="866"/>
        <v>0</v>
      </c>
      <c r="DR295" s="1117">
        <f t="shared" si="867"/>
        <v>0</v>
      </c>
      <c r="DS295" s="1073"/>
      <c r="DW295" s="1116">
        <f t="shared" si="868"/>
        <v>0</v>
      </c>
      <c r="DX295" s="1117">
        <f t="shared" si="869"/>
        <v>0</v>
      </c>
      <c r="DY295" s="1117">
        <f t="shared" si="870"/>
        <v>0</v>
      </c>
      <c r="DZ295" s="1117">
        <f t="shared" si="871"/>
        <v>0</v>
      </c>
      <c r="EA295" s="1073"/>
      <c r="EE295" s="1116">
        <f t="shared" si="872"/>
        <v>0</v>
      </c>
      <c r="EF295" s="1117">
        <f t="shared" si="873"/>
        <v>0</v>
      </c>
      <c r="EG295" s="1117">
        <f t="shared" si="874"/>
        <v>0</v>
      </c>
      <c r="EH295" s="1117">
        <f t="shared" si="875"/>
        <v>0</v>
      </c>
      <c r="EI295" s="1073"/>
      <c r="EM295" s="1116">
        <f t="shared" si="876"/>
        <v>0</v>
      </c>
      <c r="EN295" s="1117">
        <f t="shared" si="877"/>
        <v>0</v>
      </c>
      <c r="EO295" s="1117">
        <f t="shared" si="878"/>
        <v>0</v>
      </c>
      <c r="EP295" s="1117">
        <f t="shared" si="879"/>
        <v>0</v>
      </c>
      <c r="EQ295" s="1073"/>
      <c r="EU295" s="1116">
        <f t="shared" si="880"/>
        <v>0</v>
      </c>
      <c r="EV295" s="1117">
        <f t="shared" si="881"/>
        <v>0</v>
      </c>
      <c r="EW295" s="1117">
        <f t="shared" si="882"/>
        <v>0</v>
      </c>
      <c r="EX295" s="1117">
        <f t="shared" si="883"/>
        <v>0</v>
      </c>
      <c r="EY295" s="1073"/>
      <c r="FC295" s="1116">
        <f t="shared" si="884"/>
        <v>0</v>
      </c>
      <c r="FD295" s="1117">
        <f t="shared" si="885"/>
        <v>0</v>
      </c>
      <c r="FE295" s="1117">
        <f t="shared" si="886"/>
        <v>0</v>
      </c>
      <c r="FF295" s="1117">
        <f t="shared" si="887"/>
        <v>0</v>
      </c>
      <c r="FG295" s="1073"/>
      <c r="FK295" s="1116">
        <f t="shared" si="888"/>
        <v>0</v>
      </c>
      <c r="FL295" s="1117">
        <f t="shared" si="889"/>
        <v>0</v>
      </c>
      <c r="FM295" s="1117">
        <f t="shared" si="890"/>
        <v>0</v>
      </c>
      <c r="FN295" s="1117">
        <f t="shared" si="891"/>
        <v>0</v>
      </c>
      <c r="FO295" s="1073"/>
    </row>
    <row r="296" spans="1:171">
      <c r="A296" s="1423"/>
      <c r="B296" s="1033" t="s">
        <v>635</v>
      </c>
      <c r="C296" s="888">
        <v>114</v>
      </c>
      <c r="D296" s="889">
        <v>411.9</v>
      </c>
      <c r="E296" s="182" t="str">
        <f>'Sch 3B - Other Items'!E20</f>
        <v>PROD</v>
      </c>
      <c r="F296" s="889"/>
      <c r="G296" s="182">
        <f>'Sch 3B - Other Items'!G20</f>
        <v>0</v>
      </c>
      <c r="H296" s="182">
        <f>'Sch 3B - Other Items'!H20</f>
        <v>0</v>
      </c>
      <c r="I296" s="182">
        <f>'Sch 3B - Other Items'!I20</f>
        <v>0</v>
      </c>
      <c r="J296" s="1424">
        <f>'Sch 3B - Other Items'!J20</f>
        <v>0</v>
      </c>
      <c r="K296" s="903">
        <f t="shared" si="811"/>
        <v>1</v>
      </c>
      <c r="O296" s="1116">
        <f t="shared" si="812"/>
        <v>0</v>
      </c>
      <c r="P296" s="1117">
        <f t="shared" si="813"/>
        <v>0</v>
      </c>
      <c r="Q296" s="1117">
        <f t="shared" si="814"/>
        <v>0</v>
      </c>
      <c r="R296" s="1117">
        <f t="shared" si="815"/>
        <v>0</v>
      </c>
      <c r="S296" s="1073"/>
      <c r="W296" s="1116">
        <f t="shared" si="816"/>
        <v>0</v>
      </c>
      <c r="X296" s="1117">
        <f t="shared" si="817"/>
        <v>0</v>
      </c>
      <c r="Y296" s="1117">
        <f t="shared" si="818"/>
        <v>0</v>
      </c>
      <c r="Z296" s="1117">
        <f t="shared" si="819"/>
        <v>0</v>
      </c>
      <c r="AA296" s="1073"/>
      <c r="AE296" s="1116">
        <f t="shared" si="820"/>
        <v>0</v>
      </c>
      <c r="AF296" s="1117">
        <f t="shared" si="821"/>
        <v>0</v>
      </c>
      <c r="AG296" s="1117">
        <f t="shared" si="822"/>
        <v>0</v>
      </c>
      <c r="AH296" s="1117">
        <f t="shared" si="823"/>
        <v>0</v>
      </c>
      <c r="AI296" s="1073"/>
      <c r="AM296" s="1116">
        <f t="shared" si="824"/>
        <v>0</v>
      </c>
      <c r="AN296" s="1117">
        <f t="shared" si="825"/>
        <v>0</v>
      </c>
      <c r="AO296" s="1117">
        <f t="shared" si="826"/>
        <v>0</v>
      </c>
      <c r="AP296" s="1117">
        <f t="shared" si="827"/>
        <v>0</v>
      </c>
      <c r="AQ296" s="1073"/>
      <c r="AU296" s="1116">
        <f t="shared" si="828"/>
        <v>0</v>
      </c>
      <c r="AV296" s="1117">
        <f t="shared" si="829"/>
        <v>0</v>
      </c>
      <c r="AW296" s="1117">
        <f t="shared" si="830"/>
        <v>0</v>
      </c>
      <c r="AX296" s="1117">
        <f t="shared" si="831"/>
        <v>0</v>
      </c>
      <c r="AY296" s="1073"/>
      <c r="BC296" s="1116">
        <f t="shared" si="832"/>
        <v>0</v>
      </c>
      <c r="BD296" s="1117">
        <f t="shared" si="833"/>
        <v>0</v>
      </c>
      <c r="BE296" s="1117">
        <f t="shared" si="834"/>
        <v>0</v>
      </c>
      <c r="BF296" s="1117">
        <f t="shared" si="835"/>
        <v>0</v>
      </c>
      <c r="BG296" s="1073"/>
      <c r="BK296" s="1116">
        <f t="shared" si="836"/>
        <v>0</v>
      </c>
      <c r="BL296" s="1117">
        <f t="shared" si="837"/>
        <v>0</v>
      </c>
      <c r="BM296" s="1117">
        <f t="shared" si="838"/>
        <v>0</v>
      </c>
      <c r="BN296" s="1117">
        <f t="shared" si="839"/>
        <v>0</v>
      </c>
      <c r="BO296" s="1073"/>
      <c r="BS296" s="1116">
        <f t="shared" si="840"/>
        <v>0</v>
      </c>
      <c r="BT296" s="1117">
        <f t="shared" si="841"/>
        <v>0</v>
      </c>
      <c r="BU296" s="1117">
        <f t="shared" si="842"/>
        <v>0</v>
      </c>
      <c r="BV296" s="1117">
        <f t="shared" si="843"/>
        <v>0</v>
      </c>
      <c r="BW296" s="1073"/>
      <c r="CA296" s="1116">
        <f t="shared" si="844"/>
        <v>0</v>
      </c>
      <c r="CB296" s="1117">
        <f t="shared" si="845"/>
        <v>0</v>
      </c>
      <c r="CC296" s="1117">
        <f t="shared" si="846"/>
        <v>0</v>
      </c>
      <c r="CD296" s="1117">
        <f t="shared" si="847"/>
        <v>0</v>
      </c>
      <c r="CE296" s="1073"/>
      <c r="CI296" s="1116">
        <f t="shared" si="848"/>
        <v>0</v>
      </c>
      <c r="CJ296" s="1117">
        <f t="shared" si="849"/>
        <v>0</v>
      </c>
      <c r="CK296" s="1117">
        <f t="shared" si="850"/>
        <v>0</v>
      </c>
      <c r="CL296" s="1117">
        <f t="shared" si="851"/>
        <v>0</v>
      </c>
      <c r="CM296" s="1073"/>
      <c r="CQ296" s="1116">
        <f t="shared" si="852"/>
        <v>0</v>
      </c>
      <c r="CR296" s="1117">
        <f t="shared" si="853"/>
        <v>0</v>
      </c>
      <c r="CS296" s="1117">
        <f t="shared" si="854"/>
        <v>0</v>
      </c>
      <c r="CT296" s="1117">
        <f t="shared" si="855"/>
        <v>0</v>
      </c>
      <c r="CU296" s="1073"/>
      <c r="CY296" s="1116">
        <f t="shared" si="856"/>
        <v>0</v>
      </c>
      <c r="CZ296" s="1117">
        <f t="shared" si="857"/>
        <v>0</v>
      </c>
      <c r="DA296" s="1117">
        <f t="shared" si="858"/>
        <v>0</v>
      </c>
      <c r="DB296" s="1117">
        <f t="shared" si="859"/>
        <v>0</v>
      </c>
      <c r="DC296" s="1073"/>
      <c r="DG296" s="1116">
        <f t="shared" si="860"/>
        <v>0</v>
      </c>
      <c r="DH296" s="1117">
        <f t="shared" si="861"/>
        <v>0</v>
      </c>
      <c r="DI296" s="1117">
        <f t="shared" si="862"/>
        <v>0</v>
      </c>
      <c r="DJ296" s="1117">
        <f t="shared" si="863"/>
        <v>0</v>
      </c>
      <c r="DK296" s="1073"/>
      <c r="DO296" s="1116">
        <f t="shared" si="864"/>
        <v>0</v>
      </c>
      <c r="DP296" s="1117">
        <f t="shared" si="865"/>
        <v>0</v>
      </c>
      <c r="DQ296" s="1117">
        <f t="shared" si="866"/>
        <v>0</v>
      </c>
      <c r="DR296" s="1117">
        <f t="shared" si="867"/>
        <v>0</v>
      </c>
      <c r="DS296" s="1073"/>
      <c r="DW296" s="1116">
        <f t="shared" si="868"/>
        <v>0</v>
      </c>
      <c r="DX296" s="1117">
        <f t="shared" si="869"/>
        <v>0</v>
      </c>
      <c r="DY296" s="1117">
        <f t="shared" si="870"/>
        <v>0</v>
      </c>
      <c r="DZ296" s="1117">
        <f t="shared" si="871"/>
        <v>0</v>
      </c>
      <c r="EA296" s="1073"/>
      <c r="EE296" s="1116">
        <f t="shared" si="872"/>
        <v>0</v>
      </c>
      <c r="EF296" s="1117">
        <f t="shared" si="873"/>
        <v>0</v>
      </c>
      <c r="EG296" s="1117">
        <f t="shared" si="874"/>
        <v>0</v>
      </c>
      <c r="EH296" s="1117">
        <f t="shared" si="875"/>
        <v>0</v>
      </c>
      <c r="EI296" s="1073"/>
      <c r="EM296" s="1116">
        <f t="shared" si="876"/>
        <v>0</v>
      </c>
      <c r="EN296" s="1117">
        <f t="shared" si="877"/>
        <v>0</v>
      </c>
      <c r="EO296" s="1117">
        <f t="shared" si="878"/>
        <v>0</v>
      </c>
      <c r="EP296" s="1117">
        <f t="shared" si="879"/>
        <v>0</v>
      </c>
      <c r="EQ296" s="1073"/>
      <c r="EU296" s="1116">
        <f t="shared" si="880"/>
        <v>0</v>
      </c>
      <c r="EV296" s="1117">
        <f t="shared" si="881"/>
        <v>0</v>
      </c>
      <c r="EW296" s="1117">
        <f t="shared" si="882"/>
        <v>0</v>
      </c>
      <c r="EX296" s="1117">
        <f t="shared" si="883"/>
        <v>0</v>
      </c>
      <c r="EY296" s="1073"/>
      <c r="FC296" s="1116">
        <f t="shared" si="884"/>
        <v>0</v>
      </c>
      <c r="FD296" s="1117">
        <f t="shared" si="885"/>
        <v>0</v>
      </c>
      <c r="FE296" s="1117">
        <f t="shared" si="886"/>
        <v>0</v>
      </c>
      <c r="FF296" s="1117">
        <f t="shared" si="887"/>
        <v>0</v>
      </c>
      <c r="FG296" s="1073"/>
      <c r="FK296" s="1116">
        <f t="shared" si="888"/>
        <v>0</v>
      </c>
      <c r="FL296" s="1117">
        <f t="shared" si="889"/>
        <v>0</v>
      </c>
      <c r="FM296" s="1117">
        <f t="shared" si="890"/>
        <v>0</v>
      </c>
      <c r="FN296" s="1117">
        <f t="shared" si="891"/>
        <v>0</v>
      </c>
      <c r="FO296" s="1073"/>
    </row>
    <row r="297" spans="1:171">
      <c r="A297" s="1423"/>
      <c r="B297" s="1032" t="s">
        <v>181</v>
      </c>
      <c r="C297" s="888">
        <v>114</v>
      </c>
      <c r="D297" s="889">
        <v>421</v>
      </c>
      <c r="E297" s="182" t="str">
        <f>'Sch 3B - Other Items'!E21</f>
        <v>DIRECT</v>
      </c>
      <c r="F297" s="889"/>
      <c r="G297" s="182">
        <f>'Sch 3B - Other Items'!G21</f>
        <v>0</v>
      </c>
      <c r="H297" s="182">
        <f>'Sch 3B - Other Items'!H21</f>
        <v>0</v>
      </c>
      <c r="I297" s="182">
        <f>'Sch 3B - Other Items'!I21</f>
        <v>0</v>
      </c>
      <c r="J297" s="1424">
        <f>'Sch 3B - Other Items'!J21</f>
        <v>0</v>
      </c>
      <c r="K297" s="903">
        <f t="shared" si="811"/>
        <v>0</v>
      </c>
      <c r="O297" s="1116">
        <f t="shared" si="812"/>
        <v>0</v>
      </c>
      <c r="P297" s="1117">
        <f t="shared" si="813"/>
        <v>0</v>
      </c>
      <c r="Q297" s="1117">
        <f t="shared" si="814"/>
        <v>0</v>
      </c>
      <c r="R297" s="1117">
        <f t="shared" si="815"/>
        <v>0</v>
      </c>
      <c r="S297" s="1073"/>
      <c r="W297" s="1116">
        <f t="shared" si="816"/>
        <v>0</v>
      </c>
      <c r="X297" s="1117">
        <f t="shared" si="817"/>
        <v>0</v>
      </c>
      <c r="Y297" s="1117">
        <f t="shared" si="818"/>
        <v>0</v>
      </c>
      <c r="Z297" s="1117">
        <f t="shared" si="819"/>
        <v>0</v>
      </c>
      <c r="AA297" s="1073"/>
      <c r="AE297" s="1116">
        <f t="shared" si="820"/>
        <v>0</v>
      </c>
      <c r="AF297" s="1117">
        <f t="shared" si="821"/>
        <v>0</v>
      </c>
      <c r="AG297" s="1117">
        <f t="shared" si="822"/>
        <v>0</v>
      </c>
      <c r="AH297" s="1117">
        <f t="shared" si="823"/>
        <v>0</v>
      </c>
      <c r="AI297" s="1073"/>
      <c r="AM297" s="1116">
        <f t="shared" si="824"/>
        <v>0</v>
      </c>
      <c r="AN297" s="1117">
        <f t="shared" si="825"/>
        <v>0</v>
      </c>
      <c r="AO297" s="1117">
        <f t="shared" si="826"/>
        <v>0</v>
      </c>
      <c r="AP297" s="1117">
        <f t="shared" si="827"/>
        <v>0</v>
      </c>
      <c r="AQ297" s="1073"/>
      <c r="AU297" s="1116">
        <f t="shared" si="828"/>
        <v>0</v>
      </c>
      <c r="AV297" s="1117">
        <f t="shared" si="829"/>
        <v>0</v>
      </c>
      <c r="AW297" s="1117">
        <f t="shared" si="830"/>
        <v>0</v>
      </c>
      <c r="AX297" s="1117">
        <f t="shared" si="831"/>
        <v>0</v>
      </c>
      <c r="AY297" s="1073"/>
      <c r="BC297" s="1116">
        <f t="shared" si="832"/>
        <v>0</v>
      </c>
      <c r="BD297" s="1117">
        <f t="shared" si="833"/>
        <v>0</v>
      </c>
      <c r="BE297" s="1117">
        <f t="shared" si="834"/>
        <v>0</v>
      </c>
      <c r="BF297" s="1117">
        <f t="shared" si="835"/>
        <v>0</v>
      </c>
      <c r="BG297" s="1073"/>
      <c r="BK297" s="1116">
        <f t="shared" si="836"/>
        <v>0</v>
      </c>
      <c r="BL297" s="1117">
        <f t="shared" si="837"/>
        <v>0</v>
      </c>
      <c r="BM297" s="1117">
        <f t="shared" si="838"/>
        <v>0</v>
      </c>
      <c r="BN297" s="1117">
        <f t="shared" si="839"/>
        <v>0</v>
      </c>
      <c r="BO297" s="1073"/>
      <c r="BS297" s="1116">
        <f t="shared" si="840"/>
        <v>0</v>
      </c>
      <c r="BT297" s="1117">
        <f t="shared" si="841"/>
        <v>0</v>
      </c>
      <c r="BU297" s="1117">
        <f t="shared" si="842"/>
        <v>0</v>
      </c>
      <c r="BV297" s="1117">
        <f t="shared" si="843"/>
        <v>0</v>
      </c>
      <c r="BW297" s="1073"/>
      <c r="CA297" s="1116">
        <f t="shared" si="844"/>
        <v>0</v>
      </c>
      <c r="CB297" s="1117">
        <f t="shared" si="845"/>
        <v>0</v>
      </c>
      <c r="CC297" s="1117">
        <f t="shared" si="846"/>
        <v>0</v>
      </c>
      <c r="CD297" s="1117">
        <f t="shared" si="847"/>
        <v>0</v>
      </c>
      <c r="CE297" s="1073"/>
      <c r="CI297" s="1116">
        <f t="shared" si="848"/>
        <v>0</v>
      </c>
      <c r="CJ297" s="1117">
        <f t="shared" si="849"/>
        <v>0</v>
      </c>
      <c r="CK297" s="1117">
        <f t="shared" si="850"/>
        <v>0</v>
      </c>
      <c r="CL297" s="1117">
        <f t="shared" si="851"/>
        <v>0</v>
      </c>
      <c r="CM297" s="1073"/>
      <c r="CQ297" s="1116">
        <f t="shared" si="852"/>
        <v>0</v>
      </c>
      <c r="CR297" s="1117">
        <f t="shared" si="853"/>
        <v>0</v>
      </c>
      <c r="CS297" s="1117">
        <f t="shared" si="854"/>
        <v>0</v>
      </c>
      <c r="CT297" s="1117">
        <f t="shared" si="855"/>
        <v>0</v>
      </c>
      <c r="CU297" s="1073"/>
      <c r="CY297" s="1116">
        <f t="shared" si="856"/>
        <v>0</v>
      </c>
      <c r="CZ297" s="1117">
        <f t="shared" si="857"/>
        <v>0</v>
      </c>
      <c r="DA297" s="1117">
        <f t="shared" si="858"/>
        <v>0</v>
      </c>
      <c r="DB297" s="1117">
        <f t="shared" si="859"/>
        <v>0</v>
      </c>
      <c r="DC297" s="1073"/>
      <c r="DG297" s="1116">
        <f t="shared" si="860"/>
        <v>0</v>
      </c>
      <c r="DH297" s="1117">
        <f t="shared" si="861"/>
        <v>0</v>
      </c>
      <c r="DI297" s="1117">
        <f t="shared" si="862"/>
        <v>0</v>
      </c>
      <c r="DJ297" s="1117">
        <f t="shared" si="863"/>
        <v>0</v>
      </c>
      <c r="DK297" s="1073"/>
      <c r="DO297" s="1116">
        <f t="shared" si="864"/>
        <v>0</v>
      </c>
      <c r="DP297" s="1117">
        <f t="shared" si="865"/>
        <v>0</v>
      </c>
      <c r="DQ297" s="1117">
        <f t="shared" si="866"/>
        <v>0</v>
      </c>
      <c r="DR297" s="1117">
        <f t="shared" si="867"/>
        <v>0</v>
      </c>
      <c r="DS297" s="1073"/>
      <c r="DW297" s="1116">
        <f t="shared" si="868"/>
        <v>0</v>
      </c>
      <c r="DX297" s="1117">
        <f t="shared" si="869"/>
        <v>0</v>
      </c>
      <c r="DY297" s="1117">
        <f t="shared" si="870"/>
        <v>0</v>
      </c>
      <c r="DZ297" s="1117">
        <f t="shared" si="871"/>
        <v>0</v>
      </c>
      <c r="EA297" s="1073"/>
      <c r="EE297" s="1116">
        <f t="shared" si="872"/>
        <v>0</v>
      </c>
      <c r="EF297" s="1117">
        <f t="shared" si="873"/>
        <v>0</v>
      </c>
      <c r="EG297" s="1117">
        <f t="shared" si="874"/>
        <v>0</v>
      </c>
      <c r="EH297" s="1117">
        <f t="shared" si="875"/>
        <v>0</v>
      </c>
      <c r="EI297" s="1073"/>
      <c r="EM297" s="1116">
        <f t="shared" si="876"/>
        <v>0</v>
      </c>
      <c r="EN297" s="1117">
        <f t="shared" si="877"/>
        <v>0</v>
      </c>
      <c r="EO297" s="1117">
        <f t="shared" si="878"/>
        <v>0</v>
      </c>
      <c r="EP297" s="1117">
        <f t="shared" si="879"/>
        <v>0</v>
      </c>
      <c r="EQ297" s="1073"/>
      <c r="EU297" s="1116">
        <f t="shared" si="880"/>
        <v>0</v>
      </c>
      <c r="EV297" s="1117">
        <f t="shared" si="881"/>
        <v>0</v>
      </c>
      <c r="EW297" s="1117">
        <f t="shared" si="882"/>
        <v>0</v>
      </c>
      <c r="EX297" s="1117">
        <f t="shared" si="883"/>
        <v>0</v>
      </c>
      <c r="EY297" s="1073"/>
      <c r="FC297" s="1116">
        <f t="shared" si="884"/>
        <v>0</v>
      </c>
      <c r="FD297" s="1117">
        <f t="shared" si="885"/>
        <v>0</v>
      </c>
      <c r="FE297" s="1117">
        <f t="shared" si="886"/>
        <v>0</v>
      </c>
      <c r="FF297" s="1117">
        <f t="shared" si="887"/>
        <v>0</v>
      </c>
      <c r="FG297" s="1073"/>
      <c r="FK297" s="1116">
        <f t="shared" si="888"/>
        <v>0</v>
      </c>
      <c r="FL297" s="1117">
        <f t="shared" si="889"/>
        <v>0</v>
      </c>
      <c r="FM297" s="1117">
        <f t="shared" si="890"/>
        <v>0</v>
      </c>
      <c r="FN297" s="1117">
        <f t="shared" si="891"/>
        <v>0</v>
      </c>
      <c r="FO297" s="1073"/>
    </row>
    <row r="298" spans="1:171">
      <c r="A298" s="1351" t="s">
        <v>49</v>
      </c>
      <c r="B298" s="220"/>
      <c r="C298" s="914"/>
      <c r="D298" s="915"/>
      <c r="E298" s="915"/>
      <c r="F298" s="916"/>
      <c r="G298" s="923">
        <f>G291-G292+G293-G294+G295-G296+G297</f>
        <v>21297226.370000001</v>
      </c>
      <c r="H298" s="923">
        <f>H291-H292+H293-H294+H295-H296+H297</f>
        <v>931228.85316795018</v>
      </c>
      <c r="I298" s="923">
        <f>I291-I292+I293-I294+I295-I296+I297</f>
        <v>0</v>
      </c>
      <c r="J298" s="1431">
        <f>J291-J292+J293-J294+J295-J296+J297</f>
        <v>25355424.765715346</v>
      </c>
      <c r="K298" s="903"/>
      <c r="O298" s="1133">
        <f>O291-O292+O293-O294+O295-O296+O297</f>
        <v>21297226.370000001</v>
      </c>
      <c r="P298" s="1139">
        <f>P291-P292+P293-P294+P295-P296+P297</f>
        <v>931228.85316794924</v>
      </c>
      <c r="Q298" s="1139">
        <f>Q291-Q292+Q293-Q294+Q295-Q296+Q297</f>
        <v>0</v>
      </c>
      <c r="R298" s="1139">
        <f>R291-R292+R293-R294+R295-R296+R297</f>
        <v>20365997.516832054</v>
      </c>
      <c r="S298" s="1073"/>
      <c r="W298" s="1133">
        <f>W291-W292+W293-W294+W295-W296+W297</f>
        <v>21297226.370000001</v>
      </c>
      <c r="X298" s="1139">
        <f>X291-X292+X293-X294+X295-X296+X297</f>
        <v>931228.85316794924</v>
      </c>
      <c r="Y298" s="1139">
        <f>Y291-Y292+Y293-Y294+Y295-Y296+Y297</f>
        <v>0</v>
      </c>
      <c r="Z298" s="1139">
        <f>Z291-Z292+Z293-Z294+Z295-Z296+Z297</f>
        <v>20365997.516832054</v>
      </c>
      <c r="AA298" s="1073"/>
      <c r="AE298" s="1133">
        <f>AE291-AE292+AE293-AE294+AE295-AE296+AE297</f>
        <v>21297226.370000001</v>
      </c>
      <c r="AF298" s="1139">
        <f>AF291-AF292+AF293-AF294+AF295-AF296+AF297</f>
        <v>931228.85316794924</v>
      </c>
      <c r="AG298" s="1139">
        <f>AG291-AG292+AG293-AG294+AG295-AG296+AG297</f>
        <v>0</v>
      </c>
      <c r="AH298" s="1139">
        <f>AH291-AH292+AH293-AH294+AH295-AH296+AH297</f>
        <v>20365997.516832054</v>
      </c>
      <c r="AI298" s="1073"/>
      <c r="AM298" s="1133">
        <f>AM291-AM292+AM293-AM294+AM295-AM296+AM297</f>
        <v>21297226.370000001</v>
      </c>
      <c r="AN298" s="1139">
        <f>AN291-AN292+AN293-AN294+AN295-AN296+AN297</f>
        <v>931228.85316794924</v>
      </c>
      <c r="AO298" s="1139">
        <f>AO291-AO292+AO293-AO294+AO295-AO296+AO297</f>
        <v>0</v>
      </c>
      <c r="AP298" s="1139">
        <f>AP291-AP292+AP293-AP294+AP295-AP296+AP297</f>
        <v>20365997.516832054</v>
      </c>
      <c r="AQ298" s="1073"/>
      <c r="AU298" s="1133">
        <f>AU291-AU292+AU293-AU294+AU295-AU296+AU297</f>
        <v>21297226.370000001</v>
      </c>
      <c r="AV298" s="1139">
        <f>AV291-AV292+AV293-AV294+AV295-AV296+AV297</f>
        <v>931228.85316794924</v>
      </c>
      <c r="AW298" s="1139">
        <f>AW291-AW292+AW293-AW294+AW295-AW296+AW297</f>
        <v>0</v>
      </c>
      <c r="AX298" s="1139">
        <f>AX291-AX292+AX293-AX294+AX295-AX296+AX297</f>
        <v>20365997.516832054</v>
      </c>
      <c r="AY298" s="1073"/>
      <c r="BC298" s="1133">
        <f>BC291-BC292+BC293-BC294+BC295-BC296+BC297</f>
        <v>21297226.370000001</v>
      </c>
      <c r="BD298" s="1139">
        <f>BD291-BD292+BD293-BD294+BD295-BD296+BD297</f>
        <v>931228.85316794924</v>
      </c>
      <c r="BE298" s="1139">
        <f>BE291-BE292+BE293-BE294+BE295-BE296+BE297</f>
        <v>0</v>
      </c>
      <c r="BF298" s="1139">
        <f>BF291-BF292+BF293-BF294+BF295-BF296+BF297</f>
        <v>20365997.516832054</v>
      </c>
      <c r="BG298" s="1073"/>
      <c r="BK298" s="1133">
        <f>BK291-BK292+BK293-BK294+BK295-BK296+BK297</f>
        <v>21297226.370000001</v>
      </c>
      <c r="BL298" s="1139">
        <f>BL291-BL292+BL293-BL294+BL295-BL296+BL297</f>
        <v>931228.85316794924</v>
      </c>
      <c r="BM298" s="1139">
        <f>BM291-BM292+BM293-BM294+BM295-BM296+BM297</f>
        <v>0</v>
      </c>
      <c r="BN298" s="1139">
        <f>BN291-BN292+BN293-BN294+BN295-BN296+BN297</f>
        <v>20365997.516832054</v>
      </c>
      <c r="BO298" s="1073"/>
      <c r="BS298" s="1133">
        <f>BS291-BS292+BS293-BS294+BS295-BS296+BS297</f>
        <v>21297226.370000001</v>
      </c>
      <c r="BT298" s="1139">
        <f>BT291-BT292+BT293-BT294+BT295-BT296+BT297</f>
        <v>931228.85316794924</v>
      </c>
      <c r="BU298" s="1139">
        <f>BU291-BU292+BU293-BU294+BU295-BU296+BU297</f>
        <v>0</v>
      </c>
      <c r="BV298" s="1139">
        <f>BV291-BV292+BV293-BV294+BV295-BV296+BV297</f>
        <v>20365997.516832054</v>
      </c>
      <c r="BW298" s="1073"/>
      <c r="CA298" s="1133">
        <f>CA291-CA292+CA293-CA294+CA295-CA296+CA297</f>
        <v>21297226.370000001</v>
      </c>
      <c r="CB298" s="1139">
        <f>CB291-CB292+CB293-CB294+CB295-CB296+CB297</f>
        <v>931228.85316794924</v>
      </c>
      <c r="CC298" s="1139">
        <f>CC291-CC292+CC293-CC294+CC295-CC296+CC297</f>
        <v>0</v>
      </c>
      <c r="CD298" s="1139">
        <f>CD291-CD292+CD293-CD294+CD295-CD296+CD297</f>
        <v>20365997.516832054</v>
      </c>
      <c r="CE298" s="1073"/>
      <c r="CI298" s="1133">
        <f>CI291-CI292+CI293-CI294+CI295-CI296+CI297</f>
        <v>21297226.370000001</v>
      </c>
      <c r="CJ298" s="1139">
        <f>CJ291-CJ292+CJ293-CJ294+CJ295-CJ296+CJ297</f>
        <v>931228.85316794924</v>
      </c>
      <c r="CK298" s="1139">
        <f>CK291-CK292+CK293-CK294+CK295-CK296+CK297</f>
        <v>0</v>
      </c>
      <c r="CL298" s="1139">
        <f>CL291-CL292+CL293-CL294+CL295-CL296+CL297</f>
        <v>20365997.516832054</v>
      </c>
      <c r="CM298" s="1073"/>
      <c r="CQ298" s="1133">
        <f>CQ291-CQ292+CQ293-CQ294+CQ295-CQ296+CQ297</f>
        <v>21297226.370000001</v>
      </c>
      <c r="CR298" s="1139">
        <f>CR291-CR292+CR293-CR294+CR295-CR296+CR297</f>
        <v>931228.85316794924</v>
      </c>
      <c r="CS298" s="1139">
        <f>CS291-CS292+CS293-CS294+CS295-CS296+CS297</f>
        <v>0</v>
      </c>
      <c r="CT298" s="1139">
        <f>CT291-CT292+CT293-CT294+CT295-CT296+CT297</f>
        <v>20365997.516832054</v>
      </c>
      <c r="CU298" s="1073"/>
      <c r="CY298" s="1133">
        <f>CY291-CY292+CY293-CY294+CY295-CY296+CY297</f>
        <v>21297226.370000001</v>
      </c>
      <c r="CZ298" s="1139">
        <f>CZ291-CZ292+CZ293-CZ294+CZ295-CZ296+CZ297</f>
        <v>931228.85316794924</v>
      </c>
      <c r="DA298" s="1139">
        <f>DA291-DA292+DA293-DA294+DA295-DA296+DA297</f>
        <v>0</v>
      </c>
      <c r="DB298" s="1139">
        <f>DB291-DB292+DB293-DB294+DB295-DB296+DB297</f>
        <v>20365997.516832054</v>
      </c>
      <c r="DC298" s="1073"/>
      <c r="DG298" s="1133">
        <f>DG291-DG292+DG293-DG294+DG295-DG296+DG297</f>
        <v>21297226.370000001</v>
      </c>
      <c r="DH298" s="1139">
        <f>DH291-DH292+DH293-DH294+DH295-DH296+DH297</f>
        <v>931228.85316794924</v>
      </c>
      <c r="DI298" s="1139">
        <f>DI291-DI292+DI293-DI294+DI295-DI296+DI297</f>
        <v>0</v>
      </c>
      <c r="DJ298" s="1139">
        <f>DJ291-DJ292+DJ293-DJ294+DJ295-DJ296+DJ297</f>
        <v>20365997.516832054</v>
      </c>
      <c r="DK298" s="1073"/>
      <c r="DO298" s="1133">
        <f>DO291-DO292+DO293-DO294+DO295-DO296+DO297</f>
        <v>21297226.370000001</v>
      </c>
      <c r="DP298" s="1139">
        <f>DP291-DP292+DP293-DP294+DP295-DP296+DP297</f>
        <v>931228.85316794924</v>
      </c>
      <c r="DQ298" s="1139">
        <f>DQ291-DQ292+DQ293-DQ294+DQ295-DQ296+DQ297</f>
        <v>0</v>
      </c>
      <c r="DR298" s="1139">
        <f>DR291-DR292+DR293-DR294+DR295-DR296+DR297</f>
        <v>20365997.516832054</v>
      </c>
      <c r="DS298" s="1073"/>
      <c r="DW298" s="1133">
        <f>DW291-DW292+DW293-DW294+DW295-DW296+DW297</f>
        <v>21297226.370000001</v>
      </c>
      <c r="DX298" s="1139">
        <f>DX291-DX292+DX293-DX294+DX295-DX296+DX297</f>
        <v>931228.85316794924</v>
      </c>
      <c r="DY298" s="1139">
        <f>DY291-DY292+DY293-DY294+DY295-DY296+DY297</f>
        <v>0</v>
      </c>
      <c r="DZ298" s="1139">
        <f>DZ291-DZ292+DZ293-DZ294+DZ295-DZ296+DZ297</f>
        <v>20365997.516832054</v>
      </c>
      <c r="EA298" s="1073"/>
      <c r="EE298" s="1133">
        <f>EE291-EE292+EE293-EE294+EE295-EE296+EE297</f>
        <v>21297226.370000001</v>
      </c>
      <c r="EF298" s="1139">
        <f>EF291-EF292+EF293-EF294+EF295-EF296+EF297</f>
        <v>931228.85316794924</v>
      </c>
      <c r="EG298" s="1139">
        <f>EG291-EG292+EG293-EG294+EG295-EG296+EG297</f>
        <v>0</v>
      </c>
      <c r="EH298" s="1139">
        <f>EH291-EH292+EH293-EH294+EH295-EH296+EH297</f>
        <v>20365997.516832054</v>
      </c>
      <c r="EI298" s="1073"/>
      <c r="EM298" s="1133">
        <f>EM291-EM292+EM293-EM294+EM295-EM296+EM297</f>
        <v>21297226.370000001</v>
      </c>
      <c r="EN298" s="1139">
        <f>EN291-EN292+EN293-EN294+EN295-EN296+EN297</f>
        <v>931228.85316794924</v>
      </c>
      <c r="EO298" s="1139">
        <f>EO291-EO292+EO293-EO294+EO295-EO296+EO297</f>
        <v>0</v>
      </c>
      <c r="EP298" s="1139">
        <f>EP291-EP292+EP293-EP294+EP295-EP296+EP297</f>
        <v>20365997.516832054</v>
      </c>
      <c r="EQ298" s="1073"/>
      <c r="EU298" s="1133">
        <f>EU291-EU292+EU293-EU294+EU295-EU296+EU297</f>
        <v>21297226.370000001</v>
      </c>
      <c r="EV298" s="1139">
        <f>EV291-EV292+EV293-EV294+EV295-EV296+EV297</f>
        <v>931228.85316794924</v>
      </c>
      <c r="EW298" s="1139">
        <f>EW291-EW292+EW293-EW294+EW295-EW296+EW297</f>
        <v>0</v>
      </c>
      <c r="EX298" s="1139">
        <f>EX291-EX292+EX293-EX294+EX295-EX296+EX297</f>
        <v>20365997.516832054</v>
      </c>
      <c r="EY298" s="1073"/>
      <c r="FC298" s="1133">
        <f>FC291-FC292+FC293-FC294+FC295-FC296+FC297</f>
        <v>21297226.370000001</v>
      </c>
      <c r="FD298" s="1139">
        <f>FD291-FD292+FD293-FD294+FD295-FD296+FD297</f>
        <v>931228.85316794924</v>
      </c>
      <c r="FE298" s="1139">
        <f>FE291-FE292+FE293-FE294+FE295-FE296+FE297</f>
        <v>0</v>
      </c>
      <c r="FF298" s="1139">
        <f>FF291-FF292+FF293-FF294+FF295-FF296+FF297</f>
        <v>20365997.516832054</v>
      </c>
      <c r="FG298" s="1073"/>
      <c r="FK298" s="1133">
        <f>FK291-FK292+FK293-FK294+FK295-FK296+FK297</f>
        <v>21297226.370000001</v>
      </c>
      <c r="FL298" s="1139">
        <f>FL291-FL292+FL293-FL294+FL295-FL296+FL297</f>
        <v>931228.85316794924</v>
      </c>
      <c r="FM298" s="1139">
        <f>FM291-FM292+FM293-FM294+FM295-FM296+FM297</f>
        <v>0</v>
      </c>
      <c r="FN298" s="1139">
        <f>FN291-FN292+FN293-FN294+FN295-FN296+FN297</f>
        <v>20365997.516832054</v>
      </c>
      <c r="FO298" s="1073"/>
    </row>
    <row r="299" spans="1:171">
      <c r="A299" s="1486"/>
      <c r="B299" s="220"/>
      <c r="C299" s="51"/>
      <c r="D299" s="51"/>
      <c r="E299" s="55"/>
      <c r="F299" s="55"/>
      <c r="G299" s="221"/>
      <c r="H299" s="221"/>
      <c r="I299" s="221"/>
      <c r="J299" s="1428"/>
      <c r="K299" s="903"/>
      <c r="S299" s="1073"/>
      <c r="AA299" s="1073"/>
      <c r="AI299" s="1073"/>
      <c r="AQ299" s="1073"/>
      <c r="AY299" s="1073"/>
      <c r="BG299" s="1073"/>
      <c r="BO299" s="1073"/>
      <c r="BW299" s="1073"/>
      <c r="CE299" s="1073"/>
      <c r="CM299" s="1073"/>
      <c r="CU299" s="1073"/>
      <c r="DC299" s="1073"/>
      <c r="DK299" s="1073"/>
      <c r="DS299" s="1073"/>
      <c r="EA299" s="1073"/>
      <c r="EI299" s="1073"/>
      <c r="EQ299" s="1073"/>
      <c r="EY299" s="1073"/>
      <c r="FG299" s="1073"/>
      <c r="FO299" s="1073"/>
    </row>
    <row r="300" spans="1:171">
      <c r="A300" s="1342" t="s">
        <v>636</v>
      </c>
      <c r="B300" s="220"/>
      <c r="C300" s="55"/>
      <c r="D300" s="55"/>
      <c r="E300" s="55"/>
      <c r="F300" s="55"/>
      <c r="G300" s="221"/>
      <c r="H300" s="221"/>
      <c r="I300" s="221"/>
      <c r="J300" s="1428"/>
      <c r="K300" s="903"/>
      <c r="S300" s="1073"/>
      <c r="AA300" s="1073"/>
      <c r="AI300" s="1073"/>
      <c r="AQ300" s="1073"/>
      <c r="AY300" s="1073"/>
      <c r="BG300" s="1073"/>
      <c r="BO300" s="1073"/>
      <c r="BW300" s="1073"/>
      <c r="CE300" s="1073"/>
      <c r="CM300" s="1073"/>
      <c r="CU300" s="1073"/>
      <c r="DC300" s="1073"/>
      <c r="DK300" s="1073"/>
      <c r="DS300" s="1073"/>
      <c r="EA300" s="1073"/>
      <c r="EI300" s="1073"/>
      <c r="EQ300" s="1073"/>
      <c r="EY300" s="1073"/>
      <c r="FG300" s="1073"/>
      <c r="FO300" s="1073"/>
    </row>
    <row r="301" spans="1:171">
      <c r="A301" s="1342"/>
      <c r="B301" s="913" t="s">
        <v>64</v>
      </c>
      <c r="C301" s="888">
        <v>310</v>
      </c>
      <c r="D301" s="889">
        <v>447</v>
      </c>
      <c r="E301" s="182" t="str">
        <f>'Sch 3B - Other Items'!E25</f>
        <v>PROD</v>
      </c>
      <c r="F301" s="889"/>
      <c r="G301" s="182">
        <f>'Sch 3B - Other Items'!G25</f>
        <v>253658001</v>
      </c>
      <c r="H301" s="182">
        <f>'Sch 3B - Other Items'!H25</f>
        <v>253658001</v>
      </c>
      <c r="I301" s="182">
        <f>'Sch 3B - Other Items'!I25</f>
        <v>0</v>
      </c>
      <c r="J301" s="1424">
        <f>'Sch 3B - Other Items'!J25</f>
        <v>0</v>
      </c>
      <c r="K301" s="903">
        <f>IF($E301="DIRECT",0,1)</f>
        <v>1</v>
      </c>
      <c r="O301" s="1145">
        <f>O466</f>
        <v>253658001</v>
      </c>
      <c r="P301" s="1117">
        <f>VLOOKUP($E301,O$442:R$453,2,FALSE)*O301*($K301)+IF($G301&lt;&gt;0,($H301/$G301)*O301,0)*(1-$K301)</f>
        <v>253658001</v>
      </c>
      <c r="Q301" s="1117">
        <f>VLOOKUP($E301,O$442:R$453,3,FALSE)*O301*($K301)+IF($G301&lt;&gt;0,($I301/$G301)*O301,0)*(1-$K301)</f>
        <v>0</v>
      </c>
      <c r="R301" s="1117">
        <f>VLOOKUP($E301,O$442:R$453,4,FALSE)*O301*($K301)+(O301-P301-Q301)*(1-$K301)</f>
        <v>0</v>
      </c>
      <c r="S301" s="1073"/>
      <c r="W301" s="1145">
        <f>W466</f>
        <v>253658001</v>
      </c>
      <c r="X301" s="1117">
        <f>VLOOKUP($E301,W$442:Z$453,2,FALSE)*W301*($K301)+IF($G301&lt;&gt;0,($H301/$G301)*W301,0)*(1-$K301)</f>
        <v>253658001</v>
      </c>
      <c r="Y301" s="1117">
        <f>VLOOKUP($E301,W$442:Z$453,3,FALSE)*W301*($K301)+IF($G301&lt;&gt;0,($I301/$G301)*W301,0)*(1-$K301)</f>
        <v>0</v>
      </c>
      <c r="Z301" s="1117">
        <f>VLOOKUP($E301,W$442:Z$453,4,FALSE)*W301*($K301)+(W301-X301-Y301)*(1-$K301)</f>
        <v>0</v>
      </c>
      <c r="AA301" s="1073"/>
      <c r="AE301" s="1145">
        <f>AE466</f>
        <v>253658001</v>
      </c>
      <c r="AF301" s="1117">
        <f>VLOOKUP($E301,AE$442:AH$453,2,FALSE)*AE301*($K301)+IF($G301&lt;&gt;0,($H301/$G301)*AE301,0)*(1-$K301)</f>
        <v>253658001</v>
      </c>
      <c r="AG301" s="1117">
        <f>VLOOKUP($E301,AE$442:AH$453,3,FALSE)*AE301*($K301)+IF($G301&lt;&gt;0,($I301/$G301)*AE301,0)*(1-$K301)</f>
        <v>0</v>
      </c>
      <c r="AH301" s="1117">
        <f>VLOOKUP($E301,AE$442:AH$453,4,FALSE)*AE301*($K301)+(AE301-AF301-AG301)*(1-$K301)</f>
        <v>0</v>
      </c>
      <c r="AI301" s="1073"/>
      <c r="AM301" s="1145">
        <f>AM466</f>
        <v>253658001</v>
      </c>
      <c r="AN301" s="1117">
        <f>VLOOKUP($E301,AM$442:AP$453,2,FALSE)*AM301*($K301)+IF($G301&lt;&gt;0,($H301/$G301)*AM301,0)*(1-$K301)</f>
        <v>253658001</v>
      </c>
      <c r="AO301" s="1117">
        <f>VLOOKUP($E301,AM$442:AP$453,3,FALSE)*AM301*($K301)+IF($G301&lt;&gt;0,($I301/$G301)*AM301,0)*(1-$K301)</f>
        <v>0</v>
      </c>
      <c r="AP301" s="1117">
        <f>VLOOKUP($E301,AM$442:AP$453,4,FALSE)*AM301*($K301)+(AM301-AN301-AO301)*(1-$K301)</f>
        <v>0</v>
      </c>
      <c r="AQ301" s="1073"/>
      <c r="AU301" s="1145">
        <f>AU466</f>
        <v>253658001</v>
      </c>
      <c r="AV301" s="1117">
        <f>VLOOKUP($E301,AU$442:AX$453,2,FALSE)*AU301*($K301)+IF($G301&lt;&gt;0,($H301/$G301)*AU301,0)*(1-$K301)</f>
        <v>253658001</v>
      </c>
      <c r="AW301" s="1117">
        <f>VLOOKUP($E301,AU$442:AX$453,3,FALSE)*AU301*($K301)+IF($G301&lt;&gt;0,($I301/$G301)*AU301,0)*(1-$K301)</f>
        <v>0</v>
      </c>
      <c r="AX301" s="1117">
        <f>VLOOKUP($E301,AU$442:AX$453,4,FALSE)*AU301*($K301)+(AU301-AV301-AW301)*(1-$K301)</f>
        <v>0</v>
      </c>
      <c r="AY301" s="1073"/>
      <c r="BC301" s="1145">
        <f>BC466</f>
        <v>253658001</v>
      </c>
      <c r="BD301" s="1117">
        <f>VLOOKUP($E301,BC$442:BF$453,2,FALSE)*BC301*($K301)+IF($G301&lt;&gt;0,($H301/$G301)*BC301,0)*(1-$K301)</f>
        <v>253658001</v>
      </c>
      <c r="BE301" s="1117">
        <f>VLOOKUP($E301,BC$442:BF$453,3,FALSE)*BC301*($K301)+IF($G301&lt;&gt;0,($I301/$G301)*BC301,0)*(1-$K301)</f>
        <v>0</v>
      </c>
      <c r="BF301" s="1117">
        <f>VLOOKUP($E301,BC$442:BF$453,4,FALSE)*BC301*($K301)+(BC301-BD301-BE301)*(1-$K301)</f>
        <v>0</v>
      </c>
      <c r="BG301" s="1073"/>
      <c r="BK301" s="1145">
        <f>BK466</f>
        <v>253658001</v>
      </c>
      <c r="BL301" s="1117">
        <f>VLOOKUP($E301,BK$442:BN$453,2,FALSE)*BK301*($K301)+IF($G301&lt;&gt;0,($H301/$G301)*BK301,0)*(1-$K301)</f>
        <v>253658001</v>
      </c>
      <c r="BM301" s="1117">
        <f>VLOOKUP($E301,BK$442:BN$453,3,FALSE)*BK301*($K301)+IF($G301&lt;&gt;0,($I301/$G301)*BK301,0)*(1-$K301)</f>
        <v>0</v>
      </c>
      <c r="BN301" s="1117">
        <f>VLOOKUP($E301,BK$442:BN$453,4,FALSE)*BK301*($K301)+(BK301-BL301-BM301)*(1-$K301)</f>
        <v>0</v>
      </c>
      <c r="BO301" s="1073"/>
      <c r="BS301" s="1145">
        <f>BS466</f>
        <v>253658001</v>
      </c>
      <c r="BT301" s="1117">
        <f>VLOOKUP($E301,BS$442:BV$453,2,FALSE)*BS301*($K301)+IF($G301&lt;&gt;0,($H301/$G301)*BS301,0)*(1-$K301)</f>
        <v>253658001</v>
      </c>
      <c r="BU301" s="1117">
        <f>VLOOKUP($E301,BS$442:BV$453,3,FALSE)*BS301*($K301)+IF($G301&lt;&gt;0,($I301/$G301)*BS301,0)*(1-$K301)</f>
        <v>0</v>
      </c>
      <c r="BV301" s="1117">
        <f>VLOOKUP($E301,BS$442:BV$453,4,FALSE)*BS301*($K301)+(BS301-BT301-BU301)*(1-$K301)</f>
        <v>0</v>
      </c>
      <c r="BW301" s="1073"/>
      <c r="CA301" s="1145">
        <f>CA466</f>
        <v>253658001</v>
      </c>
      <c r="CB301" s="1117">
        <f>VLOOKUP($E301,CA$442:CD$453,2,FALSE)*CA301*($K301)+IF($G301&lt;&gt;0,($H301/$G301)*CA301,0)*(1-$K301)</f>
        <v>253658001</v>
      </c>
      <c r="CC301" s="1117">
        <f>VLOOKUP($E301,CA$442:CD$453,3,FALSE)*CA301*($K301)+IF($G301&lt;&gt;0,($I301/$G301)*CA301,0)*(1-$K301)</f>
        <v>0</v>
      </c>
      <c r="CD301" s="1117">
        <f>VLOOKUP($E301,CA$442:CD$453,4,FALSE)*CA301*($K301)+(CA301-CB301-CC301)*(1-$K301)</f>
        <v>0</v>
      </c>
      <c r="CE301" s="1073"/>
      <c r="CI301" s="1145">
        <f>CI466</f>
        <v>253658001</v>
      </c>
      <c r="CJ301" s="1117">
        <f>VLOOKUP($E301,CI$442:CL$453,2,FALSE)*CI301*($K301)+IF($G301&lt;&gt;0,($H301/$G301)*CI301,0)*(1-$K301)</f>
        <v>253658001</v>
      </c>
      <c r="CK301" s="1117">
        <f>VLOOKUP($E301,CI$442:CL$453,3,FALSE)*CI301*($K301)+IF($G301&lt;&gt;0,($I301/$G301)*CI301,0)*(1-$K301)</f>
        <v>0</v>
      </c>
      <c r="CL301" s="1117">
        <f>VLOOKUP($E301,CI$442:CL$453,4,FALSE)*CI301*($K301)+(CI301-CJ301-CK301)*(1-$K301)</f>
        <v>0</v>
      </c>
      <c r="CM301" s="1073"/>
      <c r="CQ301" s="1145">
        <f>CQ466</f>
        <v>253658001</v>
      </c>
      <c r="CR301" s="1117">
        <f>VLOOKUP($E301,CQ$442:CT$453,2,FALSE)*CQ301*($K301)+IF($G301&lt;&gt;0,($H301/$G301)*CQ301,0)*(1-$K301)</f>
        <v>253658001</v>
      </c>
      <c r="CS301" s="1117">
        <f>VLOOKUP($E301,CQ$442:CT$453,3,FALSE)*CQ301*($K301)+IF($G301&lt;&gt;0,($I301/$G301)*CQ301,0)*(1-$K301)</f>
        <v>0</v>
      </c>
      <c r="CT301" s="1117">
        <f>VLOOKUP($E301,CQ$442:CT$453,4,FALSE)*CQ301*($K301)+(CQ301-CR301-CS301)*(1-$K301)</f>
        <v>0</v>
      </c>
      <c r="CU301" s="1073"/>
      <c r="CY301" s="1145">
        <f>CY466</f>
        <v>253658001</v>
      </c>
      <c r="CZ301" s="1117">
        <f>VLOOKUP($E301,CY$442:DB$453,2,FALSE)*CY301*($K301)+IF($G301&lt;&gt;0,($H301/$G301)*CY301,0)*(1-$K301)</f>
        <v>253658001</v>
      </c>
      <c r="DA301" s="1117">
        <f>VLOOKUP($E301,CY$442:DB$453,3,FALSE)*CY301*($K301)+IF($G301&lt;&gt;0,($I301/$G301)*CY301,0)*(1-$K301)</f>
        <v>0</v>
      </c>
      <c r="DB301" s="1117">
        <f>VLOOKUP($E301,CY$442:DB$453,4,FALSE)*CY301*($K301)+(CY301-CZ301-DA301)*(1-$K301)</f>
        <v>0</v>
      </c>
      <c r="DC301" s="1073"/>
      <c r="DG301" s="1145">
        <f>DG466</f>
        <v>253658001</v>
      </c>
      <c r="DH301" s="1117">
        <f>VLOOKUP($E301,DG$442:DJ$453,2,FALSE)*DG301*($K301)+IF($G301&lt;&gt;0,($H301/$G301)*DG301,0)*(1-$K301)</f>
        <v>253658001</v>
      </c>
      <c r="DI301" s="1117">
        <f>VLOOKUP($E301,DG$442:DJ$453,3,FALSE)*DG301*($K301)+IF($G301&lt;&gt;0,($I301/$G301)*DG301,0)*(1-$K301)</f>
        <v>0</v>
      </c>
      <c r="DJ301" s="1117">
        <f>VLOOKUP($E301,DG$442:DJ$453,4,FALSE)*DG301*($K301)+(DG301-DH301-DI301)*(1-$K301)</f>
        <v>0</v>
      </c>
      <c r="DK301" s="1073"/>
      <c r="DO301" s="1145">
        <f>DO466</f>
        <v>253658001</v>
      </c>
      <c r="DP301" s="1117">
        <f>VLOOKUP($E301,DO$442:DR$453,2,FALSE)*DO301*($K301)+IF($G301&lt;&gt;0,($H301/$G301)*DO301,0)*(1-$K301)</f>
        <v>253658001</v>
      </c>
      <c r="DQ301" s="1117">
        <f>VLOOKUP($E301,DO$442:DR$453,3,FALSE)*DO301*($K301)+IF($G301&lt;&gt;0,($I301/$G301)*DO301,0)*(1-$K301)</f>
        <v>0</v>
      </c>
      <c r="DR301" s="1117">
        <f>VLOOKUP($E301,DO$442:DR$453,4,FALSE)*DO301*($K301)+(DO301-DP301-DQ301)*(1-$K301)</f>
        <v>0</v>
      </c>
      <c r="DS301" s="1073"/>
      <c r="DW301" s="1145">
        <f>DW466</f>
        <v>253658001</v>
      </c>
      <c r="DX301" s="1117">
        <f>VLOOKUP($E301,DW$442:DZ$453,2,FALSE)*DW301*($K301)+IF($G301&lt;&gt;0,($H301/$G301)*DW301,0)*(1-$K301)</f>
        <v>253658001</v>
      </c>
      <c r="DY301" s="1117">
        <f>VLOOKUP($E301,DW$442:DZ$453,3,FALSE)*DW301*($K301)+IF($G301&lt;&gt;0,($I301/$G301)*DW301,0)*(1-$K301)</f>
        <v>0</v>
      </c>
      <c r="DZ301" s="1117">
        <f>VLOOKUP($E301,DW$442:DZ$453,4,FALSE)*DW301*($K301)+(DW301-DX301-DY301)*(1-$K301)</f>
        <v>0</v>
      </c>
      <c r="EA301" s="1073"/>
      <c r="EE301" s="1145">
        <f>EE466</f>
        <v>253658001</v>
      </c>
      <c r="EF301" s="1117">
        <f>VLOOKUP($E301,EE$442:EH$453,2,FALSE)*EE301*($K301)+IF($G301&lt;&gt;0,($H301/$G301)*EE301,0)*(1-$K301)</f>
        <v>253658001</v>
      </c>
      <c r="EG301" s="1117">
        <f>VLOOKUP($E301,EE$442:EH$453,3,FALSE)*EE301*($K301)+IF($G301&lt;&gt;0,($I301/$G301)*EE301,0)*(1-$K301)</f>
        <v>0</v>
      </c>
      <c r="EH301" s="1117">
        <f>VLOOKUP($E301,EE$442:EH$453,4,FALSE)*EE301*($K301)+(EE301-EF301-EG301)*(1-$K301)</f>
        <v>0</v>
      </c>
      <c r="EI301" s="1073"/>
      <c r="EM301" s="1145">
        <f>EM466</f>
        <v>253658001</v>
      </c>
      <c r="EN301" s="1117">
        <f>VLOOKUP($E301,EM$442:EP$453,2,FALSE)*EM301*($K301)+IF($G301&lt;&gt;0,($H301/$G301)*EM301,0)*(1-$K301)</f>
        <v>253658001</v>
      </c>
      <c r="EO301" s="1117">
        <f>VLOOKUP($E301,EM$442:EP$453,3,FALSE)*EM301*($K301)+IF($G301&lt;&gt;0,($I301/$G301)*EM301,0)*(1-$K301)</f>
        <v>0</v>
      </c>
      <c r="EP301" s="1117">
        <f>VLOOKUP($E301,EM$442:EP$453,4,FALSE)*EM301*($K301)+(EM301-EN301-EO301)*(1-$K301)</f>
        <v>0</v>
      </c>
      <c r="EQ301" s="1073"/>
      <c r="EU301" s="1145">
        <f>EU466</f>
        <v>253658001</v>
      </c>
      <c r="EV301" s="1117">
        <f>VLOOKUP($E301,EU$442:EX$453,2,FALSE)*EU301*($K301)+IF($G301&lt;&gt;0,($H301/$G301)*EU301,0)*(1-$K301)</f>
        <v>253658001</v>
      </c>
      <c r="EW301" s="1117">
        <f>VLOOKUP($E301,EU$442:EX$453,3,FALSE)*EU301*($K301)+IF($G301&lt;&gt;0,($I301/$G301)*EU301,0)*(1-$K301)</f>
        <v>0</v>
      </c>
      <c r="EX301" s="1117">
        <f>VLOOKUP($E301,EU$442:EX$453,4,FALSE)*EU301*($K301)+(EU301-EV301-EW301)*(1-$K301)</f>
        <v>0</v>
      </c>
      <c r="EY301" s="1073"/>
      <c r="FC301" s="1145">
        <f>FC466</f>
        <v>253658001</v>
      </c>
      <c r="FD301" s="1117">
        <f>VLOOKUP($E301,FC$442:FF$453,2,FALSE)*FC301*($K301)+IF($G301&lt;&gt;0,($H301/$G301)*FC301,0)*(1-$K301)</f>
        <v>253658001</v>
      </c>
      <c r="FE301" s="1117">
        <f>VLOOKUP($E301,FC$442:FF$453,3,FALSE)*FC301*($K301)+IF($G301&lt;&gt;0,($I301/$G301)*FC301,0)*(1-$K301)</f>
        <v>0</v>
      </c>
      <c r="FF301" s="1117">
        <f>VLOOKUP($E301,FC$442:FF$453,4,FALSE)*FC301*($K301)+(FC301-FD301-FE301)*(1-$K301)</f>
        <v>0</v>
      </c>
      <c r="FG301" s="1073"/>
      <c r="FK301" s="1145">
        <f>FK466</f>
        <v>253658001</v>
      </c>
      <c r="FL301" s="1117">
        <f>VLOOKUP($E301,FK$442:FN$453,2,FALSE)*FK301*($K301)+IF($G301&lt;&gt;0,($H301/$G301)*FK301,0)*(1-$K301)</f>
        <v>253658001</v>
      </c>
      <c r="FM301" s="1117">
        <f>VLOOKUP($E301,FK$442:FN$453,3,FALSE)*FK301*($K301)+IF($G301&lt;&gt;0,($I301/$G301)*FK301,0)*(1-$K301)</f>
        <v>0</v>
      </c>
      <c r="FN301" s="1117">
        <f>VLOOKUP($E301,FK$442:FN$453,4,FALSE)*FK301*($K301)+(FK301-FL301-FM301)*(1-$K301)</f>
        <v>0</v>
      </c>
      <c r="FO301" s="1073"/>
    </row>
    <row r="302" spans="1:171">
      <c r="A302" s="1345" t="s">
        <v>65</v>
      </c>
      <c r="B302" s="64"/>
      <c r="C302" s="914"/>
      <c r="D302" s="915"/>
      <c r="E302" s="915"/>
      <c r="F302" s="916"/>
      <c r="G302" s="923">
        <f>SUM(G301)</f>
        <v>253658001</v>
      </c>
      <c r="H302" s="923">
        <f>SUM(H301)</f>
        <v>253658001</v>
      </c>
      <c r="I302" s="923">
        <f>SUM(I301)</f>
        <v>0</v>
      </c>
      <c r="J302" s="1431">
        <f>SUM(J301)</f>
        <v>0</v>
      </c>
      <c r="K302" s="903"/>
      <c r="O302" s="1133">
        <f>SUM(O301)</f>
        <v>253658001</v>
      </c>
      <c r="P302" s="1139">
        <f>SUM(P301)</f>
        <v>253658001</v>
      </c>
      <c r="Q302" s="1139">
        <f>SUM(Q301)</f>
        <v>0</v>
      </c>
      <c r="R302" s="1139">
        <f>SUM(R301)</f>
        <v>0</v>
      </c>
      <c r="S302" s="1073"/>
      <c r="W302" s="1133">
        <f>SUM(W301)</f>
        <v>253658001</v>
      </c>
      <c r="X302" s="1139">
        <f>SUM(X301)</f>
        <v>253658001</v>
      </c>
      <c r="Y302" s="1139">
        <f>SUM(Y301)</f>
        <v>0</v>
      </c>
      <c r="Z302" s="1139">
        <f>SUM(Z301)</f>
        <v>0</v>
      </c>
      <c r="AA302" s="1073"/>
      <c r="AE302" s="1133">
        <f>SUM(AE301)</f>
        <v>253658001</v>
      </c>
      <c r="AF302" s="1139">
        <f>SUM(AF301)</f>
        <v>253658001</v>
      </c>
      <c r="AG302" s="1139">
        <f>SUM(AG301)</f>
        <v>0</v>
      </c>
      <c r="AH302" s="1139">
        <f>SUM(AH301)</f>
        <v>0</v>
      </c>
      <c r="AI302" s="1073"/>
      <c r="AM302" s="1133">
        <f>SUM(AM301)</f>
        <v>253658001</v>
      </c>
      <c r="AN302" s="1139">
        <f>SUM(AN301)</f>
        <v>253658001</v>
      </c>
      <c r="AO302" s="1139">
        <f>SUM(AO301)</f>
        <v>0</v>
      </c>
      <c r="AP302" s="1139">
        <f>SUM(AP301)</f>
        <v>0</v>
      </c>
      <c r="AQ302" s="1073"/>
      <c r="AU302" s="1133">
        <f>SUM(AU301)</f>
        <v>253658001</v>
      </c>
      <c r="AV302" s="1139">
        <f>SUM(AV301)</f>
        <v>253658001</v>
      </c>
      <c r="AW302" s="1139">
        <f>SUM(AW301)</f>
        <v>0</v>
      </c>
      <c r="AX302" s="1139">
        <f>SUM(AX301)</f>
        <v>0</v>
      </c>
      <c r="AY302" s="1073"/>
      <c r="BC302" s="1133">
        <f>SUM(BC301)</f>
        <v>253658001</v>
      </c>
      <c r="BD302" s="1139">
        <f>SUM(BD301)</f>
        <v>253658001</v>
      </c>
      <c r="BE302" s="1139">
        <f>SUM(BE301)</f>
        <v>0</v>
      </c>
      <c r="BF302" s="1139">
        <f>SUM(BF301)</f>
        <v>0</v>
      </c>
      <c r="BG302" s="1073"/>
      <c r="BK302" s="1133">
        <f>SUM(BK301)</f>
        <v>253658001</v>
      </c>
      <c r="BL302" s="1139">
        <f>SUM(BL301)</f>
        <v>253658001</v>
      </c>
      <c r="BM302" s="1139">
        <f>SUM(BM301)</f>
        <v>0</v>
      </c>
      <c r="BN302" s="1139">
        <f>SUM(BN301)</f>
        <v>0</v>
      </c>
      <c r="BO302" s="1073"/>
      <c r="BS302" s="1133">
        <f>SUM(BS301)</f>
        <v>253658001</v>
      </c>
      <c r="BT302" s="1139">
        <f>SUM(BT301)</f>
        <v>253658001</v>
      </c>
      <c r="BU302" s="1139">
        <f>SUM(BU301)</f>
        <v>0</v>
      </c>
      <c r="BV302" s="1139">
        <f>SUM(BV301)</f>
        <v>0</v>
      </c>
      <c r="BW302" s="1073"/>
      <c r="CA302" s="1133">
        <f>SUM(CA301)</f>
        <v>253658001</v>
      </c>
      <c r="CB302" s="1139">
        <f>SUM(CB301)</f>
        <v>253658001</v>
      </c>
      <c r="CC302" s="1139">
        <f>SUM(CC301)</f>
        <v>0</v>
      </c>
      <c r="CD302" s="1139">
        <f>SUM(CD301)</f>
        <v>0</v>
      </c>
      <c r="CE302" s="1073"/>
      <c r="CI302" s="1133">
        <f>SUM(CI301)</f>
        <v>253658001</v>
      </c>
      <c r="CJ302" s="1139">
        <f>SUM(CJ301)</f>
        <v>253658001</v>
      </c>
      <c r="CK302" s="1139">
        <f>SUM(CK301)</f>
        <v>0</v>
      </c>
      <c r="CL302" s="1139">
        <f>SUM(CL301)</f>
        <v>0</v>
      </c>
      <c r="CM302" s="1073"/>
      <c r="CQ302" s="1133">
        <f>SUM(CQ301)</f>
        <v>253658001</v>
      </c>
      <c r="CR302" s="1139">
        <f>SUM(CR301)</f>
        <v>253658001</v>
      </c>
      <c r="CS302" s="1139">
        <f>SUM(CS301)</f>
        <v>0</v>
      </c>
      <c r="CT302" s="1139">
        <f>SUM(CT301)</f>
        <v>0</v>
      </c>
      <c r="CU302" s="1073"/>
      <c r="CY302" s="1133">
        <f>SUM(CY301)</f>
        <v>253658001</v>
      </c>
      <c r="CZ302" s="1139">
        <f>SUM(CZ301)</f>
        <v>253658001</v>
      </c>
      <c r="DA302" s="1139">
        <f>SUM(DA301)</f>
        <v>0</v>
      </c>
      <c r="DB302" s="1139">
        <f>SUM(DB301)</f>
        <v>0</v>
      </c>
      <c r="DC302" s="1073"/>
      <c r="DG302" s="1133">
        <f>SUM(DG301)</f>
        <v>253658001</v>
      </c>
      <c r="DH302" s="1139">
        <f>SUM(DH301)</f>
        <v>253658001</v>
      </c>
      <c r="DI302" s="1139">
        <f>SUM(DI301)</f>
        <v>0</v>
      </c>
      <c r="DJ302" s="1139">
        <f>SUM(DJ301)</f>
        <v>0</v>
      </c>
      <c r="DK302" s="1073"/>
      <c r="DO302" s="1133">
        <f>SUM(DO301)</f>
        <v>253658001</v>
      </c>
      <c r="DP302" s="1139">
        <f>SUM(DP301)</f>
        <v>253658001</v>
      </c>
      <c r="DQ302" s="1139">
        <f>SUM(DQ301)</f>
        <v>0</v>
      </c>
      <c r="DR302" s="1139">
        <f>SUM(DR301)</f>
        <v>0</v>
      </c>
      <c r="DS302" s="1073"/>
      <c r="DW302" s="1133">
        <f>SUM(DW301)</f>
        <v>253658001</v>
      </c>
      <c r="DX302" s="1139">
        <f>SUM(DX301)</f>
        <v>253658001</v>
      </c>
      <c r="DY302" s="1139">
        <f>SUM(DY301)</f>
        <v>0</v>
      </c>
      <c r="DZ302" s="1139">
        <f>SUM(DZ301)</f>
        <v>0</v>
      </c>
      <c r="EA302" s="1073"/>
      <c r="EE302" s="1133">
        <f>SUM(EE301)</f>
        <v>253658001</v>
      </c>
      <c r="EF302" s="1139">
        <f>SUM(EF301)</f>
        <v>253658001</v>
      </c>
      <c r="EG302" s="1139">
        <f>SUM(EG301)</f>
        <v>0</v>
      </c>
      <c r="EH302" s="1139">
        <f>SUM(EH301)</f>
        <v>0</v>
      </c>
      <c r="EI302" s="1073"/>
      <c r="EM302" s="1133">
        <f>SUM(EM301)</f>
        <v>253658001</v>
      </c>
      <c r="EN302" s="1139">
        <f>SUM(EN301)</f>
        <v>253658001</v>
      </c>
      <c r="EO302" s="1139">
        <f>SUM(EO301)</f>
        <v>0</v>
      </c>
      <c r="EP302" s="1139">
        <f>SUM(EP301)</f>
        <v>0</v>
      </c>
      <c r="EQ302" s="1073"/>
      <c r="EU302" s="1133">
        <f>SUM(EU301)</f>
        <v>253658001</v>
      </c>
      <c r="EV302" s="1139">
        <f>SUM(EV301)</f>
        <v>253658001</v>
      </c>
      <c r="EW302" s="1139">
        <f>SUM(EW301)</f>
        <v>0</v>
      </c>
      <c r="EX302" s="1139">
        <f>SUM(EX301)</f>
        <v>0</v>
      </c>
      <c r="EY302" s="1073"/>
      <c r="FC302" s="1133">
        <f>SUM(FC301)</f>
        <v>253658001</v>
      </c>
      <c r="FD302" s="1139">
        <f>SUM(FD301)</f>
        <v>253658001</v>
      </c>
      <c r="FE302" s="1139">
        <f>SUM(FE301)</f>
        <v>0</v>
      </c>
      <c r="FF302" s="1139">
        <f>SUM(FF301)</f>
        <v>0</v>
      </c>
      <c r="FG302" s="1073"/>
      <c r="FK302" s="1133">
        <f>SUM(FK301)</f>
        <v>253658001</v>
      </c>
      <c r="FL302" s="1139">
        <f>SUM(FL301)</f>
        <v>253658001</v>
      </c>
      <c r="FM302" s="1139">
        <f>SUM(FM301)</f>
        <v>0</v>
      </c>
      <c r="FN302" s="1139">
        <f>SUM(FN301)</f>
        <v>0</v>
      </c>
      <c r="FO302" s="1073"/>
    </row>
    <row r="303" spans="1:171">
      <c r="A303" s="1373"/>
      <c r="B303" s="64"/>
      <c r="C303" s="55"/>
      <c r="D303" s="55"/>
      <c r="E303" s="55"/>
      <c r="F303" s="55"/>
      <c r="G303" s="221"/>
      <c r="H303" s="221"/>
      <c r="I303" s="221"/>
      <c r="J303" s="1428"/>
      <c r="K303" s="903"/>
      <c r="S303" s="1073"/>
      <c r="AA303" s="1073"/>
      <c r="AI303" s="1073"/>
      <c r="AQ303" s="1073"/>
      <c r="AY303" s="1073"/>
      <c r="BG303" s="1073"/>
      <c r="BO303" s="1073"/>
      <c r="BW303" s="1073"/>
      <c r="CE303" s="1073"/>
      <c r="CM303" s="1073"/>
      <c r="CU303" s="1073"/>
      <c r="DC303" s="1073"/>
      <c r="DK303" s="1073"/>
      <c r="DS303" s="1073"/>
      <c r="EA303" s="1073"/>
      <c r="EI303" s="1073"/>
      <c r="EQ303" s="1073"/>
      <c r="EY303" s="1073"/>
      <c r="FG303" s="1073"/>
      <c r="FO303" s="1073"/>
    </row>
    <row r="304" spans="1:171">
      <c r="A304" s="1362" t="s">
        <v>43</v>
      </c>
      <c r="B304" s="64"/>
      <c r="C304" s="55"/>
      <c r="D304" s="55"/>
      <c r="E304" s="55"/>
      <c r="F304" s="55"/>
      <c r="G304" s="221"/>
      <c r="H304" s="221"/>
      <c r="I304" s="221"/>
      <c r="J304" s="1428"/>
      <c r="K304" s="903"/>
      <c r="S304" s="1073"/>
      <c r="AA304" s="1073"/>
      <c r="AI304" s="1073"/>
      <c r="AQ304" s="1073"/>
      <c r="AY304" s="1073"/>
      <c r="BG304" s="1073"/>
      <c r="BO304" s="1073"/>
      <c r="BW304" s="1073"/>
      <c r="CE304" s="1073"/>
      <c r="CM304" s="1073"/>
      <c r="CU304" s="1073"/>
      <c r="DC304" s="1073"/>
      <c r="DK304" s="1073"/>
      <c r="DS304" s="1073"/>
      <c r="EA304" s="1073"/>
      <c r="EI304" s="1073"/>
      <c r="EQ304" s="1073"/>
      <c r="EY304" s="1073"/>
      <c r="FG304" s="1073"/>
      <c r="FO304" s="1073"/>
    </row>
    <row r="305" spans="1:171">
      <c r="A305" s="1423"/>
      <c r="B305" s="79" t="s">
        <v>327</v>
      </c>
      <c r="C305" s="888">
        <v>300</v>
      </c>
      <c r="D305" s="889">
        <v>450</v>
      </c>
      <c r="E305" s="182" t="str">
        <f>'Sch 3B - Other Items'!E29</f>
        <v>DIST</v>
      </c>
      <c r="F305" s="889"/>
      <c r="G305" s="182">
        <f>'Sch 3B - Other Items'!G29</f>
        <v>0</v>
      </c>
      <c r="H305" s="182">
        <f>'Sch 3B - Other Items'!H29</f>
        <v>0</v>
      </c>
      <c r="I305" s="182">
        <f>'Sch 3B - Other Items'!I29</f>
        <v>0</v>
      </c>
      <c r="J305" s="1424">
        <f>'Sch 3B - Other Items'!J29</f>
        <v>0</v>
      </c>
      <c r="K305" s="903">
        <f t="shared" ref="K305:K311" si="892">IF($E305="DIRECT",0,1)</f>
        <v>1</v>
      </c>
      <c r="O305" s="1116">
        <f>$G305</f>
        <v>0</v>
      </c>
      <c r="P305" s="1117">
        <f t="shared" ref="P305:P311" si="893">VLOOKUP($E305,O$442:R$453,2,FALSE)*O305*($K305)+IF($G305&lt;&gt;0,($H305/$G305)*O305,0)*(1-$K305)</f>
        <v>0</v>
      </c>
      <c r="Q305" s="1117">
        <f t="shared" ref="Q305:Q311" si="894">VLOOKUP($E305,O$442:R$453,3,FALSE)*O305*($K305)+IF($G305&lt;&gt;0,($I305/$G305)*O305,0)*(1-$K305)</f>
        <v>0</v>
      </c>
      <c r="R305" s="1117">
        <f t="shared" ref="R305:R311" si="895">VLOOKUP($E305,O$442:R$453,4,FALSE)*O305*($K305)+(O305-P305-Q305)*(1-$K305)</f>
        <v>0</v>
      </c>
      <c r="S305" s="1073"/>
      <c r="W305" s="1116">
        <f>$G305</f>
        <v>0</v>
      </c>
      <c r="X305" s="1117">
        <f t="shared" ref="X305:X311" si="896">VLOOKUP($E305,W$442:Z$453,2,FALSE)*W305*($K305)+IF($G305&lt;&gt;0,($H305/$G305)*W305,0)*(1-$K305)</f>
        <v>0</v>
      </c>
      <c r="Y305" s="1117">
        <f t="shared" ref="Y305:Y311" si="897">VLOOKUP($E305,W$442:Z$453,3,FALSE)*W305*($K305)+IF($G305&lt;&gt;0,($I305/$G305)*W305,0)*(1-$K305)</f>
        <v>0</v>
      </c>
      <c r="Z305" s="1117">
        <f t="shared" ref="Z305:Z311" si="898">VLOOKUP($E305,W$442:Z$453,4,FALSE)*W305*($K305)+(W305-X305-Y305)*(1-$K305)</f>
        <v>0</v>
      </c>
      <c r="AA305" s="1073"/>
      <c r="AE305" s="1116">
        <f>$G305</f>
        <v>0</v>
      </c>
      <c r="AF305" s="1117">
        <f t="shared" ref="AF305:AF311" si="899">VLOOKUP($E305,AE$442:AH$453,2,FALSE)*AE305*($K305)+IF($G305&lt;&gt;0,($H305/$G305)*AE305,0)*(1-$K305)</f>
        <v>0</v>
      </c>
      <c r="AG305" s="1117">
        <f t="shared" ref="AG305:AG311" si="900">VLOOKUP($E305,AE$442:AH$453,3,FALSE)*AE305*($K305)+IF($G305&lt;&gt;0,($I305/$G305)*AE305,0)*(1-$K305)</f>
        <v>0</v>
      </c>
      <c r="AH305" s="1117">
        <f t="shared" ref="AH305:AH311" si="901">VLOOKUP($E305,AE$442:AH$453,4,FALSE)*AE305*($K305)+(AE305-AF305-AG305)*(1-$K305)</f>
        <v>0</v>
      </c>
      <c r="AI305" s="1073"/>
      <c r="AM305" s="1116">
        <f>$G305</f>
        <v>0</v>
      </c>
      <c r="AN305" s="1117">
        <f t="shared" ref="AN305:AN311" si="902">VLOOKUP($E305,AM$442:AP$453,2,FALSE)*AM305*($K305)+IF($G305&lt;&gt;0,($H305/$G305)*AM305,0)*(1-$K305)</f>
        <v>0</v>
      </c>
      <c r="AO305" s="1117">
        <f t="shared" ref="AO305:AO311" si="903">VLOOKUP($E305,AM$442:AP$453,3,FALSE)*AM305*($K305)+IF($G305&lt;&gt;0,($I305/$G305)*AM305,0)*(1-$K305)</f>
        <v>0</v>
      </c>
      <c r="AP305" s="1117">
        <f t="shared" ref="AP305:AP311" si="904">VLOOKUP($E305,AM$442:AP$453,4,FALSE)*AM305*($K305)+(AM305-AN305-AO305)*(1-$K305)</f>
        <v>0</v>
      </c>
      <c r="AQ305" s="1073"/>
      <c r="AU305" s="1116">
        <f>$G305</f>
        <v>0</v>
      </c>
      <c r="AV305" s="1117">
        <f t="shared" ref="AV305:AV311" si="905">VLOOKUP($E305,AU$442:AX$453,2,FALSE)*AU305*($K305)+IF($G305&lt;&gt;0,($H305/$G305)*AU305,0)*(1-$K305)</f>
        <v>0</v>
      </c>
      <c r="AW305" s="1117">
        <f t="shared" ref="AW305:AW311" si="906">VLOOKUP($E305,AU$442:AX$453,3,FALSE)*AU305*($K305)+IF($G305&lt;&gt;0,($I305/$G305)*AU305,0)*(1-$K305)</f>
        <v>0</v>
      </c>
      <c r="AX305" s="1117">
        <f t="shared" ref="AX305:AX311" si="907">VLOOKUP($E305,AU$442:AX$453,4,FALSE)*AU305*($K305)+(AU305-AV305-AW305)*(1-$K305)</f>
        <v>0</v>
      </c>
      <c r="AY305" s="1073"/>
      <c r="BC305" s="1116">
        <f>$G305</f>
        <v>0</v>
      </c>
      <c r="BD305" s="1117">
        <f t="shared" ref="BD305:BD311" si="908">VLOOKUP($E305,BC$442:BF$453,2,FALSE)*BC305*($K305)+IF($G305&lt;&gt;0,($H305/$G305)*BC305,0)*(1-$K305)</f>
        <v>0</v>
      </c>
      <c r="BE305" s="1117">
        <f t="shared" ref="BE305:BE311" si="909">VLOOKUP($E305,BC$442:BF$453,3,FALSE)*BC305*($K305)+IF($G305&lt;&gt;0,($I305/$G305)*BC305,0)*(1-$K305)</f>
        <v>0</v>
      </c>
      <c r="BF305" s="1117">
        <f t="shared" ref="BF305:BF311" si="910">VLOOKUP($E305,BC$442:BF$453,4,FALSE)*BC305*($K305)+(BC305-BD305-BE305)*(1-$K305)</f>
        <v>0</v>
      </c>
      <c r="BG305" s="1073"/>
      <c r="BK305" s="1116">
        <f>$G305</f>
        <v>0</v>
      </c>
      <c r="BL305" s="1117">
        <f t="shared" ref="BL305:BL311" si="911">VLOOKUP($E305,BK$442:BN$453,2,FALSE)*BK305*($K305)+IF($G305&lt;&gt;0,($H305/$G305)*BK305,0)*(1-$K305)</f>
        <v>0</v>
      </c>
      <c r="BM305" s="1117">
        <f t="shared" ref="BM305:BM311" si="912">VLOOKUP($E305,BK$442:BN$453,3,FALSE)*BK305*($K305)+IF($G305&lt;&gt;0,($I305/$G305)*BK305,0)*(1-$K305)</f>
        <v>0</v>
      </c>
      <c r="BN305" s="1117">
        <f t="shared" ref="BN305:BN311" si="913">VLOOKUP($E305,BK$442:BN$453,4,FALSE)*BK305*($K305)+(BK305-BL305-BM305)*(1-$K305)</f>
        <v>0</v>
      </c>
      <c r="BO305" s="1073"/>
      <c r="BS305" s="1116">
        <f>$G305</f>
        <v>0</v>
      </c>
      <c r="BT305" s="1117">
        <f t="shared" ref="BT305:BT311" si="914">VLOOKUP($E305,BS$442:BV$453,2,FALSE)*BS305*($K305)+IF($G305&lt;&gt;0,($H305/$G305)*BS305,0)*(1-$K305)</f>
        <v>0</v>
      </c>
      <c r="BU305" s="1117">
        <f t="shared" ref="BU305:BU311" si="915">VLOOKUP($E305,BS$442:BV$453,3,FALSE)*BS305*($K305)+IF($G305&lt;&gt;0,($I305/$G305)*BS305,0)*(1-$K305)</f>
        <v>0</v>
      </c>
      <c r="BV305" s="1117">
        <f t="shared" ref="BV305:BV311" si="916">VLOOKUP($E305,BS$442:BV$453,4,FALSE)*BS305*($K305)+(BS305-BT305-BU305)*(1-$K305)</f>
        <v>0</v>
      </c>
      <c r="BW305" s="1073"/>
      <c r="CA305" s="1116">
        <f>$G305</f>
        <v>0</v>
      </c>
      <c r="CB305" s="1117">
        <f t="shared" ref="CB305:CB311" si="917">VLOOKUP($E305,CA$442:CD$453,2,FALSE)*CA305*($K305)+IF($G305&lt;&gt;0,($H305/$G305)*CA305,0)*(1-$K305)</f>
        <v>0</v>
      </c>
      <c r="CC305" s="1117">
        <f t="shared" ref="CC305:CC311" si="918">VLOOKUP($E305,CA$442:CD$453,3,FALSE)*CA305*($K305)+IF($G305&lt;&gt;0,($I305/$G305)*CA305,0)*(1-$K305)</f>
        <v>0</v>
      </c>
      <c r="CD305" s="1117">
        <f t="shared" ref="CD305:CD311" si="919">VLOOKUP($E305,CA$442:CD$453,4,FALSE)*CA305*($K305)+(CA305-CB305-CC305)*(1-$K305)</f>
        <v>0</v>
      </c>
      <c r="CE305" s="1073"/>
      <c r="CI305" s="1116">
        <f>$G305</f>
        <v>0</v>
      </c>
      <c r="CJ305" s="1117">
        <f t="shared" ref="CJ305:CJ311" si="920">VLOOKUP($E305,CI$442:CL$453,2,FALSE)*CI305*($K305)+IF($G305&lt;&gt;0,($H305/$G305)*CI305,0)*(1-$K305)</f>
        <v>0</v>
      </c>
      <c r="CK305" s="1117">
        <f t="shared" ref="CK305:CK311" si="921">VLOOKUP($E305,CI$442:CL$453,3,FALSE)*CI305*($K305)+IF($G305&lt;&gt;0,($I305/$G305)*CI305,0)*(1-$K305)</f>
        <v>0</v>
      </c>
      <c r="CL305" s="1117">
        <f t="shared" ref="CL305:CL311" si="922">VLOOKUP($E305,CI$442:CL$453,4,FALSE)*CI305*($K305)+(CI305-CJ305-CK305)*(1-$K305)</f>
        <v>0</v>
      </c>
      <c r="CM305" s="1073"/>
      <c r="CQ305" s="1116">
        <f>$G305</f>
        <v>0</v>
      </c>
      <c r="CR305" s="1117">
        <f t="shared" ref="CR305:CR311" si="923">VLOOKUP($E305,CQ$442:CT$453,2,FALSE)*CQ305*($K305)+IF($G305&lt;&gt;0,($H305/$G305)*CQ305,0)*(1-$K305)</f>
        <v>0</v>
      </c>
      <c r="CS305" s="1117">
        <f t="shared" ref="CS305:CS311" si="924">VLOOKUP($E305,CQ$442:CT$453,3,FALSE)*CQ305*($K305)+IF($G305&lt;&gt;0,($I305/$G305)*CQ305,0)*(1-$K305)</f>
        <v>0</v>
      </c>
      <c r="CT305" s="1117">
        <f t="shared" ref="CT305:CT311" si="925">VLOOKUP($E305,CQ$442:CT$453,4,FALSE)*CQ305*($K305)+(CQ305-CR305-CS305)*(1-$K305)</f>
        <v>0</v>
      </c>
      <c r="CU305" s="1073"/>
      <c r="CY305" s="1116">
        <f>$G305</f>
        <v>0</v>
      </c>
      <c r="CZ305" s="1117">
        <f t="shared" ref="CZ305:CZ311" si="926">VLOOKUP($E305,CY$442:DB$453,2,FALSE)*CY305*($K305)+IF($G305&lt;&gt;0,($H305/$G305)*CY305,0)*(1-$K305)</f>
        <v>0</v>
      </c>
      <c r="DA305" s="1117">
        <f t="shared" ref="DA305:DA311" si="927">VLOOKUP($E305,CY$442:DB$453,3,FALSE)*CY305*($K305)+IF($G305&lt;&gt;0,($I305/$G305)*CY305,0)*(1-$K305)</f>
        <v>0</v>
      </c>
      <c r="DB305" s="1117">
        <f t="shared" ref="DB305:DB311" si="928">VLOOKUP($E305,CY$442:DB$453,4,FALSE)*CY305*($K305)+(CY305-CZ305-DA305)*(1-$K305)</f>
        <v>0</v>
      </c>
      <c r="DC305" s="1073"/>
      <c r="DG305" s="1116">
        <f>$G305</f>
        <v>0</v>
      </c>
      <c r="DH305" s="1117">
        <f t="shared" ref="DH305:DH311" si="929">VLOOKUP($E305,DG$442:DJ$453,2,FALSE)*DG305*($K305)+IF($G305&lt;&gt;0,($H305/$G305)*DG305,0)*(1-$K305)</f>
        <v>0</v>
      </c>
      <c r="DI305" s="1117">
        <f t="shared" ref="DI305:DI311" si="930">VLOOKUP($E305,DG$442:DJ$453,3,FALSE)*DG305*($K305)+IF($G305&lt;&gt;0,($I305/$G305)*DG305,0)*(1-$K305)</f>
        <v>0</v>
      </c>
      <c r="DJ305" s="1117">
        <f t="shared" ref="DJ305:DJ311" si="931">VLOOKUP($E305,DG$442:DJ$453,4,FALSE)*DG305*($K305)+(DG305-DH305-DI305)*(1-$K305)</f>
        <v>0</v>
      </c>
      <c r="DK305" s="1073"/>
      <c r="DO305" s="1116">
        <f>$G305</f>
        <v>0</v>
      </c>
      <c r="DP305" s="1117">
        <f t="shared" ref="DP305:DP311" si="932">VLOOKUP($E305,DO$442:DR$453,2,FALSE)*DO305*($K305)+IF($G305&lt;&gt;0,($H305/$G305)*DO305,0)*(1-$K305)</f>
        <v>0</v>
      </c>
      <c r="DQ305" s="1117">
        <f t="shared" ref="DQ305:DQ311" si="933">VLOOKUP($E305,DO$442:DR$453,3,FALSE)*DO305*($K305)+IF($G305&lt;&gt;0,($I305/$G305)*DO305,0)*(1-$K305)</f>
        <v>0</v>
      </c>
      <c r="DR305" s="1117">
        <f t="shared" ref="DR305:DR311" si="934">VLOOKUP($E305,DO$442:DR$453,4,FALSE)*DO305*($K305)+(DO305-DP305-DQ305)*(1-$K305)</f>
        <v>0</v>
      </c>
      <c r="DS305" s="1073"/>
      <c r="DW305" s="1116">
        <f>$G305</f>
        <v>0</v>
      </c>
      <c r="DX305" s="1117">
        <f t="shared" ref="DX305:DX311" si="935">VLOOKUP($E305,DW$442:DZ$453,2,FALSE)*DW305*($K305)+IF($G305&lt;&gt;0,($H305/$G305)*DW305,0)*(1-$K305)</f>
        <v>0</v>
      </c>
      <c r="DY305" s="1117">
        <f t="shared" ref="DY305:DY311" si="936">VLOOKUP($E305,DW$442:DZ$453,3,FALSE)*DW305*($K305)+IF($G305&lt;&gt;0,($I305/$G305)*DW305,0)*(1-$K305)</f>
        <v>0</v>
      </c>
      <c r="DZ305" s="1117">
        <f t="shared" ref="DZ305:DZ311" si="937">VLOOKUP($E305,DW$442:DZ$453,4,FALSE)*DW305*($K305)+(DW305-DX305-DY305)*(1-$K305)</f>
        <v>0</v>
      </c>
      <c r="EA305" s="1073"/>
      <c r="EE305" s="1116">
        <f>$G305</f>
        <v>0</v>
      </c>
      <c r="EF305" s="1117">
        <f t="shared" ref="EF305:EF311" si="938">VLOOKUP($E305,EE$442:EH$453,2,FALSE)*EE305*($K305)+IF($G305&lt;&gt;0,($H305/$G305)*EE305,0)*(1-$K305)</f>
        <v>0</v>
      </c>
      <c r="EG305" s="1117">
        <f t="shared" ref="EG305:EG311" si="939">VLOOKUP($E305,EE$442:EH$453,3,FALSE)*EE305*($K305)+IF($G305&lt;&gt;0,($I305/$G305)*EE305,0)*(1-$K305)</f>
        <v>0</v>
      </c>
      <c r="EH305" s="1117">
        <f t="shared" ref="EH305:EH311" si="940">VLOOKUP($E305,EE$442:EH$453,4,FALSE)*EE305*($K305)+(EE305-EF305-EG305)*(1-$K305)</f>
        <v>0</v>
      </c>
      <c r="EI305" s="1073"/>
      <c r="EM305" s="1116">
        <f>$G305</f>
        <v>0</v>
      </c>
      <c r="EN305" s="1117">
        <f t="shared" ref="EN305:EN311" si="941">VLOOKUP($E305,EM$442:EP$453,2,FALSE)*EM305*($K305)+IF($G305&lt;&gt;0,($H305/$G305)*EM305,0)*(1-$K305)</f>
        <v>0</v>
      </c>
      <c r="EO305" s="1117">
        <f t="shared" ref="EO305:EO311" si="942">VLOOKUP($E305,EM$442:EP$453,3,FALSE)*EM305*($K305)+IF($G305&lt;&gt;0,($I305/$G305)*EM305,0)*(1-$K305)</f>
        <v>0</v>
      </c>
      <c r="EP305" s="1117">
        <f t="shared" ref="EP305:EP311" si="943">VLOOKUP($E305,EM$442:EP$453,4,FALSE)*EM305*($K305)+(EM305-EN305-EO305)*(1-$K305)</f>
        <v>0</v>
      </c>
      <c r="EQ305" s="1073"/>
      <c r="EU305" s="1116">
        <f>$G305</f>
        <v>0</v>
      </c>
      <c r="EV305" s="1117">
        <f t="shared" ref="EV305:EV311" si="944">VLOOKUP($E305,EU$442:EX$453,2,FALSE)*EU305*($K305)+IF($G305&lt;&gt;0,($H305/$G305)*EU305,0)*(1-$K305)</f>
        <v>0</v>
      </c>
      <c r="EW305" s="1117">
        <f t="shared" ref="EW305:EW311" si="945">VLOOKUP($E305,EU$442:EX$453,3,FALSE)*EU305*($K305)+IF($G305&lt;&gt;0,($I305/$G305)*EU305,0)*(1-$K305)</f>
        <v>0</v>
      </c>
      <c r="EX305" s="1117">
        <f t="shared" ref="EX305:EX311" si="946">VLOOKUP($E305,EU$442:EX$453,4,FALSE)*EU305*($K305)+(EU305-EV305-EW305)*(1-$K305)</f>
        <v>0</v>
      </c>
      <c r="EY305" s="1073"/>
      <c r="FC305" s="1116">
        <f>$G305</f>
        <v>0</v>
      </c>
      <c r="FD305" s="1117">
        <f t="shared" ref="FD305:FD311" si="947">VLOOKUP($E305,FC$442:FF$453,2,FALSE)*FC305*($K305)+IF($G305&lt;&gt;0,($H305/$G305)*FC305,0)*(1-$K305)</f>
        <v>0</v>
      </c>
      <c r="FE305" s="1117">
        <f t="shared" ref="FE305:FE311" si="948">VLOOKUP($E305,FC$442:FF$453,3,FALSE)*FC305*($K305)+IF($G305&lt;&gt;0,($I305/$G305)*FC305,0)*(1-$K305)</f>
        <v>0</v>
      </c>
      <c r="FF305" s="1117">
        <f t="shared" ref="FF305:FF311" si="949">VLOOKUP($E305,FC$442:FF$453,4,FALSE)*FC305*($K305)+(FC305-FD305-FE305)*(1-$K305)</f>
        <v>0</v>
      </c>
      <c r="FG305" s="1073"/>
      <c r="FK305" s="1116">
        <f>$G305</f>
        <v>0</v>
      </c>
      <c r="FL305" s="1117">
        <f t="shared" ref="FL305:FL311" si="950">VLOOKUP($E305,FK$442:FN$453,2,FALSE)*FK305*($K305)+IF($G305&lt;&gt;0,($H305/$G305)*FK305,0)*(1-$K305)</f>
        <v>0</v>
      </c>
      <c r="FM305" s="1117">
        <f t="shared" ref="FM305:FM311" si="951">VLOOKUP($E305,FK$442:FN$453,3,FALSE)*FK305*($K305)+IF($G305&lt;&gt;0,($I305/$G305)*FK305,0)*(1-$K305)</f>
        <v>0</v>
      </c>
      <c r="FN305" s="1117">
        <f t="shared" ref="FN305:FN311" si="952">VLOOKUP($E305,FK$442:FN$453,4,FALSE)*FK305*($K305)+(FK305-FL305-FM305)*(1-$K305)</f>
        <v>0</v>
      </c>
      <c r="FO305" s="1073"/>
    </row>
    <row r="306" spans="1:171">
      <c r="A306" s="1423"/>
      <c r="B306" s="79" t="s">
        <v>550</v>
      </c>
      <c r="C306" s="888">
        <v>300</v>
      </c>
      <c r="D306" s="889" t="s">
        <v>44</v>
      </c>
      <c r="E306" s="182" t="str">
        <f>'Sch 3B - Other Items'!E30</f>
        <v>DIST</v>
      </c>
      <c r="F306" s="889"/>
      <c r="G306" s="182">
        <f>'Sch 3B - Other Items'!G30</f>
        <v>129396</v>
      </c>
      <c r="H306" s="182">
        <f>'Sch 3B - Other Items'!H30</f>
        <v>0</v>
      </c>
      <c r="I306" s="182">
        <f>'Sch 3B - Other Items'!I30</f>
        <v>0</v>
      </c>
      <c r="J306" s="1424">
        <f>'Sch 3B - Other Items'!J30</f>
        <v>129396</v>
      </c>
      <c r="K306" s="903">
        <f t="shared" si="892"/>
        <v>1</v>
      </c>
      <c r="O306" s="1116">
        <f>$G306</f>
        <v>129396</v>
      </c>
      <c r="P306" s="1117">
        <f t="shared" si="893"/>
        <v>0</v>
      </c>
      <c r="Q306" s="1117">
        <f t="shared" si="894"/>
        <v>0</v>
      </c>
      <c r="R306" s="1117">
        <f t="shared" si="895"/>
        <v>129396</v>
      </c>
      <c r="S306" s="1073"/>
      <c r="W306" s="1116">
        <f>$G306</f>
        <v>129396</v>
      </c>
      <c r="X306" s="1117">
        <f t="shared" si="896"/>
        <v>0</v>
      </c>
      <c r="Y306" s="1117">
        <f t="shared" si="897"/>
        <v>0</v>
      </c>
      <c r="Z306" s="1117">
        <f t="shared" si="898"/>
        <v>129396</v>
      </c>
      <c r="AA306" s="1073"/>
      <c r="AE306" s="1116">
        <f>$G306</f>
        <v>129396</v>
      </c>
      <c r="AF306" s="1117">
        <f t="shared" si="899"/>
        <v>0</v>
      </c>
      <c r="AG306" s="1117">
        <f t="shared" si="900"/>
        <v>0</v>
      </c>
      <c r="AH306" s="1117">
        <f t="shared" si="901"/>
        <v>129396</v>
      </c>
      <c r="AI306" s="1073"/>
      <c r="AM306" s="1116">
        <f>$G306</f>
        <v>129396</v>
      </c>
      <c r="AN306" s="1117">
        <f t="shared" si="902"/>
        <v>0</v>
      </c>
      <c r="AO306" s="1117">
        <f t="shared" si="903"/>
        <v>0</v>
      </c>
      <c r="AP306" s="1117">
        <f t="shared" si="904"/>
        <v>129396</v>
      </c>
      <c r="AQ306" s="1073"/>
      <c r="AU306" s="1116">
        <f>$G306</f>
        <v>129396</v>
      </c>
      <c r="AV306" s="1117">
        <f t="shared" si="905"/>
        <v>0</v>
      </c>
      <c r="AW306" s="1117">
        <f t="shared" si="906"/>
        <v>0</v>
      </c>
      <c r="AX306" s="1117">
        <f t="shared" si="907"/>
        <v>129396</v>
      </c>
      <c r="AY306" s="1073"/>
      <c r="BC306" s="1116">
        <f>$G306</f>
        <v>129396</v>
      </c>
      <c r="BD306" s="1117">
        <f t="shared" si="908"/>
        <v>0</v>
      </c>
      <c r="BE306" s="1117">
        <f t="shared" si="909"/>
        <v>0</v>
      </c>
      <c r="BF306" s="1117">
        <f t="shared" si="910"/>
        <v>129396</v>
      </c>
      <c r="BG306" s="1073"/>
      <c r="BK306" s="1116">
        <f>$G306</f>
        <v>129396</v>
      </c>
      <c r="BL306" s="1117">
        <f t="shared" si="911"/>
        <v>0</v>
      </c>
      <c r="BM306" s="1117">
        <f t="shared" si="912"/>
        <v>0</v>
      </c>
      <c r="BN306" s="1117">
        <f t="shared" si="913"/>
        <v>129396</v>
      </c>
      <c r="BO306" s="1073"/>
      <c r="BS306" s="1116">
        <f>$G306</f>
        <v>129396</v>
      </c>
      <c r="BT306" s="1117">
        <f t="shared" si="914"/>
        <v>0</v>
      </c>
      <c r="BU306" s="1117">
        <f t="shared" si="915"/>
        <v>0</v>
      </c>
      <c r="BV306" s="1117">
        <f t="shared" si="916"/>
        <v>129396</v>
      </c>
      <c r="BW306" s="1073"/>
      <c r="CA306" s="1116">
        <f>$G306</f>
        <v>129396</v>
      </c>
      <c r="CB306" s="1117">
        <f t="shared" si="917"/>
        <v>0</v>
      </c>
      <c r="CC306" s="1117">
        <f t="shared" si="918"/>
        <v>0</v>
      </c>
      <c r="CD306" s="1117">
        <f t="shared" si="919"/>
        <v>129396</v>
      </c>
      <c r="CE306" s="1073"/>
      <c r="CI306" s="1116">
        <f>$G306</f>
        <v>129396</v>
      </c>
      <c r="CJ306" s="1117">
        <f t="shared" si="920"/>
        <v>0</v>
      </c>
      <c r="CK306" s="1117">
        <f t="shared" si="921"/>
        <v>0</v>
      </c>
      <c r="CL306" s="1117">
        <f t="shared" si="922"/>
        <v>129396</v>
      </c>
      <c r="CM306" s="1073"/>
      <c r="CQ306" s="1116">
        <f>$G306</f>
        <v>129396</v>
      </c>
      <c r="CR306" s="1117">
        <f t="shared" si="923"/>
        <v>0</v>
      </c>
      <c r="CS306" s="1117">
        <f t="shared" si="924"/>
        <v>0</v>
      </c>
      <c r="CT306" s="1117">
        <f t="shared" si="925"/>
        <v>129396</v>
      </c>
      <c r="CU306" s="1073"/>
      <c r="CY306" s="1116">
        <f>$G306</f>
        <v>129396</v>
      </c>
      <c r="CZ306" s="1117">
        <f t="shared" si="926"/>
        <v>0</v>
      </c>
      <c r="DA306" s="1117">
        <f t="shared" si="927"/>
        <v>0</v>
      </c>
      <c r="DB306" s="1117">
        <f t="shared" si="928"/>
        <v>129396</v>
      </c>
      <c r="DC306" s="1073"/>
      <c r="DG306" s="1116">
        <f>$G306</f>
        <v>129396</v>
      </c>
      <c r="DH306" s="1117">
        <f t="shared" si="929"/>
        <v>0</v>
      </c>
      <c r="DI306" s="1117">
        <f t="shared" si="930"/>
        <v>0</v>
      </c>
      <c r="DJ306" s="1117">
        <f t="shared" si="931"/>
        <v>129396</v>
      </c>
      <c r="DK306" s="1073"/>
      <c r="DO306" s="1116">
        <f>$G306</f>
        <v>129396</v>
      </c>
      <c r="DP306" s="1117">
        <f t="shared" si="932"/>
        <v>0</v>
      </c>
      <c r="DQ306" s="1117">
        <f t="shared" si="933"/>
        <v>0</v>
      </c>
      <c r="DR306" s="1117">
        <f t="shared" si="934"/>
        <v>129396</v>
      </c>
      <c r="DS306" s="1073"/>
      <c r="DW306" s="1116">
        <f>$G306</f>
        <v>129396</v>
      </c>
      <c r="DX306" s="1117">
        <f t="shared" si="935"/>
        <v>0</v>
      </c>
      <c r="DY306" s="1117">
        <f t="shared" si="936"/>
        <v>0</v>
      </c>
      <c r="DZ306" s="1117">
        <f t="shared" si="937"/>
        <v>129396</v>
      </c>
      <c r="EA306" s="1073"/>
      <c r="EE306" s="1116">
        <f>$G306</f>
        <v>129396</v>
      </c>
      <c r="EF306" s="1117">
        <f t="shared" si="938"/>
        <v>0</v>
      </c>
      <c r="EG306" s="1117">
        <f t="shared" si="939"/>
        <v>0</v>
      </c>
      <c r="EH306" s="1117">
        <f t="shared" si="940"/>
        <v>129396</v>
      </c>
      <c r="EI306" s="1073"/>
      <c r="EM306" s="1116">
        <f>$G306</f>
        <v>129396</v>
      </c>
      <c r="EN306" s="1117">
        <f t="shared" si="941"/>
        <v>0</v>
      </c>
      <c r="EO306" s="1117">
        <f t="shared" si="942"/>
        <v>0</v>
      </c>
      <c r="EP306" s="1117">
        <f t="shared" si="943"/>
        <v>129396</v>
      </c>
      <c r="EQ306" s="1073"/>
      <c r="EU306" s="1116">
        <f>$G306</f>
        <v>129396</v>
      </c>
      <c r="EV306" s="1117">
        <f t="shared" si="944"/>
        <v>0</v>
      </c>
      <c r="EW306" s="1117">
        <f t="shared" si="945"/>
        <v>0</v>
      </c>
      <c r="EX306" s="1117">
        <f t="shared" si="946"/>
        <v>129396</v>
      </c>
      <c r="EY306" s="1073"/>
      <c r="FC306" s="1116">
        <f>$G306</f>
        <v>129396</v>
      </c>
      <c r="FD306" s="1117">
        <f t="shared" si="947"/>
        <v>0</v>
      </c>
      <c r="FE306" s="1117">
        <f t="shared" si="948"/>
        <v>0</v>
      </c>
      <c r="FF306" s="1117">
        <f t="shared" si="949"/>
        <v>129396</v>
      </c>
      <c r="FG306" s="1073"/>
      <c r="FK306" s="1116">
        <f>$G306</f>
        <v>129396</v>
      </c>
      <c r="FL306" s="1117">
        <f t="shared" si="950"/>
        <v>0</v>
      </c>
      <c r="FM306" s="1117">
        <f t="shared" si="951"/>
        <v>0</v>
      </c>
      <c r="FN306" s="1117">
        <f t="shared" si="952"/>
        <v>129396</v>
      </c>
      <c r="FO306" s="1073"/>
    </row>
    <row r="307" spans="1:171">
      <c r="A307" s="1423"/>
      <c r="B307" s="79" t="s">
        <v>549</v>
      </c>
      <c r="C307" s="888">
        <v>300</v>
      </c>
      <c r="D307" s="889" t="s">
        <v>45</v>
      </c>
      <c r="E307" s="182" t="str">
        <f>'Sch 3B - Other Items'!E31</f>
        <v>PROD</v>
      </c>
      <c r="F307" s="889"/>
      <c r="G307" s="182">
        <f>'Sch 3B - Other Items'!G31</f>
        <v>688332</v>
      </c>
      <c r="H307" s="182">
        <f>'Sch 3B - Other Items'!H31</f>
        <v>688332</v>
      </c>
      <c r="I307" s="182">
        <f>'Sch 3B - Other Items'!I31</f>
        <v>0</v>
      </c>
      <c r="J307" s="1424">
        <f>'Sch 3B - Other Items'!J31</f>
        <v>0</v>
      </c>
      <c r="K307" s="903">
        <f t="shared" si="892"/>
        <v>1</v>
      </c>
      <c r="O307" s="1116">
        <f>$G307</f>
        <v>688332</v>
      </c>
      <c r="P307" s="1117">
        <f t="shared" si="893"/>
        <v>688332</v>
      </c>
      <c r="Q307" s="1117">
        <f t="shared" si="894"/>
        <v>0</v>
      </c>
      <c r="R307" s="1117">
        <f t="shared" si="895"/>
        <v>0</v>
      </c>
      <c r="S307" s="1073"/>
      <c r="W307" s="1116">
        <f>$G307</f>
        <v>688332</v>
      </c>
      <c r="X307" s="1117">
        <f t="shared" si="896"/>
        <v>688332</v>
      </c>
      <c r="Y307" s="1117">
        <f t="shared" si="897"/>
        <v>0</v>
      </c>
      <c r="Z307" s="1117">
        <f t="shared" si="898"/>
        <v>0</v>
      </c>
      <c r="AA307" s="1073"/>
      <c r="AE307" s="1116">
        <f>$G307</f>
        <v>688332</v>
      </c>
      <c r="AF307" s="1117">
        <f t="shared" si="899"/>
        <v>688332</v>
      </c>
      <c r="AG307" s="1117">
        <f t="shared" si="900"/>
        <v>0</v>
      </c>
      <c r="AH307" s="1117">
        <f t="shared" si="901"/>
        <v>0</v>
      </c>
      <c r="AI307" s="1073"/>
      <c r="AM307" s="1116">
        <f>$G307</f>
        <v>688332</v>
      </c>
      <c r="AN307" s="1117">
        <f t="shared" si="902"/>
        <v>688332</v>
      </c>
      <c r="AO307" s="1117">
        <f t="shared" si="903"/>
        <v>0</v>
      </c>
      <c r="AP307" s="1117">
        <f t="shared" si="904"/>
        <v>0</v>
      </c>
      <c r="AQ307" s="1073"/>
      <c r="AU307" s="1116">
        <f>$G307</f>
        <v>688332</v>
      </c>
      <c r="AV307" s="1117">
        <f t="shared" si="905"/>
        <v>688332</v>
      </c>
      <c r="AW307" s="1117">
        <f t="shared" si="906"/>
        <v>0</v>
      </c>
      <c r="AX307" s="1117">
        <f t="shared" si="907"/>
        <v>0</v>
      </c>
      <c r="AY307" s="1073"/>
      <c r="BC307" s="1116">
        <f>$G307</f>
        <v>688332</v>
      </c>
      <c r="BD307" s="1117">
        <f t="shared" si="908"/>
        <v>688332</v>
      </c>
      <c r="BE307" s="1117">
        <f t="shared" si="909"/>
        <v>0</v>
      </c>
      <c r="BF307" s="1117">
        <f t="shared" si="910"/>
        <v>0</v>
      </c>
      <c r="BG307" s="1073"/>
      <c r="BK307" s="1116">
        <f>$G307</f>
        <v>688332</v>
      </c>
      <c r="BL307" s="1117">
        <f t="shared" si="911"/>
        <v>688332</v>
      </c>
      <c r="BM307" s="1117">
        <f t="shared" si="912"/>
        <v>0</v>
      </c>
      <c r="BN307" s="1117">
        <f t="shared" si="913"/>
        <v>0</v>
      </c>
      <c r="BO307" s="1073"/>
      <c r="BS307" s="1116">
        <f>$G307</f>
        <v>688332</v>
      </c>
      <c r="BT307" s="1117">
        <f t="shared" si="914"/>
        <v>688332</v>
      </c>
      <c r="BU307" s="1117">
        <f t="shared" si="915"/>
        <v>0</v>
      </c>
      <c r="BV307" s="1117">
        <f t="shared" si="916"/>
        <v>0</v>
      </c>
      <c r="BW307" s="1073"/>
      <c r="CA307" s="1116">
        <f>$G307</f>
        <v>688332</v>
      </c>
      <c r="CB307" s="1117">
        <f t="shared" si="917"/>
        <v>688332</v>
      </c>
      <c r="CC307" s="1117">
        <f t="shared" si="918"/>
        <v>0</v>
      </c>
      <c r="CD307" s="1117">
        <f t="shared" si="919"/>
        <v>0</v>
      </c>
      <c r="CE307" s="1073"/>
      <c r="CI307" s="1116">
        <f>$G307</f>
        <v>688332</v>
      </c>
      <c r="CJ307" s="1117">
        <f t="shared" si="920"/>
        <v>688332</v>
      </c>
      <c r="CK307" s="1117">
        <f t="shared" si="921"/>
        <v>0</v>
      </c>
      <c r="CL307" s="1117">
        <f t="shared" si="922"/>
        <v>0</v>
      </c>
      <c r="CM307" s="1073"/>
      <c r="CQ307" s="1116">
        <f>$G307</f>
        <v>688332</v>
      </c>
      <c r="CR307" s="1117">
        <f t="shared" si="923"/>
        <v>688332</v>
      </c>
      <c r="CS307" s="1117">
        <f t="shared" si="924"/>
        <v>0</v>
      </c>
      <c r="CT307" s="1117">
        <f t="shared" si="925"/>
        <v>0</v>
      </c>
      <c r="CU307" s="1073"/>
      <c r="CY307" s="1116">
        <f>$G307</f>
        <v>688332</v>
      </c>
      <c r="CZ307" s="1117">
        <f t="shared" si="926"/>
        <v>688332</v>
      </c>
      <c r="DA307" s="1117">
        <f t="shared" si="927"/>
        <v>0</v>
      </c>
      <c r="DB307" s="1117">
        <f t="shared" si="928"/>
        <v>0</v>
      </c>
      <c r="DC307" s="1073"/>
      <c r="DG307" s="1116">
        <f>$G307</f>
        <v>688332</v>
      </c>
      <c r="DH307" s="1117">
        <f t="shared" si="929"/>
        <v>688332</v>
      </c>
      <c r="DI307" s="1117">
        <f t="shared" si="930"/>
        <v>0</v>
      </c>
      <c r="DJ307" s="1117">
        <f t="shared" si="931"/>
        <v>0</v>
      </c>
      <c r="DK307" s="1073"/>
      <c r="DO307" s="1116">
        <f>$G307</f>
        <v>688332</v>
      </c>
      <c r="DP307" s="1117">
        <f t="shared" si="932"/>
        <v>688332</v>
      </c>
      <c r="DQ307" s="1117">
        <f t="shared" si="933"/>
        <v>0</v>
      </c>
      <c r="DR307" s="1117">
        <f t="shared" si="934"/>
        <v>0</v>
      </c>
      <c r="DS307" s="1073"/>
      <c r="DW307" s="1116">
        <f>$G307</f>
        <v>688332</v>
      </c>
      <c r="DX307" s="1117">
        <f t="shared" si="935"/>
        <v>688332</v>
      </c>
      <c r="DY307" s="1117">
        <f t="shared" si="936"/>
        <v>0</v>
      </c>
      <c r="DZ307" s="1117">
        <f t="shared" si="937"/>
        <v>0</v>
      </c>
      <c r="EA307" s="1073"/>
      <c r="EE307" s="1116">
        <f>$G307</f>
        <v>688332</v>
      </c>
      <c r="EF307" s="1117">
        <f t="shared" si="938"/>
        <v>688332</v>
      </c>
      <c r="EG307" s="1117">
        <f t="shared" si="939"/>
        <v>0</v>
      </c>
      <c r="EH307" s="1117">
        <f t="shared" si="940"/>
        <v>0</v>
      </c>
      <c r="EI307" s="1073"/>
      <c r="EM307" s="1116">
        <f>$G307</f>
        <v>688332</v>
      </c>
      <c r="EN307" s="1117">
        <f t="shared" si="941"/>
        <v>688332</v>
      </c>
      <c r="EO307" s="1117">
        <f t="shared" si="942"/>
        <v>0</v>
      </c>
      <c r="EP307" s="1117">
        <f t="shared" si="943"/>
        <v>0</v>
      </c>
      <c r="EQ307" s="1073"/>
      <c r="EU307" s="1116">
        <f>$G307</f>
        <v>688332</v>
      </c>
      <c r="EV307" s="1117">
        <f t="shared" si="944"/>
        <v>688332</v>
      </c>
      <c r="EW307" s="1117">
        <f t="shared" si="945"/>
        <v>0</v>
      </c>
      <c r="EX307" s="1117">
        <f t="shared" si="946"/>
        <v>0</v>
      </c>
      <c r="EY307" s="1073"/>
      <c r="FC307" s="1116">
        <f>$G307</f>
        <v>688332</v>
      </c>
      <c r="FD307" s="1117">
        <f t="shared" si="947"/>
        <v>688332</v>
      </c>
      <c r="FE307" s="1117">
        <f t="shared" si="948"/>
        <v>0</v>
      </c>
      <c r="FF307" s="1117">
        <f t="shared" si="949"/>
        <v>0</v>
      </c>
      <c r="FG307" s="1073"/>
      <c r="FK307" s="1116">
        <f>$G307</f>
        <v>688332</v>
      </c>
      <c r="FL307" s="1117">
        <f t="shared" si="950"/>
        <v>688332</v>
      </c>
      <c r="FM307" s="1117">
        <f t="shared" si="951"/>
        <v>0</v>
      </c>
      <c r="FN307" s="1117">
        <f t="shared" si="952"/>
        <v>0</v>
      </c>
      <c r="FO307" s="1073"/>
    </row>
    <row r="308" spans="1:171">
      <c r="A308" s="1423"/>
      <c r="B308" s="79" t="s">
        <v>548</v>
      </c>
      <c r="C308" s="888">
        <v>300</v>
      </c>
      <c r="D308" s="889" t="s">
        <v>46</v>
      </c>
      <c r="E308" s="182" t="str">
        <f>'Sch 3B - Other Items'!E32</f>
        <v>TD</v>
      </c>
      <c r="F308" s="889"/>
      <c r="G308" s="182">
        <f>'Sch 3B - Other Items'!G32</f>
        <v>7542853</v>
      </c>
      <c r="H308" s="182">
        <f>'Sch 3B - Other Items'!H32</f>
        <v>0</v>
      </c>
      <c r="I308" s="182">
        <f>'Sch 3B - Other Items'!I32</f>
        <v>0</v>
      </c>
      <c r="J308" s="1424">
        <f>'Sch 3B - Other Items'!J32</f>
        <v>7542853</v>
      </c>
      <c r="K308" s="903">
        <f t="shared" si="892"/>
        <v>1</v>
      </c>
      <c r="O308" s="1116">
        <f>$G308</f>
        <v>7542853</v>
      </c>
      <c r="P308" s="1117">
        <f t="shared" si="893"/>
        <v>0</v>
      </c>
      <c r="Q308" s="1117">
        <f t="shared" si="894"/>
        <v>2302499.2819598946</v>
      </c>
      <c r="R308" s="1117">
        <f t="shared" si="895"/>
        <v>5240353.718040105</v>
      </c>
      <c r="S308" s="1073"/>
      <c r="W308" s="1116">
        <f>$G308</f>
        <v>7542853</v>
      </c>
      <c r="X308" s="1117">
        <f t="shared" si="896"/>
        <v>0</v>
      </c>
      <c r="Y308" s="1117">
        <f t="shared" si="897"/>
        <v>2302499.2819598946</v>
      </c>
      <c r="Z308" s="1117">
        <f t="shared" si="898"/>
        <v>5240353.718040105</v>
      </c>
      <c r="AA308" s="1073"/>
      <c r="AE308" s="1116">
        <f>$G308</f>
        <v>7542853</v>
      </c>
      <c r="AF308" s="1117">
        <f t="shared" si="899"/>
        <v>0</v>
      </c>
      <c r="AG308" s="1117">
        <f t="shared" si="900"/>
        <v>2302499.2819598946</v>
      </c>
      <c r="AH308" s="1117">
        <f t="shared" si="901"/>
        <v>5240353.718040105</v>
      </c>
      <c r="AI308" s="1073"/>
      <c r="AM308" s="1116">
        <f>$G308</f>
        <v>7542853</v>
      </c>
      <c r="AN308" s="1117">
        <f t="shared" si="902"/>
        <v>0</v>
      </c>
      <c r="AO308" s="1117">
        <f t="shared" si="903"/>
        <v>2302499.2819598946</v>
      </c>
      <c r="AP308" s="1117">
        <f t="shared" si="904"/>
        <v>5240353.718040105</v>
      </c>
      <c r="AQ308" s="1073"/>
      <c r="AU308" s="1116">
        <f>$G308</f>
        <v>7542853</v>
      </c>
      <c r="AV308" s="1117">
        <f t="shared" si="905"/>
        <v>0</v>
      </c>
      <c r="AW308" s="1117">
        <f t="shared" si="906"/>
        <v>2302499.2819598946</v>
      </c>
      <c r="AX308" s="1117">
        <f t="shared" si="907"/>
        <v>5240353.718040105</v>
      </c>
      <c r="AY308" s="1073"/>
      <c r="BC308" s="1116">
        <f>$G308</f>
        <v>7542853</v>
      </c>
      <c r="BD308" s="1117">
        <f t="shared" si="908"/>
        <v>0</v>
      </c>
      <c r="BE308" s="1117">
        <f t="shared" si="909"/>
        <v>2302499.2819598946</v>
      </c>
      <c r="BF308" s="1117">
        <f t="shared" si="910"/>
        <v>5240353.718040105</v>
      </c>
      <c r="BG308" s="1073"/>
      <c r="BK308" s="1116">
        <f>$G308</f>
        <v>7542853</v>
      </c>
      <c r="BL308" s="1117">
        <f t="shared" si="911"/>
        <v>0</v>
      </c>
      <c r="BM308" s="1117">
        <f t="shared" si="912"/>
        <v>2302499.2819598946</v>
      </c>
      <c r="BN308" s="1117">
        <f t="shared" si="913"/>
        <v>5240353.718040105</v>
      </c>
      <c r="BO308" s="1073"/>
      <c r="BS308" s="1116">
        <f>$G308</f>
        <v>7542853</v>
      </c>
      <c r="BT308" s="1117">
        <f t="shared" si="914"/>
        <v>0</v>
      </c>
      <c r="BU308" s="1117">
        <f t="shared" si="915"/>
        <v>2302499.2819598946</v>
      </c>
      <c r="BV308" s="1117">
        <f t="shared" si="916"/>
        <v>5240353.718040105</v>
      </c>
      <c r="BW308" s="1073"/>
      <c r="CA308" s="1116">
        <f>$G308</f>
        <v>7542853</v>
      </c>
      <c r="CB308" s="1117">
        <f t="shared" si="917"/>
        <v>0</v>
      </c>
      <c r="CC308" s="1117">
        <f t="shared" si="918"/>
        <v>2302499.2819598946</v>
      </c>
      <c r="CD308" s="1117">
        <f t="shared" si="919"/>
        <v>5240353.718040105</v>
      </c>
      <c r="CE308" s="1073"/>
      <c r="CI308" s="1116">
        <f>$G308</f>
        <v>7542853</v>
      </c>
      <c r="CJ308" s="1117">
        <f t="shared" si="920"/>
        <v>0</v>
      </c>
      <c r="CK308" s="1117">
        <f t="shared" si="921"/>
        <v>2302499.2819598946</v>
      </c>
      <c r="CL308" s="1117">
        <f t="shared" si="922"/>
        <v>5240353.718040105</v>
      </c>
      <c r="CM308" s="1073"/>
      <c r="CQ308" s="1116">
        <f>$G308</f>
        <v>7542853</v>
      </c>
      <c r="CR308" s="1117">
        <f t="shared" si="923"/>
        <v>0</v>
      </c>
      <c r="CS308" s="1117">
        <f t="shared" si="924"/>
        <v>2302499.2819598946</v>
      </c>
      <c r="CT308" s="1117">
        <f t="shared" si="925"/>
        <v>5240353.718040105</v>
      </c>
      <c r="CU308" s="1073"/>
      <c r="CY308" s="1116">
        <f>$G308</f>
        <v>7542853</v>
      </c>
      <c r="CZ308" s="1117">
        <f t="shared" si="926"/>
        <v>0</v>
      </c>
      <c r="DA308" s="1117">
        <f t="shared" si="927"/>
        <v>2302499.2819598946</v>
      </c>
      <c r="DB308" s="1117">
        <f t="shared" si="928"/>
        <v>5240353.718040105</v>
      </c>
      <c r="DC308" s="1073"/>
      <c r="DG308" s="1116">
        <f>$G308</f>
        <v>7542853</v>
      </c>
      <c r="DH308" s="1117">
        <f t="shared" si="929"/>
        <v>0</v>
      </c>
      <c r="DI308" s="1117">
        <f t="shared" si="930"/>
        <v>2302499.2819598946</v>
      </c>
      <c r="DJ308" s="1117">
        <f t="shared" si="931"/>
        <v>5240353.718040105</v>
      </c>
      <c r="DK308" s="1073"/>
      <c r="DO308" s="1116">
        <f>$G308</f>
        <v>7542853</v>
      </c>
      <c r="DP308" s="1117">
        <f t="shared" si="932"/>
        <v>0</v>
      </c>
      <c r="DQ308" s="1117">
        <f t="shared" si="933"/>
        <v>2302499.2819598946</v>
      </c>
      <c r="DR308" s="1117">
        <f t="shared" si="934"/>
        <v>5240353.718040105</v>
      </c>
      <c r="DS308" s="1073"/>
      <c r="DW308" s="1116">
        <f>$G308</f>
        <v>7542853</v>
      </c>
      <c r="DX308" s="1117">
        <f t="shared" si="935"/>
        <v>0</v>
      </c>
      <c r="DY308" s="1117">
        <f t="shared" si="936"/>
        <v>2302499.2819598946</v>
      </c>
      <c r="DZ308" s="1117">
        <f t="shared" si="937"/>
        <v>5240353.718040105</v>
      </c>
      <c r="EA308" s="1073"/>
      <c r="EE308" s="1116">
        <f>$G308</f>
        <v>7542853</v>
      </c>
      <c r="EF308" s="1117">
        <f t="shared" si="938"/>
        <v>0</v>
      </c>
      <c r="EG308" s="1117">
        <f t="shared" si="939"/>
        <v>2302499.2819598946</v>
      </c>
      <c r="EH308" s="1117">
        <f t="shared" si="940"/>
        <v>5240353.718040105</v>
      </c>
      <c r="EI308" s="1073"/>
      <c r="EM308" s="1116">
        <f>$G308</f>
        <v>7542853</v>
      </c>
      <c r="EN308" s="1117">
        <f t="shared" si="941"/>
        <v>0</v>
      </c>
      <c r="EO308" s="1117">
        <f t="shared" si="942"/>
        <v>2302499.2819598946</v>
      </c>
      <c r="EP308" s="1117">
        <f t="shared" si="943"/>
        <v>5240353.718040105</v>
      </c>
      <c r="EQ308" s="1073"/>
      <c r="EU308" s="1116">
        <f>$G308</f>
        <v>7542853</v>
      </c>
      <c r="EV308" s="1117">
        <f t="shared" si="944"/>
        <v>0</v>
      </c>
      <c r="EW308" s="1117">
        <f t="shared" si="945"/>
        <v>2302499.2819598946</v>
      </c>
      <c r="EX308" s="1117">
        <f t="shared" si="946"/>
        <v>5240353.718040105</v>
      </c>
      <c r="EY308" s="1073"/>
      <c r="FC308" s="1116">
        <f>$G308</f>
        <v>7542853</v>
      </c>
      <c r="FD308" s="1117">
        <f t="shared" si="947"/>
        <v>0</v>
      </c>
      <c r="FE308" s="1117">
        <f t="shared" si="948"/>
        <v>2302499.2819598946</v>
      </c>
      <c r="FF308" s="1117">
        <f t="shared" si="949"/>
        <v>5240353.718040105</v>
      </c>
      <c r="FG308" s="1073"/>
      <c r="FK308" s="1116">
        <f>$G308</f>
        <v>7542853</v>
      </c>
      <c r="FL308" s="1117">
        <f t="shared" si="950"/>
        <v>0</v>
      </c>
      <c r="FM308" s="1117">
        <f t="shared" si="951"/>
        <v>2302499.2819598946</v>
      </c>
      <c r="FN308" s="1117">
        <f t="shared" si="952"/>
        <v>5240353.718040105</v>
      </c>
      <c r="FO308" s="1073"/>
    </row>
    <row r="309" spans="1:171">
      <c r="A309" s="1423"/>
      <c r="B309" s="79" t="s">
        <v>329</v>
      </c>
      <c r="C309" s="888">
        <v>300</v>
      </c>
      <c r="D309" s="889">
        <v>455</v>
      </c>
      <c r="E309" s="182" t="str">
        <f>'Sch 3B - Other Items'!E33</f>
        <v>DIST</v>
      </c>
      <c r="F309" s="889"/>
      <c r="G309" s="182">
        <f>'Sch 3B - Other Items'!G33</f>
        <v>0</v>
      </c>
      <c r="H309" s="182">
        <f>'Sch 3B - Other Items'!H33</f>
        <v>0</v>
      </c>
      <c r="I309" s="182">
        <f>'Sch 3B - Other Items'!I33</f>
        <v>0</v>
      </c>
      <c r="J309" s="1424">
        <f>'Sch 3B - Other Items'!J33</f>
        <v>0</v>
      </c>
      <c r="K309" s="903">
        <f t="shared" si="892"/>
        <v>1</v>
      </c>
      <c r="O309" s="1116">
        <f>$G309</f>
        <v>0</v>
      </c>
      <c r="P309" s="1117">
        <f t="shared" si="893"/>
        <v>0</v>
      </c>
      <c r="Q309" s="1117">
        <f t="shared" si="894"/>
        <v>0</v>
      </c>
      <c r="R309" s="1117">
        <f t="shared" si="895"/>
        <v>0</v>
      </c>
      <c r="S309" s="1073"/>
      <c r="W309" s="1116">
        <f>$G309</f>
        <v>0</v>
      </c>
      <c r="X309" s="1117">
        <f t="shared" si="896"/>
        <v>0</v>
      </c>
      <c r="Y309" s="1117">
        <f t="shared" si="897"/>
        <v>0</v>
      </c>
      <c r="Z309" s="1117">
        <f t="shared" si="898"/>
        <v>0</v>
      </c>
      <c r="AA309" s="1073"/>
      <c r="AE309" s="1116">
        <f>$G309</f>
        <v>0</v>
      </c>
      <c r="AF309" s="1117">
        <f t="shared" si="899"/>
        <v>0</v>
      </c>
      <c r="AG309" s="1117">
        <f t="shared" si="900"/>
        <v>0</v>
      </c>
      <c r="AH309" s="1117">
        <f t="shared" si="901"/>
        <v>0</v>
      </c>
      <c r="AI309" s="1073"/>
      <c r="AM309" s="1116">
        <f>$G309</f>
        <v>0</v>
      </c>
      <c r="AN309" s="1117">
        <f t="shared" si="902"/>
        <v>0</v>
      </c>
      <c r="AO309" s="1117">
        <f t="shared" si="903"/>
        <v>0</v>
      </c>
      <c r="AP309" s="1117">
        <f t="shared" si="904"/>
        <v>0</v>
      </c>
      <c r="AQ309" s="1073"/>
      <c r="AU309" s="1116">
        <f>$G309</f>
        <v>0</v>
      </c>
      <c r="AV309" s="1117">
        <f t="shared" si="905"/>
        <v>0</v>
      </c>
      <c r="AW309" s="1117">
        <f t="shared" si="906"/>
        <v>0</v>
      </c>
      <c r="AX309" s="1117">
        <f t="shared" si="907"/>
        <v>0</v>
      </c>
      <c r="AY309" s="1073"/>
      <c r="BC309" s="1116">
        <f>$G309</f>
        <v>0</v>
      </c>
      <c r="BD309" s="1117">
        <f t="shared" si="908"/>
        <v>0</v>
      </c>
      <c r="BE309" s="1117">
        <f t="shared" si="909"/>
        <v>0</v>
      </c>
      <c r="BF309" s="1117">
        <f t="shared" si="910"/>
        <v>0</v>
      </c>
      <c r="BG309" s="1073"/>
      <c r="BK309" s="1116">
        <f>$G309</f>
        <v>0</v>
      </c>
      <c r="BL309" s="1117">
        <f t="shared" si="911"/>
        <v>0</v>
      </c>
      <c r="BM309" s="1117">
        <f t="shared" si="912"/>
        <v>0</v>
      </c>
      <c r="BN309" s="1117">
        <f t="shared" si="913"/>
        <v>0</v>
      </c>
      <c r="BO309" s="1073"/>
      <c r="BS309" s="1116">
        <f>$G309</f>
        <v>0</v>
      </c>
      <c r="BT309" s="1117">
        <f t="shared" si="914"/>
        <v>0</v>
      </c>
      <c r="BU309" s="1117">
        <f t="shared" si="915"/>
        <v>0</v>
      </c>
      <c r="BV309" s="1117">
        <f t="shared" si="916"/>
        <v>0</v>
      </c>
      <c r="BW309" s="1073"/>
      <c r="CA309" s="1116">
        <f>$G309</f>
        <v>0</v>
      </c>
      <c r="CB309" s="1117">
        <f t="shared" si="917"/>
        <v>0</v>
      </c>
      <c r="CC309" s="1117">
        <f t="shared" si="918"/>
        <v>0</v>
      </c>
      <c r="CD309" s="1117">
        <f t="shared" si="919"/>
        <v>0</v>
      </c>
      <c r="CE309" s="1073"/>
      <c r="CI309" s="1116">
        <f>$G309</f>
        <v>0</v>
      </c>
      <c r="CJ309" s="1117">
        <f t="shared" si="920"/>
        <v>0</v>
      </c>
      <c r="CK309" s="1117">
        <f t="shared" si="921"/>
        <v>0</v>
      </c>
      <c r="CL309" s="1117">
        <f t="shared" si="922"/>
        <v>0</v>
      </c>
      <c r="CM309" s="1073"/>
      <c r="CQ309" s="1116">
        <f>$G309</f>
        <v>0</v>
      </c>
      <c r="CR309" s="1117">
        <f t="shared" si="923"/>
        <v>0</v>
      </c>
      <c r="CS309" s="1117">
        <f t="shared" si="924"/>
        <v>0</v>
      </c>
      <c r="CT309" s="1117">
        <f t="shared" si="925"/>
        <v>0</v>
      </c>
      <c r="CU309" s="1073"/>
      <c r="CY309" s="1116">
        <f>$G309</f>
        <v>0</v>
      </c>
      <c r="CZ309" s="1117">
        <f t="shared" si="926"/>
        <v>0</v>
      </c>
      <c r="DA309" s="1117">
        <f t="shared" si="927"/>
        <v>0</v>
      </c>
      <c r="DB309" s="1117">
        <f t="shared" si="928"/>
        <v>0</v>
      </c>
      <c r="DC309" s="1073"/>
      <c r="DG309" s="1116">
        <f>$G309</f>
        <v>0</v>
      </c>
      <c r="DH309" s="1117">
        <f t="shared" si="929"/>
        <v>0</v>
      </c>
      <c r="DI309" s="1117">
        <f t="shared" si="930"/>
        <v>0</v>
      </c>
      <c r="DJ309" s="1117">
        <f t="shared" si="931"/>
        <v>0</v>
      </c>
      <c r="DK309" s="1073"/>
      <c r="DO309" s="1116">
        <f>$G309</f>
        <v>0</v>
      </c>
      <c r="DP309" s="1117">
        <f t="shared" si="932"/>
        <v>0</v>
      </c>
      <c r="DQ309" s="1117">
        <f t="shared" si="933"/>
        <v>0</v>
      </c>
      <c r="DR309" s="1117">
        <f t="shared" si="934"/>
        <v>0</v>
      </c>
      <c r="DS309" s="1073"/>
      <c r="DW309" s="1116">
        <f>$G309</f>
        <v>0</v>
      </c>
      <c r="DX309" s="1117">
        <f t="shared" si="935"/>
        <v>0</v>
      </c>
      <c r="DY309" s="1117">
        <f t="shared" si="936"/>
        <v>0</v>
      </c>
      <c r="DZ309" s="1117">
        <f t="shared" si="937"/>
        <v>0</v>
      </c>
      <c r="EA309" s="1073"/>
      <c r="EE309" s="1116">
        <f>$G309</f>
        <v>0</v>
      </c>
      <c r="EF309" s="1117">
        <f t="shared" si="938"/>
        <v>0</v>
      </c>
      <c r="EG309" s="1117">
        <f t="shared" si="939"/>
        <v>0</v>
      </c>
      <c r="EH309" s="1117">
        <f t="shared" si="940"/>
        <v>0</v>
      </c>
      <c r="EI309" s="1073"/>
      <c r="EM309" s="1116">
        <f>$G309</f>
        <v>0</v>
      </c>
      <c r="EN309" s="1117">
        <f t="shared" si="941"/>
        <v>0</v>
      </c>
      <c r="EO309" s="1117">
        <f t="shared" si="942"/>
        <v>0</v>
      </c>
      <c r="EP309" s="1117">
        <f t="shared" si="943"/>
        <v>0</v>
      </c>
      <c r="EQ309" s="1073"/>
      <c r="EU309" s="1116">
        <f>$G309</f>
        <v>0</v>
      </c>
      <c r="EV309" s="1117">
        <f t="shared" si="944"/>
        <v>0</v>
      </c>
      <c r="EW309" s="1117">
        <f t="shared" si="945"/>
        <v>0</v>
      </c>
      <c r="EX309" s="1117">
        <f t="shared" si="946"/>
        <v>0</v>
      </c>
      <c r="EY309" s="1073"/>
      <c r="FC309" s="1116">
        <f>$G309</f>
        <v>0</v>
      </c>
      <c r="FD309" s="1117">
        <f t="shared" si="947"/>
        <v>0</v>
      </c>
      <c r="FE309" s="1117">
        <f t="shared" si="948"/>
        <v>0</v>
      </c>
      <c r="FF309" s="1117">
        <f t="shared" si="949"/>
        <v>0</v>
      </c>
      <c r="FG309" s="1073"/>
      <c r="FK309" s="1116">
        <f>$G309</f>
        <v>0</v>
      </c>
      <c r="FL309" s="1117">
        <f t="shared" si="950"/>
        <v>0</v>
      </c>
      <c r="FM309" s="1117">
        <f t="shared" si="951"/>
        <v>0</v>
      </c>
      <c r="FN309" s="1117">
        <f t="shared" si="952"/>
        <v>0</v>
      </c>
      <c r="FO309" s="1073"/>
    </row>
    <row r="310" spans="1:171">
      <c r="A310" s="1444">
        <v>920</v>
      </c>
      <c r="B310" s="79" t="s">
        <v>328</v>
      </c>
      <c r="C310" s="888">
        <v>300</v>
      </c>
      <c r="D310" s="889" t="s">
        <v>47</v>
      </c>
      <c r="E310" s="182" t="str">
        <f>'Sch 3B - Other Items'!E34</f>
        <v>DIRECT</v>
      </c>
      <c r="F310" s="889"/>
      <c r="G310" s="182">
        <f>'Sch 3B - Other Items'!G34</f>
        <v>2198927</v>
      </c>
      <c r="H310" s="182">
        <f>'Sch 3B - Other Items'!H34</f>
        <v>-52738265.199999996</v>
      </c>
      <c r="I310" s="182">
        <f>'Sch 3B - Other Items'!I34</f>
        <v>0</v>
      </c>
      <c r="J310" s="1424">
        <f>'Sch 3B - Other Items'!J34</f>
        <v>54937192.220000006</v>
      </c>
      <c r="K310" s="903">
        <f t="shared" si="892"/>
        <v>0</v>
      </c>
      <c r="N310" s="1161">
        <f>VLOOKUP($A310,'New Resources - Group'!$A$4:$Y$133,N$2,FALSE)*N$1</f>
        <v>0</v>
      </c>
      <c r="O310" s="1116">
        <f>$G310+N310</f>
        <v>2198927</v>
      </c>
      <c r="P310" s="1117">
        <f t="shared" si="893"/>
        <v>-52738265.199999996</v>
      </c>
      <c r="Q310" s="1117">
        <f t="shared" si="894"/>
        <v>0</v>
      </c>
      <c r="R310" s="1117">
        <f t="shared" si="895"/>
        <v>54937192.199999996</v>
      </c>
      <c r="S310" s="1073"/>
      <c r="V310" s="1161">
        <f>VLOOKUP($A310,'New Resources - Group'!$A$4:$Y$133,V$2,FALSE)*V$1</f>
        <v>0</v>
      </c>
      <c r="W310" s="1116">
        <f>$G310+V310</f>
        <v>2198927</v>
      </c>
      <c r="X310" s="1117">
        <f t="shared" si="896"/>
        <v>-52738265.199999996</v>
      </c>
      <c r="Y310" s="1117">
        <f t="shared" si="897"/>
        <v>0</v>
      </c>
      <c r="Z310" s="1117">
        <f t="shared" si="898"/>
        <v>54937192.199999996</v>
      </c>
      <c r="AA310" s="1073"/>
      <c r="AD310" s="1161">
        <f>VLOOKUP($A310,'New Resources - Group'!$A$4:$Y$133,AD$2,FALSE)*AD$1</f>
        <v>0</v>
      </c>
      <c r="AE310" s="1116">
        <f>$G310+AD310</f>
        <v>2198927</v>
      </c>
      <c r="AF310" s="1117">
        <f t="shared" si="899"/>
        <v>-52738265.199999996</v>
      </c>
      <c r="AG310" s="1117">
        <f t="shared" si="900"/>
        <v>0</v>
      </c>
      <c r="AH310" s="1117">
        <f t="shared" si="901"/>
        <v>54937192.199999996</v>
      </c>
      <c r="AI310" s="1073"/>
      <c r="AL310" s="1161">
        <f>VLOOKUP($A310,'New Resources - Group'!$A$4:$Y$133,AL$2,FALSE)*AL$1</f>
        <v>0</v>
      </c>
      <c r="AM310" s="1116">
        <f>$G310+AL310</f>
        <v>2198927</v>
      </c>
      <c r="AN310" s="1117">
        <f t="shared" si="902"/>
        <v>-52738265.199999996</v>
      </c>
      <c r="AO310" s="1117">
        <f t="shared" si="903"/>
        <v>0</v>
      </c>
      <c r="AP310" s="1117">
        <f t="shared" si="904"/>
        <v>54937192.199999996</v>
      </c>
      <c r="AQ310" s="1073"/>
      <c r="AT310" s="1161">
        <f>VLOOKUP($A310,'New Resources - Group'!$A$4:$Y$133,AT$2,FALSE)*AT$1</f>
        <v>0</v>
      </c>
      <c r="AU310" s="1116">
        <f>$G310+AT310</f>
        <v>2198927</v>
      </c>
      <c r="AV310" s="1117">
        <f t="shared" si="905"/>
        <v>-52738265.199999996</v>
      </c>
      <c r="AW310" s="1117">
        <f t="shared" si="906"/>
        <v>0</v>
      </c>
      <c r="AX310" s="1117">
        <f t="shared" si="907"/>
        <v>54937192.199999996</v>
      </c>
      <c r="AY310" s="1073"/>
      <c r="BB310" s="1161">
        <f>VLOOKUP($A310,'New Resources - Group'!$A$4:$Y$133,BB$2,FALSE)*BB$1</f>
        <v>0</v>
      </c>
      <c r="BC310" s="1116">
        <f>$G310+BB310</f>
        <v>2198927</v>
      </c>
      <c r="BD310" s="1117">
        <f t="shared" si="908"/>
        <v>-52738265.199999996</v>
      </c>
      <c r="BE310" s="1117">
        <f t="shared" si="909"/>
        <v>0</v>
      </c>
      <c r="BF310" s="1117">
        <f t="shared" si="910"/>
        <v>54937192.199999996</v>
      </c>
      <c r="BG310" s="1073"/>
      <c r="BJ310" s="1161">
        <f>VLOOKUP($A310,'New Resources - Group'!$A$4:$Y$133,BJ$2,FALSE)*BJ$1</f>
        <v>0</v>
      </c>
      <c r="BK310" s="1116">
        <f>$G310+BJ310</f>
        <v>2198927</v>
      </c>
      <c r="BL310" s="1117">
        <f t="shared" si="911"/>
        <v>-52738265.199999996</v>
      </c>
      <c r="BM310" s="1117">
        <f t="shared" si="912"/>
        <v>0</v>
      </c>
      <c r="BN310" s="1117">
        <f t="shared" si="913"/>
        <v>54937192.199999996</v>
      </c>
      <c r="BO310" s="1073"/>
      <c r="BR310" s="1161">
        <f>VLOOKUP($A310,'New Resources - Group'!$A$4:$Y$133,BR$2,FALSE)*BR$1</f>
        <v>0</v>
      </c>
      <c r="BS310" s="1116">
        <f>$G310+BR310</f>
        <v>2198927</v>
      </c>
      <c r="BT310" s="1117">
        <f t="shared" si="914"/>
        <v>-52738265.199999996</v>
      </c>
      <c r="BU310" s="1117">
        <f t="shared" si="915"/>
        <v>0</v>
      </c>
      <c r="BV310" s="1117">
        <f t="shared" si="916"/>
        <v>54937192.199999996</v>
      </c>
      <c r="BW310" s="1073"/>
      <c r="BZ310" s="1161">
        <f>VLOOKUP($A310,'New Resources - Group'!$A$4:$Y$133,BZ$2,FALSE)*BZ$1</f>
        <v>0</v>
      </c>
      <c r="CA310" s="1116">
        <f>$G310+BZ310</f>
        <v>2198927</v>
      </c>
      <c r="CB310" s="1117">
        <f t="shared" si="917"/>
        <v>-52738265.199999996</v>
      </c>
      <c r="CC310" s="1117">
        <f t="shared" si="918"/>
        <v>0</v>
      </c>
      <c r="CD310" s="1117">
        <f t="shared" si="919"/>
        <v>54937192.199999996</v>
      </c>
      <c r="CE310" s="1073"/>
      <c r="CH310" s="1161">
        <f>VLOOKUP($A310,'New Resources - Group'!$A$4:$Y$133,CH$2,FALSE)*CH$1</f>
        <v>0</v>
      </c>
      <c r="CI310" s="1116">
        <f>$G310+CH310</f>
        <v>2198927</v>
      </c>
      <c r="CJ310" s="1117">
        <f t="shared" si="920"/>
        <v>-52738265.199999996</v>
      </c>
      <c r="CK310" s="1117">
        <f t="shared" si="921"/>
        <v>0</v>
      </c>
      <c r="CL310" s="1117">
        <f t="shared" si="922"/>
        <v>54937192.199999996</v>
      </c>
      <c r="CM310" s="1073"/>
      <c r="CP310" s="1161">
        <f>VLOOKUP($A310,'New Resources - Group'!$A$4:$Y$133,CP$2,FALSE)*CP$1</f>
        <v>0</v>
      </c>
      <c r="CQ310" s="1116">
        <f>$G310+CP310</f>
        <v>2198927</v>
      </c>
      <c r="CR310" s="1117">
        <f t="shared" si="923"/>
        <v>-52738265.199999996</v>
      </c>
      <c r="CS310" s="1117">
        <f t="shared" si="924"/>
        <v>0</v>
      </c>
      <c r="CT310" s="1117">
        <f t="shared" si="925"/>
        <v>54937192.199999996</v>
      </c>
      <c r="CU310" s="1073"/>
      <c r="CX310" s="1161">
        <f>VLOOKUP($A310,'New Resources - Group'!$A$4:$Y$133,CX$2,FALSE)*CX$1</f>
        <v>0</v>
      </c>
      <c r="CY310" s="1116">
        <f>$G310+CX310</f>
        <v>2198927</v>
      </c>
      <c r="CZ310" s="1117">
        <f t="shared" si="926"/>
        <v>-52738265.199999996</v>
      </c>
      <c r="DA310" s="1117">
        <f t="shared" si="927"/>
        <v>0</v>
      </c>
      <c r="DB310" s="1117">
        <f t="shared" si="928"/>
        <v>54937192.199999996</v>
      </c>
      <c r="DC310" s="1073"/>
      <c r="DF310" s="1161">
        <f>VLOOKUP($A310,'New Resources - Group'!$A$4:$Y$133,DF$2,FALSE)*DF$1</f>
        <v>0</v>
      </c>
      <c r="DG310" s="1116">
        <f>$G310+DF310</f>
        <v>2198927</v>
      </c>
      <c r="DH310" s="1117">
        <f t="shared" si="929"/>
        <v>-52738265.199999996</v>
      </c>
      <c r="DI310" s="1117">
        <f t="shared" si="930"/>
        <v>0</v>
      </c>
      <c r="DJ310" s="1117">
        <f t="shared" si="931"/>
        <v>54937192.199999996</v>
      </c>
      <c r="DK310" s="1073"/>
      <c r="DN310" s="1161">
        <f>VLOOKUP($A310,'New Resources - Group'!$A$4:$Y$133,DN$2,FALSE)*DN$1</f>
        <v>0</v>
      </c>
      <c r="DO310" s="1116">
        <f>$G310+DN310</f>
        <v>2198927</v>
      </c>
      <c r="DP310" s="1117">
        <f t="shared" si="932"/>
        <v>-52738265.199999996</v>
      </c>
      <c r="DQ310" s="1117">
        <f t="shared" si="933"/>
        <v>0</v>
      </c>
      <c r="DR310" s="1117">
        <f t="shared" si="934"/>
        <v>54937192.199999996</v>
      </c>
      <c r="DS310" s="1073"/>
      <c r="DV310" s="1161">
        <f>VLOOKUP($A310,'New Resources - Group'!$A$4:$Y$133,DV$2,FALSE)*DV$1</f>
        <v>0</v>
      </c>
      <c r="DW310" s="1116">
        <f>$G310+DV310</f>
        <v>2198927</v>
      </c>
      <c r="DX310" s="1117">
        <f t="shared" si="935"/>
        <v>-52738265.199999996</v>
      </c>
      <c r="DY310" s="1117">
        <f t="shared" si="936"/>
        <v>0</v>
      </c>
      <c r="DZ310" s="1117">
        <f t="shared" si="937"/>
        <v>54937192.199999996</v>
      </c>
      <c r="EA310" s="1073"/>
      <c r="ED310" s="1161">
        <f>VLOOKUP($A310,'New Resources - Group'!$A$4:$Y$133,ED$2,FALSE)*ED$1</f>
        <v>0</v>
      </c>
      <c r="EE310" s="1116">
        <f>$G310+ED310</f>
        <v>2198927</v>
      </c>
      <c r="EF310" s="1117">
        <f t="shared" si="938"/>
        <v>-52738265.199999996</v>
      </c>
      <c r="EG310" s="1117">
        <f t="shared" si="939"/>
        <v>0</v>
      </c>
      <c r="EH310" s="1117">
        <f t="shared" si="940"/>
        <v>54937192.199999996</v>
      </c>
      <c r="EI310" s="1073"/>
      <c r="EL310" s="1161">
        <f>VLOOKUP($A310,'New Resources - Group'!$A$4:$Y$133,EL$2,FALSE)*EL$1</f>
        <v>0</v>
      </c>
      <c r="EM310" s="1116">
        <f>$G310+EL310</f>
        <v>2198927</v>
      </c>
      <c r="EN310" s="1117">
        <f t="shared" si="941"/>
        <v>-52738265.199999996</v>
      </c>
      <c r="EO310" s="1117">
        <f t="shared" si="942"/>
        <v>0</v>
      </c>
      <c r="EP310" s="1117">
        <f t="shared" si="943"/>
        <v>54937192.199999996</v>
      </c>
      <c r="EQ310" s="1073"/>
      <c r="ET310" s="1161">
        <f>VLOOKUP($A310,'New Resources - Group'!$A$4:$Y$133,ET$2,FALSE)*ET$1</f>
        <v>0</v>
      </c>
      <c r="EU310" s="1116">
        <f>$G310+ET310</f>
        <v>2198927</v>
      </c>
      <c r="EV310" s="1117">
        <f t="shared" si="944"/>
        <v>-52738265.199999996</v>
      </c>
      <c r="EW310" s="1117">
        <f t="shared" si="945"/>
        <v>0</v>
      </c>
      <c r="EX310" s="1117">
        <f t="shared" si="946"/>
        <v>54937192.199999996</v>
      </c>
      <c r="EY310" s="1073"/>
      <c r="FB310" s="1161">
        <f>VLOOKUP($A310,'New Resources - Group'!$A$4:$Y$133,FB$2,FALSE)*FB$1</f>
        <v>0</v>
      </c>
      <c r="FC310" s="1116">
        <f>$G310+FB310</f>
        <v>2198927</v>
      </c>
      <c r="FD310" s="1117">
        <f t="shared" si="947"/>
        <v>-52738265.199999996</v>
      </c>
      <c r="FE310" s="1117">
        <f t="shared" si="948"/>
        <v>0</v>
      </c>
      <c r="FF310" s="1117">
        <f t="shared" si="949"/>
        <v>54937192.199999996</v>
      </c>
      <c r="FG310" s="1073"/>
      <c r="FJ310" s="1161">
        <f>VLOOKUP($A310,'New Resources - Group'!$A$4:$Y$133,FJ$2,FALSE)*FJ$1</f>
        <v>0</v>
      </c>
      <c r="FK310" s="1116">
        <f>$G310+FJ310</f>
        <v>2198927</v>
      </c>
      <c r="FL310" s="1117">
        <f t="shared" si="950"/>
        <v>-52738265.199999996</v>
      </c>
      <c r="FM310" s="1117">
        <f t="shared" si="951"/>
        <v>0</v>
      </c>
      <c r="FN310" s="1117">
        <f t="shared" si="952"/>
        <v>54937192.199999996</v>
      </c>
      <c r="FO310" s="1073"/>
    </row>
    <row r="311" spans="1:171">
      <c r="A311" s="1444">
        <v>930</v>
      </c>
      <c r="B311" s="79" t="s">
        <v>507</v>
      </c>
      <c r="C311" s="888">
        <v>330</v>
      </c>
      <c r="D311" s="888">
        <v>456.1</v>
      </c>
      <c r="E311" s="182" t="str">
        <f>'Sch 3B - Other Items'!E35</f>
        <v>TRANS</v>
      </c>
      <c r="F311" s="889"/>
      <c r="G311" s="182">
        <f>'Sch 3B - Other Items'!G35</f>
        <v>30969981</v>
      </c>
      <c r="H311" s="182">
        <f>'Sch 3B - Other Items'!H35</f>
        <v>0</v>
      </c>
      <c r="I311" s="182">
        <f>'Sch 3B - Other Items'!I35</f>
        <v>0</v>
      </c>
      <c r="J311" s="1424">
        <f>'Sch 3B - Other Items'!J35</f>
        <v>30969981</v>
      </c>
      <c r="K311" s="903">
        <f t="shared" si="892"/>
        <v>1</v>
      </c>
      <c r="N311" s="1161">
        <f>VLOOKUP($A311,'New Resources - Group'!$A$4:$Y$133,N$2,FALSE)*N$1</f>
        <v>0</v>
      </c>
      <c r="O311" s="1116">
        <f>$G311+N311</f>
        <v>30969981</v>
      </c>
      <c r="P311" s="1117">
        <f t="shared" si="893"/>
        <v>0</v>
      </c>
      <c r="Q311" s="1117">
        <f t="shared" si="894"/>
        <v>30969981</v>
      </c>
      <c r="R311" s="1117">
        <f t="shared" si="895"/>
        <v>0</v>
      </c>
      <c r="S311" s="1073"/>
      <c r="V311" s="1161">
        <f>VLOOKUP($A311,'New Resources - Group'!$A$4:$Y$133,V$2,FALSE)*V$1</f>
        <v>0</v>
      </c>
      <c r="W311" s="1116">
        <f>$G311+V311</f>
        <v>30969981</v>
      </c>
      <c r="X311" s="1117">
        <f t="shared" si="896"/>
        <v>0</v>
      </c>
      <c r="Y311" s="1117">
        <f t="shared" si="897"/>
        <v>30969981</v>
      </c>
      <c r="Z311" s="1117">
        <f t="shared" si="898"/>
        <v>0</v>
      </c>
      <c r="AA311" s="1073"/>
      <c r="AD311" s="1161">
        <f>VLOOKUP($A311,'New Resources - Group'!$A$4:$Y$133,AD$2,FALSE)*AD$1</f>
        <v>0</v>
      </c>
      <c r="AE311" s="1116">
        <f>$G311+AD311</f>
        <v>30969981</v>
      </c>
      <c r="AF311" s="1117">
        <f t="shared" si="899"/>
        <v>0</v>
      </c>
      <c r="AG311" s="1117">
        <f t="shared" si="900"/>
        <v>30969981</v>
      </c>
      <c r="AH311" s="1117">
        <f t="shared" si="901"/>
        <v>0</v>
      </c>
      <c r="AI311" s="1073"/>
      <c r="AL311" s="1161">
        <f>VLOOKUP($A311,'New Resources - Group'!$A$4:$Y$133,AL$2,FALSE)*AL$1</f>
        <v>0</v>
      </c>
      <c r="AM311" s="1116">
        <f>$G311+AL311</f>
        <v>30969981</v>
      </c>
      <c r="AN311" s="1117">
        <f t="shared" si="902"/>
        <v>0</v>
      </c>
      <c r="AO311" s="1117">
        <f t="shared" si="903"/>
        <v>30969981</v>
      </c>
      <c r="AP311" s="1117">
        <f t="shared" si="904"/>
        <v>0</v>
      </c>
      <c r="AQ311" s="1073"/>
      <c r="AT311" s="1161">
        <f>VLOOKUP($A311,'New Resources - Group'!$A$4:$Y$133,AT$2,FALSE)*AT$1</f>
        <v>0</v>
      </c>
      <c r="AU311" s="1116">
        <f>$G311+AT311</f>
        <v>30969981</v>
      </c>
      <c r="AV311" s="1117">
        <f t="shared" si="905"/>
        <v>0</v>
      </c>
      <c r="AW311" s="1117">
        <f t="shared" si="906"/>
        <v>30969981</v>
      </c>
      <c r="AX311" s="1117">
        <f t="shared" si="907"/>
        <v>0</v>
      </c>
      <c r="AY311" s="1073"/>
      <c r="BB311" s="1161">
        <f>VLOOKUP($A311,'New Resources - Group'!$A$4:$Y$133,BB$2,FALSE)*BB$1</f>
        <v>0</v>
      </c>
      <c r="BC311" s="1116">
        <f>$G311+BB311</f>
        <v>30969981</v>
      </c>
      <c r="BD311" s="1117">
        <f t="shared" si="908"/>
        <v>0</v>
      </c>
      <c r="BE311" s="1117">
        <f t="shared" si="909"/>
        <v>30969981</v>
      </c>
      <c r="BF311" s="1117">
        <f t="shared" si="910"/>
        <v>0</v>
      </c>
      <c r="BG311" s="1073"/>
      <c r="BJ311" s="1161">
        <f>VLOOKUP($A311,'New Resources - Group'!$A$4:$Y$133,BJ$2,FALSE)*BJ$1</f>
        <v>0</v>
      </c>
      <c r="BK311" s="1116">
        <f>$G311+BJ311</f>
        <v>30969981</v>
      </c>
      <c r="BL311" s="1117">
        <f t="shared" si="911"/>
        <v>0</v>
      </c>
      <c r="BM311" s="1117">
        <f t="shared" si="912"/>
        <v>30969981</v>
      </c>
      <c r="BN311" s="1117">
        <f t="shared" si="913"/>
        <v>0</v>
      </c>
      <c r="BO311" s="1073"/>
      <c r="BR311" s="1161">
        <f>VLOOKUP($A311,'New Resources - Group'!$A$4:$Y$133,BR$2,FALSE)*BR$1</f>
        <v>0</v>
      </c>
      <c r="BS311" s="1116">
        <f>$G311+BR311</f>
        <v>30969981</v>
      </c>
      <c r="BT311" s="1117">
        <f t="shared" si="914"/>
        <v>0</v>
      </c>
      <c r="BU311" s="1117">
        <f t="shared" si="915"/>
        <v>30969981</v>
      </c>
      <c r="BV311" s="1117">
        <f t="shared" si="916"/>
        <v>0</v>
      </c>
      <c r="BW311" s="1073"/>
      <c r="BZ311" s="1161">
        <f>VLOOKUP($A311,'New Resources - Group'!$A$4:$Y$133,BZ$2,FALSE)*BZ$1</f>
        <v>0</v>
      </c>
      <c r="CA311" s="1116">
        <f>$G311+BZ311</f>
        <v>30969981</v>
      </c>
      <c r="CB311" s="1117">
        <f t="shared" si="917"/>
        <v>0</v>
      </c>
      <c r="CC311" s="1117">
        <f t="shared" si="918"/>
        <v>30969981</v>
      </c>
      <c r="CD311" s="1117">
        <f t="shared" si="919"/>
        <v>0</v>
      </c>
      <c r="CE311" s="1073"/>
      <c r="CH311" s="1161">
        <f>VLOOKUP($A311,'New Resources - Group'!$A$4:$Y$133,CH$2,FALSE)*CH$1</f>
        <v>0</v>
      </c>
      <c r="CI311" s="1116">
        <f>$G311+CH311</f>
        <v>30969981</v>
      </c>
      <c r="CJ311" s="1117">
        <f t="shared" si="920"/>
        <v>0</v>
      </c>
      <c r="CK311" s="1117">
        <f t="shared" si="921"/>
        <v>30969981</v>
      </c>
      <c r="CL311" s="1117">
        <f t="shared" si="922"/>
        <v>0</v>
      </c>
      <c r="CM311" s="1073"/>
      <c r="CP311" s="1161">
        <f>VLOOKUP($A311,'New Resources - Group'!$A$4:$Y$133,CP$2,FALSE)*CP$1</f>
        <v>0</v>
      </c>
      <c r="CQ311" s="1116">
        <f>$G311+CP311</f>
        <v>30969981</v>
      </c>
      <c r="CR311" s="1117">
        <f t="shared" si="923"/>
        <v>0</v>
      </c>
      <c r="CS311" s="1117">
        <f t="shared" si="924"/>
        <v>30969981</v>
      </c>
      <c r="CT311" s="1117">
        <f t="shared" si="925"/>
        <v>0</v>
      </c>
      <c r="CU311" s="1073"/>
      <c r="CX311" s="1161">
        <f>VLOOKUP($A311,'New Resources - Group'!$A$4:$Y$133,CX$2,FALSE)*CX$1</f>
        <v>0</v>
      </c>
      <c r="CY311" s="1116">
        <f>$G311+CX311</f>
        <v>30969981</v>
      </c>
      <c r="CZ311" s="1117">
        <f t="shared" si="926"/>
        <v>0</v>
      </c>
      <c r="DA311" s="1117">
        <f t="shared" si="927"/>
        <v>30969981</v>
      </c>
      <c r="DB311" s="1117">
        <f t="shared" si="928"/>
        <v>0</v>
      </c>
      <c r="DC311" s="1073"/>
      <c r="DF311" s="1161">
        <f>VLOOKUP($A311,'New Resources - Group'!$A$4:$Y$133,DF$2,FALSE)*DF$1</f>
        <v>0</v>
      </c>
      <c r="DG311" s="1116">
        <f>$G311+DF311</f>
        <v>30969981</v>
      </c>
      <c r="DH311" s="1117">
        <f t="shared" si="929"/>
        <v>0</v>
      </c>
      <c r="DI311" s="1117">
        <f t="shared" si="930"/>
        <v>30969981</v>
      </c>
      <c r="DJ311" s="1117">
        <f t="shared" si="931"/>
        <v>0</v>
      </c>
      <c r="DK311" s="1073"/>
      <c r="DN311" s="1161">
        <f>VLOOKUP($A311,'New Resources - Group'!$A$4:$Y$133,DN$2,FALSE)*DN$1</f>
        <v>0</v>
      </c>
      <c r="DO311" s="1116">
        <f>$G311+DN311</f>
        <v>30969981</v>
      </c>
      <c r="DP311" s="1117">
        <f t="shared" si="932"/>
        <v>0</v>
      </c>
      <c r="DQ311" s="1117">
        <f t="shared" si="933"/>
        <v>30969981</v>
      </c>
      <c r="DR311" s="1117">
        <f t="shared" si="934"/>
        <v>0</v>
      </c>
      <c r="DS311" s="1073"/>
      <c r="DV311" s="1161">
        <f>VLOOKUP($A311,'New Resources - Group'!$A$4:$Y$133,DV$2,FALSE)*DV$1</f>
        <v>0</v>
      </c>
      <c r="DW311" s="1116">
        <f>$G311+DV311</f>
        <v>30969981</v>
      </c>
      <c r="DX311" s="1117">
        <f t="shared" si="935"/>
        <v>0</v>
      </c>
      <c r="DY311" s="1117">
        <f t="shared" si="936"/>
        <v>30969981</v>
      </c>
      <c r="DZ311" s="1117">
        <f t="shared" si="937"/>
        <v>0</v>
      </c>
      <c r="EA311" s="1073"/>
      <c r="ED311" s="1161">
        <f>VLOOKUP($A311,'New Resources - Group'!$A$4:$Y$133,ED$2,FALSE)*ED$1</f>
        <v>0</v>
      </c>
      <c r="EE311" s="1116">
        <f>$G311+ED311</f>
        <v>30969981</v>
      </c>
      <c r="EF311" s="1117">
        <f t="shared" si="938"/>
        <v>0</v>
      </c>
      <c r="EG311" s="1117">
        <f t="shared" si="939"/>
        <v>30969981</v>
      </c>
      <c r="EH311" s="1117">
        <f t="shared" si="940"/>
        <v>0</v>
      </c>
      <c r="EI311" s="1073"/>
      <c r="EL311" s="1161">
        <f>VLOOKUP($A311,'New Resources - Group'!$A$4:$Y$133,EL$2,FALSE)*EL$1</f>
        <v>0</v>
      </c>
      <c r="EM311" s="1116">
        <f>$G311+EL311</f>
        <v>30969981</v>
      </c>
      <c r="EN311" s="1117">
        <f t="shared" si="941"/>
        <v>0</v>
      </c>
      <c r="EO311" s="1117">
        <f t="shared" si="942"/>
        <v>30969981</v>
      </c>
      <c r="EP311" s="1117">
        <f t="shared" si="943"/>
        <v>0</v>
      </c>
      <c r="EQ311" s="1073"/>
      <c r="ET311" s="1161">
        <f>VLOOKUP($A311,'New Resources - Group'!$A$4:$Y$133,ET$2,FALSE)*ET$1</f>
        <v>0</v>
      </c>
      <c r="EU311" s="1116">
        <f>$G311+ET311</f>
        <v>30969981</v>
      </c>
      <c r="EV311" s="1117">
        <f t="shared" si="944"/>
        <v>0</v>
      </c>
      <c r="EW311" s="1117">
        <f t="shared" si="945"/>
        <v>30969981</v>
      </c>
      <c r="EX311" s="1117">
        <f t="shared" si="946"/>
        <v>0</v>
      </c>
      <c r="EY311" s="1073"/>
      <c r="FB311" s="1161">
        <f>VLOOKUP($A311,'New Resources - Group'!$A$4:$Y$133,FB$2,FALSE)*FB$1</f>
        <v>0</v>
      </c>
      <c r="FC311" s="1116">
        <f>$G311+FB311</f>
        <v>30969981</v>
      </c>
      <c r="FD311" s="1117">
        <f t="shared" si="947"/>
        <v>0</v>
      </c>
      <c r="FE311" s="1117">
        <f t="shared" si="948"/>
        <v>30969981</v>
      </c>
      <c r="FF311" s="1117">
        <f t="shared" si="949"/>
        <v>0</v>
      </c>
      <c r="FG311" s="1073"/>
      <c r="FJ311" s="1161">
        <f>VLOOKUP($A311,'New Resources - Group'!$A$4:$Y$133,FJ$2,FALSE)*FJ$1</f>
        <v>0</v>
      </c>
      <c r="FK311" s="1116">
        <f>$G311+FJ311</f>
        <v>30969981</v>
      </c>
      <c r="FL311" s="1117">
        <f t="shared" si="950"/>
        <v>0</v>
      </c>
      <c r="FM311" s="1117">
        <f t="shared" si="951"/>
        <v>30969981</v>
      </c>
      <c r="FN311" s="1117">
        <f t="shared" si="952"/>
        <v>0</v>
      </c>
      <c r="FO311" s="1073"/>
    </row>
    <row r="312" spans="1:171">
      <c r="A312" s="1342"/>
      <c r="B312" s="79"/>
      <c r="C312" s="55"/>
      <c r="D312" s="196"/>
      <c r="E312" s="55"/>
      <c r="F312" s="55"/>
      <c r="G312" s="221"/>
      <c r="H312" s="221"/>
      <c r="I312" s="221"/>
      <c r="J312" s="1428"/>
      <c r="K312" s="903"/>
      <c r="S312" s="1073"/>
      <c r="AA312" s="1073"/>
      <c r="AI312" s="1073"/>
      <c r="AQ312" s="1073"/>
      <c r="AY312" s="1073"/>
      <c r="BG312" s="1073"/>
      <c r="BO312" s="1073"/>
      <c r="BW312" s="1073"/>
      <c r="CE312" s="1073"/>
      <c r="CM312" s="1073"/>
      <c r="CU312" s="1073"/>
      <c r="DC312" s="1073"/>
      <c r="DK312" s="1073"/>
      <c r="DS312" s="1073"/>
      <c r="EA312" s="1073"/>
      <c r="EI312" s="1073"/>
      <c r="EQ312" s="1073"/>
      <c r="EY312" s="1073"/>
      <c r="FG312" s="1073"/>
      <c r="FO312" s="1073"/>
    </row>
    <row r="313" spans="1:171">
      <c r="A313" s="1345" t="s">
        <v>48</v>
      </c>
      <c r="B313" s="64"/>
      <c r="C313" s="914"/>
      <c r="D313" s="915"/>
      <c r="E313" s="915"/>
      <c r="F313" s="916"/>
      <c r="G313" s="923">
        <f>SUM(G305:G311)</f>
        <v>41529489</v>
      </c>
      <c r="H313" s="923">
        <f>SUM(H305:H311)</f>
        <v>-52049933.199999996</v>
      </c>
      <c r="I313" s="923">
        <f>SUM(I305:I311)</f>
        <v>0</v>
      </c>
      <c r="J313" s="1431">
        <f>SUM(J305:J311)</f>
        <v>93579422.219999999</v>
      </c>
      <c r="K313" s="903"/>
      <c r="O313" s="1133">
        <f>SUM(O305:O311)</f>
        <v>41529489</v>
      </c>
      <c r="P313" s="1133">
        <f>SUM(P305:P311)</f>
        <v>-52049933.199999996</v>
      </c>
      <c r="Q313" s="1133">
        <f>SUM(Q305:Q311)</f>
        <v>33272480.281959895</v>
      </c>
      <c r="R313" s="1133">
        <f>SUM(R305:R311)</f>
        <v>60306941.918040097</v>
      </c>
      <c r="S313" s="1073"/>
      <c r="W313" s="1133">
        <f>SUM(W305:W311)</f>
        <v>41529489</v>
      </c>
      <c r="X313" s="1133">
        <f>SUM(X305:X311)</f>
        <v>-52049933.199999996</v>
      </c>
      <c r="Y313" s="1133">
        <f>SUM(Y305:Y311)</f>
        <v>33272480.281959895</v>
      </c>
      <c r="Z313" s="1133">
        <f>SUM(Z305:Z311)</f>
        <v>60306941.918040097</v>
      </c>
      <c r="AA313" s="1073"/>
      <c r="AE313" s="1133">
        <f>SUM(AE305:AE311)</f>
        <v>41529489</v>
      </c>
      <c r="AF313" s="1133">
        <f>SUM(AF305:AF311)</f>
        <v>-52049933.199999996</v>
      </c>
      <c r="AG313" s="1133">
        <f>SUM(AG305:AG311)</f>
        <v>33272480.281959895</v>
      </c>
      <c r="AH313" s="1133">
        <f>SUM(AH305:AH311)</f>
        <v>60306941.918040097</v>
      </c>
      <c r="AI313" s="1073"/>
      <c r="AM313" s="1133">
        <f>SUM(AM305:AM311)</f>
        <v>41529489</v>
      </c>
      <c r="AN313" s="1133">
        <f>SUM(AN305:AN311)</f>
        <v>-52049933.199999996</v>
      </c>
      <c r="AO313" s="1133">
        <f>SUM(AO305:AO311)</f>
        <v>33272480.281959895</v>
      </c>
      <c r="AP313" s="1133">
        <f>SUM(AP305:AP311)</f>
        <v>60306941.918040097</v>
      </c>
      <c r="AQ313" s="1073"/>
      <c r="AU313" s="1133">
        <f>SUM(AU305:AU311)</f>
        <v>41529489</v>
      </c>
      <c r="AV313" s="1133">
        <f>SUM(AV305:AV311)</f>
        <v>-52049933.199999996</v>
      </c>
      <c r="AW313" s="1133">
        <f>SUM(AW305:AW311)</f>
        <v>33272480.281959895</v>
      </c>
      <c r="AX313" s="1133">
        <f>SUM(AX305:AX311)</f>
        <v>60306941.918040097</v>
      </c>
      <c r="AY313" s="1073"/>
      <c r="BC313" s="1133">
        <f>SUM(BC305:BC311)</f>
        <v>41529489</v>
      </c>
      <c r="BD313" s="1133">
        <f>SUM(BD305:BD311)</f>
        <v>-52049933.199999996</v>
      </c>
      <c r="BE313" s="1133">
        <f>SUM(BE305:BE311)</f>
        <v>33272480.281959895</v>
      </c>
      <c r="BF313" s="1133">
        <f>SUM(BF305:BF311)</f>
        <v>60306941.918040097</v>
      </c>
      <c r="BG313" s="1073"/>
      <c r="BK313" s="1133">
        <f>SUM(BK305:BK311)</f>
        <v>41529489</v>
      </c>
      <c r="BL313" s="1133">
        <f>SUM(BL305:BL311)</f>
        <v>-52049933.199999996</v>
      </c>
      <c r="BM313" s="1133">
        <f>SUM(BM305:BM311)</f>
        <v>33272480.281959895</v>
      </c>
      <c r="BN313" s="1133">
        <f>SUM(BN305:BN311)</f>
        <v>60306941.918040097</v>
      </c>
      <c r="BO313" s="1073"/>
      <c r="BS313" s="1133">
        <f>SUM(BS305:BS311)</f>
        <v>41529489</v>
      </c>
      <c r="BT313" s="1133">
        <f>SUM(BT305:BT311)</f>
        <v>-52049933.199999996</v>
      </c>
      <c r="BU313" s="1133">
        <f>SUM(BU305:BU311)</f>
        <v>33272480.281959895</v>
      </c>
      <c r="BV313" s="1133">
        <f>SUM(BV305:BV311)</f>
        <v>60306941.918040097</v>
      </c>
      <c r="BW313" s="1073"/>
      <c r="CA313" s="1133">
        <f>SUM(CA305:CA311)</f>
        <v>41529489</v>
      </c>
      <c r="CB313" s="1133">
        <f>SUM(CB305:CB311)</f>
        <v>-52049933.199999996</v>
      </c>
      <c r="CC313" s="1133">
        <f>SUM(CC305:CC311)</f>
        <v>33272480.281959895</v>
      </c>
      <c r="CD313" s="1133">
        <f>SUM(CD305:CD311)</f>
        <v>60306941.918040097</v>
      </c>
      <c r="CE313" s="1073"/>
      <c r="CI313" s="1133">
        <f>SUM(CI305:CI311)</f>
        <v>41529489</v>
      </c>
      <c r="CJ313" s="1133">
        <f>SUM(CJ305:CJ311)</f>
        <v>-52049933.199999996</v>
      </c>
      <c r="CK313" s="1133">
        <f>SUM(CK305:CK311)</f>
        <v>33272480.281959895</v>
      </c>
      <c r="CL313" s="1133">
        <f>SUM(CL305:CL311)</f>
        <v>60306941.918040097</v>
      </c>
      <c r="CM313" s="1073"/>
      <c r="CQ313" s="1133">
        <f>SUM(CQ305:CQ311)</f>
        <v>41529489</v>
      </c>
      <c r="CR313" s="1133">
        <f>SUM(CR305:CR311)</f>
        <v>-52049933.199999996</v>
      </c>
      <c r="CS313" s="1133">
        <f>SUM(CS305:CS311)</f>
        <v>33272480.281959895</v>
      </c>
      <c r="CT313" s="1133">
        <f>SUM(CT305:CT311)</f>
        <v>60306941.918040097</v>
      </c>
      <c r="CU313" s="1073"/>
      <c r="CY313" s="1133">
        <f>SUM(CY305:CY311)</f>
        <v>41529489</v>
      </c>
      <c r="CZ313" s="1133">
        <f>SUM(CZ305:CZ311)</f>
        <v>-52049933.199999996</v>
      </c>
      <c r="DA313" s="1133">
        <f>SUM(DA305:DA311)</f>
        <v>33272480.281959895</v>
      </c>
      <c r="DB313" s="1133">
        <f>SUM(DB305:DB311)</f>
        <v>60306941.918040097</v>
      </c>
      <c r="DC313" s="1073"/>
      <c r="DG313" s="1133">
        <f>SUM(DG305:DG311)</f>
        <v>41529489</v>
      </c>
      <c r="DH313" s="1133">
        <f>SUM(DH305:DH311)</f>
        <v>-52049933.199999996</v>
      </c>
      <c r="DI313" s="1133">
        <f>SUM(DI305:DI311)</f>
        <v>33272480.281959895</v>
      </c>
      <c r="DJ313" s="1133">
        <f>SUM(DJ305:DJ311)</f>
        <v>60306941.918040097</v>
      </c>
      <c r="DK313" s="1073"/>
      <c r="DO313" s="1133">
        <f>SUM(DO305:DO311)</f>
        <v>41529489</v>
      </c>
      <c r="DP313" s="1133">
        <f>SUM(DP305:DP311)</f>
        <v>-52049933.199999996</v>
      </c>
      <c r="DQ313" s="1133">
        <f>SUM(DQ305:DQ311)</f>
        <v>33272480.281959895</v>
      </c>
      <c r="DR313" s="1133">
        <f>SUM(DR305:DR311)</f>
        <v>60306941.918040097</v>
      </c>
      <c r="DS313" s="1073"/>
      <c r="DW313" s="1133">
        <f>SUM(DW305:DW311)</f>
        <v>41529489</v>
      </c>
      <c r="DX313" s="1133">
        <f>SUM(DX305:DX311)</f>
        <v>-52049933.199999996</v>
      </c>
      <c r="DY313" s="1133">
        <f>SUM(DY305:DY311)</f>
        <v>33272480.281959895</v>
      </c>
      <c r="DZ313" s="1133">
        <f>SUM(DZ305:DZ311)</f>
        <v>60306941.918040097</v>
      </c>
      <c r="EA313" s="1073"/>
      <c r="EE313" s="1133">
        <f>SUM(EE305:EE311)</f>
        <v>41529489</v>
      </c>
      <c r="EF313" s="1133">
        <f>SUM(EF305:EF311)</f>
        <v>-52049933.199999996</v>
      </c>
      <c r="EG313" s="1133">
        <f>SUM(EG305:EG311)</f>
        <v>33272480.281959895</v>
      </c>
      <c r="EH313" s="1133">
        <f>SUM(EH305:EH311)</f>
        <v>60306941.918040097</v>
      </c>
      <c r="EI313" s="1073"/>
      <c r="EM313" s="1133">
        <f>SUM(EM305:EM311)</f>
        <v>41529489</v>
      </c>
      <c r="EN313" s="1133">
        <f>SUM(EN305:EN311)</f>
        <v>-52049933.199999996</v>
      </c>
      <c r="EO313" s="1133">
        <f>SUM(EO305:EO311)</f>
        <v>33272480.281959895</v>
      </c>
      <c r="EP313" s="1133">
        <f>SUM(EP305:EP311)</f>
        <v>60306941.918040097</v>
      </c>
      <c r="EQ313" s="1073"/>
      <c r="EU313" s="1133">
        <f>SUM(EU305:EU311)</f>
        <v>41529489</v>
      </c>
      <c r="EV313" s="1133">
        <f>SUM(EV305:EV311)</f>
        <v>-52049933.199999996</v>
      </c>
      <c r="EW313" s="1133">
        <f>SUM(EW305:EW311)</f>
        <v>33272480.281959895</v>
      </c>
      <c r="EX313" s="1133">
        <f>SUM(EX305:EX311)</f>
        <v>60306941.918040097</v>
      </c>
      <c r="EY313" s="1073"/>
      <c r="FC313" s="1133">
        <f>SUM(FC305:FC311)</f>
        <v>41529489</v>
      </c>
      <c r="FD313" s="1133">
        <f>SUM(FD305:FD311)</f>
        <v>-52049933.199999996</v>
      </c>
      <c r="FE313" s="1133">
        <f>SUM(FE305:FE311)</f>
        <v>33272480.281959895</v>
      </c>
      <c r="FF313" s="1133">
        <f>SUM(FF305:FF311)</f>
        <v>60306941.918040097</v>
      </c>
      <c r="FG313" s="1073"/>
      <c r="FK313" s="1133">
        <f>SUM(FK305:FK311)</f>
        <v>41529489</v>
      </c>
      <c r="FL313" s="1133">
        <f>SUM(FL305:FL311)</f>
        <v>-52049933.199999996</v>
      </c>
      <c r="FM313" s="1133">
        <f>SUM(FM305:FM311)</f>
        <v>33272480.281959895</v>
      </c>
      <c r="FN313" s="1133">
        <f>SUM(FN305:FN311)</f>
        <v>60306941.918040097</v>
      </c>
      <c r="FO313" s="1073"/>
    </row>
    <row r="314" spans="1:171">
      <c r="A314" s="1345"/>
      <c r="B314" s="64"/>
      <c r="C314" s="55"/>
      <c r="D314" s="55"/>
      <c r="E314" s="55"/>
      <c r="F314" s="55"/>
      <c r="G314" s="1035"/>
      <c r="H314" s="1035"/>
      <c r="I314" s="1035"/>
      <c r="J314" s="1487"/>
      <c r="K314" s="903"/>
      <c r="O314" s="1079"/>
      <c r="P314" s="1079"/>
      <c r="Q314" s="1079"/>
      <c r="R314" s="1079"/>
      <c r="S314" s="1073"/>
      <c r="W314" s="1079"/>
      <c r="X314" s="1079"/>
      <c r="Y314" s="1079"/>
      <c r="Z314" s="1079"/>
      <c r="AA314" s="1073"/>
      <c r="AE314" s="1079"/>
      <c r="AF314" s="1079"/>
      <c r="AG314" s="1079"/>
      <c r="AH314" s="1079"/>
      <c r="AI314" s="1073"/>
      <c r="AM314" s="1079"/>
      <c r="AN314" s="1079"/>
      <c r="AO314" s="1079"/>
      <c r="AP314" s="1079"/>
      <c r="AQ314" s="1073"/>
      <c r="AU314" s="1079"/>
      <c r="AV314" s="1079"/>
      <c r="AW314" s="1079"/>
      <c r="AX314" s="1079"/>
      <c r="AY314" s="1073"/>
      <c r="BC314" s="1079"/>
      <c r="BD314" s="1079"/>
      <c r="BE314" s="1079"/>
      <c r="BF314" s="1079"/>
      <c r="BG314" s="1073"/>
      <c r="BK314" s="1079"/>
      <c r="BL314" s="1079"/>
      <c r="BM314" s="1079"/>
      <c r="BN314" s="1079"/>
      <c r="BO314" s="1073"/>
      <c r="BS314" s="1079"/>
      <c r="BT314" s="1079"/>
      <c r="BU314" s="1079"/>
      <c r="BV314" s="1079"/>
      <c r="BW314" s="1073"/>
      <c r="CA314" s="1079"/>
      <c r="CB314" s="1079"/>
      <c r="CC314" s="1079"/>
      <c r="CD314" s="1079"/>
      <c r="CE314" s="1073"/>
      <c r="CI314" s="1079"/>
      <c r="CJ314" s="1079"/>
      <c r="CK314" s="1079"/>
      <c r="CL314" s="1079"/>
      <c r="CM314" s="1073"/>
      <c r="CQ314" s="1079"/>
      <c r="CR314" s="1079"/>
      <c r="CS314" s="1079"/>
      <c r="CT314" s="1079"/>
      <c r="CU314" s="1073"/>
      <c r="CY314" s="1079"/>
      <c r="CZ314" s="1079"/>
      <c r="DA314" s="1079"/>
      <c r="DB314" s="1079"/>
      <c r="DC314" s="1073"/>
      <c r="DG314" s="1079"/>
      <c r="DH314" s="1079"/>
      <c r="DI314" s="1079"/>
      <c r="DJ314" s="1079"/>
      <c r="DK314" s="1073"/>
      <c r="DO314" s="1079"/>
      <c r="DP314" s="1079"/>
      <c r="DQ314" s="1079"/>
      <c r="DR314" s="1079"/>
      <c r="DS314" s="1073"/>
      <c r="DW314" s="1079"/>
      <c r="DX314" s="1079"/>
      <c r="DY314" s="1079"/>
      <c r="DZ314" s="1079"/>
      <c r="EA314" s="1073"/>
      <c r="EE314" s="1079"/>
      <c r="EF314" s="1079"/>
      <c r="EG314" s="1079"/>
      <c r="EH314" s="1079"/>
      <c r="EI314" s="1073"/>
      <c r="EM314" s="1079"/>
      <c r="EN314" s="1079"/>
      <c r="EO314" s="1079"/>
      <c r="EP314" s="1079"/>
      <c r="EQ314" s="1073"/>
      <c r="EU314" s="1079"/>
      <c r="EV314" s="1079"/>
      <c r="EW314" s="1079"/>
      <c r="EX314" s="1079"/>
      <c r="EY314" s="1073"/>
      <c r="FC314" s="1079"/>
      <c r="FD314" s="1079"/>
      <c r="FE314" s="1079"/>
      <c r="FF314" s="1079"/>
      <c r="FG314" s="1073"/>
      <c r="FK314" s="1079"/>
      <c r="FL314" s="1079"/>
      <c r="FM314" s="1079"/>
      <c r="FN314" s="1079"/>
      <c r="FO314" s="1073"/>
    </row>
    <row r="315" spans="1:171">
      <c r="A315" s="1345" t="s">
        <v>49</v>
      </c>
      <c r="B315" s="64"/>
      <c r="C315" s="914"/>
      <c r="D315" s="915"/>
      <c r="E315" s="915"/>
      <c r="F315" s="916"/>
      <c r="G315" s="923">
        <f>+G313+G302+G298</f>
        <v>316484716.37</v>
      </c>
      <c r="H315" s="923">
        <f>+H313+H302+H298</f>
        <v>202539296.65316796</v>
      </c>
      <c r="I315" s="923">
        <f>+I313+I302+I298</f>
        <v>0</v>
      </c>
      <c r="J315" s="1431">
        <f>+J313+J302+J298</f>
        <v>118934846.98571534</v>
      </c>
      <c r="K315" s="903"/>
      <c r="O315" s="1133">
        <f>+O313+O302+O298</f>
        <v>316484716.37</v>
      </c>
      <c r="P315" s="1133">
        <f>+P313+P302+P298</f>
        <v>202539296.65316796</v>
      </c>
      <c r="Q315" s="1133">
        <f>+Q313+Q302+Q298</f>
        <v>33272480.281959895</v>
      </c>
      <c r="R315" s="1133">
        <f>+R313+R302+R298</f>
        <v>80672939.43487215</v>
      </c>
      <c r="S315" s="1073"/>
      <c r="W315" s="1133">
        <f>+W313+W302+W298</f>
        <v>316484716.37</v>
      </c>
      <c r="X315" s="1133">
        <f>+X313+X302+X298</f>
        <v>202539296.65316796</v>
      </c>
      <c r="Y315" s="1133">
        <f>+Y313+Y302+Y298</f>
        <v>33272480.281959895</v>
      </c>
      <c r="Z315" s="1133">
        <f>+Z313+Z302+Z298</f>
        <v>80672939.43487215</v>
      </c>
      <c r="AA315" s="1073"/>
      <c r="AE315" s="1133">
        <f>+AE313+AE302+AE298</f>
        <v>316484716.37</v>
      </c>
      <c r="AF315" s="1133">
        <f>+AF313+AF302+AF298</f>
        <v>202539296.65316796</v>
      </c>
      <c r="AG315" s="1133">
        <f>+AG313+AG302+AG298</f>
        <v>33272480.281959895</v>
      </c>
      <c r="AH315" s="1133">
        <f>+AH313+AH302+AH298</f>
        <v>80672939.43487215</v>
      </c>
      <c r="AI315" s="1073"/>
      <c r="AM315" s="1133">
        <f>+AM313+AM302+AM298</f>
        <v>316484716.37</v>
      </c>
      <c r="AN315" s="1133">
        <f>+AN313+AN302+AN298</f>
        <v>202539296.65316796</v>
      </c>
      <c r="AO315" s="1133">
        <f>+AO313+AO302+AO298</f>
        <v>33272480.281959895</v>
      </c>
      <c r="AP315" s="1133">
        <f>+AP313+AP302+AP298</f>
        <v>80672939.43487215</v>
      </c>
      <c r="AQ315" s="1073"/>
      <c r="AU315" s="1133">
        <f>+AU313+AU302+AU298</f>
        <v>316484716.37</v>
      </c>
      <c r="AV315" s="1133">
        <f>+AV313+AV302+AV298</f>
        <v>202539296.65316796</v>
      </c>
      <c r="AW315" s="1133">
        <f>+AW313+AW302+AW298</f>
        <v>33272480.281959895</v>
      </c>
      <c r="AX315" s="1133">
        <f>+AX313+AX302+AX298</f>
        <v>80672939.43487215</v>
      </c>
      <c r="AY315" s="1073"/>
      <c r="BC315" s="1133">
        <f>+BC313+BC302+BC298</f>
        <v>316484716.37</v>
      </c>
      <c r="BD315" s="1133">
        <f>+BD313+BD302+BD298</f>
        <v>202539296.65316796</v>
      </c>
      <c r="BE315" s="1133">
        <f>+BE313+BE302+BE298</f>
        <v>33272480.281959895</v>
      </c>
      <c r="BF315" s="1133">
        <f>+BF313+BF302+BF298</f>
        <v>80672939.43487215</v>
      </c>
      <c r="BG315" s="1073"/>
      <c r="BK315" s="1133">
        <f>+BK313+BK302+BK298</f>
        <v>316484716.37</v>
      </c>
      <c r="BL315" s="1133">
        <f>+BL313+BL302+BL298</f>
        <v>202539296.65316796</v>
      </c>
      <c r="BM315" s="1133">
        <f>+BM313+BM302+BM298</f>
        <v>33272480.281959895</v>
      </c>
      <c r="BN315" s="1133">
        <f>+BN313+BN302+BN298</f>
        <v>80672939.43487215</v>
      </c>
      <c r="BO315" s="1073"/>
      <c r="BS315" s="1133">
        <f>+BS313+BS302+BS298</f>
        <v>316484716.37</v>
      </c>
      <c r="BT315" s="1133">
        <f>+BT313+BT302+BT298</f>
        <v>202539296.65316796</v>
      </c>
      <c r="BU315" s="1133">
        <f>+BU313+BU302+BU298</f>
        <v>33272480.281959895</v>
      </c>
      <c r="BV315" s="1133">
        <f>+BV313+BV302+BV298</f>
        <v>80672939.43487215</v>
      </c>
      <c r="BW315" s="1073"/>
      <c r="CA315" s="1133">
        <f>+CA313+CA302+CA298</f>
        <v>316484716.37</v>
      </c>
      <c r="CB315" s="1133">
        <f>+CB313+CB302+CB298</f>
        <v>202539296.65316796</v>
      </c>
      <c r="CC315" s="1133">
        <f>+CC313+CC302+CC298</f>
        <v>33272480.281959895</v>
      </c>
      <c r="CD315" s="1133">
        <f>+CD313+CD302+CD298</f>
        <v>80672939.43487215</v>
      </c>
      <c r="CE315" s="1073"/>
      <c r="CI315" s="1133">
        <f>+CI313+CI302+CI298</f>
        <v>316484716.37</v>
      </c>
      <c r="CJ315" s="1133">
        <f>+CJ313+CJ302+CJ298</f>
        <v>202539296.65316796</v>
      </c>
      <c r="CK315" s="1133">
        <f>+CK313+CK302+CK298</f>
        <v>33272480.281959895</v>
      </c>
      <c r="CL315" s="1133">
        <f>+CL313+CL302+CL298</f>
        <v>80672939.43487215</v>
      </c>
      <c r="CM315" s="1073"/>
      <c r="CQ315" s="1133">
        <f>+CQ313+CQ302+CQ298</f>
        <v>316484716.37</v>
      </c>
      <c r="CR315" s="1133">
        <f>+CR313+CR302+CR298</f>
        <v>202539296.65316796</v>
      </c>
      <c r="CS315" s="1133">
        <f>+CS313+CS302+CS298</f>
        <v>33272480.281959895</v>
      </c>
      <c r="CT315" s="1133">
        <f>+CT313+CT302+CT298</f>
        <v>80672939.43487215</v>
      </c>
      <c r="CU315" s="1073"/>
      <c r="CY315" s="1133">
        <f>+CY313+CY302+CY298</f>
        <v>316484716.37</v>
      </c>
      <c r="CZ315" s="1133">
        <f>+CZ313+CZ302+CZ298</f>
        <v>202539296.65316796</v>
      </c>
      <c r="DA315" s="1133">
        <f>+DA313+DA302+DA298</f>
        <v>33272480.281959895</v>
      </c>
      <c r="DB315" s="1133">
        <f>+DB313+DB302+DB298</f>
        <v>80672939.43487215</v>
      </c>
      <c r="DC315" s="1073"/>
      <c r="DG315" s="1133">
        <f>+DG313+DG302+DG298</f>
        <v>316484716.37</v>
      </c>
      <c r="DH315" s="1133">
        <f>+DH313+DH302+DH298</f>
        <v>202539296.65316796</v>
      </c>
      <c r="DI315" s="1133">
        <f>+DI313+DI302+DI298</f>
        <v>33272480.281959895</v>
      </c>
      <c r="DJ315" s="1133">
        <f>+DJ313+DJ302+DJ298</f>
        <v>80672939.43487215</v>
      </c>
      <c r="DK315" s="1073"/>
      <c r="DO315" s="1133">
        <f>+DO313+DO302+DO298</f>
        <v>316484716.37</v>
      </c>
      <c r="DP315" s="1133">
        <f>+DP313+DP302+DP298</f>
        <v>202539296.65316796</v>
      </c>
      <c r="DQ315" s="1133">
        <f>+DQ313+DQ302+DQ298</f>
        <v>33272480.281959895</v>
      </c>
      <c r="DR315" s="1133">
        <f>+DR313+DR302+DR298</f>
        <v>80672939.43487215</v>
      </c>
      <c r="DS315" s="1073"/>
      <c r="DW315" s="1133">
        <f>+DW313+DW302+DW298</f>
        <v>316484716.37</v>
      </c>
      <c r="DX315" s="1133">
        <f>+DX313+DX302+DX298</f>
        <v>202539296.65316796</v>
      </c>
      <c r="DY315" s="1133">
        <f>+DY313+DY302+DY298</f>
        <v>33272480.281959895</v>
      </c>
      <c r="DZ315" s="1133">
        <f>+DZ313+DZ302+DZ298</f>
        <v>80672939.43487215</v>
      </c>
      <c r="EA315" s="1073"/>
      <c r="EE315" s="1133">
        <f>+EE313+EE302+EE298</f>
        <v>316484716.37</v>
      </c>
      <c r="EF315" s="1133">
        <f>+EF313+EF302+EF298</f>
        <v>202539296.65316796</v>
      </c>
      <c r="EG315" s="1133">
        <f>+EG313+EG302+EG298</f>
        <v>33272480.281959895</v>
      </c>
      <c r="EH315" s="1133">
        <f>+EH313+EH302+EH298</f>
        <v>80672939.43487215</v>
      </c>
      <c r="EI315" s="1073"/>
      <c r="EM315" s="1133">
        <f>+EM313+EM302+EM298</f>
        <v>316484716.37</v>
      </c>
      <c r="EN315" s="1133">
        <f>+EN313+EN302+EN298</f>
        <v>202539296.65316796</v>
      </c>
      <c r="EO315" s="1133">
        <f>+EO313+EO302+EO298</f>
        <v>33272480.281959895</v>
      </c>
      <c r="EP315" s="1133">
        <f>+EP313+EP302+EP298</f>
        <v>80672939.43487215</v>
      </c>
      <c r="EQ315" s="1073"/>
      <c r="EU315" s="1133">
        <f>+EU313+EU302+EU298</f>
        <v>316484716.37</v>
      </c>
      <c r="EV315" s="1133">
        <f>+EV313+EV302+EV298</f>
        <v>202539296.65316796</v>
      </c>
      <c r="EW315" s="1133">
        <f>+EW313+EW302+EW298</f>
        <v>33272480.281959895</v>
      </c>
      <c r="EX315" s="1133">
        <f>+EX313+EX302+EX298</f>
        <v>80672939.43487215</v>
      </c>
      <c r="EY315" s="1073"/>
      <c r="FC315" s="1133">
        <f>+FC313+FC302+FC298</f>
        <v>316484716.37</v>
      </c>
      <c r="FD315" s="1133">
        <f>+FD313+FD302+FD298</f>
        <v>202539296.65316796</v>
      </c>
      <c r="FE315" s="1133">
        <f>+FE313+FE302+FE298</f>
        <v>33272480.281959895</v>
      </c>
      <c r="FF315" s="1133">
        <f>+FF313+FF302+FF298</f>
        <v>80672939.43487215</v>
      </c>
      <c r="FG315" s="1073"/>
      <c r="FK315" s="1133">
        <f>+FK313+FK302+FK298</f>
        <v>316484716.37</v>
      </c>
      <c r="FL315" s="1133">
        <f>+FL313+FL302+FL298</f>
        <v>202539296.65316796</v>
      </c>
      <c r="FM315" s="1133">
        <f>+FM313+FM302+FM298</f>
        <v>33272480.281959895</v>
      </c>
      <c r="FN315" s="1133">
        <f>+FN313+FN302+FN298</f>
        <v>80672939.43487215</v>
      </c>
      <c r="FO315" s="1073"/>
    </row>
    <row r="316" spans="1:171">
      <c r="A316" s="1430" t="s">
        <v>67</v>
      </c>
      <c r="B316" s="64"/>
      <c r="C316" s="79"/>
      <c r="D316" s="79"/>
      <c r="E316" s="79"/>
      <c r="F316" s="79"/>
      <c r="G316" s="79"/>
      <c r="H316" s="79"/>
      <c r="I316" s="79"/>
      <c r="J316" s="1488"/>
      <c r="K316" s="903"/>
      <c r="S316" s="1073"/>
      <c r="AA316" s="1073"/>
      <c r="AI316" s="1073"/>
      <c r="AQ316" s="1073"/>
      <c r="AY316" s="1073"/>
      <c r="BG316" s="1073"/>
      <c r="BO316" s="1073"/>
      <c r="BW316" s="1073"/>
      <c r="CE316" s="1073"/>
      <c r="CM316" s="1073"/>
      <c r="CU316" s="1073"/>
      <c r="DC316" s="1073"/>
      <c r="DK316" s="1073"/>
      <c r="DS316" s="1073"/>
      <c r="EA316" s="1073"/>
      <c r="EI316" s="1073"/>
      <c r="EQ316" s="1073"/>
      <c r="EY316" s="1073"/>
      <c r="FG316" s="1073"/>
      <c r="FO316" s="1073"/>
    </row>
    <row r="317" spans="1:171" ht="16.5" thickBot="1">
      <c r="A317" s="1489"/>
      <c r="B317" s="216"/>
      <c r="C317" s="216"/>
      <c r="D317" s="216"/>
      <c r="E317" s="216"/>
      <c r="F317" s="216"/>
      <c r="G317" s="216"/>
      <c r="H317" s="216"/>
      <c r="I317" s="216"/>
      <c r="J317" s="1490"/>
      <c r="K317" s="903"/>
      <c r="S317" s="1073"/>
      <c r="AA317" s="1073"/>
      <c r="AI317" s="1073"/>
      <c r="AQ317" s="1073"/>
      <c r="AY317" s="1073"/>
      <c r="BG317" s="1073"/>
      <c r="BO317" s="1073"/>
      <c r="BW317" s="1073"/>
      <c r="CE317" s="1073"/>
      <c r="CM317" s="1073"/>
      <c r="CU317" s="1073"/>
      <c r="DC317" s="1073"/>
      <c r="DK317" s="1073"/>
      <c r="DS317" s="1073"/>
      <c r="EA317" s="1073"/>
      <c r="EI317" s="1073"/>
      <c r="EQ317" s="1073"/>
      <c r="EY317" s="1073"/>
      <c r="FG317" s="1073"/>
      <c r="FO317" s="1073"/>
    </row>
    <row r="318" spans="1:171" ht="17.25" thickTop="1" thickBot="1">
      <c r="A318" s="1491" t="s">
        <v>66</v>
      </c>
      <c r="B318" s="1039"/>
      <c r="C318" s="1039"/>
      <c r="D318" s="1039"/>
      <c r="E318" s="1039"/>
      <c r="F318" s="1040"/>
      <c r="G318" s="1040"/>
      <c r="H318" s="1040"/>
      <c r="I318" s="1039"/>
      <c r="J318" s="1492"/>
      <c r="K318" s="903"/>
      <c r="S318" s="1073"/>
      <c r="AA318" s="1073"/>
      <c r="AI318" s="1073"/>
      <c r="AQ318" s="1073"/>
      <c r="AY318" s="1073"/>
      <c r="BG318" s="1073"/>
      <c r="BO318" s="1073"/>
      <c r="BW318" s="1073"/>
      <c r="CE318" s="1073"/>
      <c r="CM318" s="1073"/>
      <c r="CU318" s="1073"/>
      <c r="DC318" s="1073"/>
      <c r="DK318" s="1073"/>
      <c r="DS318" s="1073"/>
      <c r="EA318" s="1073"/>
      <c r="EI318" s="1073"/>
      <c r="EQ318" s="1073"/>
      <c r="EY318" s="1073"/>
      <c r="FG318" s="1073"/>
      <c r="FO318" s="1073"/>
    </row>
    <row r="319" spans="1:171">
      <c r="A319" s="1493"/>
      <c r="B319" s="1042"/>
      <c r="C319" s="1043"/>
      <c r="D319" s="1043"/>
      <c r="E319" s="1043"/>
      <c r="F319" s="1043"/>
      <c r="G319" s="1042"/>
      <c r="H319" s="1042"/>
      <c r="I319" s="1042"/>
      <c r="J319" s="1494"/>
      <c r="K319" s="903"/>
      <c r="S319" s="1073"/>
      <c r="AA319" s="1073"/>
      <c r="AI319" s="1073"/>
      <c r="AQ319" s="1073"/>
      <c r="AY319" s="1073"/>
      <c r="BG319" s="1073"/>
      <c r="BO319" s="1073"/>
      <c r="BW319" s="1073"/>
      <c r="CE319" s="1073"/>
      <c r="CM319" s="1073"/>
      <c r="CU319" s="1073"/>
      <c r="DC319" s="1073"/>
      <c r="DK319" s="1073"/>
      <c r="DS319" s="1073"/>
      <c r="EA319" s="1073"/>
      <c r="EI319" s="1073"/>
      <c r="EQ319" s="1073"/>
      <c r="EY319" s="1073"/>
      <c r="FG319" s="1073"/>
      <c r="FO319" s="1073"/>
    </row>
    <row r="320" spans="1:171" ht="16.5" thickBot="1">
      <c r="A320" s="1479"/>
      <c r="B320" s="1019"/>
      <c r="C320" s="1"/>
      <c r="D320" s="1"/>
      <c r="E320" s="1"/>
      <c r="F320" s="1"/>
      <c r="G320" s="1046" t="s">
        <v>97</v>
      </c>
      <c r="H320" s="1046" t="s">
        <v>97</v>
      </c>
      <c r="I320" s="1046" t="s">
        <v>97</v>
      </c>
      <c r="J320" s="1495" t="s">
        <v>97</v>
      </c>
      <c r="K320" s="903"/>
      <c r="S320" s="1073"/>
      <c r="AA320" s="1073"/>
      <c r="AI320" s="1073"/>
      <c r="AQ320" s="1073"/>
      <c r="AY320" s="1073"/>
      <c r="BG320" s="1073"/>
      <c r="BO320" s="1073"/>
      <c r="BW320" s="1073"/>
      <c r="CE320" s="1073"/>
      <c r="CM320" s="1073"/>
      <c r="CU320" s="1073"/>
      <c r="DC320" s="1073"/>
      <c r="DK320" s="1073"/>
      <c r="DS320" s="1073"/>
      <c r="EA320" s="1073"/>
      <c r="EI320" s="1073"/>
      <c r="EQ320" s="1073"/>
      <c r="EY320" s="1073"/>
      <c r="FG320" s="1073"/>
      <c r="FO320" s="1073"/>
    </row>
    <row r="321" spans="1:171" ht="16.5" thickBot="1">
      <c r="A321" s="1457"/>
      <c r="B321" s="1"/>
      <c r="C321" s="1"/>
      <c r="D321" s="1"/>
      <c r="E321" s="1"/>
      <c r="F321" s="1"/>
      <c r="G321" s="305" t="s">
        <v>104</v>
      </c>
      <c r="H321" s="305" t="s">
        <v>105</v>
      </c>
      <c r="I321" s="305" t="s">
        <v>106</v>
      </c>
      <c r="J321" s="1496" t="s">
        <v>516</v>
      </c>
      <c r="K321" s="903"/>
      <c r="O321" s="305" t="s">
        <v>104</v>
      </c>
      <c r="P321" s="305" t="s">
        <v>105</v>
      </c>
      <c r="Q321" s="305" t="s">
        <v>106</v>
      </c>
      <c r="R321" s="305" t="s">
        <v>516</v>
      </c>
      <c r="S321" s="903"/>
      <c r="W321" s="305" t="s">
        <v>104</v>
      </c>
      <c r="X321" s="305" t="s">
        <v>105</v>
      </c>
      <c r="Y321" s="305" t="s">
        <v>106</v>
      </c>
      <c r="Z321" s="305" t="s">
        <v>516</v>
      </c>
      <c r="AA321" s="903"/>
      <c r="AE321" s="305" t="s">
        <v>104</v>
      </c>
      <c r="AF321" s="305" t="s">
        <v>105</v>
      </c>
      <c r="AG321" s="305" t="s">
        <v>106</v>
      </c>
      <c r="AH321" s="305" t="s">
        <v>516</v>
      </c>
      <c r="AI321" s="903"/>
      <c r="AM321" s="305" t="s">
        <v>104</v>
      </c>
      <c r="AN321" s="305" t="s">
        <v>105</v>
      </c>
      <c r="AO321" s="305" t="s">
        <v>106</v>
      </c>
      <c r="AP321" s="305" t="s">
        <v>516</v>
      </c>
      <c r="AQ321" s="903"/>
      <c r="AU321" s="305" t="s">
        <v>104</v>
      </c>
      <c r="AV321" s="305" t="s">
        <v>105</v>
      </c>
      <c r="AW321" s="305" t="s">
        <v>106</v>
      </c>
      <c r="AX321" s="305" t="s">
        <v>516</v>
      </c>
      <c r="AY321" s="903"/>
      <c r="BC321" s="305" t="s">
        <v>104</v>
      </c>
      <c r="BD321" s="305" t="s">
        <v>105</v>
      </c>
      <c r="BE321" s="305" t="s">
        <v>106</v>
      </c>
      <c r="BF321" s="305" t="s">
        <v>516</v>
      </c>
      <c r="BG321" s="903"/>
      <c r="BK321" s="305" t="s">
        <v>104</v>
      </c>
      <c r="BL321" s="305" t="s">
        <v>105</v>
      </c>
      <c r="BM321" s="305" t="s">
        <v>106</v>
      </c>
      <c r="BN321" s="305" t="s">
        <v>516</v>
      </c>
      <c r="BO321" s="903"/>
      <c r="BS321" s="305" t="s">
        <v>104</v>
      </c>
      <c r="BT321" s="305" t="s">
        <v>105</v>
      </c>
      <c r="BU321" s="305" t="s">
        <v>106</v>
      </c>
      <c r="BV321" s="305" t="s">
        <v>516</v>
      </c>
      <c r="BW321" s="903"/>
      <c r="CA321" s="305" t="s">
        <v>104</v>
      </c>
      <c r="CB321" s="305" t="s">
        <v>105</v>
      </c>
      <c r="CC321" s="305" t="s">
        <v>106</v>
      </c>
      <c r="CD321" s="305" t="s">
        <v>516</v>
      </c>
      <c r="CE321" s="903"/>
      <c r="CI321" s="305" t="s">
        <v>104</v>
      </c>
      <c r="CJ321" s="305" t="s">
        <v>105</v>
      </c>
      <c r="CK321" s="305" t="s">
        <v>106</v>
      </c>
      <c r="CL321" s="305" t="s">
        <v>516</v>
      </c>
      <c r="CM321" s="903"/>
      <c r="CQ321" s="305" t="s">
        <v>104</v>
      </c>
      <c r="CR321" s="305" t="s">
        <v>105</v>
      </c>
      <c r="CS321" s="305" t="s">
        <v>106</v>
      </c>
      <c r="CT321" s="305" t="s">
        <v>516</v>
      </c>
      <c r="CU321" s="903"/>
      <c r="CY321" s="305" t="s">
        <v>104</v>
      </c>
      <c r="CZ321" s="305" t="s">
        <v>105</v>
      </c>
      <c r="DA321" s="305" t="s">
        <v>106</v>
      </c>
      <c r="DB321" s="305" t="s">
        <v>516</v>
      </c>
      <c r="DC321" s="903"/>
      <c r="DG321" s="305" t="s">
        <v>104</v>
      </c>
      <c r="DH321" s="305" t="s">
        <v>105</v>
      </c>
      <c r="DI321" s="305" t="s">
        <v>106</v>
      </c>
      <c r="DJ321" s="305" t="s">
        <v>516</v>
      </c>
      <c r="DK321" s="903"/>
      <c r="DO321" s="305" t="s">
        <v>104</v>
      </c>
      <c r="DP321" s="305" t="s">
        <v>105</v>
      </c>
      <c r="DQ321" s="305" t="s">
        <v>106</v>
      </c>
      <c r="DR321" s="305" t="s">
        <v>516</v>
      </c>
      <c r="DS321" s="903"/>
      <c r="DW321" s="305" t="s">
        <v>104</v>
      </c>
      <c r="DX321" s="305" t="s">
        <v>105</v>
      </c>
      <c r="DY321" s="305" t="s">
        <v>106</v>
      </c>
      <c r="DZ321" s="305" t="s">
        <v>516</v>
      </c>
      <c r="EA321" s="903"/>
      <c r="EE321" s="305" t="s">
        <v>104</v>
      </c>
      <c r="EF321" s="305" t="s">
        <v>105</v>
      </c>
      <c r="EG321" s="305" t="s">
        <v>106</v>
      </c>
      <c r="EH321" s="305" t="s">
        <v>516</v>
      </c>
      <c r="EI321" s="903"/>
      <c r="EM321" s="305" t="s">
        <v>104</v>
      </c>
      <c r="EN321" s="305" t="s">
        <v>105</v>
      </c>
      <c r="EO321" s="305" t="s">
        <v>106</v>
      </c>
      <c r="EP321" s="305" t="s">
        <v>516</v>
      </c>
      <c r="EQ321" s="903"/>
      <c r="EU321" s="305" t="s">
        <v>104</v>
      </c>
      <c r="EV321" s="305" t="s">
        <v>105</v>
      </c>
      <c r="EW321" s="305" t="s">
        <v>106</v>
      </c>
      <c r="EX321" s="305" t="s">
        <v>516</v>
      </c>
      <c r="EY321" s="903"/>
      <c r="FC321" s="305" t="s">
        <v>104</v>
      </c>
      <c r="FD321" s="305" t="s">
        <v>105</v>
      </c>
      <c r="FE321" s="305" t="s">
        <v>106</v>
      </c>
      <c r="FF321" s="305" t="s">
        <v>516</v>
      </c>
      <c r="FG321" s="903"/>
      <c r="FK321" s="305" t="s">
        <v>104</v>
      </c>
      <c r="FL321" s="305" t="s">
        <v>105</v>
      </c>
      <c r="FM321" s="305" t="s">
        <v>106</v>
      </c>
      <c r="FN321" s="305" t="s">
        <v>516</v>
      </c>
      <c r="FO321" s="903"/>
    </row>
    <row r="322" spans="1:171">
      <c r="A322" s="1345" t="s">
        <v>50</v>
      </c>
      <c r="B322" s="51"/>
      <c r="C322" s="1"/>
      <c r="D322" s="1"/>
      <c r="E322" s="1"/>
      <c r="F322" s="1"/>
      <c r="G322" s="923">
        <f>G260</f>
        <v>937273416.83000004</v>
      </c>
      <c r="H322" s="923">
        <f>H260</f>
        <v>611677016.79410982</v>
      </c>
      <c r="I322" s="923">
        <f>I260</f>
        <v>0</v>
      </c>
      <c r="J322" s="1431">
        <f>J260</f>
        <v>325596400.03416735</v>
      </c>
      <c r="K322" s="903"/>
      <c r="O322" s="923">
        <f>O260</f>
        <v>937273416.83000004</v>
      </c>
      <c r="P322" s="923">
        <f>P260</f>
        <v>611677016.79410982</v>
      </c>
      <c r="Q322" s="923">
        <f>Q260</f>
        <v>47412482.929716811</v>
      </c>
      <c r="R322" s="923">
        <f>R260</f>
        <v>278183917.10617346</v>
      </c>
      <c r="S322" s="903"/>
      <c r="W322" s="923">
        <f>W260</f>
        <v>937273416.83000004</v>
      </c>
      <c r="X322" s="923">
        <f>X260</f>
        <v>611677016.79410982</v>
      </c>
      <c r="Y322" s="923">
        <f>Y260</f>
        <v>47412482.929716811</v>
      </c>
      <c r="Z322" s="923">
        <f>Z260</f>
        <v>278183917.10617346</v>
      </c>
      <c r="AA322" s="903"/>
      <c r="AE322" s="923">
        <f>AE260</f>
        <v>937273416.83000004</v>
      </c>
      <c r="AF322" s="923">
        <f>AF260</f>
        <v>611677016.79410982</v>
      </c>
      <c r="AG322" s="923">
        <f>AG260</f>
        <v>47412482.929716811</v>
      </c>
      <c r="AH322" s="923">
        <f>AH260</f>
        <v>278183917.10617346</v>
      </c>
      <c r="AI322" s="903"/>
      <c r="AM322" s="923">
        <f>AM260</f>
        <v>937273416.83000004</v>
      </c>
      <c r="AN322" s="923">
        <f>AN260</f>
        <v>611677016.79410982</v>
      </c>
      <c r="AO322" s="923">
        <f>AO260</f>
        <v>47412482.929716811</v>
      </c>
      <c r="AP322" s="923">
        <f>AP260</f>
        <v>278183917.10617346</v>
      </c>
      <c r="AQ322" s="903"/>
      <c r="AU322" s="923">
        <f>AU260</f>
        <v>937273416.83000004</v>
      </c>
      <c r="AV322" s="923">
        <f>AV260</f>
        <v>611677016.79410982</v>
      </c>
      <c r="AW322" s="923">
        <f>AW260</f>
        <v>47412482.929716811</v>
      </c>
      <c r="AX322" s="923">
        <f>AX260</f>
        <v>278183917.10617346</v>
      </c>
      <c r="AY322" s="903"/>
      <c r="BC322" s="923">
        <f>BC260</f>
        <v>937273416.83000004</v>
      </c>
      <c r="BD322" s="923">
        <f>BD260</f>
        <v>611677016.79410982</v>
      </c>
      <c r="BE322" s="923">
        <f>BE260</f>
        <v>47412482.929716811</v>
      </c>
      <c r="BF322" s="923">
        <f>BF260</f>
        <v>278183917.10617346</v>
      </c>
      <c r="BG322" s="903"/>
      <c r="BK322" s="923">
        <f>BK260</f>
        <v>937273416.83000004</v>
      </c>
      <c r="BL322" s="923">
        <f>BL260</f>
        <v>611677016.79410982</v>
      </c>
      <c r="BM322" s="923">
        <f>BM260</f>
        <v>47412482.929716811</v>
      </c>
      <c r="BN322" s="923">
        <f>BN260</f>
        <v>278183917.10617346</v>
      </c>
      <c r="BO322" s="903"/>
      <c r="BS322" s="923">
        <f>BS260</f>
        <v>937273416.83000004</v>
      </c>
      <c r="BT322" s="923">
        <f>BT260</f>
        <v>611677016.79410982</v>
      </c>
      <c r="BU322" s="923">
        <f>BU260</f>
        <v>47412482.929716811</v>
      </c>
      <c r="BV322" s="923">
        <f>BV260</f>
        <v>278183917.10617346</v>
      </c>
      <c r="BW322" s="903"/>
      <c r="CA322" s="923">
        <f>CA260</f>
        <v>937273416.83000004</v>
      </c>
      <c r="CB322" s="923">
        <f>CB260</f>
        <v>611677016.79410982</v>
      </c>
      <c r="CC322" s="923">
        <f>CC260</f>
        <v>47412482.929716811</v>
      </c>
      <c r="CD322" s="923">
        <f>CD260</f>
        <v>278183917.10617346</v>
      </c>
      <c r="CE322" s="903"/>
      <c r="CI322" s="923">
        <f>CI260</f>
        <v>937273416.83000004</v>
      </c>
      <c r="CJ322" s="923">
        <f>CJ260</f>
        <v>611677016.79410982</v>
      </c>
      <c r="CK322" s="923">
        <f>CK260</f>
        <v>47412482.929716811</v>
      </c>
      <c r="CL322" s="923">
        <f>CL260</f>
        <v>278183917.10617346</v>
      </c>
      <c r="CM322" s="903"/>
      <c r="CQ322" s="923">
        <f>CQ260</f>
        <v>937273416.83000004</v>
      </c>
      <c r="CR322" s="923">
        <f>CR260</f>
        <v>611677016.79410982</v>
      </c>
      <c r="CS322" s="923">
        <f>CS260</f>
        <v>47412482.929716811</v>
      </c>
      <c r="CT322" s="923">
        <f>CT260</f>
        <v>278183917.10617346</v>
      </c>
      <c r="CU322" s="903"/>
      <c r="CY322" s="923">
        <f>CY260</f>
        <v>937273416.83000004</v>
      </c>
      <c r="CZ322" s="923">
        <f>CZ260</f>
        <v>611677016.79410982</v>
      </c>
      <c r="DA322" s="923">
        <f>DA260</f>
        <v>47412482.929716811</v>
      </c>
      <c r="DB322" s="923">
        <f>DB260</f>
        <v>278183917.10617346</v>
      </c>
      <c r="DC322" s="903"/>
      <c r="DG322" s="923">
        <f>DG260</f>
        <v>937273416.83000004</v>
      </c>
      <c r="DH322" s="923">
        <f>DH260</f>
        <v>611677016.79410982</v>
      </c>
      <c r="DI322" s="923">
        <f>DI260</f>
        <v>47412482.929716811</v>
      </c>
      <c r="DJ322" s="923">
        <f>DJ260</f>
        <v>278183917.10617346</v>
      </c>
      <c r="DK322" s="903"/>
      <c r="DO322" s="923">
        <f>DO260</f>
        <v>937273416.83000004</v>
      </c>
      <c r="DP322" s="923">
        <f>DP260</f>
        <v>611677016.79410982</v>
      </c>
      <c r="DQ322" s="923">
        <f>DQ260</f>
        <v>47412482.929716811</v>
      </c>
      <c r="DR322" s="923">
        <f>DR260</f>
        <v>278183917.10617346</v>
      </c>
      <c r="DS322" s="903"/>
      <c r="DW322" s="923">
        <f>DW260</f>
        <v>937273416.83000004</v>
      </c>
      <c r="DX322" s="923">
        <f>DX260</f>
        <v>611677016.79410982</v>
      </c>
      <c r="DY322" s="923">
        <f>DY260</f>
        <v>47412482.929716811</v>
      </c>
      <c r="DZ322" s="923">
        <f>DZ260</f>
        <v>278183917.10617346</v>
      </c>
      <c r="EA322" s="903"/>
      <c r="EE322" s="923">
        <f>EE260</f>
        <v>937273416.83000004</v>
      </c>
      <c r="EF322" s="923">
        <f>EF260</f>
        <v>611677016.79410982</v>
      </c>
      <c r="EG322" s="923">
        <f>EG260</f>
        <v>47412482.929716811</v>
      </c>
      <c r="EH322" s="923">
        <f>EH260</f>
        <v>278183917.10617346</v>
      </c>
      <c r="EI322" s="903"/>
      <c r="EM322" s="923">
        <f>EM260</f>
        <v>937273416.83000004</v>
      </c>
      <c r="EN322" s="923">
        <f>EN260</f>
        <v>611677016.79410982</v>
      </c>
      <c r="EO322" s="923">
        <f>EO260</f>
        <v>47412482.929716811</v>
      </c>
      <c r="EP322" s="923">
        <f>EP260</f>
        <v>278183917.10617346</v>
      </c>
      <c r="EQ322" s="903"/>
      <c r="EU322" s="923">
        <f>EU260</f>
        <v>937273416.83000004</v>
      </c>
      <c r="EV322" s="923">
        <f>EV260</f>
        <v>611677016.79410982</v>
      </c>
      <c r="EW322" s="923">
        <f>EW260</f>
        <v>47412482.929716811</v>
      </c>
      <c r="EX322" s="923">
        <f>EX260</f>
        <v>278183917.10617346</v>
      </c>
      <c r="EY322" s="903"/>
      <c r="FC322" s="923">
        <f>FC260</f>
        <v>937273416.83000004</v>
      </c>
      <c r="FD322" s="923">
        <f>FD260</f>
        <v>611677016.79410982</v>
      </c>
      <c r="FE322" s="923">
        <f>FE260</f>
        <v>47412482.929716811</v>
      </c>
      <c r="FF322" s="923">
        <f>FF260</f>
        <v>278183917.10617346</v>
      </c>
      <c r="FG322" s="903"/>
      <c r="FK322" s="923">
        <f>FK260</f>
        <v>937273416.83000004</v>
      </c>
      <c r="FL322" s="923">
        <f>FL260</f>
        <v>611677016.79410982</v>
      </c>
      <c r="FM322" s="923">
        <f>FM260</f>
        <v>47412482.929716811</v>
      </c>
      <c r="FN322" s="923">
        <f>FN260</f>
        <v>278183917.10617346</v>
      </c>
      <c r="FO322" s="903"/>
    </row>
    <row r="323" spans="1:171">
      <c r="A323" s="1430" t="s">
        <v>68</v>
      </c>
      <c r="B323" s="51"/>
      <c r="C323" s="1"/>
      <c r="D323" s="1"/>
      <c r="E323" s="1"/>
      <c r="F323" s="1"/>
      <c r="G323" s="221"/>
      <c r="H323" s="221"/>
      <c r="I323" s="221"/>
      <c r="J323" s="1428"/>
      <c r="K323" s="903"/>
      <c r="O323" s="221"/>
      <c r="P323" s="221"/>
      <c r="Q323" s="221"/>
      <c r="R323" s="1051"/>
      <c r="S323" s="903"/>
      <c r="W323" s="221"/>
      <c r="X323" s="221"/>
      <c r="Y323" s="221"/>
      <c r="Z323" s="1051"/>
      <c r="AA323" s="903"/>
      <c r="AE323" s="221"/>
      <c r="AF323" s="221"/>
      <c r="AG323" s="221"/>
      <c r="AH323" s="1051"/>
      <c r="AI323" s="903"/>
      <c r="AM323" s="221"/>
      <c r="AN323" s="221"/>
      <c r="AO323" s="221"/>
      <c r="AP323" s="1051"/>
      <c r="AQ323" s="903"/>
      <c r="AU323" s="221"/>
      <c r="AV323" s="221"/>
      <c r="AW323" s="221"/>
      <c r="AX323" s="1051"/>
      <c r="AY323" s="903"/>
      <c r="BC323" s="221"/>
      <c r="BD323" s="221"/>
      <c r="BE323" s="221"/>
      <c r="BF323" s="1051"/>
      <c r="BG323" s="903"/>
      <c r="BK323" s="221"/>
      <c r="BL323" s="221"/>
      <c r="BM323" s="221"/>
      <c r="BN323" s="1051"/>
      <c r="BO323" s="903"/>
      <c r="BS323" s="221"/>
      <c r="BT323" s="221"/>
      <c r="BU323" s="221"/>
      <c r="BV323" s="1051"/>
      <c r="BW323" s="903"/>
      <c r="CA323" s="221"/>
      <c r="CB323" s="221"/>
      <c r="CC323" s="221"/>
      <c r="CD323" s="1051"/>
      <c r="CE323" s="903"/>
      <c r="CI323" s="221"/>
      <c r="CJ323" s="221"/>
      <c r="CK323" s="221"/>
      <c r="CL323" s="1051"/>
      <c r="CM323" s="903"/>
      <c r="CQ323" s="221"/>
      <c r="CR323" s="221"/>
      <c r="CS323" s="221"/>
      <c r="CT323" s="1051"/>
      <c r="CU323" s="903"/>
      <c r="CY323" s="221"/>
      <c r="CZ323" s="221"/>
      <c r="DA323" s="221"/>
      <c r="DB323" s="1051"/>
      <c r="DC323" s="903"/>
      <c r="DG323" s="221"/>
      <c r="DH323" s="221"/>
      <c r="DI323" s="221"/>
      <c r="DJ323" s="1051"/>
      <c r="DK323" s="903"/>
      <c r="DO323" s="221"/>
      <c r="DP323" s="221"/>
      <c r="DQ323" s="221"/>
      <c r="DR323" s="1051"/>
      <c r="DS323" s="903"/>
      <c r="DW323" s="221"/>
      <c r="DX323" s="221"/>
      <c r="DY323" s="221"/>
      <c r="DZ323" s="1051"/>
      <c r="EA323" s="903"/>
      <c r="EE323" s="221"/>
      <c r="EF323" s="221"/>
      <c r="EG323" s="221"/>
      <c r="EH323" s="1051"/>
      <c r="EI323" s="903"/>
      <c r="EM323" s="221"/>
      <c r="EN323" s="221"/>
      <c r="EO323" s="221"/>
      <c r="EP323" s="1051"/>
      <c r="EQ323" s="903"/>
      <c r="EU323" s="221"/>
      <c r="EV323" s="221"/>
      <c r="EW323" s="221"/>
      <c r="EX323" s="1051"/>
      <c r="EY323" s="903"/>
      <c r="FC323" s="221"/>
      <c r="FD323" s="221"/>
      <c r="FE323" s="221"/>
      <c r="FF323" s="1051"/>
      <c r="FG323" s="903"/>
      <c r="FK323" s="221"/>
      <c r="FL323" s="221"/>
      <c r="FM323" s="221"/>
      <c r="FN323" s="1051"/>
      <c r="FO323" s="903"/>
    </row>
    <row r="324" spans="1:171">
      <c r="A324" s="1430"/>
      <c r="B324" s="51"/>
      <c r="C324" s="1"/>
      <c r="D324" s="1"/>
      <c r="E324" s="1"/>
      <c r="F324" s="1"/>
      <c r="G324" s="221"/>
      <c r="H324" s="221"/>
      <c r="I324" s="221"/>
      <c r="J324" s="1428"/>
      <c r="K324" s="903"/>
      <c r="O324" s="221"/>
      <c r="P324" s="221"/>
      <c r="Q324" s="221"/>
      <c r="R324" s="1051"/>
      <c r="S324" s="903"/>
      <c r="W324" s="221"/>
      <c r="X324" s="221"/>
      <c r="Y324" s="221"/>
      <c r="Z324" s="1051"/>
      <c r="AA324" s="903"/>
      <c r="AE324" s="221"/>
      <c r="AF324" s="221"/>
      <c r="AG324" s="221"/>
      <c r="AH324" s="1051"/>
      <c r="AI324" s="903"/>
      <c r="AM324" s="221"/>
      <c r="AN324" s="221"/>
      <c r="AO324" s="221"/>
      <c r="AP324" s="1051"/>
      <c r="AQ324" s="903"/>
      <c r="AU324" s="221"/>
      <c r="AV324" s="221"/>
      <c r="AW324" s="221"/>
      <c r="AX324" s="1051"/>
      <c r="AY324" s="903"/>
      <c r="BC324" s="221"/>
      <c r="BD324" s="221"/>
      <c r="BE324" s="221"/>
      <c r="BF324" s="1051"/>
      <c r="BG324" s="903"/>
      <c r="BK324" s="221"/>
      <c r="BL324" s="221"/>
      <c r="BM324" s="221"/>
      <c r="BN324" s="1051"/>
      <c r="BO324" s="903"/>
      <c r="BS324" s="221"/>
      <c r="BT324" s="221"/>
      <c r="BU324" s="221"/>
      <c r="BV324" s="1051"/>
      <c r="BW324" s="903"/>
      <c r="CA324" s="221"/>
      <c r="CB324" s="221"/>
      <c r="CC324" s="221"/>
      <c r="CD324" s="1051"/>
      <c r="CE324" s="903"/>
      <c r="CI324" s="221"/>
      <c r="CJ324" s="221"/>
      <c r="CK324" s="221"/>
      <c r="CL324" s="1051"/>
      <c r="CM324" s="903"/>
      <c r="CQ324" s="221"/>
      <c r="CR324" s="221"/>
      <c r="CS324" s="221"/>
      <c r="CT324" s="1051"/>
      <c r="CU324" s="903"/>
      <c r="CY324" s="221"/>
      <c r="CZ324" s="221"/>
      <c r="DA324" s="221"/>
      <c r="DB324" s="1051"/>
      <c r="DC324" s="903"/>
      <c r="DG324" s="221"/>
      <c r="DH324" s="221"/>
      <c r="DI324" s="221"/>
      <c r="DJ324" s="1051"/>
      <c r="DK324" s="903"/>
      <c r="DO324" s="221"/>
      <c r="DP324" s="221"/>
      <c r="DQ324" s="221"/>
      <c r="DR324" s="1051"/>
      <c r="DS324" s="903"/>
      <c r="DW324" s="221"/>
      <c r="DX324" s="221"/>
      <c r="DY324" s="221"/>
      <c r="DZ324" s="1051"/>
      <c r="EA324" s="903"/>
      <c r="EE324" s="221"/>
      <c r="EF324" s="221"/>
      <c r="EG324" s="221"/>
      <c r="EH324" s="1051"/>
      <c r="EI324" s="903"/>
      <c r="EM324" s="221"/>
      <c r="EN324" s="221"/>
      <c r="EO324" s="221"/>
      <c r="EP324" s="1051"/>
      <c r="EQ324" s="903"/>
      <c r="EU324" s="221"/>
      <c r="EV324" s="221"/>
      <c r="EW324" s="221"/>
      <c r="EX324" s="1051"/>
      <c r="EY324" s="903"/>
      <c r="FC324" s="221"/>
      <c r="FD324" s="221"/>
      <c r="FE324" s="221"/>
      <c r="FF324" s="1051"/>
      <c r="FG324" s="903"/>
      <c r="FK324" s="221"/>
      <c r="FL324" s="221"/>
      <c r="FM324" s="221"/>
      <c r="FN324" s="1051"/>
      <c r="FO324" s="903"/>
    </row>
    <row r="325" spans="1:171">
      <c r="A325" s="1345" t="s">
        <v>141</v>
      </c>
      <c r="B325" s="51"/>
      <c r="C325" s="1"/>
      <c r="D325" s="1"/>
      <c r="E325" s="1"/>
      <c r="F325" s="1"/>
      <c r="G325" s="923">
        <f>G167</f>
        <v>318560839.00773537</v>
      </c>
      <c r="H325" s="923">
        <f>H167</f>
        <v>91289873.635046005</v>
      </c>
      <c r="I325" s="923">
        <f>I167</f>
        <v>0</v>
      </c>
      <c r="J325" s="1431">
        <f>J167</f>
        <v>227270965.2772226</v>
      </c>
      <c r="K325" s="903"/>
      <c r="O325" s="923">
        <f>O167</f>
        <v>318560839.00773537</v>
      </c>
      <c r="P325" s="923">
        <f>P167</f>
        <v>91289873.635046005</v>
      </c>
      <c r="Q325" s="923">
        <f>Q167</f>
        <v>68995342.635173887</v>
      </c>
      <c r="R325" s="923">
        <f>R167</f>
        <v>158275622.73751551</v>
      </c>
      <c r="S325" s="903"/>
      <c r="W325" s="923">
        <f>W167</f>
        <v>318560839.00773537</v>
      </c>
      <c r="X325" s="923">
        <f>X167</f>
        <v>91289873.635046005</v>
      </c>
      <c r="Y325" s="923">
        <f>Y167</f>
        <v>68995342.635173887</v>
      </c>
      <c r="Z325" s="923">
        <f>Z167</f>
        <v>158275622.73751551</v>
      </c>
      <c r="AA325" s="903"/>
      <c r="AE325" s="923">
        <f>AE167</f>
        <v>318560839.00773537</v>
      </c>
      <c r="AF325" s="923">
        <f>AF167</f>
        <v>91289873.635046005</v>
      </c>
      <c r="AG325" s="923">
        <f>AG167</f>
        <v>68995342.635173887</v>
      </c>
      <c r="AH325" s="923">
        <f>AH167</f>
        <v>158275622.73751551</v>
      </c>
      <c r="AI325" s="903"/>
      <c r="AM325" s="923">
        <f>AM167</f>
        <v>318560839.00773537</v>
      </c>
      <c r="AN325" s="923">
        <f>AN167</f>
        <v>91289873.635046005</v>
      </c>
      <c r="AO325" s="923">
        <f>AO167</f>
        <v>68995342.635173887</v>
      </c>
      <c r="AP325" s="923">
        <f>AP167</f>
        <v>158275622.73751551</v>
      </c>
      <c r="AQ325" s="903"/>
      <c r="AU325" s="923">
        <f>AU167</f>
        <v>318560839.00773537</v>
      </c>
      <c r="AV325" s="923">
        <f>AV167</f>
        <v>91289873.635046005</v>
      </c>
      <c r="AW325" s="923">
        <f>AW167</f>
        <v>68995342.635173887</v>
      </c>
      <c r="AX325" s="923">
        <f>AX167</f>
        <v>158275622.73751551</v>
      </c>
      <c r="AY325" s="903"/>
      <c r="BC325" s="923">
        <f>BC167</f>
        <v>318560839.00773537</v>
      </c>
      <c r="BD325" s="923">
        <f>BD167</f>
        <v>91289873.635046005</v>
      </c>
      <c r="BE325" s="923">
        <f>BE167</f>
        <v>68995342.635173887</v>
      </c>
      <c r="BF325" s="923">
        <f>BF167</f>
        <v>158275622.73751551</v>
      </c>
      <c r="BG325" s="903"/>
      <c r="BK325" s="923">
        <f>BK167</f>
        <v>318560839.00773537</v>
      </c>
      <c r="BL325" s="923">
        <f>BL167</f>
        <v>91289873.635046005</v>
      </c>
      <c r="BM325" s="923">
        <f>BM167</f>
        <v>68995342.635173887</v>
      </c>
      <c r="BN325" s="923">
        <f>BN167</f>
        <v>158275622.73751551</v>
      </c>
      <c r="BO325" s="903"/>
      <c r="BS325" s="923">
        <f>BS167</f>
        <v>318560839.00773537</v>
      </c>
      <c r="BT325" s="923">
        <f>BT167</f>
        <v>91289873.635046005</v>
      </c>
      <c r="BU325" s="923">
        <f>BU167</f>
        <v>68995342.635173887</v>
      </c>
      <c r="BV325" s="923">
        <f>BV167</f>
        <v>158275622.73751551</v>
      </c>
      <c r="BW325" s="903"/>
      <c r="CA325" s="923">
        <f>CA167</f>
        <v>318560839.00773537</v>
      </c>
      <c r="CB325" s="923">
        <f>CB167</f>
        <v>91289873.635046005</v>
      </c>
      <c r="CC325" s="923">
        <f>CC167</f>
        <v>68995342.635173887</v>
      </c>
      <c r="CD325" s="923">
        <f>CD167</f>
        <v>158275622.73751551</v>
      </c>
      <c r="CE325" s="903"/>
      <c r="CI325" s="923">
        <f>CI167</f>
        <v>318560839.00773537</v>
      </c>
      <c r="CJ325" s="923">
        <f>CJ167</f>
        <v>91289873.635046005</v>
      </c>
      <c r="CK325" s="923">
        <f>CK167</f>
        <v>68995342.635173887</v>
      </c>
      <c r="CL325" s="923">
        <f>CL167</f>
        <v>158275622.73751551</v>
      </c>
      <c r="CM325" s="903"/>
      <c r="CQ325" s="923">
        <f>CQ167</f>
        <v>318560839.00773537</v>
      </c>
      <c r="CR325" s="923">
        <f>CR167</f>
        <v>91289873.635046005</v>
      </c>
      <c r="CS325" s="923">
        <f>CS167</f>
        <v>68995342.635173887</v>
      </c>
      <c r="CT325" s="923">
        <f>CT167</f>
        <v>158275622.73751551</v>
      </c>
      <c r="CU325" s="903"/>
      <c r="CY325" s="923">
        <f>CY167</f>
        <v>318560839.00773537</v>
      </c>
      <c r="CZ325" s="923">
        <f>CZ167</f>
        <v>91289873.635046005</v>
      </c>
      <c r="DA325" s="923">
        <f>DA167</f>
        <v>68995342.635173887</v>
      </c>
      <c r="DB325" s="923">
        <f>DB167</f>
        <v>158275622.73751551</v>
      </c>
      <c r="DC325" s="903"/>
      <c r="DG325" s="923">
        <f>DG167</f>
        <v>318560839.00773537</v>
      </c>
      <c r="DH325" s="923">
        <f>DH167</f>
        <v>91289873.635046005</v>
      </c>
      <c r="DI325" s="923">
        <f>DI167</f>
        <v>68995342.635173887</v>
      </c>
      <c r="DJ325" s="923">
        <f>DJ167</f>
        <v>158275622.73751551</v>
      </c>
      <c r="DK325" s="903"/>
      <c r="DO325" s="923">
        <f>DO167</f>
        <v>318560839.00773537</v>
      </c>
      <c r="DP325" s="923">
        <f>DP167</f>
        <v>91289873.635046005</v>
      </c>
      <c r="DQ325" s="923">
        <f>DQ167</f>
        <v>68995342.635173887</v>
      </c>
      <c r="DR325" s="923">
        <f>DR167</f>
        <v>158275622.73751551</v>
      </c>
      <c r="DS325" s="903"/>
      <c r="DW325" s="923">
        <f>DW167</f>
        <v>318560839.00773537</v>
      </c>
      <c r="DX325" s="923">
        <f>DX167</f>
        <v>91289873.635046005</v>
      </c>
      <c r="DY325" s="923">
        <f>DY167</f>
        <v>68995342.635173887</v>
      </c>
      <c r="DZ325" s="923">
        <f>DZ167</f>
        <v>158275622.73751551</v>
      </c>
      <c r="EA325" s="903"/>
      <c r="EE325" s="923">
        <f>EE167</f>
        <v>318560839.00773537</v>
      </c>
      <c r="EF325" s="923">
        <f>EF167</f>
        <v>91289873.635046005</v>
      </c>
      <c r="EG325" s="923">
        <f>EG167</f>
        <v>68995342.635173887</v>
      </c>
      <c r="EH325" s="923">
        <f>EH167</f>
        <v>158275622.73751551</v>
      </c>
      <c r="EI325" s="903"/>
      <c r="EM325" s="923">
        <f>EM167</f>
        <v>318560839.00773537</v>
      </c>
      <c r="EN325" s="923">
        <f>EN167</f>
        <v>91289873.635046005</v>
      </c>
      <c r="EO325" s="923">
        <f>EO167</f>
        <v>68995342.635173887</v>
      </c>
      <c r="EP325" s="923">
        <f>EP167</f>
        <v>158275622.73751551</v>
      </c>
      <c r="EQ325" s="903"/>
      <c r="EU325" s="923">
        <f>EU167</f>
        <v>318560839.00773537</v>
      </c>
      <c r="EV325" s="923">
        <f>EV167</f>
        <v>91289873.635046005</v>
      </c>
      <c r="EW325" s="923">
        <f>EW167</f>
        <v>68995342.635173887</v>
      </c>
      <c r="EX325" s="923">
        <f>EX167</f>
        <v>158275622.73751551</v>
      </c>
      <c r="EY325" s="903"/>
      <c r="FC325" s="923">
        <f>FC167</f>
        <v>318560839.00773537</v>
      </c>
      <c r="FD325" s="923">
        <f>FD167</f>
        <v>91289873.635046005</v>
      </c>
      <c r="FE325" s="923">
        <f>FE167</f>
        <v>68995342.635173887</v>
      </c>
      <c r="FF325" s="923">
        <f>FF167</f>
        <v>158275622.73751551</v>
      </c>
      <c r="FG325" s="903"/>
      <c r="FK325" s="923">
        <f>FK167</f>
        <v>318560839.00773537</v>
      </c>
      <c r="FL325" s="923">
        <f>FL167</f>
        <v>91289873.635046005</v>
      </c>
      <c r="FM325" s="923">
        <f>FM167</f>
        <v>68995342.635173887</v>
      </c>
      <c r="FN325" s="923">
        <f>FN167</f>
        <v>158275622.73751551</v>
      </c>
      <c r="FO325" s="903"/>
    </row>
    <row r="326" spans="1:171">
      <c r="A326" s="1430" t="s">
        <v>254</v>
      </c>
      <c r="B326" s="51"/>
      <c r="C326" s="1"/>
      <c r="D326" s="1"/>
      <c r="E326" s="1"/>
      <c r="F326" s="1"/>
      <c r="G326" s="221"/>
      <c r="H326" s="221"/>
      <c r="I326" s="221"/>
      <c r="J326" s="1428"/>
      <c r="K326" s="903"/>
      <c r="O326" s="221"/>
      <c r="P326" s="221"/>
      <c r="Q326" s="221"/>
      <c r="R326" s="1051"/>
      <c r="S326" s="903"/>
      <c r="W326" s="221"/>
      <c r="X326" s="221"/>
      <c r="Y326" s="221"/>
      <c r="Z326" s="1051"/>
      <c r="AA326" s="903"/>
      <c r="AE326" s="221"/>
      <c r="AF326" s="221"/>
      <c r="AG326" s="221"/>
      <c r="AH326" s="1051"/>
      <c r="AI326" s="903"/>
      <c r="AM326" s="221"/>
      <c r="AN326" s="221"/>
      <c r="AO326" s="221"/>
      <c r="AP326" s="1051"/>
      <c r="AQ326" s="903"/>
      <c r="AU326" s="221"/>
      <c r="AV326" s="221"/>
      <c r="AW326" s="221"/>
      <c r="AX326" s="1051"/>
      <c r="AY326" s="903"/>
      <c r="BC326" s="221"/>
      <c r="BD326" s="221"/>
      <c r="BE326" s="221"/>
      <c r="BF326" s="1051"/>
      <c r="BG326" s="903"/>
      <c r="BK326" s="221"/>
      <c r="BL326" s="221"/>
      <c r="BM326" s="221"/>
      <c r="BN326" s="1051"/>
      <c r="BO326" s="903"/>
      <c r="BS326" s="221"/>
      <c r="BT326" s="221"/>
      <c r="BU326" s="221"/>
      <c r="BV326" s="1051"/>
      <c r="BW326" s="903"/>
      <c r="CA326" s="221"/>
      <c r="CB326" s="221"/>
      <c r="CC326" s="221"/>
      <c r="CD326" s="1051"/>
      <c r="CE326" s="903"/>
      <c r="CI326" s="221"/>
      <c r="CJ326" s="221"/>
      <c r="CK326" s="221"/>
      <c r="CL326" s="1051"/>
      <c r="CM326" s="903"/>
      <c r="CQ326" s="221"/>
      <c r="CR326" s="221"/>
      <c r="CS326" s="221"/>
      <c r="CT326" s="1051"/>
      <c r="CU326" s="903"/>
      <c r="CY326" s="221"/>
      <c r="CZ326" s="221"/>
      <c r="DA326" s="221"/>
      <c r="DB326" s="1051"/>
      <c r="DC326" s="903"/>
      <c r="DG326" s="221"/>
      <c r="DH326" s="221"/>
      <c r="DI326" s="221"/>
      <c r="DJ326" s="1051"/>
      <c r="DK326" s="903"/>
      <c r="DO326" s="221"/>
      <c r="DP326" s="221"/>
      <c r="DQ326" s="221"/>
      <c r="DR326" s="1051"/>
      <c r="DS326" s="903"/>
      <c r="DW326" s="221"/>
      <c r="DX326" s="221"/>
      <c r="DY326" s="221"/>
      <c r="DZ326" s="1051"/>
      <c r="EA326" s="903"/>
      <c r="EE326" s="221"/>
      <c r="EF326" s="221"/>
      <c r="EG326" s="221"/>
      <c r="EH326" s="1051"/>
      <c r="EI326" s="903"/>
      <c r="EM326" s="221"/>
      <c r="EN326" s="221"/>
      <c r="EO326" s="221"/>
      <c r="EP326" s="1051"/>
      <c r="EQ326" s="903"/>
      <c r="EU326" s="221"/>
      <c r="EV326" s="221"/>
      <c r="EW326" s="221"/>
      <c r="EX326" s="1051"/>
      <c r="EY326" s="903"/>
      <c r="FC326" s="221"/>
      <c r="FD326" s="221"/>
      <c r="FE326" s="221"/>
      <c r="FF326" s="1051"/>
      <c r="FG326" s="903"/>
      <c r="FK326" s="221"/>
      <c r="FL326" s="221"/>
      <c r="FM326" s="221"/>
      <c r="FN326" s="1051"/>
      <c r="FO326" s="903"/>
    </row>
    <row r="327" spans="1:171">
      <c r="A327" s="1430"/>
      <c r="B327" s="51"/>
      <c r="C327" s="1"/>
      <c r="D327" s="1"/>
      <c r="E327" s="1"/>
      <c r="F327" s="1"/>
      <c r="G327" s="221"/>
      <c r="H327" s="221"/>
      <c r="I327" s="221"/>
      <c r="J327" s="1428"/>
      <c r="K327" s="903"/>
      <c r="O327" s="221"/>
      <c r="P327" s="221"/>
      <c r="Q327" s="221"/>
      <c r="R327" s="1051"/>
      <c r="S327" s="903"/>
      <c r="W327" s="221"/>
      <c r="X327" s="221"/>
      <c r="Y327" s="221"/>
      <c r="Z327" s="1051"/>
      <c r="AA327" s="903"/>
      <c r="AE327" s="221"/>
      <c r="AF327" s="221"/>
      <c r="AG327" s="221"/>
      <c r="AH327" s="1051"/>
      <c r="AI327" s="903"/>
      <c r="AM327" s="221"/>
      <c r="AN327" s="221"/>
      <c r="AO327" s="221"/>
      <c r="AP327" s="1051"/>
      <c r="AQ327" s="903"/>
      <c r="AU327" s="221"/>
      <c r="AV327" s="221"/>
      <c r="AW327" s="221"/>
      <c r="AX327" s="1051"/>
      <c r="AY327" s="903"/>
      <c r="BC327" s="221"/>
      <c r="BD327" s="221"/>
      <c r="BE327" s="221"/>
      <c r="BF327" s="1051"/>
      <c r="BG327" s="903"/>
      <c r="BK327" s="221"/>
      <c r="BL327" s="221"/>
      <c r="BM327" s="221"/>
      <c r="BN327" s="1051"/>
      <c r="BO327" s="903"/>
      <c r="BS327" s="221"/>
      <c r="BT327" s="221"/>
      <c r="BU327" s="221"/>
      <c r="BV327" s="1051"/>
      <c r="BW327" s="903"/>
      <c r="CA327" s="221"/>
      <c r="CB327" s="221"/>
      <c r="CC327" s="221"/>
      <c r="CD327" s="1051"/>
      <c r="CE327" s="903"/>
      <c r="CI327" s="221"/>
      <c r="CJ327" s="221"/>
      <c r="CK327" s="221"/>
      <c r="CL327" s="1051"/>
      <c r="CM327" s="903"/>
      <c r="CQ327" s="221"/>
      <c r="CR327" s="221"/>
      <c r="CS327" s="221"/>
      <c r="CT327" s="1051"/>
      <c r="CU327" s="903"/>
      <c r="CY327" s="221"/>
      <c r="CZ327" s="221"/>
      <c r="DA327" s="221"/>
      <c r="DB327" s="1051"/>
      <c r="DC327" s="903"/>
      <c r="DG327" s="221"/>
      <c r="DH327" s="221"/>
      <c r="DI327" s="221"/>
      <c r="DJ327" s="1051"/>
      <c r="DK327" s="903"/>
      <c r="DO327" s="221"/>
      <c r="DP327" s="221"/>
      <c r="DQ327" s="221"/>
      <c r="DR327" s="1051"/>
      <c r="DS327" s="903"/>
      <c r="DW327" s="221"/>
      <c r="DX327" s="221"/>
      <c r="DY327" s="221"/>
      <c r="DZ327" s="1051"/>
      <c r="EA327" s="903"/>
      <c r="EE327" s="221"/>
      <c r="EF327" s="221"/>
      <c r="EG327" s="221"/>
      <c r="EH327" s="1051"/>
      <c r="EI327" s="903"/>
      <c r="EM327" s="221"/>
      <c r="EN327" s="221"/>
      <c r="EO327" s="221"/>
      <c r="EP327" s="1051"/>
      <c r="EQ327" s="903"/>
      <c r="EU327" s="221"/>
      <c r="EV327" s="221"/>
      <c r="EW327" s="221"/>
      <c r="EX327" s="1051"/>
      <c r="EY327" s="903"/>
      <c r="FC327" s="221"/>
      <c r="FD327" s="221"/>
      <c r="FE327" s="221"/>
      <c r="FF327" s="1051"/>
      <c r="FG327" s="903"/>
      <c r="FK327" s="221"/>
      <c r="FL327" s="221"/>
      <c r="FM327" s="221"/>
      <c r="FN327" s="1051"/>
      <c r="FO327" s="903"/>
    </row>
    <row r="328" spans="1:171">
      <c r="A328" s="1345" t="s">
        <v>39</v>
      </c>
      <c r="B328" s="51"/>
      <c r="C328" s="1"/>
      <c r="D328" s="1"/>
      <c r="E328" s="1"/>
      <c r="F328" s="1"/>
      <c r="G328" s="923">
        <f>G283</f>
        <v>135775232</v>
      </c>
      <c r="H328" s="923">
        <f>H283</f>
        <v>18405972.337472353</v>
      </c>
      <c r="I328" s="923">
        <f>I283</f>
        <v>0</v>
      </c>
      <c r="J328" s="1431">
        <f>J283</f>
        <v>117369259.65863717</v>
      </c>
      <c r="K328" s="903"/>
      <c r="O328" s="923">
        <f>O283</f>
        <v>135775232</v>
      </c>
      <c r="P328" s="923">
        <f>P283</f>
        <v>18405972.337472353</v>
      </c>
      <c r="Q328" s="923">
        <f>Q283</f>
        <v>9119856.8663379103</v>
      </c>
      <c r="R328" s="923">
        <f>R283</f>
        <v>108249402.79618974</v>
      </c>
      <c r="S328" s="903"/>
      <c r="W328" s="923">
        <f>W283</f>
        <v>135775232</v>
      </c>
      <c r="X328" s="923">
        <f>X283</f>
        <v>18405972.337472353</v>
      </c>
      <c r="Y328" s="923">
        <f>Y283</f>
        <v>9119856.8663379103</v>
      </c>
      <c r="Z328" s="923">
        <f>Z283</f>
        <v>108249402.79618974</v>
      </c>
      <c r="AA328" s="903"/>
      <c r="AE328" s="923">
        <f>AE283</f>
        <v>135775232</v>
      </c>
      <c r="AF328" s="923">
        <f>AF283</f>
        <v>18405972.337472353</v>
      </c>
      <c r="AG328" s="923">
        <f>AG283</f>
        <v>9119856.8663379103</v>
      </c>
      <c r="AH328" s="923">
        <f>AH283</f>
        <v>108249402.79618974</v>
      </c>
      <c r="AI328" s="903"/>
      <c r="AM328" s="923">
        <f>AM283</f>
        <v>135775232</v>
      </c>
      <c r="AN328" s="923">
        <f>AN283</f>
        <v>18405972.337472353</v>
      </c>
      <c r="AO328" s="923">
        <f>AO283</f>
        <v>9119856.8663379103</v>
      </c>
      <c r="AP328" s="923">
        <f>AP283</f>
        <v>108249402.79618974</v>
      </c>
      <c r="AQ328" s="903"/>
      <c r="AU328" s="923">
        <f>AU283</f>
        <v>135775232</v>
      </c>
      <c r="AV328" s="923">
        <f>AV283</f>
        <v>18405972.337472353</v>
      </c>
      <c r="AW328" s="923">
        <f>AW283</f>
        <v>9119856.8663379103</v>
      </c>
      <c r="AX328" s="923">
        <f>AX283</f>
        <v>108249402.79618974</v>
      </c>
      <c r="AY328" s="903"/>
      <c r="BC328" s="923">
        <f>BC283</f>
        <v>135775232</v>
      </c>
      <c r="BD328" s="923">
        <f>BD283</f>
        <v>18405972.337472353</v>
      </c>
      <c r="BE328" s="923">
        <f>BE283</f>
        <v>9119856.8663379103</v>
      </c>
      <c r="BF328" s="923">
        <f>BF283</f>
        <v>108249402.79618974</v>
      </c>
      <c r="BG328" s="903"/>
      <c r="BK328" s="923">
        <f>BK283</f>
        <v>135775232</v>
      </c>
      <c r="BL328" s="923">
        <f>BL283</f>
        <v>18405972.337472353</v>
      </c>
      <c r="BM328" s="923">
        <f>BM283</f>
        <v>9119856.8663379103</v>
      </c>
      <c r="BN328" s="923">
        <f>BN283</f>
        <v>108249402.79618974</v>
      </c>
      <c r="BO328" s="903"/>
      <c r="BS328" s="923">
        <f>BS283</f>
        <v>135775232</v>
      </c>
      <c r="BT328" s="923">
        <f>BT283</f>
        <v>18405972.337472353</v>
      </c>
      <c r="BU328" s="923">
        <f>BU283</f>
        <v>9119856.8663379103</v>
      </c>
      <c r="BV328" s="923">
        <f>BV283</f>
        <v>108249402.79618974</v>
      </c>
      <c r="BW328" s="903"/>
      <c r="CA328" s="923">
        <f>CA283</f>
        <v>135775232</v>
      </c>
      <c r="CB328" s="923">
        <f>CB283</f>
        <v>18405972.337472353</v>
      </c>
      <c r="CC328" s="923">
        <f>CC283</f>
        <v>9119856.8663379103</v>
      </c>
      <c r="CD328" s="923">
        <f>CD283</f>
        <v>108249402.79618974</v>
      </c>
      <c r="CE328" s="903"/>
      <c r="CI328" s="923">
        <f>CI283</f>
        <v>135775232</v>
      </c>
      <c r="CJ328" s="923">
        <f>CJ283</f>
        <v>18405972.337472353</v>
      </c>
      <c r="CK328" s="923">
        <f>CK283</f>
        <v>9119856.8663379103</v>
      </c>
      <c r="CL328" s="923">
        <f>CL283</f>
        <v>108249402.79618974</v>
      </c>
      <c r="CM328" s="903"/>
      <c r="CQ328" s="923">
        <f>CQ283</f>
        <v>135775232</v>
      </c>
      <c r="CR328" s="923">
        <f>CR283</f>
        <v>18405972.337472353</v>
      </c>
      <c r="CS328" s="923">
        <f>CS283</f>
        <v>9119856.8663379103</v>
      </c>
      <c r="CT328" s="923">
        <f>CT283</f>
        <v>108249402.79618974</v>
      </c>
      <c r="CU328" s="903"/>
      <c r="CY328" s="923">
        <f>CY283</f>
        <v>135775232</v>
      </c>
      <c r="CZ328" s="923">
        <f>CZ283</f>
        <v>18405972.337472353</v>
      </c>
      <c r="DA328" s="923">
        <f>DA283</f>
        <v>9119856.8663379103</v>
      </c>
      <c r="DB328" s="923">
        <f>DB283</f>
        <v>108249402.79618974</v>
      </c>
      <c r="DC328" s="903"/>
      <c r="DG328" s="923">
        <f>DG283</f>
        <v>135775232</v>
      </c>
      <c r="DH328" s="923">
        <f>DH283</f>
        <v>18405972.337472353</v>
      </c>
      <c r="DI328" s="923">
        <f>DI283</f>
        <v>9119856.8663379103</v>
      </c>
      <c r="DJ328" s="923">
        <f>DJ283</f>
        <v>108249402.79618974</v>
      </c>
      <c r="DK328" s="903"/>
      <c r="DO328" s="923">
        <f>DO283</f>
        <v>135775232</v>
      </c>
      <c r="DP328" s="923">
        <f>DP283</f>
        <v>18405972.337472353</v>
      </c>
      <c r="DQ328" s="923">
        <f>DQ283</f>
        <v>9119856.8663379103</v>
      </c>
      <c r="DR328" s="923">
        <f>DR283</f>
        <v>108249402.79618974</v>
      </c>
      <c r="DS328" s="903"/>
      <c r="DW328" s="923">
        <f>DW283</f>
        <v>135775232</v>
      </c>
      <c r="DX328" s="923">
        <f>DX283</f>
        <v>18405972.337472353</v>
      </c>
      <c r="DY328" s="923">
        <f>DY283</f>
        <v>9119856.8663379103</v>
      </c>
      <c r="DZ328" s="923">
        <f>DZ283</f>
        <v>108249402.79618974</v>
      </c>
      <c r="EA328" s="903"/>
      <c r="EE328" s="923">
        <f>EE283</f>
        <v>135775232</v>
      </c>
      <c r="EF328" s="923">
        <f>EF283</f>
        <v>18405972.337472353</v>
      </c>
      <c r="EG328" s="923">
        <f>EG283</f>
        <v>9119856.8663379103</v>
      </c>
      <c r="EH328" s="923">
        <f>EH283</f>
        <v>108249402.79618974</v>
      </c>
      <c r="EI328" s="903"/>
      <c r="EM328" s="923">
        <f>EM283</f>
        <v>135775232</v>
      </c>
      <c r="EN328" s="923">
        <f>EN283</f>
        <v>18405972.337472353</v>
      </c>
      <c r="EO328" s="923">
        <f>EO283</f>
        <v>9119856.8663379103</v>
      </c>
      <c r="EP328" s="923">
        <f>EP283</f>
        <v>108249402.79618974</v>
      </c>
      <c r="EQ328" s="903"/>
      <c r="EU328" s="923">
        <f>EU283</f>
        <v>135775232</v>
      </c>
      <c r="EV328" s="923">
        <f>EV283</f>
        <v>18405972.337472353</v>
      </c>
      <c r="EW328" s="923">
        <f>EW283</f>
        <v>9119856.8663379103</v>
      </c>
      <c r="EX328" s="923">
        <f>EX283</f>
        <v>108249402.79618974</v>
      </c>
      <c r="EY328" s="903"/>
      <c r="FC328" s="923">
        <f>FC283</f>
        <v>135775232</v>
      </c>
      <c r="FD328" s="923">
        <f>FD283</f>
        <v>18405972.337472353</v>
      </c>
      <c r="FE328" s="923">
        <f>FE283</f>
        <v>9119856.8663379103</v>
      </c>
      <c r="FF328" s="923">
        <f>FF283</f>
        <v>108249402.79618974</v>
      </c>
      <c r="FG328" s="903"/>
      <c r="FK328" s="923">
        <f>FK283</f>
        <v>135775232</v>
      </c>
      <c r="FL328" s="923">
        <f>FL283</f>
        <v>18405972.337472353</v>
      </c>
      <c r="FM328" s="923">
        <f>FM283</f>
        <v>9119856.8663379103</v>
      </c>
      <c r="FN328" s="923">
        <f>FN283</f>
        <v>108249402.79618974</v>
      </c>
      <c r="FO328" s="903"/>
    </row>
    <row r="329" spans="1:171">
      <c r="A329" s="1430" t="s">
        <v>161</v>
      </c>
      <c r="B329" s="51"/>
      <c r="C329" s="1"/>
      <c r="D329" s="1"/>
      <c r="E329" s="1"/>
      <c r="F329" s="1"/>
      <c r="G329" s="221"/>
      <c r="H329" s="221"/>
      <c r="I329" s="221"/>
      <c r="J329" s="1428"/>
      <c r="K329" s="903"/>
      <c r="O329" s="221"/>
      <c r="P329" s="221"/>
      <c r="Q329" s="221"/>
      <c r="R329" s="1051"/>
      <c r="S329" s="903"/>
      <c r="W329" s="221"/>
      <c r="X329" s="221"/>
      <c r="Y329" s="221"/>
      <c r="Z329" s="1051"/>
      <c r="AA329" s="903"/>
      <c r="AE329" s="221"/>
      <c r="AF329" s="221"/>
      <c r="AG329" s="221"/>
      <c r="AH329" s="1051"/>
      <c r="AI329" s="903"/>
      <c r="AM329" s="221"/>
      <c r="AN329" s="221"/>
      <c r="AO329" s="221"/>
      <c r="AP329" s="1051"/>
      <c r="AQ329" s="903"/>
      <c r="AU329" s="221"/>
      <c r="AV329" s="221"/>
      <c r="AW329" s="221"/>
      <c r="AX329" s="1051"/>
      <c r="AY329" s="903"/>
      <c r="BC329" s="221"/>
      <c r="BD329" s="221"/>
      <c r="BE329" s="221"/>
      <c r="BF329" s="1051"/>
      <c r="BG329" s="903"/>
      <c r="BK329" s="221"/>
      <c r="BL329" s="221"/>
      <c r="BM329" s="221"/>
      <c r="BN329" s="1051"/>
      <c r="BO329" s="903"/>
      <c r="BS329" s="221"/>
      <c r="BT329" s="221"/>
      <c r="BU329" s="221"/>
      <c r="BV329" s="1051"/>
      <c r="BW329" s="903"/>
      <c r="CA329" s="221"/>
      <c r="CB329" s="221"/>
      <c r="CC329" s="221"/>
      <c r="CD329" s="1051"/>
      <c r="CE329" s="903"/>
      <c r="CI329" s="221"/>
      <c r="CJ329" s="221"/>
      <c r="CK329" s="221"/>
      <c r="CL329" s="1051"/>
      <c r="CM329" s="903"/>
      <c r="CQ329" s="221"/>
      <c r="CR329" s="221"/>
      <c r="CS329" s="221"/>
      <c r="CT329" s="1051"/>
      <c r="CU329" s="903"/>
      <c r="CY329" s="221"/>
      <c r="CZ329" s="221"/>
      <c r="DA329" s="221"/>
      <c r="DB329" s="1051"/>
      <c r="DC329" s="903"/>
      <c r="DG329" s="221"/>
      <c r="DH329" s="221"/>
      <c r="DI329" s="221"/>
      <c r="DJ329" s="1051"/>
      <c r="DK329" s="903"/>
      <c r="DO329" s="221"/>
      <c r="DP329" s="221"/>
      <c r="DQ329" s="221"/>
      <c r="DR329" s="1051"/>
      <c r="DS329" s="903"/>
      <c r="DW329" s="221"/>
      <c r="DX329" s="221"/>
      <c r="DY329" s="221"/>
      <c r="DZ329" s="1051"/>
      <c r="EA329" s="903"/>
      <c r="EE329" s="221"/>
      <c r="EF329" s="221"/>
      <c r="EG329" s="221"/>
      <c r="EH329" s="1051"/>
      <c r="EI329" s="903"/>
      <c r="EM329" s="221"/>
      <c r="EN329" s="221"/>
      <c r="EO329" s="221"/>
      <c r="EP329" s="1051"/>
      <c r="EQ329" s="903"/>
      <c r="EU329" s="221"/>
      <c r="EV329" s="221"/>
      <c r="EW329" s="221"/>
      <c r="EX329" s="1051"/>
      <c r="EY329" s="903"/>
      <c r="FC329" s="221"/>
      <c r="FD329" s="221"/>
      <c r="FE329" s="221"/>
      <c r="FF329" s="1051"/>
      <c r="FG329" s="903"/>
      <c r="FK329" s="221"/>
      <c r="FL329" s="221"/>
      <c r="FM329" s="221"/>
      <c r="FN329" s="1051"/>
      <c r="FO329" s="903"/>
    </row>
    <row r="330" spans="1:171">
      <c r="A330" s="1430"/>
      <c r="B330" s="51"/>
      <c r="C330" s="1"/>
      <c r="D330" s="1"/>
      <c r="E330" s="1"/>
      <c r="F330" s="1"/>
      <c r="G330" s="221"/>
      <c r="H330" s="221"/>
      <c r="I330" s="221"/>
      <c r="J330" s="1428"/>
      <c r="K330" s="903"/>
      <c r="O330" s="221"/>
      <c r="P330" s="221"/>
      <c r="Q330" s="221"/>
      <c r="R330" s="1051"/>
      <c r="S330" s="903"/>
      <c r="W330" s="221"/>
      <c r="X330" s="221"/>
      <c r="Y330" s="221"/>
      <c r="Z330" s="1051"/>
      <c r="AA330" s="903"/>
      <c r="AE330" s="221"/>
      <c r="AF330" s="221"/>
      <c r="AG330" s="221"/>
      <c r="AH330" s="1051"/>
      <c r="AI330" s="903"/>
      <c r="AM330" s="221"/>
      <c r="AN330" s="221"/>
      <c r="AO330" s="221"/>
      <c r="AP330" s="1051"/>
      <c r="AQ330" s="903"/>
      <c r="AU330" s="221"/>
      <c r="AV330" s="221"/>
      <c r="AW330" s="221"/>
      <c r="AX330" s="1051"/>
      <c r="AY330" s="903"/>
      <c r="BC330" s="221"/>
      <c r="BD330" s="221"/>
      <c r="BE330" s="221"/>
      <c r="BF330" s="1051"/>
      <c r="BG330" s="903"/>
      <c r="BK330" s="221"/>
      <c r="BL330" s="221"/>
      <c r="BM330" s="221"/>
      <c r="BN330" s="1051"/>
      <c r="BO330" s="903"/>
      <c r="BS330" s="221"/>
      <c r="BT330" s="221"/>
      <c r="BU330" s="221"/>
      <c r="BV330" s="1051"/>
      <c r="BW330" s="903"/>
      <c r="CA330" s="221"/>
      <c r="CB330" s="221"/>
      <c r="CC330" s="221"/>
      <c r="CD330" s="1051"/>
      <c r="CE330" s="903"/>
      <c r="CI330" s="221"/>
      <c r="CJ330" s="221"/>
      <c r="CK330" s="221"/>
      <c r="CL330" s="1051"/>
      <c r="CM330" s="903"/>
      <c r="CQ330" s="221"/>
      <c r="CR330" s="221"/>
      <c r="CS330" s="221"/>
      <c r="CT330" s="1051"/>
      <c r="CU330" s="903"/>
      <c r="CY330" s="221"/>
      <c r="CZ330" s="221"/>
      <c r="DA330" s="221"/>
      <c r="DB330" s="1051"/>
      <c r="DC330" s="903"/>
      <c r="DG330" s="221"/>
      <c r="DH330" s="221"/>
      <c r="DI330" s="221"/>
      <c r="DJ330" s="1051"/>
      <c r="DK330" s="903"/>
      <c r="DO330" s="221"/>
      <c r="DP330" s="221"/>
      <c r="DQ330" s="221"/>
      <c r="DR330" s="1051"/>
      <c r="DS330" s="903"/>
      <c r="DW330" s="221"/>
      <c r="DX330" s="221"/>
      <c r="DY330" s="221"/>
      <c r="DZ330" s="1051"/>
      <c r="EA330" s="903"/>
      <c r="EE330" s="221"/>
      <c r="EF330" s="221"/>
      <c r="EG330" s="221"/>
      <c r="EH330" s="1051"/>
      <c r="EI330" s="903"/>
      <c r="EM330" s="221"/>
      <c r="EN330" s="221"/>
      <c r="EO330" s="221"/>
      <c r="EP330" s="1051"/>
      <c r="EQ330" s="903"/>
      <c r="EU330" s="221"/>
      <c r="EV330" s="221"/>
      <c r="EW330" s="221"/>
      <c r="EX330" s="1051"/>
      <c r="EY330" s="903"/>
      <c r="FC330" s="221"/>
      <c r="FD330" s="221"/>
      <c r="FE330" s="221"/>
      <c r="FF330" s="1051"/>
      <c r="FG330" s="903"/>
      <c r="FK330" s="221"/>
      <c r="FL330" s="221"/>
      <c r="FM330" s="221"/>
      <c r="FN330" s="1051"/>
      <c r="FO330" s="903"/>
    </row>
    <row r="331" spans="1:171">
      <c r="A331" s="1345" t="s">
        <v>49</v>
      </c>
      <c r="B331" s="51"/>
      <c r="C331" s="1"/>
      <c r="D331" s="1"/>
      <c r="E331" s="1"/>
      <c r="F331" s="1"/>
      <c r="G331" s="923">
        <f>G315</f>
        <v>316484716.37</v>
      </c>
      <c r="H331" s="923">
        <f>H315</f>
        <v>202539296.65316796</v>
      </c>
      <c r="I331" s="923">
        <f>I315</f>
        <v>0</v>
      </c>
      <c r="J331" s="1431">
        <f>J315</f>
        <v>118934846.98571534</v>
      </c>
      <c r="K331" s="903"/>
      <c r="O331" s="923">
        <f>O315</f>
        <v>316484716.37</v>
      </c>
      <c r="P331" s="923">
        <f>P315</f>
        <v>202539296.65316796</v>
      </c>
      <c r="Q331" s="923">
        <f>Q315</f>
        <v>33272480.281959895</v>
      </c>
      <c r="R331" s="923">
        <f>R315</f>
        <v>80672939.43487215</v>
      </c>
      <c r="S331" s="903"/>
      <c r="W331" s="923">
        <f>W315</f>
        <v>316484716.37</v>
      </c>
      <c r="X331" s="923">
        <f>X315</f>
        <v>202539296.65316796</v>
      </c>
      <c r="Y331" s="923">
        <f>Y315</f>
        <v>33272480.281959895</v>
      </c>
      <c r="Z331" s="923">
        <f>Z315</f>
        <v>80672939.43487215</v>
      </c>
      <c r="AA331" s="903"/>
      <c r="AE331" s="923">
        <f>AE315</f>
        <v>316484716.37</v>
      </c>
      <c r="AF331" s="923">
        <f>AF315</f>
        <v>202539296.65316796</v>
      </c>
      <c r="AG331" s="923">
        <f>AG315</f>
        <v>33272480.281959895</v>
      </c>
      <c r="AH331" s="923">
        <f>AH315</f>
        <v>80672939.43487215</v>
      </c>
      <c r="AI331" s="903"/>
      <c r="AM331" s="923">
        <f>AM315</f>
        <v>316484716.37</v>
      </c>
      <c r="AN331" s="923">
        <f>AN315</f>
        <v>202539296.65316796</v>
      </c>
      <c r="AO331" s="923">
        <f>AO315</f>
        <v>33272480.281959895</v>
      </c>
      <c r="AP331" s="923">
        <f>AP315</f>
        <v>80672939.43487215</v>
      </c>
      <c r="AQ331" s="903"/>
      <c r="AU331" s="923">
        <f>AU315</f>
        <v>316484716.37</v>
      </c>
      <c r="AV331" s="923">
        <f>AV315</f>
        <v>202539296.65316796</v>
      </c>
      <c r="AW331" s="923">
        <f>AW315</f>
        <v>33272480.281959895</v>
      </c>
      <c r="AX331" s="923">
        <f>AX315</f>
        <v>80672939.43487215</v>
      </c>
      <c r="AY331" s="903"/>
      <c r="BC331" s="923">
        <f>BC315</f>
        <v>316484716.37</v>
      </c>
      <c r="BD331" s="923">
        <f>BD315</f>
        <v>202539296.65316796</v>
      </c>
      <c r="BE331" s="923">
        <f>BE315</f>
        <v>33272480.281959895</v>
      </c>
      <c r="BF331" s="923">
        <f>BF315</f>
        <v>80672939.43487215</v>
      </c>
      <c r="BG331" s="903"/>
      <c r="BK331" s="923">
        <f>BK315</f>
        <v>316484716.37</v>
      </c>
      <c r="BL331" s="923">
        <f>BL315</f>
        <v>202539296.65316796</v>
      </c>
      <c r="BM331" s="923">
        <f>BM315</f>
        <v>33272480.281959895</v>
      </c>
      <c r="BN331" s="923">
        <f>BN315</f>
        <v>80672939.43487215</v>
      </c>
      <c r="BO331" s="903"/>
      <c r="BS331" s="923">
        <f>BS315</f>
        <v>316484716.37</v>
      </c>
      <c r="BT331" s="923">
        <f>BT315</f>
        <v>202539296.65316796</v>
      </c>
      <c r="BU331" s="923">
        <f>BU315</f>
        <v>33272480.281959895</v>
      </c>
      <c r="BV331" s="923">
        <f>BV315</f>
        <v>80672939.43487215</v>
      </c>
      <c r="BW331" s="903"/>
      <c r="CA331" s="923">
        <f>CA315</f>
        <v>316484716.37</v>
      </c>
      <c r="CB331" s="923">
        <f>CB315</f>
        <v>202539296.65316796</v>
      </c>
      <c r="CC331" s="923">
        <f>CC315</f>
        <v>33272480.281959895</v>
      </c>
      <c r="CD331" s="923">
        <f>CD315</f>
        <v>80672939.43487215</v>
      </c>
      <c r="CE331" s="903"/>
      <c r="CI331" s="923">
        <f>CI315</f>
        <v>316484716.37</v>
      </c>
      <c r="CJ331" s="923">
        <f>CJ315</f>
        <v>202539296.65316796</v>
      </c>
      <c r="CK331" s="923">
        <f>CK315</f>
        <v>33272480.281959895</v>
      </c>
      <c r="CL331" s="923">
        <f>CL315</f>
        <v>80672939.43487215</v>
      </c>
      <c r="CM331" s="903"/>
      <c r="CQ331" s="923">
        <f>CQ315</f>
        <v>316484716.37</v>
      </c>
      <c r="CR331" s="923">
        <f>CR315</f>
        <v>202539296.65316796</v>
      </c>
      <c r="CS331" s="923">
        <f>CS315</f>
        <v>33272480.281959895</v>
      </c>
      <c r="CT331" s="923">
        <f>CT315</f>
        <v>80672939.43487215</v>
      </c>
      <c r="CU331" s="903"/>
      <c r="CY331" s="923">
        <f>CY315</f>
        <v>316484716.37</v>
      </c>
      <c r="CZ331" s="923">
        <f>CZ315</f>
        <v>202539296.65316796</v>
      </c>
      <c r="DA331" s="923">
        <f>DA315</f>
        <v>33272480.281959895</v>
      </c>
      <c r="DB331" s="923">
        <f>DB315</f>
        <v>80672939.43487215</v>
      </c>
      <c r="DC331" s="903"/>
      <c r="DG331" s="923">
        <f>DG315</f>
        <v>316484716.37</v>
      </c>
      <c r="DH331" s="923">
        <f>DH315</f>
        <v>202539296.65316796</v>
      </c>
      <c r="DI331" s="923">
        <f>DI315</f>
        <v>33272480.281959895</v>
      </c>
      <c r="DJ331" s="923">
        <f>DJ315</f>
        <v>80672939.43487215</v>
      </c>
      <c r="DK331" s="903"/>
      <c r="DO331" s="923">
        <f>DO315</f>
        <v>316484716.37</v>
      </c>
      <c r="DP331" s="923">
        <f>DP315</f>
        <v>202539296.65316796</v>
      </c>
      <c r="DQ331" s="923">
        <f>DQ315</f>
        <v>33272480.281959895</v>
      </c>
      <c r="DR331" s="923">
        <f>DR315</f>
        <v>80672939.43487215</v>
      </c>
      <c r="DS331" s="903"/>
      <c r="DW331" s="923">
        <f>DW315</f>
        <v>316484716.37</v>
      </c>
      <c r="DX331" s="923">
        <f>DX315</f>
        <v>202539296.65316796</v>
      </c>
      <c r="DY331" s="923">
        <f>DY315</f>
        <v>33272480.281959895</v>
      </c>
      <c r="DZ331" s="923">
        <f>DZ315</f>
        <v>80672939.43487215</v>
      </c>
      <c r="EA331" s="903"/>
      <c r="EE331" s="923">
        <f>EE315</f>
        <v>316484716.37</v>
      </c>
      <c r="EF331" s="923">
        <f>EF315</f>
        <v>202539296.65316796</v>
      </c>
      <c r="EG331" s="923">
        <f>EG315</f>
        <v>33272480.281959895</v>
      </c>
      <c r="EH331" s="923">
        <f>EH315</f>
        <v>80672939.43487215</v>
      </c>
      <c r="EI331" s="903"/>
      <c r="EM331" s="923">
        <f>EM315</f>
        <v>316484716.37</v>
      </c>
      <c r="EN331" s="923">
        <f>EN315</f>
        <v>202539296.65316796</v>
      </c>
      <c r="EO331" s="923">
        <f>EO315</f>
        <v>33272480.281959895</v>
      </c>
      <c r="EP331" s="923">
        <f>EP315</f>
        <v>80672939.43487215</v>
      </c>
      <c r="EQ331" s="903"/>
      <c r="EU331" s="923">
        <f>EU315</f>
        <v>316484716.37</v>
      </c>
      <c r="EV331" s="923">
        <f>EV315</f>
        <v>202539296.65316796</v>
      </c>
      <c r="EW331" s="923">
        <f>EW315</f>
        <v>33272480.281959895</v>
      </c>
      <c r="EX331" s="923">
        <f>EX315</f>
        <v>80672939.43487215</v>
      </c>
      <c r="EY331" s="903"/>
      <c r="FC331" s="923">
        <f>FC315</f>
        <v>316484716.37</v>
      </c>
      <c r="FD331" s="923">
        <f>FD315</f>
        <v>202539296.65316796</v>
      </c>
      <c r="FE331" s="923">
        <f>FE315</f>
        <v>33272480.281959895</v>
      </c>
      <c r="FF331" s="923">
        <f>FF315</f>
        <v>80672939.43487215</v>
      </c>
      <c r="FG331" s="903"/>
      <c r="FK331" s="923">
        <f>FK315</f>
        <v>316484716.37</v>
      </c>
      <c r="FL331" s="923">
        <f>FL315</f>
        <v>202539296.65316796</v>
      </c>
      <c r="FM331" s="923">
        <f>FM315</f>
        <v>33272480.281959895</v>
      </c>
      <c r="FN331" s="923">
        <f>FN315</f>
        <v>80672939.43487215</v>
      </c>
      <c r="FO331" s="903"/>
    </row>
    <row r="332" spans="1:171">
      <c r="A332" s="1430" t="s">
        <v>508</v>
      </c>
      <c r="B332" s="51"/>
      <c r="C332" s="1"/>
      <c r="D332" s="1"/>
      <c r="E332" s="1"/>
      <c r="F332" s="1"/>
      <c r="G332" s="221"/>
      <c r="H332" s="221"/>
      <c r="I332" s="221"/>
      <c r="J332" s="1428"/>
      <c r="K332" s="903"/>
      <c r="O332" s="221"/>
      <c r="P332" s="221"/>
      <c r="Q332" s="221"/>
      <c r="R332" s="1051"/>
      <c r="S332" s="903"/>
      <c r="W332" s="221"/>
      <c r="X332" s="221"/>
      <c r="Y332" s="221"/>
      <c r="Z332" s="1051"/>
      <c r="AA332" s="903"/>
      <c r="AE332" s="221"/>
      <c r="AF332" s="221"/>
      <c r="AG332" s="221"/>
      <c r="AH332" s="1051"/>
      <c r="AI332" s="903"/>
      <c r="AM332" s="221"/>
      <c r="AN332" s="221"/>
      <c r="AO332" s="221"/>
      <c r="AP332" s="1051"/>
      <c r="AQ332" s="903"/>
      <c r="AU332" s="221"/>
      <c r="AV332" s="221"/>
      <c r="AW332" s="221"/>
      <c r="AX332" s="1051"/>
      <c r="AY332" s="903"/>
      <c r="BC332" s="221"/>
      <c r="BD332" s="221"/>
      <c r="BE332" s="221"/>
      <c r="BF332" s="1051"/>
      <c r="BG332" s="903"/>
      <c r="BK332" s="221"/>
      <c r="BL332" s="221"/>
      <c r="BM332" s="221"/>
      <c r="BN332" s="1051"/>
      <c r="BO332" s="903"/>
      <c r="BS332" s="221"/>
      <c r="BT332" s="221"/>
      <c r="BU332" s="221"/>
      <c r="BV332" s="1051"/>
      <c r="BW332" s="903"/>
      <c r="CA332" s="221"/>
      <c r="CB332" s="221"/>
      <c r="CC332" s="221"/>
      <c r="CD332" s="1051"/>
      <c r="CE332" s="903"/>
      <c r="CI332" s="221"/>
      <c r="CJ332" s="221"/>
      <c r="CK332" s="221"/>
      <c r="CL332" s="1051"/>
      <c r="CM332" s="903"/>
      <c r="CQ332" s="221"/>
      <c r="CR332" s="221"/>
      <c r="CS332" s="221"/>
      <c r="CT332" s="1051"/>
      <c r="CU332" s="903"/>
      <c r="CY332" s="221"/>
      <c r="CZ332" s="221"/>
      <c r="DA332" s="221"/>
      <c r="DB332" s="1051"/>
      <c r="DC332" s="903"/>
      <c r="DG332" s="221"/>
      <c r="DH332" s="221"/>
      <c r="DI332" s="221"/>
      <c r="DJ332" s="1051"/>
      <c r="DK332" s="903"/>
      <c r="DO332" s="221"/>
      <c r="DP332" s="221"/>
      <c r="DQ332" s="221"/>
      <c r="DR332" s="1051"/>
      <c r="DS332" s="903"/>
      <c r="DW332" s="221"/>
      <c r="DX332" s="221"/>
      <c r="DY332" s="221"/>
      <c r="DZ332" s="1051"/>
      <c r="EA332" s="903"/>
      <c r="EE332" s="221"/>
      <c r="EF332" s="221"/>
      <c r="EG332" s="221"/>
      <c r="EH332" s="1051"/>
      <c r="EI332" s="903"/>
      <c r="EM332" s="221"/>
      <c r="EN332" s="221"/>
      <c r="EO332" s="221"/>
      <c r="EP332" s="1051"/>
      <c r="EQ332" s="903"/>
      <c r="EU332" s="221"/>
      <c r="EV332" s="221"/>
      <c r="EW332" s="221"/>
      <c r="EX332" s="1051"/>
      <c r="EY332" s="903"/>
      <c r="FC332" s="221"/>
      <c r="FD332" s="221"/>
      <c r="FE332" s="221"/>
      <c r="FF332" s="1051"/>
      <c r="FG332" s="903"/>
      <c r="FK332" s="221"/>
      <c r="FL332" s="221"/>
      <c r="FM332" s="221"/>
      <c r="FN332" s="1051"/>
      <c r="FO332" s="903"/>
    </row>
    <row r="333" spans="1:171">
      <c r="A333" s="1430"/>
      <c r="B333" s="51"/>
      <c r="C333" s="1"/>
      <c r="D333" s="1"/>
      <c r="E333" s="1"/>
      <c r="F333" s="1"/>
      <c r="G333" s="221"/>
      <c r="H333" s="221"/>
      <c r="I333" s="221"/>
      <c r="J333" s="1428"/>
      <c r="K333" s="903"/>
      <c r="O333" s="221"/>
      <c r="P333" s="221"/>
      <c r="Q333" s="221"/>
      <c r="R333" s="1051"/>
      <c r="S333" s="903"/>
      <c r="W333" s="221"/>
      <c r="X333" s="221"/>
      <c r="Y333" s="221"/>
      <c r="Z333" s="1051"/>
      <c r="AA333" s="903"/>
      <c r="AE333" s="221"/>
      <c r="AF333" s="221"/>
      <c r="AG333" s="221"/>
      <c r="AH333" s="1051"/>
      <c r="AI333" s="903"/>
      <c r="AM333" s="221"/>
      <c r="AN333" s="221"/>
      <c r="AO333" s="221"/>
      <c r="AP333" s="1051"/>
      <c r="AQ333" s="903"/>
      <c r="AU333" s="221"/>
      <c r="AV333" s="221"/>
      <c r="AW333" s="221"/>
      <c r="AX333" s="1051"/>
      <c r="AY333" s="903"/>
      <c r="BC333" s="221"/>
      <c r="BD333" s="221"/>
      <c r="BE333" s="221"/>
      <c r="BF333" s="1051"/>
      <c r="BG333" s="903"/>
      <c r="BK333" s="221"/>
      <c r="BL333" s="221"/>
      <c r="BM333" s="221"/>
      <c r="BN333" s="1051"/>
      <c r="BO333" s="903"/>
      <c r="BS333" s="221"/>
      <c r="BT333" s="221"/>
      <c r="BU333" s="221"/>
      <c r="BV333" s="1051"/>
      <c r="BW333" s="903"/>
      <c r="CA333" s="221"/>
      <c r="CB333" s="221"/>
      <c r="CC333" s="221"/>
      <c r="CD333" s="1051"/>
      <c r="CE333" s="903"/>
      <c r="CI333" s="221"/>
      <c r="CJ333" s="221"/>
      <c r="CK333" s="221"/>
      <c r="CL333" s="1051"/>
      <c r="CM333" s="903"/>
      <c r="CQ333" s="221"/>
      <c r="CR333" s="221"/>
      <c r="CS333" s="221"/>
      <c r="CT333" s="1051"/>
      <c r="CU333" s="903"/>
      <c r="CY333" s="221"/>
      <c r="CZ333" s="221"/>
      <c r="DA333" s="221"/>
      <c r="DB333" s="1051"/>
      <c r="DC333" s="903"/>
      <c r="DG333" s="221"/>
      <c r="DH333" s="221"/>
      <c r="DI333" s="221"/>
      <c r="DJ333" s="1051"/>
      <c r="DK333" s="903"/>
      <c r="DO333" s="221"/>
      <c r="DP333" s="221"/>
      <c r="DQ333" s="221"/>
      <c r="DR333" s="1051"/>
      <c r="DS333" s="903"/>
      <c r="DW333" s="221"/>
      <c r="DX333" s="221"/>
      <c r="DY333" s="221"/>
      <c r="DZ333" s="1051"/>
      <c r="EA333" s="903"/>
      <c r="EE333" s="221"/>
      <c r="EF333" s="221"/>
      <c r="EG333" s="221"/>
      <c r="EH333" s="1051"/>
      <c r="EI333" s="903"/>
      <c r="EM333" s="221"/>
      <c r="EN333" s="221"/>
      <c r="EO333" s="221"/>
      <c r="EP333" s="1051"/>
      <c r="EQ333" s="903"/>
      <c r="EU333" s="221"/>
      <c r="EV333" s="221"/>
      <c r="EW333" s="221"/>
      <c r="EX333" s="1051"/>
      <c r="EY333" s="903"/>
      <c r="FC333" s="221"/>
      <c r="FD333" s="221"/>
      <c r="FE333" s="221"/>
      <c r="FF333" s="1051"/>
      <c r="FG333" s="903"/>
      <c r="FK333" s="221"/>
      <c r="FL333" s="221"/>
      <c r="FM333" s="221"/>
      <c r="FN333" s="1051"/>
      <c r="FO333" s="903"/>
    </row>
    <row r="334" spans="1:171">
      <c r="A334" s="1345" t="s">
        <v>51</v>
      </c>
      <c r="B334" s="51"/>
      <c r="C334" s="1"/>
      <c r="D334" s="1"/>
      <c r="E334" s="1"/>
      <c r="F334" s="1"/>
      <c r="G334" s="923">
        <f>G322+G325+G328-G331</f>
        <v>1075124771.4677353</v>
      </c>
      <c r="H334" s="923">
        <f>H322+H325+H328-H331</f>
        <v>518833566.11346018</v>
      </c>
      <c r="I334" s="923">
        <f>I322+I325+I328-I331</f>
        <v>0</v>
      </c>
      <c r="J334" s="1431">
        <f>J322+J325+J328-J331</f>
        <v>551301777.9843117</v>
      </c>
      <c r="K334" s="903"/>
      <c r="O334" s="923">
        <f>O322+O325+O328-O331</f>
        <v>1075124771.4677353</v>
      </c>
      <c r="P334" s="923">
        <f>P322+P325+P328-P331</f>
        <v>518833566.11346018</v>
      </c>
      <c r="Q334" s="923">
        <f>Q322+Q325+Q328-Q331</f>
        <v>92255202.149268717</v>
      </c>
      <c r="R334" s="923">
        <f>R322+R325+R328-R331</f>
        <v>464036003.2050066</v>
      </c>
      <c r="S334" s="903"/>
      <c r="W334" s="923">
        <f>W322+W325+W328-W331</f>
        <v>1075124771.4677353</v>
      </c>
      <c r="X334" s="923">
        <f>X322+X325+X328-X331</f>
        <v>518833566.11346018</v>
      </c>
      <c r="Y334" s="923">
        <f>Y322+Y325+Y328-Y331</f>
        <v>92255202.149268717</v>
      </c>
      <c r="Z334" s="923">
        <f>Z322+Z325+Z328-Z331</f>
        <v>464036003.2050066</v>
      </c>
      <c r="AA334" s="903"/>
      <c r="AE334" s="923">
        <f>AE322+AE325+AE328-AE331</f>
        <v>1075124771.4677353</v>
      </c>
      <c r="AF334" s="923">
        <f>AF322+AF325+AF328-AF331</f>
        <v>518833566.11346018</v>
      </c>
      <c r="AG334" s="923">
        <f>AG322+AG325+AG328-AG331</f>
        <v>92255202.149268717</v>
      </c>
      <c r="AH334" s="923">
        <f>AH322+AH325+AH328-AH331</f>
        <v>464036003.2050066</v>
      </c>
      <c r="AI334" s="903"/>
      <c r="AM334" s="923">
        <f>AM322+AM325+AM328-AM331</f>
        <v>1075124771.4677353</v>
      </c>
      <c r="AN334" s="923">
        <f>AN322+AN325+AN328-AN331</f>
        <v>518833566.11346018</v>
      </c>
      <c r="AO334" s="923">
        <f>AO322+AO325+AO328-AO331</f>
        <v>92255202.149268717</v>
      </c>
      <c r="AP334" s="923">
        <f>AP322+AP325+AP328-AP331</f>
        <v>464036003.2050066</v>
      </c>
      <c r="AQ334" s="903"/>
      <c r="AU334" s="923">
        <f>AU322+AU325+AU328-AU331</f>
        <v>1075124771.4677353</v>
      </c>
      <c r="AV334" s="923">
        <f>AV322+AV325+AV328-AV331</f>
        <v>518833566.11346018</v>
      </c>
      <c r="AW334" s="923">
        <f>AW322+AW325+AW328-AW331</f>
        <v>92255202.149268717</v>
      </c>
      <c r="AX334" s="923">
        <f>AX322+AX325+AX328-AX331</f>
        <v>464036003.2050066</v>
      </c>
      <c r="AY334" s="903"/>
      <c r="BC334" s="923">
        <f>BC322+BC325+BC328-BC331</f>
        <v>1075124771.4677353</v>
      </c>
      <c r="BD334" s="923">
        <f>BD322+BD325+BD328-BD331</f>
        <v>518833566.11346018</v>
      </c>
      <c r="BE334" s="923">
        <f>BE322+BE325+BE328-BE331</f>
        <v>92255202.149268717</v>
      </c>
      <c r="BF334" s="923">
        <f>BF322+BF325+BF328-BF331</f>
        <v>464036003.2050066</v>
      </c>
      <c r="BG334" s="903"/>
      <c r="BK334" s="923">
        <f>BK322+BK325+BK328-BK331</f>
        <v>1075124771.4677353</v>
      </c>
      <c r="BL334" s="923">
        <f>BL322+BL325+BL328-BL331</f>
        <v>518833566.11346018</v>
      </c>
      <c r="BM334" s="923">
        <f>BM322+BM325+BM328-BM331</f>
        <v>92255202.149268717</v>
      </c>
      <c r="BN334" s="923">
        <f>BN322+BN325+BN328-BN331</f>
        <v>464036003.2050066</v>
      </c>
      <c r="BO334" s="903"/>
      <c r="BS334" s="923">
        <f>BS322+BS325+BS328-BS331</f>
        <v>1075124771.4677353</v>
      </c>
      <c r="BT334" s="923">
        <f>BT322+BT325+BT328-BT331</f>
        <v>518833566.11346018</v>
      </c>
      <c r="BU334" s="923">
        <f>BU322+BU325+BU328-BU331</f>
        <v>92255202.149268717</v>
      </c>
      <c r="BV334" s="923">
        <f>BV322+BV325+BV328-BV331</f>
        <v>464036003.2050066</v>
      </c>
      <c r="BW334" s="903"/>
      <c r="CA334" s="923">
        <f>CA322+CA325+CA328-CA331</f>
        <v>1075124771.4677353</v>
      </c>
      <c r="CB334" s="923">
        <f>CB322+CB325+CB328-CB331</f>
        <v>518833566.11346018</v>
      </c>
      <c r="CC334" s="923">
        <f>CC322+CC325+CC328-CC331</f>
        <v>92255202.149268717</v>
      </c>
      <c r="CD334" s="923">
        <f>CD322+CD325+CD328-CD331</f>
        <v>464036003.2050066</v>
      </c>
      <c r="CE334" s="903"/>
      <c r="CI334" s="923">
        <f>CI322+CI325+CI328-CI331</f>
        <v>1075124771.4677353</v>
      </c>
      <c r="CJ334" s="923">
        <f>CJ322+CJ325+CJ328-CJ331</f>
        <v>518833566.11346018</v>
      </c>
      <c r="CK334" s="923">
        <f>CK322+CK325+CK328-CK331</f>
        <v>92255202.149268717</v>
      </c>
      <c r="CL334" s="923">
        <f>CL322+CL325+CL328-CL331</f>
        <v>464036003.2050066</v>
      </c>
      <c r="CM334" s="903"/>
      <c r="CQ334" s="923">
        <f>CQ322+CQ325+CQ328-CQ331</f>
        <v>1075124771.4677353</v>
      </c>
      <c r="CR334" s="923">
        <f>CR322+CR325+CR328-CR331</f>
        <v>518833566.11346018</v>
      </c>
      <c r="CS334" s="923">
        <f>CS322+CS325+CS328-CS331</f>
        <v>92255202.149268717</v>
      </c>
      <c r="CT334" s="923">
        <f>CT322+CT325+CT328-CT331</f>
        <v>464036003.2050066</v>
      </c>
      <c r="CU334" s="903"/>
      <c r="CY334" s="923">
        <f>CY322+CY325+CY328-CY331</f>
        <v>1075124771.4677353</v>
      </c>
      <c r="CZ334" s="923">
        <f>CZ322+CZ325+CZ328-CZ331</f>
        <v>518833566.11346018</v>
      </c>
      <c r="DA334" s="923">
        <f>DA322+DA325+DA328-DA331</f>
        <v>92255202.149268717</v>
      </c>
      <c r="DB334" s="923">
        <f>DB322+DB325+DB328-DB331</f>
        <v>464036003.2050066</v>
      </c>
      <c r="DC334" s="903"/>
      <c r="DG334" s="923">
        <f>DG322+DG325+DG328-DG331</f>
        <v>1075124771.4677353</v>
      </c>
      <c r="DH334" s="923">
        <f>DH322+DH325+DH328-DH331</f>
        <v>518833566.11346018</v>
      </c>
      <c r="DI334" s="923">
        <f>DI322+DI325+DI328-DI331</f>
        <v>92255202.149268717</v>
      </c>
      <c r="DJ334" s="923">
        <f>DJ322+DJ325+DJ328-DJ331</f>
        <v>464036003.2050066</v>
      </c>
      <c r="DK334" s="903"/>
      <c r="DO334" s="923">
        <f>DO322+DO325+DO328-DO331</f>
        <v>1075124771.4677353</v>
      </c>
      <c r="DP334" s="923">
        <f>DP322+DP325+DP328-DP331</f>
        <v>518833566.11346018</v>
      </c>
      <c r="DQ334" s="923">
        <f>DQ322+DQ325+DQ328-DQ331</f>
        <v>92255202.149268717</v>
      </c>
      <c r="DR334" s="923">
        <f>DR322+DR325+DR328-DR331</f>
        <v>464036003.2050066</v>
      </c>
      <c r="DS334" s="903"/>
      <c r="DW334" s="923">
        <f>DW322+DW325+DW328-DW331</f>
        <v>1075124771.4677353</v>
      </c>
      <c r="DX334" s="923">
        <f>DX322+DX325+DX328-DX331</f>
        <v>518833566.11346018</v>
      </c>
      <c r="DY334" s="923">
        <f>DY322+DY325+DY328-DY331</f>
        <v>92255202.149268717</v>
      </c>
      <c r="DZ334" s="923">
        <f>DZ322+DZ325+DZ328-DZ331</f>
        <v>464036003.2050066</v>
      </c>
      <c r="EA334" s="903"/>
      <c r="EE334" s="923">
        <f>EE322+EE325+EE328-EE331</f>
        <v>1075124771.4677353</v>
      </c>
      <c r="EF334" s="923">
        <f>EF322+EF325+EF328-EF331</f>
        <v>518833566.11346018</v>
      </c>
      <c r="EG334" s="923">
        <f>EG322+EG325+EG328-EG331</f>
        <v>92255202.149268717</v>
      </c>
      <c r="EH334" s="923">
        <f>EH322+EH325+EH328-EH331</f>
        <v>464036003.2050066</v>
      </c>
      <c r="EI334" s="903"/>
      <c r="EM334" s="923">
        <f>EM322+EM325+EM328-EM331</f>
        <v>1075124771.4677353</v>
      </c>
      <c r="EN334" s="923">
        <f>EN322+EN325+EN328-EN331</f>
        <v>518833566.11346018</v>
      </c>
      <c r="EO334" s="923">
        <f>EO322+EO325+EO328-EO331</f>
        <v>92255202.149268717</v>
      </c>
      <c r="EP334" s="923">
        <f>EP322+EP325+EP328-EP331</f>
        <v>464036003.2050066</v>
      </c>
      <c r="EQ334" s="903"/>
      <c r="EU334" s="923">
        <f>EU322+EU325+EU328-EU331</f>
        <v>1075124771.4677353</v>
      </c>
      <c r="EV334" s="923">
        <f>EV322+EV325+EV328-EV331</f>
        <v>518833566.11346018</v>
      </c>
      <c r="EW334" s="923">
        <f>EW322+EW325+EW328-EW331</f>
        <v>92255202.149268717</v>
      </c>
      <c r="EX334" s="923">
        <f>EX322+EX325+EX328-EX331</f>
        <v>464036003.2050066</v>
      </c>
      <c r="EY334" s="903"/>
      <c r="FC334" s="923">
        <f>FC322+FC325+FC328-FC331</f>
        <v>1075124771.4677353</v>
      </c>
      <c r="FD334" s="923">
        <f>FD322+FD325+FD328-FD331</f>
        <v>518833566.11346018</v>
      </c>
      <c r="FE334" s="923">
        <f>FE322+FE325+FE328-FE331</f>
        <v>92255202.149268717</v>
      </c>
      <c r="FF334" s="923">
        <f>FF322+FF325+FF328-FF331</f>
        <v>464036003.2050066</v>
      </c>
      <c r="FG334" s="903"/>
      <c r="FK334" s="923">
        <f>FK322+FK325+FK328-FK331</f>
        <v>1075124771.4677353</v>
      </c>
      <c r="FL334" s="923">
        <f>FL322+FL325+FL328-FL331</f>
        <v>518833566.11346018</v>
      </c>
      <c r="FM334" s="923">
        <f>FM322+FM325+FM328-FM331</f>
        <v>92255202.149268717</v>
      </c>
      <c r="FN334" s="923">
        <f>FN322+FN325+FN328-FN331</f>
        <v>464036003.2050066</v>
      </c>
      <c r="FO334" s="903"/>
    </row>
    <row r="335" spans="1:171">
      <c r="A335" s="1430" t="s">
        <v>251</v>
      </c>
      <c r="B335" s="64"/>
      <c r="C335" s="1"/>
      <c r="D335" s="1"/>
      <c r="E335" s="1"/>
      <c r="F335" s="1"/>
      <c r="G335" s="1052"/>
      <c r="H335" s="51"/>
      <c r="I335" s="51"/>
      <c r="J335" s="1497"/>
      <c r="K335" s="903"/>
      <c r="S335" s="1073"/>
      <c r="AA335" s="1073"/>
      <c r="AI335" s="1073"/>
      <c r="AQ335" s="1073"/>
      <c r="AY335" s="1073"/>
      <c r="BG335" s="1073"/>
      <c r="BO335" s="1073"/>
      <c r="BW335" s="1073"/>
      <c r="CE335" s="1073"/>
      <c r="CM335" s="1073"/>
      <c r="CU335" s="1073"/>
      <c r="DC335" s="1073"/>
      <c r="DK335" s="1073"/>
      <c r="DS335" s="1073"/>
      <c r="EA335" s="1073"/>
      <c r="EI335" s="1073"/>
      <c r="EQ335" s="1073"/>
      <c r="EY335" s="1073"/>
      <c r="FG335" s="1073"/>
      <c r="FO335" s="1073"/>
    </row>
    <row r="336" spans="1:171">
      <c r="A336" s="1457"/>
      <c r="B336" s="1"/>
      <c r="C336" s="1"/>
      <c r="D336" s="1"/>
      <c r="E336" s="1"/>
      <c r="F336" s="1"/>
      <c r="G336" s="1"/>
      <c r="H336" s="1"/>
      <c r="I336" s="1"/>
      <c r="J336" s="1458"/>
      <c r="K336" s="903"/>
      <c r="S336" s="1073"/>
      <c r="AA336" s="1073"/>
      <c r="AI336" s="1073"/>
      <c r="AQ336" s="1073"/>
      <c r="AY336" s="1073"/>
      <c r="BG336" s="1073"/>
      <c r="BO336" s="1073"/>
      <c r="BW336" s="1073"/>
      <c r="CE336" s="1073"/>
      <c r="CM336" s="1073"/>
      <c r="CU336" s="1073"/>
      <c r="DC336" s="1073"/>
      <c r="DK336" s="1073"/>
      <c r="DS336" s="1073"/>
      <c r="EA336" s="1073"/>
      <c r="EI336" s="1073"/>
      <c r="EQ336" s="1073"/>
      <c r="EY336" s="1073"/>
      <c r="FG336" s="1073"/>
      <c r="FO336" s="1073"/>
    </row>
    <row r="337" spans="1:171" ht="16.5" thickBot="1">
      <c r="A337" s="1498"/>
      <c r="B337" s="1056"/>
      <c r="C337" s="1056"/>
      <c r="D337" s="1056"/>
      <c r="E337" s="1056"/>
      <c r="F337" s="1056"/>
      <c r="G337" s="1056"/>
      <c r="H337" s="1056"/>
      <c r="I337" s="1056"/>
      <c r="J337" s="1499"/>
      <c r="K337" s="903"/>
      <c r="S337" s="1073"/>
      <c r="AA337" s="1073"/>
      <c r="AI337" s="1073"/>
      <c r="AQ337" s="1073"/>
      <c r="AY337" s="1073"/>
      <c r="BG337" s="1073"/>
      <c r="BO337" s="1073"/>
      <c r="BW337" s="1073"/>
      <c r="CE337" s="1073"/>
      <c r="CM337" s="1073"/>
      <c r="CU337" s="1073"/>
      <c r="DC337" s="1073"/>
      <c r="DK337" s="1073"/>
      <c r="DS337" s="1073"/>
      <c r="EA337" s="1073"/>
      <c r="EI337" s="1073"/>
      <c r="EQ337" s="1073"/>
      <c r="EY337" s="1073"/>
      <c r="FG337" s="1073"/>
      <c r="FO337" s="1073"/>
    </row>
    <row r="338" spans="1:171" ht="16.5" thickBot="1">
      <c r="A338" s="1500" t="s">
        <v>509</v>
      </c>
      <c r="B338" s="1059"/>
      <c r="C338" s="51"/>
      <c r="D338" s="51"/>
      <c r="E338" s="51"/>
      <c r="F338" s="51"/>
      <c r="G338" s="51"/>
      <c r="H338" s="51"/>
      <c r="I338" s="51"/>
      <c r="J338" s="1497"/>
      <c r="K338" s="903"/>
      <c r="S338" s="1073"/>
      <c r="AA338" s="1073"/>
      <c r="AI338" s="1073"/>
      <c r="AQ338" s="1073"/>
      <c r="AY338" s="1073"/>
      <c r="BG338" s="1073"/>
      <c r="BO338" s="1073"/>
      <c r="BW338" s="1073"/>
      <c r="CE338" s="1073"/>
      <c r="CM338" s="1073"/>
      <c r="CU338" s="1073"/>
      <c r="DC338" s="1073"/>
      <c r="DK338" s="1073"/>
      <c r="DS338" s="1073"/>
      <c r="EA338" s="1073"/>
      <c r="EI338" s="1073"/>
      <c r="EQ338" s="1073"/>
      <c r="EY338" s="1073"/>
      <c r="FG338" s="1073"/>
      <c r="FO338" s="1073"/>
    </row>
    <row r="339" spans="1:171" ht="16.5" thickTop="1">
      <c r="A339" s="1373" t="s">
        <v>319</v>
      </c>
      <c r="B339" s="51"/>
      <c r="C339" s="1"/>
      <c r="D339" s="1"/>
      <c r="E339" s="1"/>
      <c r="F339" s="1"/>
      <c r="G339" s="51"/>
      <c r="H339" s="1247">
        <f>H334</f>
        <v>518833566.11346018</v>
      </c>
      <c r="I339" s="51"/>
      <c r="J339" s="1497"/>
      <c r="K339" s="903"/>
      <c r="P339" s="1247">
        <f>P334</f>
        <v>518833566.11346018</v>
      </c>
      <c r="S339" s="1073"/>
      <c r="X339" s="1247">
        <f>X334</f>
        <v>518833566.11346018</v>
      </c>
      <c r="AA339" s="1073"/>
      <c r="AF339" s="1247">
        <f>AF334</f>
        <v>518833566.11346018</v>
      </c>
      <c r="AI339" s="1073"/>
      <c r="AN339" s="1247">
        <f>AN334</f>
        <v>518833566.11346018</v>
      </c>
      <c r="AQ339" s="1073"/>
      <c r="AV339" s="1247">
        <f>AV334</f>
        <v>518833566.11346018</v>
      </c>
      <c r="AY339" s="1073"/>
      <c r="BD339" s="1247">
        <f>BD334</f>
        <v>518833566.11346018</v>
      </c>
      <c r="BG339" s="1073"/>
      <c r="BL339" s="1247">
        <f>BL334</f>
        <v>518833566.11346018</v>
      </c>
      <c r="BO339" s="1073"/>
      <c r="BT339" s="1247">
        <f>BT334</f>
        <v>518833566.11346018</v>
      </c>
      <c r="BW339" s="1073"/>
      <c r="CB339" s="1065">
        <f>CB334</f>
        <v>518833566.11346018</v>
      </c>
      <c r="CE339" s="1073"/>
      <c r="CJ339" s="1065">
        <f>CJ334</f>
        <v>518833566.11346018</v>
      </c>
      <c r="CM339" s="1073"/>
      <c r="CR339" s="1065">
        <f>CR334</f>
        <v>518833566.11346018</v>
      </c>
      <c r="CU339" s="1073"/>
      <c r="CZ339" s="1247">
        <f>CZ334</f>
        <v>518833566.11346018</v>
      </c>
      <c r="DC339" s="1073"/>
      <c r="DH339" s="1247">
        <f>DH334</f>
        <v>518833566.11346018</v>
      </c>
      <c r="DK339" s="1073"/>
      <c r="DP339" s="1247">
        <f>DP334</f>
        <v>518833566.11346018</v>
      </c>
      <c r="DS339" s="1073"/>
      <c r="DX339" s="1247">
        <f>DX334</f>
        <v>518833566.11346018</v>
      </c>
      <c r="EA339" s="1073"/>
      <c r="EF339" s="1247">
        <f>EF334</f>
        <v>518833566.11346018</v>
      </c>
      <c r="EI339" s="1073"/>
      <c r="EN339" s="1247">
        <f>EN334</f>
        <v>518833566.11346018</v>
      </c>
      <c r="EQ339" s="1073"/>
      <c r="EV339" s="1247">
        <f>EV334</f>
        <v>518833566.11346018</v>
      </c>
      <c r="EY339" s="1073"/>
      <c r="FD339" s="1247">
        <f>FD334</f>
        <v>518833566.11346018</v>
      </c>
      <c r="FG339" s="1073"/>
      <c r="FL339" s="1247">
        <f>FL334</f>
        <v>518833566.11346018</v>
      </c>
      <c r="FO339" s="1073"/>
    </row>
    <row r="340" spans="1:171">
      <c r="A340" s="1373" t="s">
        <v>106</v>
      </c>
      <c r="B340" s="51"/>
      <c r="C340" s="1"/>
      <c r="D340" s="1"/>
      <c r="E340" s="1"/>
      <c r="F340" s="1"/>
      <c r="G340" s="51"/>
      <c r="H340" s="1248">
        <f>+I334</f>
        <v>0</v>
      </c>
      <c r="I340" s="51"/>
      <c r="J340" s="1497"/>
      <c r="K340" s="903"/>
      <c r="P340" s="1248">
        <f>Q334</f>
        <v>92255202.149268717</v>
      </c>
      <c r="S340" s="1073"/>
      <c r="X340" s="1248">
        <f>Y334</f>
        <v>92255202.149268717</v>
      </c>
      <c r="AA340" s="1073"/>
      <c r="AF340" s="1248">
        <f>AG334</f>
        <v>92255202.149268717</v>
      </c>
      <c r="AI340" s="1073"/>
      <c r="AN340" s="1248">
        <f>AO334</f>
        <v>92255202.149268717</v>
      </c>
      <c r="AQ340" s="1073"/>
      <c r="AV340" s="1248">
        <f>AW334</f>
        <v>92255202.149268717</v>
      </c>
      <c r="AY340" s="1073"/>
      <c r="BD340" s="1248">
        <f>BE334</f>
        <v>92255202.149268717</v>
      </c>
      <c r="BG340" s="1073"/>
      <c r="BL340" s="1248">
        <f>BM334</f>
        <v>92255202.149268717</v>
      </c>
      <c r="BO340" s="1073"/>
      <c r="BT340" s="1248">
        <f>BU334</f>
        <v>92255202.149268717</v>
      </c>
      <c r="BW340" s="1073"/>
      <c r="CB340" s="1066">
        <f>CC334</f>
        <v>92255202.149268717</v>
      </c>
      <c r="CE340" s="1073"/>
      <c r="CJ340" s="1066">
        <f>CK334</f>
        <v>92255202.149268717</v>
      </c>
      <c r="CM340" s="1073"/>
      <c r="CR340" s="1066">
        <f>CS334</f>
        <v>92255202.149268717</v>
      </c>
      <c r="CU340" s="1073"/>
      <c r="CZ340" s="1248">
        <f>DA334</f>
        <v>92255202.149268717</v>
      </c>
      <c r="DC340" s="1073"/>
      <c r="DH340" s="1248">
        <f>DI334</f>
        <v>92255202.149268717</v>
      </c>
      <c r="DK340" s="1073"/>
      <c r="DP340" s="1248">
        <f>DQ334</f>
        <v>92255202.149268717</v>
      </c>
      <c r="DS340" s="1073"/>
      <c r="DX340" s="1248">
        <f>DY334</f>
        <v>92255202.149268717</v>
      </c>
      <c r="EA340" s="1073"/>
      <c r="EF340" s="1248">
        <f>EG334</f>
        <v>92255202.149268717</v>
      </c>
      <c r="EI340" s="1073"/>
      <c r="EN340" s="1248">
        <f>EO334</f>
        <v>92255202.149268717</v>
      </c>
      <c r="EQ340" s="1073"/>
      <c r="EV340" s="1248">
        <f>EW334</f>
        <v>92255202.149268717</v>
      </c>
      <c r="EY340" s="1073"/>
      <c r="FD340" s="1248">
        <f>FE334</f>
        <v>92255202.149268717</v>
      </c>
      <c r="FG340" s="1073"/>
      <c r="FL340" s="1248">
        <f>FM334</f>
        <v>92255202.149268717</v>
      </c>
      <c r="FO340" s="1073"/>
    </row>
    <row r="341" spans="1:171">
      <c r="A341" s="1373" t="s">
        <v>513</v>
      </c>
      <c r="B341" s="51"/>
      <c r="C341" s="1"/>
      <c r="D341" s="1"/>
      <c r="E341" s="1"/>
      <c r="F341" s="1"/>
      <c r="G341" s="51"/>
      <c r="H341" s="890">
        <f>'Sch 4 - Average System Cost'!$D$34+'Sch 4 - Average System Cost'!$D$35</f>
        <v>0</v>
      </c>
      <c r="I341" s="51"/>
      <c r="J341" s="1497"/>
      <c r="K341" s="903"/>
      <c r="P341" s="890">
        <f>$H$341</f>
        <v>0</v>
      </c>
      <c r="S341" s="1073"/>
      <c r="X341" s="890">
        <f>$H$341</f>
        <v>0</v>
      </c>
      <c r="AA341" s="1073"/>
      <c r="AF341" s="890">
        <f>$H$341</f>
        <v>0</v>
      </c>
      <c r="AI341" s="1073"/>
      <c r="AN341" s="890">
        <f>$H$341</f>
        <v>0</v>
      </c>
      <c r="AQ341" s="1073"/>
      <c r="AV341" s="890">
        <f>$H$341</f>
        <v>0</v>
      </c>
      <c r="AY341" s="1073"/>
      <c r="BD341" s="890">
        <f>$H$341</f>
        <v>0</v>
      </c>
      <c r="BG341" s="1073"/>
      <c r="BL341" s="890">
        <f>$H$341</f>
        <v>0</v>
      </c>
      <c r="BO341" s="1073"/>
      <c r="BT341" s="890">
        <f>$H$341</f>
        <v>0</v>
      </c>
      <c r="BW341" s="1073"/>
      <c r="CB341" s="890">
        <f>$H$341</f>
        <v>0</v>
      </c>
      <c r="CE341" s="1073"/>
      <c r="CJ341" s="890">
        <f>$H$341</f>
        <v>0</v>
      </c>
      <c r="CM341" s="1073"/>
      <c r="CR341" s="890">
        <f>$H$341</f>
        <v>0</v>
      </c>
      <c r="CU341" s="1073"/>
      <c r="CZ341" s="890">
        <f>$H$341</f>
        <v>0</v>
      </c>
      <c r="DC341" s="1073"/>
      <c r="DH341" s="890">
        <f>$H$341</f>
        <v>0</v>
      </c>
      <c r="DK341" s="1073"/>
      <c r="DP341" s="890">
        <f>$H$341</f>
        <v>0</v>
      </c>
      <c r="DS341" s="1073"/>
      <c r="DX341" s="890">
        <f>$H$341</f>
        <v>0</v>
      </c>
      <c r="EA341" s="1073"/>
      <c r="EF341" s="890">
        <f>$H$341</f>
        <v>0</v>
      </c>
      <c r="EI341" s="1073"/>
      <c r="EN341" s="890">
        <f>$H$341</f>
        <v>0</v>
      </c>
      <c r="EQ341" s="1073"/>
      <c r="EV341" s="890">
        <f>$H$341</f>
        <v>0</v>
      </c>
      <c r="EY341" s="1073"/>
      <c r="FD341" s="890">
        <f>$H$341</f>
        <v>0</v>
      </c>
      <c r="FG341" s="1073"/>
      <c r="FL341" s="890">
        <f>$H$341</f>
        <v>0</v>
      </c>
      <c r="FO341" s="1073"/>
    </row>
    <row r="342" spans="1:171">
      <c r="A342" s="1362" t="s">
        <v>510</v>
      </c>
      <c r="B342" s="51"/>
      <c r="C342" s="1"/>
      <c r="D342" s="1"/>
      <c r="E342" s="1"/>
      <c r="F342" s="1"/>
      <c r="G342" s="51"/>
      <c r="H342" s="1249">
        <f>H339+H340-H341</f>
        <v>518833566.11346018</v>
      </c>
      <c r="I342" s="51"/>
      <c r="J342" s="1497"/>
      <c r="K342" s="903"/>
      <c r="P342" s="1249">
        <f>P339+P340-P341</f>
        <v>611088768.26272893</v>
      </c>
      <c r="S342" s="1073"/>
      <c r="X342" s="1249">
        <f>X339+X340-X341</f>
        <v>611088768.26272893</v>
      </c>
      <c r="AA342" s="1073"/>
      <c r="AF342" s="1249">
        <f>AF339+AF340-AF341</f>
        <v>611088768.26272893</v>
      </c>
      <c r="AI342" s="1073"/>
      <c r="AN342" s="1249">
        <f>AN339+AN340-AN341</f>
        <v>611088768.26272893</v>
      </c>
      <c r="AQ342" s="1073"/>
      <c r="AV342" s="1249">
        <f>AV339+AV340-AV341</f>
        <v>611088768.26272893</v>
      </c>
      <c r="AY342" s="1073"/>
      <c r="BD342" s="1249">
        <f>BD339+BD340-BD341</f>
        <v>611088768.26272893</v>
      </c>
      <c r="BG342" s="1073"/>
      <c r="BL342" s="1249">
        <f>BL339+BL340-BL341</f>
        <v>611088768.26272893</v>
      </c>
      <c r="BO342" s="1073"/>
      <c r="BT342" s="1249">
        <f>BT339+BT340-BT341</f>
        <v>611088768.26272893</v>
      </c>
      <c r="BW342" s="1073"/>
      <c r="CB342" s="923">
        <f>CB339+CB340-CB341</f>
        <v>611088768.26272893</v>
      </c>
      <c r="CE342" s="1073"/>
      <c r="CJ342" s="923">
        <f>CJ339+CJ340-CJ341</f>
        <v>611088768.26272893</v>
      </c>
      <c r="CM342" s="1073"/>
      <c r="CR342" s="923">
        <f>CR339+CR340-CR341</f>
        <v>611088768.26272893</v>
      </c>
      <c r="CU342" s="1073"/>
      <c r="CZ342" s="1249">
        <f>CZ339+CZ340-CZ341</f>
        <v>611088768.26272893</v>
      </c>
      <c r="DC342" s="1073"/>
      <c r="DH342" s="1249">
        <f>DH339+DH340-DH341</f>
        <v>611088768.26272893</v>
      </c>
      <c r="DK342" s="1073"/>
      <c r="DP342" s="1249">
        <f>DP339+DP340-DP341</f>
        <v>611088768.26272893</v>
      </c>
      <c r="DS342" s="1073"/>
      <c r="DX342" s="1249">
        <f>DX339+DX340-DX341</f>
        <v>611088768.26272893</v>
      </c>
      <c r="EA342" s="1073"/>
      <c r="EF342" s="1249">
        <f>EF339+EF340-EF341</f>
        <v>611088768.26272893</v>
      </c>
      <c r="EI342" s="1073"/>
      <c r="EN342" s="1249">
        <f>EN339+EN340-EN341</f>
        <v>611088768.26272893</v>
      </c>
      <c r="EQ342" s="1073"/>
      <c r="EV342" s="1249">
        <f>EV339+EV340-EV341</f>
        <v>611088768.26272893</v>
      </c>
      <c r="EY342" s="1073"/>
      <c r="FD342" s="1249">
        <f>FD339+FD340-FD341</f>
        <v>611088768.26272893</v>
      </c>
      <c r="FG342" s="1073"/>
      <c r="FL342" s="1249">
        <f>FL339+FL340-FL341</f>
        <v>611088768.26272893</v>
      </c>
      <c r="FO342" s="1073"/>
    </row>
    <row r="343" spans="1:171" ht="16.5" thickBot="1">
      <c r="A343" s="1501"/>
      <c r="B343" s="51"/>
      <c r="C343" s="1"/>
      <c r="D343" s="1"/>
      <c r="E343" s="1"/>
      <c r="F343" s="1"/>
      <c r="G343" s="51"/>
      <c r="H343" s="592"/>
      <c r="I343" s="51"/>
      <c r="J343" s="1497"/>
      <c r="K343" s="903"/>
      <c r="P343" s="592"/>
      <c r="S343" s="1073"/>
      <c r="X343" s="592"/>
      <c r="AA343" s="1073"/>
      <c r="AF343" s="592"/>
      <c r="AI343" s="1073"/>
      <c r="AN343" s="592"/>
      <c r="AQ343" s="1073"/>
      <c r="AV343" s="592"/>
      <c r="AY343" s="1073"/>
      <c r="BD343" s="592"/>
      <c r="BG343" s="1073"/>
      <c r="BL343" s="592"/>
      <c r="BO343" s="1073"/>
      <c r="BT343" s="592"/>
      <c r="BW343" s="1073"/>
      <c r="CE343" s="1073"/>
      <c r="CM343" s="1073"/>
      <c r="CU343" s="1073"/>
      <c r="CZ343" s="592"/>
      <c r="DC343" s="1073"/>
      <c r="DH343" s="592"/>
      <c r="DK343" s="1073"/>
      <c r="DP343" s="592"/>
      <c r="DS343" s="1073"/>
      <c r="DX343" s="592"/>
      <c r="EA343" s="1073"/>
      <c r="EF343" s="592"/>
      <c r="EI343" s="1073"/>
      <c r="EN343" s="592"/>
      <c r="EQ343" s="1073"/>
      <c r="EV343" s="592"/>
      <c r="EY343" s="1073"/>
      <c r="FD343" s="592"/>
      <c r="FG343" s="1073"/>
      <c r="FL343" s="592"/>
      <c r="FO343" s="1073"/>
    </row>
    <row r="344" spans="1:171" ht="17.25" thickTop="1" thickBot="1">
      <c r="A344" s="1502" t="s">
        <v>511</v>
      </c>
      <c r="B344" s="1062"/>
      <c r="C344" s="1"/>
      <c r="D344" s="1"/>
      <c r="E344" s="1"/>
      <c r="F344" s="1"/>
      <c r="G344" s="51"/>
      <c r="H344" s="592"/>
      <c r="I344" s="51"/>
      <c r="J344" s="1497"/>
      <c r="K344" s="903"/>
      <c r="P344" s="592"/>
      <c r="S344" s="1073"/>
      <c r="X344" s="592"/>
      <c r="AA344" s="1073"/>
      <c r="AF344" s="592"/>
      <c r="AI344" s="1073"/>
      <c r="AN344" s="592"/>
      <c r="AQ344" s="1073"/>
      <c r="AV344" s="592"/>
      <c r="AY344" s="1073"/>
      <c r="BD344" s="592"/>
      <c r="BG344" s="1073"/>
      <c r="BL344" s="592"/>
      <c r="BO344" s="1073"/>
      <c r="BT344" s="592"/>
      <c r="BW344" s="1073"/>
      <c r="CE344" s="1073"/>
      <c r="CM344" s="1073"/>
      <c r="CU344" s="1073"/>
      <c r="CZ344" s="592"/>
      <c r="DC344" s="1073"/>
      <c r="DH344" s="592"/>
      <c r="DK344" s="1073"/>
      <c r="DP344" s="592"/>
      <c r="DS344" s="1073"/>
      <c r="DX344" s="592"/>
      <c r="EA344" s="1073"/>
      <c r="EF344" s="592"/>
      <c r="EI344" s="1073"/>
      <c r="EN344" s="592"/>
      <c r="EQ344" s="1073"/>
      <c r="EV344" s="592"/>
      <c r="EY344" s="1073"/>
      <c r="FD344" s="592"/>
      <c r="FG344" s="1073"/>
      <c r="FL344" s="592"/>
      <c r="FO344" s="1073"/>
    </row>
    <row r="345" spans="1:171" ht="16.5" thickTop="1">
      <c r="A345" s="1373" t="s">
        <v>320</v>
      </c>
      <c r="B345" s="51"/>
      <c r="C345" s="1"/>
      <c r="D345" s="1"/>
      <c r="E345" s="1"/>
      <c r="F345" s="1"/>
      <c r="G345" s="51"/>
      <c r="H345" s="1063">
        <f>'Sch 4 - Average System Cost'!D39</f>
        <v>9307869</v>
      </c>
      <c r="I345" s="51"/>
      <c r="J345" s="1497"/>
      <c r="K345" s="903"/>
      <c r="P345" s="1063">
        <f>$H$345</f>
        <v>9307869</v>
      </c>
      <c r="Q345" s="51"/>
      <c r="R345" s="51"/>
      <c r="S345" s="903"/>
      <c r="X345" s="1063">
        <f>$H$345</f>
        <v>9307869</v>
      </c>
      <c r="Y345" s="51"/>
      <c r="Z345" s="51"/>
      <c r="AA345" s="903"/>
      <c r="AF345" s="1063">
        <f>$H$345</f>
        <v>9307869</v>
      </c>
      <c r="AG345" s="51"/>
      <c r="AH345" s="51"/>
      <c r="AI345" s="903"/>
      <c r="AN345" s="1063">
        <f>$H$345</f>
        <v>9307869</v>
      </c>
      <c r="AO345" s="51"/>
      <c r="AP345" s="51"/>
      <c r="AQ345" s="903"/>
      <c r="AV345" s="1063">
        <f>$H$345</f>
        <v>9307869</v>
      </c>
      <c r="AW345" s="51"/>
      <c r="AX345" s="51"/>
      <c r="AY345" s="903"/>
      <c r="BD345" s="1063">
        <f>$H$345</f>
        <v>9307869</v>
      </c>
      <c r="BE345" s="51"/>
      <c r="BF345" s="51"/>
      <c r="BG345" s="903"/>
      <c r="BL345" s="1063">
        <f>$H$345</f>
        <v>9307869</v>
      </c>
      <c r="BM345" s="51"/>
      <c r="BN345" s="51"/>
      <c r="BO345" s="903"/>
      <c r="BT345" s="1063">
        <f>$H$345</f>
        <v>9307869</v>
      </c>
      <c r="BU345" s="51"/>
      <c r="BV345" s="51"/>
      <c r="BW345" s="903"/>
      <c r="CB345" s="1063">
        <f>$H$345</f>
        <v>9307869</v>
      </c>
      <c r="CC345" s="51"/>
      <c r="CD345" s="51"/>
      <c r="CE345" s="903"/>
      <c r="CJ345" s="1063">
        <f>$H$345</f>
        <v>9307869</v>
      </c>
      <c r="CK345" s="51"/>
      <c r="CL345" s="51"/>
      <c r="CM345" s="903"/>
      <c r="CR345" s="1063">
        <f>$H$345</f>
        <v>9307869</v>
      </c>
      <c r="CS345" s="51"/>
      <c r="CT345" s="51"/>
      <c r="CU345" s="903"/>
      <c r="CZ345" s="1063">
        <f>$H$345</f>
        <v>9307869</v>
      </c>
      <c r="DA345" s="51"/>
      <c r="DB345" s="51"/>
      <c r="DC345" s="903"/>
      <c r="DH345" s="1063">
        <f>$H$345</f>
        <v>9307869</v>
      </c>
      <c r="DI345" s="51"/>
      <c r="DJ345" s="51"/>
      <c r="DK345" s="903"/>
      <c r="DP345" s="1063">
        <f>$H$345</f>
        <v>9307869</v>
      </c>
      <c r="DQ345" s="51"/>
      <c r="DR345" s="51"/>
      <c r="DS345" s="903"/>
      <c r="DX345" s="1063">
        <f>$H$345</f>
        <v>9307869</v>
      </c>
      <c r="DY345" s="51"/>
      <c r="DZ345" s="51"/>
      <c r="EA345" s="903"/>
      <c r="EF345" s="1063">
        <f>$H$345</f>
        <v>9307869</v>
      </c>
      <c r="EG345" s="51"/>
      <c r="EH345" s="51"/>
      <c r="EI345" s="903"/>
      <c r="EN345" s="1063">
        <f>$H$345</f>
        <v>9307869</v>
      </c>
      <c r="EO345" s="51"/>
      <c r="EP345" s="51"/>
      <c r="EQ345" s="903"/>
      <c r="EV345" s="1063">
        <f>$H$345</f>
        <v>9307869</v>
      </c>
      <c r="EW345" s="51"/>
      <c r="EX345" s="51"/>
      <c r="EY345" s="903"/>
      <c r="FD345" s="1063">
        <f>$H$345</f>
        <v>9307869</v>
      </c>
      <c r="FE345" s="51"/>
      <c r="FF345" s="51"/>
      <c r="FG345" s="903"/>
      <c r="FL345" s="1063">
        <f>$H$345</f>
        <v>9307869</v>
      </c>
      <c r="FM345" s="51"/>
      <c r="FN345" s="51"/>
      <c r="FO345" s="903"/>
    </row>
    <row r="346" spans="1:171">
      <c r="A346" s="1373" t="s">
        <v>321</v>
      </c>
      <c r="B346" s="51"/>
      <c r="C346" s="1"/>
      <c r="D346" s="1"/>
      <c r="E346" s="1"/>
      <c r="F346" s="1"/>
      <c r="G346" s="51"/>
      <c r="H346" s="1063">
        <f>'Sch 4 - Average System Cost'!$D$40+'Sch 4 - Average System Cost'!$D$43</f>
        <v>0</v>
      </c>
      <c r="I346" s="1064" t="s">
        <v>637</v>
      </c>
      <c r="J346" s="1503">
        <v>0</v>
      </c>
      <c r="K346" s="903"/>
      <c r="P346" s="1063">
        <f>$H$346</f>
        <v>0</v>
      </c>
      <c r="Q346" s="1064" t="s">
        <v>637</v>
      </c>
      <c r="R346" s="1063">
        <v>0</v>
      </c>
      <c r="S346" s="903"/>
      <c r="X346" s="1063">
        <f>$H$346</f>
        <v>0</v>
      </c>
      <c r="Y346" s="1064" t="s">
        <v>637</v>
      </c>
      <c r="Z346" s="1063">
        <v>0</v>
      </c>
      <c r="AA346" s="903"/>
      <c r="AF346" s="1063">
        <f>$H$346</f>
        <v>0</v>
      </c>
      <c r="AG346" s="1064" t="s">
        <v>637</v>
      </c>
      <c r="AH346" s="1063">
        <v>0</v>
      </c>
      <c r="AI346" s="903"/>
      <c r="AN346" s="1063">
        <f>$H$346</f>
        <v>0</v>
      </c>
      <c r="AO346" s="1064" t="s">
        <v>637</v>
      </c>
      <c r="AP346" s="1063">
        <v>0</v>
      </c>
      <c r="AQ346" s="903"/>
      <c r="AV346" s="1063">
        <f>$H$346</f>
        <v>0</v>
      </c>
      <c r="AW346" s="1064" t="s">
        <v>637</v>
      </c>
      <c r="AX346" s="1063">
        <v>0</v>
      </c>
      <c r="AY346" s="903"/>
      <c r="BD346" s="1063">
        <f>$H$346</f>
        <v>0</v>
      </c>
      <c r="BE346" s="1064" t="s">
        <v>637</v>
      </c>
      <c r="BF346" s="1063">
        <v>0</v>
      </c>
      <c r="BG346" s="903"/>
      <c r="BL346" s="1063">
        <f>$H$346</f>
        <v>0</v>
      </c>
      <c r="BM346" s="1064" t="s">
        <v>637</v>
      </c>
      <c r="BN346" s="1063">
        <v>0</v>
      </c>
      <c r="BO346" s="903"/>
      <c r="BT346" s="1063">
        <f>$H$346</f>
        <v>0</v>
      </c>
      <c r="BU346" s="1064" t="s">
        <v>637</v>
      </c>
      <c r="BV346" s="1063">
        <v>0</v>
      </c>
      <c r="BW346" s="903"/>
      <c r="CB346" s="1063">
        <f>$H$346</f>
        <v>0</v>
      </c>
      <c r="CC346" s="1064" t="s">
        <v>637</v>
      </c>
      <c r="CD346" s="1063">
        <v>0</v>
      </c>
      <c r="CE346" s="903"/>
      <c r="CJ346" s="1063">
        <f>$H$346</f>
        <v>0</v>
      </c>
      <c r="CK346" s="1064" t="s">
        <v>637</v>
      </c>
      <c r="CL346" s="1063">
        <v>0</v>
      </c>
      <c r="CM346" s="903"/>
      <c r="CR346" s="1063">
        <f>$H$346</f>
        <v>0</v>
      </c>
      <c r="CS346" s="1064" t="s">
        <v>637</v>
      </c>
      <c r="CT346" s="1063">
        <v>0</v>
      </c>
      <c r="CU346" s="903"/>
      <c r="CZ346" s="1063">
        <f>$H$346</f>
        <v>0</v>
      </c>
      <c r="DA346" s="1064" t="s">
        <v>637</v>
      </c>
      <c r="DB346" s="1063">
        <v>0</v>
      </c>
      <c r="DC346" s="903"/>
      <c r="DH346" s="1063">
        <f>$H$346</f>
        <v>0</v>
      </c>
      <c r="DI346" s="1064" t="s">
        <v>637</v>
      </c>
      <c r="DJ346" s="1063">
        <v>0</v>
      </c>
      <c r="DK346" s="903"/>
      <c r="DP346" s="1063">
        <f>$H$346</f>
        <v>0</v>
      </c>
      <c r="DQ346" s="1064" t="s">
        <v>637</v>
      </c>
      <c r="DR346" s="1063">
        <v>0</v>
      </c>
      <c r="DS346" s="903"/>
      <c r="DX346" s="1063">
        <f>$H$346</f>
        <v>0</v>
      </c>
      <c r="DY346" s="1064" t="s">
        <v>637</v>
      </c>
      <c r="DZ346" s="1063">
        <v>0</v>
      </c>
      <c r="EA346" s="903"/>
      <c r="EF346" s="1063">
        <f>$H$346</f>
        <v>0</v>
      </c>
      <c r="EG346" s="1064" t="s">
        <v>637</v>
      </c>
      <c r="EH346" s="1063">
        <v>0</v>
      </c>
      <c r="EI346" s="903"/>
      <c r="EN346" s="1063">
        <f>$H$346</f>
        <v>0</v>
      </c>
      <c r="EO346" s="1064" t="s">
        <v>637</v>
      </c>
      <c r="EP346" s="1063">
        <v>0</v>
      </c>
      <c r="EQ346" s="903"/>
      <c r="EV346" s="1063">
        <f>$H$346</f>
        <v>0</v>
      </c>
      <c r="EW346" s="1064" t="s">
        <v>637</v>
      </c>
      <c r="EX346" s="1063">
        <v>0</v>
      </c>
      <c r="EY346" s="903"/>
      <c r="FD346" s="1063">
        <f>$H$346</f>
        <v>0</v>
      </c>
      <c r="FE346" s="1064" t="s">
        <v>637</v>
      </c>
      <c r="FF346" s="1063">
        <v>0</v>
      </c>
      <c r="FG346" s="903"/>
      <c r="FL346" s="1063">
        <f>$H$346</f>
        <v>0</v>
      </c>
      <c r="FM346" s="1064" t="s">
        <v>637</v>
      </c>
      <c r="FN346" s="1063">
        <v>0</v>
      </c>
      <c r="FO346" s="903"/>
    </row>
    <row r="347" spans="1:171">
      <c r="A347" s="1373" t="s">
        <v>514</v>
      </c>
      <c r="B347" s="51"/>
      <c r="C347" s="1"/>
      <c r="D347" s="1"/>
      <c r="E347" s="1"/>
      <c r="F347" s="1070"/>
      <c r="G347" s="51"/>
      <c r="H347" s="1067">
        <f>H345-H346</f>
        <v>9307869</v>
      </c>
      <c r="I347" s="51"/>
      <c r="J347" s="1497"/>
      <c r="K347" s="903"/>
      <c r="P347" s="1067">
        <f>P345-P346</f>
        <v>9307869</v>
      </c>
      <c r="Q347" s="51"/>
      <c r="R347" s="51"/>
      <c r="S347" s="903"/>
      <c r="X347" s="1067">
        <f>X345-X346</f>
        <v>9307869</v>
      </c>
      <c r="Y347" s="51"/>
      <c r="Z347" s="51"/>
      <c r="AA347" s="903"/>
      <c r="AF347" s="1067">
        <f>AF345-AF346</f>
        <v>9307869</v>
      </c>
      <c r="AG347" s="51"/>
      <c r="AH347" s="51"/>
      <c r="AI347" s="903"/>
      <c r="AN347" s="1067">
        <f>AN345-AN346</f>
        <v>9307869</v>
      </c>
      <c r="AO347" s="51"/>
      <c r="AP347" s="51"/>
      <c r="AQ347" s="903"/>
      <c r="AV347" s="1067">
        <f>AV345-AV346</f>
        <v>9307869</v>
      </c>
      <c r="AW347" s="51"/>
      <c r="AX347" s="51"/>
      <c r="AY347" s="903"/>
      <c r="BD347" s="1067">
        <f>BD345-BD346</f>
        <v>9307869</v>
      </c>
      <c r="BE347" s="51"/>
      <c r="BF347" s="51"/>
      <c r="BG347" s="903"/>
      <c r="BL347" s="1067">
        <f>BL345-BL346</f>
        <v>9307869</v>
      </c>
      <c r="BM347" s="51"/>
      <c r="BN347" s="51"/>
      <c r="BO347" s="903"/>
      <c r="BT347" s="1067">
        <f>BT345-BT346</f>
        <v>9307869</v>
      </c>
      <c r="BU347" s="51"/>
      <c r="BV347" s="51"/>
      <c r="BW347" s="903"/>
      <c r="CB347" s="1067">
        <f>CB345-CB346</f>
        <v>9307869</v>
      </c>
      <c r="CC347" s="51"/>
      <c r="CD347" s="51"/>
      <c r="CE347" s="903"/>
      <c r="CJ347" s="1067">
        <f>CJ345-CJ346</f>
        <v>9307869</v>
      </c>
      <c r="CK347" s="51"/>
      <c r="CL347" s="51"/>
      <c r="CM347" s="903"/>
      <c r="CR347" s="1067">
        <f>CR345-CR346</f>
        <v>9307869</v>
      </c>
      <c r="CS347" s="51"/>
      <c r="CT347" s="51"/>
      <c r="CU347" s="903"/>
      <c r="CZ347" s="1067">
        <f>CZ345-CZ346</f>
        <v>9307869</v>
      </c>
      <c r="DA347" s="51"/>
      <c r="DB347" s="51"/>
      <c r="DC347" s="903"/>
      <c r="DH347" s="1067">
        <f>DH345-DH346</f>
        <v>9307869</v>
      </c>
      <c r="DI347" s="51"/>
      <c r="DJ347" s="51"/>
      <c r="DK347" s="903"/>
      <c r="DP347" s="1067">
        <f>DP345-DP346</f>
        <v>9307869</v>
      </c>
      <c r="DQ347" s="51"/>
      <c r="DR347" s="51"/>
      <c r="DS347" s="903"/>
      <c r="DX347" s="1067">
        <f>DX345-DX346</f>
        <v>9307869</v>
      </c>
      <c r="DY347" s="51"/>
      <c r="DZ347" s="51"/>
      <c r="EA347" s="903"/>
      <c r="EF347" s="1067">
        <f>EF345-EF346</f>
        <v>9307869</v>
      </c>
      <c r="EG347" s="51"/>
      <c r="EH347" s="51"/>
      <c r="EI347" s="903"/>
      <c r="EN347" s="1067">
        <f>EN345-EN346</f>
        <v>9307869</v>
      </c>
      <c r="EO347" s="51"/>
      <c r="EP347" s="51"/>
      <c r="EQ347" s="903"/>
      <c r="EV347" s="1067">
        <f>EV345-EV346</f>
        <v>9307869</v>
      </c>
      <c r="EW347" s="51"/>
      <c r="EX347" s="51"/>
      <c r="EY347" s="903"/>
      <c r="FD347" s="1067">
        <f>FD345-FD346</f>
        <v>9307869</v>
      </c>
      <c r="FE347" s="51"/>
      <c r="FF347" s="51"/>
      <c r="FG347" s="903"/>
      <c r="FL347" s="1067">
        <f>FL345-FL346</f>
        <v>9307869</v>
      </c>
      <c r="FM347" s="51"/>
      <c r="FN347" s="51"/>
      <c r="FO347" s="903"/>
    </row>
    <row r="348" spans="1:171" ht="16.5" thickBot="1">
      <c r="A348" s="1373" t="s">
        <v>638</v>
      </c>
      <c r="B348" s="51"/>
      <c r="C348" s="1"/>
      <c r="D348" s="1"/>
      <c r="E348" s="1"/>
      <c r="F348" s="1"/>
      <c r="G348" s="51"/>
      <c r="H348" s="1063">
        <f>'Sch 4 - Average System Cost'!$D$42</f>
        <v>298050.91444673057</v>
      </c>
      <c r="I348" s="51"/>
      <c r="J348" s="1497"/>
      <c r="K348" s="903"/>
      <c r="P348" s="1063">
        <f>$H$348</f>
        <v>298050.91444673057</v>
      </c>
      <c r="Q348" s="51"/>
      <c r="R348" s="51"/>
      <c r="S348" s="903"/>
      <c r="X348" s="1063">
        <f>$H$348</f>
        <v>298050.91444673057</v>
      </c>
      <c r="Y348" s="51"/>
      <c r="Z348" s="51"/>
      <c r="AA348" s="903"/>
      <c r="AF348" s="1063">
        <f>$H$348</f>
        <v>298050.91444673057</v>
      </c>
      <c r="AG348" s="51"/>
      <c r="AH348" s="51"/>
      <c r="AI348" s="903"/>
      <c r="AN348" s="1063">
        <f>$H$348</f>
        <v>298050.91444673057</v>
      </c>
      <c r="AO348" s="51"/>
      <c r="AP348" s="51"/>
      <c r="AQ348" s="903"/>
      <c r="AV348" s="1063">
        <f>$H$348</f>
        <v>298050.91444673057</v>
      </c>
      <c r="AW348" s="51"/>
      <c r="AX348" s="51"/>
      <c r="AY348" s="903"/>
      <c r="BD348" s="1063">
        <f>$H$348</f>
        <v>298050.91444673057</v>
      </c>
      <c r="BE348" s="51"/>
      <c r="BF348" s="51"/>
      <c r="BG348" s="903"/>
      <c r="BL348" s="1063">
        <f>$H$348</f>
        <v>298050.91444673057</v>
      </c>
      <c r="BM348" s="51"/>
      <c r="BN348" s="51"/>
      <c r="BO348" s="903"/>
      <c r="BT348" s="1063">
        <f>$H$348</f>
        <v>298050.91444673057</v>
      </c>
      <c r="BU348" s="51"/>
      <c r="BV348" s="51"/>
      <c r="BW348" s="903"/>
      <c r="CB348" s="1063">
        <f>$H$348</f>
        <v>298050.91444673057</v>
      </c>
      <c r="CC348" s="51"/>
      <c r="CD348" s="51"/>
      <c r="CE348" s="903"/>
      <c r="CJ348" s="1063">
        <f>$H$348</f>
        <v>298050.91444673057</v>
      </c>
      <c r="CK348" s="51"/>
      <c r="CL348" s="51"/>
      <c r="CM348" s="903"/>
      <c r="CR348" s="1063">
        <f>$H$348</f>
        <v>298050.91444673057</v>
      </c>
      <c r="CS348" s="51"/>
      <c r="CT348" s="51"/>
      <c r="CU348" s="903"/>
      <c r="CZ348" s="1063">
        <f>$H$348</f>
        <v>298050.91444673057</v>
      </c>
      <c r="DA348" s="51"/>
      <c r="DB348" s="51"/>
      <c r="DC348" s="903"/>
      <c r="DH348" s="1063">
        <f>$H$348</f>
        <v>298050.91444673057</v>
      </c>
      <c r="DI348" s="51"/>
      <c r="DJ348" s="51"/>
      <c r="DK348" s="903"/>
      <c r="DP348" s="1063">
        <f>$H$348</f>
        <v>298050.91444673057</v>
      </c>
      <c r="DQ348" s="51"/>
      <c r="DR348" s="51"/>
      <c r="DS348" s="903"/>
      <c r="DX348" s="1063">
        <f>$H$348</f>
        <v>298050.91444673057</v>
      </c>
      <c r="DY348" s="51"/>
      <c r="DZ348" s="51"/>
      <c r="EA348" s="903"/>
      <c r="EF348" s="1063">
        <f>$H$348</f>
        <v>298050.91444673057</v>
      </c>
      <c r="EG348" s="51"/>
      <c r="EH348" s="51"/>
      <c r="EI348" s="903"/>
      <c r="EN348" s="1063">
        <f>$H$348</f>
        <v>298050.91444673057</v>
      </c>
      <c r="EO348" s="51"/>
      <c r="EP348" s="51"/>
      <c r="EQ348" s="903"/>
      <c r="EV348" s="1063">
        <f>$H$348</f>
        <v>298050.91444673057</v>
      </c>
      <c r="EW348" s="51"/>
      <c r="EX348" s="51"/>
      <c r="EY348" s="903"/>
      <c r="FD348" s="1063">
        <f>$H$348</f>
        <v>298050.91444673057</v>
      </c>
      <c r="FE348" s="51"/>
      <c r="FF348" s="51"/>
      <c r="FG348" s="903"/>
      <c r="FL348" s="1063">
        <f>$H$348</f>
        <v>298050.91444673057</v>
      </c>
      <c r="FM348" s="51"/>
      <c r="FN348" s="51"/>
      <c r="FO348" s="903"/>
    </row>
    <row r="349" spans="1:171" ht="16.5" thickBot="1">
      <c r="A349" s="1362" t="s">
        <v>512</v>
      </c>
      <c r="B349" s="51"/>
      <c r="C349" s="1"/>
      <c r="D349" s="1"/>
      <c r="E349" s="1"/>
      <c r="F349" s="1"/>
      <c r="G349" s="51"/>
      <c r="H349" s="1250">
        <f>H347+H348</f>
        <v>9605919.9144467302</v>
      </c>
      <c r="I349" s="51"/>
      <c r="J349" s="1497"/>
      <c r="K349" s="903"/>
      <c r="P349" s="1250">
        <f>P347+P348</f>
        <v>9605919.9144467302</v>
      </c>
      <c r="Q349" s="51"/>
      <c r="R349" s="51"/>
      <c r="S349" s="903"/>
      <c r="X349" s="1250">
        <f>X347+X348</f>
        <v>9605919.9144467302</v>
      </c>
      <c r="Y349" s="51"/>
      <c r="Z349" s="51"/>
      <c r="AA349" s="903"/>
      <c r="AF349" s="1250">
        <f>AF347+AF348</f>
        <v>9605919.9144467302</v>
      </c>
      <c r="AG349" s="51"/>
      <c r="AH349" s="51"/>
      <c r="AI349" s="903"/>
      <c r="AN349" s="1250">
        <f>AN347+AN348</f>
        <v>9605919.9144467302</v>
      </c>
      <c r="AO349" s="51"/>
      <c r="AP349" s="51"/>
      <c r="AQ349" s="903"/>
      <c r="AV349" s="1250">
        <f>AV347+AV348</f>
        <v>9605919.9144467302</v>
      </c>
      <c r="AW349" s="51"/>
      <c r="AX349" s="51"/>
      <c r="AY349" s="903"/>
      <c r="BD349" s="1250">
        <f>BD347+BD348</f>
        <v>9605919.9144467302</v>
      </c>
      <c r="BE349" s="51"/>
      <c r="BF349" s="51"/>
      <c r="BG349" s="903"/>
      <c r="BL349" s="1250">
        <f>BL347+BL348</f>
        <v>9605919.9144467302</v>
      </c>
      <c r="BM349" s="51"/>
      <c r="BN349" s="51"/>
      <c r="BO349" s="903"/>
      <c r="BT349" s="1250">
        <f>BT347+BT348</f>
        <v>9605919.9144467302</v>
      </c>
      <c r="BU349" s="51"/>
      <c r="BV349" s="51"/>
      <c r="BW349" s="903"/>
      <c r="CB349" s="1068">
        <f>CB347+CB348</f>
        <v>9605919.9144467302</v>
      </c>
      <c r="CC349" s="51"/>
      <c r="CD349" s="51"/>
      <c r="CE349" s="903"/>
      <c r="CJ349" s="1068">
        <f>CJ347+CJ348</f>
        <v>9605919.9144467302</v>
      </c>
      <c r="CK349" s="51"/>
      <c r="CL349" s="51"/>
      <c r="CM349" s="903"/>
      <c r="CR349" s="1068">
        <f>CR347+CR348</f>
        <v>9605919.9144467302</v>
      </c>
      <c r="CS349" s="51"/>
      <c r="CT349" s="51"/>
      <c r="CU349" s="903"/>
      <c r="CZ349" s="1250">
        <f>CZ347+CZ348</f>
        <v>9605919.9144467302</v>
      </c>
      <c r="DA349" s="51"/>
      <c r="DB349" s="51"/>
      <c r="DC349" s="903"/>
      <c r="DH349" s="1250">
        <f>DH347+DH348</f>
        <v>9605919.9144467302</v>
      </c>
      <c r="DI349" s="51"/>
      <c r="DJ349" s="51"/>
      <c r="DK349" s="903"/>
      <c r="DP349" s="1250">
        <f>DP347+DP348</f>
        <v>9605919.9144467302</v>
      </c>
      <c r="DQ349" s="51"/>
      <c r="DR349" s="51"/>
      <c r="DS349" s="903"/>
      <c r="DX349" s="1250">
        <f>DX347+DX348</f>
        <v>9605919.9144467302</v>
      </c>
      <c r="DY349" s="51"/>
      <c r="DZ349" s="51"/>
      <c r="EA349" s="903"/>
      <c r="EF349" s="1250">
        <f>EF347+EF348</f>
        <v>9605919.9144467302</v>
      </c>
      <c r="EG349" s="51"/>
      <c r="EH349" s="51"/>
      <c r="EI349" s="903"/>
      <c r="EN349" s="1250">
        <f>EN347+EN348</f>
        <v>9605919.9144467302</v>
      </c>
      <c r="EO349" s="51"/>
      <c r="EP349" s="51"/>
      <c r="EQ349" s="903"/>
      <c r="EV349" s="1250">
        <f>EV347+EV348</f>
        <v>9605919.9144467302</v>
      </c>
      <c r="EW349" s="51"/>
      <c r="EX349" s="51"/>
      <c r="EY349" s="903"/>
      <c r="FD349" s="1250">
        <f>FD347+FD348</f>
        <v>9605919.9144467302</v>
      </c>
      <c r="FE349" s="51"/>
      <c r="FF349" s="51"/>
      <c r="FG349" s="903"/>
      <c r="FL349" s="1250">
        <f>FL347+FL348</f>
        <v>9605919.9144467302</v>
      </c>
      <c r="FM349" s="51"/>
      <c r="FN349" s="51"/>
      <c r="FO349" s="903"/>
    </row>
    <row r="350" spans="1:171" ht="16.5" thickBot="1">
      <c r="A350" s="1373"/>
      <c r="B350" s="51"/>
      <c r="C350" s="1"/>
      <c r="D350" s="1"/>
      <c r="E350" s="1"/>
      <c r="F350" s="1"/>
      <c r="G350" s="51"/>
      <c r="H350" s="56"/>
      <c r="I350" s="51"/>
      <c r="J350" s="1497"/>
      <c r="K350" s="903"/>
      <c r="P350" s="56"/>
      <c r="Q350" s="51"/>
      <c r="R350" s="51"/>
      <c r="S350" s="903"/>
      <c r="X350" s="56"/>
      <c r="Y350" s="51"/>
      <c r="Z350" s="51"/>
      <c r="AA350" s="903"/>
      <c r="AF350" s="56"/>
      <c r="AG350" s="51"/>
      <c r="AH350" s="51"/>
      <c r="AI350" s="903"/>
      <c r="AN350" s="56"/>
      <c r="AO350" s="51"/>
      <c r="AP350" s="51"/>
      <c r="AQ350" s="903"/>
      <c r="AV350" s="56"/>
      <c r="AW350" s="51"/>
      <c r="AX350" s="51"/>
      <c r="AY350" s="903"/>
      <c r="BD350" s="56"/>
      <c r="BE350" s="51"/>
      <c r="BF350" s="51"/>
      <c r="BG350" s="903"/>
      <c r="BL350" s="56"/>
      <c r="BM350" s="51"/>
      <c r="BN350" s="51"/>
      <c r="BO350" s="903"/>
      <c r="BT350" s="56"/>
      <c r="BU350" s="51"/>
      <c r="BV350" s="51"/>
      <c r="BW350" s="903"/>
      <c r="CB350" s="56"/>
      <c r="CC350" s="51"/>
      <c r="CD350" s="51"/>
      <c r="CE350" s="903"/>
      <c r="CJ350" s="56"/>
      <c r="CK350" s="51"/>
      <c r="CL350" s="51"/>
      <c r="CM350" s="903"/>
      <c r="CR350" s="56"/>
      <c r="CS350" s="51"/>
      <c r="CT350" s="51"/>
      <c r="CU350" s="903"/>
      <c r="CZ350" s="56"/>
      <c r="DA350" s="51"/>
      <c r="DB350" s="51"/>
      <c r="DC350" s="903"/>
      <c r="DH350" s="56"/>
      <c r="DI350" s="51"/>
      <c r="DJ350" s="51"/>
      <c r="DK350" s="903"/>
      <c r="DP350" s="56"/>
      <c r="DQ350" s="51"/>
      <c r="DR350" s="51"/>
      <c r="DS350" s="903"/>
      <c r="DX350" s="56"/>
      <c r="DY350" s="51"/>
      <c r="DZ350" s="51"/>
      <c r="EA350" s="903"/>
      <c r="EF350" s="56"/>
      <c r="EG350" s="51"/>
      <c r="EH350" s="51"/>
      <c r="EI350" s="903"/>
      <c r="EN350" s="56"/>
      <c r="EO350" s="51"/>
      <c r="EP350" s="51"/>
      <c r="EQ350" s="903"/>
      <c r="EV350" s="56"/>
      <c r="EW350" s="51"/>
      <c r="EX350" s="51"/>
      <c r="EY350" s="903"/>
      <c r="FD350" s="56"/>
      <c r="FE350" s="51"/>
      <c r="FF350" s="51"/>
      <c r="FG350" s="903"/>
      <c r="FL350" s="56"/>
      <c r="FM350" s="51"/>
      <c r="FN350" s="51"/>
      <c r="FO350" s="903"/>
    </row>
    <row r="351" spans="1:171" ht="17.25" thickTop="1" thickBot="1">
      <c r="A351" s="1502" t="s">
        <v>322</v>
      </c>
      <c r="B351" s="1062"/>
      <c r="C351" s="1"/>
      <c r="D351" s="1"/>
      <c r="E351" s="1"/>
      <c r="F351" s="1"/>
      <c r="G351" s="51"/>
      <c r="H351" s="1251">
        <f>H342/H349</f>
        <v>54.011856306772394</v>
      </c>
      <c r="I351" s="51"/>
      <c r="J351" s="1497"/>
      <c r="K351" s="903"/>
      <c r="L351" s="1061" t="s">
        <v>322</v>
      </c>
      <c r="M351" s="1254"/>
      <c r="P351" s="1251">
        <f>P342/P349</f>
        <v>63.615850819627163</v>
      </c>
      <c r="Q351" s="51"/>
      <c r="R351" s="51"/>
      <c r="S351" s="903"/>
      <c r="T351" s="1061" t="s">
        <v>322</v>
      </c>
      <c r="U351" s="1254"/>
      <c r="X351" s="1251">
        <f>X342/X349</f>
        <v>63.615850819627163</v>
      </c>
      <c r="Y351" s="51"/>
      <c r="Z351" s="51"/>
      <c r="AA351" s="903"/>
      <c r="AB351" s="1061" t="s">
        <v>322</v>
      </c>
      <c r="AC351" s="1254"/>
      <c r="AF351" s="1251">
        <f>AF342/AF349</f>
        <v>63.615850819627163</v>
      </c>
      <c r="AG351" s="51"/>
      <c r="AH351" s="51"/>
      <c r="AI351" s="903"/>
      <c r="AJ351" s="1061" t="s">
        <v>322</v>
      </c>
      <c r="AK351" s="1254"/>
      <c r="AN351" s="1251">
        <f>AN342/AN349</f>
        <v>63.615850819627163</v>
      </c>
      <c r="AO351" s="51"/>
      <c r="AP351" s="51"/>
      <c r="AQ351" s="903"/>
      <c r="AR351" s="1061" t="s">
        <v>322</v>
      </c>
      <c r="AS351" s="1254"/>
      <c r="AV351" s="1251">
        <f>AV342/AV349</f>
        <v>63.615850819627163</v>
      </c>
      <c r="AW351" s="51"/>
      <c r="AX351" s="51"/>
      <c r="AY351" s="903"/>
      <c r="AZ351" s="1061" t="s">
        <v>322</v>
      </c>
      <c r="BA351" s="1254"/>
      <c r="BD351" s="1251">
        <f>BD342/BD349</f>
        <v>63.615850819627163</v>
      </c>
      <c r="BE351" s="51"/>
      <c r="BF351" s="51"/>
      <c r="BG351" s="903"/>
      <c r="BH351" s="1061" t="s">
        <v>322</v>
      </c>
      <c r="BI351" s="1254"/>
      <c r="BL351" s="1251">
        <f>BL342/BL349</f>
        <v>63.615850819627163</v>
      </c>
      <c r="BM351" s="51"/>
      <c r="BN351" s="51"/>
      <c r="BO351" s="903"/>
      <c r="BP351" s="1061" t="s">
        <v>322</v>
      </c>
      <c r="BQ351" s="1254"/>
      <c r="BT351" s="1251">
        <f>BT342/BT349</f>
        <v>63.615850819627163</v>
      </c>
      <c r="BU351" s="51"/>
      <c r="BV351" s="51"/>
      <c r="BW351" s="903"/>
      <c r="BX351" s="1061" t="s">
        <v>322</v>
      </c>
      <c r="BY351" s="1254"/>
      <c r="CB351" s="1069">
        <f>CB342/CB349</f>
        <v>63.615850819627163</v>
      </c>
      <c r="CC351" s="51"/>
      <c r="CD351" s="51"/>
      <c r="CE351" s="903"/>
      <c r="CF351" s="1061" t="s">
        <v>322</v>
      </c>
      <c r="CG351" s="1254"/>
      <c r="CJ351" s="1069">
        <f>CJ342/CJ349</f>
        <v>63.615850819627163</v>
      </c>
      <c r="CK351" s="51"/>
      <c r="CL351" s="51"/>
      <c r="CM351" s="903"/>
      <c r="CN351" s="1061" t="s">
        <v>322</v>
      </c>
      <c r="CO351" s="1254"/>
      <c r="CR351" s="1069">
        <f>CR342/CR349</f>
        <v>63.615850819627163</v>
      </c>
      <c r="CS351" s="51"/>
      <c r="CT351" s="51"/>
      <c r="CU351" s="903"/>
      <c r="CV351" s="1061" t="s">
        <v>322</v>
      </c>
      <c r="CW351" s="1254"/>
      <c r="CZ351" s="1251">
        <f>CZ342/CZ349</f>
        <v>63.615850819627163</v>
      </c>
      <c r="DA351" s="51"/>
      <c r="DB351" s="51"/>
      <c r="DC351" s="903"/>
      <c r="DD351" s="1061" t="s">
        <v>322</v>
      </c>
      <c r="DE351" s="1254"/>
      <c r="DH351" s="1251">
        <f>DH342/DH349</f>
        <v>63.615850819627163</v>
      </c>
      <c r="DI351" s="51"/>
      <c r="DJ351" s="51"/>
      <c r="DK351" s="903"/>
      <c r="DL351" s="1061" t="s">
        <v>322</v>
      </c>
      <c r="DM351" s="1254"/>
      <c r="DP351" s="1251">
        <f>DP342/DP349</f>
        <v>63.615850819627163</v>
      </c>
      <c r="DQ351" s="51"/>
      <c r="DR351" s="51"/>
      <c r="DS351" s="903"/>
      <c r="DT351" s="1061" t="s">
        <v>322</v>
      </c>
      <c r="DU351" s="1254"/>
      <c r="DX351" s="1251">
        <f>DX342/DX349</f>
        <v>63.615850819627163</v>
      </c>
      <c r="DY351" s="51"/>
      <c r="DZ351" s="51"/>
      <c r="EA351" s="903"/>
      <c r="EB351" s="1061" t="s">
        <v>322</v>
      </c>
      <c r="EC351" s="1254"/>
      <c r="EF351" s="1251">
        <f>EF342/EF349</f>
        <v>63.615850819627163</v>
      </c>
      <c r="EG351" s="51"/>
      <c r="EH351" s="51"/>
      <c r="EI351" s="903"/>
      <c r="EJ351" s="1061" t="s">
        <v>322</v>
      </c>
      <c r="EK351" s="1254"/>
      <c r="EN351" s="1251">
        <f>EN342/EN349</f>
        <v>63.615850819627163</v>
      </c>
      <c r="EO351" s="51"/>
      <c r="EP351" s="51"/>
      <c r="EQ351" s="903"/>
      <c r="ER351" s="1061" t="s">
        <v>322</v>
      </c>
      <c r="ES351" s="1254"/>
      <c r="EV351" s="1251">
        <f>EV342/EV349</f>
        <v>63.615850819627163</v>
      </c>
      <c r="EW351" s="51"/>
      <c r="EX351" s="51"/>
      <c r="EY351" s="903"/>
      <c r="EZ351" s="1061" t="s">
        <v>322</v>
      </c>
      <c r="FA351" s="1254"/>
      <c r="FD351" s="1251">
        <f>FD342/FD349</f>
        <v>63.615850819627163</v>
      </c>
      <c r="FE351" s="51"/>
      <c r="FF351" s="51"/>
      <c r="FG351" s="903"/>
      <c r="FH351" s="1061" t="s">
        <v>322</v>
      </c>
      <c r="FI351" s="1254"/>
      <c r="FL351" s="1252">
        <f>FL342/FL349</f>
        <v>63.615850819627163</v>
      </c>
      <c r="FM351" s="1253"/>
      <c r="FN351" s="51"/>
      <c r="FO351" s="903"/>
    </row>
    <row r="352" spans="1:171" ht="17.25" thickTop="1" thickBot="1">
      <c r="A352" s="1457"/>
      <c r="B352" s="1"/>
      <c r="C352" s="1"/>
      <c r="D352" s="1"/>
      <c r="E352" s="1"/>
      <c r="F352" s="1"/>
      <c r="G352" s="1"/>
      <c r="H352" s="1"/>
      <c r="I352" s="1"/>
      <c r="J352" s="1458"/>
      <c r="K352" s="903"/>
      <c r="L352" s="1061" t="s">
        <v>687</v>
      </c>
      <c r="M352" s="1254"/>
      <c r="P352" s="1156">
        <f>(P351-$H351)/$H$351</f>
        <v>0.1778127094596923</v>
      </c>
      <c r="S352" s="903"/>
      <c r="T352" s="1061" t="s">
        <v>687</v>
      </c>
      <c r="U352" s="1254"/>
      <c r="X352" s="1156">
        <f>(X351-$H351)/$H$351</f>
        <v>0.1778127094596923</v>
      </c>
      <c r="AA352" s="903"/>
      <c r="AB352" s="1061" t="s">
        <v>687</v>
      </c>
      <c r="AC352" s="1254"/>
      <c r="AF352" s="1156">
        <f>(AF351-$H351)/$H$351</f>
        <v>0.1778127094596923</v>
      </c>
      <c r="AI352" s="903"/>
      <c r="AJ352" s="1061" t="s">
        <v>687</v>
      </c>
      <c r="AK352" s="1254"/>
      <c r="AN352" s="1156">
        <f>(AN351-$H351)/$H$351</f>
        <v>0.1778127094596923</v>
      </c>
      <c r="AQ352" s="903"/>
      <c r="AR352" s="1061" t="s">
        <v>687</v>
      </c>
      <c r="AS352" s="1254"/>
      <c r="AV352" s="1156">
        <f>(AV351-$H351)/$H$351</f>
        <v>0.1778127094596923</v>
      </c>
      <c r="AY352" s="903"/>
      <c r="AZ352" s="1061" t="s">
        <v>687</v>
      </c>
      <c r="BA352" s="1254"/>
      <c r="BD352" s="1156">
        <f>(BD351-$H351)/$H$351</f>
        <v>0.1778127094596923</v>
      </c>
      <c r="BG352" s="903"/>
      <c r="BH352" s="1061" t="s">
        <v>687</v>
      </c>
      <c r="BI352" s="1254"/>
      <c r="BL352" s="1156">
        <f>(BL351-$H351)/$H$351</f>
        <v>0.1778127094596923</v>
      </c>
      <c r="BO352" s="903"/>
      <c r="BP352" s="1061" t="s">
        <v>687</v>
      </c>
      <c r="BQ352" s="1254"/>
      <c r="BT352" s="1156">
        <f>(BT351-$H351)/$H$351</f>
        <v>0.1778127094596923</v>
      </c>
      <c r="BW352" s="903"/>
      <c r="BX352" s="1061" t="s">
        <v>687</v>
      </c>
      <c r="BY352" s="1254"/>
      <c r="CB352" s="1156">
        <f>(CB351-$H351)/$H$351</f>
        <v>0.1778127094596923</v>
      </c>
      <c r="CE352" s="903"/>
      <c r="CF352" s="1061" t="s">
        <v>687</v>
      </c>
      <c r="CG352" s="1254"/>
      <c r="CJ352" s="1156">
        <f>(CJ351-$H351)/$H$351</f>
        <v>0.1778127094596923</v>
      </c>
      <c r="CM352" s="903"/>
      <c r="CN352" s="1061" t="s">
        <v>687</v>
      </c>
      <c r="CO352" s="1254"/>
      <c r="CR352" s="1156">
        <f>(CR351-$H351)/$H$351</f>
        <v>0.1778127094596923</v>
      </c>
      <c r="CU352" s="903"/>
      <c r="CV352" s="1061" t="s">
        <v>687</v>
      </c>
      <c r="CW352" s="1254"/>
      <c r="CZ352" s="1156">
        <f>(CZ351-$H351)/$H$351</f>
        <v>0.1778127094596923</v>
      </c>
      <c r="DC352" s="903"/>
      <c r="DD352" s="1061" t="s">
        <v>687</v>
      </c>
      <c r="DE352" s="1254"/>
      <c r="DH352" s="1156">
        <f>(DH351-$H351)/$H$351</f>
        <v>0.1778127094596923</v>
      </c>
      <c r="DK352" s="903"/>
      <c r="DL352" s="1061" t="s">
        <v>687</v>
      </c>
      <c r="DM352" s="1254"/>
      <c r="DP352" s="1156">
        <f>(DP351-$H351)/$H$351</f>
        <v>0.1778127094596923</v>
      </c>
      <c r="DS352" s="903"/>
      <c r="DT352" s="1061" t="s">
        <v>687</v>
      </c>
      <c r="DU352" s="1254"/>
      <c r="DX352" s="1156">
        <f>(DX351-$H351)/$H$351</f>
        <v>0.1778127094596923</v>
      </c>
      <c r="EA352" s="903"/>
      <c r="EB352" s="1061" t="s">
        <v>687</v>
      </c>
      <c r="EC352" s="1254"/>
      <c r="EF352" s="1156">
        <f>(EF351-$H351)/$H$351</f>
        <v>0.1778127094596923</v>
      </c>
      <c r="EI352" s="903"/>
      <c r="EJ352" s="1061" t="s">
        <v>687</v>
      </c>
      <c r="EK352" s="1254"/>
      <c r="EN352" s="1156">
        <f>(EN351-$H351)/$H$351</f>
        <v>0.1778127094596923</v>
      </c>
      <c r="EQ352" s="903"/>
      <c r="ER352" s="1061" t="s">
        <v>687</v>
      </c>
      <c r="ES352" s="1254"/>
      <c r="EV352" s="1156">
        <f>(EV351-$H351)/$H$351</f>
        <v>0.1778127094596923</v>
      </c>
      <c r="EY352" s="903"/>
      <c r="EZ352" s="1061" t="s">
        <v>687</v>
      </c>
      <c r="FA352" s="1254"/>
      <c r="FD352" s="1156">
        <f>(FD351-$H351)/$H$351</f>
        <v>0.1778127094596923</v>
      </c>
      <c r="FG352" s="903"/>
      <c r="FH352" s="1061" t="s">
        <v>687</v>
      </c>
      <c r="FI352" s="1254"/>
      <c r="FL352" s="1156">
        <f>(FL351-$H351)/$H$351</f>
        <v>0.1778127094596923</v>
      </c>
      <c r="FO352" s="903"/>
    </row>
    <row r="353" spans="1:171" ht="16.5" thickTop="1">
      <c r="A353" s="1504"/>
      <c r="J353" s="1414"/>
      <c r="K353" s="903"/>
      <c r="S353" s="903"/>
      <c r="AA353" s="903"/>
      <c r="AI353" s="903"/>
      <c r="AQ353" s="903"/>
      <c r="AY353" s="903"/>
      <c r="BG353" s="903"/>
      <c r="BO353" s="903"/>
      <c r="BW353" s="903"/>
      <c r="CE353" s="903"/>
      <c r="CM353" s="903"/>
      <c r="CU353" s="903"/>
      <c r="DC353" s="903"/>
      <c r="DK353" s="903"/>
      <c r="DS353" s="903"/>
      <c r="EA353" s="903"/>
      <c r="EI353" s="903"/>
      <c r="EQ353" s="903"/>
      <c r="EY353" s="903"/>
      <c r="FG353" s="903"/>
      <c r="FO353" s="903"/>
    </row>
    <row r="354" spans="1:171">
      <c r="A354" s="1504"/>
      <c r="J354" s="1414"/>
      <c r="K354" s="903"/>
      <c r="P354" s="1070" t="str">
        <f>IF(P352&gt;=0.025,"Material",IF(P352&gt;0.005,"Group","Not Material"))</f>
        <v>Material</v>
      </c>
      <c r="S354" s="903"/>
      <c r="X354" s="1070" t="str">
        <f>IF(X352&gt;=0.025,"Material",IF(X352&gt;0.005,"Group","Not Material"))</f>
        <v>Material</v>
      </c>
      <c r="AA354" s="903"/>
      <c r="AF354" s="1070" t="str">
        <f>IF(AF352&gt;=0.025,"Material",IF(AF352&gt;0.005,"Group","Not Material"))</f>
        <v>Material</v>
      </c>
      <c r="AI354" s="903"/>
      <c r="AN354" s="1070" t="str">
        <f>IF(AN352&gt;=0.025,"Material",IF(AN352&gt;0.005,"Group","Not Material"))</f>
        <v>Material</v>
      </c>
      <c r="AQ354" s="903"/>
      <c r="AV354" s="1070" t="str">
        <f>IF(AV352&gt;=0.025,"Material",IF(AV352&gt;0.005,"Group","Not Material"))</f>
        <v>Material</v>
      </c>
      <c r="AY354" s="903"/>
      <c r="BD354" s="1070" t="str">
        <f>IF(BD352&gt;=0.025,"Material",IF(BD352&gt;0.005,"Group","Not Material"))</f>
        <v>Material</v>
      </c>
      <c r="BG354" s="903"/>
      <c r="BL354" s="1070" t="str">
        <f>IF(BL352&gt;=0.025,"Material",IF(BL352&gt;0.005,"Group","Not Material"))</f>
        <v>Material</v>
      </c>
      <c r="BO354" s="903"/>
      <c r="BT354" s="1070" t="str">
        <f>IF(BT352&gt;=0.025,"Material",IF(BT352&gt;0.005,"Group","Not Material"))</f>
        <v>Material</v>
      </c>
      <c r="BW354" s="903"/>
      <c r="CB354" s="1070" t="str">
        <f>IF(CB352&gt;=0.025,"Material",IF(CB352&gt;0.005,"Group","Not Material"))</f>
        <v>Material</v>
      </c>
      <c r="CE354" s="903"/>
      <c r="CJ354" s="1070" t="str">
        <f>IF(CJ352&gt;=0.025,"Material",IF(CJ352&gt;0.005,"Group","Not Material"))</f>
        <v>Material</v>
      </c>
      <c r="CM354" s="903"/>
      <c r="CR354" s="1070" t="str">
        <f>IF(CR352&gt;=0.025,"Material",IF(CR352&gt;0.005,"Group","Not Material"))</f>
        <v>Material</v>
      </c>
      <c r="CU354" s="903"/>
      <c r="CZ354" s="1070" t="str">
        <f>IF(CZ352&gt;=0.025,"Material",IF(CZ352&gt;0.005,"Group","Not Material"))</f>
        <v>Material</v>
      </c>
      <c r="DC354" s="903"/>
      <c r="DH354" s="1070" t="str">
        <f>IF(DH352&gt;=0.025,"Material",IF(DH352&gt;0.005,"Group","Not Material"))</f>
        <v>Material</v>
      </c>
      <c r="DK354" s="903"/>
      <c r="DP354" s="1070" t="str">
        <f>IF(DP352&gt;=0.025,"Material",IF(DP352&gt;0.005,"Group","Not Material"))</f>
        <v>Material</v>
      </c>
      <c r="DS354" s="903"/>
      <c r="DX354" s="1070" t="str">
        <f>IF(DX352&gt;=0.025,"Material",IF(DX352&gt;0.005,"Group","Not Material"))</f>
        <v>Material</v>
      </c>
      <c r="EA354" s="903"/>
      <c r="EF354" s="1070" t="str">
        <f>IF(EF352&gt;=0.025,"Material",IF(EF352&gt;0.005,"Group","Not Material"))</f>
        <v>Material</v>
      </c>
      <c r="EI354" s="903"/>
      <c r="EN354" s="1070" t="str">
        <f>IF(EN352&gt;=0.025,"Material",IF(EN352&gt;0.005,"Group","Not Material"))</f>
        <v>Material</v>
      </c>
      <c r="EQ354" s="903"/>
      <c r="EV354" s="1070" t="str">
        <f>IF(EV352&gt;=0.025,"Material",IF(EV352&gt;0.005,"Group","Not Material"))</f>
        <v>Material</v>
      </c>
      <c r="EY354" s="903"/>
      <c r="FD354" s="1070" t="str">
        <f>IF(FD352&gt;=0.025,"Material",IF(FD352&gt;0.005,"Group","Not Material"))</f>
        <v>Material</v>
      </c>
      <c r="FG354" s="903"/>
      <c r="FL354" s="1070" t="str">
        <f>IF(FL352&gt;=0.025,"Material",IF(FL352&gt;0.005,"Group","Not Material"))</f>
        <v>Material</v>
      </c>
      <c r="FO354" s="903"/>
    </row>
    <row r="355" spans="1:171">
      <c r="A355" s="1504"/>
      <c r="J355" s="1414"/>
      <c r="K355" s="903"/>
      <c r="S355" s="903"/>
      <c r="AA355" s="903"/>
      <c r="AI355" s="903"/>
      <c r="AQ355" s="903"/>
      <c r="AY355" s="903"/>
      <c r="BG355" s="903"/>
      <c r="BO355" s="903"/>
      <c r="BW355" s="903"/>
      <c r="CE355" s="903"/>
      <c r="CM355" s="903"/>
      <c r="CU355" s="903"/>
      <c r="DC355" s="903"/>
      <c r="DK355" s="903"/>
      <c r="DS355" s="903"/>
      <c r="EA355" s="903"/>
      <c r="EI355" s="903"/>
      <c r="EQ355" s="903"/>
      <c r="EY355" s="903"/>
      <c r="FG355" s="903"/>
      <c r="FO355" s="903"/>
    </row>
    <row r="356" spans="1:171" ht="16.5" thickBot="1">
      <c r="A356" s="1505"/>
      <c r="B356" s="1506"/>
      <c r="C356" s="1506"/>
      <c r="D356" s="1506"/>
      <c r="E356" s="1506"/>
      <c r="F356" s="1506"/>
      <c r="G356" s="1506"/>
      <c r="H356" s="1506"/>
      <c r="I356" s="1506"/>
      <c r="J356" s="1507"/>
      <c r="K356" s="903"/>
      <c r="S356" s="903"/>
      <c r="AA356" s="903"/>
      <c r="AI356" s="903"/>
      <c r="AQ356" s="903"/>
      <c r="AY356" s="903"/>
      <c r="BG356" s="903"/>
      <c r="BO356" s="903"/>
      <c r="BW356" s="903"/>
      <c r="CE356" s="903"/>
      <c r="CM356" s="903"/>
      <c r="CU356" s="903"/>
      <c r="DC356" s="903"/>
      <c r="DK356" s="903"/>
      <c r="DS356" s="903"/>
      <c r="EA356" s="903"/>
      <c r="EI356" s="903"/>
      <c r="EQ356" s="903"/>
      <c r="EY356" s="903"/>
      <c r="FG356" s="903"/>
      <c r="FO356" s="903"/>
    </row>
    <row r="357" spans="1:171" ht="16.5" thickTop="1">
      <c r="K357" s="903"/>
      <c r="S357" s="903"/>
      <c r="AA357" s="903"/>
      <c r="AI357" s="903"/>
      <c r="AQ357" s="903"/>
      <c r="AY357" s="903"/>
      <c r="BG357" s="903"/>
      <c r="BO357" s="903"/>
      <c r="BW357" s="903"/>
      <c r="CE357" s="903"/>
      <c r="CM357" s="903"/>
      <c r="CU357" s="903"/>
      <c r="DC357" s="903"/>
      <c r="DK357" s="903"/>
      <c r="DS357" s="903"/>
      <c r="EA357" s="903"/>
      <c r="EI357" s="903"/>
      <c r="EQ357" s="903"/>
      <c r="EY357" s="903"/>
      <c r="FG357" s="903"/>
      <c r="FO357" s="903"/>
    </row>
    <row r="358" spans="1:171">
      <c r="K358" s="903"/>
      <c r="S358" s="903"/>
      <c r="AA358" s="903"/>
      <c r="AI358" s="903"/>
      <c r="AQ358" s="903"/>
      <c r="AY358" s="903"/>
      <c r="BG358" s="903"/>
      <c r="BO358" s="903"/>
      <c r="BW358" s="903"/>
      <c r="CE358" s="903"/>
      <c r="CM358" s="903"/>
      <c r="CU358" s="903"/>
      <c r="DC358" s="903"/>
      <c r="DK358" s="903"/>
      <c r="DS358" s="903"/>
      <c r="EA358" s="903"/>
      <c r="EI358" s="903"/>
      <c r="EQ358" s="903"/>
      <c r="EY358" s="903"/>
      <c r="FG358" s="903"/>
      <c r="FO358" s="903"/>
    </row>
    <row r="359" spans="1:171">
      <c r="K359" s="903"/>
      <c r="S359" s="903"/>
      <c r="AA359" s="903"/>
      <c r="AI359" s="903"/>
      <c r="AQ359" s="903"/>
      <c r="AY359" s="903"/>
      <c r="BG359" s="903"/>
      <c r="BO359" s="903"/>
      <c r="BW359" s="903"/>
      <c r="CE359" s="903"/>
      <c r="CM359" s="903"/>
      <c r="CU359" s="903"/>
      <c r="DC359" s="903"/>
      <c r="DK359" s="903"/>
      <c r="DS359" s="903"/>
      <c r="EA359" s="903"/>
      <c r="EI359" s="903"/>
      <c r="EQ359" s="903"/>
      <c r="EY359" s="903"/>
      <c r="FG359" s="903"/>
      <c r="FO359" s="903"/>
    </row>
    <row r="360" spans="1:171">
      <c r="K360" s="903"/>
      <c r="S360" s="903"/>
      <c r="AA360" s="903"/>
      <c r="AI360" s="903"/>
      <c r="AQ360" s="903"/>
      <c r="AY360" s="903"/>
      <c r="BG360" s="903"/>
      <c r="BO360" s="903"/>
      <c r="BW360" s="903"/>
      <c r="CE360" s="903"/>
      <c r="CM360" s="903"/>
      <c r="CU360" s="903"/>
      <c r="DC360" s="903"/>
      <c r="DK360" s="903"/>
      <c r="DS360" s="903"/>
      <c r="EA360" s="903"/>
      <c r="EI360" s="903"/>
      <c r="EQ360" s="903"/>
      <c r="EY360" s="903"/>
      <c r="FG360" s="903"/>
      <c r="FO360" s="903"/>
    </row>
    <row r="361" spans="1:171">
      <c r="K361" s="903"/>
      <c r="S361" s="903"/>
      <c r="AA361" s="903"/>
      <c r="AI361" s="903"/>
      <c r="AQ361" s="903"/>
      <c r="AY361" s="903"/>
      <c r="BG361" s="903"/>
      <c r="BO361" s="903"/>
      <c r="BW361" s="903"/>
      <c r="CE361" s="903"/>
      <c r="CM361" s="903"/>
      <c r="CU361" s="903"/>
      <c r="DC361" s="903"/>
      <c r="DK361" s="903"/>
      <c r="DS361" s="903"/>
      <c r="EA361" s="903"/>
      <c r="EI361" s="903"/>
      <c r="EQ361" s="903"/>
      <c r="EY361" s="903"/>
      <c r="FG361" s="903"/>
      <c r="FO361" s="903"/>
    </row>
    <row r="362" spans="1:171">
      <c r="K362" s="903"/>
      <c r="S362" s="903"/>
      <c r="AA362" s="903"/>
      <c r="AI362" s="903"/>
      <c r="AQ362" s="903"/>
      <c r="AY362" s="903"/>
      <c r="BG362" s="903"/>
      <c r="BO362" s="903"/>
      <c r="BW362" s="903"/>
      <c r="CE362" s="903"/>
      <c r="CM362" s="903"/>
      <c r="CU362" s="903"/>
      <c r="DC362" s="903"/>
      <c r="DK362" s="903"/>
      <c r="DS362" s="903"/>
      <c r="EA362" s="903"/>
      <c r="EI362" s="903"/>
      <c r="EQ362" s="903"/>
      <c r="EY362" s="903"/>
      <c r="FG362" s="903"/>
      <c r="FO362" s="903"/>
    </row>
    <row r="363" spans="1:171">
      <c r="K363" s="903"/>
      <c r="S363" s="903"/>
      <c r="AA363" s="903"/>
      <c r="AI363" s="903"/>
      <c r="AQ363" s="903"/>
      <c r="AY363" s="903"/>
      <c r="BG363" s="903"/>
      <c r="BO363" s="903"/>
      <c r="BW363" s="903"/>
      <c r="CE363" s="903"/>
      <c r="CM363" s="903"/>
      <c r="CU363" s="903"/>
      <c r="DC363" s="903"/>
      <c r="DK363" s="903"/>
      <c r="DS363" s="903"/>
      <c r="EA363" s="903"/>
      <c r="EI363" s="903"/>
      <c r="EQ363" s="903"/>
      <c r="EY363" s="903"/>
      <c r="FG363" s="903"/>
      <c r="FO363" s="903"/>
    </row>
    <row r="364" spans="1:171">
      <c r="K364" s="903"/>
      <c r="S364" s="903"/>
      <c r="AA364" s="903"/>
      <c r="AI364" s="903"/>
      <c r="AQ364" s="903"/>
      <c r="AY364" s="903"/>
      <c r="BG364" s="903"/>
      <c r="BO364" s="903"/>
      <c r="BW364" s="903"/>
      <c r="CE364" s="903"/>
      <c r="CM364" s="903"/>
      <c r="CU364" s="903"/>
      <c r="DC364" s="903"/>
      <c r="DK364" s="903"/>
      <c r="DS364" s="903"/>
      <c r="EA364" s="903"/>
      <c r="EI364" s="903"/>
      <c r="EQ364" s="903"/>
      <c r="EY364" s="903"/>
      <c r="FG364" s="903"/>
      <c r="FO364" s="903"/>
    </row>
    <row r="365" spans="1:171">
      <c r="K365" s="903"/>
      <c r="S365" s="903"/>
      <c r="AA365" s="903"/>
      <c r="AI365" s="903"/>
      <c r="AQ365" s="903"/>
      <c r="AY365" s="903"/>
      <c r="BG365" s="903"/>
      <c r="BO365" s="903"/>
      <c r="BW365" s="903"/>
      <c r="CE365" s="903"/>
      <c r="CM365" s="903"/>
      <c r="CU365" s="903"/>
      <c r="DC365" s="903"/>
      <c r="DK365" s="903"/>
      <c r="DS365" s="903"/>
      <c r="EA365" s="903"/>
      <c r="EI365" s="903"/>
      <c r="EQ365" s="903"/>
      <c r="EY365" s="903"/>
      <c r="FG365" s="903"/>
      <c r="FO365" s="903"/>
    </row>
    <row r="366" spans="1:171">
      <c r="K366" s="903"/>
      <c r="S366" s="903"/>
      <c r="AA366" s="903"/>
      <c r="AI366" s="903"/>
      <c r="AQ366" s="903"/>
      <c r="AY366" s="903"/>
      <c r="BG366" s="903"/>
      <c r="BO366" s="903"/>
      <c r="BW366" s="903"/>
      <c r="CE366" s="903"/>
      <c r="CM366" s="903"/>
      <c r="CU366" s="903"/>
      <c r="DC366" s="903"/>
      <c r="DK366" s="903"/>
      <c r="DP366" s="1247"/>
      <c r="DS366" s="903"/>
      <c r="EA366" s="903"/>
      <c r="EI366" s="903"/>
      <c r="EQ366" s="903"/>
      <c r="EY366" s="903"/>
      <c r="FG366" s="903"/>
      <c r="FO366" s="903"/>
    </row>
    <row r="367" spans="1:171">
      <c r="K367" s="903"/>
      <c r="S367" s="903"/>
      <c r="AA367" s="903"/>
      <c r="AI367" s="903"/>
      <c r="AQ367" s="903"/>
      <c r="AY367" s="903"/>
      <c r="BG367" s="903"/>
      <c r="BO367" s="903"/>
      <c r="BW367" s="903"/>
      <c r="CE367" s="903"/>
      <c r="CM367" s="903"/>
      <c r="CU367" s="903"/>
      <c r="DC367" s="903"/>
      <c r="DK367" s="903"/>
      <c r="DP367" s="1248"/>
      <c r="DS367" s="903"/>
      <c r="EA367" s="903"/>
      <c r="EI367" s="903"/>
      <c r="EQ367" s="903"/>
      <c r="EY367" s="903"/>
      <c r="FG367" s="903"/>
      <c r="FO367" s="903"/>
    </row>
    <row r="368" spans="1:171">
      <c r="K368" s="903"/>
      <c r="S368" s="903"/>
      <c r="AA368" s="903"/>
      <c r="AI368" s="903"/>
      <c r="AQ368" s="903"/>
      <c r="AY368" s="903"/>
      <c r="BG368" s="903"/>
      <c r="BO368" s="903"/>
      <c r="BW368" s="903"/>
      <c r="CE368" s="903"/>
      <c r="CM368" s="903"/>
      <c r="CU368" s="903"/>
      <c r="DC368" s="903"/>
      <c r="DK368" s="903"/>
      <c r="DP368" s="890"/>
      <c r="DS368" s="903"/>
      <c r="EA368" s="903"/>
      <c r="EI368" s="903"/>
      <c r="EQ368" s="903"/>
      <c r="EY368" s="903"/>
      <c r="FG368" s="903"/>
      <c r="FO368" s="903"/>
    </row>
    <row r="369" spans="2:171" ht="18.75">
      <c r="D369" s="1647"/>
      <c r="E369" s="302" t="s">
        <v>525</v>
      </c>
      <c r="G369" s="303" t="s">
        <v>104</v>
      </c>
      <c r="H369" s="303" t="s">
        <v>105</v>
      </c>
      <c r="I369" s="303" t="s">
        <v>106</v>
      </c>
      <c r="J369" s="304" t="s">
        <v>516</v>
      </c>
      <c r="K369" s="903"/>
      <c r="O369" s="303" t="s">
        <v>104</v>
      </c>
      <c r="P369" s="303" t="s">
        <v>105</v>
      </c>
      <c r="Q369" s="303" t="s">
        <v>106</v>
      </c>
      <c r="R369" s="304" t="s">
        <v>516</v>
      </c>
      <c r="S369" s="903"/>
      <c r="W369" s="303" t="s">
        <v>104</v>
      </c>
      <c r="X369" s="303" t="s">
        <v>105</v>
      </c>
      <c r="Y369" s="303" t="s">
        <v>106</v>
      </c>
      <c r="Z369" s="304" t="s">
        <v>516</v>
      </c>
      <c r="AA369" s="903"/>
      <c r="AE369" s="303" t="s">
        <v>104</v>
      </c>
      <c r="AF369" s="303" t="s">
        <v>105</v>
      </c>
      <c r="AG369" s="303" t="s">
        <v>106</v>
      </c>
      <c r="AH369" s="304" t="s">
        <v>516</v>
      </c>
      <c r="AI369" s="903"/>
      <c r="AM369" s="303" t="s">
        <v>104</v>
      </c>
      <c r="AN369" s="303" t="s">
        <v>105</v>
      </c>
      <c r="AO369" s="303" t="s">
        <v>106</v>
      </c>
      <c r="AP369" s="304" t="s">
        <v>516</v>
      </c>
      <c r="AQ369" s="903"/>
      <c r="AU369" s="303" t="s">
        <v>104</v>
      </c>
      <c r="AV369" s="303" t="s">
        <v>105</v>
      </c>
      <c r="AW369" s="303" t="s">
        <v>106</v>
      </c>
      <c r="AX369" s="304" t="s">
        <v>516</v>
      </c>
      <c r="AY369" s="903"/>
      <c r="BC369" s="303" t="s">
        <v>104</v>
      </c>
      <c r="BD369" s="303" t="s">
        <v>105</v>
      </c>
      <c r="BE369" s="303" t="s">
        <v>106</v>
      </c>
      <c r="BF369" s="304" t="s">
        <v>516</v>
      </c>
      <c r="BG369" s="903"/>
      <c r="BK369" s="303" t="s">
        <v>104</v>
      </c>
      <c r="BL369" s="303" t="s">
        <v>105</v>
      </c>
      <c r="BM369" s="303" t="s">
        <v>106</v>
      </c>
      <c r="BN369" s="304" t="s">
        <v>516</v>
      </c>
      <c r="BO369" s="903"/>
      <c r="BS369" s="303" t="s">
        <v>104</v>
      </c>
      <c r="BT369" s="303" t="s">
        <v>105</v>
      </c>
      <c r="BU369" s="303" t="s">
        <v>106</v>
      </c>
      <c r="BV369" s="304" t="s">
        <v>516</v>
      </c>
      <c r="BW369" s="903"/>
      <c r="CA369" s="303" t="s">
        <v>104</v>
      </c>
      <c r="CB369" s="303" t="s">
        <v>105</v>
      </c>
      <c r="CC369" s="303" t="s">
        <v>106</v>
      </c>
      <c r="CD369" s="304" t="s">
        <v>516</v>
      </c>
      <c r="CE369" s="903"/>
      <c r="CI369" s="303" t="s">
        <v>104</v>
      </c>
      <c r="CJ369" s="303" t="s">
        <v>105</v>
      </c>
      <c r="CK369" s="303" t="s">
        <v>106</v>
      </c>
      <c r="CL369" s="304" t="s">
        <v>516</v>
      </c>
      <c r="CM369" s="903"/>
      <c r="CQ369" s="303" t="s">
        <v>104</v>
      </c>
      <c r="CR369" s="303" t="s">
        <v>105</v>
      </c>
      <c r="CS369" s="303" t="s">
        <v>106</v>
      </c>
      <c r="CT369" s="304" t="s">
        <v>516</v>
      </c>
      <c r="CU369" s="903"/>
      <c r="CY369" s="303" t="s">
        <v>104</v>
      </c>
      <c r="CZ369" s="303" t="s">
        <v>105</v>
      </c>
      <c r="DA369" s="303" t="s">
        <v>106</v>
      </c>
      <c r="DB369" s="304" t="s">
        <v>516</v>
      </c>
      <c r="DC369" s="903"/>
      <c r="DG369" s="303" t="s">
        <v>104</v>
      </c>
      <c r="DH369" s="303" t="s">
        <v>105</v>
      </c>
      <c r="DI369" s="303" t="s">
        <v>106</v>
      </c>
      <c r="DJ369" s="304" t="s">
        <v>516</v>
      </c>
      <c r="DK369" s="903"/>
      <c r="DO369" s="303" t="s">
        <v>104</v>
      </c>
      <c r="DP369" s="303" t="s">
        <v>105</v>
      </c>
      <c r="DQ369" s="303" t="s">
        <v>106</v>
      </c>
      <c r="DR369" s="304" t="s">
        <v>516</v>
      </c>
      <c r="DS369" s="903"/>
      <c r="DW369" s="303" t="s">
        <v>104</v>
      </c>
      <c r="DX369" s="303" t="s">
        <v>105</v>
      </c>
      <c r="DY369" s="303" t="s">
        <v>106</v>
      </c>
      <c r="DZ369" s="304" t="s">
        <v>516</v>
      </c>
      <c r="EA369" s="903"/>
      <c r="EE369" s="303" t="s">
        <v>104</v>
      </c>
      <c r="EF369" s="303" t="s">
        <v>105</v>
      </c>
      <c r="EG369" s="303" t="s">
        <v>106</v>
      </c>
      <c r="EH369" s="304" t="s">
        <v>516</v>
      </c>
      <c r="EI369" s="903"/>
      <c r="EM369" s="303" t="s">
        <v>104</v>
      </c>
      <c r="EN369" s="303" t="s">
        <v>105</v>
      </c>
      <c r="EO369" s="303" t="s">
        <v>106</v>
      </c>
      <c r="EP369" s="304" t="s">
        <v>516</v>
      </c>
      <c r="EQ369" s="903"/>
      <c r="EU369" s="303" t="s">
        <v>104</v>
      </c>
      <c r="EV369" s="303" t="s">
        <v>105</v>
      </c>
      <c r="EW369" s="303" t="s">
        <v>106</v>
      </c>
      <c r="EX369" s="304" t="s">
        <v>516</v>
      </c>
      <c r="EY369" s="903"/>
      <c r="FC369" s="303" t="s">
        <v>104</v>
      </c>
      <c r="FD369" s="303" t="s">
        <v>105</v>
      </c>
      <c r="FE369" s="303" t="s">
        <v>106</v>
      </c>
      <c r="FF369" s="304" t="s">
        <v>516</v>
      </c>
      <c r="FG369" s="903"/>
      <c r="FK369" s="303" t="s">
        <v>104</v>
      </c>
      <c r="FL369" s="303" t="s">
        <v>105</v>
      </c>
      <c r="FM369" s="303" t="s">
        <v>106</v>
      </c>
      <c r="FN369" s="304" t="s">
        <v>516</v>
      </c>
      <c r="FO369" s="903"/>
    </row>
    <row r="370" spans="2:171" ht="18.75">
      <c r="B370" s="1646" t="s">
        <v>521</v>
      </c>
      <c r="C370" s="108" t="s">
        <v>105</v>
      </c>
      <c r="D370" s="108"/>
      <c r="E370" s="904" t="str">
        <f>Ratios!C13</f>
        <v>PROD</v>
      </c>
      <c r="G370" s="890">
        <f>Ratios!D13</f>
        <v>19893844</v>
      </c>
      <c r="H370" s="890">
        <f>Ratios!E13</f>
        <v>19893844</v>
      </c>
      <c r="I370" s="890">
        <f>Ratios!F13</f>
        <v>0</v>
      </c>
      <c r="J370" s="890">
        <f>Ratios!G13</f>
        <v>0</v>
      </c>
      <c r="K370" s="903">
        <f t="shared" ref="K370:K376" si="953">IF($E370="DIRECT",0,1)</f>
        <v>1</v>
      </c>
      <c r="O370" s="890">
        <f t="shared" ref="O370:O376" si="954">$G370</f>
        <v>19893844</v>
      </c>
      <c r="P370" s="890">
        <f t="shared" ref="P370:P375" si="955">$H370</f>
        <v>19893844</v>
      </c>
      <c r="Q370" s="890">
        <f t="shared" ref="Q370:Q375" si="956">$I370</f>
        <v>0</v>
      </c>
      <c r="R370" s="890">
        <f t="shared" ref="R370:R375" si="957">$J370</f>
        <v>0</v>
      </c>
      <c r="S370" s="903"/>
      <c r="W370" s="890">
        <f t="shared" ref="W370:W376" si="958">$G370</f>
        <v>19893844</v>
      </c>
      <c r="X370" s="890">
        <f t="shared" ref="X370:X375" si="959">$H370</f>
        <v>19893844</v>
      </c>
      <c r="Y370" s="890">
        <f t="shared" ref="Y370:Y375" si="960">$I370</f>
        <v>0</v>
      </c>
      <c r="Z370" s="890">
        <f t="shared" ref="Z370:Z375" si="961">$J370</f>
        <v>0</v>
      </c>
      <c r="AA370" s="903"/>
      <c r="AE370" s="890">
        <f t="shared" ref="AE370:AE376" si="962">$G370</f>
        <v>19893844</v>
      </c>
      <c r="AF370" s="890">
        <f t="shared" ref="AF370:AF375" si="963">$H370</f>
        <v>19893844</v>
      </c>
      <c r="AG370" s="890">
        <f t="shared" ref="AG370:AG375" si="964">$I370</f>
        <v>0</v>
      </c>
      <c r="AH370" s="890">
        <f t="shared" ref="AH370:AH375" si="965">$J370</f>
        <v>0</v>
      </c>
      <c r="AI370" s="903"/>
      <c r="AM370" s="890">
        <f t="shared" ref="AM370:AM376" si="966">$G370</f>
        <v>19893844</v>
      </c>
      <c r="AN370" s="890">
        <f t="shared" ref="AN370:AN375" si="967">$H370</f>
        <v>19893844</v>
      </c>
      <c r="AO370" s="890">
        <f t="shared" ref="AO370:AO375" si="968">$I370</f>
        <v>0</v>
      </c>
      <c r="AP370" s="890">
        <f t="shared" ref="AP370:AP375" si="969">$J370</f>
        <v>0</v>
      </c>
      <c r="AQ370" s="903"/>
      <c r="AU370" s="890">
        <f t="shared" ref="AU370:AU376" si="970">$G370</f>
        <v>19893844</v>
      </c>
      <c r="AV370" s="890">
        <f t="shared" ref="AV370:AV375" si="971">$H370</f>
        <v>19893844</v>
      </c>
      <c r="AW370" s="890">
        <f t="shared" ref="AW370:AW375" si="972">$I370</f>
        <v>0</v>
      </c>
      <c r="AX370" s="890">
        <f t="shared" ref="AX370:AX375" si="973">$J370</f>
        <v>0</v>
      </c>
      <c r="AY370" s="903"/>
      <c r="BC370" s="890">
        <f t="shared" ref="BC370:BC376" si="974">$G370</f>
        <v>19893844</v>
      </c>
      <c r="BD370" s="890">
        <f t="shared" ref="BD370:BD375" si="975">$H370</f>
        <v>19893844</v>
      </c>
      <c r="BE370" s="890">
        <f t="shared" ref="BE370:BE375" si="976">$I370</f>
        <v>0</v>
      </c>
      <c r="BF370" s="890">
        <f t="shared" ref="BF370:BF375" si="977">$J370</f>
        <v>0</v>
      </c>
      <c r="BG370" s="903"/>
      <c r="BK370" s="890">
        <f t="shared" ref="BK370:BK376" si="978">$G370</f>
        <v>19893844</v>
      </c>
      <c r="BL370" s="890">
        <f t="shared" ref="BL370:BL375" si="979">$H370</f>
        <v>19893844</v>
      </c>
      <c r="BM370" s="890">
        <f t="shared" ref="BM370:BM375" si="980">$I370</f>
        <v>0</v>
      </c>
      <c r="BN370" s="890">
        <f t="shared" ref="BN370:BN375" si="981">$J370</f>
        <v>0</v>
      </c>
      <c r="BO370" s="903"/>
      <c r="BS370" s="890">
        <f t="shared" ref="BS370:BS376" si="982">$G370</f>
        <v>19893844</v>
      </c>
      <c r="BT370" s="890">
        <f t="shared" ref="BT370:BT375" si="983">$H370</f>
        <v>19893844</v>
      </c>
      <c r="BU370" s="890">
        <f t="shared" ref="BU370:BU375" si="984">$I370</f>
        <v>0</v>
      </c>
      <c r="BV370" s="890">
        <f t="shared" ref="BV370:BV375" si="985">$J370</f>
        <v>0</v>
      </c>
      <c r="BW370" s="903"/>
      <c r="CA370" s="890">
        <f t="shared" ref="CA370:CA376" si="986">$G370</f>
        <v>19893844</v>
      </c>
      <c r="CB370" s="890">
        <f t="shared" ref="CB370:CB375" si="987">$H370</f>
        <v>19893844</v>
      </c>
      <c r="CC370" s="890">
        <f t="shared" ref="CC370:CC375" si="988">$I370</f>
        <v>0</v>
      </c>
      <c r="CD370" s="890">
        <f t="shared" ref="CD370:CD375" si="989">$J370</f>
        <v>0</v>
      </c>
      <c r="CE370" s="903"/>
      <c r="CI370" s="890">
        <f t="shared" ref="CI370:CI376" si="990">$G370</f>
        <v>19893844</v>
      </c>
      <c r="CJ370" s="890">
        <f t="shared" ref="CJ370:CJ375" si="991">$H370</f>
        <v>19893844</v>
      </c>
      <c r="CK370" s="890">
        <f t="shared" ref="CK370:CK375" si="992">$I370</f>
        <v>0</v>
      </c>
      <c r="CL370" s="890">
        <f t="shared" ref="CL370:CL375" si="993">$J370</f>
        <v>0</v>
      </c>
      <c r="CM370" s="903"/>
      <c r="CQ370" s="890">
        <f t="shared" ref="CQ370:CQ376" si="994">$G370</f>
        <v>19893844</v>
      </c>
      <c r="CR370" s="890">
        <f t="shared" ref="CR370:CR375" si="995">$H370</f>
        <v>19893844</v>
      </c>
      <c r="CS370" s="890">
        <f t="shared" ref="CS370:CS375" si="996">$I370</f>
        <v>0</v>
      </c>
      <c r="CT370" s="890">
        <f t="shared" ref="CT370:CT375" si="997">$J370</f>
        <v>0</v>
      </c>
      <c r="CU370" s="903"/>
      <c r="CY370" s="890">
        <f t="shared" ref="CY370:CY376" si="998">$G370</f>
        <v>19893844</v>
      </c>
      <c r="CZ370" s="890">
        <f t="shared" ref="CZ370:CZ375" si="999">$H370</f>
        <v>19893844</v>
      </c>
      <c r="DA370" s="890">
        <f t="shared" ref="DA370:DA375" si="1000">$I370</f>
        <v>0</v>
      </c>
      <c r="DB370" s="890">
        <f t="shared" ref="DB370:DB375" si="1001">$J370</f>
        <v>0</v>
      </c>
      <c r="DC370" s="903"/>
      <c r="DG370" s="890">
        <f t="shared" ref="DG370:DG376" si="1002">$G370</f>
        <v>19893844</v>
      </c>
      <c r="DH370" s="890">
        <f t="shared" ref="DH370:DH375" si="1003">$H370</f>
        <v>19893844</v>
      </c>
      <c r="DI370" s="890">
        <f t="shared" ref="DI370:DI375" si="1004">$I370</f>
        <v>0</v>
      </c>
      <c r="DJ370" s="890">
        <f t="shared" ref="DJ370:DJ375" si="1005">$J370</f>
        <v>0</v>
      </c>
      <c r="DK370" s="903"/>
      <c r="DO370" s="890">
        <f t="shared" ref="DO370:DO376" si="1006">$G370</f>
        <v>19893844</v>
      </c>
      <c r="DP370" s="890">
        <f t="shared" ref="DP370:DP375" si="1007">$H370</f>
        <v>19893844</v>
      </c>
      <c r="DQ370" s="890">
        <f t="shared" ref="DQ370:DQ375" si="1008">$I370</f>
        <v>0</v>
      </c>
      <c r="DR370" s="890">
        <f t="shared" ref="DR370:DR375" si="1009">$J370</f>
        <v>0</v>
      </c>
      <c r="DS370" s="903"/>
      <c r="DW370" s="890">
        <f t="shared" ref="DW370:DW376" si="1010">$G370</f>
        <v>19893844</v>
      </c>
      <c r="DX370" s="890">
        <f t="shared" ref="DX370:DX375" si="1011">$H370</f>
        <v>19893844</v>
      </c>
      <c r="DY370" s="890">
        <f t="shared" ref="DY370:DY375" si="1012">$I370</f>
        <v>0</v>
      </c>
      <c r="DZ370" s="890">
        <f t="shared" ref="DZ370:DZ375" si="1013">$J370</f>
        <v>0</v>
      </c>
      <c r="EA370" s="903"/>
      <c r="EE370" s="890">
        <f t="shared" ref="EE370:EE376" si="1014">$G370</f>
        <v>19893844</v>
      </c>
      <c r="EF370" s="890">
        <f t="shared" ref="EF370:EF375" si="1015">$H370</f>
        <v>19893844</v>
      </c>
      <c r="EG370" s="890">
        <f t="shared" ref="EG370:EG375" si="1016">$I370</f>
        <v>0</v>
      </c>
      <c r="EH370" s="890">
        <f t="shared" ref="EH370:EH375" si="1017">$J370</f>
        <v>0</v>
      </c>
      <c r="EI370" s="903"/>
      <c r="EM370" s="890">
        <f t="shared" ref="EM370:EM376" si="1018">$G370</f>
        <v>19893844</v>
      </c>
      <c r="EN370" s="890">
        <f t="shared" ref="EN370:EN375" si="1019">$H370</f>
        <v>19893844</v>
      </c>
      <c r="EO370" s="890">
        <f t="shared" ref="EO370:EO375" si="1020">$I370</f>
        <v>0</v>
      </c>
      <c r="EP370" s="890">
        <f t="shared" ref="EP370:EP375" si="1021">$J370</f>
        <v>0</v>
      </c>
      <c r="EQ370" s="903"/>
      <c r="EU370" s="890">
        <f t="shared" ref="EU370:EU376" si="1022">$G370</f>
        <v>19893844</v>
      </c>
      <c r="EV370" s="890">
        <f t="shared" ref="EV370:EV375" si="1023">$H370</f>
        <v>19893844</v>
      </c>
      <c r="EW370" s="890">
        <f t="shared" ref="EW370:EW375" si="1024">$I370</f>
        <v>0</v>
      </c>
      <c r="EX370" s="890">
        <f t="shared" ref="EX370:EX375" si="1025">$J370</f>
        <v>0</v>
      </c>
      <c r="EY370" s="903"/>
      <c r="FC370" s="890">
        <f t="shared" ref="FC370:FC376" si="1026">$G370</f>
        <v>19893844</v>
      </c>
      <c r="FD370" s="890">
        <f t="shared" ref="FD370:FD375" si="1027">$H370</f>
        <v>19893844</v>
      </c>
      <c r="FE370" s="890">
        <f t="shared" ref="FE370:FE375" si="1028">$I370</f>
        <v>0</v>
      </c>
      <c r="FF370" s="890">
        <f t="shared" ref="FF370:FF375" si="1029">$J370</f>
        <v>0</v>
      </c>
      <c r="FG370" s="903"/>
      <c r="FK370" s="890">
        <f t="shared" ref="FK370:FK376" si="1030">$G370</f>
        <v>19893844</v>
      </c>
      <c r="FL370" s="890">
        <f t="shared" ref="FL370:FL375" si="1031">$H370</f>
        <v>19893844</v>
      </c>
      <c r="FM370" s="890">
        <f t="shared" ref="FM370:FM375" si="1032">$I370</f>
        <v>0</v>
      </c>
      <c r="FN370" s="890">
        <f t="shared" ref="FN370:FN375" si="1033">$J370</f>
        <v>0</v>
      </c>
      <c r="FO370" s="903"/>
    </row>
    <row r="371" spans="2:171">
      <c r="B371" s="113"/>
      <c r="C371" s="108" t="s">
        <v>106</v>
      </c>
      <c r="D371" s="108"/>
      <c r="E371" s="904" t="str">
        <f>Ratios!C14</f>
        <v>TRANS</v>
      </c>
      <c r="G371" s="890">
        <f>Ratios!D14</f>
        <v>6611795</v>
      </c>
      <c r="H371" s="890">
        <f>Ratios!E14</f>
        <v>0</v>
      </c>
      <c r="I371" s="890">
        <f>Ratios!F14</f>
        <v>0</v>
      </c>
      <c r="J371" s="890">
        <f>Ratios!G14</f>
        <v>6611795</v>
      </c>
      <c r="K371" s="903">
        <f t="shared" si="953"/>
        <v>1</v>
      </c>
      <c r="O371" s="890">
        <f t="shared" si="954"/>
        <v>6611795</v>
      </c>
      <c r="P371" s="890">
        <f t="shared" si="955"/>
        <v>0</v>
      </c>
      <c r="Q371" s="890">
        <f t="shared" si="956"/>
        <v>0</v>
      </c>
      <c r="R371" s="890">
        <f t="shared" si="957"/>
        <v>6611795</v>
      </c>
      <c r="S371" s="903"/>
      <c r="W371" s="890">
        <f t="shared" si="958"/>
        <v>6611795</v>
      </c>
      <c r="X371" s="890">
        <f t="shared" si="959"/>
        <v>0</v>
      </c>
      <c r="Y371" s="890">
        <f t="shared" si="960"/>
        <v>0</v>
      </c>
      <c r="Z371" s="890">
        <f t="shared" si="961"/>
        <v>6611795</v>
      </c>
      <c r="AA371" s="903"/>
      <c r="AE371" s="890">
        <f t="shared" si="962"/>
        <v>6611795</v>
      </c>
      <c r="AF371" s="890">
        <f t="shared" si="963"/>
        <v>0</v>
      </c>
      <c r="AG371" s="890">
        <f t="shared" si="964"/>
        <v>0</v>
      </c>
      <c r="AH371" s="890">
        <f t="shared" si="965"/>
        <v>6611795</v>
      </c>
      <c r="AI371" s="903"/>
      <c r="AM371" s="890">
        <f t="shared" si="966"/>
        <v>6611795</v>
      </c>
      <c r="AN371" s="890">
        <f t="shared" si="967"/>
        <v>0</v>
      </c>
      <c r="AO371" s="890">
        <f t="shared" si="968"/>
        <v>0</v>
      </c>
      <c r="AP371" s="890">
        <f t="shared" si="969"/>
        <v>6611795</v>
      </c>
      <c r="AQ371" s="903"/>
      <c r="AU371" s="890">
        <f t="shared" si="970"/>
        <v>6611795</v>
      </c>
      <c r="AV371" s="890">
        <f t="shared" si="971"/>
        <v>0</v>
      </c>
      <c r="AW371" s="890">
        <f t="shared" si="972"/>
        <v>0</v>
      </c>
      <c r="AX371" s="890">
        <f t="shared" si="973"/>
        <v>6611795</v>
      </c>
      <c r="AY371" s="903"/>
      <c r="BC371" s="890">
        <f t="shared" si="974"/>
        <v>6611795</v>
      </c>
      <c r="BD371" s="890">
        <f t="shared" si="975"/>
        <v>0</v>
      </c>
      <c r="BE371" s="890">
        <f t="shared" si="976"/>
        <v>0</v>
      </c>
      <c r="BF371" s="890">
        <f t="shared" si="977"/>
        <v>6611795</v>
      </c>
      <c r="BG371" s="903"/>
      <c r="BK371" s="890">
        <f t="shared" si="978"/>
        <v>6611795</v>
      </c>
      <c r="BL371" s="890">
        <f t="shared" si="979"/>
        <v>0</v>
      </c>
      <c r="BM371" s="890">
        <f t="shared" si="980"/>
        <v>0</v>
      </c>
      <c r="BN371" s="890">
        <f t="shared" si="981"/>
        <v>6611795</v>
      </c>
      <c r="BO371" s="903"/>
      <c r="BS371" s="890">
        <f t="shared" si="982"/>
        <v>6611795</v>
      </c>
      <c r="BT371" s="890">
        <f t="shared" si="983"/>
        <v>0</v>
      </c>
      <c r="BU371" s="890">
        <f t="shared" si="984"/>
        <v>0</v>
      </c>
      <c r="BV371" s="890">
        <f t="shared" si="985"/>
        <v>6611795</v>
      </c>
      <c r="BW371" s="903"/>
      <c r="CA371" s="890">
        <f t="shared" si="986"/>
        <v>6611795</v>
      </c>
      <c r="CB371" s="890">
        <f t="shared" si="987"/>
        <v>0</v>
      </c>
      <c r="CC371" s="890">
        <f t="shared" si="988"/>
        <v>0</v>
      </c>
      <c r="CD371" s="890">
        <f t="shared" si="989"/>
        <v>6611795</v>
      </c>
      <c r="CE371" s="903"/>
      <c r="CI371" s="890">
        <f t="shared" si="990"/>
        <v>6611795</v>
      </c>
      <c r="CJ371" s="890">
        <f t="shared" si="991"/>
        <v>0</v>
      </c>
      <c r="CK371" s="890">
        <f t="shared" si="992"/>
        <v>0</v>
      </c>
      <c r="CL371" s="890">
        <f t="shared" si="993"/>
        <v>6611795</v>
      </c>
      <c r="CM371" s="903"/>
      <c r="CQ371" s="890">
        <f t="shared" si="994"/>
        <v>6611795</v>
      </c>
      <c r="CR371" s="890">
        <f t="shared" si="995"/>
        <v>0</v>
      </c>
      <c r="CS371" s="890">
        <f t="shared" si="996"/>
        <v>0</v>
      </c>
      <c r="CT371" s="890">
        <f t="shared" si="997"/>
        <v>6611795</v>
      </c>
      <c r="CU371" s="903"/>
      <c r="CY371" s="890">
        <f t="shared" si="998"/>
        <v>6611795</v>
      </c>
      <c r="CZ371" s="890">
        <f t="shared" si="999"/>
        <v>0</v>
      </c>
      <c r="DA371" s="890">
        <f t="shared" si="1000"/>
        <v>0</v>
      </c>
      <c r="DB371" s="890">
        <f t="shared" si="1001"/>
        <v>6611795</v>
      </c>
      <c r="DC371" s="903"/>
      <c r="DG371" s="890">
        <f t="shared" si="1002"/>
        <v>6611795</v>
      </c>
      <c r="DH371" s="890">
        <f t="shared" si="1003"/>
        <v>0</v>
      </c>
      <c r="DI371" s="890">
        <f t="shared" si="1004"/>
        <v>0</v>
      </c>
      <c r="DJ371" s="890">
        <f t="shared" si="1005"/>
        <v>6611795</v>
      </c>
      <c r="DK371" s="903"/>
      <c r="DO371" s="890">
        <f t="shared" si="1006"/>
        <v>6611795</v>
      </c>
      <c r="DP371" s="890">
        <f t="shared" si="1007"/>
        <v>0</v>
      </c>
      <c r="DQ371" s="890">
        <f t="shared" si="1008"/>
        <v>0</v>
      </c>
      <c r="DR371" s="890">
        <f t="shared" si="1009"/>
        <v>6611795</v>
      </c>
      <c r="DS371" s="903"/>
      <c r="DW371" s="890">
        <f t="shared" si="1010"/>
        <v>6611795</v>
      </c>
      <c r="DX371" s="890">
        <f t="shared" si="1011"/>
        <v>0</v>
      </c>
      <c r="DY371" s="890">
        <f t="shared" si="1012"/>
        <v>0</v>
      </c>
      <c r="DZ371" s="890">
        <f t="shared" si="1013"/>
        <v>6611795</v>
      </c>
      <c r="EA371" s="903"/>
      <c r="EE371" s="890">
        <f t="shared" si="1014"/>
        <v>6611795</v>
      </c>
      <c r="EF371" s="890">
        <f t="shared" si="1015"/>
        <v>0</v>
      </c>
      <c r="EG371" s="890">
        <f t="shared" si="1016"/>
        <v>0</v>
      </c>
      <c r="EH371" s="890">
        <f t="shared" si="1017"/>
        <v>6611795</v>
      </c>
      <c r="EI371" s="903"/>
      <c r="EM371" s="890">
        <f t="shared" si="1018"/>
        <v>6611795</v>
      </c>
      <c r="EN371" s="890">
        <f t="shared" si="1019"/>
        <v>0</v>
      </c>
      <c r="EO371" s="890">
        <f t="shared" si="1020"/>
        <v>0</v>
      </c>
      <c r="EP371" s="890">
        <f t="shared" si="1021"/>
        <v>6611795</v>
      </c>
      <c r="EQ371" s="903"/>
      <c r="EU371" s="890">
        <f t="shared" si="1022"/>
        <v>6611795</v>
      </c>
      <c r="EV371" s="890">
        <f t="shared" si="1023"/>
        <v>0</v>
      </c>
      <c r="EW371" s="890">
        <f t="shared" si="1024"/>
        <v>0</v>
      </c>
      <c r="EX371" s="890">
        <f t="shared" si="1025"/>
        <v>6611795</v>
      </c>
      <c r="EY371" s="903"/>
      <c r="FC371" s="890">
        <f t="shared" si="1026"/>
        <v>6611795</v>
      </c>
      <c r="FD371" s="890">
        <f t="shared" si="1027"/>
        <v>0</v>
      </c>
      <c r="FE371" s="890">
        <f t="shared" si="1028"/>
        <v>0</v>
      </c>
      <c r="FF371" s="890">
        <f t="shared" si="1029"/>
        <v>6611795</v>
      </c>
      <c r="FG371" s="903"/>
      <c r="FK371" s="890">
        <f t="shared" si="1030"/>
        <v>6611795</v>
      </c>
      <c r="FL371" s="890">
        <f t="shared" si="1031"/>
        <v>0</v>
      </c>
      <c r="FM371" s="890">
        <f t="shared" si="1032"/>
        <v>0</v>
      </c>
      <c r="FN371" s="890">
        <f t="shared" si="1033"/>
        <v>6611795</v>
      </c>
      <c r="FO371" s="903"/>
    </row>
    <row r="372" spans="2:171">
      <c r="B372" s="113"/>
      <c r="C372" s="108" t="s">
        <v>516</v>
      </c>
      <c r="D372" s="108"/>
      <c r="E372" s="904" t="str">
        <f>Ratios!C15</f>
        <v>DIST</v>
      </c>
      <c r="G372" s="890">
        <f>Ratios!D15</f>
        <v>17025418</v>
      </c>
      <c r="H372" s="890">
        <f>Ratios!E15</f>
        <v>0</v>
      </c>
      <c r="I372" s="890">
        <f>Ratios!F15</f>
        <v>0</v>
      </c>
      <c r="J372" s="890">
        <f>Ratios!G15</f>
        <v>17025418</v>
      </c>
      <c r="K372" s="903">
        <f t="shared" si="953"/>
        <v>1</v>
      </c>
      <c r="O372" s="890">
        <f t="shared" si="954"/>
        <v>17025418</v>
      </c>
      <c r="P372" s="890">
        <f t="shared" si="955"/>
        <v>0</v>
      </c>
      <c r="Q372" s="890">
        <f t="shared" si="956"/>
        <v>0</v>
      </c>
      <c r="R372" s="890">
        <f t="shared" si="957"/>
        <v>17025418</v>
      </c>
      <c r="S372" s="903"/>
      <c r="W372" s="890">
        <f t="shared" si="958"/>
        <v>17025418</v>
      </c>
      <c r="X372" s="890">
        <f t="shared" si="959"/>
        <v>0</v>
      </c>
      <c r="Y372" s="890">
        <f t="shared" si="960"/>
        <v>0</v>
      </c>
      <c r="Z372" s="890">
        <f t="shared" si="961"/>
        <v>17025418</v>
      </c>
      <c r="AA372" s="903"/>
      <c r="AE372" s="890">
        <f t="shared" si="962"/>
        <v>17025418</v>
      </c>
      <c r="AF372" s="890">
        <f t="shared" si="963"/>
        <v>0</v>
      </c>
      <c r="AG372" s="890">
        <f t="shared" si="964"/>
        <v>0</v>
      </c>
      <c r="AH372" s="890">
        <f t="shared" si="965"/>
        <v>17025418</v>
      </c>
      <c r="AI372" s="903"/>
      <c r="AM372" s="890">
        <f t="shared" si="966"/>
        <v>17025418</v>
      </c>
      <c r="AN372" s="890">
        <f t="shared" si="967"/>
        <v>0</v>
      </c>
      <c r="AO372" s="890">
        <f t="shared" si="968"/>
        <v>0</v>
      </c>
      <c r="AP372" s="890">
        <f t="shared" si="969"/>
        <v>17025418</v>
      </c>
      <c r="AQ372" s="903"/>
      <c r="AU372" s="890">
        <f t="shared" si="970"/>
        <v>17025418</v>
      </c>
      <c r="AV372" s="890">
        <f t="shared" si="971"/>
        <v>0</v>
      </c>
      <c r="AW372" s="890">
        <f t="shared" si="972"/>
        <v>0</v>
      </c>
      <c r="AX372" s="890">
        <f t="shared" si="973"/>
        <v>17025418</v>
      </c>
      <c r="AY372" s="903"/>
      <c r="BC372" s="890">
        <f t="shared" si="974"/>
        <v>17025418</v>
      </c>
      <c r="BD372" s="890">
        <f t="shared" si="975"/>
        <v>0</v>
      </c>
      <c r="BE372" s="890">
        <f t="shared" si="976"/>
        <v>0</v>
      </c>
      <c r="BF372" s="890">
        <f t="shared" si="977"/>
        <v>17025418</v>
      </c>
      <c r="BG372" s="903"/>
      <c r="BK372" s="890">
        <f t="shared" si="978"/>
        <v>17025418</v>
      </c>
      <c r="BL372" s="890">
        <f t="shared" si="979"/>
        <v>0</v>
      </c>
      <c r="BM372" s="890">
        <f t="shared" si="980"/>
        <v>0</v>
      </c>
      <c r="BN372" s="890">
        <f t="shared" si="981"/>
        <v>17025418</v>
      </c>
      <c r="BO372" s="903"/>
      <c r="BS372" s="890">
        <f t="shared" si="982"/>
        <v>17025418</v>
      </c>
      <c r="BT372" s="890">
        <f t="shared" si="983"/>
        <v>0</v>
      </c>
      <c r="BU372" s="890">
        <f t="shared" si="984"/>
        <v>0</v>
      </c>
      <c r="BV372" s="890">
        <f t="shared" si="985"/>
        <v>17025418</v>
      </c>
      <c r="BW372" s="903"/>
      <c r="CA372" s="890">
        <f t="shared" si="986"/>
        <v>17025418</v>
      </c>
      <c r="CB372" s="890">
        <f t="shared" si="987"/>
        <v>0</v>
      </c>
      <c r="CC372" s="890">
        <f t="shared" si="988"/>
        <v>0</v>
      </c>
      <c r="CD372" s="890">
        <f t="shared" si="989"/>
        <v>17025418</v>
      </c>
      <c r="CE372" s="903"/>
      <c r="CI372" s="890">
        <f t="shared" si="990"/>
        <v>17025418</v>
      </c>
      <c r="CJ372" s="890">
        <f t="shared" si="991"/>
        <v>0</v>
      </c>
      <c r="CK372" s="890">
        <f t="shared" si="992"/>
        <v>0</v>
      </c>
      <c r="CL372" s="890">
        <f t="shared" si="993"/>
        <v>17025418</v>
      </c>
      <c r="CM372" s="903"/>
      <c r="CQ372" s="890">
        <f t="shared" si="994"/>
        <v>17025418</v>
      </c>
      <c r="CR372" s="890">
        <f t="shared" si="995"/>
        <v>0</v>
      </c>
      <c r="CS372" s="890">
        <f t="shared" si="996"/>
        <v>0</v>
      </c>
      <c r="CT372" s="890">
        <f t="shared" si="997"/>
        <v>17025418</v>
      </c>
      <c r="CU372" s="903"/>
      <c r="CY372" s="890">
        <f t="shared" si="998"/>
        <v>17025418</v>
      </c>
      <c r="CZ372" s="890">
        <f t="shared" si="999"/>
        <v>0</v>
      </c>
      <c r="DA372" s="890">
        <f t="shared" si="1000"/>
        <v>0</v>
      </c>
      <c r="DB372" s="890">
        <f t="shared" si="1001"/>
        <v>17025418</v>
      </c>
      <c r="DC372" s="903"/>
      <c r="DG372" s="890">
        <f t="shared" si="1002"/>
        <v>17025418</v>
      </c>
      <c r="DH372" s="890">
        <f t="shared" si="1003"/>
        <v>0</v>
      </c>
      <c r="DI372" s="890">
        <f t="shared" si="1004"/>
        <v>0</v>
      </c>
      <c r="DJ372" s="890">
        <f t="shared" si="1005"/>
        <v>17025418</v>
      </c>
      <c r="DK372" s="903"/>
      <c r="DO372" s="890">
        <f t="shared" si="1006"/>
        <v>17025418</v>
      </c>
      <c r="DP372" s="890">
        <f t="shared" si="1007"/>
        <v>0</v>
      </c>
      <c r="DQ372" s="890">
        <f t="shared" si="1008"/>
        <v>0</v>
      </c>
      <c r="DR372" s="890">
        <f t="shared" si="1009"/>
        <v>17025418</v>
      </c>
      <c r="DS372" s="903"/>
      <c r="DW372" s="890">
        <f t="shared" si="1010"/>
        <v>17025418</v>
      </c>
      <c r="DX372" s="890">
        <f t="shared" si="1011"/>
        <v>0</v>
      </c>
      <c r="DY372" s="890">
        <f t="shared" si="1012"/>
        <v>0</v>
      </c>
      <c r="DZ372" s="890">
        <f t="shared" si="1013"/>
        <v>17025418</v>
      </c>
      <c r="EA372" s="903"/>
      <c r="EE372" s="890">
        <f t="shared" si="1014"/>
        <v>17025418</v>
      </c>
      <c r="EF372" s="890">
        <f t="shared" si="1015"/>
        <v>0</v>
      </c>
      <c r="EG372" s="890">
        <f t="shared" si="1016"/>
        <v>0</v>
      </c>
      <c r="EH372" s="890">
        <f t="shared" si="1017"/>
        <v>17025418</v>
      </c>
      <c r="EI372" s="903"/>
      <c r="EM372" s="890">
        <f t="shared" si="1018"/>
        <v>17025418</v>
      </c>
      <c r="EN372" s="890">
        <f t="shared" si="1019"/>
        <v>0</v>
      </c>
      <c r="EO372" s="890">
        <f t="shared" si="1020"/>
        <v>0</v>
      </c>
      <c r="EP372" s="890">
        <f t="shared" si="1021"/>
        <v>17025418</v>
      </c>
      <c r="EQ372" s="903"/>
      <c r="EU372" s="890">
        <f t="shared" si="1022"/>
        <v>17025418</v>
      </c>
      <c r="EV372" s="890">
        <f t="shared" si="1023"/>
        <v>0</v>
      </c>
      <c r="EW372" s="890">
        <f t="shared" si="1024"/>
        <v>0</v>
      </c>
      <c r="EX372" s="890">
        <f t="shared" si="1025"/>
        <v>17025418</v>
      </c>
      <c r="EY372" s="903"/>
      <c r="FC372" s="890">
        <f t="shared" si="1026"/>
        <v>17025418</v>
      </c>
      <c r="FD372" s="890">
        <f t="shared" si="1027"/>
        <v>0</v>
      </c>
      <c r="FE372" s="890">
        <f t="shared" si="1028"/>
        <v>0</v>
      </c>
      <c r="FF372" s="890">
        <f t="shared" si="1029"/>
        <v>17025418</v>
      </c>
      <c r="FG372" s="903"/>
      <c r="FK372" s="890">
        <f t="shared" si="1030"/>
        <v>17025418</v>
      </c>
      <c r="FL372" s="890">
        <f t="shared" si="1031"/>
        <v>0</v>
      </c>
      <c r="FM372" s="890">
        <f t="shared" si="1032"/>
        <v>0</v>
      </c>
      <c r="FN372" s="890">
        <f t="shared" si="1033"/>
        <v>17025418</v>
      </c>
      <c r="FO372" s="903"/>
    </row>
    <row r="373" spans="2:171">
      <c r="B373" s="113"/>
      <c r="C373" s="108" t="s">
        <v>517</v>
      </c>
      <c r="D373" s="108"/>
      <c r="E373" s="904" t="str">
        <f>Ratios!C16</f>
        <v>DIST</v>
      </c>
      <c r="G373" s="890">
        <f>Ratios!D16</f>
        <v>6507117</v>
      </c>
      <c r="H373" s="890">
        <f>Ratios!E16</f>
        <v>0</v>
      </c>
      <c r="I373" s="890">
        <f>Ratios!F16</f>
        <v>0</v>
      </c>
      <c r="J373" s="890">
        <f>Ratios!G16</f>
        <v>6507117</v>
      </c>
      <c r="K373" s="903">
        <f t="shared" si="953"/>
        <v>1</v>
      </c>
      <c r="O373" s="890">
        <f t="shared" si="954"/>
        <v>6507117</v>
      </c>
      <c r="P373" s="890">
        <f t="shared" si="955"/>
        <v>0</v>
      </c>
      <c r="Q373" s="890">
        <f t="shared" si="956"/>
        <v>0</v>
      </c>
      <c r="R373" s="890">
        <f t="shared" si="957"/>
        <v>6507117</v>
      </c>
      <c r="S373" s="903"/>
      <c r="W373" s="890">
        <f t="shared" si="958"/>
        <v>6507117</v>
      </c>
      <c r="X373" s="890">
        <f t="shared" si="959"/>
        <v>0</v>
      </c>
      <c r="Y373" s="890">
        <f t="shared" si="960"/>
        <v>0</v>
      </c>
      <c r="Z373" s="890">
        <f t="shared" si="961"/>
        <v>6507117</v>
      </c>
      <c r="AA373" s="903"/>
      <c r="AE373" s="890">
        <f t="shared" si="962"/>
        <v>6507117</v>
      </c>
      <c r="AF373" s="890">
        <f t="shared" si="963"/>
        <v>0</v>
      </c>
      <c r="AG373" s="890">
        <f t="shared" si="964"/>
        <v>0</v>
      </c>
      <c r="AH373" s="890">
        <f t="shared" si="965"/>
        <v>6507117</v>
      </c>
      <c r="AI373" s="903"/>
      <c r="AM373" s="890">
        <f t="shared" si="966"/>
        <v>6507117</v>
      </c>
      <c r="AN373" s="890">
        <f t="shared" si="967"/>
        <v>0</v>
      </c>
      <c r="AO373" s="890">
        <f t="shared" si="968"/>
        <v>0</v>
      </c>
      <c r="AP373" s="890">
        <f t="shared" si="969"/>
        <v>6507117</v>
      </c>
      <c r="AQ373" s="903"/>
      <c r="AU373" s="890">
        <f t="shared" si="970"/>
        <v>6507117</v>
      </c>
      <c r="AV373" s="890">
        <f t="shared" si="971"/>
        <v>0</v>
      </c>
      <c r="AW373" s="890">
        <f t="shared" si="972"/>
        <v>0</v>
      </c>
      <c r="AX373" s="890">
        <f t="shared" si="973"/>
        <v>6507117</v>
      </c>
      <c r="AY373" s="903"/>
      <c r="BC373" s="890">
        <f t="shared" si="974"/>
        <v>6507117</v>
      </c>
      <c r="BD373" s="890">
        <f t="shared" si="975"/>
        <v>0</v>
      </c>
      <c r="BE373" s="890">
        <f t="shared" si="976"/>
        <v>0</v>
      </c>
      <c r="BF373" s="890">
        <f t="shared" si="977"/>
        <v>6507117</v>
      </c>
      <c r="BG373" s="903"/>
      <c r="BK373" s="890">
        <f t="shared" si="978"/>
        <v>6507117</v>
      </c>
      <c r="BL373" s="890">
        <f t="shared" si="979"/>
        <v>0</v>
      </c>
      <c r="BM373" s="890">
        <f t="shared" si="980"/>
        <v>0</v>
      </c>
      <c r="BN373" s="890">
        <f t="shared" si="981"/>
        <v>6507117</v>
      </c>
      <c r="BO373" s="903"/>
      <c r="BS373" s="890">
        <f t="shared" si="982"/>
        <v>6507117</v>
      </c>
      <c r="BT373" s="890">
        <f t="shared" si="983"/>
        <v>0</v>
      </c>
      <c r="BU373" s="890">
        <f t="shared" si="984"/>
        <v>0</v>
      </c>
      <c r="BV373" s="890">
        <f t="shared" si="985"/>
        <v>6507117</v>
      </c>
      <c r="BW373" s="903"/>
      <c r="CA373" s="890">
        <f t="shared" si="986"/>
        <v>6507117</v>
      </c>
      <c r="CB373" s="890">
        <f t="shared" si="987"/>
        <v>0</v>
      </c>
      <c r="CC373" s="890">
        <f t="shared" si="988"/>
        <v>0</v>
      </c>
      <c r="CD373" s="890">
        <f t="shared" si="989"/>
        <v>6507117</v>
      </c>
      <c r="CE373" s="903"/>
      <c r="CI373" s="890">
        <f t="shared" si="990"/>
        <v>6507117</v>
      </c>
      <c r="CJ373" s="890">
        <f t="shared" si="991"/>
        <v>0</v>
      </c>
      <c r="CK373" s="890">
        <f t="shared" si="992"/>
        <v>0</v>
      </c>
      <c r="CL373" s="890">
        <f t="shared" si="993"/>
        <v>6507117</v>
      </c>
      <c r="CM373" s="903"/>
      <c r="CQ373" s="890">
        <f t="shared" si="994"/>
        <v>6507117</v>
      </c>
      <c r="CR373" s="890">
        <f t="shared" si="995"/>
        <v>0</v>
      </c>
      <c r="CS373" s="890">
        <f t="shared" si="996"/>
        <v>0</v>
      </c>
      <c r="CT373" s="890">
        <f t="shared" si="997"/>
        <v>6507117</v>
      </c>
      <c r="CU373" s="903"/>
      <c r="CY373" s="890">
        <f t="shared" si="998"/>
        <v>6507117</v>
      </c>
      <c r="CZ373" s="890">
        <f t="shared" si="999"/>
        <v>0</v>
      </c>
      <c r="DA373" s="890">
        <f t="shared" si="1000"/>
        <v>0</v>
      </c>
      <c r="DB373" s="890">
        <f t="shared" si="1001"/>
        <v>6507117</v>
      </c>
      <c r="DC373" s="903"/>
      <c r="DG373" s="890">
        <f t="shared" si="1002"/>
        <v>6507117</v>
      </c>
      <c r="DH373" s="890">
        <f t="shared" si="1003"/>
        <v>0</v>
      </c>
      <c r="DI373" s="890">
        <f t="shared" si="1004"/>
        <v>0</v>
      </c>
      <c r="DJ373" s="890">
        <f t="shared" si="1005"/>
        <v>6507117</v>
      </c>
      <c r="DK373" s="903"/>
      <c r="DO373" s="890">
        <f t="shared" si="1006"/>
        <v>6507117</v>
      </c>
      <c r="DP373" s="890">
        <f t="shared" si="1007"/>
        <v>0</v>
      </c>
      <c r="DQ373" s="890">
        <f t="shared" si="1008"/>
        <v>0</v>
      </c>
      <c r="DR373" s="890">
        <f t="shared" si="1009"/>
        <v>6507117</v>
      </c>
      <c r="DS373" s="903"/>
      <c r="DW373" s="890">
        <f t="shared" si="1010"/>
        <v>6507117</v>
      </c>
      <c r="DX373" s="890">
        <f t="shared" si="1011"/>
        <v>0</v>
      </c>
      <c r="DY373" s="890">
        <f t="shared" si="1012"/>
        <v>0</v>
      </c>
      <c r="DZ373" s="890">
        <f t="shared" si="1013"/>
        <v>6507117</v>
      </c>
      <c r="EA373" s="903"/>
      <c r="EE373" s="890">
        <f t="shared" si="1014"/>
        <v>6507117</v>
      </c>
      <c r="EF373" s="890">
        <f t="shared" si="1015"/>
        <v>0</v>
      </c>
      <c r="EG373" s="890">
        <f t="shared" si="1016"/>
        <v>0</v>
      </c>
      <c r="EH373" s="890">
        <f t="shared" si="1017"/>
        <v>6507117</v>
      </c>
      <c r="EI373" s="903"/>
      <c r="EM373" s="890">
        <f t="shared" si="1018"/>
        <v>6507117</v>
      </c>
      <c r="EN373" s="890">
        <f t="shared" si="1019"/>
        <v>0</v>
      </c>
      <c r="EO373" s="890">
        <f t="shared" si="1020"/>
        <v>0</v>
      </c>
      <c r="EP373" s="890">
        <f t="shared" si="1021"/>
        <v>6507117</v>
      </c>
      <c r="EQ373" s="903"/>
      <c r="EU373" s="890">
        <f t="shared" si="1022"/>
        <v>6507117</v>
      </c>
      <c r="EV373" s="890">
        <f t="shared" si="1023"/>
        <v>0</v>
      </c>
      <c r="EW373" s="890">
        <f t="shared" si="1024"/>
        <v>0</v>
      </c>
      <c r="EX373" s="890">
        <f t="shared" si="1025"/>
        <v>6507117</v>
      </c>
      <c r="EY373" s="903"/>
      <c r="FC373" s="890">
        <f t="shared" si="1026"/>
        <v>6507117</v>
      </c>
      <c r="FD373" s="890">
        <f t="shared" si="1027"/>
        <v>0</v>
      </c>
      <c r="FE373" s="890">
        <f t="shared" si="1028"/>
        <v>0</v>
      </c>
      <c r="FF373" s="890">
        <f t="shared" si="1029"/>
        <v>6507117</v>
      </c>
      <c r="FG373" s="903"/>
      <c r="FK373" s="890">
        <f t="shared" si="1030"/>
        <v>6507117</v>
      </c>
      <c r="FL373" s="890">
        <f t="shared" si="1031"/>
        <v>0</v>
      </c>
      <c r="FM373" s="890">
        <f t="shared" si="1032"/>
        <v>0</v>
      </c>
      <c r="FN373" s="890">
        <f t="shared" si="1033"/>
        <v>6507117</v>
      </c>
      <c r="FO373" s="903"/>
    </row>
    <row r="374" spans="2:171">
      <c r="B374" s="113"/>
      <c r="C374" s="1532" t="s">
        <v>518</v>
      </c>
      <c r="D374" s="1532"/>
      <c r="E374" s="904" t="str">
        <f>Ratios!C17</f>
        <v>DIST</v>
      </c>
      <c r="G374" s="890">
        <f>Ratios!D17</f>
        <v>422600</v>
      </c>
      <c r="H374" s="890">
        <f>Ratios!E17</f>
        <v>0</v>
      </c>
      <c r="I374" s="890">
        <f>Ratios!F17</f>
        <v>0</v>
      </c>
      <c r="J374" s="890">
        <f>Ratios!G17</f>
        <v>422600</v>
      </c>
      <c r="K374" s="903">
        <f t="shared" si="953"/>
        <v>1</v>
      </c>
      <c r="O374" s="890">
        <f t="shared" si="954"/>
        <v>422600</v>
      </c>
      <c r="P374" s="890">
        <f t="shared" si="955"/>
        <v>0</v>
      </c>
      <c r="Q374" s="890">
        <f t="shared" si="956"/>
        <v>0</v>
      </c>
      <c r="R374" s="890">
        <f t="shared" si="957"/>
        <v>422600</v>
      </c>
      <c r="S374" s="903"/>
      <c r="W374" s="890">
        <f t="shared" si="958"/>
        <v>422600</v>
      </c>
      <c r="X374" s="890">
        <f t="shared" si="959"/>
        <v>0</v>
      </c>
      <c r="Y374" s="890">
        <f t="shared" si="960"/>
        <v>0</v>
      </c>
      <c r="Z374" s="890">
        <f t="shared" si="961"/>
        <v>422600</v>
      </c>
      <c r="AA374" s="903"/>
      <c r="AE374" s="890">
        <f t="shared" si="962"/>
        <v>422600</v>
      </c>
      <c r="AF374" s="890">
        <f t="shared" si="963"/>
        <v>0</v>
      </c>
      <c r="AG374" s="890">
        <f t="shared" si="964"/>
        <v>0</v>
      </c>
      <c r="AH374" s="890">
        <f t="shared" si="965"/>
        <v>422600</v>
      </c>
      <c r="AI374" s="903"/>
      <c r="AM374" s="890">
        <f t="shared" si="966"/>
        <v>422600</v>
      </c>
      <c r="AN374" s="890">
        <f t="shared" si="967"/>
        <v>0</v>
      </c>
      <c r="AO374" s="890">
        <f t="shared" si="968"/>
        <v>0</v>
      </c>
      <c r="AP374" s="890">
        <f t="shared" si="969"/>
        <v>422600</v>
      </c>
      <c r="AQ374" s="903"/>
      <c r="AU374" s="890">
        <f t="shared" si="970"/>
        <v>422600</v>
      </c>
      <c r="AV374" s="890">
        <f t="shared" si="971"/>
        <v>0</v>
      </c>
      <c r="AW374" s="890">
        <f t="shared" si="972"/>
        <v>0</v>
      </c>
      <c r="AX374" s="890">
        <f t="shared" si="973"/>
        <v>422600</v>
      </c>
      <c r="AY374" s="903"/>
      <c r="BC374" s="890">
        <f t="shared" si="974"/>
        <v>422600</v>
      </c>
      <c r="BD374" s="890">
        <f t="shared" si="975"/>
        <v>0</v>
      </c>
      <c r="BE374" s="890">
        <f t="shared" si="976"/>
        <v>0</v>
      </c>
      <c r="BF374" s="890">
        <f t="shared" si="977"/>
        <v>422600</v>
      </c>
      <c r="BG374" s="903"/>
      <c r="BK374" s="890">
        <f t="shared" si="978"/>
        <v>422600</v>
      </c>
      <c r="BL374" s="890">
        <f t="shared" si="979"/>
        <v>0</v>
      </c>
      <c r="BM374" s="890">
        <f t="shared" si="980"/>
        <v>0</v>
      </c>
      <c r="BN374" s="890">
        <f t="shared" si="981"/>
        <v>422600</v>
      </c>
      <c r="BO374" s="903"/>
      <c r="BS374" s="890">
        <f t="shared" si="982"/>
        <v>422600</v>
      </c>
      <c r="BT374" s="890">
        <f t="shared" si="983"/>
        <v>0</v>
      </c>
      <c r="BU374" s="890">
        <f t="shared" si="984"/>
        <v>0</v>
      </c>
      <c r="BV374" s="890">
        <f t="shared" si="985"/>
        <v>422600</v>
      </c>
      <c r="BW374" s="903"/>
      <c r="CA374" s="890">
        <f t="shared" si="986"/>
        <v>422600</v>
      </c>
      <c r="CB374" s="890">
        <f t="shared" si="987"/>
        <v>0</v>
      </c>
      <c r="CC374" s="890">
        <f t="shared" si="988"/>
        <v>0</v>
      </c>
      <c r="CD374" s="890">
        <f t="shared" si="989"/>
        <v>422600</v>
      </c>
      <c r="CE374" s="903"/>
      <c r="CI374" s="890">
        <f t="shared" si="990"/>
        <v>422600</v>
      </c>
      <c r="CJ374" s="890">
        <f t="shared" si="991"/>
        <v>0</v>
      </c>
      <c r="CK374" s="890">
        <f t="shared" si="992"/>
        <v>0</v>
      </c>
      <c r="CL374" s="890">
        <f t="shared" si="993"/>
        <v>422600</v>
      </c>
      <c r="CM374" s="903"/>
      <c r="CQ374" s="890">
        <f t="shared" si="994"/>
        <v>422600</v>
      </c>
      <c r="CR374" s="890">
        <f t="shared" si="995"/>
        <v>0</v>
      </c>
      <c r="CS374" s="890">
        <f t="shared" si="996"/>
        <v>0</v>
      </c>
      <c r="CT374" s="890">
        <f t="shared" si="997"/>
        <v>422600</v>
      </c>
      <c r="CU374" s="903"/>
      <c r="CY374" s="890">
        <f t="shared" si="998"/>
        <v>422600</v>
      </c>
      <c r="CZ374" s="890">
        <f t="shared" si="999"/>
        <v>0</v>
      </c>
      <c r="DA374" s="890">
        <f t="shared" si="1000"/>
        <v>0</v>
      </c>
      <c r="DB374" s="890">
        <f t="shared" si="1001"/>
        <v>422600</v>
      </c>
      <c r="DC374" s="903"/>
      <c r="DG374" s="890">
        <f t="shared" si="1002"/>
        <v>422600</v>
      </c>
      <c r="DH374" s="890">
        <f t="shared" si="1003"/>
        <v>0</v>
      </c>
      <c r="DI374" s="890">
        <f t="shared" si="1004"/>
        <v>0</v>
      </c>
      <c r="DJ374" s="890">
        <f t="shared" si="1005"/>
        <v>422600</v>
      </c>
      <c r="DK374" s="903"/>
      <c r="DO374" s="890">
        <f t="shared" si="1006"/>
        <v>422600</v>
      </c>
      <c r="DP374" s="890">
        <f t="shared" si="1007"/>
        <v>0</v>
      </c>
      <c r="DQ374" s="890">
        <f t="shared" si="1008"/>
        <v>0</v>
      </c>
      <c r="DR374" s="890">
        <f t="shared" si="1009"/>
        <v>422600</v>
      </c>
      <c r="DS374" s="903"/>
      <c r="DW374" s="890">
        <f t="shared" si="1010"/>
        <v>422600</v>
      </c>
      <c r="DX374" s="890">
        <f t="shared" si="1011"/>
        <v>0</v>
      </c>
      <c r="DY374" s="890">
        <f t="shared" si="1012"/>
        <v>0</v>
      </c>
      <c r="DZ374" s="890">
        <f t="shared" si="1013"/>
        <v>422600</v>
      </c>
      <c r="EA374" s="903"/>
      <c r="EE374" s="890">
        <f t="shared" si="1014"/>
        <v>422600</v>
      </c>
      <c r="EF374" s="890">
        <f t="shared" si="1015"/>
        <v>0</v>
      </c>
      <c r="EG374" s="890">
        <f t="shared" si="1016"/>
        <v>0</v>
      </c>
      <c r="EH374" s="890">
        <f t="shared" si="1017"/>
        <v>422600</v>
      </c>
      <c r="EI374" s="903"/>
      <c r="EM374" s="890">
        <f t="shared" si="1018"/>
        <v>422600</v>
      </c>
      <c r="EN374" s="890">
        <f t="shared" si="1019"/>
        <v>0</v>
      </c>
      <c r="EO374" s="890">
        <f t="shared" si="1020"/>
        <v>0</v>
      </c>
      <c r="EP374" s="890">
        <f t="shared" si="1021"/>
        <v>422600</v>
      </c>
      <c r="EQ374" s="903"/>
      <c r="EU374" s="890">
        <f t="shared" si="1022"/>
        <v>422600</v>
      </c>
      <c r="EV374" s="890">
        <f t="shared" si="1023"/>
        <v>0</v>
      </c>
      <c r="EW374" s="890">
        <f t="shared" si="1024"/>
        <v>0</v>
      </c>
      <c r="EX374" s="890">
        <f t="shared" si="1025"/>
        <v>422600</v>
      </c>
      <c r="EY374" s="903"/>
      <c r="FC374" s="890">
        <f t="shared" si="1026"/>
        <v>422600</v>
      </c>
      <c r="FD374" s="890">
        <f t="shared" si="1027"/>
        <v>0</v>
      </c>
      <c r="FE374" s="890">
        <f t="shared" si="1028"/>
        <v>0</v>
      </c>
      <c r="FF374" s="890">
        <f t="shared" si="1029"/>
        <v>422600</v>
      </c>
      <c r="FG374" s="903"/>
      <c r="FK374" s="890">
        <f t="shared" si="1030"/>
        <v>422600</v>
      </c>
      <c r="FL374" s="890">
        <f t="shared" si="1031"/>
        <v>0</v>
      </c>
      <c r="FM374" s="890">
        <f t="shared" si="1032"/>
        <v>0</v>
      </c>
      <c r="FN374" s="890">
        <f t="shared" si="1033"/>
        <v>422600</v>
      </c>
      <c r="FO374" s="903"/>
    </row>
    <row r="375" spans="2:171">
      <c r="B375" s="113"/>
      <c r="C375" s="108" t="s">
        <v>519</v>
      </c>
      <c r="D375" s="108"/>
      <c r="E375" s="904" t="str">
        <f>Ratios!C18</f>
        <v>DIST</v>
      </c>
      <c r="G375" s="890">
        <f>Ratios!D18</f>
        <v>0</v>
      </c>
      <c r="H375" s="890">
        <f>Ratios!E18</f>
        <v>0</v>
      </c>
      <c r="I375" s="890">
        <f>Ratios!F18</f>
        <v>0</v>
      </c>
      <c r="J375" s="890">
        <f>Ratios!G18</f>
        <v>0</v>
      </c>
      <c r="K375" s="903">
        <f t="shared" si="953"/>
        <v>1</v>
      </c>
      <c r="O375" s="890">
        <f t="shared" si="954"/>
        <v>0</v>
      </c>
      <c r="P375" s="890">
        <f t="shared" si="955"/>
        <v>0</v>
      </c>
      <c r="Q375" s="890">
        <f t="shared" si="956"/>
        <v>0</v>
      </c>
      <c r="R375" s="890">
        <f t="shared" si="957"/>
        <v>0</v>
      </c>
      <c r="S375" s="903"/>
      <c r="W375" s="890">
        <f t="shared" si="958"/>
        <v>0</v>
      </c>
      <c r="X375" s="890">
        <f t="shared" si="959"/>
        <v>0</v>
      </c>
      <c r="Y375" s="890">
        <f t="shared" si="960"/>
        <v>0</v>
      </c>
      <c r="Z375" s="890">
        <f t="shared" si="961"/>
        <v>0</v>
      </c>
      <c r="AA375" s="903"/>
      <c r="AE375" s="890">
        <f t="shared" si="962"/>
        <v>0</v>
      </c>
      <c r="AF375" s="890">
        <f t="shared" si="963"/>
        <v>0</v>
      </c>
      <c r="AG375" s="890">
        <f t="shared" si="964"/>
        <v>0</v>
      </c>
      <c r="AH375" s="890">
        <f t="shared" si="965"/>
        <v>0</v>
      </c>
      <c r="AI375" s="903"/>
      <c r="AM375" s="890">
        <f t="shared" si="966"/>
        <v>0</v>
      </c>
      <c r="AN375" s="890">
        <f t="shared" si="967"/>
        <v>0</v>
      </c>
      <c r="AO375" s="890">
        <f t="shared" si="968"/>
        <v>0</v>
      </c>
      <c r="AP375" s="890">
        <f t="shared" si="969"/>
        <v>0</v>
      </c>
      <c r="AQ375" s="903"/>
      <c r="AU375" s="890">
        <f t="shared" si="970"/>
        <v>0</v>
      </c>
      <c r="AV375" s="890">
        <f t="shared" si="971"/>
        <v>0</v>
      </c>
      <c r="AW375" s="890">
        <f t="shared" si="972"/>
        <v>0</v>
      </c>
      <c r="AX375" s="890">
        <f t="shared" si="973"/>
        <v>0</v>
      </c>
      <c r="AY375" s="903"/>
      <c r="BC375" s="890">
        <f t="shared" si="974"/>
        <v>0</v>
      </c>
      <c r="BD375" s="890">
        <f t="shared" si="975"/>
        <v>0</v>
      </c>
      <c r="BE375" s="890">
        <f t="shared" si="976"/>
        <v>0</v>
      </c>
      <c r="BF375" s="890">
        <f t="shared" si="977"/>
        <v>0</v>
      </c>
      <c r="BG375" s="903"/>
      <c r="BK375" s="890">
        <f t="shared" si="978"/>
        <v>0</v>
      </c>
      <c r="BL375" s="890">
        <f t="shared" si="979"/>
        <v>0</v>
      </c>
      <c r="BM375" s="890">
        <f t="shared" si="980"/>
        <v>0</v>
      </c>
      <c r="BN375" s="890">
        <f t="shared" si="981"/>
        <v>0</v>
      </c>
      <c r="BO375" s="903"/>
      <c r="BS375" s="890">
        <f t="shared" si="982"/>
        <v>0</v>
      </c>
      <c r="BT375" s="890">
        <f t="shared" si="983"/>
        <v>0</v>
      </c>
      <c r="BU375" s="890">
        <f t="shared" si="984"/>
        <v>0</v>
      </c>
      <c r="BV375" s="890">
        <f t="shared" si="985"/>
        <v>0</v>
      </c>
      <c r="BW375" s="903"/>
      <c r="CA375" s="890">
        <f t="shared" si="986"/>
        <v>0</v>
      </c>
      <c r="CB375" s="890">
        <f t="shared" si="987"/>
        <v>0</v>
      </c>
      <c r="CC375" s="890">
        <f t="shared" si="988"/>
        <v>0</v>
      </c>
      <c r="CD375" s="890">
        <f t="shared" si="989"/>
        <v>0</v>
      </c>
      <c r="CE375" s="903"/>
      <c r="CI375" s="890">
        <f t="shared" si="990"/>
        <v>0</v>
      </c>
      <c r="CJ375" s="890">
        <f t="shared" si="991"/>
        <v>0</v>
      </c>
      <c r="CK375" s="890">
        <f t="shared" si="992"/>
        <v>0</v>
      </c>
      <c r="CL375" s="890">
        <f t="shared" si="993"/>
        <v>0</v>
      </c>
      <c r="CM375" s="903"/>
      <c r="CQ375" s="890">
        <f t="shared" si="994"/>
        <v>0</v>
      </c>
      <c r="CR375" s="890">
        <f t="shared" si="995"/>
        <v>0</v>
      </c>
      <c r="CS375" s="890">
        <f t="shared" si="996"/>
        <v>0</v>
      </c>
      <c r="CT375" s="890">
        <f t="shared" si="997"/>
        <v>0</v>
      </c>
      <c r="CU375" s="903"/>
      <c r="CY375" s="890">
        <f t="shared" si="998"/>
        <v>0</v>
      </c>
      <c r="CZ375" s="890">
        <f t="shared" si="999"/>
        <v>0</v>
      </c>
      <c r="DA375" s="890">
        <f t="shared" si="1000"/>
        <v>0</v>
      </c>
      <c r="DB375" s="890">
        <f t="shared" si="1001"/>
        <v>0</v>
      </c>
      <c r="DC375" s="903"/>
      <c r="DG375" s="890">
        <f t="shared" si="1002"/>
        <v>0</v>
      </c>
      <c r="DH375" s="890">
        <f t="shared" si="1003"/>
        <v>0</v>
      </c>
      <c r="DI375" s="890">
        <f t="shared" si="1004"/>
        <v>0</v>
      </c>
      <c r="DJ375" s="890">
        <f t="shared" si="1005"/>
        <v>0</v>
      </c>
      <c r="DK375" s="903"/>
      <c r="DO375" s="890">
        <f t="shared" si="1006"/>
        <v>0</v>
      </c>
      <c r="DP375" s="890">
        <f t="shared" si="1007"/>
        <v>0</v>
      </c>
      <c r="DQ375" s="890">
        <f t="shared" si="1008"/>
        <v>0</v>
      </c>
      <c r="DR375" s="890">
        <f t="shared" si="1009"/>
        <v>0</v>
      </c>
      <c r="DS375" s="903"/>
      <c r="DW375" s="890">
        <f t="shared" si="1010"/>
        <v>0</v>
      </c>
      <c r="DX375" s="890">
        <f t="shared" si="1011"/>
        <v>0</v>
      </c>
      <c r="DY375" s="890">
        <f t="shared" si="1012"/>
        <v>0</v>
      </c>
      <c r="DZ375" s="890">
        <f t="shared" si="1013"/>
        <v>0</v>
      </c>
      <c r="EA375" s="903"/>
      <c r="EE375" s="890">
        <f t="shared" si="1014"/>
        <v>0</v>
      </c>
      <c r="EF375" s="890">
        <f t="shared" si="1015"/>
        <v>0</v>
      </c>
      <c r="EG375" s="890">
        <f t="shared" si="1016"/>
        <v>0</v>
      </c>
      <c r="EH375" s="890">
        <f t="shared" si="1017"/>
        <v>0</v>
      </c>
      <c r="EI375" s="903"/>
      <c r="EM375" s="890">
        <f t="shared" si="1018"/>
        <v>0</v>
      </c>
      <c r="EN375" s="890">
        <f t="shared" si="1019"/>
        <v>0</v>
      </c>
      <c r="EO375" s="890">
        <f t="shared" si="1020"/>
        <v>0</v>
      </c>
      <c r="EP375" s="890">
        <f t="shared" si="1021"/>
        <v>0</v>
      </c>
      <c r="EQ375" s="903"/>
      <c r="EU375" s="890">
        <f t="shared" si="1022"/>
        <v>0</v>
      </c>
      <c r="EV375" s="890">
        <f t="shared" si="1023"/>
        <v>0</v>
      </c>
      <c r="EW375" s="890">
        <f t="shared" si="1024"/>
        <v>0</v>
      </c>
      <c r="EX375" s="890">
        <f t="shared" si="1025"/>
        <v>0</v>
      </c>
      <c r="EY375" s="903"/>
      <c r="FC375" s="890">
        <f t="shared" si="1026"/>
        <v>0</v>
      </c>
      <c r="FD375" s="890">
        <f t="shared" si="1027"/>
        <v>0</v>
      </c>
      <c r="FE375" s="890">
        <f t="shared" si="1028"/>
        <v>0</v>
      </c>
      <c r="FF375" s="890">
        <f t="shared" si="1029"/>
        <v>0</v>
      </c>
      <c r="FG375" s="903"/>
      <c r="FK375" s="890">
        <f t="shared" si="1030"/>
        <v>0</v>
      </c>
      <c r="FL375" s="890">
        <f t="shared" si="1031"/>
        <v>0</v>
      </c>
      <c r="FM375" s="890">
        <f t="shared" si="1032"/>
        <v>0</v>
      </c>
      <c r="FN375" s="890">
        <f t="shared" si="1033"/>
        <v>0</v>
      </c>
      <c r="FO375" s="903"/>
    </row>
    <row r="376" spans="2:171">
      <c r="B376" s="113"/>
      <c r="C376" s="108" t="s">
        <v>522</v>
      </c>
      <c r="D376" s="108"/>
      <c r="E376" s="904" t="str">
        <f>Ratios!C19</f>
        <v>PTD</v>
      </c>
      <c r="G376" s="890">
        <f>Ratios!D19</f>
        <v>29427473</v>
      </c>
      <c r="H376" s="890">
        <f>Ratios!E19</f>
        <v>9350897.9082645196</v>
      </c>
      <c r="I376" s="890">
        <f>Ratios!F19</f>
        <v>0</v>
      </c>
      <c r="J376" s="890">
        <f>Ratios!G19</f>
        <v>20076575.091735478</v>
      </c>
      <c r="K376" s="903">
        <f t="shared" si="953"/>
        <v>1</v>
      </c>
      <c r="O376" s="890">
        <f t="shared" si="954"/>
        <v>29427473</v>
      </c>
      <c r="P376" s="890">
        <f>VLOOKUP($E376,O$442:R$453,2,FALSE)*O376*($K376)+IF($G376&lt;&gt;0,($H376/$G376)*O376,0)*(1-$K376)</f>
        <v>9350897.9082645196</v>
      </c>
      <c r="Q376" s="890">
        <f>VLOOKUP($E376,O$442:R$453,3,FALSE)*O376*($K376)+IF($G376&lt;&gt;0,($I376/$G376)*O376,0)*(1-$K376)</f>
        <v>6128490.0730446223</v>
      </c>
      <c r="R376" s="890">
        <f>VLOOKUP($E376,O$442:R$453,4,FALSE)*O376*($K376)+(O376-P376-Q376)*(1-$K376)</f>
        <v>13948085.018690856</v>
      </c>
      <c r="S376" s="903"/>
      <c r="W376" s="890">
        <f t="shared" si="958"/>
        <v>29427473</v>
      </c>
      <c r="X376" s="890">
        <f>VLOOKUP($E376,W$442:Z$453,2,FALSE)*W376*($K376)+IF($G376&lt;&gt;0,($H376/$G376)*W376,0)*(1-$K376)</f>
        <v>9350897.9082645196</v>
      </c>
      <c r="Y376" s="890">
        <f>VLOOKUP($E376,W$442:Z$453,3,FALSE)*W376*($K376)+IF($G376&lt;&gt;0,($I376/$G376)*W376,0)*(1-$K376)</f>
        <v>6128490.0730446223</v>
      </c>
      <c r="Z376" s="890">
        <f>VLOOKUP($E376,W$442:Z$453,4,FALSE)*W376*($K376)+(W376-X376-Y376)*(1-$K376)</f>
        <v>13948085.018690856</v>
      </c>
      <c r="AA376" s="903"/>
      <c r="AE376" s="890">
        <f t="shared" si="962"/>
        <v>29427473</v>
      </c>
      <c r="AF376" s="890">
        <f>VLOOKUP($E376,AE$442:AH$453,2,FALSE)*AE376*($K376)+IF($G376&lt;&gt;0,($H376/$G376)*AE376,0)*(1-$K376)</f>
        <v>9350897.9082645196</v>
      </c>
      <c r="AG376" s="890">
        <f>VLOOKUP($E376,AE$442:AH$453,3,FALSE)*AE376*($K376)+IF($G376&lt;&gt;0,($I376/$G376)*AE376,0)*(1-$K376)</f>
        <v>6128490.0730446223</v>
      </c>
      <c r="AH376" s="890">
        <f>VLOOKUP($E376,AE$442:AH$453,4,FALSE)*AE376*($K376)+(AE376-AF376-AG376)*(1-$K376)</f>
        <v>13948085.018690856</v>
      </c>
      <c r="AI376" s="903"/>
      <c r="AM376" s="890">
        <f t="shared" si="966"/>
        <v>29427473</v>
      </c>
      <c r="AN376" s="890">
        <f>VLOOKUP($E376,AM$442:AP$453,2,FALSE)*AM376*($K376)+IF($G376&lt;&gt;0,($H376/$G376)*AM376,0)*(1-$K376)</f>
        <v>9350897.9082645196</v>
      </c>
      <c r="AO376" s="890">
        <f>VLOOKUP($E376,AM$442:AP$453,3,FALSE)*AM376*($K376)+IF($G376&lt;&gt;0,($I376/$G376)*AM376,0)*(1-$K376)</f>
        <v>6128490.0730446223</v>
      </c>
      <c r="AP376" s="890">
        <f>VLOOKUP($E376,AM$442:AP$453,4,FALSE)*AM376*($K376)+(AM376-AN376-AO376)*(1-$K376)</f>
        <v>13948085.018690856</v>
      </c>
      <c r="AQ376" s="903"/>
      <c r="AU376" s="890">
        <f t="shared" si="970"/>
        <v>29427473</v>
      </c>
      <c r="AV376" s="890">
        <f>VLOOKUP($E376,AU$442:AX$453,2,FALSE)*AU376*($K376)+IF($G376&lt;&gt;0,($H376/$G376)*AU376,0)*(1-$K376)</f>
        <v>9350897.9082645196</v>
      </c>
      <c r="AW376" s="890">
        <f>VLOOKUP($E376,AU$442:AX$453,3,FALSE)*AU376*($K376)+IF($G376&lt;&gt;0,($I376/$G376)*AU376,0)*(1-$K376)</f>
        <v>6128490.0730446223</v>
      </c>
      <c r="AX376" s="890">
        <f>VLOOKUP($E376,AU$442:AX$453,4,FALSE)*AU376*($K376)+(AU376-AV376-AW376)*(1-$K376)</f>
        <v>13948085.018690856</v>
      </c>
      <c r="AY376" s="903"/>
      <c r="BC376" s="890">
        <f t="shared" si="974"/>
        <v>29427473</v>
      </c>
      <c r="BD376" s="890">
        <f>VLOOKUP($E376,BC$442:BF$453,2,FALSE)*BC376*($K376)+IF($G376&lt;&gt;0,($H376/$G376)*BC376,0)*(1-$K376)</f>
        <v>9350897.9082645196</v>
      </c>
      <c r="BE376" s="890">
        <f>VLOOKUP($E376,BC$442:BF$453,3,FALSE)*BC376*($K376)+IF($G376&lt;&gt;0,($I376/$G376)*BC376,0)*(1-$K376)</f>
        <v>6128490.0730446223</v>
      </c>
      <c r="BF376" s="890">
        <f>VLOOKUP($E376,BC$442:BF$453,4,FALSE)*BC376*($K376)+(BC376-BD376-BE376)*(1-$K376)</f>
        <v>13948085.018690856</v>
      </c>
      <c r="BG376" s="903"/>
      <c r="BK376" s="890">
        <f t="shared" si="978"/>
        <v>29427473</v>
      </c>
      <c r="BL376" s="890">
        <f>VLOOKUP($E376,BK$442:BN$453,2,FALSE)*BK376*($K376)+IF($G376&lt;&gt;0,($H376/$G376)*BK376,0)*(1-$K376)</f>
        <v>9350897.9082645196</v>
      </c>
      <c r="BM376" s="890">
        <f>VLOOKUP($E376,BK$442:BN$453,3,FALSE)*BK376*($K376)+IF($G376&lt;&gt;0,($I376/$G376)*BK376,0)*(1-$K376)</f>
        <v>6128490.0730446223</v>
      </c>
      <c r="BN376" s="890">
        <f>VLOOKUP($E376,BK$442:BN$453,4,FALSE)*BK376*($K376)+(BK376-BL376-BM376)*(1-$K376)</f>
        <v>13948085.018690856</v>
      </c>
      <c r="BO376" s="903"/>
      <c r="BS376" s="890">
        <f t="shared" si="982"/>
        <v>29427473</v>
      </c>
      <c r="BT376" s="890">
        <f>VLOOKUP($E376,BS$442:BV$453,2,FALSE)*BS376*($K376)+IF($G376&lt;&gt;0,($H376/$G376)*BS376,0)*(1-$K376)</f>
        <v>9350897.9082645196</v>
      </c>
      <c r="BU376" s="890">
        <f>VLOOKUP($E376,BS$442:BV$453,3,FALSE)*BS376*($K376)+IF($G376&lt;&gt;0,($I376/$G376)*BS376,0)*(1-$K376)</f>
        <v>6128490.0730446223</v>
      </c>
      <c r="BV376" s="890">
        <f>VLOOKUP($E376,BS$442:BV$453,4,FALSE)*BS376*($K376)+(BS376-BT376-BU376)*(1-$K376)</f>
        <v>13948085.018690856</v>
      </c>
      <c r="BW376" s="903"/>
      <c r="CA376" s="890">
        <f t="shared" si="986"/>
        <v>29427473</v>
      </c>
      <c r="CB376" s="890">
        <f>VLOOKUP($E376,CA$442:CD$453,2,FALSE)*CA376*($K376)+IF($G376&lt;&gt;0,($H376/$G376)*CA376,0)*(1-$K376)</f>
        <v>9350897.9082645196</v>
      </c>
      <c r="CC376" s="890">
        <f>VLOOKUP($E376,CA$442:CD$453,3,FALSE)*CA376*($K376)+IF($G376&lt;&gt;0,($I376/$G376)*CA376,0)*(1-$K376)</f>
        <v>6128490.0730446223</v>
      </c>
      <c r="CD376" s="890">
        <f>VLOOKUP($E376,CA$442:CD$453,4,FALSE)*CA376*($K376)+(CA376-CB376-CC376)*(1-$K376)</f>
        <v>13948085.018690856</v>
      </c>
      <c r="CE376" s="903"/>
      <c r="CI376" s="890">
        <f t="shared" si="990"/>
        <v>29427473</v>
      </c>
      <c r="CJ376" s="890">
        <f>VLOOKUP($E376,CI$442:CL$453,2,FALSE)*CI376*($K376)+IF($G376&lt;&gt;0,($H376/$G376)*CI376,0)*(1-$K376)</f>
        <v>9350897.9082645196</v>
      </c>
      <c r="CK376" s="890">
        <f>VLOOKUP($E376,CI$442:CL$453,3,FALSE)*CI376*($K376)+IF($G376&lt;&gt;0,($I376/$G376)*CI376,0)*(1-$K376)</f>
        <v>6128490.0730446223</v>
      </c>
      <c r="CL376" s="890">
        <f>VLOOKUP($E376,CI$442:CL$453,4,FALSE)*CI376*($K376)+(CI376-CJ376-CK376)*(1-$K376)</f>
        <v>13948085.018690856</v>
      </c>
      <c r="CM376" s="903"/>
      <c r="CQ376" s="890">
        <f t="shared" si="994"/>
        <v>29427473</v>
      </c>
      <c r="CR376" s="890">
        <f>VLOOKUP($E376,CQ$442:CT$453,2,FALSE)*CQ376*($K376)+IF($G376&lt;&gt;0,($H376/$G376)*CQ376,0)*(1-$K376)</f>
        <v>9350897.9082645196</v>
      </c>
      <c r="CS376" s="890">
        <f>VLOOKUP($E376,CQ$442:CT$453,3,FALSE)*CQ376*($K376)+IF($G376&lt;&gt;0,($I376/$G376)*CQ376,0)*(1-$K376)</f>
        <v>6128490.0730446223</v>
      </c>
      <c r="CT376" s="890">
        <f>VLOOKUP($E376,CQ$442:CT$453,4,FALSE)*CQ376*($K376)+(CQ376-CR376-CS376)*(1-$K376)</f>
        <v>13948085.018690856</v>
      </c>
      <c r="CU376" s="903"/>
      <c r="CY376" s="890">
        <f t="shared" si="998"/>
        <v>29427473</v>
      </c>
      <c r="CZ376" s="890">
        <f>VLOOKUP($E376,CY$442:DB$453,2,FALSE)*CY376*($K376)+IF($G376&lt;&gt;0,($H376/$G376)*CY376,0)*(1-$K376)</f>
        <v>9350897.9082645196</v>
      </c>
      <c r="DA376" s="890">
        <f>VLOOKUP($E376,CY$442:DB$453,3,FALSE)*CY376*($K376)+IF($G376&lt;&gt;0,($I376/$G376)*CY376,0)*(1-$K376)</f>
        <v>6128490.0730446223</v>
      </c>
      <c r="DB376" s="890">
        <f>VLOOKUP($E376,CY$442:DB$453,4,FALSE)*CY376*($K376)+(CY376-CZ376-DA376)*(1-$K376)</f>
        <v>13948085.018690856</v>
      </c>
      <c r="DC376" s="903"/>
      <c r="DG376" s="890">
        <f t="shared" si="1002"/>
        <v>29427473</v>
      </c>
      <c r="DH376" s="890">
        <f>VLOOKUP($E376,DG$442:DJ$453,2,FALSE)*DG376*($K376)+IF($G376&lt;&gt;0,($H376/$G376)*DG376,0)*(1-$K376)</f>
        <v>9350897.9082645196</v>
      </c>
      <c r="DI376" s="890">
        <f>VLOOKUP($E376,DG$442:DJ$453,3,FALSE)*DG376*($K376)+IF($G376&lt;&gt;0,($I376/$G376)*DG376,0)*(1-$K376)</f>
        <v>6128490.0730446223</v>
      </c>
      <c r="DJ376" s="890">
        <f>VLOOKUP($E376,DG$442:DJ$453,4,FALSE)*DG376*($K376)+(DG376-DH376-DI376)*(1-$K376)</f>
        <v>13948085.018690856</v>
      </c>
      <c r="DK376" s="903"/>
      <c r="DO376" s="890">
        <f t="shared" si="1006"/>
        <v>29427473</v>
      </c>
      <c r="DP376" s="890">
        <f>VLOOKUP($E376,DO$442:DR$453,2,FALSE)*DO376*($K376)+IF($G376&lt;&gt;0,($H376/$G376)*DO376,0)*(1-$K376)</f>
        <v>9350897.9082645196</v>
      </c>
      <c r="DQ376" s="890">
        <f>VLOOKUP($E376,DO$442:DR$453,3,FALSE)*DO376*($K376)+IF($G376&lt;&gt;0,($I376/$G376)*DO376,0)*(1-$K376)</f>
        <v>6128490.0730446223</v>
      </c>
      <c r="DR376" s="890">
        <f>VLOOKUP($E376,DO$442:DR$453,4,FALSE)*DO376*($K376)+(DO376-DP376-DQ376)*(1-$K376)</f>
        <v>13948085.018690856</v>
      </c>
      <c r="DS376" s="903"/>
      <c r="DW376" s="890">
        <f t="shared" si="1010"/>
        <v>29427473</v>
      </c>
      <c r="DX376" s="890">
        <f>VLOOKUP($E376,DW$442:DZ$453,2,FALSE)*DW376*($K376)+IF($G376&lt;&gt;0,($H376/$G376)*DW376,0)*(1-$K376)</f>
        <v>9350897.9082645196</v>
      </c>
      <c r="DY376" s="890">
        <f>VLOOKUP($E376,DW$442:DZ$453,3,FALSE)*DW376*($K376)+IF($G376&lt;&gt;0,($I376/$G376)*DW376,0)*(1-$K376)</f>
        <v>6128490.0730446223</v>
      </c>
      <c r="DZ376" s="890">
        <f>VLOOKUP($E376,DW$442:DZ$453,4,FALSE)*DW376*($K376)+(DW376-DX376-DY376)*(1-$K376)</f>
        <v>13948085.018690856</v>
      </c>
      <c r="EA376" s="903"/>
      <c r="EE376" s="890">
        <f t="shared" si="1014"/>
        <v>29427473</v>
      </c>
      <c r="EF376" s="890">
        <f>VLOOKUP($E376,EE$442:EH$453,2,FALSE)*EE376*($K376)+IF($G376&lt;&gt;0,($H376/$G376)*EE376,0)*(1-$K376)</f>
        <v>9350897.9082645196</v>
      </c>
      <c r="EG376" s="890">
        <f>VLOOKUP($E376,EE$442:EH$453,3,FALSE)*EE376*($K376)+IF($G376&lt;&gt;0,($I376/$G376)*EE376,0)*(1-$K376)</f>
        <v>6128490.0730446223</v>
      </c>
      <c r="EH376" s="890">
        <f>VLOOKUP($E376,EE$442:EH$453,4,FALSE)*EE376*($K376)+(EE376-EF376-EG376)*(1-$K376)</f>
        <v>13948085.018690856</v>
      </c>
      <c r="EI376" s="903"/>
      <c r="EM376" s="890">
        <f t="shared" si="1018"/>
        <v>29427473</v>
      </c>
      <c r="EN376" s="890">
        <f>VLOOKUP($E376,EM$442:EP$453,2,FALSE)*EM376*($K376)+IF($G376&lt;&gt;0,($H376/$G376)*EM376,0)*(1-$K376)</f>
        <v>9350897.9082645196</v>
      </c>
      <c r="EO376" s="890">
        <f>VLOOKUP($E376,EM$442:EP$453,3,FALSE)*EM376*($K376)+IF($G376&lt;&gt;0,($I376/$G376)*EM376,0)*(1-$K376)</f>
        <v>6128490.0730446223</v>
      </c>
      <c r="EP376" s="890">
        <f>VLOOKUP($E376,EM$442:EP$453,4,FALSE)*EM376*($K376)+(EM376-EN376-EO376)*(1-$K376)</f>
        <v>13948085.018690856</v>
      </c>
      <c r="EQ376" s="903"/>
      <c r="EU376" s="890">
        <f t="shared" si="1022"/>
        <v>29427473</v>
      </c>
      <c r="EV376" s="890">
        <f>VLOOKUP($E376,EU$442:EX$453,2,FALSE)*EU376*($K376)+IF($G376&lt;&gt;0,($H376/$G376)*EU376,0)*(1-$K376)</f>
        <v>9350897.9082645196</v>
      </c>
      <c r="EW376" s="890">
        <f>VLOOKUP($E376,EU$442:EX$453,3,FALSE)*EU376*($K376)+IF($G376&lt;&gt;0,($I376/$G376)*EU376,0)*(1-$K376)</f>
        <v>6128490.0730446223</v>
      </c>
      <c r="EX376" s="890">
        <f>VLOOKUP($E376,EU$442:EX$453,4,FALSE)*EU376*($K376)+(EU376-EV376-EW376)*(1-$K376)</f>
        <v>13948085.018690856</v>
      </c>
      <c r="EY376" s="903"/>
      <c r="FC376" s="890">
        <f t="shared" si="1026"/>
        <v>29427473</v>
      </c>
      <c r="FD376" s="890">
        <f>VLOOKUP($E376,FC$442:FF$453,2,FALSE)*FC376*($K376)+IF($G376&lt;&gt;0,($H376/$G376)*FC376,0)*(1-$K376)</f>
        <v>9350897.9082645196</v>
      </c>
      <c r="FE376" s="890">
        <f>VLOOKUP($E376,FC$442:FF$453,3,FALSE)*FC376*($K376)+IF($G376&lt;&gt;0,($I376/$G376)*FC376,0)*(1-$K376)</f>
        <v>6128490.0730446223</v>
      </c>
      <c r="FF376" s="890">
        <f>VLOOKUP($E376,FC$442:FF$453,4,FALSE)*FC376*($K376)+(FC376-FD376-FE376)*(1-$K376)</f>
        <v>13948085.018690856</v>
      </c>
      <c r="FG376" s="903"/>
      <c r="FK376" s="890">
        <f t="shared" si="1030"/>
        <v>29427473</v>
      </c>
      <c r="FL376" s="890">
        <f>VLOOKUP($E376,FK$442:FN$453,2,FALSE)*FK376*($K376)+IF($G376&lt;&gt;0,($H376/$G376)*FK376,0)*(1-$K376)</f>
        <v>9350897.9082645196</v>
      </c>
      <c r="FM376" s="890">
        <f>VLOOKUP($E376,FK$442:FN$453,3,FALSE)*FK376*($K376)+IF($G376&lt;&gt;0,($I376/$G376)*FK376,0)*(1-$K376)</f>
        <v>6128490.0730446223</v>
      </c>
      <c r="FN376" s="890">
        <f>VLOOKUP($E376,FK$442:FN$453,4,FALSE)*FK376*($K376)+(FK376-FL376-FM376)*(1-$K376)</f>
        <v>13948085.018690856</v>
      </c>
      <c r="FO376" s="903"/>
    </row>
    <row r="377" spans="2:171">
      <c r="K377" s="903"/>
      <c r="S377" s="903"/>
      <c r="AA377" s="903"/>
      <c r="AI377" s="903"/>
      <c r="AQ377" s="903"/>
      <c r="AY377" s="903"/>
      <c r="BG377" s="903"/>
      <c r="BO377" s="903"/>
      <c r="BW377" s="903"/>
      <c r="CE377" s="903"/>
      <c r="CM377" s="903"/>
      <c r="CU377" s="903"/>
      <c r="DC377" s="903"/>
      <c r="DK377" s="903"/>
      <c r="DS377" s="903"/>
      <c r="EA377" s="903"/>
      <c r="EI377" s="903"/>
      <c r="EQ377" s="903"/>
      <c r="EY377" s="903"/>
      <c r="FG377" s="903"/>
      <c r="FO377" s="903"/>
    </row>
    <row r="378" spans="2:171">
      <c r="C378" s="108" t="s">
        <v>527</v>
      </c>
      <c r="G378" s="1648">
        <f>SUM(G370:G377)</f>
        <v>79888247</v>
      </c>
      <c r="H378" s="1648">
        <f>SUM(H370:H377)</f>
        <v>29244741.908264518</v>
      </c>
      <c r="I378" s="1648">
        <f>SUM(I370:I377)</f>
        <v>0</v>
      </c>
      <c r="J378" s="1648">
        <f>SUM(J370:J377)</f>
        <v>50643505.091735482</v>
      </c>
      <c r="K378" s="903"/>
      <c r="O378" s="905">
        <f>SUM(O370:O377)</f>
        <v>79888247</v>
      </c>
      <c r="P378" s="905">
        <f>SUM(P370:P377)</f>
        <v>29244741.908264518</v>
      </c>
      <c r="Q378" s="905">
        <f>SUM(Q370:Q377)</f>
        <v>6128490.0730446223</v>
      </c>
      <c r="R378" s="905">
        <f>SUM(R370:R377)</f>
        <v>44515015.018690854</v>
      </c>
      <c r="S378" s="903"/>
      <c r="W378" s="905">
        <f>SUM(W370:W377)</f>
        <v>79888247</v>
      </c>
      <c r="X378" s="905">
        <f>SUM(X370:X377)</f>
        <v>29244741.908264518</v>
      </c>
      <c r="Y378" s="905">
        <f>SUM(Y370:Y377)</f>
        <v>6128490.0730446223</v>
      </c>
      <c r="Z378" s="905">
        <f>SUM(Z370:Z377)</f>
        <v>44515015.018690854</v>
      </c>
      <c r="AA378" s="903"/>
      <c r="AE378" s="905">
        <f>SUM(AE370:AE377)</f>
        <v>79888247</v>
      </c>
      <c r="AF378" s="905">
        <f>SUM(AF370:AF377)</f>
        <v>29244741.908264518</v>
      </c>
      <c r="AG378" s="905">
        <f>SUM(AG370:AG377)</f>
        <v>6128490.0730446223</v>
      </c>
      <c r="AH378" s="905">
        <f>SUM(AH370:AH377)</f>
        <v>44515015.018690854</v>
      </c>
      <c r="AI378" s="903"/>
      <c r="AM378" s="905">
        <f>SUM(AM370:AM377)</f>
        <v>79888247</v>
      </c>
      <c r="AN378" s="905">
        <f>SUM(AN370:AN377)</f>
        <v>29244741.908264518</v>
      </c>
      <c r="AO378" s="905">
        <f>SUM(AO370:AO377)</f>
        <v>6128490.0730446223</v>
      </c>
      <c r="AP378" s="905">
        <f>SUM(AP370:AP377)</f>
        <v>44515015.018690854</v>
      </c>
      <c r="AQ378" s="903"/>
      <c r="AU378" s="905">
        <f>SUM(AU370:AU377)</f>
        <v>79888247</v>
      </c>
      <c r="AV378" s="905">
        <f>SUM(AV370:AV377)</f>
        <v>29244741.908264518</v>
      </c>
      <c r="AW378" s="905">
        <f>SUM(AW370:AW377)</f>
        <v>6128490.0730446223</v>
      </c>
      <c r="AX378" s="905">
        <f>SUM(AX370:AX377)</f>
        <v>44515015.018690854</v>
      </c>
      <c r="AY378" s="903"/>
      <c r="BC378" s="905">
        <f>SUM(BC370:BC377)</f>
        <v>79888247</v>
      </c>
      <c r="BD378" s="905">
        <f>SUM(BD370:BD377)</f>
        <v>29244741.908264518</v>
      </c>
      <c r="BE378" s="905">
        <f>SUM(BE370:BE377)</f>
        <v>6128490.0730446223</v>
      </c>
      <c r="BF378" s="905">
        <f>SUM(BF370:BF377)</f>
        <v>44515015.018690854</v>
      </c>
      <c r="BG378" s="903"/>
      <c r="BK378" s="905">
        <f>SUM(BK370:BK377)</f>
        <v>79888247</v>
      </c>
      <c r="BL378" s="905">
        <f>SUM(BL370:BL377)</f>
        <v>29244741.908264518</v>
      </c>
      <c r="BM378" s="905">
        <f>SUM(BM370:BM377)</f>
        <v>6128490.0730446223</v>
      </c>
      <c r="BN378" s="905">
        <f>SUM(BN370:BN377)</f>
        <v>44515015.018690854</v>
      </c>
      <c r="BO378" s="903"/>
      <c r="BS378" s="905">
        <f>SUM(BS370:BS377)</f>
        <v>79888247</v>
      </c>
      <c r="BT378" s="905">
        <f>SUM(BT370:BT377)</f>
        <v>29244741.908264518</v>
      </c>
      <c r="BU378" s="905">
        <f>SUM(BU370:BU377)</f>
        <v>6128490.0730446223</v>
      </c>
      <c r="BV378" s="905">
        <f>SUM(BV370:BV377)</f>
        <v>44515015.018690854</v>
      </c>
      <c r="BW378" s="903"/>
      <c r="CA378" s="905">
        <f>SUM(CA370:CA377)</f>
        <v>79888247</v>
      </c>
      <c r="CB378" s="905">
        <f>SUM(CB370:CB377)</f>
        <v>29244741.908264518</v>
      </c>
      <c r="CC378" s="905">
        <f>SUM(CC370:CC377)</f>
        <v>6128490.0730446223</v>
      </c>
      <c r="CD378" s="905">
        <f>SUM(CD370:CD377)</f>
        <v>44515015.018690854</v>
      </c>
      <c r="CE378" s="903"/>
      <c r="CI378" s="905">
        <f>SUM(CI370:CI377)</f>
        <v>79888247</v>
      </c>
      <c r="CJ378" s="905">
        <f>SUM(CJ370:CJ377)</f>
        <v>29244741.908264518</v>
      </c>
      <c r="CK378" s="905">
        <f>SUM(CK370:CK377)</f>
        <v>6128490.0730446223</v>
      </c>
      <c r="CL378" s="905">
        <f>SUM(CL370:CL377)</f>
        <v>44515015.018690854</v>
      </c>
      <c r="CM378" s="903"/>
      <c r="CQ378" s="905">
        <f>SUM(CQ370:CQ377)</f>
        <v>79888247</v>
      </c>
      <c r="CR378" s="905">
        <f>SUM(CR370:CR377)</f>
        <v>29244741.908264518</v>
      </c>
      <c r="CS378" s="905">
        <f>SUM(CS370:CS377)</f>
        <v>6128490.0730446223</v>
      </c>
      <c r="CT378" s="905">
        <f>SUM(CT370:CT377)</f>
        <v>44515015.018690854</v>
      </c>
      <c r="CU378" s="903"/>
      <c r="CY378" s="905">
        <f>SUM(CY370:CY377)</f>
        <v>79888247</v>
      </c>
      <c r="CZ378" s="905">
        <f>SUM(CZ370:CZ377)</f>
        <v>29244741.908264518</v>
      </c>
      <c r="DA378" s="905">
        <f>SUM(DA370:DA377)</f>
        <v>6128490.0730446223</v>
      </c>
      <c r="DB378" s="905">
        <f>SUM(DB370:DB377)</f>
        <v>44515015.018690854</v>
      </c>
      <c r="DC378" s="903"/>
      <c r="DG378" s="905">
        <f>SUM(DG370:DG377)</f>
        <v>79888247</v>
      </c>
      <c r="DH378" s="905">
        <f>SUM(DH370:DH377)</f>
        <v>29244741.908264518</v>
      </c>
      <c r="DI378" s="905">
        <f>SUM(DI370:DI377)</f>
        <v>6128490.0730446223</v>
      </c>
      <c r="DJ378" s="905">
        <f>SUM(DJ370:DJ377)</f>
        <v>44515015.018690854</v>
      </c>
      <c r="DK378" s="903"/>
      <c r="DO378" s="905">
        <f>SUM(DO370:DO377)</f>
        <v>79888247</v>
      </c>
      <c r="DP378" s="905">
        <f>SUM(DP370:DP377)</f>
        <v>29244741.908264518</v>
      </c>
      <c r="DQ378" s="905">
        <f>SUM(DQ370:DQ377)</f>
        <v>6128490.0730446223</v>
      </c>
      <c r="DR378" s="905">
        <f>SUM(DR370:DR377)</f>
        <v>44515015.018690854</v>
      </c>
      <c r="DS378" s="903"/>
      <c r="DW378" s="905">
        <f>SUM(DW370:DW377)</f>
        <v>79888247</v>
      </c>
      <c r="DX378" s="905">
        <f>SUM(DX370:DX377)</f>
        <v>29244741.908264518</v>
      </c>
      <c r="DY378" s="905">
        <f>SUM(DY370:DY377)</f>
        <v>6128490.0730446223</v>
      </c>
      <c r="DZ378" s="905">
        <f>SUM(DZ370:DZ377)</f>
        <v>44515015.018690854</v>
      </c>
      <c r="EA378" s="903"/>
      <c r="EE378" s="905">
        <f>SUM(EE370:EE377)</f>
        <v>79888247</v>
      </c>
      <c r="EF378" s="905">
        <f>SUM(EF370:EF377)</f>
        <v>29244741.908264518</v>
      </c>
      <c r="EG378" s="905">
        <f>SUM(EG370:EG377)</f>
        <v>6128490.0730446223</v>
      </c>
      <c r="EH378" s="905">
        <f>SUM(EH370:EH377)</f>
        <v>44515015.018690854</v>
      </c>
      <c r="EI378" s="903"/>
      <c r="EM378" s="905">
        <f>SUM(EM370:EM377)</f>
        <v>79888247</v>
      </c>
      <c r="EN378" s="905">
        <f>SUM(EN370:EN377)</f>
        <v>29244741.908264518</v>
      </c>
      <c r="EO378" s="905">
        <f>SUM(EO370:EO377)</f>
        <v>6128490.0730446223</v>
      </c>
      <c r="EP378" s="905">
        <f>SUM(EP370:EP377)</f>
        <v>44515015.018690854</v>
      </c>
      <c r="EQ378" s="903"/>
      <c r="EU378" s="905">
        <f>SUM(EU370:EU377)</f>
        <v>79888247</v>
      </c>
      <c r="EV378" s="905">
        <f>SUM(EV370:EV377)</f>
        <v>29244741.908264518</v>
      </c>
      <c r="EW378" s="905">
        <f>SUM(EW370:EW377)</f>
        <v>6128490.0730446223</v>
      </c>
      <c r="EX378" s="905">
        <f>SUM(EX370:EX377)</f>
        <v>44515015.018690854</v>
      </c>
      <c r="EY378" s="903"/>
      <c r="FC378" s="905">
        <f>SUM(FC370:FC377)</f>
        <v>79888247</v>
      </c>
      <c r="FD378" s="905">
        <f>SUM(FD370:FD377)</f>
        <v>29244741.908264518</v>
      </c>
      <c r="FE378" s="905">
        <f>SUM(FE370:FE377)</f>
        <v>6128490.0730446223</v>
      </c>
      <c r="FF378" s="905">
        <f>SUM(FF370:FF377)</f>
        <v>44515015.018690854</v>
      </c>
      <c r="FG378" s="903"/>
      <c r="FK378" s="905">
        <f>SUM(FK370:FK377)</f>
        <v>79888247</v>
      </c>
      <c r="FL378" s="905">
        <f>SUM(FL370:FL377)</f>
        <v>29244741.908264518</v>
      </c>
      <c r="FM378" s="905">
        <f>SUM(FM370:FM377)</f>
        <v>6128490.0730446223</v>
      </c>
      <c r="FN378" s="905">
        <f>SUM(FN370:FN377)</f>
        <v>44515015.018690854</v>
      </c>
      <c r="FO378" s="903"/>
    </row>
    <row r="379" spans="2:171">
      <c r="D379" s="1299" t="s">
        <v>643</v>
      </c>
      <c r="E379" s="1295"/>
      <c r="G379" s="1649">
        <f>SUM(H379:J379)</f>
        <v>1</v>
      </c>
      <c r="H379" s="1649">
        <f>H378/$G378</f>
        <v>0.36607064250971133</v>
      </c>
      <c r="I379" s="1649">
        <f>I378/$G378</f>
        <v>0</v>
      </c>
      <c r="J379" s="1649">
        <f>J378/$G378</f>
        <v>0.63392935749028867</v>
      </c>
      <c r="K379" s="903"/>
      <c r="L379" s="1074" t="s">
        <v>643</v>
      </c>
      <c r="O379" s="1077">
        <f>SUM(P379:R379)</f>
        <v>1</v>
      </c>
      <c r="P379" s="1077">
        <f>P378/$G378</f>
        <v>0.36607064250971133</v>
      </c>
      <c r="Q379" s="1077">
        <f>Q378/$G378</f>
        <v>7.6713287663511029E-2</v>
      </c>
      <c r="R379" s="1077">
        <f>R378/$G378</f>
        <v>0.55721606982677763</v>
      </c>
      <c r="S379" s="903"/>
      <c r="T379" s="1074" t="s">
        <v>643</v>
      </c>
      <c r="W379" s="1077">
        <f>SUM(X379:Z379)</f>
        <v>1</v>
      </c>
      <c r="X379" s="1077">
        <f>X378/$G378</f>
        <v>0.36607064250971133</v>
      </c>
      <c r="Y379" s="1077">
        <f>Y378/$G378</f>
        <v>7.6713287663511029E-2</v>
      </c>
      <c r="Z379" s="1077">
        <f>Z378/$G378</f>
        <v>0.55721606982677763</v>
      </c>
      <c r="AA379" s="903"/>
      <c r="AB379" s="1074" t="s">
        <v>643</v>
      </c>
      <c r="AE379" s="1077">
        <f>SUM(AF379:AH379)</f>
        <v>1</v>
      </c>
      <c r="AF379" s="1077">
        <f>AF378/$G378</f>
        <v>0.36607064250971133</v>
      </c>
      <c r="AG379" s="1077">
        <f>AG378/$G378</f>
        <v>7.6713287663511029E-2</v>
      </c>
      <c r="AH379" s="1077">
        <f>AH378/$G378</f>
        <v>0.55721606982677763</v>
      </c>
      <c r="AI379" s="903"/>
      <c r="AJ379" s="1074" t="s">
        <v>643</v>
      </c>
      <c r="AM379" s="1077">
        <f>SUM(AN379:AP379)</f>
        <v>1</v>
      </c>
      <c r="AN379" s="1077">
        <f>AN378/$G378</f>
        <v>0.36607064250971133</v>
      </c>
      <c r="AO379" s="1077">
        <f>AO378/$G378</f>
        <v>7.6713287663511029E-2</v>
      </c>
      <c r="AP379" s="1077">
        <f>AP378/$G378</f>
        <v>0.55721606982677763</v>
      </c>
      <c r="AQ379" s="903"/>
      <c r="AR379" s="1074" t="s">
        <v>643</v>
      </c>
      <c r="AU379" s="1077">
        <f>SUM(AV379:AX379)</f>
        <v>1</v>
      </c>
      <c r="AV379" s="1077">
        <f>AV378/$G378</f>
        <v>0.36607064250971133</v>
      </c>
      <c r="AW379" s="1077">
        <f>AW378/$G378</f>
        <v>7.6713287663511029E-2</v>
      </c>
      <c r="AX379" s="1077">
        <f>AX378/$G378</f>
        <v>0.55721606982677763</v>
      </c>
      <c r="AY379" s="903"/>
      <c r="AZ379" s="1074" t="s">
        <v>643</v>
      </c>
      <c r="BC379" s="1077">
        <f>SUM(BD379:BF379)</f>
        <v>1</v>
      </c>
      <c r="BD379" s="1077">
        <f>BD378/$G378</f>
        <v>0.36607064250971133</v>
      </c>
      <c r="BE379" s="1077">
        <f>BE378/$G378</f>
        <v>7.6713287663511029E-2</v>
      </c>
      <c r="BF379" s="1077">
        <f>BF378/$G378</f>
        <v>0.55721606982677763</v>
      </c>
      <c r="BG379" s="903"/>
      <c r="BH379" s="1074" t="s">
        <v>643</v>
      </c>
      <c r="BK379" s="1077">
        <f>SUM(BL379:BN379)</f>
        <v>1</v>
      </c>
      <c r="BL379" s="1077">
        <f>BL378/$G378</f>
        <v>0.36607064250971133</v>
      </c>
      <c r="BM379" s="1077">
        <f>BM378/$G378</f>
        <v>7.6713287663511029E-2</v>
      </c>
      <c r="BN379" s="1077">
        <f>BN378/$G378</f>
        <v>0.55721606982677763</v>
      </c>
      <c r="BO379" s="903"/>
      <c r="BP379" s="1074" t="s">
        <v>643</v>
      </c>
      <c r="BS379" s="1077">
        <f>SUM(BT379:BV379)</f>
        <v>1</v>
      </c>
      <c r="BT379" s="1077">
        <f>BT378/$G378</f>
        <v>0.36607064250971133</v>
      </c>
      <c r="BU379" s="1077">
        <f>BU378/$G378</f>
        <v>7.6713287663511029E-2</v>
      </c>
      <c r="BV379" s="1077">
        <f>BV378/$G378</f>
        <v>0.55721606982677763</v>
      </c>
      <c r="BW379" s="903"/>
      <c r="BX379" s="1074" t="s">
        <v>643</v>
      </c>
      <c r="CA379" s="1077">
        <f>SUM(CB379:CD379)</f>
        <v>1</v>
      </c>
      <c r="CB379" s="1077">
        <f>CB378/$G378</f>
        <v>0.36607064250971133</v>
      </c>
      <c r="CC379" s="1077">
        <f>CC378/$G378</f>
        <v>7.6713287663511029E-2</v>
      </c>
      <c r="CD379" s="1077">
        <f>CD378/$G378</f>
        <v>0.55721606982677763</v>
      </c>
      <c r="CE379" s="903"/>
      <c r="CF379" s="1074" t="s">
        <v>643</v>
      </c>
      <c r="CI379" s="1077">
        <f>SUM(CJ379:CL379)</f>
        <v>1</v>
      </c>
      <c r="CJ379" s="1077">
        <f>CJ378/$G378</f>
        <v>0.36607064250971133</v>
      </c>
      <c r="CK379" s="1077">
        <f>CK378/$G378</f>
        <v>7.6713287663511029E-2</v>
      </c>
      <c r="CL379" s="1077">
        <f>CL378/$G378</f>
        <v>0.55721606982677763</v>
      </c>
      <c r="CM379" s="903"/>
      <c r="CN379" s="1074" t="s">
        <v>643</v>
      </c>
      <c r="CQ379" s="1077">
        <f>SUM(CR379:CT379)</f>
        <v>1</v>
      </c>
      <c r="CR379" s="1077">
        <f>CR378/$G378</f>
        <v>0.36607064250971133</v>
      </c>
      <c r="CS379" s="1077">
        <f>CS378/$G378</f>
        <v>7.6713287663511029E-2</v>
      </c>
      <c r="CT379" s="1077">
        <f>CT378/$G378</f>
        <v>0.55721606982677763</v>
      </c>
      <c r="CU379" s="903"/>
      <c r="CV379" s="1074" t="s">
        <v>643</v>
      </c>
      <c r="CY379" s="1077">
        <f>SUM(CZ379:DB379)</f>
        <v>1</v>
      </c>
      <c r="CZ379" s="1077">
        <f>CZ378/$G378</f>
        <v>0.36607064250971133</v>
      </c>
      <c r="DA379" s="1077">
        <f>DA378/$G378</f>
        <v>7.6713287663511029E-2</v>
      </c>
      <c r="DB379" s="1077">
        <f>DB378/$G378</f>
        <v>0.55721606982677763</v>
      </c>
      <c r="DC379" s="903"/>
      <c r="DD379" s="1074" t="s">
        <v>643</v>
      </c>
      <c r="DG379" s="1077">
        <f>SUM(DH379:DJ379)</f>
        <v>1</v>
      </c>
      <c r="DH379" s="1077">
        <f>DH378/$G378</f>
        <v>0.36607064250971133</v>
      </c>
      <c r="DI379" s="1077">
        <f>DI378/$G378</f>
        <v>7.6713287663511029E-2</v>
      </c>
      <c r="DJ379" s="1077">
        <f>DJ378/$G378</f>
        <v>0.55721606982677763</v>
      </c>
      <c r="DK379" s="903"/>
      <c r="DL379" s="1074" t="s">
        <v>643</v>
      </c>
      <c r="DO379" s="1077">
        <f>SUM(DP379:DR379)</f>
        <v>1</v>
      </c>
      <c r="DP379" s="1077">
        <f>DP378/$G378</f>
        <v>0.36607064250971133</v>
      </c>
      <c r="DQ379" s="1077">
        <f>DQ378/$G378</f>
        <v>7.6713287663511029E-2</v>
      </c>
      <c r="DR379" s="1077">
        <f>DR378/$G378</f>
        <v>0.55721606982677763</v>
      </c>
      <c r="DS379" s="903"/>
      <c r="DT379" s="1074" t="s">
        <v>643</v>
      </c>
      <c r="DW379" s="1077">
        <f>SUM(DX379:DZ379)</f>
        <v>1</v>
      </c>
      <c r="DX379" s="1077">
        <f>DX378/$G378</f>
        <v>0.36607064250971133</v>
      </c>
      <c r="DY379" s="1077">
        <f>DY378/$G378</f>
        <v>7.6713287663511029E-2</v>
      </c>
      <c r="DZ379" s="1077">
        <f>DZ378/$G378</f>
        <v>0.55721606982677763</v>
      </c>
      <c r="EA379" s="903"/>
      <c r="EB379" s="1074" t="s">
        <v>643</v>
      </c>
      <c r="EE379" s="1077">
        <f>SUM(EF379:EH379)</f>
        <v>1</v>
      </c>
      <c r="EF379" s="1077">
        <f>EF378/$G378</f>
        <v>0.36607064250971133</v>
      </c>
      <c r="EG379" s="1077">
        <f>EG378/$G378</f>
        <v>7.6713287663511029E-2</v>
      </c>
      <c r="EH379" s="1077">
        <f>EH378/$G378</f>
        <v>0.55721606982677763</v>
      </c>
      <c r="EI379" s="903"/>
      <c r="EJ379" s="1074" t="s">
        <v>643</v>
      </c>
      <c r="EM379" s="1077">
        <f>SUM(EN379:EP379)</f>
        <v>1</v>
      </c>
      <c r="EN379" s="1077">
        <f>EN378/$G378</f>
        <v>0.36607064250971133</v>
      </c>
      <c r="EO379" s="1077">
        <f>EO378/$G378</f>
        <v>7.6713287663511029E-2</v>
      </c>
      <c r="EP379" s="1077">
        <f>EP378/$G378</f>
        <v>0.55721606982677763</v>
      </c>
      <c r="EQ379" s="903"/>
      <c r="ER379" s="1074" t="s">
        <v>643</v>
      </c>
      <c r="EU379" s="1077">
        <f>SUM(EV379:EX379)</f>
        <v>1</v>
      </c>
      <c r="EV379" s="1077">
        <f>EV378/$G378</f>
        <v>0.36607064250971133</v>
      </c>
      <c r="EW379" s="1077">
        <f>EW378/$G378</f>
        <v>7.6713287663511029E-2</v>
      </c>
      <c r="EX379" s="1077">
        <f>EX378/$G378</f>
        <v>0.55721606982677763</v>
      </c>
      <c r="EY379" s="903"/>
      <c r="EZ379" s="1074" t="s">
        <v>643</v>
      </c>
      <c r="FC379" s="1077">
        <f>SUM(FD379:FF379)</f>
        <v>1</v>
      </c>
      <c r="FD379" s="1077">
        <f>FD378/$G378</f>
        <v>0.36607064250971133</v>
      </c>
      <c r="FE379" s="1077">
        <f>FE378/$G378</f>
        <v>7.6713287663511029E-2</v>
      </c>
      <c r="FF379" s="1077">
        <f>FF378/$G378</f>
        <v>0.55721606982677763</v>
      </c>
      <c r="FG379" s="903"/>
      <c r="FH379" s="1074" t="s">
        <v>643</v>
      </c>
      <c r="FK379" s="1077">
        <f>SUM(FL379:FN379)</f>
        <v>1</v>
      </c>
      <c r="FL379" s="1077">
        <f>FL378/$G378</f>
        <v>0.36607064250971133</v>
      </c>
      <c r="FM379" s="1077">
        <f>FM378/$G378</f>
        <v>7.6713287663511029E-2</v>
      </c>
      <c r="FN379" s="1077">
        <f>FN378/$G378</f>
        <v>0.55721606982677763</v>
      </c>
      <c r="FO379" s="903"/>
    </row>
    <row r="380" spans="2:171">
      <c r="K380" s="903"/>
      <c r="S380" s="903"/>
      <c r="AA380" s="903"/>
      <c r="AI380" s="903"/>
      <c r="AQ380" s="903"/>
      <c r="AY380" s="903"/>
      <c r="BG380" s="903"/>
      <c r="BO380" s="903"/>
      <c r="BW380" s="903"/>
      <c r="CE380" s="903"/>
      <c r="CM380" s="903"/>
      <c r="CU380" s="903"/>
      <c r="DC380" s="903"/>
      <c r="DK380" s="903"/>
      <c r="DS380" s="903"/>
      <c r="EA380" s="903"/>
      <c r="EI380" s="903"/>
      <c r="EQ380" s="903"/>
      <c r="EY380" s="903"/>
      <c r="FG380" s="903"/>
      <c r="FO380" s="903"/>
    </row>
    <row r="381" spans="2:171">
      <c r="E381" s="302" t="s">
        <v>525</v>
      </c>
      <c r="G381" s="303" t="s">
        <v>104</v>
      </c>
      <c r="H381" s="303" t="s">
        <v>105</v>
      </c>
      <c r="I381" s="303" t="s">
        <v>106</v>
      </c>
      <c r="J381" s="304" t="s">
        <v>516</v>
      </c>
      <c r="K381" s="903"/>
      <c r="O381" s="303" t="s">
        <v>104</v>
      </c>
      <c r="P381" s="303" t="s">
        <v>105</v>
      </c>
      <c r="Q381" s="303" t="s">
        <v>106</v>
      </c>
      <c r="R381" s="304" t="s">
        <v>516</v>
      </c>
      <c r="S381" s="903"/>
      <c r="W381" s="303" t="s">
        <v>104</v>
      </c>
      <c r="X381" s="303" t="s">
        <v>105</v>
      </c>
      <c r="Y381" s="303" t="s">
        <v>106</v>
      </c>
      <c r="Z381" s="304" t="s">
        <v>516</v>
      </c>
      <c r="AA381" s="903"/>
      <c r="AE381" s="303" t="s">
        <v>104</v>
      </c>
      <c r="AF381" s="303" t="s">
        <v>105</v>
      </c>
      <c r="AG381" s="303" t="s">
        <v>106</v>
      </c>
      <c r="AH381" s="304" t="s">
        <v>516</v>
      </c>
      <c r="AI381" s="903"/>
      <c r="AM381" s="303" t="s">
        <v>104</v>
      </c>
      <c r="AN381" s="303" t="s">
        <v>105</v>
      </c>
      <c r="AO381" s="303" t="s">
        <v>106</v>
      </c>
      <c r="AP381" s="304" t="s">
        <v>516</v>
      </c>
      <c r="AQ381" s="903"/>
      <c r="AU381" s="303" t="s">
        <v>104</v>
      </c>
      <c r="AV381" s="303" t="s">
        <v>105</v>
      </c>
      <c r="AW381" s="303" t="s">
        <v>106</v>
      </c>
      <c r="AX381" s="304" t="s">
        <v>516</v>
      </c>
      <c r="AY381" s="903"/>
      <c r="BC381" s="303" t="s">
        <v>104</v>
      </c>
      <c r="BD381" s="303" t="s">
        <v>105</v>
      </c>
      <c r="BE381" s="303" t="s">
        <v>106</v>
      </c>
      <c r="BF381" s="304" t="s">
        <v>516</v>
      </c>
      <c r="BG381" s="903"/>
      <c r="BK381" s="303" t="s">
        <v>104</v>
      </c>
      <c r="BL381" s="303" t="s">
        <v>105</v>
      </c>
      <c r="BM381" s="303" t="s">
        <v>106</v>
      </c>
      <c r="BN381" s="304" t="s">
        <v>516</v>
      </c>
      <c r="BO381" s="903"/>
      <c r="BS381" s="303" t="s">
        <v>104</v>
      </c>
      <c r="BT381" s="303" t="s">
        <v>105</v>
      </c>
      <c r="BU381" s="303" t="s">
        <v>106</v>
      </c>
      <c r="BV381" s="304" t="s">
        <v>516</v>
      </c>
      <c r="BW381" s="903"/>
      <c r="CA381" s="303" t="s">
        <v>104</v>
      </c>
      <c r="CB381" s="303" t="s">
        <v>105</v>
      </c>
      <c r="CC381" s="303" t="s">
        <v>106</v>
      </c>
      <c r="CD381" s="304" t="s">
        <v>516</v>
      </c>
      <c r="CE381" s="903"/>
      <c r="CI381" s="303" t="s">
        <v>104</v>
      </c>
      <c r="CJ381" s="303" t="s">
        <v>105</v>
      </c>
      <c r="CK381" s="303" t="s">
        <v>106</v>
      </c>
      <c r="CL381" s="304" t="s">
        <v>516</v>
      </c>
      <c r="CM381" s="903"/>
      <c r="CQ381" s="303" t="s">
        <v>104</v>
      </c>
      <c r="CR381" s="303" t="s">
        <v>105</v>
      </c>
      <c r="CS381" s="303" t="s">
        <v>106</v>
      </c>
      <c r="CT381" s="304" t="s">
        <v>516</v>
      </c>
      <c r="CU381" s="903"/>
      <c r="CY381" s="303" t="s">
        <v>104</v>
      </c>
      <c r="CZ381" s="303" t="s">
        <v>105</v>
      </c>
      <c r="DA381" s="303" t="s">
        <v>106</v>
      </c>
      <c r="DB381" s="304" t="s">
        <v>516</v>
      </c>
      <c r="DC381" s="903"/>
      <c r="DG381" s="303" t="s">
        <v>104</v>
      </c>
      <c r="DH381" s="303" t="s">
        <v>105</v>
      </c>
      <c r="DI381" s="303" t="s">
        <v>106</v>
      </c>
      <c r="DJ381" s="304" t="s">
        <v>516</v>
      </c>
      <c r="DK381" s="903"/>
      <c r="DO381" s="303" t="s">
        <v>104</v>
      </c>
      <c r="DP381" s="303" t="s">
        <v>105</v>
      </c>
      <c r="DQ381" s="303" t="s">
        <v>106</v>
      </c>
      <c r="DR381" s="304" t="s">
        <v>516</v>
      </c>
      <c r="DS381" s="903"/>
      <c r="DW381" s="303" t="s">
        <v>104</v>
      </c>
      <c r="DX381" s="303" t="s">
        <v>105</v>
      </c>
      <c r="DY381" s="303" t="s">
        <v>106</v>
      </c>
      <c r="DZ381" s="304" t="s">
        <v>516</v>
      </c>
      <c r="EA381" s="903"/>
      <c r="EE381" s="303" t="s">
        <v>104</v>
      </c>
      <c r="EF381" s="303" t="s">
        <v>105</v>
      </c>
      <c r="EG381" s="303" t="s">
        <v>106</v>
      </c>
      <c r="EH381" s="304" t="s">
        <v>516</v>
      </c>
      <c r="EI381" s="903"/>
      <c r="EM381" s="303" t="s">
        <v>104</v>
      </c>
      <c r="EN381" s="303" t="s">
        <v>105</v>
      </c>
      <c r="EO381" s="303" t="s">
        <v>106</v>
      </c>
      <c r="EP381" s="304" t="s">
        <v>516</v>
      </c>
      <c r="EQ381" s="903"/>
      <c r="EU381" s="303" t="s">
        <v>104</v>
      </c>
      <c r="EV381" s="303" t="s">
        <v>105</v>
      </c>
      <c r="EW381" s="303" t="s">
        <v>106</v>
      </c>
      <c r="EX381" s="304" t="s">
        <v>516</v>
      </c>
      <c r="EY381" s="903"/>
      <c r="FC381" s="303" t="s">
        <v>104</v>
      </c>
      <c r="FD381" s="303" t="s">
        <v>105</v>
      </c>
      <c r="FE381" s="303" t="s">
        <v>106</v>
      </c>
      <c r="FF381" s="304" t="s">
        <v>516</v>
      </c>
      <c r="FG381" s="903"/>
      <c r="FK381" s="303" t="s">
        <v>104</v>
      </c>
      <c r="FL381" s="303" t="s">
        <v>105</v>
      </c>
      <c r="FM381" s="303" t="s">
        <v>106</v>
      </c>
      <c r="FN381" s="304" t="s">
        <v>516</v>
      </c>
      <c r="FO381" s="903"/>
    </row>
    <row r="382" spans="2:171">
      <c r="B382" s="108"/>
      <c r="C382" s="108" t="s">
        <v>125</v>
      </c>
      <c r="D382" s="1071"/>
      <c r="E382" s="904" t="str">
        <f t="shared" ref="E382:E393" si="1034">E37</f>
        <v>PTD</v>
      </c>
      <c r="G382" s="890">
        <f t="shared" ref="G382:J393" si="1035">G37</f>
        <v>1083006</v>
      </c>
      <c r="H382" s="890">
        <f t="shared" si="1035"/>
        <v>344136.87305185618</v>
      </c>
      <c r="I382" s="890">
        <f t="shared" si="1035"/>
        <v>0</v>
      </c>
      <c r="J382" s="890">
        <f t="shared" si="1035"/>
        <v>738869.1269481437</v>
      </c>
      <c r="K382" s="903">
        <f t="shared" ref="K382:K393" si="1036">IF($E382="DIRECT",0,1)</f>
        <v>1</v>
      </c>
      <c r="L382" s="1071"/>
      <c r="N382" s="1072"/>
      <c r="O382" s="890">
        <f t="shared" ref="O382:R393" si="1037">O37</f>
        <v>1083006</v>
      </c>
      <c r="P382" s="890">
        <f t="shared" si="1037"/>
        <v>344136.87305185618</v>
      </c>
      <c r="Q382" s="890">
        <f t="shared" si="1037"/>
        <v>225544.05266288968</v>
      </c>
      <c r="R382" s="890">
        <f t="shared" si="1037"/>
        <v>513325.07428525412</v>
      </c>
      <c r="S382" s="1073"/>
      <c r="T382" s="1071"/>
      <c r="V382" s="1072"/>
      <c r="W382" s="890">
        <f t="shared" ref="W382:Z393" si="1038">W37</f>
        <v>1083006</v>
      </c>
      <c r="X382" s="890">
        <f t="shared" si="1038"/>
        <v>344136.87305185618</v>
      </c>
      <c r="Y382" s="890">
        <f t="shared" si="1038"/>
        <v>225544.05266288968</v>
      </c>
      <c r="Z382" s="890">
        <f t="shared" si="1038"/>
        <v>513325.07428525412</v>
      </c>
      <c r="AA382" s="1073"/>
      <c r="AB382" s="1071"/>
      <c r="AD382" s="1072"/>
      <c r="AE382" s="890">
        <f t="shared" ref="AE382:AH393" si="1039">AE37</f>
        <v>1083006</v>
      </c>
      <c r="AF382" s="890">
        <f t="shared" si="1039"/>
        <v>344136.87305185618</v>
      </c>
      <c r="AG382" s="890">
        <f t="shared" si="1039"/>
        <v>225544.05266288968</v>
      </c>
      <c r="AH382" s="890">
        <f t="shared" si="1039"/>
        <v>513325.07428525412</v>
      </c>
      <c r="AI382" s="1073"/>
      <c r="AJ382" s="1071"/>
      <c r="AL382" s="1072"/>
      <c r="AM382" s="890">
        <f t="shared" ref="AM382:AP393" si="1040">AM37</f>
        <v>1083006</v>
      </c>
      <c r="AN382" s="890">
        <f t="shared" si="1040"/>
        <v>344136.87305185618</v>
      </c>
      <c r="AO382" s="890">
        <f t="shared" si="1040"/>
        <v>225544.05266288968</v>
      </c>
      <c r="AP382" s="890">
        <f t="shared" si="1040"/>
        <v>513325.07428525412</v>
      </c>
      <c r="AQ382" s="1073"/>
      <c r="AR382" s="1071"/>
      <c r="AT382" s="1072"/>
      <c r="AU382" s="890">
        <f t="shared" ref="AU382:AX393" si="1041">AU37</f>
        <v>1083006</v>
      </c>
      <c r="AV382" s="890">
        <f t="shared" si="1041"/>
        <v>344136.87305185618</v>
      </c>
      <c r="AW382" s="890">
        <f t="shared" si="1041"/>
        <v>225544.05266288968</v>
      </c>
      <c r="AX382" s="890">
        <f t="shared" si="1041"/>
        <v>513325.07428525412</v>
      </c>
      <c r="AY382" s="1073"/>
      <c r="AZ382" s="1071"/>
      <c r="BB382" s="1072"/>
      <c r="BC382" s="890">
        <f t="shared" ref="BC382:BF393" si="1042">BC37</f>
        <v>1083006</v>
      </c>
      <c r="BD382" s="890">
        <f t="shared" si="1042"/>
        <v>344136.87305185618</v>
      </c>
      <c r="BE382" s="890">
        <f t="shared" si="1042"/>
        <v>225544.05266288968</v>
      </c>
      <c r="BF382" s="890">
        <f t="shared" si="1042"/>
        <v>513325.07428525412</v>
      </c>
      <c r="BG382" s="1073"/>
      <c r="BH382" s="1071"/>
      <c r="BJ382" s="1072"/>
      <c r="BK382" s="890">
        <f t="shared" ref="BK382:BN393" si="1043">BK37</f>
        <v>1083006</v>
      </c>
      <c r="BL382" s="890">
        <f t="shared" si="1043"/>
        <v>344136.87305185618</v>
      </c>
      <c r="BM382" s="890">
        <f t="shared" si="1043"/>
        <v>225544.05266288968</v>
      </c>
      <c r="BN382" s="890">
        <f t="shared" si="1043"/>
        <v>513325.07428525412</v>
      </c>
      <c r="BO382" s="1073"/>
      <c r="BP382" s="1071"/>
      <c r="BR382" s="1072"/>
      <c r="BS382" s="890">
        <f t="shared" ref="BS382:BV393" si="1044">BS37</f>
        <v>1083006</v>
      </c>
      <c r="BT382" s="890">
        <f t="shared" si="1044"/>
        <v>344136.87305185618</v>
      </c>
      <c r="BU382" s="890">
        <f t="shared" si="1044"/>
        <v>225544.05266288968</v>
      </c>
      <c r="BV382" s="890">
        <f t="shared" si="1044"/>
        <v>513325.07428525412</v>
      </c>
      <c r="BW382" s="1073"/>
      <c r="BX382" s="1071"/>
      <c r="BZ382" s="1072"/>
      <c r="CA382" s="890">
        <f t="shared" ref="CA382:CD393" si="1045">CA37</f>
        <v>1083006</v>
      </c>
      <c r="CB382" s="890">
        <f t="shared" si="1045"/>
        <v>344136.87305185618</v>
      </c>
      <c r="CC382" s="890">
        <f t="shared" si="1045"/>
        <v>225544.05266288968</v>
      </c>
      <c r="CD382" s="890">
        <f t="shared" si="1045"/>
        <v>513325.07428525412</v>
      </c>
      <c r="CE382" s="1073"/>
      <c r="CF382" s="1071"/>
      <c r="CH382" s="1072"/>
      <c r="CI382" s="890">
        <f t="shared" ref="CI382:CL393" si="1046">CI37</f>
        <v>1083006</v>
      </c>
      <c r="CJ382" s="890">
        <f t="shared" si="1046"/>
        <v>344136.87305185618</v>
      </c>
      <c r="CK382" s="890">
        <f t="shared" si="1046"/>
        <v>225544.05266288968</v>
      </c>
      <c r="CL382" s="890">
        <f t="shared" si="1046"/>
        <v>513325.07428525412</v>
      </c>
      <c r="CM382" s="1073"/>
      <c r="CN382" s="1071"/>
      <c r="CP382" s="1072"/>
      <c r="CQ382" s="890">
        <f t="shared" ref="CQ382:CT393" si="1047">CQ37</f>
        <v>1083006</v>
      </c>
      <c r="CR382" s="890">
        <f t="shared" si="1047"/>
        <v>344136.87305185618</v>
      </c>
      <c r="CS382" s="890">
        <f t="shared" si="1047"/>
        <v>225544.05266288968</v>
      </c>
      <c r="CT382" s="890">
        <f t="shared" si="1047"/>
        <v>513325.07428525412</v>
      </c>
      <c r="CU382" s="1073"/>
      <c r="CV382" s="1071"/>
      <c r="CX382" s="1072"/>
      <c r="CY382" s="890">
        <f t="shared" ref="CY382:DB393" si="1048">CY37</f>
        <v>1083006</v>
      </c>
      <c r="CZ382" s="890">
        <f t="shared" si="1048"/>
        <v>344136.87305185618</v>
      </c>
      <c r="DA382" s="890">
        <f t="shared" si="1048"/>
        <v>225544.05266288968</v>
      </c>
      <c r="DB382" s="890">
        <f t="shared" si="1048"/>
        <v>513325.07428525412</v>
      </c>
      <c r="DC382" s="1073"/>
      <c r="DD382" s="1071"/>
      <c r="DF382" s="1072"/>
      <c r="DG382" s="890">
        <f t="shared" ref="DG382:DJ393" si="1049">DG37</f>
        <v>1083006</v>
      </c>
      <c r="DH382" s="890">
        <f t="shared" si="1049"/>
        <v>344136.87305185618</v>
      </c>
      <c r="DI382" s="890">
        <f t="shared" si="1049"/>
        <v>225544.05266288968</v>
      </c>
      <c r="DJ382" s="890">
        <f t="shared" si="1049"/>
        <v>513325.07428525412</v>
      </c>
      <c r="DK382" s="1073"/>
      <c r="DL382" s="1071"/>
      <c r="DN382" s="1072"/>
      <c r="DO382" s="890">
        <f t="shared" ref="DO382:DR393" si="1050">DO37</f>
        <v>1083006</v>
      </c>
      <c r="DP382" s="890">
        <f t="shared" si="1050"/>
        <v>344136.87305185618</v>
      </c>
      <c r="DQ382" s="890">
        <f t="shared" si="1050"/>
        <v>225544.05266288968</v>
      </c>
      <c r="DR382" s="890">
        <f t="shared" si="1050"/>
        <v>513325.07428525412</v>
      </c>
      <c r="DS382" s="1073"/>
      <c r="DT382" s="1071"/>
      <c r="DV382" s="1072"/>
      <c r="DW382" s="890">
        <f t="shared" ref="DW382:DZ393" si="1051">DW37</f>
        <v>1083006</v>
      </c>
      <c r="DX382" s="890">
        <f t="shared" si="1051"/>
        <v>344136.87305185618</v>
      </c>
      <c r="DY382" s="890">
        <f t="shared" si="1051"/>
        <v>225544.05266288968</v>
      </c>
      <c r="DZ382" s="890">
        <f t="shared" si="1051"/>
        <v>513325.07428525412</v>
      </c>
      <c r="EA382" s="1073"/>
      <c r="EB382" s="1071"/>
      <c r="ED382" s="1072"/>
      <c r="EE382" s="890">
        <f t="shared" ref="EE382:EH393" si="1052">EE37</f>
        <v>1083006</v>
      </c>
      <c r="EF382" s="890">
        <f t="shared" si="1052"/>
        <v>344136.87305185618</v>
      </c>
      <c r="EG382" s="890">
        <f t="shared" si="1052"/>
        <v>225544.05266288968</v>
      </c>
      <c r="EH382" s="890">
        <f t="shared" si="1052"/>
        <v>513325.07428525412</v>
      </c>
      <c r="EI382" s="1073"/>
      <c r="EJ382" s="1071"/>
      <c r="EL382" s="1072"/>
      <c r="EM382" s="890">
        <f t="shared" ref="EM382:EP393" si="1053">EM37</f>
        <v>1083006</v>
      </c>
      <c r="EN382" s="890">
        <f t="shared" si="1053"/>
        <v>344136.87305185618</v>
      </c>
      <c r="EO382" s="890">
        <f t="shared" si="1053"/>
        <v>225544.05266288968</v>
      </c>
      <c r="EP382" s="890">
        <f t="shared" si="1053"/>
        <v>513325.07428525412</v>
      </c>
      <c r="EQ382" s="1073"/>
      <c r="ER382" s="1071"/>
      <c r="ET382" s="1072"/>
      <c r="EU382" s="890">
        <f t="shared" ref="EU382:EX393" si="1054">EU37</f>
        <v>1083006</v>
      </c>
      <c r="EV382" s="890">
        <f t="shared" si="1054"/>
        <v>344136.87305185618</v>
      </c>
      <c r="EW382" s="890">
        <f t="shared" si="1054"/>
        <v>225544.05266288968</v>
      </c>
      <c r="EX382" s="890">
        <f t="shared" si="1054"/>
        <v>513325.07428525412</v>
      </c>
      <c r="EY382" s="1073"/>
      <c r="EZ382" s="1071"/>
      <c r="FB382" s="1072"/>
      <c r="FC382" s="890">
        <f t="shared" ref="FC382:FF393" si="1055">FC37</f>
        <v>1083006</v>
      </c>
      <c r="FD382" s="890">
        <f t="shared" si="1055"/>
        <v>344136.87305185618</v>
      </c>
      <c r="FE382" s="890">
        <f t="shared" si="1055"/>
        <v>225544.05266288968</v>
      </c>
      <c r="FF382" s="890">
        <f t="shared" si="1055"/>
        <v>513325.07428525412</v>
      </c>
      <c r="FG382" s="1073"/>
      <c r="FH382" s="1071"/>
      <c r="FJ382" s="1072"/>
      <c r="FK382" s="890">
        <f t="shared" ref="FK382:FN393" si="1056">FK37</f>
        <v>1083006</v>
      </c>
      <c r="FL382" s="890">
        <f t="shared" si="1056"/>
        <v>344136.87305185618</v>
      </c>
      <c r="FM382" s="890">
        <f t="shared" si="1056"/>
        <v>225544.05266288968</v>
      </c>
      <c r="FN382" s="890">
        <f t="shared" si="1056"/>
        <v>513325.07428525412</v>
      </c>
      <c r="FO382" s="1073"/>
    </row>
    <row r="383" spans="2:171">
      <c r="B383" s="108"/>
      <c r="C383" s="108" t="s">
        <v>126</v>
      </c>
      <c r="D383" s="1071"/>
      <c r="E383" s="904" t="str">
        <f t="shared" si="1034"/>
        <v>PTD</v>
      </c>
      <c r="G383" s="890">
        <f t="shared" si="1035"/>
        <v>21045508</v>
      </c>
      <c r="H383" s="890">
        <f t="shared" si="1035"/>
        <v>6687437.8488280065</v>
      </c>
      <c r="I383" s="890">
        <f t="shared" si="1035"/>
        <v>0</v>
      </c>
      <c r="J383" s="890">
        <f t="shared" si="1035"/>
        <v>14358070.151171993</v>
      </c>
      <c r="K383" s="903">
        <f t="shared" si="1036"/>
        <v>1</v>
      </c>
      <c r="L383" s="1071"/>
      <c r="N383" s="1072"/>
      <c r="O383" s="890">
        <f t="shared" si="1037"/>
        <v>21045508</v>
      </c>
      <c r="P383" s="890">
        <f t="shared" si="1037"/>
        <v>6687437.8488280065</v>
      </c>
      <c r="Q383" s="890">
        <f t="shared" si="1037"/>
        <v>4382883.5340425316</v>
      </c>
      <c r="R383" s="890">
        <f t="shared" si="1037"/>
        <v>9975186.6171294618</v>
      </c>
      <c r="S383" s="1073"/>
      <c r="T383" s="1071"/>
      <c r="V383" s="1072"/>
      <c r="W383" s="890">
        <f t="shared" si="1038"/>
        <v>21045508</v>
      </c>
      <c r="X383" s="890">
        <f t="shared" si="1038"/>
        <v>6687437.8488280065</v>
      </c>
      <c r="Y383" s="890">
        <f t="shared" si="1038"/>
        <v>4382883.5340425316</v>
      </c>
      <c r="Z383" s="890">
        <f t="shared" si="1038"/>
        <v>9975186.6171294618</v>
      </c>
      <c r="AA383" s="1073"/>
      <c r="AB383" s="1071"/>
      <c r="AD383" s="1072"/>
      <c r="AE383" s="890">
        <f t="shared" si="1039"/>
        <v>21045508</v>
      </c>
      <c r="AF383" s="890">
        <f t="shared" si="1039"/>
        <v>6687437.8488280065</v>
      </c>
      <c r="AG383" s="890">
        <f t="shared" si="1039"/>
        <v>4382883.5340425316</v>
      </c>
      <c r="AH383" s="890">
        <f t="shared" si="1039"/>
        <v>9975186.6171294618</v>
      </c>
      <c r="AI383" s="1073"/>
      <c r="AJ383" s="1071"/>
      <c r="AL383" s="1072"/>
      <c r="AM383" s="890">
        <f t="shared" si="1040"/>
        <v>21045508</v>
      </c>
      <c r="AN383" s="890">
        <f t="shared" si="1040"/>
        <v>6687437.8488280065</v>
      </c>
      <c r="AO383" s="890">
        <f t="shared" si="1040"/>
        <v>4382883.5340425316</v>
      </c>
      <c r="AP383" s="890">
        <f t="shared" si="1040"/>
        <v>9975186.6171294618</v>
      </c>
      <c r="AQ383" s="1073"/>
      <c r="AR383" s="1071"/>
      <c r="AT383" s="1072"/>
      <c r="AU383" s="890">
        <f t="shared" si="1041"/>
        <v>21045508</v>
      </c>
      <c r="AV383" s="890">
        <f t="shared" si="1041"/>
        <v>6687437.8488280065</v>
      </c>
      <c r="AW383" s="890">
        <f t="shared" si="1041"/>
        <v>4382883.5340425316</v>
      </c>
      <c r="AX383" s="890">
        <f t="shared" si="1041"/>
        <v>9975186.6171294618</v>
      </c>
      <c r="AY383" s="1073"/>
      <c r="AZ383" s="1071"/>
      <c r="BB383" s="1072"/>
      <c r="BC383" s="890">
        <f t="shared" si="1042"/>
        <v>21045508</v>
      </c>
      <c r="BD383" s="890">
        <f t="shared" si="1042"/>
        <v>6687437.8488280065</v>
      </c>
      <c r="BE383" s="890">
        <f t="shared" si="1042"/>
        <v>4382883.5340425316</v>
      </c>
      <c r="BF383" s="890">
        <f t="shared" si="1042"/>
        <v>9975186.6171294618</v>
      </c>
      <c r="BG383" s="1073"/>
      <c r="BH383" s="1071"/>
      <c r="BJ383" s="1072"/>
      <c r="BK383" s="890">
        <f t="shared" si="1043"/>
        <v>21045508</v>
      </c>
      <c r="BL383" s="890">
        <f t="shared" si="1043"/>
        <v>6687437.8488280065</v>
      </c>
      <c r="BM383" s="890">
        <f t="shared" si="1043"/>
        <v>4382883.5340425316</v>
      </c>
      <c r="BN383" s="890">
        <f t="shared" si="1043"/>
        <v>9975186.6171294618</v>
      </c>
      <c r="BO383" s="1073"/>
      <c r="BP383" s="1071"/>
      <c r="BR383" s="1072"/>
      <c r="BS383" s="890">
        <f t="shared" si="1044"/>
        <v>21045508</v>
      </c>
      <c r="BT383" s="890">
        <f t="shared" si="1044"/>
        <v>6687437.8488280065</v>
      </c>
      <c r="BU383" s="890">
        <f t="shared" si="1044"/>
        <v>4382883.5340425316</v>
      </c>
      <c r="BV383" s="890">
        <f t="shared" si="1044"/>
        <v>9975186.6171294618</v>
      </c>
      <c r="BW383" s="1073"/>
      <c r="BX383" s="1071"/>
      <c r="BZ383" s="1072"/>
      <c r="CA383" s="890">
        <f t="shared" si="1045"/>
        <v>21045508</v>
      </c>
      <c r="CB383" s="890">
        <f t="shared" si="1045"/>
        <v>6687437.8488280065</v>
      </c>
      <c r="CC383" s="890">
        <f t="shared" si="1045"/>
        <v>4382883.5340425316</v>
      </c>
      <c r="CD383" s="890">
        <f t="shared" si="1045"/>
        <v>9975186.6171294618</v>
      </c>
      <c r="CE383" s="1073"/>
      <c r="CF383" s="1071"/>
      <c r="CH383" s="1072"/>
      <c r="CI383" s="890">
        <f t="shared" si="1046"/>
        <v>21045508</v>
      </c>
      <c r="CJ383" s="890">
        <f t="shared" si="1046"/>
        <v>6687437.8488280065</v>
      </c>
      <c r="CK383" s="890">
        <f t="shared" si="1046"/>
        <v>4382883.5340425316</v>
      </c>
      <c r="CL383" s="890">
        <f t="shared" si="1046"/>
        <v>9975186.6171294618</v>
      </c>
      <c r="CM383" s="1073"/>
      <c r="CN383" s="1071"/>
      <c r="CP383" s="1072"/>
      <c r="CQ383" s="890">
        <f t="shared" si="1047"/>
        <v>21045508</v>
      </c>
      <c r="CR383" s="890">
        <f t="shared" si="1047"/>
        <v>6687437.8488280065</v>
      </c>
      <c r="CS383" s="890">
        <f t="shared" si="1047"/>
        <v>4382883.5340425316</v>
      </c>
      <c r="CT383" s="890">
        <f t="shared" si="1047"/>
        <v>9975186.6171294618</v>
      </c>
      <c r="CU383" s="1073"/>
      <c r="CV383" s="1071"/>
      <c r="CX383" s="1072"/>
      <c r="CY383" s="890">
        <f t="shared" si="1048"/>
        <v>21045508</v>
      </c>
      <c r="CZ383" s="890">
        <f t="shared" si="1048"/>
        <v>6687437.8488280065</v>
      </c>
      <c r="DA383" s="890">
        <f t="shared" si="1048"/>
        <v>4382883.5340425316</v>
      </c>
      <c r="DB383" s="890">
        <f t="shared" si="1048"/>
        <v>9975186.6171294618</v>
      </c>
      <c r="DC383" s="1073"/>
      <c r="DD383" s="1071"/>
      <c r="DF383" s="1072"/>
      <c r="DG383" s="890">
        <f t="shared" si="1049"/>
        <v>21045508</v>
      </c>
      <c r="DH383" s="890">
        <f t="shared" si="1049"/>
        <v>6687437.8488280065</v>
      </c>
      <c r="DI383" s="890">
        <f t="shared" si="1049"/>
        <v>4382883.5340425316</v>
      </c>
      <c r="DJ383" s="890">
        <f t="shared" si="1049"/>
        <v>9975186.6171294618</v>
      </c>
      <c r="DK383" s="1073"/>
      <c r="DL383" s="1071"/>
      <c r="DN383" s="1072"/>
      <c r="DO383" s="890">
        <f t="shared" si="1050"/>
        <v>21045508</v>
      </c>
      <c r="DP383" s="890">
        <f t="shared" si="1050"/>
        <v>6687437.8488280065</v>
      </c>
      <c r="DQ383" s="890">
        <f t="shared" si="1050"/>
        <v>4382883.5340425316</v>
      </c>
      <c r="DR383" s="890">
        <f t="shared" si="1050"/>
        <v>9975186.6171294618</v>
      </c>
      <c r="DS383" s="1073"/>
      <c r="DT383" s="1071"/>
      <c r="DV383" s="1072"/>
      <c r="DW383" s="890">
        <f t="shared" si="1051"/>
        <v>21045508</v>
      </c>
      <c r="DX383" s="890">
        <f t="shared" si="1051"/>
        <v>6687437.8488280065</v>
      </c>
      <c r="DY383" s="890">
        <f t="shared" si="1051"/>
        <v>4382883.5340425316</v>
      </c>
      <c r="DZ383" s="890">
        <f t="shared" si="1051"/>
        <v>9975186.6171294618</v>
      </c>
      <c r="EA383" s="1073"/>
      <c r="EB383" s="1071"/>
      <c r="ED383" s="1072"/>
      <c r="EE383" s="890">
        <f t="shared" si="1052"/>
        <v>21045508</v>
      </c>
      <c r="EF383" s="890">
        <f t="shared" si="1052"/>
        <v>6687437.8488280065</v>
      </c>
      <c r="EG383" s="890">
        <f t="shared" si="1052"/>
        <v>4382883.5340425316</v>
      </c>
      <c r="EH383" s="890">
        <f t="shared" si="1052"/>
        <v>9975186.6171294618</v>
      </c>
      <c r="EI383" s="1073"/>
      <c r="EJ383" s="1071"/>
      <c r="EL383" s="1072"/>
      <c r="EM383" s="890">
        <f t="shared" si="1053"/>
        <v>21045508</v>
      </c>
      <c r="EN383" s="890">
        <f t="shared" si="1053"/>
        <v>6687437.8488280065</v>
      </c>
      <c r="EO383" s="890">
        <f t="shared" si="1053"/>
        <v>4382883.5340425316</v>
      </c>
      <c r="EP383" s="890">
        <f t="shared" si="1053"/>
        <v>9975186.6171294618</v>
      </c>
      <c r="EQ383" s="1073"/>
      <c r="ER383" s="1071"/>
      <c r="ET383" s="1072"/>
      <c r="EU383" s="890">
        <f t="shared" si="1054"/>
        <v>21045508</v>
      </c>
      <c r="EV383" s="890">
        <f t="shared" si="1054"/>
        <v>6687437.8488280065</v>
      </c>
      <c r="EW383" s="890">
        <f t="shared" si="1054"/>
        <v>4382883.5340425316</v>
      </c>
      <c r="EX383" s="890">
        <f t="shared" si="1054"/>
        <v>9975186.6171294618</v>
      </c>
      <c r="EY383" s="1073"/>
      <c r="EZ383" s="1071"/>
      <c r="FB383" s="1072"/>
      <c r="FC383" s="890">
        <f t="shared" si="1055"/>
        <v>21045508</v>
      </c>
      <c r="FD383" s="890">
        <f t="shared" si="1055"/>
        <v>6687437.8488280065</v>
      </c>
      <c r="FE383" s="890">
        <f t="shared" si="1055"/>
        <v>4382883.5340425316</v>
      </c>
      <c r="FF383" s="890">
        <f t="shared" si="1055"/>
        <v>9975186.6171294618</v>
      </c>
      <c r="FG383" s="1073"/>
      <c r="FH383" s="1071"/>
      <c r="FJ383" s="1072"/>
      <c r="FK383" s="890">
        <f t="shared" si="1056"/>
        <v>21045508</v>
      </c>
      <c r="FL383" s="890">
        <f t="shared" si="1056"/>
        <v>6687437.8488280065</v>
      </c>
      <c r="FM383" s="890">
        <f t="shared" si="1056"/>
        <v>4382883.5340425316</v>
      </c>
      <c r="FN383" s="890">
        <f t="shared" si="1056"/>
        <v>9975186.6171294618</v>
      </c>
      <c r="FO383" s="1073"/>
    </row>
    <row r="384" spans="2:171">
      <c r="B384" s="108"/>
      <c r="C384" s="108" t="s">
        <v>127</v>
      </c>
      <c r="D384" s="1071"/>
      <c r="E384" s="904" t="str">
        <f t="shared" si="1034"/>
        <v>LABOR</v>
      </c>
      <c r="G384" s="890">
        <f t="shared" si="1035"/>
        <v>3976622</v>
      </c>
      <c r="H384" s="890">
        <f t="shared" si="1035"/>
        <v>1455724.5705582532</v>
      </c>
      <c r="I384" s="890">
        <f t="shared" si="1035"/>
        <v>0</v>
      </c>
      <c r="J384" s="890">
        <f t="shared" si="1035"/>
        <v>2520897.4294417468</v>
      </c>
      <c r="K384" s="1073">
        <f t="shared" si="1036"/>
        <v>1</v>
      </c>
      <c r="L384" s="1071"/>
      <c r="N384" s="1072"/>
      <c r="O384" s="890">
        <f t="shared" si="1037"/>
        <v>3976622</v>
      </c>
      <c r="P384" s="890">
        <f t="shared" si="1037"/>
        <v>1455724.5705582532</v>
      </c>
      <c r="Q384" s="890">
        <f t="shared" si="1037"/>
        <v>305059.74741504656</v>
      </c>
      <c r="R384" s="890">
        <f t="shared" si="1037"/>
        <v>2215837.6820267001</v>
      </c>
      <c r="S384" s="1073"/>
      <c r="T384" s="1071"/>
      <c r="V384" s="1072"/>
      <c r="W384" s="890">
        <f t="shared" si="1038"/>
        <v>3976622</v>
      </c>
      <c r="X384" s="890">
        <f t="shared" si="1038"/>
        <v>1455724.5705582532</v>
      </c>
      <c r="Y384" s="890">
        <f t="shared" si="1038"/>
        <v>305059.74741504656</v>
      </c>
      <c r="Z384" s="890">
        <f t="shared" si="1038"/>
        <v>2215837.6820267001</v>
      </c>
      <c r="AA384" s="1073"/>
      <c r="AB384" s="1071"/>
      <c r="AD384" s="1072"/>
      <c r="AE384" s="890">
        <f t="shared" si="1039"/>
        <v>3976622</v>
      </c>
      <c r="AF384" s="890">
        <f t="shared" si="1039"/>
        <v>1455724.5705582532</v>
      </c>
      <c r="AG384" s="890">
        <f t="shared" si="1039"/>
        <v>305059.74741504656</v>
      </c>
      <c r="AH384" s="890">
        <f t="shared" si="1039"/>
        <v>2215837.6820267001</v>
      </c>
      <c r="AI384" s="1073"/>
      <c r="AJ384" s="1071"/>
      <c r="AL384" s="1072"/>
      <c r="AM384" s="890">
        <f t="shared" si="1040"/>
        <v>3976622</v>
      </c>
      <c r="AN384" s="890">
        <f t="shared" si="1040"/>
        <v>1455724.5705582532</v>
      </c>
      <c r="AO384" s="890">
        <f t="shared" si="1040"/>
        <v>305059.74741504656</v>
      </c>
      <c r="AP384" s="890">
        <f t="shared" si="1040"/>
        <v>2215837.6820267001</v>
      </c>
      <c r="AQ384" s="1073"/>
      <c r="AR384" s="1071"/>
      <c r="AT384" s="1072"/>
      <c r="AU384" s="890">
        <f t="shared" si="1041"/>
        <v>3976622</v>
      </c>
      <c r="AV384" s="890">
        <f t="shared" si="1041"/>
        <v>1455724.5705582532</v>
      </c>
      <c r="AW384" s="890">
        <f t="shared" si="1041"/>
        <v>305059.74741504656</v>
      </c>
      <c r="AX384" s="890">
        <f t="shared" si="1041"/>
        <v>2215837.6820267001</v>
      </c>
      <c r="AY384" s="1073"/>
      <c r="AZ384" s="1071"/>
      <c r="BB384" s="1072"/>
      <c r="BC384" s="890">
        <f t="shared" si="1042"/>
        <v>3976622</v>
      </c>
      <c r="BD384" s="890">
        <f t="shared" si="1042"/>
        <v>1455724.5705582532</v>
      </c>
      <c r="BE384" s="890">
        <f t="shared" si="1042"/>
        <v>305059.74741504656</v>
      </c>
      <c r="BF384" s="890">
        <f t="shared" si="1042"/>
        <v>2215837.6820267001</v>
      </c>
      <c r="BG384" s="1073"/>
      <c r="BH384" s="1071"/>
      <c r="BJ384" s="1072"/>
      <c r="BK384" s="890">
        <f t="shared" si="1043"/>
        <v>3976622</v>
      </c>
      <c r="BL384" s="890">
        <f t="shared" si="1043"/>
        <v>1455724.5705582532</v>
      </c>
      <c r="BM384" s="890">
        <f t="shared" si="1043"/>
        <v>305059.74741504656</v>
      </c>
      <c r="BN384" s="890">
        <f t="shared" si="1043"/>
        <v>2215837.6820267001</v>
      </c>
      <c r="BO384" s="1073"/>
      <c r="BP384" s="1071"/>
      <c r="BR384" s="1072"/>
      <c r="BS384" s="890">
        <f t="shared" si="1044"/>
        <v>3976622</v>
      </c>
      <c r="BT384" s="890">
        <f t="shared" si="1044"/>
        <v>1455724.5705582532</v>
      </c>
      <c r="BU384" s="890">
        <f t="shared" si="1044"/>
        <v>305059.74741504656</v>
      </c>
      <c r="BV384" s="890">
        <f t="shared" si="1044"/>
        <v>2215837.6820267001</v>
      </c>
      <c r="BW384" s="1073"/>
      <c r="BX384" s="1071"/>
      <c r="BZ384" s="1072"/>
      <c r="CA384" s="890">
        <f t="shared" si="1045"/>
        <v>3976622</v>
      </c>
      <c r="CB384" s="890">
        <f t="shared" si="1045"/>
        <v>1455724.5705582532</v>
      </c>
      <c r="CC384" s="890">
        <f t="shared" si="1045"/>
        <v>305059.74741504656</v>
      </c>
      <c r="CD384" s="890">
        <f t="shared" si="1045"/>
        <v>2215837.6820267001</v>
      </c>
      <c r="CE384" s="1073"/>
      <c r="CF384" s="1071"/>
      <c r="CH384" s="1072"/>
      <c r="CI384" s="890">
        <f t="shared" si="1046"/>
        <v>3976622</v>
      </c>
      <c r="CJ384" s="890">
        <f t="shared" si="1046"/>
        <v>1455724.5705582532</v>
      </c>
      <c r="CK384" s="890">
        <f t="shared" si="1046"/>
        <v>305059.74741504656</v>
      </c>
      <c r="CL384" s="890">
        <f t="shared" si="1046"/>
        <v>2215837.6820267001</v>
      </c>
      <c r="CM384" s="1073"/>
      <c r="CN384" s="1071"/>
      <c r="CP384" s="1072"/>
      <c r="CQ384" s="890">
        <f t="shared" si="1047"/>
        <v>3976622</v>
      </c>
      <c r="CR384" s="890">
        <f t="shared" si="1047"/>
        <v>1455724.5705582532</v>
      </c>
      <c r="CS384" s="890">
        <f t="shared" si="1047"/>
        <v>305059.74741504656</v>
      </c>
      <c r="CT384" s="890">
        <f t="shared" si="1047"/>
        <v>2215837.6820267001</v>
      </c>
      <c r="CU384" s="1073"/>
      <c r="CV384" s="1071"/>
      <c r="CX384" s="1072"/>
      <c r="CY384" s="890">
        <f t="shared" si="1048"/>
        <v>3976622</v>
      </c>
      <c r="CZ384" s="890">
        <f t="shared" si="1048"/>
        <v>1455724.5705582532</v>
      </c>
      <c r="DA384" s="890">
        <f t="shared" si="1048"/>
        <v>305059.74741504656</v>
      </c>
      <c r="DB384" s="890">
        <f t="shared" si="1048"/>
        <v>2215837.6820267001</v>
      </c>
      <c r="DC384" s="1073"/>
      <c r="DD384" s="1071"/>
      <c r="DF384" s="1072"/>
      <c r="DG384" s="890">
        <f t="shared" si="1049"/>
        <v>3976622</v>
      </c>
      <c r="DH384" s="890">
        <f t="shared" si="1049"/>
        <v>1455724.5705582532</v>
      </c>
      <c r="DI384" s="890">
        <f t="shared" si="1049"/>
        <v>305059.74741504656</v>
      </c>
      <c r="DJ384" s="890">
        <f t="shared" si="1049"/>
        <v>2215837.6820267001</v>
      </c>
      <c r="DK384" s="1073"/>
      <c r="DL384" s="1071"/>
      <c r="DN384" s="1072"/>
      <c r="DO384" s="890">
        <f t="shared" si="1050"/>
        <v>3976622</v>
      </c>
      <c r="DP384" s="890">
        <f t="shared" si="1050"/>
        <v>1455724.5705582532</v>
      </c>
      <c r="DQ384" s="890">
        <f t="shared" si="1050"/>
        <v>305059.74741504656</v>
      </c>
      <c r="DR384" s="890">
        <f t="shared" si="1050"/>
        <v>2215837.6820267001</v>
      </c>
      <c r="DS384" s="1073"/>
      <c r="DT384" s="1071"/>
      <c r="DV384" s="1072"/>
      <c r="DW384" s="890">
        <f t="shared" si="1051"/>
        <v>3976622</v>
      </c>
      <c r="DX384" s="890">
        <f t="shared" si="1051"/>
        <v>1455724.5705582532</v>
      </c>
      <c r="DY384" s="890">
        <f t="shared" si="1051"/>
        <v>305059.74741504656</v>
      </c>
      <c r="DZ384" s="890">
        <f t="shared" si="1051"/>
        <v>2215837.6820267001</v>
      </c>
      <c r="EA384" s="1073"/>
      <c r="EB384" s="1071"/>
      <c r="ED384" s="1072"/>
      <c r="EE384" s="890">
        <f t="shared" si="1052"/>
        <v>3976622</v>
      </c>
      <c r="EF384" s="890">
        <f t="shared" si="1052"/>
        <v>1455724.5705582532</v>
      </c>
      <c r="EG384" s="890">
        <f t="shared" si="1052"/>
        <v>305059.74741504656</v>
      </c>
      <c r="EH384" s="890">
        <f t="shared" si="1052"/>
        <v>2215837.6820267001</v>
      </c>
      <c r="EI384" s="1073"/>
      <c r="EJ384" s="1071"/>
      <c r="EL384" s="1072"/>
      <c r="EM384" s="890">
        <f t="shared" si="1053"/>
        <v>3976622</v>
      </c>
      <c r="EN384" s="890">
        <f t="shared" si="1053"/>
        <v>1455724.5705582532</v>
      </c>
      <c r="EO384" s="890">
        <f t="shared" si="1053"/>
        <v>305059.74741504656</v>
      </c>
      <c r="EP384" s="890">
        <f t="shared" si="1053"/>
        <v>2215837.6820267001</v>
      </c>
      <c r="EQ384" s="1073"/>
      <c r="ER384" s="1071"/>
      <c r="ET384" s="1072"/>
      <c r="EU384" s="890">
        <f t="shared" si="1054"/>
        <v>3976622</v>
      </c>
      <c r="EV384" s="890">
        <f t="shared" si="1054"/>
        <v>1455724.5705582532</v>
      </c>
      <c r="EW384" s="890">
        <f t="shared" si="1054"/>
        <v>305059.74741504656</v>
      </c>
      <c r="EX384" s="890">
        <f t="shared" si="1054"/>
        <v>2215837.6820267001</v>
      </c>
      <c r="EY384" s="1073"/>
      <c r="EZ384" s="1071"/>
      <c r="FB384" s="1072"/>
      <c r="FC384" s="890">
        <f t="shared" si="1055"/>
        <v>3976622</v>
      </c>
      <c r="FD384" s="890">
        <f t="shared" si="1055"/>
        <v>1455724.5705582532</v>
      </c>
      <c r="FE384" s="890">
        <f t="shared" si="1055"/>
        <v>305059.74741504656</v>
      </c>
      <c r="FF384" s="890">
        <f t="shared" si="1055"/>
        <v>2215837.6820267001</v>
      </c>
      <c r="FG384" s="1073"/>
      <c r="FH384" s="1071"/>
      <c r="FJ384" s="1072"/>
      <c r="FK384" s="890">
        <f t="shared" si="1056"/>
        <v>3976622</v>
      </c>
      <c r="FL384" s="890">
        <f t="shared" si="1056"/>
        <v>1455724.5705582532</v>
      </c>
      <c r="FM384" s="890">
        <f t="shared" si="1056"/>
        <v>305059.74741504656</v>
      </c>
      <c r="FN384" s="890">
        <f t="shared" si="1056"/>
        <v>2215837.6820267001</v>
      </c>
      <c r="FO384" s="1073"/>
    </row>
    <row r="385" spans="2:171">
      <c r="B385" s="108"/>
      <c r="C385" s="108" t="s">
        <v>128</v>
      </c>
      <c r="D385" s="1071"/>
      <c r="E385" s="904" t="str">
        <f t="shared" si="1034"/>
        <v>TD</v>
      </c>
      <c r="G385" s="890">
        <f t="shared" si="1035"/>
        <v>62357831</v>
      </c>
      <c r="H385" s="890">
        <f t="shared" si="1035"/>
        <v>0</v>
      </c>
      <c r="I385" s="890">
        <f t="shared" si="1035"/>
        <v>0</v>
      </c>
      <c r="J385" s="890">
        <f t="shared" si="1035"/>
        <v>62357831</v>
      </c>
      <c r="K385" s="1073">
        <f t="shared" si="1036"/>
        <v>1</v>
      </c>
      <c r="L385" s="1071"/>
      <c r="N385" s="1072"/>
      <c r="O385" s="890">
        <f t="shared" si="1037"/>
        <v>62357831.000000007</v>
      </c>
      <c r="P385" s="890">
        <f t="shared" si="1037"/>
        <v>0</v>
      </c>
      <c r="Q385" s="890">
        <f t="shared" si="1037"/>
        <v>19035086.737349447</v>
      </c>
      <c r="R385" s="890">
        <f t="shared" si="1037"/>
        <v>43322744.262650557</v>
      </c>
      <c r="S385" s="1073"/>
      <c r="T385" s="1071"/>
      <c r="V385" s="1072"/>
      <c r="W385" s="890">
        <f t="shared" si="1038"/>
        <v>62357831.000000007</v>
      </c>
      <c r="X385" s="890">
        <f t="shared" si="1038"/>
        <v>0</v>
      </c>
      <c r="Y385" s="890">
        <f t="shared" si="1038"/>
        <v>19035086.737349447</v>
      </c>
      <c r="Z385" s="890">
        <f t="shared" si="1038"/>
        <v>43322744.262650557</v>
      </c>
      <c r="AA385" s="1073"/>
      <c r="AB385" s="1071"/>
      <c r="AD385" s="1072"/>
      <c r="AE385" s="890">
        <f t="shared" si="1039"/>
        <v>62357831.000000007</v>
      </c>
      <c r="AF385" s="890">
        <f t="shared" si="1039"/>
        <v>0</v>
      </c>
      <c r="AG385" s="890">
        <f t="shared" si="1039"/>
        <v>19035086.737349447</v>
      </c>
      <c r="AH385" s="890">
        <f t="shared" si="1039"/>
        <v>43322744.262650557</v>
      </c>
      <c r="AI385" s="1073"/>
      <c r="AJ385" s="1071"/>
      <c r="AL385" s="1072"/>
      <c r="AM385" s="890">
        <f t="shared" si="1040"/>
        <v>62357831.000000007</v>
      </c>
      <c r="AN385" s="890">
        <f t="shared" si="1040"/>
        <v>0</v>
      </c>
      <c r="AO385" s="890">
        <f t="shared" si="1040"/>
        <v>19035086.737349447</v>
      </c>
      <c r="AP385" s="890">
        <f t="shared" si="1040"/>
        <v>43322744.262650557</v>
      </c>
      <c r="AQ385" s="1073"/>
      <c r="AR385" s="1071"/>
      <c r="AT385" s="1072"/>
      <c r="AU385" s="890">
        <f t="shared" si="1041"/>
        <v>62357831.000000007</v>
      </c>
      <c r="AV385" s="890">
        <f t="shared" si="1041"/>
        <v>0</v>
      </c>
      <c r="AW385" s="890">
        <f t="shared" si="1041"/>
        <v>19035086.737349447</v>
      </c>
      <c r="AX385" s="890">
        <f t="shared" si="1041"/>
        <v>43322744.262650557</v>
      </c>
      <c r="AY385" s="1073"/>
      <c r="AZ385" s="1071"/>
      <c r="BB385" s="1072"/>
      <c r="BC385" s="890">
        <f t="shared" si="1042"/>
        <v>62357831.000000007</v>
      </c>
      <c r="BD385" s="890">
        <f t="shared" si="1042"/>
        <v>0</v>
      </c>
      <c r="BE385" s="890">
        <f t="shared" si="1042"/>
        <v>19035086.737349447</v>
      </c>
      <c r="BF385" s="890">
        <f t="shared" si="1042"/>
        <v>43322744.262650557</v>
      </c>
      <c r="BG385" s="1073"/>
      <c r="BH385" s="1071"/>
      <c r="BJ385" s="1072"/>
      <c r="BK385" s="890">
        <f t="shared" si="1043"/>
        <v>62357831.000000007</v>
      </c>
      <c r="BL385" s="890">
        <f t="shared" si="1043"/>
        <v>0</v>
      </c>
      <c r="BM385" s="890">
        <f t="shared" si="1043"/>
        <v>19035086.737349447</v>
      </c>
      <c r="BN385" s="890">
        <f t="shared" si="1043"/>
        <v>43322744.262650557</v>
      </c>
      <c r="BO385" s="1073"/>
      <c r="BP385" s="1071"/>
      <c r="BR385" s="1072"/>
      <c r="BS385" s="890">
        <f t="shared" si="1044"/>
        <v>62357831.000000007</v>
      </c>
      <c r="BT385" s="890">
        <f t="shared" si="1044"/>
        <v>0</v>
      </c>
      <c r="BU385" s="890">
        <f t="shared" si="1044"/>
        <v>19035086.737349447</v>
      </c>
      <c r="BV385" s="890">
        <f t="shared" si="1044"/>
        <v>43322744.262650557</v>
      </c>
      <c r="BW385" s="1073"/>
      <c r="BX385" s="1071"/>
      <c r="BZ385" s="1072"/>
      <c r="CA385" s="890">
        <f t="shared" si="1045"/>
        <v>62357831.000000007</v>
      </c>
      <c r="CB385" s="890">
        <f t="shared" si="1045"/>
        <v>0</v>
      </c>
      <c r="CC385" s="890">
        <f t="shared" si="1045"/>
        <v>19035086.737349447</v>
      </c>
      <c r="CD385" s="890">
        <f t="shared" si="1045"/>
        <v>43322744.262650557</v>
      </c>
      <c r="CE385" s="1073"/>
      <c r="CF385" s="1071"/>
      <c r="CH385" s="1072"/>
      <c r="CI385" s="890">
        <f t="shared" si="1046"/>
        <v>62357831.000000007</v>
      </c>
      <c r="CJ385" s="890">
        <f t="shared" si="1046"/>
        <v>0</v>
      </c>
      <c r="CK385" s="890">
        <f t="shared" si="1046"/>
        <v>19035086.737349447</v>
      </c>
      <c r="CL385" s="890">
        <f t="shared" si="1046"/>
        <v>43322744.262650557</v>
      </c>
      <c r="CM385" s="1073"/>
      <c r="CN385" s="1071"/>
      <c r="CP385" s="1072"/>
      <c r="CQ385" s="890">
        <f t="shared" si="1047"/>
        <v>62357831.000000007</v>
      </c>
      <c r="CR385" s="890">
        <f t="shared" si="1047"/>
        <v>0</v>
      </c>
      <c r="CS385" s="890">
        <f t="shared" si="1047"/>
        <v>19035086.737349447</v>
      </c>
      <c r="CT385" s="890">
        <f t="shared" si="1047"/>
        <v>43322744.262650557</v>
      </c>
      <c r="CU385" s="1073"/>
      <c r="CV385" s="1071"/>
      <c r="CX385" s="1072"/>
      <c r="CY385" s="890">
        <f t="shared" si="1048"/>
        <v>62357831.000000007</v>
      </c>
      <c r="CZ385" s="890">
        <f t="shared" si="1048"/>
        <v>0</v>
      </c>
      <c r="DA385" s="890">
        <f t="shared" si="1048"/>
        <v>19035086.737349447</v>
      </c>
      <c r="DB385" s="890">
        <f t="shared" si="1048"/>
        <v>43322744.262650557</v>
      </c>
      <c r="DC385" s="1073"/>
      <c r="DD385" s="1071"/>
      <c r="DF385" s="1072"/>
      <c r="DG385" s="890">
        <f t="shared" si="1049"/>
        <v>62357831.000000007</v>
      </c>
      <c r="DH385" s="890">
        <f t="shared" si="1049"/>
        <v>0</v>
      </c>
      <c r="DI385" s="890">
        <f t="shared" si="1049"/>
        <v>19035086.737349447</v>
      </c>
      <c r="DJ385" s="890">
        <f t="shared" si="1049"/>
        <v>43322744.262650557</v>
      </c>
      <c r="DK385" s="1073"/>
      <c r="DL385" s="1071"/>
      <c r="DN385" s="1072"/>
      <c r="DO385" s="890">
        <f t="shared" si="1050"/>
        <v>62357831.000000007</v>
      </c>
      <c r="DP385" s="890">
        <f t="shared" si="1050"/>
        <v>0</v>
      </c>
      <c r="DQ385" s="890">
        <f t="shared" si="1050"/>
        <v>19035086.737349447</v>
      </c>
      <c r="DR385" s="890">
        <f t="shared" si="1050"/>
        <v>43322744.262650557</v>
      </c>
      <c r="DS385" s="1073"/>
      <c r="DT385" s="1071"/>
      <c r="DV385" s="1072"/>
      <c r="DW385" s="890">
        <f t="shared" si="1051"/>
        <v>62357831.000000007</v>
      </c>
      <c r="DX385" s="890">
        <f t="shared" si="1051"/>
        <v>0</v>
      </c>
      <c r="DY385" s="890">
        <f t="shared" si="1051"/>
        <v>19035086.737349447</v>
      </c>
      <c r="DZ385" s="890">
        <f t="shared" si="1051"/>
        <v>43322744.262650557</v>
      </c>
      <c r="EA385" s="1073"/>
      <c r="EB385" s="1071"/>
      <c r="ED385" s="1072"/>
      <c r="EE385" s="890">
        <f t="shared" si="1052"/>
        <v>62357831.000000007</v>
      </c>
      <c r="EF385" s="890">
        <f t="shared" si="1052"/>
        <v>0</v>
      </c>
      <c r="EG385" s="890">
        <f t="shared" si="1052"/>
        <v>19035086.737349447</v>
      </c>
      <c r="EH385" s="890">
        <f t="shared" si="1052"/>
        <v>43322744.262650557</v>
      </c>
      <c r="EI385" s="1073"/>
      <c r="EJ385" s="1071"/>
      <c r="EL385" s="1072"/>
      <c r="EM385" s="890">
        <f t="shared" si="1053"/>
        <v>62357831.000000007</v>
      </c>
      <c r="EN385" s="890">
        <f t="shared" si="1053"/>
        <v>0</v>
      </c>
      <c r="EO385" s="890">
        <f t="shared" si="1053"/>
        <v>19035086.737349447</v>
      </c>
      <c r="EP385" s="890">
        <f t="shared" si="1053"/>
        <v>43322744.262650557</v>
      </c>
      <c r="EQ385" s="1073"/>
      <c r="ER385" s="1071"/>
      <c r="ET385" s="1072"/>
      <c r="EU385" s="890">
        <f t="shared" si="1054"/>
        <v>62357831.000000007</v>
      </c>
      <c r="EV385" s="890">
        <f t="shared" si="1054"/>
        <v>0</v>
      </c>
      <c r="EW385" s="890">
        <f t="shared" si="1054"/>
        <v>19035086.737349447</v>
      </c>
      <c r="EX385" s="890">
        <f t="shared" si="1054"/>
        <v>43322744.262650557</v>
      </c>
      <c r="EY385" s="1073"/>
      <c r="EZ385" s="1071"/>
      <c r="FB385" s="1072"/>
      <c r="FC385" s="890">
        <f t="shared" si="1055"/>
        <v>62357831.000000007</v>
      </c>
      <c r="FD385" s="890">
        <f t="shared" si="1055"/>
        <v>0</v>
      </c>
      <c r="FE385" s="890">
        <f t="shared" si="1055"/>
        <v>19035086.737349447</v>
      </c>
      <c r="FF385" s="890">
        <f t="shared" si="1055"/>
        <v>43322744.262650557</v>
      </c>
      <c r="FG385" s="1073"/>
      <c r="FH385" s="1071"/>
      <c r="FJ385" s="1072"/>
      <c r="FK385" s="890">
        <f t="shared" si="1056"/>
        <v>62357831.000000007</v>
      </c>
      <c r="FL385" s="890">
        <f t="shared" si="1056"/>
        <v>0</v>
      </c>
      <c r="FM385" s="890">
        <f t="shared" si="1056"/>
        <v>19035086.737349447</v>
      </c>
      <c r="FN385" s="890">
        <f t="shared" si="1056"/>
        <v>43322744.262650557</v>
      </c>
      <c r="FO385" s="1073"/>
    </row>
    <row r="386" spans="2:171">
      <c r="B386" s="108"/>
      <c r="C386" s="108" t="s">
        <v>129</v>
      </c>
      <c r="D386" s="1071"/>
      <c r="E386" s="904" t="str">
        <f t="shared" si="1034"/>
        <v>PTD</v>
      </c>
      <c r="G386" s="890">
        <f t="shared" si="1035"/>
        <v>472784</v>
      </c>
      <c r="H386" s="890">
        <f t="shared" si="1035"/>
        <v>150232.23083616229</v>
      </c>
      <c r="I386" s="890">
        <f t="shared" si="1035"/>
        <v>0</v>
      </c>
      <c r="J386" s="890">
        <f t="shared" si="1035"/>
        <v>322551.76916383771</v>
      </c>
      <c r="K386" s="1073">
        <f t="shared" si="1036"/>
        <v>1</v>
      </c>
      <c r="L386" s="1071"/>
      <c r="N386" s="1072"/>
      <c r="O386" s="890">
        <f t="shared" si="1037"/>
        <v>472784</v>
      </c>
      <c r="P386" s="890">
        <f t="shared" si="1037"/>
        <v>150232.23083616229</v>
      </c>
      <c r="Q386" s="890">
        <f t="shared" si="1037"/>
        <v>98460.78359138513</v>
      </c>
      <c r="R386" s="890">
        <f t="shared" si="1037"/>
        <v>224090.9855724526</v>
      </c>
      <c r="S386" s="1073"/>
      <c r="T386" s="1071"/>
      <c r="V386" s="1072"/>
      <c r="W386" s="890">
        <f t="shared" si="1038"/>
        <v>472784</v>
      </c>
      <c r="X386" s="890">
        <f t="shared" si="1038"/>
        <v>150232.23083616229</v>
      </c>
      <c r="Y386" s="890">
        <f t="shared" si="1038"/>
        <v>98460.78359138513</v>
      </c>
      <c r="Z386" s="890">
        <f t="shared" si="1038"/>
        <v>224090.9855724526</v>
      </c>
      <c r="AA386" s="1073"/>
      <c r="AB386" s="1071"/>
      <c r="AD386" s="1072"/>
      <c r="AE386" s="890">
        <f t="shared" si="1039"/>
        <v>472784</v>
      </c>
      <c r="AF386" s="890">
        <f t="shared" si="1039"/>
        <v>150232.23083616229</v>
      </c>
      <c r="AG386" s="890">
        <f t="shared" si="1039"/>
        <v>98460.78359138513</v>
      </c>
      <c r="AH386" s="890">
        <f t="shared" si="1039"/>
        <v>224090.9855724526</v>
      </c>
      <c r="AI386" s="1073"/>
      <c r="AJ386" s="1071"/>
      <c r="AL386" s="1072"/>
      <c r="AM386" s="890">
        <f t="shared" si="1040"/>
        <v>472784</v>
      </c>
      <c r="AN386" s="890">
        <f t="shared" si="1040"/>
        <v>150232.23083616229</v>
      </c>
      <c r="AO386" s="890">
        <f t="shared" si="1040"/>
        <v>98460.78359138513</v>
      </c>
      <c r="AP386" s="890">
        <f t="shared" si="1040"/>
        <v>224090.9855724526</v>
      </c>
      <c r="AQ386" s="1073"/>
      <c r="AR386" s="1071"/>
      <c r="AT386" s="1072"/>
      <c r="AU386" s="890">
        <f t="shared" si="1041"/>
        <v>472784</v>
      </c>
      <c r="AV386" s="890">
        <f t="shared" si="1041"/>
        <v>150232.23083616229</v>
      </c>
      <c r="AW386" s="890">
        <f t="shared" si="1041"/>
        <v>98460.78359138513</v>
      </c>
      <c r="AX386" s="890">
        <f t="shared" si="1041"/>
        <v>224090.9855724526</v>
      </c>
      <c r="AY386" s="1073"/>
      <c r="AZ386" s="1071"/>
      <c r="BB386" s="1072"/>
      <c r="BC386" s="890">
        <f t="shared" si="1042"/>
        <v>472784</v>
      </c>
      <c r="BD386" s="890">
        <f t="shared" si="1042"/>
        <v>150232.23083616229</v>
      </c>
      <c r="BE386" s="890">
        <f t="shared" si="1042"/>
        <v>98460.78359138513</v>
      </c>
      <c r="BF386" s="890">
        <f t="shared" si="1042"/>
        <v>224090.9855724526</v>
      </c>
      <c r="BG386" s="1073"/>
      <c r="BH386" s="1071"/>
      <c r="BJ386" s="1072"/>
      <c r="BK386" s="890">
        <f t="shared" si="1043"/>
        <v>472784</v>
      </c>
      <c r="BL386" s="890">
        <f t="shared" si="1043"/>
        <v>150232.23083616229</v>
      </c>
      <c r="BM386" s="890">
        <f t="shared" si="1043"/>
        <v>98460.78359138513</v>
      </c>
      <c r="BN386" s="890">
        <f t="shared" si="1043"/>
        <v>224090.9855724526</v>
      </c>
      <c r="BO386" s="1073"/>
      <c r="BP386" s="1071"/>
      <c r="BR386" s="1072"/>
      <c r="BS386" s="890">
        <f t="shared" si="1044"/>
        <v>472784</v>
      </c>
      <c r="BT386" s="890">
        <f t="shared" si="1044"/>
        <v>150232.23083616229</v>
      </c>
      <c r="BU386" s="890">
        <f t="shared" si="1044"/>
        <v>98460.78359138513</v>
      </c>
      <c r="BV386" s="890">
        <f t="shared" si="1044"/>
        <v>224090.9855724526</v>
      </c>
      <c r="BW386" s="1073"/>
      <c r="BX386" s="1071"/>
      <c r="BZ386" s="1072"/>
      <c r="CA386" s="890">
        <f t="shared" si="1045"/>
        <v>472784</v>
      </c>
      <c r="CB386" s="890">
        <f t="shared" si="1045"/>
        <v>150232.23083616229</v>
      </c>
      <c r="CC386" s="890">
        <f t="shared" si="1045"/>
        <v>98460.78359138513</v>
      </c>
      <c r="CD386" s="890">
        <f t="shared" si="1045"/>
        <v>224090.9855724526</v>
      </c>
      <c r="CE386" s="1073"/>
      <c r="CF386" s="1071"/>
      <c r="CH386" s="1072"/>
      <c r="CI386" s="890">
        <f t="shared" si="1046"/>
        <v>472784</v>
      </c>
      <c r="CJ386" s="890">
        <f t="shared" si="1046"/>
        <v>150232.23083616229</v>
      </c>
      <c r="CK386" s="890">
        <f t="shared" si="1046"/>
        <v>98460.78359138513</v>
      </c>
      <c r="CL386" s="890">
        <f t="shared" si="1046"/>
        <v>224090.9855724526</v>
      </c>
      <c r="CM386" s="1073"/>
      <c r="CN386" s="1071"/>
      <c r="CP386" s="1072"/>
      <c r="CQ386" s="890">
        <f t="shared" si="1047"/>
        <v>472784</v>
      </c>
      <c r="CR386" s="890">
        <f t="shared" si="1047"/>
        <v>150232.23083616229</v>
      </c>
      <c r="CS386" s="890">
        <f t="shared" si="1047"/>
        <v>98460.78359138513</v>
      </c>
      <c r="CT386" s="890">
        <f t="shared" si="1047"/>
        <v>224090.9855724526</v>
      </c>
      <c r="CU386" s="1073"/>
      <c r="CV386" s="1071"/>
      <c r="CX386" s="1072"/>
      <c r="CY386" s="890">
        <f t="shared" si="1048"/>
        <v>472784</v>
      </c>
      <c r="CZ386" s="890">
        <f t="shared" si="1048"/>
        <v>150232.23083616229</v>
      </c>
      <c r="DA386" s="890">
        <f t="shared" si="1048"/>
        <v>98460.78359138513</v>
      </c>
      <c r="DB386" s="890">
        <f t="shared" si="1048"/>
        <v>224090.9855724526</v>
      </c>
      <c r="DC386" s="1073"/>
      <c r="DD386" s="1071"/>
      <c r="DF386" s="1072"/>
      <c r="DG386" s="890">
        <f t="shared" si="1049"/>
        <v>472784</v>
      </c>
      <c r="DH386" s="890">
        <f t="shared" si="1049"/>
        <v>150232.23083616229</v>
      </c>
      <c r="DI386" s="890">
        <f t="shared" si="1049"/>
        <v>98460.78359138513</v>
      </c>
      <c r="DJ386" s="890">
        <f t="shared" si="1049"/>
        <v>224090.9855724526</v>
      </c>
      <c r="DK386" s="1073"/>
      <c r="DL386" s="1071"/>
      <c r="DN386" s="1072"/>
      <c r="DO386" s="890">
        <f t="shared" si="1050"/>
        <v>472784</v>
      </c>
      <c r="DP386" s="890">
        <f t="shared" si="1050"/>
        <v>150232.23083616229</v>
      </c>
      <c r="DQ386" s="890">
        <f t="shared" si="1050"/>
        <v>98460.78359138513</v>
      </c>
      <c r="DR386" s="890">
        <f t="shared" si="1050"/>
        <v>224090.9855724526</v>
      </c>
      <c r="DS386" s="1073"/>
      <c r="DT386" s="1071"/>
      <c r="DV386" s="1072"/>
      <c r="DW386" s="890">
        <f t="shared" si="1051"/>
        <v>472784</v>
      </c>
      <c r="DX386" s="890">
        <f t="shared" si="1051"/>
        <v>150232.23083616229</v>
      </c>
      <c r="DY386" s="890">
        <f t="shared" si="1051"/>
        <v>98460.78359138513</v>
      </c>
      <c r="DZ386" s="890">
        <f t="shared" si="1051"/>
        <v>224090.9855724526</v>
      </c>
      <c r="EA386" s="1073"/>
      <c r="EB386" s="1071"/>
      <c r="ED386" s="1072"/>
      <c r="EE386" s="890">
        <f t="shared" si="1052"/>
        <v>472784</v>
      </c>
      <c r="EF386" s="890">
        <f t="shared" si="1052"/>
        <v>150232.23083616229</v>
      </c>
      <c r="EG386" s="890">
        <f t="shared" si="1052"/>
        <v>98460.78359138513</v>
      </c>
      <c r="EH386" s="890">
        <f t="shared" si="1052"/>
        <v>224090.9855724526</v>
      </c>
      <c r="EI386" s="1073"/>
      <c r="EJ386" s="1071"/>
      <c r="EL386" s="1072"/>
      <c r="EM386" s="890">
        <f t="shared" si="1053"/>
        <v>472784</v>
      </c>
      <c r="EN386" s="890">
        <f t="shared" si="1053"/>
        <v>150232.23083616229</v>
      </c>
      <c r="EO386" s="890">
        <f t="shared" si="1053"/>
        <v>98460.78359138513</v>
      </c>
      <c r="EP386" s="890">
        <f t="shared" si="1053"/>
        <v>224090.9855724526</v>
      </c>
      <c r="EQ386" s="1073"/>
      <c r="ER386" s="1071"/>
      <c r="ET386" s="1072"/>
      <c r="EU386" s="890">
        <f t="shared" si="1054"/>
        <v>472784</v>
      </c>
      <c r="EV386" s="890">
        <f t="shared" si="1054"/>
        <v>150232.23083616229</v>
      </c>
      <c r="EW386" s="890">
        <f t="shared" si="1054"/>
        <v>98460.78359138513</v>
      </c>
      <c r="EX386" s="890">
        <f t="shared" si="1054"/>
        <v>224090.9855724526</v>
      </c>
      <c r="EY386" s="1073"/>
      <c r="EZ386" s="1071"/>
      <c r="FB386" s="1072"/>
      <c r="FC386" s="890">
        <f t="shared" si="1055"/>
        <v>472784</v>
      </c>
      <c r="FD386" s="890">
        <f t="shared" si="1055"/>
        <v>150232.23083616229</v>
      </c>
      <c r="FE386" s="890">
        <f t="shared" si="1055"/>
        <v>98460.78359138513</v>
      </c>
      <c r="FF386" s="890">
        <f t="shared" si="1055"/>
        <v>224090.9855724526</v>
      </c>
      <c r="FG386" s="1073"/>
      <c r="FH386" s="1071"/>
      <c r="FJ386" s="1072"/>
      <c r="FK386" s="890">
        <f t="shared" si="1056"/>
        <v>472784</v>
      </c>
      <c r="FL386" s="890">
        <f t="shared" si="1056"/>
        <v>150232.23083616229</v>
      </c>
      <c r="FM386" s="890">
        <f t="shared" si="1056"/>
        <v>98460.78359138513</v>
      </c>
      <c r="FN386" s="890">
        <f t="shared" si="1056"/>
        <v>224090.9855724526</v>
      </c>
      <c r="FO386" s="1073"/>
    </row>
    <row r="387" spans="2:171">
      <c r="B387" s="108"/>
      <c r="C387" s="108" t="s">
        <v>130</v>
      </c>
      <c r="D387" s="1071"/>
      <c r="E387" s="904" t="str">
        <f t="shared" si="1034"/>
        <v>PTD</v>
      </c>
      <c r="G387" s="890">
        <f t="shared" si="1035"/>
        <v>9005539</v>
      </c>
      <c r="H387" s="890">
        <f t="shared" si="1035"/>
        <v>2861607.4441014547</v>
      </c>
      <c r="I387" s="890">
        <f t="shared" si="1035"/>
        <v>0</v>
      </c>
      <c r="J387" s="890">
        <f t="shared" si="1035"/>
        <v>6143931.5558985453</v>
      </c>
      <c r="K387" s="1073">
        <f t="shared" si="1036"/>
        <v>1</v>
      </c>
      <c r="L387" s="1071"/>
      <c r="N387" s="1072"/>
      <c r="O387" s="890">
        <f t="shared" si="1037"/>
        <v>9005539</v>
      </c>
      <c r="P387" s="890">
        <f t="shared" si="1037"/>
        <v>2861607.4441014547</v>
      </c>
      <c r="Q387" s="890">
        <f t="shared" si="1037"/>
        <v>1875470.4613582075</v>
      </c>
      <c r="R387" s="890">
        <f t="shared" si="1037"/>
        <v>4268461.094540338</v>
      </c>
      <c r="S387" s="1073"/>
      <c r="T387" s="1071"/>
      <c r="V387" s="1072"/>
      <c r="W387" s="890">
        <f t="shared" si="1038"/>
        <v>9005539</v>
      </c>
      <c r="X387" s="890">
        <f t="shared" si="1038"/>
        <v>2861607.4441014547</v>
      </c>
      <c r="Y387" s="890">
        <f t="shared" si="1038"/>
        <v>1875470.4613582075</v>
      </c>
      <c r="Z387" s="890">
        <f t="shared" si="1038"/>
        <v>4268461.094540338</v>
      </c>
      <c r="AA387" s="1073"/>
      <c r="AB387" s="1071"/>
      <c r="AD387" s="1072"/>
      <c r="AE387" s="890">
        <f t="shared" si="1039"/>
        <v>9005539</v>
      </c>
      <c r="AF387" s="890">
        <f t="shared" si="1039"/>
        <v>2861607.4441014547</v>
      </c>
      <c r="AG387" s="890">
        <f t="shared" si="1039"/>
        <v>1875470.4613582075</v>
      </c>
      <c r="AH387" s="890">
        <f t="shared" si="1039"/>
        <v>4268461.094540338</v>
      </c>
      <c r="AI387" s="1073"/>
      <c r="AJ387" s="1071"/>
      <c r="AL387" s="1072"/>
      <c r="AM387" s="890">
        <f t="shared" si="1040"/>
        <v>9005539</v>
      </c>
      <c r="AN387" s="890">
        <f t="shared" si="1040"/>
        <v>2861607.4441014547</v>
      </c>
      <c r="AO387" s="890">
        <f t="shared" si="1040"/>
        <v>1875470.4613582075</v>
      </c>
      <c r="AP387" s="890">
        <f t="shared" si="1040"/>
        <v>4268461.094540338</v>
      </c>
      <c r="AQ387" s="1073"/>
      <c r="AR387" s="1071"/>
      <c r="AT387" s="1072"/>
      <c r="AU387" s="890">
        <f t="shared" si="1041"/>
        <v>9005539</v>
      </c>
      <c r="AV387" s="890">
        <f t="shared" si="1041"/>
        <v>2861607.4441014547</v>
      </c>
      <c r="AW387" s="890">
        <f t="shared" si="1041"/>
        <v>1875470.4613582075</v>
      </c>
      <c r="AX387" s="890">
        <f t="shared" si="1041"/>
        <v>4268461.094540338</v>
      </c>
      <c r="AY387" s="1073"/>
      <c r="AZ387" s="1071"/>
      <c r="BB387" s="1072"/>
      <c r="BC387" s="890">
        <f t="shared" si="1042"/>
        <v>9005539</v>
      </c>
      <c r="BD387" s="890">
        <f t="shared" si="1042"/>
        <v>2861607.4441014547</v>
      </c>
      <c r="BE387" s="890">
        <f t="shared" si="1042"/>
        <v>1875470.4613582075</v>
      </c>
      <c r="BF387" s="890">
        <f t="shared" si="1042"/>
        <v>4268461.094540338</v>
      </c>
      <c r="BG387" s="1073"/>
      <c r="BH387" s="1071"/>
      <c r="BJ387" s="1072"/>
      <c r="BK387" s="890">
        <f t="shared" si="1043"/>
        <v>9005539</v>
      </c>
      <c r="BL387" s="890">
        <f t="shared" si="1043"/>
        <v>2861607.4441014547</v>
      </c>
      <c r="BM387" s="890">
        <f t="shared" si="1043"/>
        <v>1875470.4613582075</v>
      </c>
      <c r="BN387" s="890">
        <f t="shared" si="1043"/>
        <v>4268461.094540338</v>
      </c>
      <c r="BO387" s="1073"/>
      <c r="BP387" s="1071"/>
      <c r="BR387" s="1072"/>
      <c r="BS387" s="890">
        <f t="shared" si="1044"/>
        <v>9005539</v>
      </c>
      <c r="BT387" s="890">
        <f t="shared" si="1044"/>
        <v>2861607.4441014547</v>
      </c>
      <c r="BU387" s="890">
        <f t="shared" si="1044"/>
        <v>1875470.4613582075</v>
      </c>
      <c r="BV387" s="890">
        <f t="shared" si="1044"/>
        <v>4268461.094540338</v>
      </c>
      <c r="BW387" s="1073"/>
      <c r="BX387" s="1071"/>
      <c r="BZ387" s="1072"/>
      <c r="CA387" s="890">
        <f t="shared" si="1045"/>
        <v>9005539</v>
      </c>
      <c r="CB387" s="890">
        <f t="shared" si="1045"/>
        <v>2861607.4441014547</v>
      </c>
      <c r="CC387" s="890">
        <f t="shared" si="1045"/>
        <v>1875470.4613582075</v>
      </c>
      <c r="CD387" s="890">
        <f t="shared" si="1045"/>
        <v>4268461.094540338</v>
      </c>
      <c r="CE387" s="1073"/>
      <c r="CF387" s="1071"/>
      <c r="CH387" s="1072"/>
      <c r="CI387" s="890">
        <f t="shared" si="1046"/>
        <v>9005539</v>
      </c>
      <c r="CJ387" s="890">
        <f t="shared" si="1046"/>
        <v>2861607.4441014547</v>
      </c>
      <c r="CK387" s="890">
        <f t="shared" si="1046"/>
        <v>1875470.4613582075</v>
      </c>
      <c r="CL387" s="890">
        <f t="shared" si="1046"/>
        <v>4268461.094540338</v>
      </c>
      <c r="CM387" s="1073"/>
      <c r="CN387" s="1071"/>
      <c r="CP387" s="1072"/>
      <c r="CQ387" s="890">
        <f t="shared" si="1047"/>
        <v>9005539</v>
      </c>
      <c r="CR387" s="890">
        <f t="shared" si="1047"/>
        <v>2861607.4441014547</v>
      </c>
      <c r="CS387" s="890">
        <f t="shared" si="1047"/>
        <v>1875470.4613582075</v>
      </c>
      <c r="CT387" s="890">
        <f t="shared" si="1047"/>
        <v>4268461.094540338</v>
      </c>
      <c r="CU387" s="1073"/>
      <c r="CV387" s="1071"/>
      <c r="CX387" s="1072"/>
      <c r="CY387" s="890">
        <f t="shared" si="1048"/>
        <v>9005539</v>
      </c>
      <c r="CZ387" s="890">
        <f t="shared" si="1048"/>
        <v>2861607.4441014547</v>
      </c>
      <c r="DA387" s="890">
        <f t="shared" si="1048"/>
        <v>1875470.4613582075</v>
      </c>
      <c r="DB387" s="890">
        <f t="shared" si="1048"/>
        <v>4268461.094540338</v>
      </c>
      <c r="DC387" s="1073"/>
      <c r="DD387" s="1071"/>
      <c r="DF387" s="1072"/>
      <c r="DG387" s="890">
        <f t="shared" si="1049"/>
        <v>9005539</v>
      </c>
      <c r="DH387" s="890">
        <f t="shared" si="1049"/>
        <v>2861607.4441014547</v>
      </c>
      <c r="DI387" s="890">
        <f t="shared" si="1049"/>
        <v>1875470.4613582075</v>
      </c>
      <c r="DJ387" s="890">
        <f t="shared" si="1049"/>
        <v>4268461.094540338</v>
      </c>
      <c r="DK387" s="1073"/>
      <c r="DL387" s="1071"/>
      <c r="DN387" s="1072"/>
      <c r="DO387" s="890">
        <f t="shared" si="1050"/>
        <v>9005539</v>
      </c>
      <c r="DP387" s="890">
        <f t="shared" si="1050"/>
        <v>2861607.4441014547</v>
      </c>
      <c r="DQ387" s="890">
        <f t="shared" si="1050"/>
        <v>1875470.4613582075</v>
      </c>
      <c r="DR387" s="890">
        <f t="shared" si="1050"/>
        <v>4268461.094540338</v>
      </c>
      <c r="DS387" s="1073"/>
      <c r="DT387" s="1071"/>
      <c r="DV387" s="1072"/>
      <c r="DW387" s="890">
        <f t="shared" si="1051"/>
        <v>9005539</v>
      </c>
      <c r="DX387" s="890">
        <f t="shared" si="1051"/>
        <v>2861607.4441014547</v>
      </c>
      <c r="DY387" s="890">
        <f t="shared" si="1051"/>
        <v>1875470.4613582075</v>
      </c>
      <c r="DZ387" s="890">
        <f t="shared" si="1051"/>
        <v>4268461.094540338</v>
      </c>
      <c r="EA387" s="1073"/>
      <c r="EB387" s="1071"/>
      <c r="ED387" s="1072"/>
      <c r="EE387" s="890">
        <f t="shared" si="1052"/>
        <v>9005539</v>
      </c>
      <c r="EF387" s="890">
        <f t="shared" si="1052"/>
        <v>2861607.4441014547</v>
      </c>
      <c r="EG387" s="890">
        <f t="shared" si="1052"/>
        <v>1875470.4613582075</v>
      </c>
      <c r="EH387" s="890">
        <f t="shared" si="1052"/>
        <v>4268461.094540338</v>
      </c>
      <c r="EI387" s="1073"/>
      <c r="EJ387" s="1071"/>
      <c r="EL387" s="1072"/>
      <c r="EM387" s="890">
        <f t="shared" si="1053"/>
        <v>9005539</v>
      </c>
      <c r="EN387" s="890">
        <f t="shared" si="1053"/>
        <v>2861607.4441014547</v>
      </c>
      <c r="EO387" s="890">
        <f t="shared" si="1053"/>
        <v>1875470.4613582075</v>
      </c>
      <c r="EP387" s="890">
        <f t="shared" si="1053"/>
        <v>4268461.094540338</v>
      </c>
      <c r="EQ387" s="1073"/>
      <c r="ER387" s="1071"/>
      <c r="ET387" s="1072"/>
      <c r="EU387" s="890">
        <f t="shared" si="1054"/>
        <v>9005539</v>
      </c>
      <c r="EV387" s="890">
        <f t="shared" si="1054"/>
        <v>2861607.4441014547</v>
      </c>
      <c r="EW387" s="890">
        <f t="shared" si="1054"/>
        <v>1875470.4613582075</v>
      </c>
      <c r="EX387" s="890">
        <f t="shared" si="1054"/>
        <v>4268461.094540338</v>
      </c>
      <c r="EY387" s="1073"/>
      <c r="EZ387" s="1071"/>
      <c r="FB387" s="1072"/>
      <c r="FC387" s="890">
        <f t="shared" si="1055"/>
        <v>9005539</v>
      </c>
      <c r="FD387" s="890">
        <f t="shared" si="1055"/>
        <v>2861607.4441014547</v>
      </c>
      <c r="FE387" s="890">
        <f t="shared" si="1055"/>
        <v>1875470.4613582075</v>
      </c>
      <c r="FF387" s="890">
        <f t="shared" si="1055"/>
        <v>4268461.094540338</v>
      </c>
      <c r="FG387" s="1073"/>
      <c r="FH387" s="1071"/>
      <c r="FJ387" s="1072"/>
      <c r="FK387" s="890">
        <f t="shared" si="1056"/>
        <v>9005539</v>
      </c>
      <c r="FL387" s="890">
        <f t="shared" si="1056"/>
        <v>2861607.4441014547</v>
      </c>
      <c r="FM387" s="890">
        <f t="shared" si="1056"/>
        <v>1875470.4613582075</v>
      </c>
      <c r="FN387" s="890">
        <f t="shared" si="1056"/>
        <v>4268461.094540338</v>
      </c>
      <c r="FO387" s="1073"/>
    </row>
    <row r="388" spans="2:171">
      <c r="B388" s="108"/>
      <c r="C388" s="108" t="s">
        <v>131</v>
      </c>
      <c r="D388" s="1071"/>
      <c r="E388" s="904" t="str">
        <f t="shared" si="1034"/>
        <v>PTD</v>
      </c>
      <c r="G388" s="890">
        <f t="shared" si="1035"/>
        <v>3305287</v>
      </c>
      <c r="H388" s="890">
        <f t="shared" si="1035"/>
        <v>1050290.7026544178</v>
      </c>
      <c r="I388" s="890">
        <f t="shared" si="1035"/>
        <v>0</v>
      </c>
      <c r="J388" s="890">
        <f t="shared" si="1035"/>
        <v>2254996.2973455819</v>
      </c>
      <c r="K388" s="1073">
        <f t="shared" si="1036"/>
        <v>1</v>
      </c>
      <c r="L388" s="1071"/>
      <c r="N388" s="1072"/>
      <c r="O388" s="890">
        <f t="shared" si="1037"/>
        <v>3305287</v>
      </c>
      <c r="P388" s="890">
        <f t="shared" si="1037"/>
        <v>1050290.7026544178</v>
      </c>
      <c r="Q388" s="890">
        <f t="shared" si="1037"/>
        <v>688350.59565133031</v>
      </c>
      <c r="R388" s="890">
        <f t="shared" si="1037"/>
        <v>1566645.7016942517</v>
      </c>
      <c r="S388" s="1073"/>
      <c r="T388" s="1071"/>
      <c r="V388" s="1072"/>
      <c r="W388" s="890">
        <f t="shared" si="1038"/>
        <v>3305287</v>
      </c>
      <c r="X388" s="890">
        <f t="shared" si="1038"/>
        <v>1050290.7026544178</v>
      </c>
      <c r="Y388" s="890">
        <f t="shared" si="1038"/>
        <v>688350.59565133031</v>
      </c>
      <c r="Z388" s="890">
        <f t="shared" si="1038"/>
        <v>1566645.7016942517</v>
      </c>
      <c r="AA388" s="1073"/>
      <c r="AB388" s="1071"/>
      <c r="AD388" s="1072"/>
      <c r="AE388" s="890">
        <f t="shared" si="1039"/>
        <v>3305287</v>
      </c>
      <c r="AF388" s="890">
        <f t="shared" si="1039"/>
        <v>1050290.7026544178</v>
      </c>
      <c r="AG388" s="890">
        <f t="shared" si="1039"/>
        <v>688350.59565133031</v>
      </c>
      <c r="AH388" s="890">
        <f t="shared" si="1039"/>
        <v>1566645.7016942517</v>
      </c>
      <c r="AI388" s="1073"/>
      <c r="AJ388" s="1071"/>
      <c r="AL388" s="1072"/>
      <c r="AM388" s="890">
        <f t="shared" si="1040"/>
        <v>3305287</v>
      </c>
      <c r="AN388" s="890">
        <f t="shared" si="1040"/>
        <v>1050290.7026544178</v>
      </c>
      <c r="AO388" s="890">
        <f t="shared" si="1040"/>
        <v>688350.59565133031</v>
      </c>
      <c r="AP388" s="890">
        <f t="shared" si="1040"/>
        <v>1566645.7016942517</v>
      </c>
      <c r="AQ388" s="1073"/>
      <c r="AR388" s="1071"/>
      <c r="AT388" s="1072"/>
      <c r="AU388" s="890">
        <f t="shared" si="1041"/>
        <v>3305287</v>
      </c>
      <c r="AV388" s="890">
        <f t="shared" si="1041"/>
        <v>1050290.7026544178</v>
      </c>
      <c r="AW388" s="890">
        <f t="shared" si="1041"/>
        <v>688350.59565133031</v>
      </c>
      <c r="AX388" s="890">
        <f t="shared" si="1041"/>
        <v>1566645.7016942517</v>
      </c>
      <c r="AY388" s="1073"/>
      <c r="AZ388" s="1071"/>
      <c r="BB388" s="1072"/>
      <c r="BC388" s="890">
        <f t="shared" si="1042"/>
        <v>3305287</v>
      </c>
      <c r="BD388" s="890">
        <f t="shared" si="1042"/>
        <v>1050290.7026544178</v>
      </c>
      <c r="BE388" s="890">
        <f t="shared" si="1042"/>
        <v>688350.59565133031</v>
      </c>
      <c r="BF388" s="890">
        <f t="shared" si="1042"/>
        <v>1566645.7016942517</v>
      </c>
      <c r="BG388" s="1073"/>
      <c r="BH388" s="1071"/>
      <c r="BJ388" s="1072"/>
      <c r="BK388" s="890">
        <f t="shared" si="1043"/>
        <v>3305287</v>
      </c>
      <c r="BL388" s="890">
        <f t="shared" si="1043"/>
        <v>1050290.7026544178</v>
      </c>
      <c r="BM388" s="890">
        <f t="shared" si="1043"/>
        <v>688350.59565133031</v>
      </c>
      <c r="BN388" s="890">
        <f t="shared" si="1043"/>
        <v>1566645.7016942517</v>
      </c>
      <c r="BO388" s="1073"/>
      <c r="BP388" s="1071"/>
      <c r="BR388" s="1072"/>
      <c r="BS388" s="890">
        <f t="shared" si="1044"/>
        <v>3305287</v>
      </c>
      <c r="BT388" s="890">
        <f t="shared" si="1044"/>
        <v>1050290.7026544178</v>
      </c>
      <c r="BU388" s="890">
        <f t="shared" si="1044"/>
        <v>688350.59565133031</v>
      </c>
      <c r="BV388" s="890">
        <f t="shared" si="1044"/>
        <v>1566645.7016942517</v>
      </c>
      <c r="BW388" s="1073"/>
      <c r="BX388" s="1071"/>
      <c r="BZ388" s="1072"/>
      <c r="CA388" s="890">
        <f t="shared" si="1045"/>
        <v>3305287</v>
      </c>
      <c r="CB388" s="890">
        <f t="shared" si="1045"/>
        <v>1050290.7026544178</v>
      </c>
      <c r="CC388" s="890">
        <f t="shared" si="1045"/>
        <v>688350.59565133031</v>
      </c>
      <c r="CD388" s="890">
        <f t="shared" si="1045"/>
        <v>1566645.7016942517</v>
      </c>
      <c r="CE388" s="1073"/>
      <c r="CF388" s="1071"/>
      <c r="CH388" s="1072"/>
      <c r="CI388" s="890">
        <f t="shared" si="1046"/>
        <v>3305287</v>
      </c>
      <c r="CJ388" s="890">
        <f t="shared" si="1046"/>
        <v>1050290.7026544178</v>
      </c>
      <c r="CK388" s="890">
        <f t="shared" si="1046"/>
        <v>688350.59565133031</v>
      </c>
      <c r="CL388" s="890">
        <f t="shared" si="1046"/>
        <v>1566645.7016942517</v>
      </c>
      <c r="CM388" s="1073"/>
      <c r="CN388" s="1071"/>
      <c r="CP388" s="1072"/>
      <c r="CQ388" s="890">
        <f t="shared" si="1047"/>
        <v>3305287</v>
      </c>
      <c r="CR388" s="890">
        <f t="shared" si="1047"/>
        <v>1050290.7026544178</v>
      </c>
      <c r="CS388" s="890">
        <f t="shared" si="1047"/>
        <v>688350.59565133031</v>
      </c>
      <c r="CT388" s="890">
        <f t="shared" si="1047"/>
        <v>1566645.7016942517</v>
      </c>
      <c r="CU388" s="1073"/>
      <c r="CV388" s="1071"/>
      <c r="CX388" s="1072"/>
      <c r="CY388" s="890">
        <f t="shared" si="1048"/>
        <v>3305287</v>
      </c>
      <c r="CZ388" s="890">
        <f t="shared" si="1048"/>
        <v>1050290.7026544178</v>
      </c>
      <c r="DA388" s="890">
        <f t="shared" si="1048"/>
        <v>688350.59565133031</v>
      </c>
      <c r="DB388" s="890">
        <f t="shared" si="1048"/>
        <v>1566645.7016942517</v>
      </c>
      <c r="DC388" s="1073"/>
      <c r="DD388" s="1071"/>
      <c r="DF388" s="1072"/>
      <c r="DG388" s="890">
        <f t="shared" si="1049"/>
        <v>3305287</v>
      </c>
      <c r="DH388" s="890">
        <f t="shared" si="1049"/>
        <v>1050290.7026544178</v>
      </c>
      <c r="DI388" s="890">
        <f t="shared" si="1049"/>
        <v>688350.59565133031</v>
      </c>
      <c r="DJ388" s="890">
        <f t="shared" si="1049"/>
        <v>1566645.7016942517</v>
      </c>
      <c r="DK388" s="1073"/>
      <c r="DL388" s="1071"/>
      <c r="DN388" s="1072"/>
      <c r="DO388" s="890">
        <f t="shared" si="1050"/>
        <v>3305287</v>
      </c>
      <c r="DP388" s="890">
        <f t="shared" si="1050"/>
        <v>1050290.7026544178</v>
      </c>
      <c r="DQ388" s="890">
        <f t="shared" si="1050"/>
        <v>688350.59565133031</v>
      </c>
      <c r="DR388" s="890">
        <f t="shared" si="1050"/>
        <v>1566645.7016942517</v>
      </c>
      <c r="DS388" s="1073"/>
      <c r="DT388" s="1071"/>
      <c r="DV388" s="1072"/>
      <c r="DW388" s="890">
        <f t="shared" si="1051"/>
        <v>3305287</v>
      </c>
      <c r="DX388" s="890">
        <f t="shared" si="1051"/>
        <v>1050290.7026544178</v>
      </c>
      <c r="DY388" s="890">
        <f t="shared" si="1051"/>
        <v>688350.59565133031</v>
      </c>
      <c r="DZ388" s="890">
        <f t="shared" si="1051"/>
        <v>1566645.7016942517</v>
      </c>
      <c r="EA388" s="1073"/>
      <c r="EB388" s="1071"/>
      <c r="ED388" s="1072"/>
      <c r="EE388" s="890">
        <f t="shared" si="1052"/>
        <v>3305287</v>
      </c>
      <c r="EF388" s="890">
        <f t="shared" si="1052"/>
        <v>1050290.7026544178</v>
      </c>
      <c r="EG388" s="890">
        <f t="shared" si="1052"/>
        <v>688350.59565133031</v>
      </c>
      <c r="EH388" s="890">
        <f t="shared" si="1052"/>
        <v>1566645.7016942517</v>
      </c>
      <c r="EI388" s="1073"/>
      <c r="EJ388" s="1071"/>
      <c r="EL388" s="1072"/>
      <c r="EM388" s="890">
        <f t="shared" si="1053"/>
        <v>3305287</v>
      </c>
      <c r="EN388" s="890">
        <f t="shared" si="1053"/>
        <v>1050290.7026544178</v>
      </c>
      <c r="EO388" s="890">
        <f t="shared" si="1053"/>
        <v>688350.59565133031</v>
      </c>
      <c r="EP388" s="890">
        <f t="shared" si="1053"/>
        <v>1566645.7016942517</v>
      </c>
      <c r="EQ388" s="1073"/>
      <c r="ER388" s="1071"/>
      <c r="ET388" s="1072"/>
      <c r="EU388" s="890">
        <f t="shared" si="1054"/>
        <v>3305287</v>
      </c>
      <c r="EV388" s="890">
        <f t="shared" si="1054"/>
        <v>1050290.7026544178</v>
      </c>
      <c r="EW388" s="890">
        <f t="shared" si="1054"/>
        <v>688350.59565133031</v>
      </c>
      <c r="EX388" s="890">
        <f t="shared" si="1054"/>
        <v>1566645.7016942517</v>
      </c>
      <c r="EY388" s="1073"/>
      <c r="EZ388" s="1071"/>
      <c r="FB388" s="1072"/>
      <c r="FC388" s="890">
        <f t="shared" si="1055"/>
        <v>3305287</v>
      </c>
      <c r="FD388" s="890">
        <f t="shared" si="1055"/>
        <v>1050290.7026544178</v>
      </c>
      <c r="FE388" s="890">
        <f t="shared" si="1055"/>
        <v>688350.59565133031</v>
      </c>
      <c r="FF388" s="890">
        <f t="shared" si="1055"/>
        <v>1566645.7016942517</v>
      </c>
      <c r="FG388" s="1073"/>
      <c r="FH388" s="1071"/>
      <c r="FJ388" s="1072"/>
      <c r="FK388" s="890">
        <f t="shared" si="1056"/>
        <v>3305287</v>
      </c>
      <c r="FL388" s="890">
        <f t="shared" si="1056"/>
        <v>1050290.7026544178</v>
      </c>
      <c r="FM388" s="890">
        <f t="shared" si="1056"/>
        <v>688350.59565133031</v>
      </c>
      <c r="FN388" s="890">
        <f t="shared" si="1056"/>
        <v>1566645.7016942517</v>
      </c>
      <c r="FO388" s="1073"/>
    </row>
    <row r="389" spans="2:171">
      <c r="B389" s="108"/>
      <c r="C389" s="108" t="s">
        <v>132</v>
      </c>
      <c r="D389" s="1071"/>
      <c r="E389" s="904" t="str">
        <f t="shared" si="1034"/>
        <v>TD</v>
      </c>
      <c r="G389" s="890">
        <f t="shared" si="1035"/>
        <v>25432532</v>
      </c>
      <c r="H389" s="890">
        <f t="shared" si="1035"/>
        <v>0</v>
      </c>
      <c r="I389" s="890">
        <f t="shared" si="1035"/>
        <v>0</v>
      </c>
      <c r="J389" s="890">
        <f t="shared" si="1035"/>
        <v>25432532</v>
      </c>
      <c r="K389" s="1073">
        <f t="shared" si="1036"/>
        <v>1</v>
      </c>
      <c r="L389" s="1071"/>
      <c r="N389" s="1072"/>
      <c r="O389" s="890">
        <f t="shared" si="1037"/>
        <v>25432532</v>
      </c>
      <c r="P389" s="890">
        <f t="shared" si="1037"/>
        <v>0</v>
      </c>
      <c r="Q389" s="890">
        <f t="shared" si="1037"/>
        <v>7763426.7389835175</v>
      </c>
      <c r="R389" s="890">
        <f t="shared" si="1037"/>
        <v>17669105.261016481</v>
      </c>
      <c r="S389" s="1073"/>
      <c r="T389" s="1071"/>
      <c r="V389" s="1072"/>
      <c r="W389" s="890">
        <f t="shared" si="1038"/>
        <v>25432532</v>
      </c>
      <c r="X389" s="890">
        <f t="shared" si="1038"/>
        <v>0</v>
      </c>
      <c r="Y389" s="890">
        <f t="shared" si="1038"/>
        <v>7763426.7389835175</v>
      </c>
      <c r="Z389" s="890">
        <f t="shared" si="1038"/>
        <v>17669105.261016481</v>
      </c>
      <c r="AA389" s="1073"/>
      <c r="AB389" s="1071"/>
      <c r="AD389" s="1072"/>
      <c r="AE389" s="890">
        <f t="shared" si="1039"/>
        <v>25432532</v>
      </c>
      <c r="AF389" s="890">
        <f t="shared" si="1039"/>
        <v>0</v>
      </c>
      <c r="AG389" s="890">
        <f t="shared" si="1039"/>
        <v>7763426.7389835175</v>
      </c>
      <c r="AH389" s="890">
        <f t="shared" si="1039"/>
        <v>17669105.261016481</v>
      </c>
      <c r="AI389" s="1073"/>
      <c r="AJ389" s="1071"/>
      <c r="AL389" s="1072"/>
      <c r="AM389" s="890">
        <f t="shared" si="1040"/>
        <v>25432532</v>
      </c>
      <c r="AN389" s="890">
        <f t="shared" si="1040"/>
        <v>0</v>
      </c>
      <c r="AO389" s="890">
        <f t="shared" si="1040"/>
        <v>7763426.7389835175</v>
      </c>
      <c r="AP389" s="890">
        <f t="shared" si="1040"/>
        <v>17669105.261016481</v>
      </c>
      <c r="AQ389" s="1073"/>
      <c r="AR389" s="1071"/>
      <c r="AT389" s="1072"/>
      <c r="AU389" s="890">
        <f t="shared" si="1041"/>
        <v>25432532</v>
      </c>
      <c r="AV389" s="890">
        <f t="shared" si="1041"/>
        <v>0</v>
      </c>
      <c r="AW389" s="890">
        <f t="shared" si="1041"/>
        <v>7763426.7389835175</v>
      </c>
      <c r="AX389" s="890">
        <f t="shared" si="1041"/>
        <v>17669105.261016481</v>
      </c>
      <c r="AY389" s="1073"/>
      <c r="AZ389" s="1071"/>
      <c r="BB389" s="1072"/>
      <c r="BC389" s="890">
        <f t="shared" si="1042"/>
        <v>25432532</v>
      </c>
      <c r="BD389" s="890">
        <f t="shared" si="1042"/>
        <v>0</v>
      </c>
      <c r="BE389" s="890">
        <f t="shared" si="1042"/>
        <v>7763426.7389835175</v>
      </c>
      <c r="BF389" s="890">
        <f t="shared" si="1042"/>
        <v>17669105.261016481</v>
      </c>
      <c r="BG389" s="1073"/>
      <c r="BH389" s="1071"/>
      <c r="BJ389" s="1072"/>
      <c r="BK389" s="890">
        <f t="shared" si="1043"/>
        <v>25432532</v>
      </c>
      <c r="BL389" s="890">
        <f t="shared" si="1043"/>
        <v>0</v>
      </c>
      <c r="BM389" s="890">
        <f t="shared" si="1043"/>
        <v>7763426.7389835175</v>
      </c>
      <c r="BN389" s="890">
        <f t="shared" si="1043"/>
        <v>17669105.261016481</v>
      </c>
      <c r="BO389" s="1073"/>
      <c r="BP389" s="1071"/>
      <c r="BR389" s="1072"/>
      <c r="BS389" s="890">
        <f t="shared" si="1044"/>
        <v>25432532</v>
      </c>
      <c r="BT389" s="890">
        <f t="shared" si="1044"/>
        <v>0</v>
      </c>
      <c r="BU389" s="890">
        <f t="shared" si="1044"/>
        <v>7763426.7389835175</v>
      </c>
      <c r="BV389" s="890">
        <f t="shared" si="1044"/>
        <v>17669105.261016481</v>
      </c>
      <c r="BW389" s="1073"/>
      <c r="BX389" s="1071"/>
      <c r="BZ389" s="1072"/>
      <c r="CA389" s="890">
        <f t="shared" si="1045"/>
        <v>25432532</v>
      </c>
      <c r="CB389" s="890">
        <f t="shared" si="1045"/>
        <v>0</v>
      </c>
      <c r="CC389" s="890">
        <f t="shared" si="1045"/>
        <v>7763426.7389835175</v>
      </c>
      <c r="CD389" s="890">
        <f t="shared" si="1045"/>
        <v>17669105.261016481</v>
      </c>
      <c r="CE389" s="1073"/>
      <c r="CF389" s="1071"/>
      <c r="CH389" s="1072"/>
      <c r="CI389" s="890">
        <f t="shared" si="1046"/>
        <v>25432532</v>
      </c>
      <c r="CJ389" s="890">
        <f t="shared" si="1046"/>
        <v>0</v>
      </c>
      <c r="CK389" s="890">
        <f t="shared" si="1046"/>
        <v>7763426.7389835175</v>
      </c>
      <c r="CL389" s="890">
        <f t="shared" si="1046"/>
        <v>17669105.261016481</v>
      </c>
      <c r="CM389" s="1073"/>
      <c r="CN389" s="1071"/>
      <c r="CP389" s="1072"/>
      <c r="CQ389" s="890">
        <f t="shared" si="1047"/>
        <v>25432532</v>
      </c>
      <c r="CR389" s="890">
        <f t="shared" si="1047"/>
        <v>0</v>
      </c>
      <c r="CS389" s="890">
        <f t="shared" si="1047"/>
        <v>7763426.7389835175</v>
      </c>
      <c r="CT389" s="890">
        <f t="shared" si="1047"/>
        <v>17669105.261016481</v>
      </c>
      <c r="CU389" s="1073"/>
      <c r="CV389" s="1071"/>
      <c r="CX389" s="1072"/>
      <c r="CY389" s="890">
        <f t="shared" si="1048"/>
        <v>25432532</v>
      </c>
      <c r="CZ389" s="890">
        <f t="shared" si="1048"/>
        <v>0</v>
      </c>
      <c r="DA389" s="890">
        <f t="shared" si="1048"/>
        <v>7763426.7389835175</v>
      </c>
      <c r="DB389" s="890">
        <f t="shared" si="1048"/>
        <v>17669105.261016481</v>
      </c>
      <c r="DC389" s="1073"/>
      <c r="DD389" s="1071"/>
      <c r="DF389" s="1072"/>
      <c r="DG389" s="890">
        <f t="shared" si="1049"/>
        <v>25432532</v>
      </c>
      <c r="DH389" s="890">
        <f t="shared" si="1049"/>
        <v>0</v>
      </c>
      <c r="DI389" s="890">
        <f t="shared" si="1049"/>
        <v>7763426.7389835175</v>
      </c>
      <c r="DJ389" s="890">
        <f t="shared" si="1049"/>
        <v>17669105.261016481</v>
      </c>
      <c r="DK389" s="1073"/>
      <c r="DL389" s="1071"/>
      <c r="DN389" s="1072"/>
      <c r="DO389" s="890">
        <f t="shared" si="1050"/>
        <v>25432532</v>
      </c>
      <c r="DP389" s="890">
        <f t="shared" si="1050"/>
        <v>0</v>
      </c>
      <c r="DQ389" s="890">
        <f t="shared" si="1050"/>
        <v>7763426.7389835175</v>
      </c>
      <c r="DR389" s="890">
        <f t="shared" si="1050"/>
        <v>17669105.261016481</v>
      </c>
      <c r="DS389" s="1073"/>
      <c r="DT389" s="1071"/>
      <c r="DV389" s="1072"/>
      <c r="DW389" s="890">
        <f t="shared" si="1051"/>
        <v>25432532</v>
      </c>
      <c r="DX389" s="890">
        <f t="shared" si="1051"/>
        <v>0</v>
      </c>
      <c r="DY389" s="890">
        <f t="shared" si="1051"/>
        <v>7763426.7389835175</v>
      </c>
      <c r="DZ389" s="890">
        <f t="shared" si="1051"/>
        <v>17669105.261016481</v>
      </c>
      <c r="EA389" s="1073"/>
      <c r="EB389" s="1071"/>
      <c r="ED389" s="1072"/>
      <c r="EE389" s="890">
        <f t="shared" si="1052"/>
        <v>25432532</v>
      </c>
      <c r="EF389" s="890">
        <f t="shared" si="1052"/>
        <v>0</v>
      </c>
      <c r="EG389" s="890">
        <f t="shared" si="1052"/>
        <v>7763426.7389835175</v>
      </c>
      <c r="EH389" s="890">
        <f t="shared" si="1052"/>
        <v>17669105.261016481</v>
      </c>
      <c r="EI389" s="1073"/>
      <c r="EJ389" s="1071"/>
      <c r="EL389" s="1072"/>
      <c r="EM389" s="890">
        <f t="shared" si="1053"/>
        <v>25432532</v>
      </c>
      <c r="EN389" s="890">
        <f t="shared" si="1053"/>
        <v>0</v>
      </c>
      <c r="EO389" s="890">
        <f t="shared" si="1053"/>
        <v>7763426.7389835175</v>
      </c>
      <c r="EP389" s="890">
        <f t="shared" si="1053"/>
        <v>17669105.261016481</v>
      </c>
      <c r="EQ389" s="1073"/>
      <c r="ER389" s="1071"/>
      <c r="ET389" s="1072"/>
      <c r="EU389" s="890">
        <f t="shared" si="1054"/>
        <v>25432532</v>
      </c>
      <c r="EV389" s="890">
        <f t="shared" si="1054"/>
        <v>0</v>
      </c>
      <c r="EW389" s="890">
        <f t="shared" si="1054"/>
        <v>7763426.7389835175</v>
      </c>
      <c r="EX389" s="890">
        <f t="shared" si="1054"/>
        <v>17669105.261016481</v>
      </c>
      <c r="EY389" s="1073"/>
      <c r="EZ389" s="1071"/>
      <c r="FB389" s="1072"/>
      <c r="FC389" s="890">
        <f t="shared" si="1055"/>
        <v>25432532</v>
      </c>
      <c r="FD389" s="890">
        <f t="shared" si="1055"/>
        <v>0</v>
      </c>
      <c r="FE389" s="890">
        <f t="shared" si="1055"/>
        <v>7763426.7389835175</v>
      </c>
      <c r="FF389" s="890">
        <f t="shared" si="1055"/>
        <v>17669105.261016481</v>
      </c>
      <c r="FG389" s="1073"/>
      <c r="FH389" s="1071"/>
      <c r="FJ389" s="1072"/>
      <c r="FK389" s="890">
        <f t="shared" si="1056"/>
        <v>25432532</v>
      </c>
      <c r="FL389" s="890">
        <f t="shared" si="1056"/>
        <v>0</v>
      </c>
      <c r="FM389" s="890">
        <f t="shared" si="1056"/>
        <v>7763426.7389835175</v>
      </c>
      <c r="FN389" s="890">
        <f t="shared" si="1056"/>
        <v>17669105.261016481</v>
      </c>
      <c r="FO389" s="1073"/>
    </row>
    <row r="390" spans="2:171">
      <c r="B390" s="108"/>
      <c r="C390" s="108" t="s">
        <v>133</v>
      </c>
      <c r="D390" s="1071"/>
      <c r="E390" s="904" t="str">
        <f t="shared" si="1034"/>
        <v>PTD</v>
      </c>
      <c r="G390" s="890">
        <f t="shared" si="1035"/>
        <v>42279271</v>
      </c>
      <c r="H390" s="890">
        <f t="shared" si="1035"/>
        <v>13434695.760551672</v>
      </c>
      <c r="I390" s="890">
        <f t="shared" si="1035"/>
        <v>0</v>
      </c>
      <c r="J390" s="890">
        <f t="shared" si="1035"/>
        <v>28844575.239448324</v>
      </c>
      <c r="K390" s="1073">
        <f t="shared" si="1036"/>
        <v>1</v>
      </c>
      <c r="L390" s="1071"/>
      <c r="N390" s="1072"/>
      <c r="O390" s="890">
        <f t="shared" si="1037"/>
        <v>42279271</v>
      </c>
      <c r="P390" s="890">
        <f t="shared" si="1037"/>
        <v>13434695.760551672</v>
      </c>
      <c r="Q390" s="890">
        <f t="shared" si="1037"/>
        <v>8804972.5716871228</v>
      </c>
      <c r="R390" s="890">
        <f t="shared" si="1037"/>
        <v>20039602.667761203</v>
      </c>
      <c r="S390" s="1073"/>
      <c r="T390" s="1071"/>
      <c r="V390" s="1072"/>
      <c r="W390" s="890">
        <f t="shared" si="1038"/>
        <v>42279271</v>
      </c>
      <c r="X390" s="890">
        <f t="shared" si="1038"/>
        <v>13434695.760551672</v>
      </c>
      <c r="Y390" s="890">
        <f t="shared" si="1038"/>
        <v>8804972.5716871228</v>
      </c>
      <c r="Z390" s="890">
        <f t="shared" si="1038"/>
        <v>20039602.667761203</v>
      </c>
      <c r="AA390" s="1073"/>
      <c r="AB390" s="1071"/>
      <c r="AD390" s="1072"/>
      <c r="AE390" s="890">
        <f t="shared" si="1039"/>
        <v>42279271</v>
      </c>
      <c r="AF390" s="890">
        <f t="shared" si="1039"/>
        <v>13434695.760551672</v>
      </c>
      <c r="AG390" s="890">
        <f t="shared" si="1039"/>
        <v>8804972.5716871228</v>
      </c>
      <c r="AH390" s="890">
        <f t="shared" si="1039"/>
        <v>20039602.667761203</v>
      </c>
      <c r="AI390" s="1073"/>
      <c r="AJ390" s="1071"/>
      <c r="AL390" s="1072"/>
      <c r="AM390" s="890">
        <f t="shared" si="1040"/>
        <v>42279271</v>
      </c>
      <c r="AN390" s="890">
        <f t="shared" si="1040"/>
        <v>13434695.760551672</v>
      </c>
      <c r="AO390" s="890">
        <f t="shared" si="1040"/>
        <v>8804972.5716871228</v>
      </c>
      <c r="AP390" s="890">
        <f t="shared" si="1040"/>
        <v>20039602.667761203</v>
      </c>
      <c r="AQ390" s="1073"/>
      <c r="AR390" s="1071"/>
      <c r="AT390" s="1072"/>
      <c r="AU390" s="890">
        <f t="shared" si="1041"/>
        <v>42279271</v>
      </c>
      <c r="AV390" s="890">
        <f t="shared" si="1041"/>
        <v>13434695.760551672</v>
      </c>
      <c r="AW390" s="890">
        <f t="shared" si="1041"/>
        <v>8804972.5716871228</v>
      </c>
      <c r="AX390" s="890">
        <f t="shared" si="1041"/>
        <v>20039602.667761203</v>
      </c>
      <c r="AY390" s="1073"/>
      <c r="AZ390" s="1071"/>
      <c r="BB390" s="1072"/>
      <c r="BC390" s="890">
        <f t="shared" si="1042"/>
        <v>42279271</v>
      </c>
      <c r="BD390" s="890">
        <f t="shared" si="1042"/>
        <v>13434695.760551672</v>
      </c>
      <c r="BE390" s="890">
        <f t="shared" si="1042"/>
        <v>8804972.5716871228</v>
      </c>
      <c r="BF390" s="890">
        <f t="shared" si="1042"/>
        <v>20039602.667761203</v>
      </c>
      <c r="BG390" s="1073"/>
      <c r="BH390" s="1071"/>
      <c r="BJ390" s="1072"/>
      <c r="BK390" s="890">
        <f t="shared" si="1043"/>
        <v>42279271</v>
      </c>
      <c r="BL390" s="890">
        <f t="shared" si="1043"/>
        <v>13434695.760551672</v>
      </c>
      <c r="BM390" s="890">
        <f t="shared" si="1043"/>
        <v>8804972.5716871228</v>
      </c>
      <c r="BN390" s="890">
        <f t="shared" si="1043"/>
        <v>20039602.667761203</v>
      </c>
      <c r="BO390" s="1073"/>
      <c r="BP390" s="1071"/>
      <c r="BR390" s="1072"/>
      <c r="BS390" s="890">
        <f t="shared" si="1044"/>
        <v>42279271</v>
      </c>
      <c r="BT390" s="890">
        <f t="shared" si="1044"/>
        <v>13434695.760551672</v>
      </c>
      <c r="BU390" s="890">
        <f t="shared" si="1044"/>
        <v>8804972.5716871228</v>
      </c>
      <c r="BV390" s="890">
        <f t="shared" si="1044"/>
        <v>20039602.667761203</v>
      </c>
      <c r="BW390" s="1073"/>
      <c r="BX390" s="1071"/>
      <c r="BZ390" s="1072"/>
      <c r="CA390" s="890">
        <f t="shared" si="1045"/>
        <v>42279271</v>
      </c>
      <c r="CB390" s="890">
        <f t="shared" si="1045"/>
        <v>13434695.760551672</v>
      </c>
      <c r="CC390" s="890">
        <f t="shared" si="1045"/>
        <v>8804972.5716871228</v>
      </c>
      <c r="CD390" s="890">
        <f t="shared" si="1045"/>
        <v>20039602.667761203</v>
      </c>
      <c r="CE390" s="1073"/>
      <c r="CF390" s="1071"/>
      <c r="CH390" s="1072"/>
      <c r="CI390" s="890">
        <f t="shared" si="1046"/>
        <v>42279271</v>
      </c>
      <c r="CJ390" s="890">
        <f t="shared" si="1046"/>
        <v>13434695.760551672</v>
      </c>
      <c r="CK390" s="890">
        <f t="shared" si="1046"/>
        <v>8804972.5716871228</v>
      </c>
      <c r="CL390" s="890">
        <f t="shared" si="1046"/>
        <v>20039602.667761203</v>
      </c>
      <c r="CM390" s="1073"/>
      <c r="CN390" s="1071"/>
      <c r="CP390" s="1072"/>
      <c r="CQ390" s="890">
        <f t="shared" si="1047"/>
        <v>42279271</v>
      </c>
      <c r="CR390" s="890">
        <f t="shared" si="1047"/>
        <v>13434695.760551672</v>
      </c>
      <c r="CS390" s="890">
        <f t="shared" si="1047"/>
        <v>8804972.5716871228</v>
      </c>
      <c r="CT390" s="890">
        <f t="shared" si="1047"/>
        <v>20039602.667761203</v>
      </c>
      <c r="CU390" s="1073"/>
      <c r="CV390" s="1071"/>
      <c r="CX390" s="1072"/>
      <c r="CY390" s="890">
        <f t="shared" si="1048"/>
        <v>42279271</v>
      </c>
      <c r="CZ390" s="890">
        <f t="shared" si="1048"/>
        <v>13434695.760551672</v>
      </c>
      <c r="DA390" s="890">
        <f t="shared" si="1048"/>
        <v>8804972.5716871228</v>
      </c>
      <c r="DB390" s="890">
        <f t="shared" si="1048"/>
        <v>20039602.667761203</v>
      </c>
      <c r="DC390" s="1073"/>
      <c r="DD390" s="1071"/>
      <c r="DF390" s="1072"/>
      <c r="DG390" s="890">
        <f t="shared" si="1049"/>
        <v>42279271</v>
      </c>
      <c r="DH390" s="890">
        <f t="shared" si="1049"/>
        <v>13434695.760551672</v>
      </c>
      <c r="DI390" s="890">
        <f t="shared" si="1049"/>
        <v>8804972.5716871228</v>
      </c>
      <c r="DJ390" s="890">
        <f t="shared" si="1049"/>
        <v>20039602.667761203</v>
      </c>
      <c r="DK390" s="1073"/>
      <c r="DL390" s="1071"/>
      <c r="DN390" s="1072"/>
      <c r="DO390" s="890">
        <f t="shared" si="1050"/>
        <v>42279271</v>
      </c>
      <c r="DP390" s="890">
        <f t="shared" si="1050"/>
        <v>13434695.760551672</v>
      </c>
      <c r="DQ390" s="890">
        <f t="shared" si="1050"/>
        <v>8804972.5716871228</v>
      </c>
      <c r="DR390" s="890">
        <f t="shared" si="1050"/>
        <v>20039602.667761203</v>
      </c>
      <c r="DS390" s="1073"/>
      <c r="DT390" s="1071"/>
      <c r="DV390" s="1072"/>
      <c r="DW390" s="890">
        <f t="shared" si="1051"/>
        <v>42279271</v>
      </c>
      <c r="DX390" s="890">
        <f t="shared" si="1051"/>
        <v>13434695.760551672</v>
      </c>
      <c r="DY390" s="890">
        <f t="shared" si="1051"/>
        <v>8804972.5716871228</v>
      </c>
      <c r="DZ390" s="890">
        <f t="shared" si="1051"/>
        <v>20039602.667761203</v>
      </c>
      <c r="EA390" s="1073"/>
      <c r="EB390" s="1071"/>
      <c r="ED390" s="1072"/>
      <c r="EE390" s="890">
        <f t="shared" si="1052"/>
        <v>42279271</v>
      </c>
      <c r="EF390" s="890">
        <f t="shared" si="1052"/>
        <v>13434695.760551672</v>
      </c>
      <c r="EG390" s="890">
        <f t="shared" si="1052"/>
        <v>8804972.5716871228</v>
      </c>
      <c r="EH390" s="890">
        <f t="shared" si="1052"/>
        <v>20039602.667761203</v>
      </c>
      <c r="EI390" s="1073"/>
      <c r="EJ390" s="1071"/>
      <c r="EL390" s="1072"/>
      <c r="EM390" s="890">
        <f t="shared" si="1053"/>
        <v>42279271</v>
      </c>
      <c r="EN390" s="890">
        <f t="shared" si="1053"/>
        <v>13434695.760551672</v>
      </c>
      <c r="EO390" s="890">
        <f t="shared" si="1053"/>
        <v>8804972.5716871228</v>
      </c>
      <c r="EP390" s="890">
        <f t="shared" si="1053"/>
        <v>20039602.667761203</v>
      </c>
      <c r="EQ390" s="1073"/>
      <c r="ER390" s="1071"/>
      <c r="ET390" s="1072"/>
      <c r="EU390" s="890">
        <f t="shared" si="1054"/>
        <v>42279271</v>
      </c>
      <c r="EV390" s="890">
        <f t="shared" si="1054"/>
        <v>13434695.760551672</v>
      </c>
      <c r="EW390" s="890">
        <f t="shared" si="1054"/>
        <v>8804972.5716871228</v>
      </c>
      <c r="EX390" s="890">
        <f t="shared" si="1054"/>
        <v>20039602.667761203</v>
      </c>
      <c r="EY390" s="1073"/>
      <c r="EZ390" s="1071"/>
      <c r="FB390" s="1072"/>
      <c r="FC390" s="890">
        <f t="shared" si="1055"/>
        <v>42279271</v>
      </c>
      <c r="FD390" s="890">
        <f t="shared" si="1055"/>
        <v>13434695.760551672</v>
      </c>
      <c r="FE390" s="890">
        <f t="shared" si="1055"/>
        <v>8804972.5716871228</v>
      </c>
      <c r="FF390" s="890">
        <f t="shared" si="1055"/>
        <v>20039602.667761203</v>
      </c>
      <c r="FG390" s="1073"/>
      <c r="FH390" s="1071"/>
      <c r="FJ390" s="1072"/>
      <c r="FK390" s="890">
        <f t="shared" si="1056"/>
        <v>42279271</v>
      </c>
      <c r="FL390" s="890">
        <f t="shared" si="1056"/>
        <v>13434695.760551672</v>
      </c>
      <c r="FM390" s="890">
        <f t="shared" si="1056"/>
        <v>8804972.5716871228</v>
      </c>
      <c r="FN390" s="890">
        <f t="shared" si="1056"/>
        <v>20039602.667761203</v>
      </c>
      <c r="FO390" s="1073"/>
    </row>
    <row r="391" spans="2:171">
      <c r="B391" s="108"/>
      <c r="C391" s="108" t="s">
        <v>134</v>
      </c>
      <c r="D391" s="1071"/>
      <c r="E391" s="904" t="str">
        <f t="shared" si="1034"/>
        <v>PTD</v>
      </c>
      <c r="G391" s="890">
        <f t="shared" si="1035"/>
        <v>258773</v>
      </c>
      <c r="H391" s="890">
        <f t="shared" si="1035"/>
        <v>82227.920297992794</v>
      </c>
      <c r="I391" s="890">
        <f t="shared" si="1035"/>
        <v>0</v>
      </c>
      <c r="J391" s="890">
        <f t="shared" si="1035"/>
        <v>176545.07970200721</v>
      </c>
      <c r="K391" s="1073">
        <f t="shared" si="1036"/>
        <v>1</v>
      </c>
      <c r="L391" s="1071"/>
      <c r="N391" s="1072"/>
      <c r="O391" s="890">
        <f t="shared" si="1037"/>
        <v>258773</v>
      </c>
      <c r="P391" s="890">
        <f t="shared" si="1037"/>
        <v>82227.920297992794</v>
      </c>
      <c r="Q391" s="890">
        <f t="shared" si="1037"/>
        <v>53891.401469367622</v>
      </c>
      <c r="R391" s="890">
        <f t="shared" si="1037"/>
        <v>122653.67823263959</v>
      </c>
      <c r="S391" s="1073"/>
      <c r="T391" s="1071"/>
      <c r="V391" s="1072"/>
      <c r="W391" s="890">
        <f t="shared" si="1038"/>
        <v>258773</v>
      </c>
      <c r="X391" s="890">
        <f t="shared" si="1038"/>
        <v>82227.920297992794</v>
      </c>
      <c r="Y391" s="890">
        <f t="shared" si="1038"/>
        <v>53891.401469367622</v>
      </c>
      <c r="Z391" s="890">
        <f t="shared" si="1038"/>
        <v>122653.67823263959</v>
      </c>
      <c r="AA391" s="1073"/>
      <c r="AB391" s="1071"/>
      <c r="AD391" s="1072"/>
      <c r="AE391" s="890">
        <f t="shared" si="1039"/>
        <v>258773</v>
      </c>
      <c r="AF391" s="890">
        <f t="shared" si="1039"/>
        <v>82227.920297992794</v>
      </c>
      <c r="AG391" s="890">
        <f t="shared" si="1039"/>
        <v>53891.401469367622</v>
      </c>
      <c r="AH391" s="890">
        <f t="shared" si="1039"/>
        <v>122653.67823263959</v>
      </c>
      <c r="AI391" s="1073"/>
      <c r="AJ391" s="1071"/>
      <c r="AL391" s="1072"/>
      <c r="AM391" s="890">
        <f t="shared" si="1040"/>
        <v>258773</v>
      </c>
      <c r="AN391" s="890">
        <f t="shared" si="1040"/>
        <v>82227.920297992794</v>
      </c>
      <c r="AO391" s="890">
        <f t="shared" si="1040"/>
        <v>53891.401469367622</v>
      </c>
      <c r="AP391" s="890">
        <f t="shared" si="1040"/>
        <v>122653.67823263959</v>
      </c>
      <c r="AQ391" s="1073"/>
      <c r="AR391" s="1071"/>
      <c r="AT391" s="1072"/>
      <c r="AU391" s="890">
        <f t="shared" si="1041"/>
        <v>258773</v>
      </c>
      <c r="AV391" s="890">
        <f t="shared" si="1041"/>
        <v>82227.920297992794</v>
      </c>
      <c r="AW391" s="890">
        <f t="shared" si="1041"/>
        <v>53891.401469367622</v>
      </c>
      <c r="AX391" s="890">
        <f t="shared" si="1041"/>
        <v>122653.67823263959</v>
      </c>
      <c r="AY391" s="1073"/>
      <c r="AZ391" s="1071"/>
      <c r="BB391" s="1072"/>
      <c r="BC391" s="890">
        <f t="shared" si="1042"/>
        <v>258773</v>
      </c>
      <c r="BD391" s="890">
        <f t="shared" si="1042"/>
        <v>82227.920297992794</v>
      </c>
      <c r="BE391" s="890">
        <f t="shared" si="1042"/>
        <v>53891.401469367622</v>
      </c>
      <c r="BF391" s="890">
        <f t="shared" si="1042"/>
        <v>122653.67823263959</v>
      </c>
      <c r="BG391" s="1073"/>
      <c r="BH391" s="1071"/>
      <c r="BJ391" s="1072"/>
      <c r="BK391" s="890">
        <f t="shared" si="1043"/>
        <v>258773</v>
      </c>
      <c r="BL391" s="890">
        <f t="shared" si="1043"/>
        <v>82227.920297992794</v>
      </c>
      <c r="BM391" s="890">
        <f t="shared" si="1043"/>
        <v>53891.401469367622</v>
      </c>
      <c r="BN391" s="890">
        <f t="shared" si="1043"/>
        <v>122653.67823263959</v>
      </c>
      <c r="BO391" s="1073"/>
      <c r="BP391" s="1071"/>
      <c r="BR391" s="1072"/>
      <c r="BS391" s="890">
        <f t="shared" si="1044"/>
        <v>258773</v>
      </c>
      <c r="BT391" s="890">
        <f t="shared" si="1044"/>
        <v>82227.920297992794</v>
      </c>
      <c r="BU391" s="890">
        <f t="shared" si="1044"/>
        <v>53891.401469367622</v>
      </c>
      <c r="BV391" s="890">
        <f t="shared" si="1044"/>
        <v>122653.67823263959</v>
      </c>
      <c r="BW391" s="1073"/>
      <c r="BX391" s="1071"/>
      <c r="BZ391" s="1072"/>
      <c r="CA391" s="890">
        <f t="shared" si="1045"/>
        <v>258773</v>
      </c>
      <c r="CB391" s="890">
        <f t="shared" si="1045"/>
        <v>82227.920297992794</v>
      </c>
      <c r="CC391" s="890">
        <f t="shared" si="1045"/>
        <v>53891.401469367622</v>
      </c>
      <c r="CD391" s="890">
        <f t="shared" si="1045"/>
        <v>122653.67823263959</v>
      </c>
      <c r="CE391" s="1073"/>
      <c r="CF391" s="1071"/>
      <c r="CH391" s="1072"/>
      <c r="CI391" s="890">
        <f t="shared" si="1046"/>
        <v>258773</v>
      </c>
      <c r="CJ391" s="890">
        <f t="shared" si="1046"/>
        <v>82227.920297992794</v>
      </c>
      <c r="CK391" s="890">
        <f t="shared" si="1046"/>
        <v>53891.401469367622</v>
      </c>
      <c r="CL391" s="890">
        <f t="shared" si="1046"/>
        <v>122653.67823263959</v>
      </c>
      <c r="CM391" s="1073"/>
      <c r="CN391" s="1071"/>
      <c r="CP391" s="1072"/>
      <c r="CQ391" s="890">
        <f t="shared" si="1047"/>
        <v>258773</v>
      </c>
      <c r="CR391" s="890">
        <f t="shared" si="1047"/>
        <v>82227.920297992794</v>
      </c>
      <c r="CS391" s="890">
        <f t="shared" si="1047"/>
        <v>53891.401469367622</v>
      </c>
      <c r="CT391" s="890">
        <f t="shared" si="1047"/>
        <v>122653.67823263959</v>
      </c>
      <c r="CU391" s="1073"/>
      <c r="CV391" s="1071"/>
      <c r="CX391" s="1072"/>
      <c r="CY391" s="890">
        <f t="shared" si="1048"/>
        <v>258773</v>
      </c>
      <c r="CZ391" s="890">
        <f t="shared" si="1048"/>
        <v>82227.920297992794</v>
      </c>
      <c r="DA391" s="890">
        <f t="shared" si="1048"/>
        <v>53891.401469367622</v>
      </c>
      <c r="DB391" s="890">
        <f t="shared" si="1048"/>
        <v>122653.67823263959</v>
      </c>
      <c r="DC391" s="1073"/>
      <c r="DD391" s="1071"/>
      <c r="DF391" s="1072"/>
      <c r="DG391" s="890">
        <f t="shared" si="1049"/>
        <v>258773</v>
      </c>
      <c r="DH391" s="890">
        <f t="shared" si="1049"/>
        <v>82227.920297992794</v>
      </c>
      <c r="DI391" s="890">
        <f t="shared" si="1049"/>
        <v>53891.401469367622</v>
      </c>
      <c r="DJ391" s="890">
        <f t="shared" si="1049"/>
        <v>122653.67823263959</v>
      </c>
      <c r="DK391" s="1073"/>
      <c r="DL391" s="1071"/>
      <c r="DN391" s="1072"/>
      <c r="DO391" s="890">
        <f t="shared" si="1050"/>
        <v>258773</v>
      </c>
      <c r="DP391" s="890">
        <f t="shared" si="1050"/>
        <v>82227.920297992794</v>
      </c>
      <c r="DQ391" s="890">
        <f t="shared" si="1050"/>
        <v>53891.401469367622</v>
      </c>
      <c r="DR391" s="890">
        <f t="shared" si="1050"/>
        <v>122653.67823263959</v>
      </c>
      <c r="DS391" s="1073"/>
      <c r="DT391" s="1071"/>
      <c r="DV391" s="1072"/>
      <c r="DW391" s="890">
        <f t="shared" si="1051"/>
        <v>258773</v>
      </c>
      <c r="DX391" s="890">
        <f t="shared" si="1051"/>
        <v>82227.920297992794</v>
      </c>
      <c r="DY391" s="890">
        <f t="shared" si="1051"/>
        <v>53891.401469367622</v>
      </c>
      <c r="DZ391" s="890">
        <f t="shared" si="1051"/>
        <v>122653.67823263959</v>
      </c>
      <c r="EA391" s="1073"/>
      <c r="EB391" s="1071"/>
      <c r="ED391" s="1072"/>
      <c r="EE391" s="890">
        <f t="shared" si="1052"/>
        <v>258773</v>
      </c>
      <c r="EF391" s="890">
        <f t="shared" si="1052"/>
        <v>82227.920297992794</v>
      </c>
      <c r="EG391" s="890">
        <f t="shared" si="1052"/>
        <v>53891.401469367622</v>
      </c>
      <c r="EH391" s="890">
        <f t="shared" si="1052"/>
        <v>122653.67823263959</v>
      </c>
      <c r="EI391" s="1073"/>
      <c r="EJ391" s="1071"/>
      <c r="EL391" s="1072"/>
      <c r="EM391" s="890">
        <f t="shared" si="1053"/>
        <v>258773</v>
      </c>
      <c r="EN391" s="890">
        <f t="shared" si="1053"/>
        <v>82227.920297992794</v>
      </c>
      <c r="EO391" s="890">
        <f t="shared" si="1053"/>
        <v>53891.401469367622</v>
      </c>
      <c r="EP391" s="890">
        <f t="shared" si="1053"/>
        <v>122653.67823263959</v>
      </c>
      <c r="EQ391" s="1073"/>
      <c r="ER391" s="1071"/>
      <c r="ET391" s="1072"/>
      <c r="EU391" s="890">
        <f t="shared" si="1054"/>
        <v>258773</v>
      </c>
      <c r="EV391" s="890">
        <f t="shared" si="1054"/>
        <v>82227.920297992794</v>
      </c>
      <c r="EW391" s="890">
        <f t="shared" si="1054"/>
        <v>53891.401469367622</v>
      </c>
      <c r="EX391" s="890">
        <f t="shared" si="1054"/>
        <v>122653.67823263959</v>
      </c>
      <c r="EY391" s="1073"/>
      <c r="EZ391" s="1071"/>
      <c r="FB391" s="1072"/>
      <c r="FC391" s="890">
        <f t="shared" si="1055"/>
        <v>258773</v>
      </c>
      <c r="FD391" s="890">
        <f t="shared" si="1055"/>
        <v>82227.920297992794</v>
      </c>
      <c r="FE391" s="890">
        <f t="shared" si="1055"/>
        <v>53891.401469367622</v>
      </c>
      <c r="FF391" s="890">
        <f t="shared" si="1055"/>
        <v>122653.67823263959</v>
      </c>
      <c r="FG391" s="1073"/>
      <c r="FH391" s="1071"/>
      <c r="FJ391" s="1072"/>
      <c r="FK391" s="890">
        <f t="shared" si="1056"/>
        <v>258773</v>
      </c>
      <c r="FL391" s="890">
        <f t="shared" si="1056"/>
        <v>82227.920297992794</v>
      </c>
      <c r="FM391" s="890">
        <f t="shared" si="1056"/>
        <v>53891.401469367622</v>
      </c>
      <c r="FN391" s="890">
        <f t="shared" si="1056"/>
        <v>122653.67823263959</v>
      </c>
      <c r="FO391" s="1073"/>
    </row>
    <row r="392" spans="2:171">
      <c r="B392" s="108"/>
      <c r="C392" s="108" t="s">
        <v>256</v>
      </c>
      <c r="D392" s="1071"/>
      <c r="E392" s="904" t="str">
        <f t="shared" si="1034"/>
        <v>DIRECT</v>
      </c>
      <c r="G392" s="890">
        <f t="shared" si="1035"/>
        <v>0</v>
      </c>
      <c r="H392" s="890">
        <f t="shared" si="1035"/>
        <v>0</v>
      </c>
      <c r="I392" s="890">
        <f t="shared" si="1035"/>
        <v>0</v>
      </c>
      <c r="J392" s="890">
        <f t="shared" si="1035"/>
        <v>0</v>
      </c>
      <c r="K392" s="1073">
        <f t="shared" si="1036"/>
        <v>0</v>
      </c>
      <c r="L392" s="1071"/>
      <c r="N392" s="1072"/>
      <c r="O392" s="890">
        <f t="shared" si="1037"/>
        <v>0</v>
      </c>
      <c r="P392" s="890">
        <f t="shared" si="1037"/>
        <v>0</v>
      </c>
      <c r="Q392" s="890">
        <f t="shared" si="1037"/>
        <v>0</v>
      </c>
      <c r="R392" s="890">
        <f t="shared" si="1037"/>
        <v>0</v>
      </c>
      <c r="S392" s="1073"/>
      <c r="T392" s="1071"/>
      <c r="V392" s="1072"/>
      <c r="W392" s="890">
        <f t="shared" si="1038"/>
        <v>0</v>
      </c>
      <c r="X392" s="890">
        <f t="shared" si="1038"/>
        <v>0</v>
      </c>
      <c r="Y392" s="890">
        <f t="shared" si="1038"/>
        <v>0</v>
      </c>
      <c r="Z392" s="890">
        <f t="shared" si="1038"/>
        <v>0</v>
      </c>
      <c r="AA392" s="1073"/>
      <c r="AB392" s="1071"/>
      <c r="AD392" s="1072"/>
      <c r="AE392" s="890">
        <f t="shared" si="1039"/>
        <v>0</v>
      </c>
      <c r="AF392" s="890">
        <f t="shared" si="1039"/>
        <v>0</v>
      </c>
      <c r="AG392" s="890">
        <f t="shared" si="1039"/>
        <v>0</v>
      </c>
      <c r="AH392" s="890">
        <f t="shared" si="1039"/>
        <v>0</v>
      </c>
      <c r="AI392" s="1073"/>
      <c r="AJ392" s="1071"/>
      <c r="AL392" s="1072"/>
      <c r="AM392" s="890">
        <f t="shared" si="1040"/>
        <v>0</v>
      </c>
      <c r="AN392" s="890">
        <f t="shared" si="1040"/>
        <v>0</v>
      </c>
      <c r="AO392" s="890">
        <f t="shared" si="1040"/>
        <v>0</v>
      </c>
      <c r="AP392" s="890">
        <f t="shared" si="1040"/>
        <v>0</v>
      </c>
      <c r="AQ392" s="1073"/>
      <c r="AR392" s="1071"/>
      <c r="AT392" s="1072"/>
      <c r="AU392" s="890">
        <f t="shared" si="1041"/>
        <v>0</v>
      </c>
      <c r="AV392" s="890">
        <f t="shared" si="1041"/>
        <v>0</v>
      </c>
      <c r="AW392" s="890">
        <f t="shared" si="1041"/>
        <v>0</v>
      </c>
      <c r="AX392" s="890">
        <f t="shared" si="1041"/>
        <v>0</v>
      </c>
      <c r="AY392" s="1073"/>
      <c r="AZ392" s="1071"/>
      <c r="BB392" s="1072"/>
      <c r="BC392" s="890">
        <f t="shared" si="1042"/>
        <v>0</v>
      </c>
      <c r="BD392" s="890">
        <f t="shared" si="1042"/>
        <v>0</v>
      </c>
      <c r="BE392" s="890">
        <f t="shared" si="1042"/>
        <v>0</v>
      </c>
      <c r="BF392" s="890">
        <f t="shared" si="1042"/>
        <v>0</v>
      </c>
      <c r="BG392" s="1073"/>
      <c r="BH392" s="1071"/>
      <c r="BJ392" s="1072"/>
      <c r="BK392" s="890">
        <f t="shared" si="1043"/>
        <v>0</v>
      </c>
      <c r="BL392" s="890">
        <f t="shared" si="1043"/>
        <v>0</v>
      </c>
      <c r="BM392" s="890">
        <f t="shared" si="1043"/>
        <v>0</v>
      </c>
      <c r="BN392" s="890">
        <f t="shared" si="1043"/>
        <v>0</v>
      </c>
      <c r="BO392" s="1073"/>
      <c r="BP392" s="1071"/>
      <c r="BR392" s="1072"/>
      <c r="BS392" s="890">
        <f t="shared" si="1044"/>
        <v>0</v>
      </c>
      <c r="BT392" s="890">
        <f t="shared" si="1044"/>
        <v>0</v>
      </c>
      <c r="BU392" s="890">
        <f t="shared" si="1044"/>
        <v>0</v>
      </c>
      <c r="BV392" s="890">
        <f t="shared" si="1044"/>
        <v>0</v>
      </c>
      <c r="BW392" s="1073"/>
      <c r="BX392" s="1071"/>
      <c r="BZ392" s="1072"/>
      <c r="CA392" s="890">
        <f t="shared" si="1045"/>
        <v>0</v>
      </c>
      <c r="CB392" s="890">
        <f t="shared" si="1045"/>
        <v>0</v>
      </c>
      <c r="CC392" s="890">
        <f t="shared" si="1045"/>
        <v>0</v>
      </c>
      <c r="CD392" s="890">
        <f t="shared" si="1045"/>
        <v>0</v>
      </c>
      <c r="CE392" s="1073"/>
      <c r="CF392" s="1071"/>
      <c r="CH392" s="1072"/>
      <c r="CI392" s="890">
        <f t="shared" si="1046"/>
        <v>0</v>
      </c>
      <c r="CJ392" s="890">
        <f t="shared" si="1046"/>
        <v>0</v>
      </c>
      <c r="CK392" s="890">
        <f t="shared" si="1046"/>
        <v>0</v>
      </c>
      <c r="CL392" s="890">
        <f t="shared" si="1046"/>
        <v>0</v>
      </c>
      <c r="CM392" s="1073"/>
      <c r="CN392" s="1071"/>
      <c r="CP392" s="1072"/>
      <c r="CQ392" s="890">
        <f t="shared" si="1047"/>
        <v>0</v>
      </c>
      <c r="CR392" s="890">
        <f t="shared" si="1047"/>
        <v>0</v>
      </c>
      <c r="CS392" s="890">
        <f t="shared" si="1047"/>
        <v>0</v>
      </c>
      <c r="CT392" s="890">
        <f t="shared" si="1047"/>
        <v>0</v>
      </c>
      <c r="CU392" s="1073"/>
      <c r="CV392" s="1071"/>
      <c r="CX392" s="1072"/>
      <c r="CY392" s="890">
        <f t="shared" si="1048"/>
        <v>0</v>
      </c>
      <c r="CZ392" s="890">
        <f t="shared" si="1048"/>
        <v>0</v>
      </c>
      <c r="DA392" s="890">
        <f t="shared" si="1048"/>
        <v>0</v>
      </c>
      <c r="DB392" s="890">
        <f t="shared" si="1048"/>
        <v>0</v>
      </c>
      <c r="DC392" s="1073"/>
      <c r="DD392" s="1071"/>
      <c r="DF392" s="1072"/>
      <c r="DG392" s="890">
        <f t="shared" si="1049"/>
        <v>0</v>
      </c>
      <c r="DH392" s="890">
        <f t="shared" si="1049"/>
        <v>0</v>
      </c>
      <c r="DI392" s="890">
        <f t="shared" si="1049"/>
        <v>0</v>
      </c>
      <c r="DJ392" s="890">
        <f t="shared" si="1049"/>
        <v>0</v>
      </c>
      <c r="DK392" s="1073"/>
      <c r="DL392" s="1071"/>
      <c r="DN392" s="1072"/>
      <c r="DO392" s="890">
        <f t="shared" si="1050"/>
        <v>0</v>
      </c>
      <c r="DP392" s="890">
        <f t="shared" si="1050"/>
        <v>0</v>
      </c>
      <c r="DQ392" s="890">
        <f t="shared" si="1050"/>
        <v>0</v>
      </c>
      <c r="DR392" s="890">
        <f t="shared" si="1050"/>
        <v>0</v>
      </c>
      <c r="DS392" s="1073"/>
      <c r="DT392" s="1071"/>
      <c r="DV392" s="1072"/>
      <c r="DW392" s="890">
        <f t="shared" si="1051"/>
        <v>0</v>
      </c>
      <c r="DX392" s="890">
        <f t="shared" si="1051"/>
        <v>0</v>
      </c>
      <c r="DY392" s="890">
        <f t="shared" si="1051"/>
        <v>0</v>
      </c>
      <c r="DZ392" s="890">
        <f t="shared" si="1051"/>
        <v>0</v>
      </c>
      <c r="EA392" s="1073"/>
      <c r="EB392" s="1071"/>
      <c r="ED392" s="1072"/>
      <c r="EE392" s="890">
        <f t="shared" si="1052"/>
        <v>0</v>
      </c>
      <c r="EF392" s="890">
        <f t="shared" si="1052"/>
        <v>0</v>
      </c>
      <c r="EG392" s="890">
        <f t="shared" si="1052"/>
        <v>0</v>
      </c>
      <c r="EH392" s="890">
        <f t="shared" si="1052"/>
        <v>0</v>
      </c>
      <c r="EI392" s="1073"/>
      <c r="EJ392" s="1071"/>
      <c r="EL392" s="1072"/>
      <c r="EM392" s="890">
        <f t="shared" si="1053"/>
        <v>0</v>
      </c>
      <c r="EN392" s="890">
        <f t="shared" si="1053"/>
        <v>0</v>
      </c>
      <c r="EO392" s="890">
        <f t="shared" si="1053"/>
        <v>0</v>
      </c>
      <c r="EP392" s="890">
        <f t="shared" si="1053"/>
        <v>0</v>
      </c>
      <c r="EQ392" s="1073"/>
      <c r="ER392" s="1071"/>
      <c r="ET392" s="1072"/>
      <c r="EU392" s="890">
        <f t="shared" si="1054"/>
        <v>0</v>
      </c>
      <c r="EV392" s="890">
        <f t="shared" si="1054"/>
        <v>0</v>
      </c>
      <c r="EW392" s="890">
        <f t="shared" si="1054"/>
        <v>0</v>
      </c>
      <c r="EX392" s="890">
        <f t="shared" si="1054"/>
        <v>0</v>
      </c>
      <c r="EY392" s="1073"/>
      <c r="EZ392" s="1071"/>
      <c r="FB392" s="1072"/>
      <c r="FC392" s="890">
        <f t="shared" si="1055"/>
        <v>0</v>
      </c>
      <c r="FD392" s="890">
        <f t="shared" si="1055"/>
        <v>0</v>
      </c>
      <c r="FE392" s="890">
        <f t="shared" si="1055"/>
        <v>0</v>
      </c>
      <c r="FF392" s="890">
        <f t="shared" si="1055"/>
        <v>0</v>
      </c>
      <c r="FG392" s="1073"/>
      <c r="FH392" s="1071"/>
      <c r="FJ392" s="1072"/>
      <c r="FK392" s="890">
        <f t="shared" si="1056"/>
        <v>0</v>
      </c>
      <c r="FL392" s="890">
        <f t="shared" si="1056"/>
        <v>0</v>
      </c>
      <c r="FM392" s="890">
        <f t="shared" si="1056"/>
        <v>0</v>
      </c>
      <c r="FN392" s="890">
        <f t="shared" si="1056"/>
        <v>0</v>
      </c>
      <c r="FO392" s="1073"/>
    </row>
    <row r="393" spans="2:171">
      <c r="B393" s="108"/>
      <c r="C393" s="108" t="s">
        <v>446</v>
      </c>
      <c r="D393" s="1071"/>
      <c r="E393" s="904" t="str">
        <f t="shared" si="1034"/>
        <v>PTD</v>
      </c>
      <c r="G393" s="890">
        <f t="shared" si="1035"/>
        <v>0</v>
      </c>
      <c r="H393" s="890">
        <f t="shared" si="1035"/>
        <v>0</v>
      </c>
      <c r="I393" s="890">
        <f t="shared" si="1035"/>
        <v>0</v>
      </c>
      <c r="J393" s="890">
        <f t="shared" si="1035"/>
        <v>0</v>
      </c>
      <c r="K393" s="1073">
        <f t="shared" si="1036"/>
        <v>1</v>
      </c>
      <c r="L393" s="1071"/>
      <c r="N393" s="1072"/>
      <c r="O393" s="890">
        <f t="shared" si="1037"/>
        <v>0</v>
      </c>
      <c r="P393" s="890">
        <f t="shared" si="1037"/>
        <v>0</v>
      </c>
      <c r="Q393" s="890">
        <f t="shared" si="1037"/>
        <v>0</v>
      </c>
      <c r="R393" s="890">
        <f t="shared" si="1037"/>
        <v>0</v>
      </c>
      <c r="S393" s="1073"/>
      <c r="T393" s="1071"/>
      <c r="V393" s="1072"/>
      <c r="W393" s="890">
        <f t="shared" si="1038"/>
        <v>0</v>
      </c>
      <c r="X393" s="890">
        <f t="shared" si="1038"/>
        <v>0</v>
      </c>
      <c r="Y393" s="890">
        <f t="shared" si="1038"/>
        <v>0</v>
      </c>
      <c r="Z393" s="890">
        <f t="shared" si="1038"/>
        <v>0</v>
      </c>
      <c r="AA393" s="1073"/>
      <c r="AB393" s="1071"/>
      <c r="AD393" s="1072"/>
      <c r="AE393" s="890">
        <f t="shared" si="1039"/>
        <v>0</v>
      </c>
      <c r="AF393" s="890">
        <f t="shared" si="1039"/>
        <v>0</v>
      </c>
      <c r="AG393" s="890">
        <f t="shared" si="1039"/>
        <v>0</v>
      </c>
      <c r="AH393" s="890">
        <f t="shared" si="1039"/>
        <v>0</v>
      </c>
      <c r="AI393" s="1073"/>
      <c r="AJ393" s="1071"/>
      <c r="AL393" s="1072"/>
      <c r="AM393" s="890">
        <f t="shared" si="1040"/>
        <v>0</v>
      </c>
      <c r="AN393" s="890">
        <f t="shared" si="1040"/>
        <v>0</v>
      </c>
      <c r="AO393" s="890">
        <f t="shared" si="1040"/>
        <v>0</v>
      </c>
      <c r="AP393" s="890">
        <f t="shared" si="1040"/>
        <v>0</v>
      </c>
      <c r="AQ393" s="1073"/>
      <c r="AR393" s="1071"/>
      <c r="AT393" s="1072"/>
      <c r="AU393" s="890">
        <f t="shared" si="1041"/>
        <v>0</v>
      </c>
      <c r="AV393" s="890">
        <f t="shared" si="1041"/>
        <v>0</v>
      </c>
      <c r="AW393" s="890">
        <f t="shared" si="1041"/>
        <v>0</v>
      </c>
      <c r="AX393" s="890">
        <f t="shared" si="1041"/>
        <v>0</v>
      </c>
      <c r="AY393" s="1073"/>
      <c r="AZ393" s="1071"/>
      <c r="BB393" s="1072"/>
      <c r="BC393" s="890">
        <f t="shared" si="1042"/>
        <v>0</v>
      </c>
      <c r="BD393" s="890">
        <f t="shared" si="1042"/>
        <v>0</v>
      </c>
      <c r="BE393" s="890">
        <f t="shared" si="1042"/>
        <v>0</v>
      </c>
      <c r="BF393" s="890">
        <f t="shared" si="1042"/>
        <v>0</v>
      </c>
      <c r="BG393" s="1073"/>
      <c r="BH393" s="1071"/>
      <c r="BJ393" s="1072"/>
      <c r="BK393" s="890">
        <f t="shared" si="1043"/>
        <v>0</v>
      </c>
      <c r="BL393" s="890">
        <f t="shared" si="1043"/>
        <v>0</v>
      </c>
      <c r="BM393" s="890">
        <f t="shared" si="1043"/>
        <v>0</v>
      </c>
      <c r="BN393" s="890">
        <f t="shared" si="1043"/>
        <v>0</v>
      </c>
      <c r="BO393" s="1073"/>
      <c r="BP393" s="1071"/>
      <c r="BR393" s="1072"/>
      <c r="BS393" s="890">
        <f t="shared" si="1044"/>
        <v>0</v>
      </c>
      <c r="BT393" s="890">
        <f t="shared" si="1044"/>
        <v>0</v>
      </c>
      <c r="BU393" s="890">
        <f t="shared" si="1044"/>
        <v>0</v>
      </c>
      <c r="BV393" s="890">
        <f t="shared" si="1044"/>
        <v>0</v>
      </c>
      <c r="BW393" s="1073"/>
      <c r="BX393" s="1071"/>
      <c r="BZ393" s="1072"/>
      <c r="CA393" s="890">
        <f t="shared" si="1045"/>
        <v>0</v>
      </c>
      <c r="CB393" s="890">
        <f t="shared" si="1045"/>
        <v>0</v>
      </c>
      <c r="CC393" s="890">
        <f t="shared" si="1045"/>
        <v>0</v>
      </c>
      <c r="CD393" s="890">
        <f t="shared" si="1045"/>
        <v>0</v>
      </c>
      <c r="CE393" s="1073"/>
      <c r="CF393" s="1071"/>
      <c r="CH393" s="1072"/>
      <c r="CI393" s="890">
        <f t="shared" si="1046"/>
        <v>0</v>
      </c>
      <c r="CJ393" s="890">
        <f t="shared" si="1046"/>
        <v>0</v>
      </c>
      <c r="CK393" s="890">
        <f t="shared" si="1046"/>
        <v>0</v>
      </c>
      <c r="CL393" s="890">
        <f t="shared" si="1046"/>
        <v>0</v>
      </c>
      <c r="CM393" s="1073"/>
      <c r="CN393" s="1071"/>
      <c r="CP393" s="1072"/>
      <c r="CQ393" s="890">
        <f t="shared" si="1047"/>
        <v>0</v>
      </c>
      <c r="CR393" s="890">
        <f t="shared" si="1047"/>
        <v>0</v>
      </c>
      <c r="CS393" s="890">
        <f t="shared" si="1047"/>
        <v>0</v>
      </c>
      <c r="CT393" s="890">
        <f t="shared" si="1047"/>
        <v>0</v>
      </c>
      <c r="CU393" s="1073"/>
      <c r="CV393" s="1071"/>
      <c r="CX393" s="1072"/>
      <c r="CY393" s="890">
        <f t="shared" si="1048"/>
        <v>0</v>
      </c>
      <c r="CZ393" s="890">
        <f t="shared" si="1048"/>
        <v>0</v>
      </c>
      <c r="DA393" s="890">
        <f t="shared" si="1048"/>
        <v>0</v>
      </c>
      <c r="DB393" s="890">
        <f t="shared" si="1048"/>
        <v>0</v>
      </c>
      <c r="DC393" s="1073"/>
      <c r="DD393" s="1071"/>
      <c r="DF393" s="1072"/>
      <c r="DG393" s="890">
        <f t="shared" si="1049"/>
        <v>0</v>
      </c>
      <c r="DH393" s="890">
        <f t="shared" si="1049"/>
        <v>0</v>
      </c>
      <c r="DI393" s="890">
        <f t="shared" si="1049"/>
        <v>0</v>
      </c>
      <c r="DJ393" s="890">
        <f t="shared" si="1049"/>
        <v>0</v>
      </c>
      <c r="DK393" s="1073"/>
      <c r="DL393" s="1071"/>
      <c r="DN393" s="1072"/>
      <c r="DO393" s="890">
        <f t="shared" si="1050"/>
        <v>0</v>
      </c>
      <c r="DP393" s="890">
        <f t="shared" si="1050"/>
        <v>0</v>
      </c>
      <c r="DQ393" s="890">
        <f t="shared" si="1050"/>
        <v>0</v>
      </c>
      <c r="DR393" s="890">
        <f t="shared" si="1050"/>
        <v>0</v>
      </c>
      <c r="DS393" s="1073"/>
      <c r="DT393" s="1071"/>
      <c r="DV393" s="1072"/>
      <c r="DW393" s="890">
        <f t="shared" si="1051"/>
        <v>0</v>
      </c>
      <c r="DX393" s="890">
        <f t="shared" si="1051"/>
        <v>0</v>
      </c>
      <c r="DY393" s="890">
        <f t="shared" si="1051"/>
        <v>0</v>
      </c>
      <c r="DZ393" s="890">
        <f t="shared" si="1051"/>
        <v>0</v>
      </c>
      <c r="EA393" s="1073"/>
      <c r="EB393" s="1071"/>
      <c r="ED393" s="1072"/>
      <c r="EE393" s="890">
        <f t="shared" si="1052"/>
        <v>0</v>
      </c>
      <c r="EF393" s="890">
        <f t="shared" si="1052"/>
        <v>0</v>
      </c>
      <c r="EG393" s="890">
        <f t="shared" si="1052"/>
        <v>0</v>
      </c>
      <c r="EH393" s="890">
        <f t="shared" si="1052"/>
        <v>0</v>
      </c>
      <c r="EI393" s="1073"/>
      <c r="EJ393" s="1071"/>
      <c r="EL393" s="1072"/>
      <c r="EM393" s="890">
        <f t="shared" si="1053"/>
        <v>0</v>
      </c>
      <c r="EN393" s="890">
        <f t="shared" si="1053"/>
        <v>0</v>
      </c>
      <c r="EO393" s="890">
        <f t="shared" si="1053"/>
        <v>0</v>
      </c>
      <c r="EP393" s="890">
        <f t="shared" si="1053"/>
        <v>0</v>
      </c>
      <c r="EQ393" s="1073"/>
      <c r="ER393" s="1071"/>
      <c r="ET393" s="1072"/>
      <c r="EU393" s="890">
        <f t="shared" si="1054"/>
        <v>0</v>
      </c>
      <c r="EV393" s="890">
        <f t="shared" si="1054"/>
        <v>0</v>
      </c>
      <c r="EW393" s="890">
        <f t="shared" si="1054"/>
        <v>0</v>
      </c>
      <c r="EX393" s="890">
        <f t="shared" si="1054"/>
        <v>0</v>
      </c>
      <c r="EY393" s="1073"/>
      <c r="EZ393" s="1071"/>
      <c r="FB393" s="1072"/>
      <c r="FC393" s="890">
        <f t="shared" si="1055"/>
        <v>0</v>
      </c>
      <c r="FD393" s="890">
        <f t="shared" si="1055"/>
        <v>0</v>
      </c>
      <c r="FE393" s="890">
        <f t="shared" si="1055"/>
        <v>0</v>
      </c>
      <c r="FF393" s="890">
        <f t="shared" si="1055"/>
        <v>0</v>
      </c>
      <c r="FG393" s="1073"/>
      <c r="FH393" s="1071"/>
      <c r="FJ393" s="1072"/>
      <c r="FK393" s="890">
        <f t="shared" si="1056"/>
        <v>0</v>
      </c>
      <c r="FL393" s="890">
        <f t="shared" si="1056"/>
        <v>0</v>
      </c>
      <c r="FM393" s="890">
        <f t="shared" si="1056"/>
        <v>0</v>
      </c>
      <c r="FN393" s="890">
        <f t="shared" si="1056"/>
        <v>0</v>
      </c>
      <c r="FO393" s="1073"/>
    </row>
    <row r="394" spans="2:171">
      <c r="B394" s="108"/>
      <c r="C394" s="108" t="s">
        <v>527</v>
      </c>
      <c r="D394" s="1071"/>
      <c r="E394" s="1072"/>
      <c r="F394" s="1072"/>
      <c r="G394" s="1648">
        <f>SUM(G382:G393)</f>
        <v>169217153</v>
      </c>
      <c r="H394" s="1648">
        <f>SUM(H382:H393)</f>
        <v>26066353.350879814</v>
      </c>
      <c r="I394" s="1648">
        <f>SUM(I382:I393)</f>
        <v>0</v>
      </c>
      <c r="J394" s="1648">
        <f>SUM(J382:J393)</f>
        <v>143150799.64912018</v>
      </c>
      <c r="K394" s="1073"/>
      <c r="L394" s="1071"/>
      <c r="M394" s="1072"/>
      <c r="N394" s="1072"/>
      <c r="O394" s="1648">
        <f>SUM(O382:O393)</f>
        <v>169217153</v>
      </c>
      <c r="P394" s="1648">
        <f>SUM(P382:P393)</f>
        <v>26066353.350879814</v>
      </c>
      <c r="Q394" s="1648">
        <f>SUM(Q382:Q393)</f>
        <v>43233146.624210842</v>
      </c>
      <c r="R394" s="1648">
        <f>SUM(R382:R393)</f>
        <v>99917653.024909347</v>
      </c>
      <c r="S394" s="1073"/>
      <c r="T394" s="1071"/>
      <c r="U394" s="1072"/>
      <c r="V394" s="1072"/>
      <c r="W394" s="1648">
        <f>SUM(W382:W393)</f>
        <v>169217153</v>
      </c>
      <c r="X394" s="1648">
        <f>SUM(X382:X393)</f>
        <v>26066353.350879814</v>
      </c>
      <c r="Y394" s="1648">
        <f>SUM(Y382:Y393)</f>
        <v>43233146.624210842</v>
      </c>
      <c r="Z394" s="1648">
        <f>SUM(Z382:Z393)</f>
        <v>99917653.024909347</v>
      </c>
      <c r="AA394" s="1073"/>
      <c r="AB394" s="1071"/>
      <c r="AC394" s="1072"/>
      <c r="AD394" s="1072"/>
      <c r="AE394" s="1648">
        <f>SUM(AE382:AE393)</f>
        <v>169217153</v>
      </c>
      <c r="AF394" s="1648">
        <f>SUM(AF382:AF393)</f>
        <v>26066353.350879814</v>
      </c>
      <c r="AG394" s="1648">
        <f>SUM(AG382:AG393)</f>
        <v>43233146.624210842</v>
      </c>
      <c r="AH394" s="1648">
        <f>SUM(AH382:AH393)</f>
        <v>99917653.024909347</v>
      </c>
      <c r="AI394" s="1073"/>
      <c r="AJ394" s="1071"/>
      <c r="AK394" s="1072"/>
      <c r="AL394" s="1072"/>
      <c r="AM394" s="1648">
        <f>SUM(AM382:AM393)</f>
        <v>169217153</v>
      </c>
      <c r="AN394" s="1648">
        <f>SUM(AN382:AN393)</f>
        <v>26066353.350879814</v>
      </c>
      <c r="AO394" s="1648">
        <f>SUM(AO382:AO393)</f>
        <v>43233146.624210842</v>
      </c>
      <c r="AP394" s="1648">
        <f>SUM(AP382:AP393)</f>
        <v>99917653.024909347</v>
      </c>
      <c r="AQ394" s="1073"/>
      <c r="AR394" s="1071"/>
      <c r="AS394" s="1072"/>
      <c r="AT394" s="1072"/>
      <c r="AU394" s="1648">
        <f>SUM(AU382:AU393)</f>
        <v>169217153</v>
      </c>
      <c r="AV394" s="1648">
        <f>SUM(AV382:AV393)</f>
        <v>26066353.350879814</v>
      </c>
      <c r="AW394" s="1648">
        <f>SUM(AW382:AW393)</f>
        <v>43233146.624210842</v>
      </c>
      <c r="AX394" s="1648">
        <f>SUM(AX382:AX393)</f>
        <v>99917653.024909347</v>
      </c>
      <c r="AY394" s="1073"/>
      <c r="AZ394" s="1071"/>
      <c r="BA394" s="1072"/>
      <c r="BB394" s="1072"/>
      <c r="BC394" s="1648">
        <f>SUM(BC382:BC393)</f>
        <v>169217153</v>
      </c>
      <c r="BD394" s="1648">
        <f>SUM(BD382:BD393)</f>
        <v>26066353.350879814</v>
      </c>
      <c r="BE394" s="1648">
        <f>SUM(BE382:BE393)</f>
        <v>43233146.624210842</v>
      </c>
      <c r="BF394" s="1648">
        <f>SUM(BF382:BF393)</f>
        <v>99917653.024909347</v>
      </c>
      <c r="BG394" s="1073"/>
      <c r="BH394" s="1071"/>
      <c r="BI394" s="1072"/>
      <c r="BJ394" s="1072"/>
      <c r="BK394" s="1648">
        <f>SUM(BK382:BK393)</f>
        <v>169217153</v>
      </c>
      <c r="BL394" s="1648">
        <f>SUM(BL382:BL393)</f>
        <v>26066353.350879814</v>
      </c>
      <c r="BM394" s="1648">
        <f>SUM(BM382:BM393)</f>
        <v>43233146.624210842</v>
      </c>
      <c r="BN394" s="1648">
        <f>SUM(BN382:BN393)</f>
        <v>99917653.024909347</v>
      </c>
      <c r="BO394" s="1073"/>
      <c r="BP394" s="1071"/>
      <c r="BQ394" s="1072"/>
      <c r="BR394" s="1072"/>
      <c r="BS394" s="1648">
        <f>SUM(BS382:BS393)</f>
        <v>169217153</v>
      </c>
      <c r="BT394" s="1648">
        <f>SUM(BT382:BT393)</f>
        <v>26066353.350879814</v>
      </c>
      <c r="BU394" s="1648">
        <f>SUM(BU382:BU393)</f>
        <v>43233146.624210842</v>
      </c>
      <c r="BV394" s="1648">
        <f>SUM(BV382:BV393)</f>
        <v>99917653.024909347</v>
      </c>
      <c r="BW394" s="1073"/>
      <c r="BX394" s="1071"/>
      <c r="BY394" s="1072"/>
      <c r="BZ394" s="1072"/>
      <c r="CA394" s="1648">
        <f>SUM(CA382:CA393)</f>
        <v>169217153</v>
      </c>
      <c r="CB394" s="1648">
        <f>SUM(CB382:CB393)</f>
        <v>26066353.350879814</v>
      </c>
      <c r="CC394" s="1648">
        <f>SUM(CC382:CC393)</f>
        <v>43233146.624210842</v>
      </c>
      <c r="CD394" s="1648">
        <f>SUM(CD382:CD393)</f>
        <v>99917653.024909347</v>
      </c>
      <c r="CE394" s="1073"/>
      <c r="CF394" s="1071"/>
      <c r="CG394" s="1072"/>
      <c r="CH394" s="1072"/>
      <c r="CI394" s="1648">
        <f>SUM(CI382:CI393)</f>
        <v>169217153</v>
      </c>
      <c r="CJ394" s="1648">
        <f>SUM(CJ382:CJ393)</f>
        <v>26066353.350879814</v>
      </c>
      <c r="CK394" s="1648">
        <f>SUM(CK382:CK393)</f>
        <v>43233146.624210842</v>
      </c>
      <c r="CL394" s="1648">
        <f>SUM(CL382:CL393)</f>
        <v>99917653.024909347</v>
      </c>
      <c r="CM394" s="1073"/>
      <c r="CN394" s="1071"/>
      <c r="CO394" s="1072"/>
      <c r="CP394" s="1072"/>
      <c r="CQ394" s="1648">
        <f>SUM(CQ382:CQ393)</f>
        <v>169217153</v>
      </c>
      <c r="CR394" s="1648">
        <f>SUM(CR382:CR393)</f>
        <v>26066353.350879814</v>
      </c>
      <c r="CS394" s="1648">
        <f>SUM(CS382:CS393)</f>
        <v>43233146.624210842</v>
      </c>
      <c r="CT394" s="1648">
        <f>SUM(CT382:CT393)</f>
        <v>99917653.024909347</v>
      </c>
      <c r="CU394" s="1073"/>
      <c r="CV394" s="1071"/>
      <c r="CW394" s="1072"/>
      <c r="CX394" s="1072"/>
      <c r="CY394" s="1648">
        <f>SUM(CY382:CY393)</f>
        <v>169217153</v>
      </c>
      <c r="CZ394" s="1648">
        <f>SUM(CZ382:CZ393)</f>
        <v>26066353.350879814</v>
      </c>
      <c r="DA394" s="1648">
        <f>SUM(DA382:DA393)</f>
        <v>43233146.624210842</v>
      </c>
      <c r="DB394" s="1648">
        <f>SUM(DB382:DB393)</f>
        <v>99917653.024909347</v>
      </c>
      <c r="DC394" s="1073"/>
      <c r="DD394" s="1071"/>
      <c r="DE394" s="1072"/>
      <c r="DF394" s="1072"/>
      <c r="DG394" s="1648">
        <f>SUM(DG382:DG393)</f>
        <v>169217153</v>
      </c>
      <c r="DH394" s="1648">
        <f>SUM(DH382:DH393)</f>
        <v>26066353.350879814</v>
      </c>
      <c r="DI394" s="1648">
        <f>SUM(DI382:DI393)</f>
        <v>43233146.624210842</v>
      </c>
      <c r="DJ394" s="1648">
        <f>SUM(DJ382:DJ393)</f>
        <v>99917653.024909347</v>
      </c>
      <c r="DK394" s="1073"/>
      <c r="DL394" s="1071"/>
      <c r="DM394" s="1072"/>
      <c r="DN394" s="1072"/>
      <c r="DO394" s="1648">
        <f>SUM(DO382:DO393)</f>
        <v>169217153</v>
      </c>
      <c r="DP394" s="1648">
        <f>SUM(DP382:DP393)</f>
        <v>26066353.350879814</v>
      </c>
      <c r="DQ394" s="1648">
        <f>SUM(DQ382:DQ393)</f>
        <v>43233146.624210842</v>
      </c>
      <c r="DR394" s="1648">
        <f>SUM(DR382:DR393)</f>
        <v>99917653.024909347</v>
      </c>
      <c r="DS394" s="1073"/>
      <c r="DT394" s="1071"/>
      <c r="DU394" s="1072"/>
      <c r="DV394" s="1072"/>
      <c r="DW394" s="1648">
        <f>SUM(DW382:DW393)</f>
        <v>169217153</v>
      </c>
      <c r="DX394" s="1648">
        <f>SUM(DX382:DX393)</f>
        <v>26066353.350879814</v>
      </c>
      <c r="DY394" s="1648">
        <f>SUM(DY382:DY393)</f>
        <v>43233146.624210842</v>
      </c>
      <c r="DZ394" s="1648">
        <f>SUM(DZ382:DZ393)</f>
        <v>99917653.024909347</v>
      </c>
      <c r="EA394" s="1073"/>
      <c r="EB394" s="1071"/>
      <c r="EC394" s="1072"/>
      <c r="ED394" s="1072"/>
      <c r="EE394" s="1648">
        <f>SUM(EE382:EE393)</f>
        <v>169217153</v>
      </c>
      <c r="EF394" s="1648">
        <f>SUM(EF382:EF393)</f>
        <v>26066353.350879814</v>
      </c>
      <c r="EG394" s="1648">
        <f>SUM(EG382:EG393)</f>
        <v>43233146.624210842</v>
      </c>
      <c r="EH394" s="1648">
        <f>SUM(EH382:EH393)</f>
        <v>99917653.024909347</v>
      </c>
      <c r="EI394" s="1073"/>
      <c r="EJ394" s="1071"/>
      <c r="EK394" s="1072"/>
      <c r="EL394" s="1072"/>
      <c r="EM394" s="1648">
        <f>SUM(EM382:EM393)</f>
        <v>169217153</v>
      </c>
      <c r="EN394" s="1648">
        <f>SUM(EN382:EN393)</f>
        <v>26066353.350879814</v>
      </c>
      <c r="EO394" s="1648">
        <f>SUM(EO382:EO393)</f>
        <v>43233146.624210842</v>
      </c>
      <c r="EP394" s="1648">
        <f>SUM(EP382:EP393)</f>
        <v>99917653.024909347</v>
      </c>
      <c r="EQ394" s="1073"/>
      <c r="ER394" s="1071"/>
      <c r="ES394" s="1072"/>
      <c r="ET394" s="1072"/>
      <c r="EU394" s="1648">
        <f>SUM(EU382:EU393)</f>
        <v>169217153</v>
      </c>
      <c r="EV394" s="1648">
        <f>SUM(EV382:EV393)</f>
        <v>26066353.350879814</v>
      </c>
      <c r="EW394" s="1648">
        <f>SUM(EW382:EW393)</f>
        <v>43233146.624210842</v>
      </c>
      <c r="EX394" s="1648">
        <f>SUM(EX382:EX393)</f>
        <v>99917653.024909347</v>
      </c>
      <c r="EY394" s="1073"/>
      <c r="EZ394" s="1071"/>
      <c r="FA394" s="1072"/>
      <c r="FB394" s="1072"/>
      <c r="FC394" s="1648">
        <f>SUM(FC382:FC393)</f>
        <v>169217153</v>
      </c>
      <c r="FD394" s="1648">
        <f>SUM(FD382:FD393)</f>
        <v>26066353.350879814</v>
      </c>
      <c r="FE394" s="1648">
        <f>SUM(FE382:FE393)</f>
        <v>43233146.624210842</v>
      </c>
      <c r="FF394" s="1648">
        <f>SUM(FF382:FF393)</f>
        <v>99917653.024909347</v>
      </c>
      <c r="FG394" s="1073"/>
      <c r="FH394" s="1071"/>
      <c r="FI394" s="1072"/>
      <c r="FJ394" s="1072"/>
      <c r="FK394" s="1648">
        <f>SUM(FK382:FK393)</f>
        <v>169217153</v>
      </c>
      <c r="FL394" s="1648">
        <f>SUM(FL382:FL393)</f>
        <v>26066353.350879814</v>
      </c>
      <c r="FM394" s="1648">
        <f>SUM(FM382:FM393)</f>
        <v>43233146.624210842</v>
      </c>
      <c r="FN394" s="1648">
        <f>SUM(FN382:FN393)</f>
        <v>99917653.024909347</v>
      </c>
      <c r="FO394" s="1073"/>
    </row>
    <row r="395" spans="2:171">
      <c r="B395" s="123"/>
      <c r="C395" s="123" t="s">
        <v>528</v>
      </c>
      <c r="D395" s="1296" t="s">
        <v>644</v>
      </c>
      <c r="E395" s="1094"/>
      <c r="F395" s="1094"/>
      <c r="G395" s="1649">
        <f>H395+I395+J395</f>
        <v>1</v>
      </c>
      <c r="H395" s="1649">
        <f>H394/G394</f>
        <v>0.15404084567525972</v>
      </c>
      <c r="I395" s="1649">
        <f>I394/G394</f>
        <v>0</v>
      </c>
      <c r="J395" s="1649">
        <f>J394/G394</f>
        <v>0.84595915432474023</v>
      </c>
      <c r="K395" s="1073"/>
      <c r="L395" s="1074" t="s">
        <v>644</v>
      </c>
      <c r="M395" s="1094"/>
      <c r="N395" s="1094"/>
      <c r="O395" s="1649">
        <f>P395+Q395+R395</f>
        <v>1</v>
      </c>
      <c r="P395" s="1649">
        <f>P394/O394</f>
        <v>0.15404084567525972</v>
      </c>
      <c r="Q395" s="1649">
        <f>Q394/O394</f>
        <v>0.25548915022941465</v>
      </c>
      <c r="R395" s="1649">
        <f>R394/O394</f>
        <v>0.59047000409532568</v>
      </c>
      <c r="S395" s="1095"/>
      <c r="T395" s="1074" t="s">
        <v>644</v>
      </c>
      <c r="U395" s="1094"/>
      <c r="V395" s="1094"/>
      <c r="W395" s="1649">
        <f>X395+Y395+Z395</f>
        <v>1</v>
      </c>
      <c r="X395" s="1649">
        <f>X394/W394</f>
        <v>0.15404084567525972</v>
      </c>
      <c r="Y395" s="1649">
        <f>Y394/W394</f>
        <v>0.25548915022941465</v>
      </c>
      <c r="Z395" s="1649">
        <f>Z394/W394</f>
        <v>0.59047000409532568</v>
      </c>
      <c r="AA395" s="1095"/>
      <c r="AB395" s="1074" t="s">
        <v>644</v>
      </c>
      <c r="AC395" s="1094"/>
      <c r="AD395" s="1094"/>
      <c r="AE395" s="1649">
        <f>AF395+AG395+AH395</f>
        <v>1</v>
      </c>
      <c r="AF395" s="1649">
        <f>AF394/AE394</f>
        <v>0.15404084567525972</v>
      </c>
      <c r="AG395" s="1649">
        <f>AG394/AE394</f>
        <v>0.25548915022941465</v>
      </c>
      <c r="AH395" s="1649">
        <f>AH394/AE394</f>
        <v>0.59047000409532568</v>
      </c>
      <c r="AI395" s="1095"/>
      <c r="AJ395" s="1074" t="s">
        <v>644</v>
      </c>
      <c r="AK395" s="1094"/>
      <c r="AL395" s="1094"/>
      <c r="AM395" s="1649">
        <f>AN395+AO395+AP395</f>
        <v>1</v>
      </c>
      <c r="AN395" s="1649">
        <f>AN394/AM394</f>
        <v>0.15404084567525972</v>
      </c>
      <c r="AO395" s="1649">
        <f>AO394/AM394</f>
        <v>0.25548915022941465</v>
      </c>
      <c r="AP395" s="1649">
        <f>AP394/AM394</f>
        <v>0.59047000409532568</v>
      </c>
      <c r="AQ395" s="1095"/>
      <c r="AR395" s="1074" t="s">
        <v>644</v>
      </c>
      <c r="AS395" s="1094"/>
      <c r="AT395" s="1094"/>
      <c r="AU395" s="1649">
        <f>AV395+AW395+AX395</f>
        <v>1</v>
      </c>
      <c r="AV395" s="1649">
        <f>AV394/AU394</f>
        <v>0.15404084567525972</v>
      </c>
      <c r="AW395" s="1649">
        <f>AW394/AU394</f>
        <v>0.25548915022941465</v>
      </c>
      <c r="AX395" s="1649">
        <f>AX394/AU394</f>
        <v>0.59047000409532568</v>
      </c>
      <c r="AY395" s="1095"/>
      <c r="AZ395" s="1074" t="s">
        <v>644</v>
      </c>
      <c r="BA395" s="1094"/>
      <c r="BB395" s="1094"/>
      <c r="BC395" s="1649">
        <f>BD395+BE395+BF395</f>
        <v>1</v>
      </c>
      <c r="BD395" s="1649">
        <f>BD394/BC394</f>
        <v>0.15404084567525972</v>
      </c>
      <c r="BE395" s="1649">
        <f>BE394/BC394</f>
        <v>0.25548915022941465</v>
      </c>
      <c r="BF395" s="1649">
        <f>BF394/BC394</f>
        <v>0.59047000409532568</v>
      </c>
      <c r="BG395" s="1095"/>
      <c r="BH395" s="1074" t="s">
        <v>644</v>
      </c>
      <c r="BI395" s="1094"/>
      <c r="BJ395" s="1094"/>
      <c r="BK395" s="1649">
        <f>BL395+BM395+BN395</f>
        <v>1</v>
      </c>
      <c r="BL395" s="1649">
        <f>BL394/BK394</f>
        <v>0.15404084567525972</v>
      </c>
      <c r="BM395" s="1649">
        <f>BM394/BK394</f>
        <v>0.25548915022941465</v>
      </c>
      <c r="BN395" s="1649">
        <f>BN394/BK394</f>
        <v>0.59047000409532568</v>
      </c>
      <c r="BO395" s="1095"/>
      <c r="BP395" s="1074" t="s">
        <v>644</v>
      </c>
      <c r="BQ395" s="1094"/>
      <c r="BR395" s="1094"/>
      <c r="BS395" s="1649">
        <f>BT395+BU395+BV395</f>
        <v>1</v>
      </c>
      <c r="BT395" s="1649">
        <f>BT394/BS394</f>
        <v>0.15404084567525972</v>
      </c>
      <c r="BU395" s="1649">
        <f>BU394/BS394</f>
        <v>0.25548915022941465</v>
      </c>
      <c r="BV395" s="1649">
        <f>BV394/BS394</f>
        <v>0.59047000409532568</v>
      </c>
      <c r="BW395" s="1095"/>
      <c r="BX395" s="1074" t="s">
        <v>644</v>
      </c>
      <c r="BY395" s="1094"/>
      <c r="BZ395" s="1094"/>
      <c r="CA395" s="1649">
        <f>CB395+CC395+CD395</f>
        <v>1</v>
      </c>
      <c r="CB395" s="1649">
        <f>CB394/CA394</f>
        <v>0.15404084567525972</v>
      </c>
      <c r="CC395" s="1649">
        <f>CC394/CA394</f>
        <v>0.25548915022941465</v>
      </c>
      <c r="CD395" s="1649">
        <f>CD394/CA394</f>
        <v>0.59047000409532568</v>
      </c>
      <c r="CE395" s="1095"/>
      <c r="CF395" s="1074" t="s">
        <v>644</v>
      </c>
      <c r="CG395" s="1094"/>
      <c r="CH395" s="1094"/>
      <c r="CI395" s="1649">
        <f>CJ395+CK395+CL395</f>
        <v>1</v>
      </c>
      <c r="CJ395" s="1649">
        <f>CJ394/CI394</f>
        <v>0.15404084567525972</v>
      </c>
      <c r="CK395" s="1649">
        <f>CK394/CI394</f>
        <v>0.25548915022941465</v>
      </c>
      <c r="CL395" s="1649">
        <f>CL394/CI394</f>
        <v>0.59047000409532568</v>
      </c>
      <c r="CM395" s="1095"/>
      <c r="CN395" s="1074" t="s">
        <v>644</v>
      </c>
      <c r="CO395" s="1094"/>
      <c r="CP395" s="1094"/>
      <c r="CQ395" s="1649">
        <f>CR395+CS395+CT395</f>
        <v>1</v>
      </c>
      <c r="CR395" s="1649">
        <f>CR394/CQ394</f>
        <v>0.15404084567525972</v>
      </c>
      <c r="CS395" s="1649">
        <f>CS394/CQ394</f>
        <v>0.25548915022941465</v>
      </c>
      <c r="CT395" s="1649">
        <f>CT394/CQ394</f>
        <v>0.59047000409532568</v>
      </c>
      <c r="CU395" s="1095"/>
      <c r="CV395" s="1074" t="s">
        <v>644</v>
      </c>
      <c r="CW395" s="1094"/>
      <c r="CX395" s="1094"/>
      <c r="CY395" s="1649">
        <f>CZ395+DA395+DB395</f>
        <v>1</v>
      </c>
      <c r="CZ395" s="1649">
        <f>CZ394/CY394</f>
        <v>0.15404084567525972</v>
      </c>
      <c r="DA395" s="1649">
        <f>DA394/CY394</f>
        <v>0.25548915022941465</v>
      </c>
      <c r="DB395" s="1649">
        <f>DB394/CY394</f>
        <v>0.59047000409532568</v>
      </c>
      <c r="DC395" s="1095"/>
      <c r="DD395" s="1074" t="s">
        <v>644</v>
      </c>
      <c r="DE395" s="1094"/>
      <c r="DF395" s="1094"/>
      <c r="DG395" s="1649">
        <f>DH395+DI395+DJ395</f>
        <v>1</v>
      </c>
      <c r="DH395" s="1649">
        <f>DH394/DG394</f>
        <v>0.15404084567525972</v>
      </c>
      <c r="DI395" s="1649">
        <f>DI394/DG394</f>
        <v>0.25548915022941465</v>
      </c>
      <c r="DJ395" s="1649">
        <f>DJ394/DG394</f>
        <v>0.59047000409532568</v>
      </c>
      <c r="DK395" s="1095"/>
      <c r="DL395" s="1074" t="s">
        <v>644</v>
      </c>
      <c r="DM395" s="1094"/>
      <c r="DN395" s="1094"/>
      <c r="DO395" s="1649">
        <f>DP395+DQ395+DR395</f>
        <v>1</v>
      </c>
      <c r="DP395" s="1649">
        <f>DP394/DO394</f>
        <v>0.15404084567525972</v>
      </c>
      <c r="DQ395" s="1649">
        <f>DQ394/DO394</f>
        <v>0.25548915022941465</v>
      </c>
      <c r="DR395" s="1649">
        <f>DR394/DO394</f>
        <v>0.59047000409532568</v>
      </c>
      <c r="DS395" s="1095"/>
      <c r="DT395" s="1074" t="s">
        <v>644</v>
      </c>
      <c r="DU395" s="1094"/>
      <c r="DV395" s="1094"/>
      <c r="DW395" s="1649">
        <f>DX395+DY395+DZ395</f>
        <v>1</v>
      </c>
      <c r="DX395" s="1649">
        <f>DX394/DW394</f>
        <v>0.15404084567525972</v>
      </c>
      <c r="DY395" s="1649">
        <f>DY394/DW394</f>
        <v>0.25548915022941465</v>
      </c>
      <c r="DZ395" s="1649">
        <f>DZ394/DW394</f>
        <v>0.59047000409532568</v>
      </c>
      <c r="EA395" s="1095"/>
      <c r="EB395" s="1074" t="s">
        <v>644</v>
      </c>
      <c r="EC395" s="1094"/>
      <c r="ED395" s="1094"/>
      <c r="EE395" s="1649">
        <f>EF395+EG395+EH395</f>
        <v>1</v>
      </c>
      <c r="EF395" s="1649">
        <f>EF394/EE394</f>
        <v>0.15404084567525972</v>
      </c>
      <c r="EG395" s="1649">
        <f>EG394/EE394</f>
        <v>0.25548915022941465</v>
      </c>
      <c r="EH395" s="1649">
        <f>EH394/EE394</f>
        <v>0.59047000409532568</v>
      </c>
      <c r="EI395" s="1095"/>
      <c r="EJ395" s="1074" t="s">
        <v>644</v>
      </c>
      <c r="EK395" s="1094"/>
      <c r="EL395" s="1094"/>
      <c r="EM395" s="1649">
        <f>EN395+EO395+EP395</f>
        <v>1</v>
      </c>
      <c r="EN395" s="1649">
        <f>EN394/EM394</f>
        <v>0.15404084567525972</v>
      </c>
      <c r="EO395" s="1649">
        <f>EO394/EM394</f>
        <v>0.25548915022941465</v>
      </c>
      <c r="EP395" s="1649">
        <f>EP394/EM394</f>
        <v>0.59047000409532568</v>
      </c>
      <c r="EQ395" s="1095"/>
      <c r="ER395" s="1074" t="s">
        <v>644</v>
      </c>
      <c r="ES395" s="1094"/>
      <c r="ET395" s="1094"/>
      <c r="EU395" s="1649">
        <f>EV395+EW395+EX395</f>
        <v>1</v>
      </c>
      <c r="EV395" s="1649">
        <f>EV394/EU394</f>
        <v>0.15404084567525972</v>
      </c>
      <c r="EW395" s="1649">
        <f>EW394/EU394</f>
        <v>0.25548915022941465</v>
      </c>
      <c r="EX395" s="1649">
        <f>EX394/EU394</f>
        <v>0.59047000409532568</v>
      </c>
      <c r="EY395" s="1095"/>
      <c r="EZ395" s="1074" t="s">
        <v>644</v>
      </c>
      <c r="FA395" s="1094"/>
      <c r="FB395" s="1094"/>
      <c r="FC395" s="1649">
        <f>FD395+FE395+FF395</f>
        <v>1</v>
      </c>
      <c r="FD395" s="1649">
        <f>FD394/FC394</f>
        <v>0.15404084567525972</v>
      </c>
      <c r="FE395" s="1649">
        <f>FE394/FC394</f>
        <v>0.25548915022941465</v>
      </c>
      <c r="FF395" s="1649">
        <f>FF394/FC394</f>
        <v>0.59047000409532568</v>
      </c>
      <c r="FG395" s="1095"/>
      <c r="FH395" s="1074" t="s">
        <v>644</v>
      </c>
      <c r="FI395" s="1094"/>
      <c r="FJ395" s="1094"/>
      <c r="FK395" s="1649">
        <f>FL395+FM395+FN395</f>
        <v>1</v>
      </c>
      <c r="FL395" s="1649">
        <f>FL394/FK394</f>
        <v>0.15404084567525972</v>
      </c>
      <c r="FM395" s="1649">
        <f>FM394/FK394</f>
        <v>0.25548915022941465</v>
      </c>
      <c r="FN395" s="1649">
        <f>FN394/FK394</f>
        <v>0.59047000409532568</v>
      </c>
      <c r="FO395" s="1095"/>
    </row>
    <row r="396" spans="2:171">
      <c r="K396" s="1073"/>
      <c r="S396" s="1095"/>
      <c r="AA396" s="1095"/>
      <c r="AI396" s="1095"/>
      <c r="AQ396" s="1095"/>
      <c r="AY396" s="1095"/>
      <c r="BG396" s="1095"/>
      <c r="BO396" s="1095"/>
      <c r="BW396" s="1095"/>
      <c r="CE396" s="1095"/>
      <c r="CM396" s="1095"/>
      <c r="CU396" s="1095"/>
      <c r="DC396" s="1095"/>
      <c r="DK396" s="1095"/>
      <c r="DS396" s="1095"/>
      <c r="EA396" s="1095"/>
      <c r="EI396" s="1095"/>
      <c r="EQ396" s="1095"/>
      <c r="EY396" s="1095"/>
      <c r="FG396" s="1095"/>
      <c r="FO396" s="1095"/>
    </row>
    <row r="397" spans="2:171">
      <c r="E397" s="302" t="s">
        <v>525</v>
      </c>
      <c r="G397" s="303" t="s">
        <v>104</v>
      </c>
      <c r="H397" s="303" t="s">
        <v>105</v>
      </c>
      <c r="I397" s="303" t="s">
        <v>106</v>
      </c>
      <c r="J397" s="304" t="s">
        <v>516</v>
      </c>
      <c r="K397" s="1073"/>
      <c r="O397" s="303" t="s">
        <v>104</v>
      </c>
      <c r="P397" s="303" t="s">
        <v>105</v>
      </c>
      <c r="Q397" s="303" t="s">
        <v>106</v>
      </c>
      <c r="R397" s="304" t="s">
        <v>516</v>
      </c>
      <c r="S397" s="1073"/>
      <c r="W397" s="303" t="s">
        <v>104</v>
      </c>
      <c r="X397" s="303" t="s">
        <v>105</v>
      </c>
      <c r="Y397" s="303" t="s">
        <v>106</v>
      </c>
      <c r="Z397" s="304" t="s">
        <v>516</v>
      </c>
      <c r="AA397" s="1073"/>
      <c r="AE397" s="303" t="s">
        <v>104</v>
      </c>
      <c r="AF397" s="303" t="s">
        <v>105</v>
      </c>
      <c r="AG397" s="303" t="s">
        <v>106</v>
      </c>
      <c r="AH397" s="304" t="s">
        <v>516</v>
      </c>
      <c r="AI397" s="1073"/>
      <c r="AM397" s="303" t="s">
        <v>104</v>
      </c>
      <c r="AN397" s="303" t="s">
        <v>105</v>
      </c>
      <c r="AO397" s="303" t="s">
        <v>106</v>
      </c>
      <c r="AP397" s="304" t="s">
        <v>516</v>
      </c>
      <c r="AQ397" s="1073"/>
      <c r="AU397" s="303" t="s">
        <v>104</v>
      </c>
      <c r="AV397" s="303" t="s">
        <v>105</v>
      </c>
      <c r="AW397" s="303" t="s">
        <v>106</v>
      </c>
      <c r="AX397" s="304" t="s">
        <v>516</v>
      </c>
      <c r="AY397" s="1073"/>
      <c r="BC397" s="303" t="s">
        <v>104</v>
      </c>
      <c r="BD397" s="303" t="s">
        <v>105</v>
      </c>
      <c r="BE397" s="303" t="s">
        <v>106</v>
      </c>
      <c r="BF397" s="304" t="s">
        <v>516</v>
      </c>
      <c r="BG397" s="1073"/>
      <c r="BK397" s="303" t="s">
        <v>104</v>
      </c>
      <c r="BL397" s="303" t="s">
        <v>105</v>
      </c>
      <c r="BM397" s="303" t="s">
        <v>106</v>
      </c>
      <c r="BN397" s="304" t="s">
        <v>516</v>
      </c>
      <c r="BO397" s="1073"/>
      <c r="BS397" s="303" t="s">
        <v>104</v>
      </c>
      <c r="BT397" s="303" t="s">
        <v>105</v>
      </c>
      <c r="BU397" s="303" t="s">
        <v>106</v>
      </c>
      <c r="BV397" s="304" t="s">
        <v>516</v>
      </c>
      <c r="BW397" s="1073"/>
      <c r="CA397" s="303" t="s">
        <v>104</v>
      </c>
      <c r="CB397" s="303" t="s">
        <v>105</v>
      </c>
      <c r="CC397" s="303" t="s">
        <v>106</v>
      </c>
      <c r="CD397" s="304" t="s">
        <v>516</v>
      </c>
      <c r="CE397" s="1073"/>
      <c r="CI397" s="303" t="s">
        <v>104</v>
      </c>
      <c r="CJ397" s="303" t="s">
        <v>105</v>
      </c>
      <c r="CK397" s="303" t="s">
        <v>106</v>
      </c>
      <c r="CL397" s="304" t="s">
        <v>516</v>
      </c>
      <c r="CM397" s="1073"/>
      <c r="CQ397" s="303" t="s">
        <v>104</v>
      </c>
      <c r="CR397" s="303" t="s">
        <v>105</v>
      </c>
      <c r="CS397" s="303" t="s">
        <v>106</v>
      </c>
      <c r="CT397" s="304" t="s">
        <v>516</v>
      </c>
      <c r="CU397" s="1073"/>
      <c r="CY397" s="303" t="s">
        <v>104</v>
      </c>
      <c r="CZ397" s="303" t="s">
        <v>105</v>
      </c>
      <c r="DA397" s="303" t="s">
        <v>106</v>
      </c>
      <c r="DB397" s="304" t="s">
        <v>516</v>
      </c>
      <c r="DC397" s="1073"/>
      <c r="DG397" s="303" t="s">
        <v>104</v>
      </c>
      <c r="DH397" s="303" t="s">
        <v>105</v>
      </c>
      <c r="DI397" s="303" t="s">
        <v>106</v>
      </c>
      <c r="DJ397" s="304" t="s">
        <v>516</v>
      </c>
      <c r="DK397" s="1073"/>
      <c r="DO397" s="303" t="s">
        <v>104</v>
      </c>
      <c r="DP397" s="303" t="s">
        <v>105</v>
      </c>
      <c r="DQ397" s="303" t="s">
        <v>106</v>
      </c>
      <c r="DR397" s="304" t="s">
        <v>516</v>
      </c>
      <c r="DS397" s="1073"/>
      <c r="DW397" s="303" t="s">
        <v>104</v>
      </c>
      <c r="DX397" s="303" t="s">
        <v>105</v>
      </c>
      <c r="DY397" s="303" t="s">
        <v>106</v>
      </c>
      <c r="DZ397" s="304" t="s">
        <v>516</v>
      </c>
      <c r="EA397" s="1073"/>
      <c r="EE397" s="303" t="s">
        <v>104</v>
      </c>
      <c r="EF397" s="303" t="s">
        <v>105</v>
      </c>
      <c r="EG397" s="303" t="s">
        <v>106</v>
      </c>
      <c r="EH397" s="304" t="s">
        <v>516</v>
      </c>
      <c r="EI397" s="1073"/>
      <c r="EM397" s="303" t="s">
        <v>104</v>
      </c>
      <c r="EN397" s="303" t="s">
        <v>105</v>
      </c>
      <c r="EO397" s="303" t="s">
        <v>106</v>
      </c>
      <c r="EP397" s="304" t="s">
        <v>516</v>
      </c>
      <c r="EQ397" s="1073"/>
      <c r="EU397" s="303" t="s">
        <v>104</v>
      </c>
      <c r="EV397" s="303" t="s">
        <v>105</v>
      </c>
      <c r="EW397" s="303" t="s">
        <v>106</v>
      </c>
      <c r="EX397" s="304" t="s">
        <v>516</v>
      </c>
      <c r="EY397" s="1073"/>
      <c r="FC397" s="303" t="s">
        <v>104</v>
      </c>
      <c r="FD397" s="303" t="s">
        <v>105</v>
      </c>
      <c r="FE397" s="303" t="s">
        <v>106</v>
      </c>
      <c r="FF397" s="304" t="s">
        <v>516</v>
      </c>
      <c r="FG397" s="1073"/>
      <c r="FK397" s="303" t="s">
        <v>104</v>
      </c>
      <c r="FL397" s="303" t="s">
        <v>105</v>
      </c>
      <c r="FM397" s="303" t="s">
        <v>106</v>
      </c>
      <c r="FN397" s="304" t="s">
        <v>516</v>
      </c>
      <c r="FO397" s="1073"/>
    </row>
    <row r="398" spans="2:171">
      <c r="B398" s="108"/>
      <c r="C398" s="108" t="s">
        <v>111</v>
      </c>
      <c r="D398" s="1071"/>
      <c r="E398" s="904" t="s">
        <v>397</v>
      </c>
      <c r="G398" s="890">
        <f t="shared" ref="G398:J401" si="1057">G22</f>
        <v>494693042</v>
      </c>
      <c r="H398" s="890">
        <f t="shared" si="1057"/>
        <v>494693042</v>
      </c>
      <c r="I398" s="890">
        <f t="shared" si="1057"/>
        <v>0</v>
      </c>
      <c r="J398" s="890">
        <f t="shared" si="1057"/>
        <v>0</v>
      </c>
      <c r="K398" s="1073"/>
      <c r="L398" s="1071"/>
      <c r="M398" s="1072"/>
      <c r="N398" s="1072"/>
      <c r="O398" s="890">
        <f t="shared" ref="O398:R401" si="1058">O22</f>
        <v>494693042</v>
      </c>
      <c r="P398" s="890">
        <f t="shared" si="1058"/>
        <v>494693042</v>
      </c>
      <c r="Q398" s="890">
        <f t="shared" si="1058"/>
        <v>0</v>
      </c>
      <c r="R398" s="890">
        <f t="shared" si="1058"/>
        <v>0</v>
      </c>
      <c r="S398" s="1073"/>
      <c r="T398" s="1071"/>
      <c r="U398" s="1072"/>
      <c r="V398" s="1072"/>
      <c r="W398" s="890">
        <f t="shared" ref="W398:Z401" si="1059">W22</f>
        <v>494693042</v>
      </c>
      <c r="X398" s="890">
        <f t="shared" si="1059"/>
        <v>494693042</v>
      </c>
      <c r="Y398" s="890">
        <f t="shared" si="1059"/>
        <v>0</v>
      </c>
      <c r="Z398" s="890">
        <f t="shared" si="1059"/>
        <v>0</v>
      </c>
      <c r="AA398" s="1073"/>
      <c r="AB398" s="1071"/>
      <c r="AC398" s="1072"/>
      <c r="AD398" s="1072"/>
      <c r="AE398" s="890">
        <f t="shared" ref="AE398:AH401" si="1060">AE22</f>
        <v>494693042</v>
      </c>
      <c r="AF398" s="890">
        <f t="shared" si="1060"/>
        <v>494693042</v>
      </c>
      <c r="AG398" s="890">
        <f t="shared" si="1060"/>
        <v>0</v>
      </c>
      <c r="AH398" s="890">
        <f t="shared" si="1060"/>
        <v>0</v>
      </c>
      <c r="AI398" s="1073"/>
      <c r="AJ398" s="1071"/>
      <c r="AK398" s="1072"/>
      <c r="AL398" s="1072"/>
      <c r="AM398" s="890">
        <f t="shared" ref="AM398:AP401" si="1061">AM22</f>
        <v>494693042</v>
      </c>
      <c r="AN398" s="890">
        <f t="shared" si="1061"/>
        <v>494693042</v>
      </c>
      <c r="AO398" s="890">
        <f t="shared" si="1061"/>
        <v>0</v>
      </c>
      <c r="AP398" s="890">
        <f t="shared" si="1061"/>
        <v>0</v>
      </c>
      <c r="AQ398" s="1073"/>
      <c r="AR398" s="1071"/>
      <c r="AS398" s="1072"/>
      <c r="AT398" s="1072"/>
      <c r="AU398" s="890">
        <f t="shared" ref="AU398:AX401" si="1062">AU22</f>
        <v>494693042</v>
      </c>
      <c r="AV398" s="890">
        <f t="shared" si="1062"/>
        <v>494693042</v>
      </c>
      <c r="AW398" s="890">
        <f t="shared" si="1062"/>
        <v>0</v>
      </c>
      <c r="AX398" s="890">
        <f t="shared" si="1062"/>
        <v>0</v>
      </c>
      <c r="AY398" s="1073"/>
      <c r="AZ398" s="1071"/>
      <c r="BA398" s="1072"/>
      <c r="BB398" s="1072"/>
      <c r="BC398" s="890">
        <f t="shared" ref="BC398:BF401" si="1063">BC22</f>
        <v>494693042</v>
      </c>
      <c r="BD398" s="890">
        <f t="shared" si="1063"/>
        <v>494693042</v>
      </c>
      <c r="BE398" s="890">
        <f t="shared" si="1063"/>
        <v>0</v>
      </c>
      <c r="BF398" s="890">
        <f t="shared" si="1063"/>
        <v>0</v>
      </c>
      <c r="BG398" s="1073"/>
      <c r="BH398" s="1071"/>
      <c r="BI398" s="1072"/>
      <c r="BJ398" s="1072"/>
      <c r="BK398" s="890">
        <f t="shared" ref="BK398:BN401" si="1064">BK22</f>
        <v>494693042</v>
      </c>
      <c r="BL398" s="890">
        <f t="shared" si="1064"/>
        <v>494693042</v>
      </c>
      <c r="BM398" s="890">
        <f t="shared" si="1064"/>
        <v>0</v>
      </c>
      <c r="BN398" s="890">
        <f t="shared" si="1064"/>
        <v>0</v>
      </c>
      <c r="BO398" s="1073"/>
      <c r="BP398" s="1071"/>
      <c r="BQ398" s="1072"/>
      <c r="BR398" s="1072"/>
      <c r="BS398" s="890">
        <f t="shared" ref="BS398:BV401" si="1065">BS22</f>
        <v>494693042</v>
      </c>
      <c r="BT398" s="890">
        <f t="shared" si="1065"/>
        <v>494693042</v>
      </c>
      <c r="BU398" s="890">
        <f t="shared" si="1065"/>
        <v>0</v>
      </c>
      <c r="BV398" s="890">
        <f t="shared" si="1065"/>
        <v>0</v>
      </c>
      <c r="BW398" s="1073"/>
      <c r="BX398" s="1071"/>
      <c r="BY398" s="1072"/>
      <c r="BZ398" s="1072"/>
      <c r="CA398" s="890">
        <f t="shared" ref="CA398:CD401" si="1066">CA22</f>
        <v>494693042</v>
      </c>
      <c r="CB398" s="890">
        <f t="shared" si="1066"/>
        <v>494693042</v>
      </c>
      <c r="CC398" s="890">
        <f t="shared" si="1066"/>
        <v>0</v>
      </c>
      <c r="CD398" s="890">
        <f t="shared" si="1066"/>
        <v>0</v>
      </c>
      <c r="CE398" s="1073"/>
      <c r="CF398" s="1071"/>
      <c r="CG398" s="1072"/>
      <c r="CH398" s="1072"/>
      <c r="CI398" s="890">
        <f t="shared" ref="CI398:CL401" si="1067">CI22</f>
        <v>494693042</v>
      </c>
      <c r="CJ398" s="890">
        <f t="shared" si="1067"/>
        <v>494693042</v>
      </c>
      <c r="CK398" s="890">
        <f t="shared" si="1067"/>
        <v>0</v>
      </c>
      <c r="CL398" s="890">
        <f t="shared" si="1067"/>
        <v>0</v>
      </c>
      <c r="CM398" s="1073"/>
      <c r="CN398" s="1071"/>
      <c r="CO398" s="1072"/>
      <c r="CP398" s="1072"/>
      <c r="CQ398" s="890">
        <f t="shared" ref="CQ398:CT401" si="1068">CQ22</f>
        <v>494693042</v>
      </c>
      <c r="CR398" s="890">
        <f t="shared" si="1068"/>
        <v>494693042</v>
      </c>
      <c r="CS398" s="890">
        <f t="shared" si="1068"/>
        <v>0</v>
      </c>
      <c r="CT398" s="890">
        <f t="shared" si="1068"/>
        <v>0</v>
      </c>
      <c r="CU398" s="1073"/>
      <c r="CV398" s="1071"/>
      <c r="CW398" s="1072"/>
      <c r="CX398" s="1072"/>
      <c r="CY398" s="890">
        <f t="shared" ref="CY398:DB401" si="1069">CY22</f>
        <v>494693042</v>
      </c>
      <c r="CZ398" s="890">
        <f t="shared" si="1069"/>
        <v>494693042</v>
      </c>
      <c r="DA398" s="890">
        <f t="shared" si="1069"/>
        <v>0</v>
      </c>
      <c r="DB398" s="890">
        <f t="shared" si="1069"/>
        <v>0</v>
      </c>
      <c r="DC398" s="1073"/>
      <c r="DD398" s="1071"/>
      <c r="DE398" s="1072"/>
      <c r="DF398" s="1072"/>
      <c r="DG398" s="890">
        <f t="shared" ref="DG398:DJ401" si="1070">DG22</f>
        <v>494693042</v>
      </c>
      <c r="DH398" s="890">
        <f t="shared" si="1070"/>
        <v>494693042</v>
      </c>
      <c r="DI398" s="890">
        <f t="shared" si="1070"/>
        <v>0</v>
      </c>
      <c r="DJ398" s="890">
        <f t="shared" si="1070"/>
        <v>0</v>
      </c>
      <c r="DK398" s="1073"/>
      <c r="DL398" s="1071"/>
      <c r="DM398" s="1072"/>
      <c r="DN398" s="1072"/>
      <c r="DO398" s="890">
        <f t="shared" ref="DO398:DR401" si="1071">DO22</f>
        <v>494693042</v>
      </c>
      <c r="DP398" s="890">
        <f t="shared" si="1071"/>
        <v>494693042</v>
      </c>
      <c r="DQ398" s="890">
        <f t="shared" si="1071"/>
        <v>0</v>
      </c>
      <c r="DR398" s="890">
        <f t="shared" si="1071"/>
        <v>0</v>
      </c>
      <c r="DS398" s="1073"/>
      <c r="DT398" s="1071"/>
      <c r="DU398" s="1072"/>
      <c r="DV398" s="1072"/>
      <c r="DW398" s="890">
        <f t="shared" ref="DW398:DZ401" si="1072">DW22</f>
        <v>494693042</v>
      </c>
      <c r="DX398" s="890">
        <f t="shared" si="1072"/>
        <v>494693042</v>
      </c>
      <c r="DY398" s="890">
        <f t="shared" si="1072"/>
        <v>0</v>
      </c>
      <c r="DZ398" s="890">
        <f t="shared" si="1072"/>
        <v>0</v>
      </c>
      <c r="EA398" s="1073"/>
      <c r="EB398" s="1071"/>
      <c r="EC398" s="1072"/>
      <c r="ED398" s="1072"/>
      <c r="EE398" s="890">
        <f t="shared" ref="EE398:EH401" si="1073">EE22</f>
        <v>494693042</v>
      </c>
      <c r="EF398" s="890">
        <f t="shared" si="1073"/>
        <v>494693042</v>
      </c>
      <c r="EG398" s="890">
        <f t="shared" si="1073"/>
        <v>0</v>
      </c>
      <c r="EH398" s="890">
        <f t="shared" si="1073"/>
        <v>0</v>
      </c>
      <c r="EI398" s="1073"/>
      <c r="EJ398" s="1071"/>
      <c r="EK398" s="1072"/>
      <c r="EL398" s="1072"/>
      <c r="EM398" s="890">
        <f t="shared" ref="EM398:EP401" si="1074">EM22</f>
        <v>494693042</v>
      </c>
      <c r="EN398" s="890">
        <f t="shared" si="1074"/>
        <v>494693042</v>
      </c>
      <c r="EO398" s="890">
        <f t="shared" si="1074"/>
        <v>0</v>
      </c>
      <c r="EP398" s="890">
        <f t="shared" si="1074"/>
        <v>0</v>
      </c>
      <c r="EQ398" s="1073"/>
      <c r="ER398" s="1071"/>
      <c r="ES398" s="1072"/>
      <c r="ET398" s="1072"/>
      <c r="EU398" s="890">
        <f t="shared" ref="EU398:EX401" si="1075">EU22</f>
        <v>494693042</v>
      </c>
      <c r="EV398" s="890">
        <f t="shared" si="1075"/>
        <v>494693042</v>
      </c>
      <c r="EW398" s="890">
        <f t="shared" si="1075"/>
        <v>0</v>
      </c>
      <c r="EX398" s="890">
        <f t="shared" si="1075"/>
        <v>0</v>
      </c>
      <c r="EY398" s="1073"/>
      <c r="EZ398" s="1071"/>
      <c r="FA398" s="1072"/>
      <c r="FB398" s="1072"/>
      <c r="FC398" s="890">
        <f t="shared" ref="FC398:FF401" si="1076">FC22</f>
        <v>494693042</v>
      </c>
      <c r="FD398" s="890">
        <f t="shared" si="1076"/>
        <v>494693042</v>
      </c>
      <c r="FE398" s="890">
        <f t="shared" si="1076"/>
        <v>0</v>
      </c>
      <c r="FF398" s="890">
        <f t="shared" si="1076"/>
        <v>0</v>
      </c>
      <c r="FG398" s="1073"/>
      <c r="FH398" s="1071"/>
      <c r="FI398" s="1072"/>
      <c r="FJ398" s="1072"/>
      <c r="FK398" s="890">
        <f t="shared" ref="FK398:FN401" si="1077">FK22</f>
        <v>494693042</v>
      </c>
      <c r="FL398" s="890">
        <f t="shared" si="1077"/>
        <v>494693042</v>
      </c>
      <c r="FM398" s="890">
        <f t="shared" si="1077"/>
        <v>0</v>
      </c>
      <c r="FN398" s="890">
        <f t="shared" si="1077"/>
        <v>0</v>
      </c>
      <c r="FO398" s="1073"/>
    </row>
    <row r="399" spans="2:171">
      <c r="B399" s="108"/>
      <c r="C399" s="108" t="s">
        <v>113</v>
      </c>
      <c r="D399" s="1071"/>
      <c r="E399" s="904" t="s">
        <v>397</v>
      </c>
      <c r="G399" s="890">
        <f t="shared" si="1057"/>
        <v>0</v>
      </c>
      <c r="H399" s="890">
        <f t="shared" si="1057"/>
        <v>0</v>
      </c>
      <c r="I399" s="890">
        <f t="shared" si="1057"/>
        <v>0</v>
      </c>
      <c r="J399" s="890">
        <f t="shared" si="1057"/>
        <v>0</v>
      </c>
      <c r="K399" s="1073"/>
      <c r="L399" s="1071"/>
      <c r="M399" s="1072"/>
      <c r="N399" s="1072"/>
      <c r="O399" s="890">
        <f t="shared" si="1058"/>
        <v>0</v>
      </c>
      <c r="P399" s="890">
        <f t="shared" si="1058"/>
        <v>0</v>
      </c>
      <c r="Q399" s="890">
        <f t="shared" si="1058"/>
        <v>0</v>
      </c>
      <c r="R399" s="890">
        <f t="shared" si="1058"/>
        <v>0</v>
      </c>
      <c r="S399" s="1073"/>
      <c r="T399" s="1071"/>
      <c r="U399" s="1072"/>
      <c r="V399" s="1072"/>
      <c r="W399" s="890">
        <f t="shared" si="1059"/>
        <v>0</v>
      </c>
      <c r="X399" s="890">
        <f t="shared" si="1059"/>
        <v>0</v>
      </c>
      <c r="Y399" s="890">
        <f t="shared" si="1059"/>
        <v>0</v>
      </c>
      <c r="Z399" s="890">
        <f t="shared" si="1059"/>
        <v>0</v>
      </c>
      <c r="AA399" s="1073"/>
      <c r="AB399" s="1071"/>
      <c r="AC399" s="1072"/>
      <c r="AD399" s="1072"/>
      <c r="AE399" s="890">
        <f t="shared" si="1060"/>
        <v>0</v>
      </c>
      <c r="AF399" s="890">
        <f t="shared" si="1060"/>
        <v>0</v>
      </c>
      <c r="AG399" s="890">
        <f t="shared" si="1060"/>
        <v>0</v>
      </c>
      <c r="AH399" s="890">
        <f t="shared" si="1060"/>
        <v>0</v>
      </c>
      <c r="AI399" s="1073"/>
      <c r="AJ399" s="1071"/>
      <c r="AK399" s="1072"/>
      <c r="AL399" s="1072"/>
      <c r="AM399" s="890">
        <f t="shared" si="1061"/>
        <v>0</v>
      </c>
      <c r="AN399" s="890">
        <f t="shared" si="1061"/>
        <v>0</v>
      </c>
      <c r="AO399" s="890">
        <f t="shared" si="1061"/>
        <v>0</v>
      </c>
      <c r="AP399" s="890">
        <f t="shared" si="1061"/>
        <v>0</v>
      </c>
      <c r="AQ399" s="1073"/>
      <c r="AR399" s="1071"/>
      <c r="AS399" s="1072"/>
      <c r="AT399" s="1072"/>
      <c r="AU399" s="890">
        <f t="shared" si="1062"/>
        <v>0</v>
      </c>
      <c r="AV399" s="890">
        <f t="shared" si="1062"/>
        <v>0</v>
      </c>
      <c r="AW399" s="890">
        <f t="shared" si="1062"/>
        <v>0</v>
      </c>
      <c r="AX399" s="890">
        <f t="shared" si="1062"/>
        <v>0</v>
      </c>
      <c r="AY399" s="1073"/>
      <c r="AZ399" s="1071"/>
      <c r="BA399" s="1072"/>
      <c r="BB399" s="1072"/>
      <c r="BC399" s="890">
        <f t="shared" si="1063"/>
        <v>0</v>
      </c>
      <c r="BD399" s="890">
        <f t="shared" si="1063"/>
        <v>0</v>
      </c>
      <c r="BE399" s="890">
        <f t="shared" si="1063"/>
        <v>0</v>
      </c>
      <c r="BF399" s="890">
        <f t="shared" si="1063"/>
        <v>0</v>
      </c>
      <c r="BG399" s="1073"/>
      <c r="BH399" s="1071"/>
      <c r="BI399" s="1072"/>
      <c r="BJ399" s="1072"/>
      <c r="BK399" s="890">
        <f t="shared" si="1064"/>
        <v>0</v>
      </c>
      <c r="BL399" s="890">
        <f t="shared" si="1064"/>
        <v>0</v>
      </c>
      <c r="BM399" s="890">
        <f t="shared" si="1064"/>
        <v>0</v>
      </c>
      <c r="BN399" s="890">
        <f t="shared" si="1064"/>
        <v>0</v>
      </c>
      <c r="BO399" s="1073"/>
      <c r="BP399" s="1071"/>
      <c r="BQ399" s="1072"/>
      <c r="BR399" s="1072"/>
      <c r="BS399" s="890">
        <f t="shared" si="1065"/>
        <v>0</v>
      </c>
      <c r="BT399" s="890">
        <f t="shared" si="1065"/>
        <v>0</v>
      </c>
      <c r="BU399" s="890">
        <f t="shared" si="1065"/>
        <v>0</v>
      </c>
      <c r="BV399" s="890">
        <f t="shared" si="1065"/>
        <v>0</v>
      </c>
      <c r="BW399" s="1073"/>
      <c r="BX399" s="1071"/>
      <c r="BY399" s="1072"/>
      <c r="BZ399" s="1072"/>
      <c r="CA399" s="890">
        <f t="shared" si="1066"/>
        <v>0</v>
      </c>
      <c r="CB399" s="890">
        <f t="shared" si="1066"/>
        <v>0</v>
      </c>
      <c r="CC399" s="890">
        <f t="shared" si="1066"/>
        <v>0</v>
      </c>
      <c r="CD399" s="890">
        <f t="shared" si="1066"/>
        <v>0</v>
      </c>
      <c r="CE399" s="1073"/>
      <c r="CF399" s="1071"/>
      <c r="CG399" s="1072"/>
      <c r="CH399" s="1072"/>
      <c r="CI399" s="890">
        <f t="shared" si="1067"/>
        <v>0</v>
      </c>
      <c r="CJ399" s="890">
        <f t="shared" si="1067"/>
        <v>0</v>
      </c>
      <c r="CK399" s="890">
        <f t="shared" si="1067"/>
        <v>0</v>
      </c>
      <c r="CL399" s="890">
        <f t="shared" si="1067"/>
        <v>0</v>
      </c>
      <c r="CM399" s="1073"/>
      <c r="CN399" s="1071"/>
      <c r="CO399" s="1072"/>
      <c r="CP399" s="1072"/>
      <c r="CQ399" s="890">
        <f t="shared" si="1068"/>
        <v>0</v>
      </c>
      <c r="CR399" s="890">
        <f t="shared" si="1068"/>
        <v>0</v>
      </c>
      <c r="CS399" s="890">
        <f t="shared" si="1068"/>
        <v>0</v>
      </c>
      <c r="CT399" s="890">
        <f t="shared" si="1068"/>
        <v>0</v>
      </c>
      <c r="CU399" s="1073"/>
      <c r="CV399" s="1071"/>
      <c r="CW399" s="1072"/>
      <c r="CX399" s="1072"/>
      <c r="CY399" s="890">
        <f t="shared" si="1069"/>
        <v>0</v>
      </c>
      <c r="CZ399" s="890">
        <f t="shared" si="1069"/>
        <v>0</v>
      </c>
      <c r="DA399" s="890">
        <f t="shared" si="1069"/>
        <v>0</v>
      </c>
      <c r="DB399" s="890">
        <f t="shared" si="1069"/>
        <v>0</v>
      </c>
      <c r="DC399" s="1073"/>
      <c r="DD399" s="1071"/>
      <c r="DE399" s="1072"/>
      <c r="DF399" s="1072"/>
      <c r="DG399" s="890">
        <f t="shared" si="1070"/>
        <v>0</v>
      </c>
      <c r="DH399" s="890">
        <f t="shared" si="1070"/>
        <v>0</v>
      </c>
      <c r="DI399" s="890">
        <f t="shared" si="1070"/>
        <v>0</v>
      </c>
      <c r="DJ399" s="890">
        <f t="shared" si="1070"/>
        <v>0</v>
      </c>
      <c r="DK399" s="1073"/>
      <c r="DL399" s="1071"/>
      <c r="DM399" s="1072"/>
      <c r="DN399" s="1072"/>
      <c r="DO399" s="890">
        <f t="shared" si="1071"/>
        <v>0</v>
      </c>
      <c r="DP399" s="890">
        <f t="shared" si="1071"/>
        <v>0</v>
      </c>
      <c r="DQ399" s="890">
        <f t="shared" si="1071"/>
        <v>0</v>
      </c>
      <c r="DR399" s="890">
        <f t="shared" si="1071"/>
        <v>0</v>
      </c>
      <c r="DS399" s="1073"/>
      <c r="DT399" s="1071"/>
      <c r="DU399" s="1072"/>
      <c r="DV399" s="1072"/>
      <c r="DW399" s="890">
        <f t="shared" si="1072"/>
        <v>0</v>
      </c>
      <c r="DX399" s="890">
        <f t="shared" si="1072"/>
        <v>0</v>
      </c>
      <c r="DY399" s="890">
        <f t="shared" si="1072"/>
        <v>0</v>
      </c>
      <c r="DZ399" s="890">
        <f t="shared" si="1072"/>
        <v>0</v>
      </c>
      <c r="EA399" s="1073"/>
      <c r="EB399" s="1071"/>
      <c r="EC399" s="1072"/>
      <c r="ED399" s="1072"/>
      <c r="EE399" s="890">
        <f t="shared" si="1073"/>
        <v>0</v>
      </c>
      <c r="EF399" s="890">
        <f t="shared" si="1073"/>
        <v>0</v>
      </c>
      <c r="EG399" s="890">
        <f t="shared" si="1073"/>
        <v>0</v>
      </c>
      <c r="EH399" s="890">
        <f t="shared" si="1073"/>
        <v>0</v>
      </c>
      <c r="EI399" s="1073"/>
      <c r="EJ399" s="1071"/>
      <c r="EK399" s="1072"/>
      <c r="EL399" s="1072"/>
      <c r="EM399" s="890">
        <f t="shared" si="1074"/>
        <v>0</v>
      </c>
      <c r="EN399" s="890">
        <f t="shared" si="1074"/>
        <v>0</v>
      </c>
      <c r="EO399" s="890">
        <f t="shared" si="1074"/>
        <v>0</v>
      </c>
      <c r="EP399" s="890">
        <f t="shared" si="1074"/>
        <v>0</v>
      </c>
      <c r="EQ399" s="1073"/>
      <c r="ER399" s="1071"/>
      <c r="ES399" s="1072"/>
      <c r="ET399" s="1072"/>
      <c r="EU399" s="890">
        <f t="shared" si="1075"/>
        <v>0</v>
      </c>
      <c r="EV399" s="890">
        <f t="shared" si="1075"/>
        <v>0</v>
      </c>
      <c r="EW399" s="890">
        <f t="shared" si="1075"/>
        <v>0</v>
      </c>
      <c r="EX399" s="890">
        <f t="shared" si="1075"/>
        <v>0</v>
      </c>
      <c r="EY399" s="1073"/>
      <c r="EZ399" s="1071"/>
      <c r="FA399" s="1072"/>
      <c r="FB399" s="1072"/>
      <c r="FC399" s="890">
        <f t="shared" si="1076"/>
        <v>0</v>
      </c>
      <c r="FD399" s="890">
        <f t="shared" si="1076"/>
        <v>0</v>
      </c>
      <c r="FE399" s="890">
        <f t="shared" si="1076"/>
        <v>0</v>
      </c>
      <c r="FF399" s="890">
        <f t="shared" si="1076"/>
        <v>0</v>
      </c>
      <c r="FG399" s="1073"/>
      <c r="FH399" s="1071"/>
      <c r="FI399" s="1072"/>
      <c r="FJ399" s="1072"/>
      <c r="FK399" s="890">
        <f t="shared" si="1077"/>
        <v>0</v>
      </c>
      <c r="FL399" s="890">
        <f t="shared" si="1077"/>
        <v>0</v>
      </c>
      <c r="FM399" s="890">
        <f t="shared" si="1077"/>
        <v>0</v>
      </c>
      <c r="FN399" s="890">
        <f t="shared" si="1077"/>
        <v>0</v>
      </c>
      <c r="FO399" s="1073"/>
    </row>
    <row r="400" spans="2:171">
      <c r="B400" s="108"/>
      <c r="C400" s="108" t="s">
        <v>115</v>
      </c>
      <c r="D400" s="1071"/>
      <c r="E400" s="904" t="s">
        <v>397</v>
      </c>
      <c r="G400" s="890">
        <f t="shared" si="1057"/>
        <v>791656686</v>
      </c>
      <c r="H400" s="890">
        <f t="shared" si="1057"/>
        <v>791656686</v>
      </c>
      <c r="I400" s="890">
        <f t="shared" si="1057"/>
        <v>0</v>
      </c>
      <c r="J400" s="890">
        <f t="shared" si="1057"/>
        <v>0</v>
      </c>
      <c r="K400" s="1073"/>
      <c r="L400" s="1071"/>
      <c r="M400" s="1072"/>
      <c r="N400" s="1072"/>
      <c r="O400" s="890">
        <f t="shared" si="1058"/>
        <v>791656686</v>
      </c>
      <c r="P400" s="890">
        <f t="shared" si="1058"/>
        <v>791656686</v>
      </c>
      <c r="Q400" s="890">
        <f t="shared" si="1058"/>
        <v>0</v>
      </c>
      <c r="R400" s="890">
        <f t="shared" si="1058"/>
        <v>0</v>
      </c>
      <c r="S400" s="1073"/>
      <c r="T400" s="1071"/>
      <c r="U400" s="1072"/>
      <c r="V400" s="1072"/>
      <c r="W400" s="890">
        <f t="shared" si="1059"/>
        <v>791656686</v>
      </c>
      <c r="X400" s="890">
        <f t="shared" si="1059"/>
        <v>791656686</v>
      </c>
      <c r="Y400" s="890">
        <f t="shared" si="1059"/>
        <v>0</v>
      </c>
      <c r="Z400" s="890">
        <f t="shared" si="1059"/>
        <v>0</v>
      </c>
      <c r="AA400" s="1073"/>
      <c r="AB400" s="1071"/>
      <c r="AC400" s="1072"/>
      <c r="AD400" s="1072"/>
      <c r="AE400" s="890">
        <f t="shared" si="1060"/>
        <v>791656686</v>
      </c>
      <c r="AF400" s="890">
        <f t="shared" si="1060"/>
        <v>791656686</v>
      </c>
      <c r="AG400" s="890">
        <f t="shared" si="1060"/>
        <v>0</v>
      </c>
      <c r="AH400" s="890">
        <f t="shared" si="1060"/>
        <v>0</v>
      </c>
      <c r="AI400" s="1073"/>
      <c r="AJ400" s="1071"/>
      <c r="AK400" s="1072"/>
      <c r="AL400" s="1072"/>
      <c r="AM400" s="890">
        <f t="shared" si="1061"/>
        <v>791656686</v>
      </c>
      <c r="AN400" s="890">
        <f t="shared" si="1061"/>
        <v>791656686</v>
      </c>
      <c r="AO400" s="890">
        <f t="shared" si="1061"/>
        <v>0</v>
      </c>
      <c r="AP400" s="890">
        <f t="shared" si="1061"/>
        <v>0</v>
      </c>
      <c r="AQ400" s="1073"/>
      <c r="AR400" s="1071"/>
      <c r="AS400" s="1072"/>
      <c r="AT400" s="1072"/>
      <c r="AU400" s="890">
        <f t="shared" si="1062"/>
        <v>791656686</v>
      </c>
      <c r="AV400" s="890">
        <f t="shared" si="1062"/>
        <v>791656686</v>
      </c>
      <c r="AW400" s="890">
        <f t="shared" si="1062"/>
        <v>0</v>
      </c>
      <c r="AX400" s="890">
        <f t="shared" si="1062"/>
        <v>0</v>
      </c>
      <c r="AY400" s="1073"/>
      <c r="AZ400" s="1071"/>
      <c r="BA400" s="1072"/>
      <c r="BB400" s="1072"/>
      <c r="BC400" s="890">
        <f t="shared" si="1063"/>
        <v>791656686</v>
      </c>
      <c r="BD400" s="890">
        <f t="shared" si="1063"/>
        <v>791656686</v>
      </c>
      <c r="BE400" s="890">
        <f t="shared" si="1063"/>
        <v>0</v>
      </c>
      <c r="BF400" s="890">
        <f t="shared" si="1063"/>
        <v>0</v>
      </c>
      <c r="BG400" s="1073"/>
      <c r="BH400" s="1071"/>
      <c r="BI400" s="1072"/>
      <c r="BJ400" s="1072"/>
      <c r="BK400" s="890">
        <f t="shared" si="1064"/>
        <v>791656686</v>
      </c>
      <c r="BL400" s="890">
        <f t="shared" si="1064"/>
        <v>791656686</v>
      </c>
      <c r="BM400" s="890">
        <f t="shared" si="1064"/>
        <v>0</v>
      </c>
      <c r="BN400" s="890">
        <f t="shared" si="1064"/>
        <v>0</v>
      </c>
      <c r="BO400" s="1073"/>
      <c r="BP400" s="1071"/>
      <c r="BQ400" s="1072"/>
      <c r="BR400" s="1072"/>
      <c r="BS400" s="890">
        <f t="shared" si="1065"/>
        <v>791656686</v>
      </c>
      <c r="BT400" s="890">
        <f t="shared" si="1065"/>
        <v>791656686</v>
      </c>
      <c r="BU400" s="890">
        <f t="shared" si="1065"/>
        <v>0</v>
      </c>
      <c r="BV400" s="890">
        <f t="shared" si="1065"/>
        <v>0</v>
      </c>
      <c r="BW400" s="1073"/>
      <c r="BX400" s="1071"/>
      <c r="BY400" s="1072"/>
      <c r="BZ400" s="1072"/>
      <c r="CA400" s="890">
        <f t="shared" si="1066"/>
        <v>791656686</v>
      </c>
      <c r="CB400" s="890">
        <f t="shared" si="1066"/>
        <v>791656686</v>
      </c>
      <c r="CC400" s="890">
        <f t="shared" si="1066"/>
        <v>0</v>
      </c>
      <c r="CD400" s="890">
        <f t="shared" si="1066"/>
        <v>0</v>
      </c>
      <c r="CE400" s="1073"/>
      <c r="CF400" s="1071"/>
      <c r="CG400" s="1072"/>
      <c r="CH400" s="1072"/>
      <c r="CI400" s="890">
        <f t="shared" si="1067"/>
        <v>791656686</v>
      </c>
      <c r="CJ400" s="890">
        <f t="shared" si="1067"/>
        <v>791656686</v>
      </c>
      <c r="CK400" s="890">
        <f t="shared" si="1067"/>
        <v>0</v>
      </c>
      <c r="CL400" s="890">
        <f t="shared" si="1067"/>
        <v>0</v>
      </c>
      <c r="CM400" s="1073"/>
      <c r="CN400" s="1071"/>
      <c r="CO400" s="1072"/>
      <c r="CP400" s="1072"/>
      <c r="CQ400" s="890">
        <f t="shared" si="1068"/>
        <v>791656686</v>
      </c>
      <c r="CR400" s="890">
        <f t="shared" si="1068"/>
        <v>791656686</v>
      </c>
      <c r="CS400" s="890">
        <f t="shared" si="1068"/>
        <v>0</v>
      </c>
      <c r="CT400" s="890">
        <f t="shared" si="1068"/>
        <v>0</v>
      </c>
      <c r="CU400" s="1073"/>
      <c r="CV400" s="1071"/>
      <c r="CW400" s="1072"/>
      <c r="CX400" s="1072"/>
      <c r="CY400" s="890">
        <f t="shared" si="1069"/>
        <v>791656686</v>
      </c>
      <c r="CZ400" s="890">
        <f t="shared" si="1069"/>
        <v>791656686</v>
      </c>
      <c r="DA400" s="890">
        <f t="shared" si="1069"/>
        <v>0</v>
      </c>
      <c r="DB400" s="890">
        <f t="shared" si="1069"/>
        <v>0</v>
      </c>
      <c r="DC400" s="1073"/>
      <c r="DD400" s="1071"/>
      <c r="DE400" s="1072"/>
      <c r="DF400" s="1072"/>
      <c r="DG400" s="890">
        <f t="shared" si="1070"/>
        <v>791656686</v>
      </c>
      <c r="DH400" s="890">
        <f t="shared" si="1070"/>
        <v>791656686</v>
      </c>
      <c r="DI400" s="890">
        <f t="shared" si="1070"/>
        <v>0</v>
      </c>
      <c r="DJ400" s="890">
        <f t="shared" si="1070"/>
        <v>0</v>
      </c>
      <c r="DK400" s="1073"/>
      <c r="DL400" s="1071"/>
      <c r="DM400" s="1072"/>
      <c r="DN400" s="1072"/>
      <c r="DO400" s="890">
        <f t="shared" si="1071"/>
        <v>791656686</v>
      </c>
      <c r="DP400" s="890">
        <f t="shared" si="1071"/>
        <v>791656686</v>
      </c>
      <c r="DQ400" s="890">
        <f t="shared" si="1071"/>
        <v>0</v>
      </c>
      <c r="DR400" s="890">
        <f t="shared" si="1071"/>
        <v>0</v>
      </c>
      <c r="DS400" s="1073"/>
      <c r="DT400" s="1071"/>
      <c r="DU400" s="1072"/>
      <c r="DV400" s="1072"/>
      <c r="DW400" s="890">
        <f t="shared" si="1072"/>
        <v>791656686</v>
      </c>
      <c r="DX400" s="890">
        <f t="shared" si="1072"/>
        <v>791656686</v>
      </c>
      <c r="DY400" s="890">
        <f t="shared" si="1072"/>
        <v>0</v>
      </c>
      <c r="DZ400" s="890">
        <f t="shared" si="1072"/>
        <v>0</v>
      </c>
      <c r="EA400" s="1073"/>
      <c r="EB400" s="1071"/>
      <c r="EC400" s="1072"/>
      <c r="ED400" s="1072"/>
      <c r="EE400" s="890">
        <f t="shared" si="1073"/>
        <v>791656686</v>
      </c>
      <c r="EF400" s="890">
        <f t="shared" si="1073"/>
        <v>791656686</v>
      </c>
      <c r="EG400" s="890">
        <f t="shared" si="1073"/>
        <v>0</v>
      </c>
      <c r="EH400" s="890">
        <f t="shared" si="1073"/>
        <v>0</v>
      </c>
      <c r="EI400" s="1073"/>
      <c r="EJ400" s="1071"/>
      <c r="EK400" s="1072"/>
      <c r="EL400" s="1072"/>
      <c r="EM400" s="890">
        <f t="shared" si="1074"/>
        <v>791656686</v>
      </c>
      <c r="EN400" s="890">
        <f t="shared" si="1074"/>
        <v>791656686</v>
      </c>
      <c r="EO400" s="890">
        <f t="shared" si="1074"/>
        <v>0</v>
      </c>
      <c r="EP400" s="890">
        <f t="shared" si="1074"/>
        <v>0</v>
      </c>
      <c r="EQ400" s="1073"/>
      <c r="ER400" s="1071"/>
      <c r="ES400" s="1072"/>
      <c r="ET400" s="1072"/>
      <c r="EU400" s="890">
        <f t="shared" si="1075"/>
        <v>791656686</v>
      </c>
      <c r="EV400" s="890">
        <f t="shared" si="1075"/>
        <v>791656686</v>
      </c>
      <c r="EW400" s="890">
        <f t="shared" si="1075"/>
        <v>0</v>
      </c>
      <c r="EX400" s="890">
        <f t="shared" si="1075"/>
        <v>0</v>
      </c>
      <c r="EY400" s="1073"/>
      <c r="EZ400" s="1071"/>
      <c r="FA400" s="1072"/>
      <c r="FB400" s="1072"/>
      <c r="FC400" s="890">
        <f t="shared" si="1076"/>
        <v>791656686</v>
      </c>
      <c r="FD400" s="890">
        <f t="shared" si="1076"/>
        <v>791656686</v>
      </c>
      <c r="FE400" s="890">
        <f t="shared" si="1076"/>
        <v>0</v>
      </c>
      <c r="FF400" s="890">
        <f t="shared" si="1076"/>
        <v>0</v>
      </c>
      <c r="FG400" s="1073"/>
      <c r="FH400" s="1071"/>
      <c r="FI400" s="1072"/>
      <c r="FJ400" s="1072"/>
      <c r="FK400" s="890">
        <f t="shared" si="1077"/>
        <v>791656686</v>
      </c>
      <c r="FL400" s="890">
        <f t="shared" si="1077"/>
        <v>791656686</v>
      </c>
      <c r="FM400" s="890">
        <f t="shared" si="1077"/>
        <v>0</v>
      </c>
      <c r="FN400" s="890">
        <f t="shared" si="1077"/>
        <v>0</v>
      </c>
      <c r="FO400" s="1073"/>
    </row>
    <row r="401" spans="2:171">
      <c r="B401" s="108"/>
      <c r="C401" s="108" t="s">
        <v>117</v>
      </c>
      <c r="D401" s="1071"/>
      <c r="E401" s="904" t="s">
        <v>397</v>
      </c>
      <c r="G401" s="890">
        <f t="shared" si="1057"/>
        <v>327526210</v>
      </c>
      <c r="H401" s="890">
        <f t="shared" si="1057"/>
        <v>327526210</v>
      </c>
      <c r="I401" s="890">
        <f t="shared" si="1057"/>
        <v>0</v>
      </c>
      <c r="J401" s="890">
        <f t="shared" si="1057"/>
        <v>0</v>
      </c>
      <c r="K401" s="1073"/>
      <c r="L401" s="1071"/>
      <c r="M401" s="1072"/>
      <c r="N401" s="1072"/>
      <c r="O401" s="890">
        <f t="shared" si="1058"/>
        <v>327526210</v>
      </c>
      <c r="P401" s="890">
        <f t="shared" si="1058"/>
        <v>327526210</v>
      </c>
      <c r="Q401" s="890">
        <f t="shared" si="1058"/>
        <v>0</v>
      </c>
      <c r="R401" s="890">
        <f t="shared" si="1058"/>
        <v>0</v>
      </c>
      <c r="S401" s="1073"/>
      <c r="T401" s="1071"/>
      <c r="U401" s="1072"/>
      <c r="V401" s="1072"/>
      <c r="W401" s="890">
        <f t="shared" si="1059"/>
        <v>327526210</v>
      </c>
      <c r="X401" s="890">
        <f t="shared" si="1059"/>
        <v>327526210</v>
      </c>
      <c r="Y401" s="890">
        <f t="shared" si="1059"/>
        <v>0</v>
      </c>
      <c r="Z401" s="890">
        <f t="shared" si="1059"/>
        <v>0</v>
      </c>
      <c r="AA401" s="1073"/>
      <c r="AB401" s="1071"/>
      <c r="AC401" s="1072"/>
      <c r="AD401" s="1072"/>
      <c r="AE401" s="890">
        <f t="shared" si="1060"/>
        <v>327526210</v>
      </c>
      <c r="AF401" s="890">
        <f t="shared" si="1060"/>
        <v>327526210</v>
      </c>
      <c r="AG401" s="890">
        <f t="shared" si="1060"/>
        <v>0</v>
      </c>
      <c r="AH401" s="890">
        <f t="shared" si="1060"/>
        <v>0</v>
      </c>
      <c r="AI401" s="1073"/>
      <c r="AJ401" s="1071"/>
      <c r="AK401" s="1072"/>
      <c r="AL401" s="1072"/>
      <c r="AM401" s="890">
        <f t="shared" si="1061"/>
        <v>327526210</v>
      </c>
      <c r="AN401" s="890">
        <f t="shared" si="1061"/>
        <v>327526210</v>
      </c>
      <c r="AO401" s="890">
        <f t="shared" si="1061"/>
        <v>0</v>
      </c>
      <c r="AP401" s="890">
        <f t="shared" si="1061"/>
        <v>0</v>
      </c>
      <c r="AQ401" s="1073"/>
      <c r="AR401" s="1071"/>
      <c r="AS401" s="1072"/>
      <c r="AT401" s="1072"/>
      <c r="AU401" s="890">
        <f t="shared" si="1062"/>
        <v>327526210</v>
      </c>
      <c r="AV401" s="890">
        <f t="shared" si="1062"/>
        <v>327526210</v>
      </c>
      <c r="AW401" s="890">
        <f t="shared" si="1062"/>
        <v>0</v>
      </c>
      <c r="AX401" s="890">
        <f t="shared" si="1062"/>
        <v>0</v>
      </c>
      <c r="AY401" s="1073"/>
      <c r="AZ401" s="1071"/>
      <c r="BA401" s="1072"/>
      <c r="BB401" s="1072"/>
      <c r="BC401" s="890">
        <f t="shared" si="1063"/>
        <v>327526210</v>
      </c>
      <c r="BD401" s="890">
        <f t="shared" si="1063"/>
        <v>327526210</v>
      </c>
      <c r="BE401" s="890">
        <f t="shared" si="1063"/>
        <v>0</v>
      </c>
      <c r="BF401" s="890">
        <f t="shared" si="1063"/>
        <v>0</v>
      </c>
      <c r="BG401" s="1073"/>
      <c r="BH401" s="1071"/>
      <c r="BI401" s="1072"/>
      <c r="BJ401" s="1072"/>
      <c r="BK401" s="890">
        <f t="shared" si="1064"/>
        <v>327526210</v>
      </c>
      <c r="BL401" s="890">
        <f t="shared" si="1064"/>
        <v>327526210</v>
      </c>
      <c r="BM401" s="890">
        <f t="shared" si="1064"/>
        <v>0</v>
      </c>
      <c r="BN401" s="890">
        <f t="shared" si="1064"/>
        <v>0</v>
      </c>
      <c r="BO401" s="1073"/>
      <c r="BP401" s="1071"/>
      <c r="BQ401" s="1072"/>
      <c r="BR401" s="1072"/>
      <c r="BS401" s="890">
        <f t="shared" si="1065"/>
        <v>327526210</v>
      </c>
      <c r="BT401" s="890">
        <f t="shared" si="1065"/>
        <v>327526210</v>
      </c>
      <c r="BU401" s="890">
        <f t="shared" si="1065"/>
        <v>0</v>
      </c>
      <c r="BV401" s="890">
        <f t="shared" si="1065"/>
        <v>0</v>
      </c>
      <c r="BW401" s="1073"/>
      <c r="BX401" s="1071"/>
      <c r="BY401" s="1072"/>
      <c r="BZ401" s="1072"/>
      <c r="CA401" s="890">
        <f t="shared" si="1066"/>
        <v>327526210</v>
      </c>
      <c r="CB401" s="890">
        <f t="shared" si="1066"/>
        <v>327526210</v>
      </c>
      <c r="CC401" s="890">
        <f t="shared" si="1066"/>
        <v>0</v>
      </c>
      <c r="CD401" s="890">
        <f t="shared" si="1066"/>
        <v>0</v>
      </c>
      <c r="CE401" s="1073"/>
      <c r="CF401" s="1071"/>
      <c r="CG401" s="1072"/>
      <c r="CH401" s="1072"/>
      <c r="CI401" s="890">
        <f t="shared" si="1067"/>
        <v>327526210</v>
      </c>
      <c r="CJ401" s="890">
        <f t="shared" si="1067"/>
        <v>327526210</v>
      </c>
      <c r="CK401" s="890">
        <f t="shared" si="1067"/>
        <v>0</v>
      </c>
      <c r="CL401" s="890">
        <f t="shared" si="1067"/>
        <v>0</v>
      </c>
      <c r="CM401" s="1073"/>
      <c r="CN401" s="1071"/>
      <c r="CO401" s="1072"/>
      <c r="CP401" s="1072"/>
      <c r="CQ401" s="890">
        <f t="shared" si="1068"/>
        <v>327526210</v>
      </c>
      <c r="CR401" s="890">
        <f t="shared" si="1068"/>
        <v>327526210</v>
      </c>
      <c r="CS401" s="890">
        <f t="shared" si="1068"/>
        <v>0</v>
      </c>
      <c r="CT401" s="890">
        <f t="shared" si="1068"/>
        <v>0</v>
      </c>
      <c r="CU401" s="1073"/>
      <c r="CV401" s="1071"/>
      <c r="CW401" s="1072"/>
      <c r="CX401" s="1072"/>
      <c r="CY401" s="890">
        <f t="shared" si="1069"/>
        <v>327526210</v>
      </c>
      <c r="CZ401" s="890">
        <f t="shared" si="1069"/>
        <v>327526210</v>
      </c>
      <c r="DA401" s="890">
        <f t="shared" si="1069"/>
        <v>0</v>
      </c>
      <c r="DB401" s="890">
        <f t="shared" si="1069"/>
        <v>0</v>
      </c>
      <c r="DC401" s="1073"/>
      <c r="DD401" s="1071"/>
      <c r="DE401" s="1072"/>
      <c r="DF401" s="1072"/>
      <c r="DG401" s="890">
        <f t="shared" si="1070"/>
        <v>327526210</v>
      </c>
      <c r="DH401" s="890">
        <f t="shared" si="1070"/>
        <v>327526210</v>
      </c>
      <c r="DI401" s="890">
        <f t="shared" si="1070"/>
        <v>0</v>
      </c>
      <c r="DJ401" s="890">
        <f t="shared" si="1070"/>
        <v>0</v>
      </c>
      <c r="DK401" s="1073"/>
      <c r="DL401" s="1071"/>
      <c r="DM401" s="1072"/>
      <c r="DN401" s="1072"/>
      <c r="DO401" s="890">
        <f t="shared" si="1071"/>
        <v>327526210</v>
      </c>
      <c r="DP401" s="890">
        <f t="shared" si="1071"/>
        <v>327526210</v>
      </c>
      <c r="DQ401" s="890">
        <f t="shared" si="1071"/>
        <v>0</v>
      </c>
      <c r="DR401" s="890">
        <f t="shared" si="1071"/>
        <v>0</v>
      </c>
      <c r="DS401" s="1073"/>
      <c r="DT401" s="1071"/>
      <c r="DU401" s="1072"/>
      <c r="DV401" s="1072"/>
      <c r="DW401" s="890">
        <f t="shared" si="1072"/>
        <v>327526210</v>
      </c>
      <c r="DX401" s="890">
        <f t="shared" si="1072"/>
        <v>327526210</v>
      </c>
      <c r="DY401" s="890">
        <f t="shared" si="1072"/>
        <v>0</v>
      </c>
      <c r="DZ401" s="890">
        <f t="shared" si="1072"/>
        <v>0</v>
      </c>
      <c r="EA401" s="1073"/>
      <c r="EB401" s="1071"/>
      <c r="EC401" s="1072"/>
      <c r="ED401" s="1072"/>
      <c r="EE401" s="890">
        <f t="shared" si="1073"/>
        <v>327526210</v>
      </c>
      <c r="EF401" s="890">
        <f t="shared" si="1073"/>
        <v>327526210</v>
      </c>
      <c r="EG401" s="890">
        <f t="shared" si="1073"/>
        <v>0</v>
      </c>
      <c r="EH401" s="890">
        <f t="shared" si="1073"/>
        <v>0</v>
      </c>
      <c r="EI401" s="1073"/>
      <c r="EJ401" s="1071"/>
      <c r="EK401" s="1072"/>
      <c r="EL401" s="1072"/>
      <c r="EM401" s="890">
        <f t="shared" si="1074"/>
        <v>327526210</v>
      </c>
      <c r="EN401" s="890">
        <f t="shared" si="1074"/>
        <v>327526210</v>
      </c>
      <c r="EO401" s="890">
        <f t="shared" si="1074"/>
        <v>0</v>
      </c>
      <c r="EP401" s="890">
        <f t="shared" si="1074"/>
        <v>0</v>
      </c>
      <c r="EQ401" s="1073"/>
      <c r="ER401" s="1071"/>
      <c r="ES401" s="1072"/>
      <c r="ET401" s="1072"/>
      <c r="EU401" s="890">
        <f t="shared" si="1075"/>
        <v>327526210</v>
      </c>
      <c r="EV401" s="890">
        <f t="shared" si="1075"/>
        <v>327526210</v>
      </c>
      <c r="EW401" s="890">
        <f t="shared" si="1075"/>
        <v>0</v>
      </c>
      <c r="EX401" s="890">
        <f t="shared" si="1075"/>
        <v>0</v>
      </c>
      <c r="EY401" s="1073"/>
      <c r="EZ401" s="1071"/>
      <c r="FA401" s="1072"/>
      <c r="FB401" s="1072"/>
      <c r="FC401" s="890">
        <f t="shared" si="1076"/>
        <v>327526210</v>
      </c>
      <c r="FD401" s="890">
        <f t="shared" si="1076"/>
        <v>327526210</v>
      </c>
      <c r="FE401" s="890">
        <f t="shared" si="1076"/>
        <v>0</v>
      </c>
      <c r="FF401" s="890">
        <f t="shared" si="1076"/>
        <v>0</v>
      </c>
      <c r="FG401" s="1073"/>
      <c r="FH401" s="1071"/>
      <c r="FI401" s="1072"/>
      <c r="FJ401" s="1072"/>
      <c r="FK401" s="890">
        <f t="shared" si="1077"/>
        <v>327526210</v>
      </c>
      <c r="FL401" s="890">
        <f t="shared" si="1077"/>
        <v>327526210</v>
      </c>
      <c r="FM401" s="890">
        <f t="shared" si="1077"/>
        <v>0</v>
      </c>
      <c r="FN401" s="890">
        <f t="shared" si="1077"/>
        <v>0</v>
      </c>
      <c r="FO401" s="1073"/>
    </row>
    <row r="402" spans="2:171">
      <c r="B402" s="108"/>
      <c r="C402" s="108" t="s">
        <v>119</v>
      </c>
      <c r="D402" s="1071"/>
      <c r="E402" s="904"/>
      <c r="G402" s="890">
        <f>SUM(G398:G401)</f>
        <v>1613875938</v>
      </c>
      <c r="H402" s="890">
        <f>SUM(H398:H401)</f>
        <v>1613875938</v>
      </c>
      <c r="I402" s="890">
        <f>SUM(I398:I401)</f>
        <v>0</v>
      </c>
      <c r="J402" s="890">
        <f>SUM(J398:J401)</f>
        <v>0</v>
      </c>
      <c r="K402" s="1073"/>
      <c r="L402" s="1071"/>
      <c r="M402" s="1072"/>
      <c r="N402" s="1072"/>
      <c r="O402" s="890">
        <f>SUM(O398:O401)</f>
        <v>1613875938</v>
      </c>
      <c r="P402" s="890">
        <f>SUM(P398:P401)</f>
        <v>1613875938</v>
      </c>
      <c r="Q402" s="890">
        <f>SUM(Q398:Q401)</f>
        <v>0</v>
      </c>
      <c r="R402" s="890">
        <f>SUM(R398:R401)</f>
        <v>0</v>
      </c>
      <c r="S402" s="1073"/>
      <c r="T402" s="1071"/>
      <c r="U402" s="1072"/>
      <c r="V402" s="1072"/>
      <c r="W402" s="890">
        <f>SUM(W398:W401)</f>
        <v>1613875938</v>
      </c>
      <c r="X402" s="890">
        <f>SUM(X398:X401)</f>
        <v>1613875938</v>
      </c>
      <c r="Y402" s="890">
        <f>SUM(Y398:Y401)</f>
        <v>0</v>
      </c>
      <c r="Z402" s="890">
        <f>SUM(Z398:Z401)</f>
        <v>0</v>
      </c>
      <c r="AA402" s="1073"/>
      <c r="AB402" s="1071"/>
      <c r="AC402" s="1072"/>
      <c r="AD402" s="1072"/>
      <c r="AE402" s="890">
        <f>SUM(AE398:AE401)</f>
        <v>1613875938</v>
      </c>
      <c r="AF402" s="890">
        <f>SUM(AF398:AF401)</f>
        <v>1613875938</v>
      </c>
      <c r="AG402" s="890">
        <f>SUM(AG398:AG401)</f>
        <v>0</v>
      </c>
      <c r="AH402" s="890">
        <f>SUM(AH398:AH401)</f>
        <v>0</v>
      </c>
      <c r="AI402" s="1073"/>
      <c r="AJ402" s="1071"/>
      <c r="AK402" s="1072"/>
      <c r="AL402" s="1072"/>
      <c r="AM402" s="890">
        <f>SUM(AM398:AM401)</f>
        <v>1613875938</v>
      </c>
      <c r="AN402" s="890">
        <f>SUM(AN398:AN401)</f>
        <v>1613875938</v>
      </c>
      <c r="AO402" s="890">
        <f>SUM(AO398:AO401)</f>
        <v>0</v>
      </c>
      <c r="AP402" s="890">
        <f>SUM(AP398:AP401)</f>
        <v>0</v>
      </c>
      <c r="AQ402" s="1073"/>
      <c r="AR402" s="1071"/>
      <c r="AS402" s="1072"/>
      <c r="AT402" s="1072"/>
      <c r="AU402" s="890">
        <f>SUM(AU398:AU401)</f>
        <v>1613875938</v>
      </c>
      <c r="AV402" s="890">
        <f>SUM(AV398:AV401)</f>
        <v>1613875938</v>
      </c>
      <c r="AW402" s="890">
        <f>SUM(AW398:AW401)</f>
        <v>0</v>
      </c>
      <c r="AX402" s="890">
        <f>SUM(AX398:AX401)</f>
        <v>0</v>
      </c>
      <c r="AY402" s="1073"/>
      <c r="AZ402" s="1071"/>
      <c r="BA402" s="1072"/>
      <c r="BB402" s="1072"/>
      <c r="BC402" s="890">
        <f>SUM(BC398:BC401)</f>
        <v>1613875938</v>
      </c>
      <c r="BD402" s="890">
        <f>SUM(BD398:BD401)</f>
        <v>1613875938</v>
      </c>
      <c r="BE402" s="890">
        <f>SUM(BE398:BE401)</f>
        <v>0</v>
      </c>
      <c r="BF402" s="890">
        <f>SUM(BF398:BF401)</f>
        <v>0</v>
      </c>
      <c r="BG402" s="1073"/>
      <c r="BH402" s="1071"/>
      <c r="BI402" s="1072"/>
      <c r="BJ402" s="1072"/>
      <c r="BK402" s="890">
        <f>SUM(BK398:BK401)</f>
        <v>1613875938</v>
      </c>
      <c r="BL402" s="890">
        <f>SUM(BL398:BL401)</f>
        <v>1613875938</v>
      </c>
      <c r="BM402" s="890">
        <f>SUM(BM398:BM401)</f>
        <v>0</v>
      </c>
      <c r="BN402" s="890">
        <f>SUM(BN398:BN401)</f>
        <v>0</v>
      </c>
      <c r="BO402" s="1073"/>
      <c r="BP402" s="1071"/>
      <c r="BQ402" s="1072"/>
      <c r="BR402" s="1072"/>
      <c r="BS402" s="890">
        <f>SUM(BS398:BS401)</f>
        <v>1613875938</v>
      </c>
      <c r="BT402" s="890">
        <f>SUM(BT398:BT401)</f>
        <v>1613875938</v>
      </c>
      <c r="BU402" s="890">
        <f>SUM(BU398:BU401)</f>
        <v>0</v>
      </c>
      <c r="BV402" s="890">
        <f>SUM(BV398:BV401)</f>
        <v>0</v>
      </c>
      <c r="BW402" s="1073"/>
      <c r="BX402" s="1071"/>
      <c r="BY402" s="1072"/>
      <c r="BZ402" s="1072"/>
      <c r="CA402" s="890">
        <f>SUM(CA398:CA401)</f>
        <v>1613875938</v>
      </c>
      <c r="CB402" s="890">
        <f>SUM(CB398:CB401)</f>
        <v>1613875938</v>
      </c>
      <c r="CC402" s="890">
        <f>SUM(CC398:CC401)</f>
        <v>0</v>
      </c>
      <c r="CD402" s="890">
        <f>SUM(CD398:CD401)</f>
        <v>0</v>
      </c>
      <c r="CE402" s="1073"/>
      <c r="CF402" s="1071"/>
      <c r="CG402" s="1072"/>
      <c r="CH402" s="1072"/>
      <c r="CI402" s="890">
        <f>SUM(CI398:CI401)</f>
        <v>1613875938</v>
      </c>
      <c r="CJ402" s="890">
        <f>SUM(CJ398:CJ401)</f>
        <v>1613875938</v>
      </c>
      <c r="CK402" s="890">
        <f>SUM(CK398:CK401)</f>
        <v>0</v>
      </c>
      <c r="CL402" s="890">
        <f>SUM(CL398:CL401)</f>
        <v>0</v>
      </c>
      <c r="CM402" s="1073"/>
      <c r="CN402" s="1071"/>
      <c r="CO402" s="1072"/>
      <c r="CP402" s="1072"/>
      <c r="CQ402" s="890">
        <f>SUM(CQ398:CQ401)</f>
        <v>1613875938</v>
      </c>
      <c r="CR402" s="890">
        <f>SUM(CR398:CR401)</f>
        <v>1613875938</v>
      </c>
      <c r="CS402" s="890">
        <f>SUM(CS398:CS401)</f>
        <v>0</v>
      </c>
      <c r="CT402" s="890">
        <f>SUM(CT398:CT401)</f>
        <v>0</v>
      </c>
      <c r="CU402" s="1073"/>
      <c r="CV402" s="1071"/>
      <c r="CW402" s="1072"/>
      <c r="CX402" s="1072"/>
      <c r="CY402" s="890">
        <f>SUM(CY398:CY401)</f>
        <v>1613875938</v>
      </c>
      <c r="CZ402" s="890">
        <f>SUM(CZ398:CZ401)</f>
        <v>1613875938</v>
      </c>
      <c r="DA402" s="890">
        <f>SUM(DA398:DA401)</f>
        <v>0</v>
      </c>
      <c r="DB402" s="890">
        <f>SUM(DB398:DB401)</f>
        <v>0</v>
      </c>
      <c r="DC402" s="1073"/>
      <c r="DD402" s="1071"/>
      <c r="DE402" s="1072"/>
      <c r="DF402" s="1072"/>
      <c r="DG402" s="890">
        <f>SUM(DG398:DG401)</f>
        <v>1613875938</v>
      </c>
      <c r="DH402" s="890">
        <f>SUM(DH398:DH401)</f>
        <v>1613875938</v>
      </c>
      <c r="DI402" s="890">
        <f>SUM(DI398:DI401)</f>
        <v>0</v>
      </c>
      <c r="DJ402" s="890">
        <f>SUM(DJ398:DJ401)</f>
        <v>0</v>
      </c>
      <c r="DK402" s="1073"/>
      <c r="DL402" s="1071"/>
      <c r="DM402" s="1072"/>
      <c r="DN402" s="1072"/>
      <c r="DO402" s="890">
        <f>SUM(DO398:DO401)</f>
        <v>1613875938</v>
      </c>
      <c r="DP402" s="890">
        <f>SUM(DP398:DP401)</f>
        <v>1613875938</v>
      </c>
      <c r="DQ402" s="890">
        <f>SUM(DQ398:DQ401)</f>
        <v>0</v>
      </c>
      <c r="DR402" s="890">
        <f>SUM(DR398:DR401)</f>
        <v>0</v>
      </c>
      <c r="DS402" s="1073"/>
      <c r="DT402" s="1071"/>
      <c r="DU402" s="1072"/>
      <c r="DV402" s="1072"/>
      <c r="DW402" s="890">
        <f>SUM(DW398:DW401)</f>
        <v>1613875938</v>
      </c>
      <c r="DX402" s="890">
        <f>SUM(DX398:DX401)</f>
        <v>1613875938</v>
      </c>
      <c r="DY402" s="890">
        <f>SUM(DY398:DY401)</f>
        <v>0</v>
      </c>
      <c r="DZ402" s="890">
        <f>SUM(DZ398:DZ401)</f>
        <v>0</v>
      </c>
      <c r="EA402" s="1073"/>
      <c r="EB402" s="1071"/>
      <c r="EC402" s="1072"/>
      <c r="ED402" s="1072"/>
      <c r="EE402" s="890">
        <f>SUM(EE398:EE401)</f>
        <v>1613875938</v>
      </c>
      <c r="EF402" s="890">
        <f>SUM(EF398:EF401)</f>
        <v>1613875938</v>
      </c>
      <c r="EG402" s="890">
        <f>SUM(EG398:EG401)</f>
        <v>0</v>
      </c>
      <c r="EH402" s="890">
        <f>SUM(EH398:EH401)</f>
        <v>0</v>
      </c>
      <c r="EI402" s="1073"/>
      <c r="EJ402" s="1071"/>
      <c r="EK402" s="1072"/>
      <c r="EL402" s="1072"/>
      <c r="EM402" s="890">
        <f>SUM(EM398:EM401)</f>
        <v>1613875938</v>
      </c>
      <c r="EN402" s="890">
        <f>SUM(EN398:EN401)</f>
        <v>1613875938</v>
      </c>
      <c r="EO402" s="890">
        <f>SUM(EO398:EO401)</f>
        <v>0</v>
      </c>
      <c r="EP402" s="890">
        <f>SUM(EP398:EP401)</f>
        <v>0</v>
      </c>
      <c r="EQ402" s="1073"/>
      <c r="ER402" s="1071"/>
      <c r="ES402" s="1072"/>
      <c r="ET402" s="1072"/>
      <c r="EU402" s="890">
        <f>SUM(EU398:EU401)</f>
        <v>1613875938</v>
      </c>
      <c r="EV402" s="890">
        <f>SUM(EV398:EV401)</f>
        <v>1613875938</v>
      </c>
      <c r="EW402" s="890">
        <f>SUM(EW398:EW401)</f>
        <v>0</v>
      </c>
      <c r="EX402" s="890">
        <f>SUM(EX398:EX401)</f>
        <v>0</v>
      </c>
      <c r="EY402" s="1073"/>
      <c r="EZ402" s="1071"/>
      <c r="FA402" s="1072"/>
      <c r="FB402" s="1072"/>
      <c r="FC402" s="890">
        <f>SUM(FC398:FC401)</f>
        <v>1613875938</v>
      </c>
      <c r="FD402" s="890">
        <f>SUM(FD398:FD401)</f>
        <v>1613875938</v>
      </c>
      <c r="FE402" s="890">
        <f>SUM(FE398:FE401)</f>
        <v>0</v>
      </c>
      <c r="FF402" s="890">
        <f>SUM(FF398:FF401)</f>
        <v>0</v>
      </c>
      <c r="FG402" s="1073"/>
      <c r="FH402" s="1071"/>
      <c r="FI402" s="1072"/>
      <c r="FJ402" s="1072"/>
      <c r="FK402" s="890">
        <f>SUM(FK398:FK401)</f>
        <v>1613875938</v>
      </c>
      <c r="FL402" s="890">
        <f>SUM(FL398:FL401)</f>
        <v>1613875938</v>
      </c>
      <c r="FM402" s="890">
        <f>SUM(FM398:FM401)</f>
        <v>0</v>
      </c>
      <c r="FN402" s="890">
        <f>SUM(FN398:FN401)</f>
        <v>0</v>
      </c>
      <c r="FO402" s="1073"/>
    </row>
    <row r="403" spans="2:171">
      <c r="B403" s="108"/>
      <c r="C403" s="108" t="s">
        <v>530</v>
      </c>
      <c r="D403" s="1071"/>
      <c r="E403" s="904" t="s">
        <v>396</v>
      </c>
      <c r="G403" s="890">
        <f>G30</f>
        <v>1057719030</v>
      </c>
      <c r="H403" s="890">
        <f>H30</f>
        <v>0</v>
      </c>
      <c r="I403" s="890">
        <f>I30</f>
        <v>0</v>
      </c>
      <c r="J403" s="890">
        <f>J30</f>
        <v>1057719030</v>
      </c>
      <c r="K403" s="1073"/>
      <c r="L403" s="1071"/>
      <c r="M403" s="1072"/>
      <c r="N403" s="1072"/>
      <c r="O403" s="890">
        <f>O30</f>
        <v>1057719030</v>
      </c>
      <c r="P403" s="890">
        <f>P30</f>
        <v>0</v>
      </c>
      <c r="Q403" s="890">
        <f>Q30</f>
        <v>1057719030</v>
      </c>
      <c r="R403" s="890">
        <f>R30</f>
        <v>0</v>
      </c>
      <c r="S403" s="1073"/>
      <c r="T403" s="1071"/>
      <c r="U403" s="1072"/>
      <c r="V403" s="1072"/>
      <c r="W403" s="890">
        <f>W30</f>
        <v>1057719030</v>
      </c>
      <c r="X403" s="890">
        <f>X30</f>
        <v>0</v>
      </c>
      <c r="Y403" s="890">
        <f>Y30</f>
        <v>1057719030</v>
      </c>
      <c r="Z403" s="890">
        <f>Z30</f>
        <v>0</v>
      </c>
      <c r="AA403" s="1073"/>
      <c r="AB403" s="1071"/>
      <c r="AC403" s="1072"/>
      <c r="AD403" s="1072"/>
      <c r="AE403" s="890">
        <f>AE30</f>
        <v>1057719030</v>
      </c>
      <c r="AF403" s="890">
        <f>AF30</f>
        <v>0</v>
      </c>
      <c r="AG403" s="890">
        <f>AG30</f>
        <v>1057719030</v>
      </c>
      <c r="AH403" s="890">
        <f>AH30</f>
        <v>0</v>
      </c>
      <c r="AI403" s="1073"/>
      <c r="AJ403" s="1071"/>
      <c r="AK403" s="1072"/>
      <c r="AL403" s="1072"/>
      <c r="AM403" s="890">
        <f>AM30</f>
        <v>1057719030</v>
      </c>
      <c r="AN403" s="890">
        <f>AN30</f>
        <v>0</v>
      </c>
      <c r="AO403" s="890">
        <f>AO30</f>
        <v>1057719030</v>
      </c>
      <c r="AP403" s="890">
        <f>AP30</f>
        <v>0</v>
      </c>
      <c r="AQ403" s="1073"/>
      <c r="AR403" s="1071"/>
      <c r="AS403" s="1072"/>
      <c r="AT403" s="1072"/>
      <c r="AU403" s="890">
        <f>AU30</f>
        <v>1057719030</v>
      </c>
      <c r="AV403" s="890">
        <f>AV30</f>
        <v>0</v>
      </c>
      <c r="AW403" s="890">
        <f>AW30</f>
        <v>1057719030</v>
      </c>
      <c r="AX403" s="890">
        <f>AX30</f>
        <v>0</v>
      </c>
      <c r="AY403" s="1073"/>
      <c r="AZ403" s="1071"/>
      <c r="BA403" s="1072"/>
      <c r="BB403" s="1072"/>
      <c r="BC403" s="890">
        <f>BC30</f>
        <v>1057719030</v>
      </c>
      <c r="BD403" s="890">
        <f>BD30</f>
        <v>0</v>
      </c>
      <c r="BE403" s="890">
        <f>BE30</f>
        <v>1057719030</v>
      </c>
      <c r="BF403" s="890">
        <f>BF30</f>
        <v>0</v>
      </c>
      <c r="BG403" s="1073"/>
      <c r="BH403" s="1071"/>
      <c r="BI403" s="1072"/>
      <c r="BJ403" s="1072"/>
      <c r="BK403" s="890">
        <f>BK30</f>
        <v>1057719030</v>
      </c>
      <c r="BL403" s="890">
        <f>BL30</f>
        <v>0</v>
      </c>
      <c r="BM403" s="890">
        <f>BM30</f>
        <v>1057719030</v>
      </c>
      <c r="BN403" s="890">
        <f>BN30</f>
        <v>0</v>
      </c>
      <c r="BO403" s="1073"/>
      <c r="BP403" s="1071"/>
      <c r="BQ403" s="1072"/>
      <c r="BR403" s="1072"/>
      <c r="BS403" s="890">
        <f>BS30</f>
        <v>1057719030</v>
      </c>
      <c r="BT403" s="890">
        <f>BT30</f>
        <v>0</v>
      </c>
      <c r="BU403" s="890">
        <f>BU30</f>
        <v>1057719030</v>
      </c>
      <c r="BV403" s="890">
        <f>BV30</f>
        <v>0</v>
      </c>
      <c r="BW403" s="1073"/>
      <c r="BX403" s="1071"/>
      <c r="BY403" s="1072"/>
      <c r="BZ403" s="1072"/>
      <c r="CA403" s="890">
        <f>CA30</f>
        <v>1057719030</v>
      </c>
      <c r="CB403" s="890">
        <f>CB30</f>
        <v>0</v>
      </c>
      <c r="CC403" s="890">
        <f>CC30</f>
        <v>1057719030</v>
      </c>
      <c r="CD403" s="890">
        <f>CD30</f>
        <v>0</v>
      </c>
      <c r="CE403" s="1073"/>
      <c r="CF403" s="1071"/>
      <c r="CG403" s="1072"/>
      <c r="CH403" s="1072"/>
      <c r="CI403" s="890">
        <f>CI30</f>
        <v>1057719030</v>
      </c>
      <c r="CJ403" s="890">
        <f>CJ30</f>
        <v>0</v>
      </c>
      <c r="CK403" s="890">
        <f>CK30</f>
        <v>1057719030</v>
      </c>
      <c r="CL403" s="890">
        <f>CL30</f>
        <v>0</v>
      </c>
      <c r="CM403" s="1073"/>
      <c r="CN403" s="1071"/>
      <c r="CO403" s="1072"/>
      <c r="CP403" s="1072"/>
      <c r="CQ403" s="890">
        <f>CQ30</f>
        <v>1057719030</v>
      </c>
      <c r="CR403" s="890">
        <f>CR30</f>
        <v>0</v>
      </c>
      <c r="CS403" s="890">
        <f>CS30</f>
        <v>1057719030</v>
      </c>
      <c r="CT403" s="890">
        <f>CT30</f>
        <v>0</v>
      </c>
      <c r="CU403" s="1073"/>
      <c r="CV403" s="1071"/>
      <c r="CW403" s="1072"/>
      <c r="CX403" s="1072"/>
      <c r="CY403" s="890">
        <f>CY30</f>
        <v>1057719030</v>
      </c>
      <c r="CZ403" s="890">
        <f>CZ30</f>
        <v>0</v>
      </c>
      <c r="DA403" s="890">
        <f>DA30</f>
        <v>1057719030</v>
      </c>
      <c r="DB403" s="890">
        <f>DB30</f>
        <v>0</v>
      </c>
      <c r="DC403" s="1073"/>
      <c r="DD403" s="1071"/>
      <c r="DE403" s="1072"/>
      <c r="DF403" s="1072"/>
      <c r="DG403" s="890">
        <f>DG30</f>
        <v>1057719030</v>
      </c>
      <c r="DH403" s="890">
        <f>DH30</f>
        <v>0</v>
      </c>
      <c r="DI403" s="890">
        <f>DI30</f>
        <v>1057719030</v>
      </c>
      <c r="DJ403" s="890">
        <f>DJ30</f>
        <v>0</v>
      </c>
      <c r="DK403" s="1073"/>
      <c r="DL403" s="1071"/>
      <c r="DM403" s="1072"/>
      <c r="DN403" s="1072"/>
      <c r="DO403" s="890">
        <f>DO30</f>
        <v>1057719030</v>
      </c>
      <c r="DP403" s="890">
        <f>DP30</f>
        <v>0</v>
      </c>
      <c r="DQ403" s="890">
        <f>DQ30</f>
        <v>1057719030</v>
      </c>
      <c r="DR403" s="890">
        <f>DR30</f>
        <v>0</v>
      </c>
      <c r="DS403" s="1073"/>
      <c r="DT403" s="1071"/>
      <c r="DU403" s="1072"/>
      <c r="DV403" s="1072"/>
      <c r="DW403" s="890">
        <f>DW30</f>
        <v>1057719030</v>
      </c>
      <c r="DX403" s="890">
        <f>DX30</f>
        <v>0</v>
      </c>
      <c r="DY403" s="890">
        <f>DY30</f>
        <v>1057719030</v>
      </c>
      <c r="DZ403" s="890">
        <f>DZ30</f>
        <v>0</v>
      </c>
      <c r="EA403" s="1073"/>
      <c r="EB403" s="1071"/>
      <c r="EC403" s="1072"/>
      <c r="ED403" s="1072"/>
      <c r="EE403" s="890">
        <f>EE30</f>
        <v>1057719030</v>
      </c>
      <c r="EF403" s="890">
        <f>EF30</f>
        <v>0</v>
      </c>
      <c r="EG403" s="890">
        <f>EG30</f>
        <v>1057719030</v>
      </c>
      <c r="EH403" s="890">
        <f>EH30</f>
        <v>0</v>
      </c>
      <c r="EI403" s="1073"/>
      <c r="EJ403" s="1071"/>
      <c r="EK403" s="1072"/>
      <c r="EL403" s="1072"/>
      <c r="EM403" s="890">
        <f>EM30</f>
        <v>1057719030</v>
      </c>
      <c r="EN403" s="890">
        <f>EN30</f>
        <v>0</v>
      </c>
      <c r="EO403" s="890">
        <f>EO30</f>
        <v>1057719030</v>
      </c>
      <c r="EP403" s="890">
        <f>EP30</f>
        <v>0</v>
      </c>
      <c r="EQ403" s="1073"/>
      <c r="ER403" s="1071"/>
      <c r="ES403" s="1072"/>
      <c r="ET403" s="1072"/>
      <c r="EU403" s="890">
        <f>EU30</f>
        <v>1057719030</v>
      </c>
      <c r="EV403" s="890">
        <f>EV30</f>
        <v>0</v>
      </c>
      <c r="EW403" s="890">
        <f>EW30</f>
        <v>1057719030</v>
      </c>
      <c r="EX403" s="890">
        <f>EX30</f>
        <v>0</v>
      </c>
      <c r="EY403" s="1073"/>
      <c r="EZ403" s="1071"/>
      <c r="FA403" s="1072"/>
      <c r="FB403" s="1072"/>
      <c r="FC403" s="890">
        <f>FC30</f>
        <v>1057719030</v>
      </c>
      <c r="FD403" s="890">
        <f>FD30</f>
        <v>0</v>
      </c>
      <c r="FE403" s="890">
        <f>FE30</f>
        <v>1057719030</v>
      </c>
      <c r="FF403" s="890">
        <f>FF30</f>
        <v>0</v>
      </c>
      <c r="FG403" s="1073"/>
      <c r="FH403" s="1071"/>
      <c r="FI403" s="1072"/>
      <c r="FJ403" s="1072"/>
      <c r="FK403" s="890">
        <f>FK30</f>
        <v>1057719030</v>
      </c>
      <c r="FL403" s="890">
        <f>FL30</f>
        <v>0</v>
      </c>
      <c r="FM403" s="890">
        <f>FM30</f>
        <v>1057719030</v>
      </c>
      <c r="FN403" s="890">
        <f>FN30</f>
        <v>0</v>
      </c>
      <c r="FO403" s="1073"/>
    </row>
    <row r="404" spans="2:171">
      <c r="B404" s="108"/>
      <c r="C404" s="108" t="s">
        <v>122</v>
      </c>
      <c r="D404" s="1071"/>
      <c r="E404" s="904" t="s">
        <v>395</v>
      </c>
      <c r="G404" s="890">
        <f>G33</f>
        <v>2407306658</v>
      </c>
      <c r="H404" s="890">
        <f>H33</f>
        <v>0</v>
      </c>
      <c r="I404" s="890">
        <f>I33</f>
        <v>0</v>
      </c>
      <c r="J404" s="890">
        <f>J33</f>
        <v>2407306658</v>
      </c>
      <c r="K404" s="1073"/>
      <c r="L404" s="1071"/>
      <c r="M404" s="1072"/>
      <c r="N404" s="1072"/>
      <c r="O404" s="890">
        <f>O33</f>
        <v>2407306658</v>
      </c>
      <c r="P404" s="890">
        <f>P33</f>
        <v>0</v>
      </c>
      <c r="Q404" s="890">
        <f>Q33</f>
        <v>0</v>
      </c>
      <c r="R404" s="890">
        <f>R33</f>
        <v>2407306658</v>
      </c>
      <c r="S404" s="1073"/>
      <c r="T404" s="1071"/>
      <c r="U404" s="1072"/>
      <c r="V404" s="1072"/>
      <c r="W404" s="890">
        <f>W33</f>
        <v>2407306658</v>
      </c>
      <c r="X404" s="890">
        <f>X33</f>
        <v>0</v>
      </c>
      <c r="Y404" s="890">
        <f>Y33</f>
        <v>0</v>
      </c>
      <c r="Z404" s="890">
        <f>Z33</f>
        <v>2407306658</v>
      </c>
      <c r="AA404" s="1073"/>
      <c r="AB404" s="1071"/>
      <c r="AC404" s="1072"/>
      <c r="AD404" s="1072"/>
      <c r="AE404" s="890">
        <f>AE33</f>
        <v>2407306658</v>
      </c>
      <c r="AF404" s="890">
        <f>AF33</f>
        <v>0</v>
      </c>
      <c r="AG404" s="890">
        <f>AG33</f>
        <v>0</v>
      </c>
      <c r="AH404" s="890">
        <f>AH33</f>
        <v>2407306658</v>
      </c>
      <c r="AI404" s="1073"/>
      <c r="AJ404" s="1071"/>
      <c r="AK404" s="1072"/>
      <c r="AL404" s="1072"/>
      <c r="AM404" s="890">
        <f>AM33</f>
        <v>2407306658</v>
      </c>
      <c r="AN404" s="890">
        <f>AN33</f>
        <v>0</v>
      </c>
      <c r="AO404" s="890">
        <f>AO33</f>
        <v>0</v>
      </c>
      <c r="AP404" s="890">
        <f>AP33</f>
        <v>2407306658</v>
      </c>
      <c r="AQ404" s="1073"/>
      <c r="AR404" s="1071"/>
      <c r="AS404" s="1072"/>
      <c r="AT404" s="1072"/>
      <c r="AU404" s="890">
        <f>AU33</f>
        <v>2407306658</v>
      </c>
      <c r="AV404" s="890">
        <f>AV33</f>
        <v>0</v>
      </c>
      <c r="AW404" s="890">
        <f>AW33</f>
        <v>0</v>
      </c>
      <c r="AX404" s="890">
        <f>AX33</f>
        <v>2407306658</v>
      </c>
      <c r="AY404" s="1073"/>
      <c r="AZ404" s="1071"/>
      <c r="BA404" s="1072"/>
      <c r="BB404" s="1072"/>
      <c r="BC404" s="890">
        <f>BC33</f>
        <v>2407306658</v>
      </c>
      <c r="BD404" s="890">
        <f>BD33</f>
        <v>0</v>
      </c>
      <c r="BE404" s="890">
        <f>BE33</f>
        <v>0</v>
      </c>
      <c r="BF404" s="890">
        <f>BF33</f>
        <v>2407306658</v>
      </c>
      <c r="BG404" s="1073"/>
      <c r="BH404" s="1071"/>
      <c r="BI404" s="1072"/>
      <c r="BJ404" s="1072"/>
      <c r="BK404" s="890">
        <f>BK33</f>
        <v>2407306658</v>
      </c>
      <c r="BL404" s="890">
        <f>BL33</f>
        <v>0</v>
      </c>
      <c r="BM404" s="890">
        <f>BM33</f>
        <v>0</v>
      </c>
      <c r="BN404" s="890">
        <f>BN33</f>
        <v>2407306658</v>
      </c>
      <c r="BO404" s="1073"/>
      <c r="BP404" s="1071"/>
      <c r="BQ404" s="1072"/>
      <c r="BR404" s="1072"/>
      <c r="BS404" s="890">
        <f>BS33</f>
        <v>2407306658</v>
      </c>
      <c r="BT404" s="890">
        <f>BT33</f>
        <v>0</v>
      </c>
      <c r="BU404" s="890">
        <f>BU33</f>
        <v>0</v>
      </c>
      <c r="BV404" s="890">
        <f>BV33</f>
        <v>2407306658</v>
      </c>
      <c r="BW404" s="1073"/>
      <c r="BX404" s="1071"/>
      <c r="BY404" s="1072"/>
      <c r="BZ404" s="1072"/>
      <c r="CA404" s="890">
        <f>CA33</f>
        <v>2407306658</v>
      </c>
      <c r="CB404" s="890">
        <f>CB33</f>
        <v>0</v>
      </c>
      <c r="CC404" s="890">
        <f>CC33</f>
        <v>0</v>
      </c>
      <c r="CD404" s="890">
        <f>CD33</f>
        <v>2407306658</v>
      </c>
      <c r="CE404" s="1073"/>
      <c r="CF404" s="1071"/>
      <c r="CG404" s="1072"/>
      <c r="CH404" s="1072"/>
      <c r="CI404" s="890">
        <f>CI33</f>
        <v>2407306658</v>
      </c>
      <c r="CJ404" s="890">
        <f>CJ33</f>
        <v>0</v>
      </c>
      <c r="CK404" s="890">
        <f>CK33</f>
        <v>0</v>
      </c>
      <c r="CL404" s="890">
        <f>CL33</f>
        <v>2407306658</v>
      </c>
      <c r="CM404" s="1073"/>
      <c r="CN404" s="1071"/>
      <c r="CO404" s="1072"/>
      <c r="CP404" s="1072"/>
      <c r="CQ404" s="890">
        <f>CQ33</f>
        <v>2407306658</v>
      </c>
      <c r="CR404" s="890">
        <f>CR33</f>
        <v>0</v>
      </c>
      <c r="CS404" s="890">
        <f>CS33</f>
        <v>0</v>
      </c>
      <c r="CT404" s="890">
        <f>CT33</f>
        <v>2407306658</v>
      </c>
      <c r="CU404" s="1073"/>
      <c r="CV404" s="1071"/>
      <c r="CW404" s="1072"/>
      <c r="CX404" s="1072"/>
      <c r="CY404" s="890">
        <f>CY33</f>
        <v>2407306658</v>
      </c>
      <c r="CZ404" s="890">
        <f>CZ33</f>
        <v>0</v>
      </c>
      <c r="DA404" s="890">
        <f>DA33</f>
        <v>0</v>
      </c>
      <c r="DB404" s="890">
        <f>DB33</f>
        <v>2407306658</v>
      </c>
      <c r="DC404" s="1073"/>
      <c r="DD404" s="1071"/>
      <c r="DE404" s="1072"/>
      <c r="DF404" s="1072"/>
      <c r="DG404" s="890">
        <f>DG33</f>
        <v>2407306658</v>
      </c>
      <c r="DH404" s="890">
        <f>DH33</f>
        <v>0</v>
      </c>
      <c r="DI404" s="890">
        <f>DI33</f>
        <v>0</v>
      </c>
      <c r="DJ404" s="890">
        <f>DJ33</f>
        <v>2407306658</v>
      </c>
      <c r="DK404" s="1073"/>
      <c r="DL404" s="1071"/>
      <c r="DM404" s="1072"/>
      <c r="DN404" s="1072"/>
      <c r="DO404" s="890">
        <f>DO33</f>
        <v>2407306658</v>
      </c>
      <c r="DP404" s="890">
        <f>DP33</f>
        <v>0</v>
      </c>
      <c r="DQ404" s="890">
        <f>DQ33</f>
        <v>0</v>
      </c>
      <c r="DR404" s="890">
        <f>DR33</f>
        <v>2407306658</v>
      </c>
      <c r="DS404" s="1073"/>
      <c r="DT404" s="1071"/>
      <c r="DU404" s="1072"/>
      <c r="DV404" s="1072"/>
      <c r="DW404" s="890">
        <f>DW33</f>
        <v>2407306658</v>
      </c>
      <c r="DX404" s="890">
        <f>DX33</f>
        <v>0</v>
      </c>
      <c r="DY404" s="890">
        <f>DY33</f>
        <v>0</v>
      </c>
      <c r="DZ404" s="890">
        <f>DZ33</f>
        <v>2407306658</v>
      </c>
      <c r="EA404" s="1073"/>
      <c r="EB404" s="1071"/>
      <c r="EC404" s="1072"/>
      <c r="ED404" s="1072"/>
      <c r="EE404" s="890">
        <f>EE33</f>
        <v>2407306658</v>
      </c>
      <c r="EF404" s="890">
        <f>EF33</f>
        <v>0</v>
      </c>
      <c r="EG404" s="890">
        <f>EG33</f>
        <v>0</v>
      </c>
      <c r="EH404" s="890">
        <f>EH33</f>
        <v>2407306658</v>
      </c>
      <c r="EI404" s="1073"/>
      <c r="EJ404" s="1071"/>
      <c r="EK404" s="1072"/>
      <c r="EL404" s="1072"/>
      <c r="EM404" s="890">
        <f>EM33</f>
        <v>2407306658</v>
      </c>
      <c r="EN404" s="890">
        <f>EN33</f>
        <v>0</v>
      </c>
      <c r="EO404" s="890">
        <f>EO33</f>
        <v>0</v>
      </c>
      <c r="EP404" s="890">
        <f>EP33</f>
        <v>2407306658</v>
      </c>
      <c r="EQ404" s="1073"/>
      <c r="ER404" s="1071"/>
      <c r="ES404" s="1072"/>
      <c r="ET404" s="1072"/>
      <c r="EU404" s="890">
        <f>EU33</f>
        <v>2407306658</v>
      </c>
      <c r="EV404" s="890">
        <f>EV33</f>
        <v>0</v>
      </c>
      <c r="EW404" s="890">
        <f>EW33</f>
        <v>0</v>
      </c>
      <c r="EX404" s="890">
        <f>EX33</f>
        <v>2407306658</v>
      </c>
      <c r="EY404" s="1073"/>
      <c r="EZ404" s="1071"/>
      <c r="FA404" s="1072"/>
      <c r="FB404" s="1072"/>
      <c r="FC404" s="890">
        <f>FC33</f>
        <v>2407306658</v>
      </c>
      <c r="FD404" s="890">
        <f>FD33</f>
        <v>0</v>
      </c>
      <c r="FE404" s="890">
        <f>FE33</f>
        <v>0</v>
      </c>
      <c r="FF404" s="890">
        <f>FF33</f>
        <v>2407306658</v>
      </c>
      <c r="FG404" s="1073"/>
      <c r="FH404" s="1071"/>
      <c r="FI404" s="1072"/>
      <c r="FJ404" s="1072"/>
      <c r="FK404" s="890">
        <f>FK33</f>
        <v>2407306658</v>
      </c>
      <c r="FL404" s="890">
        <f>FL33</f>
        <v>0</v>
      </c>
      <c r="FM404" s="890">
        <f>FM33</f>
        <v>0</v>
      </c>
      <c r="FN404" s="890">
        <f>FN33</f>
        <v>2407306658</v>
      </c>
      <c r="FO404" s="1073"/>
    </row>
    <row r="405" spans="2:171">
      <c r="B405" s="108"/>
      <c r="C405" s="108" t="s">
        <v>527</v>
      </c>
      <c r="D405" s="1071"/>
      <c r="E405" s="124"/>
      <c r="F405" s="1072"/>
      <c r="G405" s="1648">
        <f>G402+G403+G404</f>
        <v>5078901626</v>
      </c>
      <c r="H405" s="1648">
        <f>H402+H403+H404</f>
        <v>1613875938</v>
      </c>
      <c r="I405" s="1648">
        <f>I402+I403+I404</f>
        <v>0</v>
      </c>
      <c r="J405" s="1648">
        <f>J402+J403+J404</f>
        <v>3465025688</v>
      </c>
      <c r="K405" s="1073"/>
      <c r="L405" s="1071"/>
      <c r="M405" s="1072"/>
      <c r="N405" s="1072"/>
      <c r="O405" s="1648">
        <f>O402+O403+O404</f>
        <v>5078901626</v>
      </c>
      <c r="P405" s="1648">
        <f>P402+P403+P404</f>
        <v>1613875938</v>
      </c>
      <c r="Q405" s="1648">
        <f>Q402+Q403+Q404</f>
        <v>1057719030</v>
      </c>
      <c r="R405" s="1648">
        <f>R402+R403+R404</f>
        <v>2407306658</v>
      </c>
      <c r="S405" s="1073"/>
      <c r="T405" s="1071"/>
      <c r="U405" s="1072"/>
      <c r="V405" s="1072"/>
      <c r="W405" s="1648">
        <f>W402+W403+W404</f>
        <v>5078901626</v>
      </c>
      <c r="X405" s="1648">
        <f>X402+X403+X404</f>
        <v>1613875938</v>
      </c>
      <c r="Y405" s="1648">
        <f>Y402+Y403+Y404</f>
        <v>1057719030</v>
      </c>
      <c r="Z405" s="1648">
        <f>Z402+Z403+Z404</f>
        <v>2407306658</v>
      </c>
      <c r="AA405" s="1073"/>
      <c r="AB405" s="1071"/>
      <c r="AC405" s="1072"/>
      <c r="AD405" s="1072"/>
      <c r="AE405" s="1648">
        <f>AE402+AE403+AE404</f>
        <v>5078901626</v>
      </c>
      <c r="AF405" s="1648">
        <f>AF402+AF403+AF404</f>
        <v>1613875938</v>
      </c>
      <c r="AG405" s="1648">
        <f>AG402+AG403+AG404</f>
        <v>1057719030</v>
      </c>
      <c r="AH405" s="1648">
        <f>AH402+AH403+AH404</f>
        <v>2407306658</v>
      </c>
      <c r="AI405" s="1073"/>
      <c r="AJ405" s="1071"/>
      <c r="AK405" s="1072"/>
      <c r="AL405" s="1072"/>
      <c r="AM405" s="1648">
        <f>AM402+AM403+AM404</f>
        <v>5078901626</v>
      </c>
      <c r="AN405" s="1648">
        <f>AN402+AN403+AN404</f>
        <v>1613875938</v>
      </c>
      <c r="AO405" s="1648">
        <f>AO402+AO403+AO404</f>
        <v>1057719030</v>
      </c>
      <c r="AP405" s="1648">
        <f>AP402+AP403+AP404</f>
        <v>2407306658</v>
      </c>
      <c r="AQ405" s="1073"/>
      <c r="AR405" s="1071"/>
      <c r="AS405" s="1072"/>
      <c r="AT405" s="1072"/>
      <c r="AU405" s="1648">
        <f>AU402+AU403+AU404</f>
        <v>5078901626</v>
      </c>
      <c r="AV405" s="1648">
        <f>AV402+AV403+AV404</f>
        <v>1613875938</v>
      </c>
      <c r="AW405" s="1648">
        <f>AW402+AW403+AW404</f>
        <v>1057719030</v>
      </c>
      <c r="AX405" s="1648">
        <f>AX402+AX403+AX404</f>
        <v>2407306658</v>
      </c>
      <c r="AY405" s="1073"/>
      <c r="AZ405" s="1071"/>
      <c r="BA405" s="1072"/>
      <c r="BB405" s="1072"/>
      <c r="BC405" s="1648">
        <f>BC402+BC403+BC404</f>
        <v>5078901626</v>
      </c>
      <c r="BD405" s="1648">
        <f>BD402+BD403+BD404</f>
        <v>1613875938</v>
      </c>
      <c r="BE405" s="1648">
        <f>BE402+BE403+BE404</f>
        <v>1057719030</v>
      </c>
      <c r="BF405" s="1648">
        <f>BF402+BF403+BF404</f>
        <v>2407306658</v>
      </c>
      <c r="BG405" s="1073"/>
      <c r="BH405" s="1071"/>
      <c r="BI405" s="1072"/>
      <c r="BJ405" s="1072"/>
      <c r="BK405" s="1648">
        <f>BK402+BK403+BK404</f>
        <v>5078901626</v>
      </c>
      <c r="BL405" s="1648">
        <f>BL402+BL403+BL404</f>
        <v>1613875938</v>
      </c>
      <c r="BM405" s="1648">
        <f>BM402+BM403+BM404</f>
        <v>1057719030</v>
      </c>
      <c r="BN405" s="1648">
        <f>BN402+BN403+BN404</f>
        <v>2407306658</v>
      </c>
      <c r="BO405" s="1073"/>
      <c r="BP405" s="1071"/>
      <c r="BQ405" s="1072"/>
      <c r="BR405" s="1072"/>
      <c r="BS405" s="1648">
        <f>BS402+BS403+BS404</f>
        <v>5078901626</v>
      </c>
      <c r="BT405" s="1648">
        <f>BT402+BT403+BT404</f>
        <v>1613875938</v>
      </c>
      <c r="BU405" s="1648">
        <f>BU402+BU403+BU404</f>
        <v>1057719030</v>
      </c>
      <c r="BV405" s="1648">
        <f>BV402+BV403+BV404</f>
        <v>2407306658</v>
      </c>
      <c r="BW405" s="1073"/>
      <c r="BX405" s="1071"/>
      <c r="BY405" s="1072"/>
      <c r="BZ405" s="1072"/>
      <c r="CA405" s="1648">
        <f>CA402+CA403+CA404</f>
        <v>5078901626</v>
      </c>
      <c r="CB405" s="1648">
        <f>CB402+CB403+CB404</f>
        <v>1613875938</v>
      </c>
      <c r="CC405" s="1648">
        <f>CC402+CC403+CC404</f>
        <v>1057719030</v>
      </c>
      <c r="CD405" s="1648">
        <f>CD402+CD403+CD404</f>
        <v>2407306658</v>
      </c>
      <c r="CE405" s="1073"/>
      <c r="CF405" s="1071"/>
      <c r="CG405" s="1072"/>
      <c r="CH405" s="1072"/>
      <c r="CI405" s="1648">
        <f>CI402+CI403+CI404</f>
        <v>5078901626</v>
      </c>
      <c r="CJ405" s="1648">
        <f>CJ402+CJ403+CJ404</f>
        <v>1613875938</v>
      </c>
      <c r="CK405" s="1648">
        <f>CK402+CK403+CK404</f>
        <v>1057719030</v>
      </c>
      <c r="CL405" s="1648">
        <f>CL402+CL403+CL404</f>
        <v>2407306658</v>
      </c>
      <c r="CM405" s="1073"/>
      <c r="CN405" s="1071"/>
      <c r="CO405" s="1072"/>
      <c r="CP405" s="1072"/>
      <c r="CQ405" s="1648">
        <f>CQ402+CQ403+CQ404</f>
        <v>5078901626</v>
      </c>
      <c r="CR405" s="1648">
        <f>CR402+CR403+CR404</f>
        <v>1613875938</v>
      </c>
      <c r="CS405" s="1648">
        <f>CS402+CS403+CS404</f>
        <v>1057719030</v>
      </c>
      <c r="CT405" s="1648">
        <f>CT402+CT403+CT404</f>
        <v>2407306658</v>
      </c>
      <c r="CU405" s="1073"/>
      <c r="CV405" s="1071"/>
      <c r="CW405" s="1072"/>
      <c r="CX405" s="1072"/>
      <c r="CY405" s="1648">
        <f>CY402+CY403+CY404</f>
        <v>5078901626</v>
      </c>
      <c r="CZ405" s="1648">
        <f>CZ402+CZ403+CZ404</f>
        <v>1613875938</v>
      </c>
      <c r="DA405" s="1648">
        <f>DA402+DA403+DA404</f>
        <v>1057719030</v>
      </c>
      <c r="DB405" s="1648">
        <f>DB402+DB403+DB404</f>
        <v>2407306658</v>
      </c>
      <c r="DC405" s="1073"/>
      <c r="DD405" s="1071"/>
      <c r="DE405" s="1072"/>
      <c r="DF405" s="1072"/>
      <c r="DG405" s="1648">
        <f>DG402+DG403+DG404</f>
        <v>5078901626</v>
      </c>
      <c r="DH405" s="1648">
        <f>DH402+DH403+DH404</f>
        <v>1613875938</v>
      </c>
      <c r="DI405" s="1648">
        <f>DI402+DI403+DI404</f>
        <v>1057719030</v>
      </c>
      <c r="DJ405" s="1648">
        <f>DJ402+DJ403+DJ404</f>
        <v>2407306658</v>
      </c>
      <c r="DK405" s="1073"/>
      <c r="DL405" s="1071"/>
      <c r="DM405" s="1072"/>
      <c r="DN405" s="1072"/>
      <c r="DO405" s="1648">
        <f>DO402+DO403+DO404</f>
        <v>5078901626</v>
      </c>
      <c r="DP405" s="1648">
        <f>DP402+DP403+DP404</f>
        <v>1613875938</v>
      </c>
      <c r="DQ405" s="1648">
        <f>DQ402+DQ403+DQ404</f>
        <v>1057719030</v>
      </c>
      <c r="DR405" s="1648">
        <f>DR402+DR403+DR404</f>
        <v>2407306658</v>
      </c>
      <c r="DS405" s="1073"/>
      <c r="DT405" s="1071"/>
      <c r="DU405" s="1072"/>
      <c r="DV405" s="1072"/>
      <c r="DW405" s="1648">
        <f>DW402+DW403+DW404</f>
        <v>5078901626</v>
      </c>
      <c r="DX405" s="1648">
        <f>DX402+DX403+DX404</f>
        <v>1613875938</v>
      </c>
      <c r="DY405" s="1648">
        <f>DY402+DY403+DY404</f>
        <v>1057719030</v>
      </c>
      <c r="DZ405" s="1648">
        <f>DZ402+DZ403+DZ404</f>
        <v>2407306658</v>
      </c>
      <c r="EA405" s="1073"/>
      <c r="EB405" s="1071"/>
      <c r="EC405" s="1072"/>
      <c r="ED405" s="1072"/>
      <c r="EE405" s="1648">
        <f>EE402+EE403+EE404</f>
        <v>5078901626</v>
      </c>
      <c r="EF405" s="1648">
        <f>EF402+EF403+EF404</f>
        <v>1613875938</v>
      </c>
      <c r="EG405" s="1648">
        <f>EG402+EG403+EG404</f>
        <v>1057719030</v>
      </c>
      <c r="EH405" s="1648">
        <f>EH402+EH403+EH404</f>
        <v>2407306658</v>
      </c>
      <c r="EI405" s="1073"/>
      <c r="EJ405" s="1071"/>
      <c r="EK405" s="1072"/>
      <c r="EL405" s="1072"/>
      <c r="EM405" s="1648">
        <f>EM402+EM403+EM404</f>
        <v>5078901626</v>
      </c>
      <c r="EN405" s="1648">
        <f>EN402+EN403+EN404</f>
        <v>1613875938</v>
      </c>
      <c r="EO405" s="1648">
        <f>EO402+EO403+EO404</f>
        <v>1057719030</v>
      </c>
      <c r="EP405" s="1648">
        <f>EP402+EP403+EP404</f>
        <v>2407306658</v>
      </c>
      <c r="EQ405" s="1073"/>
      <c r="ER405" s="1071"/>
      <c r="ES405" s="1072"/>
      <c r="ET405" s="1072"/>
      <c r="EU405" s="1648">
        <f>EU402+EU403+EU404</f>
        <v>5078901626</v>
      </c>
      <c r="EV405" s="1648">
        <f>EV402+EV403+EV404</f>
        <v>1613875938</v>
      </c>
      <c r="EW405" s="1648">
        <f>EW402+EW403+EW404</f>
        <v>1057719030</v>
      </c>
      <c r="EX405" s="1648">
        <f>EX402+EX403+EX404</f>
        <v>2407306658</v>
      </c>
      <c r="EY405" s="1073"/>
      <c r="EZ405" s="1071"/>
      <c r="FA405" s="1072"/>
      <c r="FB405" s="1072"/>
      <c r="FC405" s="1648">
        <f>FC402+FC403+FC404</f>
        <v>5078901626</v>
      </c>
      <c r="FD405" s="1648">
        <f>FD402+FD403+FD404</f>
        <v>1613875938</v>
      </c>
      <c r="FE405" s="1648">
        <f>FE402+FE403+FE404</f>
        <v>1057719030</v>
      </c>
      <c r="FF405" s="1648">
        <f>FF402+FF403+FF404</f>
        <v>2407306658</v>
      </c>
      <c r="FG405" s="1073"/>
      <c r="FH405" s="1071"/>
      <c r="FI405" s="1072"/>
      <c r="FJ405" s="1072"/>
      <c r="FK405" s="1648">
        <f>FK402+FK403+FK404</f>
        <v>5078901626</v>
      </c>
      <c r="FL405" s="1648">
        <f>FL402+FL403+FL404</f>
        <v>1613875938</v>
      </c>
      <c r="FM405" s="1648">
        <f>FM402+FM403+FM404</f>
        <v>1057719030</v>
      </c>
      <c r="FN405" s="1648">
        <f>FN402+FN403+FN404</f>
        <v>2407306658</v>
      </c>
      <c r="FO405" s="1073"/>
    </row>
    <row r="406" spans="2:171">
      <c r="B406" s="123"/>
      <c r="C406" s="123" t="s">
        <v>339</v>
      </c>
      <c r="D406" s="1296" t="s">
        <v>639</v>
      </c>
      <c r="E406" s="561"/>
      <c r="F406" s="1076"/>
      <c r="G406" s="1649">
        <f>H406+I406+J406</f>
        <v>1</v>
      </c>
      <c r="H406" s="1649">
        <f>IF($G405=0,0,H405/G405)</f>
        <v>0.31776081854750221</v>
      </c>
      <c r="I406" s="1649">
        <f>IF($G405=0,0,I405/G405)</f>
        <v>0</v>
      </c>
      <c r="J406" s="1649">
        <f>IF($G405=0,0,J405/G405)</f>
        <v>0.68223918145249773</v>
      </c>
      <c r="K406" s="1078"/>
      <c r="L406" s="1074" t="s">
        <v>639</v>
      </c>
      <c r="M406" s="1075"/>
      <c r="N406" s="1076"/>
      <c r="O406" s="1649">
        <f>P406+Q406+R406</f>
        <v>1</v>
      </c>
      <c r="P406" s="1649">
        <f>IF($G405=0,0,P405/O405)</f>
        <v>0.31776081854750221</v>
      </c>
      <c r="Q406" s="1649">
        <f>IF($G405=0,0,Q405/O405)</f>
        <v>0.2082574359356178</v>
      </c>
      <c r="R406" s="1649">
        <f>IF($G405=0,0,R405/O405)</f>
        <v>0.47398174551687999</v>
      </c>
      <c r="S406" s="1078"/>
      <c r="T406" s="1074" t="s">
        <v>639</v>
      </c>
      <c r="U406" s="1075"/>
      <c r="V406" s="1076"/>
      <c r="W406" s="1649">
        <f>X406+Y406+Z406</f>
        <v>1</v>
      </c>
      <c r="X406" s="1649">
        <f>IF($G405=0,0,X405/W405)</f>
        <v>0.31776081854750221</v>
      </c>
      <c r="Y406" s="1649">
        <f>IF($G405=0,0,Y405/W405)</f>
        <v>0.2082574359356178</v>
      </c>
      <c r="Z406" s="1649">
        <f>IF($G405=0,0,Z405/W405)</f>
        <v>0.47398174551687999</v>
      </c>
      <c r="AA406" s="1078"/>
      <c r="AB406" s="1074" t="s">
        <v>639</v>
      </c>
      <c r="AC406" s="1075"/>
      <c r="AD406" s="1076"/>
      <c r="AE406" s="1649">
        <f>AF406+AG406+AH406</f>
        <v>1</v>
      </c>
      <c r="AF406" s="1649">
        <f>IF($G405=0,0,AF405/AE405)</f>
        <v>0.31776081854750221</v>
      </c>
      <c r="AG406" s="1649">
        <f>IF($G405=0,0,AG405/AE405)</f>
        <v>0.2082574359356178</v>
      </c>
      <c r="AH406" s="1649">
        <f>IF($G405=0,0,AH405/AE405)</f>
        <v>0.47398174551687999</v>
      </c>
      <c r="AI406" s="1078"/>
      <c r="AJ406" s="1074" t="s">
        <v>639</v>
      </c>
      <c r="AK406" s="1075"/>
      <c r="AL406" s="1076"/>
      <c r="AM406" s="1649">
        <f>AN406+AO406+AP406</f>
        <v>1</v>
      </c>
      <c r="AN406" s="1649">
        <f>IF($G405=0,0,AN405/AM405)</f>
        <v>0.31776081854750221</v>
      </c>
      <c r="AO406" s="1649">
        <f>IF($G405=0,0,AO405/AM405)</f>
        <v>0.2082574359356178</v>
      </c>
      <c r="AP406" s="1649">
        <f>IF($G405=0,0,AP405/AM405)</f>
        <v>0.47398174551687999</v>
      </c>
      <c r="AQ406" s="1078"/>
      <c r="AR406" s="1074" t="s">
        <v>639</v>
      </c>
      <c r="AS406" s="1075"/>
      <c r="AT406" s="1076"/>
      <c r="AU406" s="1649">
        <f>AV406+AW406+AX406</f>
        <v>1</v>
      </c>
      <c r="AV406" s="1649">
        <f>IF($G405=0,0,AV405/AU405)</f>
        <v>0.31776081854750221</v>
      </c>
      <c r="AW406" s="1649">
        <f>IF($G405=0,0,AW405/AU405)</f>
        <v>0.2082574359356178</v>
      </c>
      <c r="AX406" s="1649">
        <f>IF($G405=0,0,AX405/AU405)</f>
        <v>0.47398174551687999</v>
      </c>
      <c r="AY406" s="1078"/>
      <c r="AZ406" s="1074" t="s">
        <v>639</v>
      </c>
      <c r="BA406" s="1075"/>
      <c r="BB406" s="1076"/>
      <c r="BC406" s="1649">
        <f>BD406+BE406+BF406</f>
        <v>1</v>
      </c>
      <c r="BD406" s="1649">
        <f>IF($G405=0,0,BD405/BC405)</f>
        <v>0.31776081854750221</v>
      </c>
      <c r="BE406" s="1649">
        <f>IF($G405=0,0,BE405/BC405)</f>
        <v>0.2082574359356178</v>
      </c>
      <c r="BF406" s="1649">
        <f>IF($G405=0,0,BF405/BC405)</f>
        <v>0.47398174551687999</v>
      </c>
      <c r="BG406" s="1078"/>
      <c r="BH406" s="1074" t="s">
        <v>639</v>
      </c>
      <c r="BI406" s="1075"/>
      <c r="BJ406" s="1076"/>
      <c r="BK406" s="1649">
        <f>BL406+BM406+BN406</f>
        <v>1</v>
      </c>
      <c r="BL406" s="1649">
        <f>IF($G405=0,0,BL405/BK405)</f>
        <v>0.31776081854750221</v>
      </c>
      <c r="BM406" s="1649">
        <f>IF($G405=0,0,BM405/BK405)</f>
        <v>0.2082574359356178</v>
      </c>
      <c r="BN406" s="1649">
        <f>IF($G405=0,0,BN405/BK405)</f>
        <v>0.47398174551687999</v>
      </c>
      <c r="BO406" s="1078"/>
      <c r="BP406" s="1074" t="s">
        <v>639</v>
      </c>
      <c r="BQ406" s="1075"/>
      <c r="BR406" s="1076"/>
      <c r="BS406" s="1649">
        <f>BT406+BU406+BV406</f>
        <v>1</v>
      </c>
      <c r="BT406" s="1649">
        <f>IF($G405=0,0,BT405/BS405)</f>
        <v>0.31776081854750221</v>
      </c>
      <c r="BU406" s="1649">
        <f>IF($G405=0,0,BU405/BS405)</f>
        <v>0.2082574359356178</v>
      </c>
      <c r="BV406" s="1649">
        <f>IF($G405=0,0,BV405/BS405)</f>
        <v>0.47398174551687999</v>
      </c>
      <c r="BW406" s="1078"/>
      <c r="BX406" s="1074" t="s">
        <v>639</v>
      </c>
      <c r="BY406" s="1075"/>
      <c r="BZ406" s="1076"/>
      <c r="CA406" s="1649">
        <f>CB406+CC406+CD406</f>
        <v>1</v>
      </c>
      <c r="CB406" s="1649">
        <f>IF($G405=0,0,CB405/CA405)</f>
        <v>0.31776081854750221</v>
      </c>
      <c r="CC406" s="1649">
        <f>IF($G405=0,0,CC405/CA405)</f>
        <v>0.2082574359356178</v>
      </c>
      <c r="CD406" s="1649">
        <f>IF($G405=0,0,CD405/CA405)</f>
        <v>0.47398174551687999</v>
      </c>
      <c r="CE406" s="1078"/>
      <c r="CF406" s="1074" t="s">
        <v>639</v>
      </c>
      <c r="CG406" s="1075"/>
      <c r="CH406" s="1076"/>
      <c r="CI406" s="1649">
        <f>CJ406+CK406+CL406</f>
        <v>1</v>
      </c>
      <c r="CJ406" s="1649">
        <f>IF($G405=0,0,CJ405/CI405)</f>
        <v>0.31776081854750221</v>
      </c>
      <c r="CK406" s="1649">
        <f>IF($G405=0,0,CK405/CI405)</f>
        <v>0.2082574359356178</v>
      </c>
      <c r="CL406" s="1649">
        <f>IF($G405=0,0,CL405/CI405)</f>
        <v>0.47398174551687999</v>
      </c>
      <c r="CM406" s="1078"/>
      <c r="CN406" s="1074" t="s">
        <v>639</v>
      </c>
      <c r="CO406" s="1075"/>
      <c r="CP406" s="1076"/>
      <c r="CQ406" s="1649">
        <f>CR406+CS406+CT406</f>
        <v>1</v>
      </c>
      <c r="CR406" s="1649">
        <f>IF($G405=0,0,CR405/CQ405)</f>
        <v>0.31776081854750221</v>
      </c>
      <c r="CS406" s="1649">
        <f>IF($G405=0,0,CS405/CQ405)</f>
        <v>0.2082574359356178</v>
      </c>
      <c r="CT406" s="1649">
        <f>IF($G405=0,0,CT405/CQ405)</f>
        <v>0.47398174551687999</v>
      </c>
      <c r="CU406" s="1078"/>
      <c r="CV406" s="1074" t="s">
        <v>639</v>
      </c>
      <c r="CW406" s="1075"/>
      <c r="CX406" s="1076"/>
      <c r="CY406" s="1649">
        <f>CZ406+DA406+DB406</f>
        <v>1</v>
      </c>
      <c r="CZ406" s="1649">
        <f>IF($G405=0,0,CZ405/CY405)</f>
        <v>0.31776081854750221</v>
      </c>
      <c r="DA406" s="1649">
        <f>IF($G405=0,0,DA405/CY405)</f>
        <v>0.2082574359356178</v>
      </c>
      <c r="DB406" s="1649">
        <f>IF($G405=0,0,DB405/CY405)</f>
        <v>0.47398174551687999</v>
      </c>
      <c r="DC406" s="1078"/>
      <c r="DD406" s="1074" t="s">
        <v>639</v>
      </c>
      <c r="DE406" s="1075"/>
      <c r="DF406" s="1076"/>
      <c r="DG406" s="1649">
        <f>DH406+DI406+DJ406</f>
        <v>1</v>
      </c>
      <c r="DH406" s="1649">
        <f>IF($G405=0,0,DH405/DG405)</f>
        <v>0.31776081854750221</v>
      </c>
      <c r="DI406" s="1649">
        <f>IF($G405=0,0,DI405/DG405)</f>
        <v>0.2082574359356178</v>
      </c>
      <c r="DJ406" s="1649">
        <f>IF($G405=0,0,DJ405/DG405)</f>
        <v>0.47398174551687999</v>
      </c>
      <c r="DK406" s="1078"/>
      <c r="DL406" s="1074" t="s">
        <v>639</v>
      </c>
      <c r="DM406" s="1075"/>
      <c r="DN406" s="1076"/>
      <c r="DO406" s="1649">
        <f>DP406+DQ406+DR406</f>
        <v>1</v>
      </c>
      <c r="DP406" s="1649">
        <f>IF($G405=0,0,DP405/DO405)</f>
        <v>0.31776081854750221</v>
      </c>
      <c r="DQ406" s="1649">
        <f>IF($G405=0,0,DQ405/DO405)</f>
        <v>0.2082574359356178</v>
      </c>
      <c r="DR406" s="1649">
        <f>IF($G405=0,0,DR405/DO405)</f>
        <v>0.47398174551687999</v>
      </c>
      <c r="DS406" s="1078"/>
      <c r="DT406" s="1074" t="s">
        <v>639</v>
      </c>
      <c r="DU406" s="1075"/>
      <c r="DV406" s="1076"/>
      <c r="DW406" s="1649">
        <f>DX406+DY406+DZ406</f>
        <v>1</v>
      </c>
      <c r="DX406" s="1649">
        <f>IF($G405=0,0,DX405/DW405)</f>
        <v>0.31776081854750221</v>
      </c>
      <c r="DY406" s="1649">
        <f>IF($G405=0,0,DY405/DW405)</f>
        <v>0.2082574359356178</v>
      </c>
      <c r="DZ406" s="1649">
        <f>IF($G405=0,0,DZ405/DW405)</f>
        <v>0.47398174551687999</v>
      </c>
      <c r="EA406" s="1078"/>
      <c r="EB406" s="1074" t="s">
        <v>639</v>
      </c>
      <c r="EC406" s="1075"/>
      <c r="ED406" s="1076"/>
      <c r="EE406" s="1649">
        <f>EF406+EG406+EH406</f>
        <v>1</v>
      </c>
      <c r="EF406" s="1649">
        <f>IF($G405=0,0,EF405/EE405)</f>
        <v>0.31776081854750221</v>
      </c>
      <c r="EG406" s="1649">
        <f>IF($G405=0,0,EG405/EE405)</f>
        <v>0.2082574359356178</v>
      </c>
      <c r="EH406" s="1649">
        <f>IF($G405=0,0,EH405/EE405)</f>
        <v>0.47398174551687999</v>
      </c>
      <c r="EI406" s="1078"/>
      <c r="EJ406" s="1074" t="s">
        <v>639</v>
      </c>
      <c r="EK406" s="1075"/>
      <c r="EL406" s="1076"/>
      <c r="EM406" s="1649">
        <f>EN406+EO406+EP406</f>
        <v>1</v>
      </c>
      <c r="EN406" s="1649">
        <f>IF($G405=0,0,EN405/EM405)</f>
        <v>0.31776081854750221</v>
      </c>
      <c r="EO406" s="1649">
        <f>IF($G405=0,0,EO405/EM405)</f>
        <v>0.2082574359356178</v>
      </c>
      <c r="EP406" s="1649">
        <f>IF($G405=0,0,EP405/EM405)</f>
        <v>0.47398174551687999</v>
      </c>
      <c r="EQ406" s="1078"/>
      <c r="ER406" s="1074" t="s">
        <v>639</v>
      </c>
      <c r="ES406" s="1075"/>
      <c r="ET406" s="1076"/>
      <c r="EU406" s="1649">
        <f>EV406+EW406+EX406</f>
        <v>1</v>
      </c>
      <c r="EV406" s="1649">
        <f>IF($G405=0,0,EV405/EU405)</f>
        <v>0.31776081854750221</v>
      </c>
      <c r="EW406" s="1649">
        <f>IF($G405=0,0,EW405/EU405)</f>
        <v>0.2082574359356178</v>
      </c>
      <c r="EX406" s="1649">
        <f>IF($G405=0,0,EX405/EU405)</f>
        <v>0.47398174551687999</v>
      </c>
      <c r="EY406" s="1078"/>
      <c r="EZ406" s="1074" t="s">
        <v>639</v>
      </c>
      <c r="FA406" s="1075"/>
      <c r="FB406" s="1076"/>
      <c r="FC406" s="1649">
        <f>FD406+FE406+FF406</f>
        <v>1</v>
      </c>
      <c r="FD406" s="1649">
        <f>IF($G405=0,0,FD405/FC405)</f>
        <v>0.31776081854750221</v>
      </c>
      <c r="FE406" s="1649">
        <f>IF($G405=0,0,FE405/FC405)</f>
        <v>0.2082574359356178</v>
      </c>
      <c r="FF406" s="1649">
        <f>IF($G405=0,0,FF405/FC405)</f>
        <v>0.47398174551687999</v>
      </c>
      <c r="FG406" s="1078"/>
      <c r="FH406" s="1074" t="s">
        <v>639</v>
      </c>
      <c r="FI406" s="1075"/>
      <c r="FJ406" s="1076"/>
      <c r="FK406" s="1649">
        <f>FL406+FM406+FN406</f>
        <v>1</v>
      </c>
      <c r="FL406" s="1649">
        <f>IF($G405=0,0,FL405/FK405)</f>
        <v>0.31776081854750221</v>
      </c>
      <c r="FM406" s="1649">
        <f>IF($G405=0,0,FM405/FK405)</f>
        <v>0.2082574359356178</v>
      </c>
      <c r="FN406" s="1649">
        <f>IF($G405=0,0,FN405/FK405)</f>
        <v>0.47398174551687999</v>
      </c>
      <c r="FO406" s="1078"/>
    </row>
    <row r="407" spans="2:171">
      <c r="K407" s="1073"/>
      <c r="S407" s="1073"/>
      <c r="AA407" s="1073"/>
      <c r="AI407" s="1073"/>
      <c r="AQ407" s="1073"/>
      <c r="AY407" s="1073"/>
      <c r="BG407" s="1073"/>
      <c r="BO407" s="1073"/>
      <c r="BW407" s="1073"/>
      <c r="CE407" s="1073"/>
      <c r="CM407" s="1073"/>
      <c r="CU407" s="1073"/>
      <c r="DC407" s="1073"/>
      <c r="DK407" s="1073"/>
      <c r="DS407" s="1073"/>
      <c r="EA407" s="1073"/>
      <c r="EI407" s="1073"/>
      <c r="EQ407" s="1073"/>
      <c r="EY407" s="1073"/>
      <c r="FG407" s="1073"/>
      <c r="FO407" s="1073"/>
    </row>
    <row r="408" spans="2:171">
      <c r="E408" s="302" t="s">
        <v>525</v>
      </c>
      <c r="G408" s="303" t="s">
        <v>104</v>
      </c>
      <c r="H408" s="303" t="s">
        <v>105</v>
      </c>
      <c r="I408" s="303" t="s">
        <v>106</v>
      </c>
      <c r="J408" s="304" t="s">
        <v>516</v>
      </c>
      <c r="K408" s="1073"/>
      <c r="O408" s="303" t="s">
        <v>104</v>
      </c>
      <c r="P408" s="303" t="s">
        <v>105</v>
      </c>
      <c r="Q408" s="303" t="s">
        <v>106</v>
      </c>
      <c r="R408" s="304" t="s">
        <v>516</v>
      </c>
      <c r="S408" s="1078"/>
      <c r="W408" s="303" t="s">
        <v>104</v>
      </c>
      <c r="X408" s="303" t="s">
        <v>105</v>
      </c>
      <c r="Y408" s="303" t="s">
        <v>106</v>
      </c>
      <c r="Z408" s="304" t="s">
        <v>516</v>
      </c>
      <c r="AA408" s="1078"/>
      <c r="AE408" s="303" t="s">
        <v>104</v>
      </c>
      <c r="AF408" s="303" t="s">
        <v>105</v>
      </c>
      <c r="AG408" s="303" t="s">
        <v>106</v>
      </c>
      <c r="AH408" s="304" t="s">
        <v>516</v>
      </c>
      <c r="AI408" s="1078"/>
      <c r="AM408" s="303" t="s">
        <v>104</v>
      </c>
      <c r="AN408" s="303" t="s">
        <v>105</v>
      </c>
      <c r="AO408" s="303" t="s">
        <v>106</v>
      </c>
      <c r="AP408" s="304" t="s">
        <v>516</v>
      </c>
      <c r="AQ408" s="1078"/>
      <c r="AU408" s="303" t="s">
        <v>104</v>
      </c>
      <c r="AV408" s="303" t="s">
        <v>105</v>
      </c>
      <c r="AW408" s="303" t="s">
        <v>106</v>
      </c>
      <c r="AX408" s="304" t="s">
        <v>516</v>
      </c>
      <c r="AY408" s="1078"/>
      <c r="BC408" s="303" t="s">
        <v>104</v>
      </c>
      <c r="BD408" s="303" t="s">
        <v>105</v>
      </c>
      <c r="BE408" s="303" t="s">
        <v>106</v>
      </c>
      <c r="BF408" s="304" t="s">
        <v>516</v>
      </c>
      <c r="BG408" s="1078"/>
      <c r="BK408" s="303" t="s">
        <v>104</v>
      </c>
      <c r="BL408" s="303" t="s">
        <v>105</v>
      </c>
      <c r="BM408" s="303" t="s">
        <v>106</v>
      </c>
      <c r="BN408" s="304" t="s">
        <v>516</v>
      </c>
      <c r="BO408" s="1078"/>
      <c r="BS408" s="303" t="s">
        <v>104</v>
      </c>
      <c r="BT408" s="303" t="s">
        <v>105</v>
      </c>
      <c r="BU408" s="303" t="s">
        <v>106</v>
      </c>
      <c r="BV408" s="304" t="s">
        <v>516</v>
      </c>
      <c r="BW408" s="1078"/>
      <c r="CA408" s="303" t="s">
        <v>104</v>
      </c>
      <c r="CB408" s="303" t="s">
        <v>105</v>
      </c>
      <c r="CC408" s="303" t="s">
        <v>106</v>
      </c>
      <c r="CD408" s="304" t="s">
        <v>516</v>
      </c>
      <c r="CE408" s="1078"/>
      <c r="CI408" s="303" t="s">
        <v>104</v>
      </c>
      <c r="CJ408" s="303" t="s">
        <v>105</v>
      </c>
      <c r="CK408" s="303" t="s">
        <v>106</v>
      </c>
      <c r="CL408" s="304" t="s">
        <v>516</v>
      </c>
      <c r="CM408" s="1078"/>
      <c r="CQ408" s="303" t="s">
        <v>104</v>
      </c>
      <c r="CR408" s="303" t="s">
        <v>105</v>
      </c>
      <c r="CS408" s="303" t="s">
        <v>106</v>
      </c>
      <c r="CT408" s="304" t="s">
        <v>516</v>
      </c>
      <c r="CU408" s="1078"/>
      <c r="CY408" s="303" t="s">
        <v>104</v>
      </c>
      <c r="CZ408" s="303" t="s">
        <v>105</v>
      </c>
      <c r="DA408" s="303" t="s">
        <v>106</v>
      </c>
      <c r="DB408" s="304" t="s">
        <v>516</v>
      </c>
      <c r="DC408" s="1078"/>
      <c r="DG408" s="303" t="s">
        <v>104</v>
      </c>
      <c r="DH408" s="303" t="s">
        <v>105</v>
      </c>
      <c r="DI408" s="303" t="s">
        <v>106</v>
      </c>
      <c r="DJ408" s="304" t="s">
        <v>516</v>
      </c>
      <c r="DK408" s="1078"/>
      <c r="DO408" s="303" t="s">
        <v>104</v>
      </c>
      <c r="DP408" s="303" t="s">
        <v>105</v>
      </c>
      <c r="DQ408" s="303" t="s">
        <v>106</v>
      </c>
      <c r="DR408" s="304" t="s">
        <v>516</v>
      </c>
      <c r="DS408" s="1078"/>
      <c r="DW408" s="303" t="s">
        <v>104</v>
      </c>
      <c r="DX408" s="303" t="s">
        <v>105</v>
      </c>
      <c r="DY408" s="303" t="s">
        <v>106</v>
      </c>
      <c r="DZ408" s="304" t="s">
        <v>516</v>
      </c>
      <c r="EA408" s="1078"/>
      <c r="EE408" s="303" t="s">
        <v>104</v>
      </c>
      <c r="EF408" s="303" t="s">
        <v>105</v>
      </c>
      <c r="EG408" s="303" t="s">
        <v>106</v>
      </c>
      <c r="EH408" s="304" t="s">
        <v>516</v>
      </c>
      <c r="EI408" s="1078"/>
      <c r="EM408" s="303" t="s">
        <v>104</v>
      </c>
      <c r="EN408" s="303" t="s">
        <v>105</v>
      </c>
      <c r="EO408" s="303" t="s">
        <v>106</v>
      </c>
      <c r="EP408" s="304" t="s">
        <v>516</v>
      </c>
      <c r="EQ408" s="1078"/>
      <c r="EU408" s="303" t="s">
        <v>104</v>
      </c>
      <c r="EV408" s="303" t="s">
        <v>105</v>
      </c>
      <c r="EW408" s="303" t="s">
        <v>106</v>
      </c>
      <c r="EX408" s="304" t="s">
        <v>516</v>
      </c>
      <c r="EY408" s="1078"/>
      <c r="FC408" s="303" t="s">
        <v>104</v>
      </c>
      <c r="FD408" s="303" t="s">
        <v>105</v>
      </c>
      <c r="FE408" s="303" t="s">
        <v>106</v>
      </c>
      <c r="FF408" s="304" t="s">
        <v>516</v>
      </c>
      <c r="FG408" s="1078"/>
      <c r="FK408" s="303" t="s">
        <v>104</v>
      </c>
      <c r="FL408" s="303" t="s">
        <v>105</v>
      </c>
      <c r="FM408" s="303" t="s">
        <v>106</v>
      </c>
      <c r="FN408" s="304" t="s">
        <v>516</v>
      </c>
      <c r="FO408" s="1078"/>
    </row>
    <row r="409" spans="2:171">
      <c r="B409" s="108"/>
      <c r="C409" s="108" t="s">
        <v>531</v>
      </c>
      <c r="D409" s="1071"/>
      <c r="E409" s="904"/>
      <c r="G409" s="890">
        <f>G405</f>
        <v>5078901626</v>
      </c>
      <c r="H409" s="890">
        <f>H405</f>
        <v>1613875938</v>
      </c>
      <c r="I409" s="890">
        <f>I405</f>
        <v>0</v>
      </c>
      <c r="J409" s="890">
        <f>J405</f>
        <v>3465025688</v>
      </c>
      <c r="K409" s="1078"/>
      <c r="L409" s="1071"/>
      <c r="M409" s="1072"/>
      <c r="N409" s="1072"/>
      <c r="O409" s="890">
        <f>O405</f>
        <v>5078901626</v>
      </c>
      <c r="P409" s="890">
        <f>P405</f>
        <v>1613875938</v>
      </c>
      <c r="Q409" s="890">
        <f>Q405</f>
        <v>1057719030</v>
      </c>
      <c r="R409" s="890">
        <f>R405</f>
        <v>2407306658</v>
      </c>
      <c r="S409" s="1078"/>
      <c r="T409" s="1071"/>
      <c r="U409" s="1072"/>
      <c r="V409" s="1072"/>
      <c r="W409" s="890">
        <f>W405</f>
        <v>5078901626</v>
      </c>
      <c r="X409" s="890">
        <f>X405</f>
        <v>1613875938</v>
      </c>
      <c r="Y409" s="890">
        <f>Y405</f>
        <v>1057719030</v>
      </c>
      <c r="Z409" s="890">
        <f>Z405</f>
        <v>2407306658</v>
      </c>
      <c r="AA409" s="1078"/>
      <c r="AB409" s="1071"/>
      <c r="AC409" s="1072"/>
      <c r="AD409" s="1072"/>
      <c r="AE409" s="890">
        <f>AE405</f>
        <v>5078901626</v>
      </c>
      <c r="AF409" s="890">
        <f>AF405</f>
        <v>1613875938</v>
      </c>
      <c r="AG409" s="890">
        <f>AG405</f>
        <v>1057719030</v>
      </c>
      <c r="AH409" s="890">
        <f>AH405</f>
        <v>2407306658</v>
      </c>
      <c r="AI409" s="1078"/>
      <c r="AJ409" s="1071"/>
      <c r="AK409" s="1072"/>
      <c r="AL409" s="1072"/>
      <c r="AM409" s="890">
        <f>AM405</f>
        <v>5078901626</v>
      </c>
      <c r="AN409" s="890">
        <f>AN405</f>
        <v>1613875938</v>
      </c>
      <c r="AO409" s="890">
        <f>AO405</f>
        <v>1057719030</v>
      </c>
      <c r="AP409" s="890">
        <f>AP405</f>
        <v>2407306658</v>
      </c>
      <c r="AQ409" s="1078"/>
      <c r="AR409" s="1071"/>
      <c r="AS409" s="1072"/>
      <c r="AT409" s="1072"/>
      <c r="AU409" s="890">
        <f>AU405</f>
        <v>5078901626</v>
      </c>
      <c r="AV409" s="890">
        <f>AV405</f>
        <v>1613875938</v>
      </c>
      <c r="AW409" s="890">
        <f>AW405</f>
        <v>1057719030</v>
      </c>
      <c r="AX409" s="890">
        <f>AX405</f>
        <v>2407306658</v>
      </c>
      <c r="AY409" s="1078"/>
      <c r="AZ409" s="1071"/>
      <c r="BA409" s="1072"/>
      <c r="BB409" s="1072"/>
      <c r="BC409" s="890">
        <f>BC405</f>
        <v>5078901626</v>
      </c>
      <c r="BD409" s="890">
        <f>BD405</f>
        <v>1613875938</v>
      </c>
      <c r="BE409" s="890">
        <f>BE405</f>
        <v>1057719030</v>
      </c>
      <c r="BF409" s="890">
        <f>BF405</f>
        <v>2407306658</v>
      </c>
      <c r="BG409" s="1078"/>
      <c r="BH409" s="1071"/>
      <c r="BI409" s="1072"/>
      <c r="BJ409" s="1072"/>
      <c r="BK409" s="890">
        <f>BK405</f>
        <v>5078901626</v>
      </c>
      <c r="BL409" s="890">
        <f>BL405</f>
        <v>1613875938</v>
      </c>
      <c r="BM409" s="890">
        <f>BM405</f>
        <v>1057719030</v>
      </c>
      <c r="BN409" s="890">
        <f>BN405</f>
        <v>2407306658</v>
      </c>
      <c r="BO409" s="1078"/>
      <c r="BP409" s="1071"/>
      <c r="BQ409" s="1072"/>
      <c r="BR409" s="1072"/>
      <c r="BS409" s="890">
        <f>BS405</f>
        <v>5078901626</v>
      </c>
      <c r="BT409" s="890">
        <f>BT405</f>
        <v>1613875938</v>
      </c>
      <c r="BU409" s="890">
        <f>BU405</f>
        <v>1057719030</v>
      </c>
      <c r="BV409" s="890">
        <f>BV405</f>
        <v>2407306658</v>
      </c>
      <c r="BW409" s="1078"/>
      <c r="BX409" s="1071"/>
      <c r="BY409" s="1072"/>
      <c r="BZ409" s="1072"/>
      <c r="CA409" s="890">
        <f>CA405</f>
        <v>5078901626</v>
      </c>
      <c r="CB409" s="890">
        <f>CB405</f>
        <v>1613875938</v>
      </c>
      <c r="CC409" s="890">
        <f>CC405</f>
        <v>1057719030</v>
      </c>
      <c r="CD409" s="890">
        <f>CD405</f>
        <v>2407306658</v>
      </c>
      <c r="CE409" s="1078"/>
      <c r="CF409" s="1071"/>
      <c r="CG409" s="1072"/>
      <c r="CH409" s="1072"/>
      <c r="CI409" s="890">
        <f>CI405</f>
        <v>5078901626</v>
      </c>
      <c r="CJ409" s="890">
        <f>CJ405</f>
        <v>1613875938</v>
      </c>
      <c r="CK409" s="890">
        <f>CK405</f>
        <v>1057719030</v>
      </c>
      <c r="CL409" s="890">
        <f>CL405</f>
        <v>2407306658</v>
      </c>
      <c r="CM409" s="1078"/>
      <c r="CN409" s="1071"/>
      <c r="CO409" s="1072"/>
      <c r="CP409" s="1072"/>
      <c r="CQ409" s="890">
        <f>CQ405</f>
        <v>5078901626</v>
      </c>
      <c r="CR409" s="890">
        <f>CR405</f>
        <v>1613875938</v>
      </c>
      <c r="CS409" s="890">
        <f>CS405</f>
        <v>1057719030</v>
      </c>
      <c r="CT409" s="890">
        <f>CT405</f>
        <v>2407306658</v>
      </c>
      <c r="CU409" s="1078"/>
      <c r="CV409" s="1071"/>
      <c r="CW409" s="1072"/>
      <c r="CX409" s="1072"/>
      <c r="CY409" s="890">
        <f>CY405</f>
        <v>5078901626</v>
      </c>
      <c r="CZ409" s="890">
        <f>CZ405</f>
        <v>1613875938</v>
      </c>
      <c r="DA409" s="890">
        <f>DA405</f>
        <v>1057719030</v>
      </c>
      <c r="DB409" s="890">
        <f>DB405</f>
        <v>2407306658</v>
      </c>
      <c r="DC409" s="1078"/>
      <c r="DD409" s="1071"/>
      <c r="DE409" s="1072"/>
      <c r="DF409" s="1072"/>
      <c r="DG409" s="890">
        <f>DG405</f>
        <v>5078901626</v>
      </c>
      <c r="DH409" s="890">
        <f>DH405</f>
        <v>1613875938</v>
      </c>
      <c r="DI409" s="890">
        <f>DI405</f>
        <v>1057719030</v>
      </c>
      <c r="DJ409" s="890">
        <f>DJ405</f>
        <v>2407306658</v>
      </c>
      <c r="DK409" s="1078"/>
      <c r="DL409" s="1071"/>
      <c r="DM409" s="1072"/>
      <c r="DN409" s="1072"/>
      <c r="DO409" s="890">
        <f>DO405</f>
        <v>5078901626</v>
      </c>
      <c r="DP409" s="890">
        <f>DP405</f>
        <v>1613875938</v>
      </c>
      <c r="DQ409" s="890">
        <f>DQ405</f>
        <v>1057719030</v>
      </c>
      <c r="DR409" s="890">
        <f>DR405</f>
        <v>2407306658</v>
      </c>
      <c r="DS409" s="1078"/>
      <c r="DT409" s="1071"/>
      <c r="DU409" s="1072"/>
      <c r="DV409" s="1072"/>
      <c r="DW409" s="890">
        <f>DW405</f>
        <v>5078901626</v>
      </c>
      <c r="DX409" s="890">
        <f>DX405</f>
        <v>1613875938</v>
      </c>
      <c r="DY409" s="890">
        <f>DY405</f>
        <v>1057719030</v>
      </c>
      <c r="DZ409" s="890">
        <f>DZ405</f>
        <v>2407306658</v>
      </c>
      <c r="EA409" s="1078"/>
      <c r="EB409" s="1071"/>
      <c r="EC409" s="1072"/>
      <c r="ED409" s="1072"/>
      <c r="EE409" s="890">
        <f>EE405</f>
        <v>5078901626</v>
      </c>
      <c r="EF409" s="890">
        <f>EF405</f>
        <v>1613875938</v>
      </c>
      <c r="EG409" s="890">
        <f>EG405</f>
        <v>1057719030</v>
      </c>
      <c r="EH409" s="890">
        <f>EH405</f>
        <v>2407306658</v>
      </c>
      <c r="EI409" s="1078"/>
      <c r="EJ409" s="1071"/>
      <c r="EK409" s="1072"/>
      <c r="EL409" s="1072"/>
      <c r="EM409" s="890">
        <f>EM405</f>
        <v>5078901626</v>
      </c>
      <c r="EN409" s="890">
        <f>EN405</f>
        <v>1613875938</v>
      </c>
      <c r="EO409" s="890">
        <f>EO405</f>
        <v>1057719030</v>
      </c>
      <c r="EP409" s="890">
        <f>EP405</f>
        <v>2407306658</v>
      </c>
      <c r="EQ409" s="1078"/>
      <c r="ER409" s="1071"/>
      <c r="ES409" s="1072"/>
      <c r="ET409" s="1072"/>
      <c r="EU409" s="890">
        <f>EU405</f>
        <v>5078901626</v>
      </c>
      <c r="EV409" s="890">
        <f>EV405</f>
        <v>1613875938</v>
      </c>
      <c r="EW409" s="890">
        <f>EW405</f>
        <v>1057719030</v>
      </c>
      <c r="EX409" s="890">
        <f>EX405</f>
        <v>2407306658</v>
      </c>
      <c r="EY409" s="1078"/>
      <c r="EZ409" s="1071"/>
      <c r="FA409" s="1072"/>
      <c r="FB409" s="1072"/>
      <c r="FC409" s="890">
        <f>FC405</f>
        <v>5078901626</v>
      </c>
      <c r="FD409" s="890">
        <f>FD405</f>
        <v>1613875938</v>
      </c>
      <c r="FE409" s="890">
        <f>FE405</f>
        <v>1057719030</v>
      </c>
      <c r="FF409" s="890">
        <f>FF405</f>
        <v>2407306658</v>
      </c>
      <c r="FG409" s="1078"/>
      <c r="FH409" s="1071"/>
      <c r="FI409" s="1072"/>
      <c r="FJ409" s="1072"/>
      <c r="FK409" s="890">
        <f>FK405</f>
        <v>5078901626</v>
      </c>
      <c r="FL409" s="890">
        <f>FL405</f>
        <v>1613875938</v>
      </c>
      <c r="FM409" s="890">
        <f>FM405</f>
        <v>1057719030</v>
      </c>
      <c r="FN409" s="890">
        <f>FN405</f>
        <v>2407306658</v>
      </c>
      <c r="FO409" s="1078"/>
    </row>
    <row r="410" spans="2:171">
      <c r="B410" s="108"/>
      <c r="C410" s="108" t="s">
        <v>532</v>
      </c>
      <c r="D410" s="1071"/>
      <c r="E410" s="904" t="str">
        <f>E16</f>
        <v>DIST</v>
      </c>
      <c r="G410" s="890">
        <f t="shared" ref="G410:J412" si="1078">G16</f>
        <v>0</v>
      </c>
      <c r="H410" s="890">
        <f t="shared" si="1078"/>
        <v>0</v>
      </c>
      <c r="I410" s="890">
        <f t="shared" si="1078"/>
        <v>0</v>
      </c>
      <c r="J410" s="890">
        <f t="shared" si="1078"/>
        <v>0</v>
      </c>
      <c r="K410" s="1073"/>
      <c r="L410" s="1071"/>
      <c r="M410" s="1072"/>
      <c r="N410" s="1072"/>
      <c r="O410" s="890">
        <f t="shared" ref="O410:R412" si="1079">O16</f>
        <v>0</v>
      </c>
      <c r="P410" s="890">
        <f t="shared" si="1079"/>
        <v>0</v>
      </c>
      <c r="Q410" s="890">
        <f t="shared" si="1079"/>
        <v>0</v>
      </c>
      <c r="R410" s="890">
        <f t="shared" si="1079"/>
        <v>0</v>
      </c>
      <c r="S410" s="1073"/>
      <c r="T410" s="1071"/>
      <c r="U410" s="1072"/>
      <c r="V410" s="1072"/>
      <c r="W410" s="890">
        <f t="shared" ref="W410:Z412" si="1080">W16</f>
        <v>0</v>
      </c>
      <c r="X410" s="890">
        <f t="shared" si="1080"/>
        <v>0</v>
      </c>
      <c r="Y410" s="890">
        <f t="shared" si="1080"/>
        <v>0</v>
      </c>
      <c r="Z410" s="890">
        <f t="shared" si="1080"/>
        <v>0</v>
      </c>
      <c r="AA410" s="1073"/>
      <c r="AB410" s="1071"/>
      <c r="AC410" s="1072"/>
      <c r="AD410" s="1072"/>
      <c r="AE410" s="890">
        <f t="shared" ref="AE410:AH412" si="1081">AE16</f>
        <v>0</v>
      </c>
      <c r="AF410" s="890">
        <f t="shared" si="1081"/>
        <v>0</v>
      </c>
      <c r="AG410" s="890">
        <f t="shared" si="1081"/>
        <v>0</v>
      </c>
      <c r="AH410" s="890">
        <f t="shared" si="1081"/>
        <v>0</v>
      </c>
      <c r="AI410" s="1073"/>
      <c r="AJ410" s="1071"/>
      <c r="AK410" s="1072"/>
      <c r="AL410" s="1072"/>
      <c r="AM410" s="890">
        <f t="shared" ref="AM410:AP412" si="1082">AM16</f>
        <v>0</v>
      </c>
      <c r="AN410" s="890">
        <f t="shared" si="1082"/>
        <v>0</v>
      </c>
      <c r="AO410" s="890">
        <f t="shared" si="1082"/>
        <v>0</v>
      </c>
      <c r="AP410" s="890">
        <f t="shared" si="1082"/>
        <v>0</v>
      </c>
      <c r="AQ410" s="1073"/>
      <c r="AR410" s="1071"/>
      <c r="AS410" s="1072"/>
      <c r="AT410" s="1072"/>
      <c r="AU410" s="890">
        <f t="shared" ref="AU410:AX412" si="1083">AU16</f>
        <v>0</v>
      </c>
      <c r="AV410" s="890">
        <f t="shared" si="1083"/>
        <v>0</v>
      </c>
      <c r="AW410" s="890">
        <f t="shared" si="1083"/>
        <v>0</v>
      </c>
      <c r="AX410" s="890">
        <f t="shared" si="1083"/>
        <v>0</v>
      </c>
      <c r="AY410" s="1073"/>
      <c r="AZ410" s="1071"/>
      <c r="BA410" s="1072"/>
      <c r="BB410" s="1072"/>
      <c r="BC410" s="890">
        <f t="shared" ref="BC410:BF412" si="1084">BC16</f>
        <v>0</v>
      </c>
      <c r="BD410" s="890">
        <f t="shared" si="1084"/>
        <v>0</v>
      </c>
      <c r="BE410" s="890">
        <f t="shared" si="1084"/>
        <v>0</v>
      </c>
      <c r="BF410" s="890">
        <f t="shared" si="1084"/>
        <v>0</v>
      </c>
      <c r="BG410" s="1073"/>
      <c r="BH410" s="1071"/>
      <c r="BI410" s="1072"/>
      <c r="BJ410" s="1072"/>
      <c r="BK410" s="890">
        <f t="shared" ref="BK410:BN412" si="1085">BK16</f>
        <v>0</v>
      </c>
      <c r="BL410" s="890">
        <f t="shared" si="1085"/>
        <v>0</v>
      </c>
      <c r="BM410" s="890">
        <f t="shared" si="1085"/>
        <v>0</v>
      </c>
      <c r="BN410" s="890">
        <f t="shared" si="1085"/>
        <v>0</v>
      </c>
      <c r="BO410" s="1073"/>
      <c r="BP410" s="1071"/>
      <c r="BQ410" s="1072"/>
      <c r="BR410" s="1072"/>
      <c r="BS410" s="890">
        <f t="shared" ref="BS410:BV412" si="1086">BS16</f>
        <v>0</v>
      </c>
      <c r="BT410" s="890">
        <f t="shared" si="1086"/>
        <v>0</v>
      </c>
      <c r="BU410" s="890">
        <f t="shared" si="1086"/>
        <v>0</v>
      </c>
      <c r="BV410" s="890">
        <f t="shared" si="1086"/>
        <v>0</v>
      </c>
      <c r="BW410" s="1073"/>
      <c r="BX410" s="1071"/>
      <c r="BY410" s="1072"/>
      <c r="BZ410" s="1072"/>
      <c r="CA410" s="890">
        <f t="shared" ref="CA410:CD412" si="1087">CA16</f>
        <v>0</v>
      </c>
      <c r="CB410" s="890">
        <f t="shared" si="1087"/>
        <v>0</v>
      </c>
      <c r="CC410" s="890">
        <f t="shared" si="1087"/>
        <v>0</v>
      </c>
      <c r="CD410" s="890">
        <f t="shared" si="1087"/>
        <v>0</v>
      </c>
      <c r="CE410" s="1073"/>
      <c r="CF410" s="1071"/>
      <c r="CG410" s="1072"/>
      <c r="CH410" s="1072"/>
      <c r="CI410" s="890">
        <f t="shared" ref="CI410:CL412" si="1088">CI16</f>
        <v>0</v>
      </c>
      <c r="CJ410" s="890">
        <f t="shared" si="1088"/>
        <v>0</v>
      </c>
      <c r="CK410" s="890">
        <f t="shared" si="1088"/>
        <v>0</v>
      </c>
      <c r="CL410" s="890">
        <f t="shared" si="1088"/>
        <v>0</v>
      </c>
      <c r="CM410" s="1073"/>
      <c r="CN410" s="1071"/>
      <c r="CO410" s="1072"/>
      <c r="CP410" s="1072"/>
      <c r="CQ410" s="890">
        <f t="shared" ref="CQ410:CT412" si="1089">CQ16</f>
        <v>0</v>
      </c>
      <c r="CR410" s="890">
        <f t="shared" si="1089"/>
        <v>0</v>
      </c>
      <c r="CS410" s="890">
        <f t="shared" si="1089"/>
        <v>0</v>
      </c>
      <c r="CT410" s="890">
        <f t="shared" si="1089"/>
        <v>0</v>
      </c>
      <c r="CU410" s="1073"/>
      <c r="CV410" s="1071"/>
      <c r="CW410" s="1072"/>
      <c r="CX410" s="1072"/>
      <c r="CY410" s="890">
        <f t="shared" ref="CY410:DB412" si="1090">CY16</f>
        <v>0</v>
      </c>
      <c r="CZ410" s="890">
        <f t="shared" si="1090"/>
        <v>0</v>
      </c>
      <c r="DA410" s="890">
        <f t="shared" si="1090"/>
        <v>0</v>
      </c>
      <c r="DB410" s="890">
        <f t="shared" si="1090"/>
        <v>0</v>
      </c>
      <c r="DC410" s="1073"/>
      <c r="DD410" s="1071"/>
      <c r="DE410" s="1072"/>
      <c r="DF410" s="1072"/>
      <c r="DG410" s="890">
        <f t="shared" ref="DG410:DJ412" si="1091">DG16</f>
        <v>0</v>
      </c>
      <c r="DH410" s="890">
        <f t="shared" si="1091"/>
        <v>0</v>
      </c>
      <c r="DI410" s="890">
        <f t="shared" si="1091"/>
        <v>0</v>
      </c>
      <c r="DJ410" s="890">
        <f t="shared" si="1091"/>
        <v>0</v>
      </c>
      <c r="DK410" s="1073"/>
      <c r="DL410" s="1071"/>
      <c r="DM410" s="1072"/>
      <c r="DN410" s="1072"/>
      <c r="DO410" s="890">
        <f t="shared" ref="DO410:DR412" si="1092">DO16</f>
        <v>0</v>
      </c>
      <c r="DP410" s="890">
        <f t="shared" si="1092"/>
        <v>0</v>
      </c>
      <c r="DQ410" s="890">
        <f t="shared" si="1092"/>
        <v>0</v>
      </c>
      <c r="DR410" s="890">
        <f t="shared" si="1092"/>
        <v>0</v>
      </c>
      <c r="DS410" s="1073"/>
      <c r="DT410" s="1071"/>
      <c r="DU410" s="1072"/>
      <c r="DV410" s="1072"/>
      <c r="DW410" s="890">
        <f t="shared" ref="DW410:DZ412" si="1093">DW16</f>
        <v>0</v>
      </c>
      <c r="DX410" s="890">
        <f t="shared" si="1093"/>
        <v>0</v>
      </c>
      <c r="DY410" s="890">
        <f t="shared" si="1093"/>
        <v>0</v>
      </c>
      <c r="DZ410" s="890">
        <f t="shared" si="1093"/>
        <v>0</v>
      </c>
      <c r="EA410" s="1073"/>
      <c r="EB410" s="1071"/>
      <c r="EC410" s="1072"/>
      <c r="ED410" s="1072"/>
      <c r="EE410" s="890">
        <f t="shared" ref="EE410:EH412" si="1094">EE16</f>
        <v>0</v>
      </c>
      <c r="EF410" s="890">
        <f t="shared" si="1094"/>
        <v>0</v>
      </c>
      <c r="EG410" s="890">
        <f t="shared" si="1094"/>
        <v>0</v>
      </c>
      <c r="EH410" s="890">
        <f t="shared" si="1094"/>
        <v>0</v>
      </c>
      <c r="EI410" s="1073"/>
      <c r="EJ410" s="1071"/>
      <c r="EK410" s="1072"/>
      <c r="EL410" s="1072"/>
      <c r="EM410" s="890">
        <f t="shared" ref="EM410:EP412" si="1095">EM16</f>
        <v>0</v>
      </c>
      <c r="EN410" s="890">
        <f t="shared" si="1095"/>
        <v>0</v>
      </c>
      <c r="EO410" s="890">
        <f t="shared" si="1095"/>
        <v>0</v>
      </c>
      <c r="EP410" s="890">
        <f t="shared" si="1095"/>
        <v>0</v>
      </c>
      <c r="EQ410" s="1073"/>
      <c r="ER410" s="1071"/>
      <c r="ES410" s="1072"/>
      <c r="ET410" s="1072"/>
      <c r="EU410" s="890">
        <f t="shared" ref="EU410:EX412" si="1096">EU16</f>
        <v>0</v>
      </c>
      <c r="EV410" s="890">
        <f t="shared" si="1096"/>
        <v>0</v>
      </c>
      <c r="EW410" s="890">
        <f t="shared" si="1096"/>
        <v>0</v>
      </c>
      <c r="EX410" s="890">
        <f t="shared" si="1096"/>
        <v>0</v>
      </c>
      <c r="EY410" s="1073"/>
      <c r="EZ410" s="1071"/>
      <c r="FA410" s="1072"/>
      <c r="FB410" s="1072"/>
      <c r="FC410" s="890">
        <f t="shared" ref="FC410:FF412" si="1097">FC16</f>
        <v>0</v>
      </c>
      <c r="FD410" s="890">
        <f t="shared" si="1097"/>
        <v>0</v>
      </c>
      <c r="FE410" s="890">
        <f t="shared" si="1097"/>
        <v>0</v>
      </c>
      <c r="FF410" s="890">
        <f t="shared" si="1097"/>
        <v>0</v>
      </c>
      <c r="FG410" s="1073"/>
      <c r="FH410" s="1071"/>
      <c r="FI410" s="1072"/>
      <c r="FJ410" s="1072"/>
      <c r="FK410" s="890">
        <f t="shared" ref="FK410:FN412" si="1098">FK16</f>
        <v>0</v>
      </c>
      <c r="FL410" s="890">
        <f t="shared" si="1098"/>
        <v>0</v>
      </c>
      <c r="FM410" s="890">
        <f t="shared" si="1098"/>
        <v>0</v>
      </c>
      <c r="FN410" s="890">
        <f t="shared" si="1098"/>
        <v>0</v>
      </c>
      <c r="FO410" s="1073"/>
    </row>
    <row r="411" spans="2:171">
      <c r="B411" s="108"/>
      <c r="C411" s="108" t="s">
        <v>533</v>
      </c>
      <c r="D411" s="1071"/>
      <c r="E411" s="904" t="str">
        <f>E17</f>
        <v>DIRECT</v>
      </c>
      <c r="G411" s="890">
        <f t="shared" si="1078"/>
        <v>46804271</v>
      </c>
      <c r="H411" s="890">
        <f t="shared" si="1078"/>
        <v>42107007.580000006</v>
      </c>
      <c r="I411" s="890">
        <f t="shared" si="1078"/>
        <v>0</v>
      </c>
      <c r="J411" s="890">
        <f t="shared" si="1078"/>
        <v>4697263.32</v>
      </c>
      <c r="K411" s="1073"/>
      <c r="L411" s="1071"/>
      <c r="M411" s="1072"/>
      <c r="N411" s="1072"/>
      <c r="O411" s="890">
        <f t="shared" si="1079"/>
        <v>46804271</v>
      </c>
      <c r="P411" s="890">
        <f t="shared" si="1079"/>
        <v>42107007.580000006</v>
      </c>
      <c r="Q411" s="890">
        <f t="shared" si="1079"/>
        <v>0</v>
      </c>
      <c r="R411" s="890">
        <f t="shared" si="1079"/>
        <v>4697263.4199999943</v>
      </c>
      <c r="S411" s="1073"/>
      <c r="T411" s="1071"/>
      <c r="U411" s="1072"/>
      <c r="V411" s="1072"/>
      <c r="W411" s="890">
        <f t="shared" si="1080"/>
        <v>46804271</v>
      </c>
      <c r="X411" s="890">
        <f t="shared" si="1080"/>
        <v>42107007.580000006</v>
      </c>
      <c r="Y411" s="890">
        <f t="shared" si="1080"/>
        <v>0</v>
      </c>
      <c r="Z411" s="890">
        <f t="shared" si="1080"/>
        <v>4697263.4199999943</v>
      </c>
      <c r="AA411" s="1073"/>
      <c r="AB411" s="1071"/>
      <c r="AC411" s="1072"/>
      <c r="AD411" s="1072"/>
      <c r="AE411" s="890">
        <f t="shared" si="1081"/>
        <v>46804271</v>
      </c>
      <c r="AF411" s="890">
        <f t="shared" si="1081"/>
        <v>42107007.580000006</v>
      </c>
      <c r="AG411" s="890">
        <f t="shared" si="1081"/>
        <v>0</v>
      </c>
      <c r="AH411" s="890">
        <f t="shared" si="1081"/>
        <v>4697263.4199999943</v>
      </c>
      <c r="AI411" s="1073"/>
      <c r="AJ411" s="1071"/>
      <c r="AK411" s="1072"/>
      <c r="AL411" s="1072"/>
      <c r="AM411" s="890">
        <f t="shared" si="1082"/>
        <v>46804271</v>
      </c>
      <c r="AN411" s="890">
        <f t="shared" si="1082"/>
        <v>42107007.580000006</v>
      </c>
      <c r="AO411" s="890">
        <f t="shared" si="1082"/>
        <v>0</v>
      </c>
      <c r="AP411" s="890">
        <f t="shared" si="1082"/>
        <v>4697263.4199999943</v>
      </c>
      <c r="AQ411" s="1073"/>
      <c r="AR411" s="1071"/>
      <c r="AS411" s="1072"/>
      <c r="AT411" s="1072"/>
      <c r="AU411" s="890">
        <f t="shared" si="1083"/>
        <v>46804271</v>
      </c>
      <c r="AV411" s="890">
        <f t="shared" si="1083"/>
        <v>42107007.580000006</v>
      </c>
      <c r="AW411" s="890">
        <f t="shared" si="1083"/>
        <v>0</v>
      </c>
      <c r="AX411" s="890">
        <f t="shared" si="1083"/>
        <v>4697263.4199999943</v>
      </c>
      <c r="AY411" s="1073"/>
      <c r="AZ411" s="1071"/>
      <c r="BA411" s="1072"/>
      <c r="BB411" s="1072"/>
      <c r="BC411" s="890">
        <f t="shared" si="1084"/>
        <v>46804271</v>
      </c>
      <c r="BD411" s="890">
        <f t="shared" si="1084"/>
        <v>42107007.580000006</v>
      </c>
      <c r="BE411" s="890">
        <f t="shared" si="1084"/>
        <v>0</v>
      </c>
      <c r="BF411" s="890">
        <f t="shared" si="1084"/>
        <v>4697263.4199999943</v>
      </c>
      <c r="BG411" s="1073"/>
      <c r="BH411" s="1071"/>
      <c r="BI411" s="1072"/>
      <c r="BJ411" s="1072"/>
      <c r="BK411" s="890">
        <f t="shared" si="1085"/>
        <v>46804271</v>
      </c>
      <c r="BL411" s="890">
        <f t="shared" si="1085"/>
        <v>42107007.580000006</v>
      </c>
      <c r="BM411" s="890">
        <f t="shared" si="1085"/>
        <v>0</v>
      </c>
      <c r="BN411" s="890">
        <f t="shared" si="1085"/>
        <v>4697263.4199999943</v>
      </c>
      <c r="BO411" s="1073"/>
      <c r="BP411" s="1071"/>
      <c r="BQ411" s="1072"/>
      <c r="BR411" s="1072"/>
      <c r="BS411" s="890">
        <f t="shared" si="1086"/>
        <v>46804271</v>
      </c>
      <c r="BT411" s="890">
        <f t="shared" si="1086"/>
        <v>42107007.580000006</v>
      </c>
      <c r="BU411" s="890">
        <f t="shared" si="1086"/>
        <v>0</v>
      </c>
      <c r="BV411" s="890">
        <f t="shared" si="1086"/>
        <v>4697263.4199999943</v>
      </c>
      <c r="BW411" s="1073"/>
      <c r="BX411" s="1071"/>
      <c r="BY411" s="1072"/>
      <c r="BZ411" s="1072"/>
      <c r="CA411" s="890">
        <f t="shared" si="1087"/>
        <v>46804271</v>
      </c>
      <c r="CB411" s="890">
        <f t="shared" si="1087"/>
        <v>42107007.580000006</v>
      </c>
      <c r="CC411" s="890">
        <f t="shared" si="1087"/>
        <v>0</v>
      </c>
      <c r="CD411" s="890">
        <f t="shared" si="1087"/>
        <v>4697263.4199999943</v>
      </c>
      <c r="CE411" s="1073"/>
      <c r="CF411" s="1071"/>
      <c r="CG411" s="1072"/>
      <c r="CH411" s="1072"/>
      <c r="CI411" s="890">
        <f t="shared" si="1088"/>
        <v>46804271</v>
      </c>
      <c r="CJ411" s="890">
        <f t="shared" si="1088"/>
        <v>42107007.580000006</v>
      </c>
      <c r="CK411" s="890">
        <f t="shared" si="1088"/>
        <v>0</v>
      </c>
      <c r="CL411" s="890">
        <f t="shared" si="1088"/>
        <v>4697263.4199999943</v>
      </c>
      <c r="CM411" s="1073"/>
      <c r="CN411" s="1071"/>
      <c r="CO411" s="1072"/>
      <c r="CP411" s="1072"/>
      <c r="CQ411" s="890">
        <f t="shared" si="1089"/>
        <v>46804271</v>
      </c>
      <c r="CR411" s="890">
        <f t="shared" si="1089"/>
        <v>42107007.580000006</v>
      </c>
      <c r="CS411" s="890">
        <f t="shared" si="1089"/>
        <v>0</v>
      </c>
      <c r="CT411" s="890">
        <f t="shared" si="1089"/>
        <v>4697263.4199999943</v>
      </c>
      <c r="CU411" s="1073"/>
      <c r="CV411" s="1071"/>
      <c r="CW411" s="1072"/>
      <c r="CX411" s="1072"/>
      <c r="CY411" s="890">
        <f t="shared" si="1090"/>
        <v>46804271</v>
      </c>
      <c r="CZ411" s="890">
        <f t="shared" si="1090"/>
        <v>42107007.580000006</v>
      </c>
      <c r="DA411" s="890">
        <f t="shared" si="1090"/>
        <v>0</v>
      </c>
      <c r="DB411" s="890">
        <f t="shared" si="1090"/>
        <v>4697263.4199999943</v>
      </c>
      <c r="DC411" s="1073"/>
      <c r="DD411" s="1071"/>
      <c r="DE411" s="1072"/>
      <c r="DF411" s="1072"/>
      <c r="DG411" s="890">
        <f t="shared" si="1091"/>
        <v>46804271</v>
      </c>
      <c r="DH411" s="890">
        <f t="shared" si="1091"/>
        <v>42107007.580000006</v>
      </c>
      <c r="DI411" s="890">
        <f t="shared" si="1091"/>
        <v>0</v>
      </c>
      <c r="DJ411" s="890">
        <f t="shared" si="1091"/>
        <v>4697263.4199999943</v>
      </c>
      <c r="DK411" s="1073"/>
      <c r="DL411" s="1071"/>
      <c r="DM411" s="1072"/>
      <c r="DN411" s="1072"/>
      <c r="DO411" s="890">
        <f t="shared" si="1092"/>
        <v>46804271</v>
      </c>
      <c r="DP411" s="890">
        <f t="shared" si="1092"/>
        <v>42107007.580000006</v>
      </c>
      <c r="DQ411" s="890">
        <f t="shared" si="1092"/>
        <v>0</v>
      </c>
      <c r="DR411" s="890">
        <f t="shared" si="1092"/>
        <v>4697263.4199999943</v>
      </c>
      <c r="DS411" s="1073"/>
      <c r="DT411" s="1071"/>
      <c r="DU411" s="1072"/>
      <c r="DV411" s="1072"/>
      <c r="DW411" s="890">
        <f t="shared" si="1093"/>
        <v>46804271</v>
      </c>
      <c r="DX411" s="890">
        <f t="shared" si="1093"/>
        <v>42107007.580000006</v>
      </c>
      <c r="DY411" s="890">
        <f t="shared" si="1093"/>
        <v>0</v>
      </c>
      <c r="DZ411" s="890">
        <f t="shared" si="1093"/>
        <v>4697263.4199999943</v>
      </c>
      <c r="EA411" s="1073"/>
      <c r="EB411" s="1071"/>
      <c r="EC411" s="1072"/>
      <c r="ED411" s="1072"/>
      <c r="EE411" s="890">
        <f t="shared" si="1094"/>
        <v>46804271</v>
      </c>
      <c r="EF411" s="890">
        <f t="shared" si="1094"/>
        <v>42107007.580000006</v>
      </c>
      <c r="EG411" s="890">
        <f t="shared" si="1094"/>
        <v>0</v>
      </c>
      <c r="EH411" s="890">
        <f t="shared" si="1094"/>
        <v>4697263.4199999943</v>
      </c>
      <c r="EI411" s="1073"/>
      <c r="EJ411" s="1071"/>
      <c r="EK411" s="1072"/>
      <c r="EL411" s="1072"/>
      <c r="EM411" s="890">
        <f t="shared" si="1095"/>
        <v>46804271</v>
      </c>
      <c r="EN411" s="890">
        <f t="shared" si="1095"/>
        <v>42107007.580000006</v>
      </c>
      <c r="EO411" s="890">
        <f t="shared" si="1095"/>
        <v>0</v>
      </c>
      <c r="EP411" s="890">
        <f t="shared" si="1095"/>
        <v>4697263.4199999943</v>
      </c>
      <c r="EQ411" s="1073"/>
      <c r="ER411" s="1071"/>
      <c r="ES411" s="1072"/>
      <c r="ET411" s="1072"/>
      <c r="EU411" s="890">
        <f t="shared" si="1096"/>
        <v>46804271</v>
      </c>
      <c r="EV411" s="890">
        <f t="shared" si="1096"/>
        <v>42107007.580000006</v>
      </c>
      <c r="EW411" s="890">
        <f t="shared" si="1096"/>
        <v>0</v>
      </c>
      <c r="EX411" s="890">
        <f t="shared" si="1096"/>
        <v>4697263.4199999943</v>
      </c>
      <c r="EY411" s="1073"/>
      <c r="EZ411" s="1071"/>
      <c r="FA411" s="1072"/>
      <c r="FB411" s="1072"/>
      <c r="FC411" s="890">
        <f t="shared" si="1097"/>
        <v>46804271</v>
      </c>
      <c r="FD411" s="890">
        <f t="shared" si="1097"/>
        <v>42107007.580000006</v>
      </c>
      <c r="FE411" s="890">
        <f t="shared" si="1097"/>
        <v>0</v>
      </c>
      <c r="FF411" s="890">
        <f t="shared" si="1097"/>
        <v>4697263.4199999943</v>
      </c>
      <c r="FG411" s="1073"/>
      <c r="FH411" s="1071"/>
      <c r="FI411" s="1072"/>
      <c r="FJ411" s="1072"/>
      <c r="FK411" s="890">
        <f t="shared" si="1098"/>
        <v>46804271</v>
      </c>
      <c r="FL411" s="890">
        <f t="shared" si="1098"/>
        <v>42107007.580000006</v>
      </c>
      <c r="FM411" s="890">
        <f t="shared" si="1098"/>
        <v>0</v>
      </c>
      <c r="FN411" s="890">
        <f t="shared" si="1098"/>
        <v>4697263.4199999943</v>
      </c>
      <c r="FO411" s="1073"/>
    </row>
    <row r="412" spans="2:171">
      <c r="B412" s="108"/>
      <c r="C412" s="108" t="s">
        <v>547</v>
      </c>
      <c r="D412" s="1071"/>
      <c r="E412" s="904" t="str">
        <f>E18</f>
        <v>DIRECT</v>
      </c>
      <c r="G412" s="890">
        <f t="shared" si="1078"/>
        <v>57840902</v>
      </c>
      <c r="H412" s="890">
        <f t="shared" si="1078"/>
        <v>21321712.686072055</v>
      </c>
      <c r="I412" s="890">
        <f t="shared" si="1078"/>
        <v>0</v>
      </c>
      <c r="J412" s="890">
        <f t="shared" si="1078"/>
        <v>36519188.863927945</v>
      </c>
      <c r="K412" s="1073"/>
      <c r="L412" s="1071"/>
      <c r="M412" s="1072"/>
      <c r="N412" s="1072"/>
      <c r="O412" s="890">
        <f t="shared" si="1079"/>
        <v>57840902</v>
      </c>
      <c r="P412" s="890">
        <f t="shared" si="1079"/>
        <v>21321712.686072055</v>
      </c>
      <c r="Q412" s="890">
        <f t="shared" si="1079"/>
        <v>0</v>
      </c>
      <c r="R412" s="890">
        <f t="shared" si="1079"/>
        <v>36519189.313927948</v>
      </c>
      <c r="S412" s="1073"/>
      <c r="T412" s="1071"/>
      <c r="U412" s="1072"/>
      <c r="V412" s="1072"/>
      <c r="W412" s="890">
        <f t="shared" si="1080"/>
        <v>57840902</v>
      </c>
      <c r="X412" s="890">
        <f t="shared" si="1080"/>
        <v>21321712.686072055</v>
      </c>
      <c r="Y412" s="890">
        <f t="shared" si="1080"/>
        <v>0</v>
      </c>
      <c r="Z412" s="890">
        <f t="shared" si="1080"/>
        <v>36519189.313927948</v>
      </c>
      <c r="AA412" s="1073"/>
      <c r="AB412" s="1071"/>
      <c r="AC412" s="1072"/>
      <c r="AD412" s="1072"/>
      <c r="AE412" s="890">
        <f t="shared" si="1081"/>
        <v>57840902</v>
      </c>
      <c r="AF412" s="890">
        <f t="shared" si="1081"/>
        <v>21321712.686072055</v>
      </c>
      <c r="AG412" s="890">
        <f t="shared" si="1081"/>
        <v>0</v>
      </c>
      <c r="AH412" s="890">
        <f t="shared" si="1081"/>
        <v>36519189.313927948</v>
      </c>
      <c r="AI412" s="1073"/>
      <c r="AJ412" s="1071"/>
      <c r="AK412" s="1072"/>
      <c r="AL412" s="1072"/>
      <c r="AM412" s="890">
        <f t="shared" si="1082"/>
        <v>57840902</v>
      </c>
      <c r="AN412" s="890">
        <f t="shared" si="1082"/>
        <v>21321712.686072055</v>
      </c>
      <c r="AO412" s="890">
        <f t="shared" si="1082"/>
        <v>0</v>
      </c>
      <c r="AP412" s="890">
        <f t="shared" si="1082"/>
        <v>36519189.313927948</v>
      </c>
      <c r="AQ412" s="1073"/>
      <c r="AR412" s="1071"/>
      <c r="AS412" s="1072"/>
      <c r="AT412" s="1072"/>
      <c r="AU412" s="890">
        <f t="shared" si="1083"/>
        <v>57840902</v>
      </c>
      <c r="AV412" s="890">
        <f t="shared" si="1083"/>
        <v>21321712.686072055</v>
      </c>
      <c r="AW412" s="890">
        <f t="shared" si="1083"/>
        <v>0</v>
      </c>
      <c r="AX412" s="890">
        <f t="shared" si="1083"/>
        <v>36519189.313927948</v>
      </c>
      <c r="AY412" s="1073"/>
      <c r="AZ412" s="1071"/>
      <c r="BA412" s="1072"/>
      <c r="BB412" s="1072"/>
      <c r="BC412" s="890">
        <f t="shared" si="1084"/>
        <v>57840902</v>
      </c>
      <c r="BD412" s="890">
        <f t="shared" si="1084"/>
        <v>21321712.686072055</v>
      </c>
      <c r="BE412" s="890">
        <f t="shared" si="1084"/>
        <v>0</v>
      </c>
      <c r="BF412" s="890">
        <f t="shared" si="1084"/>
        <v>36519189.313927948</v>
      </c>
      <c r="BG412" s="1073"/>
      <c r="BH412" s="1071"/>
      <c r="BI412" s="1072"/>
      <c r="BJ412" s="1072"/>
      <c r="BK412" s="890">
        <f t="shared" si="1085"/>
        <v>57840902</v>
      </c>
      <c r="BL412" s="890">
        <f t="shared" si="1085"/>
        <v>21321712.686072055</v>
      </c>
      <c r="BM412" s="890">
        <f t="shared" si="1085"/>
        <v>0</v>
      </c>
      <c r="BN412" s="890">
        <f t="shared" si="1085"/>
        <v>36519189.313927948</v>
      </c>
      <c r="BO412" s="1073"/>
      <c r="BP412" s="1071"/>
      <c r="BQ412" s="1072"/>
      <c r="BR412" s="1072"/>
      <c r="BS412" s="890">
        <f t="shared" si="1086"/>
        <v>57840902</v>
      </c>
      <c r="BT412" s="890">
        <f t="shared" si="1086"/>
        <v>21321712.686072055</v>
      </c>
      <c r="BU412" s="890">
        <f t="shared" si="1086"/>
        <v>0</v>
      </c>
      <c r="BV412" s="890">
        <f t="shared" si="1086"/>
        <v>36519189.313927948</v>
      </c>
      <c r="BW412" s="1073"/>
      <c r="BX412" s="1071"/>
      <c r="BY412" s="1072"/>
      <c r="BZ412" s="1072"/>
      <c r="CA412" s="890">
        <f t="shared" si="1087"/>
        <v>57840902</v>
      </c>
      <c r="CB412" s="890">
        <f t="shared" si="1087"/>
        <v>21321712.686072055</v>
      </c>
      <c r="CC412" s="890">
        <f t="shared" si="1087"/>
        <v>0</v>
      </c>
      <c r="CD412" s="890">
        <f t="shared" si="1087"/>
        <v>36519189.313927948</v>
      </c>
      <c r="CE412" s="1073"/>
      <c r="CF412" s="1071"/>
      <c r="CG412" s="1072"/>
      <c r="CH412" s="1072"/>
      <c r="CI412" s="890">
        <f t="shared" si="1088"/>
        <v>57840902</v>
      </c>
      <c r="CJ412" s="890">
        <f t="shared" si="1088"/>
        <v>21321712.686072055</v>
      </c>
      <c r="CK412" s="890">
        <f t="shared" si="1088"/>
        <v>0</v>
      </c>
      <c r="CL412" s="890">
        <f t="shared" si="1088"/>
        <v>36519189.313927948</v>
      </c>
      <c r="CM412" s="1073"/>
      <c r="CN412" s="1071"/>
      <c r="CO412" s="1072"/>
      <c r="CP412" s="1072"/>
      <c r="CQ412" s="890">
        <f t="shared" si="1089"/>
        <v>57840902</v>
      </c>
      <c r="CR412" s="890">
        <f t="shared" si="1089"/>
        <v>21321712.686072055</v>
      </c>
      <c r="CS412" s="890">
        <f t="shared" si="1089"/>
        <v>0</v>
      </c>
      <c r="CT412" s="890">
        <f t="shared" si="1089"/>
        <v>36519189.313927948</v>
      </c>
      <c r="CU412" s="1073"/>
      <c r="CV412" s="1071"/>
      <c r="CW412" s="1072"/>
      <c r="CX412" s="1072"/>
      <c r="CY412" s="890">
        <f t="shared" si="1090"/>
        <v>57840902</v>
      </c>
      <c r="CZ412" s="890">
        <f t="shared" si="1090"/>
        <v>21321712.686072055</v>
      </c>
      <c r="DA412" s="890">
        <f t="shared" si="1090"/>
        <v>0</v>
      </c>
      <c r="DB412" s="890">
        <f t="shared" si="1090"/>
        <v>36519189.313927948</v>
      </c>
      <c r="DC412" s="1073"/>
      <c r="DD412" s="1071"/>
      <c r="DE412" s="1072"/>
      <c r="DF412" s="1072"/>
      <c r="DG412" s="890">
        <f t="shared" si="1091"/>
        <v>57840902</v>
      </c>
      <c r="DH412" s="890">
        <f t="shared" si="1091"/>
        <v>21321712.686072055</v>
      </c>
      <c r="DI412" s="890">
        <f t="shared" si="1091"/>
        <v>0</v>
      </c>
      <c r="DJ412" s="890">
        <f t="shared" si="1091"/>
        <v>36519189.313927948</v>
      </c>
      <c r="DK412" s="1073"/>
      <c r="DL412" s="1071"/>
      <c r="DM412" s="1072"/>
      <c r="DN412" s="1072"/>
      <c r="DO412" s="890">
        <f t="shared" si="1092"/>
        <v>57840902</v>
      </c>
      <c r="DP412" s="890">
        <f t="shared" si="1092"/>
        <v>21321712.686072055</v>
      </c>
      <c r="DQ412" s="890">
        <f t="shared" si="1092"/>
        <v>0</v>
      </c>
      <c r="DR412" s="890">
        <f t="shared" si="1092"/>
        <v>36519189.313927948</v>
      </c>
      <c r="DS412" s="1073"/>
      <c r="DT412" s="1071"/>
      <c r="DU412" s="1072"/>
      <c r="DV412" s="1072"/>
      <c r="DW412" s="890">
        <f t="shared" si="1093"/>
        <v>57840902</v>
      </c>
      <c r="DX412" s="890">
        <f t="shared" si="1093"/>
        <v>21321712.686072055</v>
      </c>
      <c r="DY412" s="890">
        <f t="shared" si="1093"/>
        <v>0</v>
      </c>
      <c r="DZ412" s="890">
        <f t="shared" si="1093"/>
        <v>36519189.313927948</v>
      </c>
      <c r="EA412" s="1073"/>
      <c r="EB412" s="1071"/>
      <c r="EC412" s="1072"/>
      <c r="ED412" s="1072"/>
      <c r="EE412" s="890">
        <f t="shared" si="1094"/>
        <v>57840902</v>
      </c>
      <c r="EF412" s="890">
        <f t="shared" si="1094"/>
        <v>21321712.686072055</v>
      </c>
      <c r="EG412" s="890">
        <f t="shared" si="1094"/>
        <v>0</v>
      </c>
      <c r="EH412" s="890">
        <f t="shared" si="1094"/>
        <v>36519189.313927948</v>
      </c>
      <c r="EI412" s="1073"/>
      <c r="EJ412" s="1071"/>
      <c r="EK412" s="1072"/>
      <c r="EL412" s="1072"/>
      <c r="EM412" s="890">
        <f t="shared" si="1095"/>
        <v>57840902</v>
      </c>
      <c r="EN412" s="890">
        <f t="shared" si="1095"/>
        <v>21321712.686072055</v>
      </c>
      <c r="EO412" s="890">
        <f t="shared" si="1095"/>
        <v>0</v>
      </c>
      <c r="EP412" s="890">
        <f t="shared" si="1095"/>
        <v>36519189.313927948</v>
      </c>
      <c r="EQ412" s="1073"/>
      <c r="ER412" s="1071"/>
      <c r="ES412" s="1072"/>
      <c r="ET412" s="1072"/>
      <c r="EU412" s="890">
        <f t="shared" si="1096"/>
        <v>57840902</v>
      </c>
      <c r="EV412" s="890">
        <f t="shared" si="1096"/>
        <v>21321712.686072055</v>
      </c>
      <c r="EW412" s="890">
        <f t="shared" si="1096"/>
        <v>0</v>
      </c>
      <c r="EX412" s="890">
        <f t="shared" si="1096"/>
        <v>36519189.313927948</v>
      </c>
      <c r="EY412" s="1073"/>
      <c r="EZ412" s="1071"/>
      <c r="FA412" s="1072"/>
      <c r="FB412" s="1072"/>
      <c r="FC412" s="890">
        <f t="shared" si="1097"/>
        <v>57840902</v>
      </c>
      <c r="FD412" s="890">
        <f t="shared" si="1097"/>
        <v>21321712.686072055</v>
      </c>
      <c r="FE412" s="890">
        <f t="shared" si="1097"/>
        <v>0</v>
      </c>
      <c r="FF412" s="890">
        <f t="shared" si="1097"/>
        <v>36519189.313927948</v>
      </c>
      <c r="FG412" s="1073"/>
      <c r="FH412" s="1071"/>
      <c r="FI412" s="1072"/>
      <c r="FJ412" s="1072"/>
      <c r="FK412" s="890">
        <f t="shared" si="1098"/>
        <v>57840902</v>
      </c>
      <c r="FL412" s="890">
        <f t="shared" si="1098"/>
        <v>21321712.686072055</v>
      </c>
      <c r="FM412" s="890">
        <f t="shared" si="1098"/>
        <v>0</v>
      </c>
      <c r="FN412" s="890">
        <f t="shared" si="1098"/>
        <v>36519189.313927948</v>
      </c>
      <c r="FO412" s="1073"/>
    </row>
    <row r="413" spans="2:171">
      <c r="B413" s="108"/>
      <c r="C413" s="108" t="s">
        <v>341</v>
      </c>
      <c r="D413" s="1071"/>
      <c r="E413" s="904"/>
      <c r="G413" s="890">
        <f>G394</f>
        <v>169217153</v>
      </c>
      <c r="H413" s="890">
        <f>H394</f>
        <v>26066353.350879814</v>
      </c>
      <c r="I413" s="890">
        <f>I394</f>
        <v>0</v>
      </c>
      <c r="J413" s="890">
        <f>J394</f>
        <v>143150799.64912018</v>
      </c>
      <c r="K413" s="1073"/>
      <c r="L413" s="1071"/>
      <c r="M413" s="1072"/>
      <c r="N413" s="1072"/>
      <c r="O413" s="890">
        <f>O394</f>
        <v>169217153</v>
      </c>
      <c r="P413" s="890">
        <f>P394</f>
        <v>26066353.350879814</v>
      </c>
      <c r="Q413" s="890">
        <f>Q394</f>
        <v>43233146.624210842</v>
      </c>
      <c r="R413" s="890">
        <f>R394</f>
        <v>99917653.024909347</v>
      </c>
      <c r="S413" s="1073"/>
      <c r="T413" s="1071"/>
      <c r="U413" s="1072"/>
      <c r="V413" s="1072"/>
      <c r="W413" s="890">
        <f>W394</f>
        <v>169217153</v>
      </c>
      <c r="X413" s="890">
        <f>X394</f>
        <v>26066353.350879814</v>
      </c>
      <c r="Y413" s="890">
        <f>Y394</f>
        <v>43233146.624210842</v>
      </c>
      <c r="Z413" s="890">
        <f>Z394</f>
        <v>99917653.024909347</v>
      </c>
      <c r="AA413" s="1073"/>
      <c r="AB413" s="1071"/>
      <c r="AC413" s="1072"/>
      <c r="AD413" s="1072"/>
      <c r="AE413" s="890">
        <f>AE394</f>
        <v>169217153</v>
      </c>
      <c r="AF413" s="890">
        <f>AF394</f>
        <v>26066353.350879814</v>
      </c>
      <c r="AG413" s="890">
        <f>AG394</f>
        <v>43233146.624210842</v>
      </c>
      <c r="AH413" s="890">
        <f>AH394</f>
        <v>99917653.024909347</v>
      </c>
      <c r="AI413" s="1073"/>
      <c r="AJ413" s="1071"/>
      <c r="AK413" s="1072"/>
      <c r="AL413" s="1072"/>
      <c r="AM413" s="890">
        <f>AM394</f>
        <v>169217153</v>
      </c>
      <c r="AN413" s="890">
        <f>AN394</f>
        <v>26066353.350879814</v>
      </c>
      <c r="AO413" s="890">
        <f>AO394</f>
        <v>43233146.624210842</v>
      </c>
      <c r="AP413" s="890">
        <f>AP394</f>
        <v>99917653.024909347</v>
      </c>
      <c r="AQ413" s="1073"/>
      <c r="AR413" s="1071"/>
      <c r="AS413" s="1072"/>
      <c r="AT413" s="1072"/>
      <c r="AU413" s="890">
        <f>AU394</f>
        <v>169217153</v>
      </c>
      <c r="AV413" s="890">
        <f>AV394</f>
        <v>26066353.350879814</v>
      </c>
      <c r="AW413" s="890">
        <f>AW394</f>
        <v>43233146.624210842</v>
      </c>
      <c r="AX413" s="890">
        <f>AX394</f>
        <v>99917653.024909347</v>
      </c>
      <c r="AY413" s="1073"/>
      <c r="AZ413" s="1071"/>
      <c r="BA413" s="1072"/>
      <c r="BB413" s="1072"/>
      <c r="BC413" s="890">
        <f>BC394</f>
        <v>169217153</v>
      </c>
      <c r="BD413" s="890">
        <f>BD394</f>
        <v>26066353.350879814</v>
      </c>
      <c r="BE413" s="890">
        <f>BE394</f>
        <v>43233146.624210842</v>
      </c>
      <c r="BF413" s="890">
        <f>BF394</f>
        <v>99917653.024909347</v>
      </c>
      <c r="BG413" s="1073"/>
      <c r="BH413" s="1071"/>
      <c r="BI413" s="1072"/>
      <c r="BJ413" s="1072"/>
      <c r="BK413" s="890">
        <f>BK394</f>
        <v>169217153</v>
      </c>
      <c r="BL413" s="890">
        <f>BL394</f>
        <v>26066353.350879814</v>
      </c>
      <c r="BM413" s="890">
        <f>BM394</f>
        <v>43233146.624210842</v>
      </c>
      <c r="BN413" s="890">
        <f>BN394</f>
        <v>99917653.024909347</v>
      </c>
      <c r="BO413" s="1073"/>
      <c r="BP413" s="1071"/>
      <c r="BQ413" s="1072"/>
      <c r="BR413" s="1072"/>
      <c r="BS413" s="890">
        <f>BS394</f>
        <v>169217153</v>
      </c>
      <c r="BT413" s="890">
        <f>BT394</f>
        <v>26066353.350879814</v>
      </c>
      <c r="BU413" s="890">
        <f>BU394</f>
        <v>43233146.624210842</v>
      </c>
      <c r="BV413" s="890">
        <f>BV394</f>
        <v>99917653.024909347</v>
      </c>
      <c r="BW413" s="1073"/>
      <c r="BX413" s="1071"/>
      <c r="BY413" s="1072"/>
      <c r="BZ413" s="1072"/>
      <c r="CA413" s="890">
        <f>CA394</f>
        <v>169217153</v>
      </c>
      <c r="CB413" s="890">
        <f>CB394</f>
        <v>26066353.350879814</v>
      </c>
      <c r="CC413" s="890">
        <f>CC394</f>
        <v>43233146.624210842</v>
      </c>
      <c r="CD413" s="890">
        <f>CD394</f>
        <v>99917653.024909347</v>
      </c>
      <c r="CE413" s="1073"/>
      <c r="CF413" s="1071"/>
      <c r="CG413" s="1072"/>
      <c r="CH413" s="1072"/>
      <c r="CI413" s="890">
        <f>CI394</f>
        <v>169217153</v>
      </c>
      <c r="CJ413" s="890">
        <f>CJ394</f>
        <v>26066353.350879814</v>
      </c>
      <c r="CK413" s="890">
        <f>CK394</f>
        <v>43233146.624210842</v>
      </c>
      <c r="CL413" s="890">
        <f>CL394</f>
        <v>99917653.024909347</v>
      </c>
      <c r="CM413" s="1073"/>
      <c r="CN413" s="1071"/>
      <c r="CO413" s="1072"/>
      <c r="CP413" s="1072"/>
      <c r="CQ413" s="890">
        <f>CQ394</f>
        <v>169217153</v>
      </c>
      <c r="CR413" s="890">
        <f>CR394</f>
        <v>26066353.350879814</v>
      </c>
      <c r="CS413" s="890">
        <f>CS394</f>
        <v>43233146.624210842</v>
      </c>
      <c r="CT413" s="890">
        <f>CT394</f>
        <v>99917653.024909347</v>
      </c>
      <c r="CU413" s="1073"/>
      <c r="CV413" s="1071"/>
      <c r="CW413" s="1072"/>
      <c r="CX413" s="1072"/>
      <c r="CY413" s="890">
        <f>CY394</f>
        <v>169217153</v>
      </c>
      <c r="CZ413" s="890">
        <f>CZ394</f>
        <v>26066353.350879814</v>
      </c>
      <c r="DA413" s="890">
        <f>DA394</f>
        <v>43233146.624210842</v>
      </c>
      <c r="DB413" s="890">
        <f>DB394</f>
        <v>99917653.024909347</v>
      </c>
      <c r="DC413" s="1073"/>
      <c r="DD413" s="1071"/>
      <c r="DE413" s="1072"/>
      <c r="DF413" s="1072"/>
      <c r="DG413" s="890">
        <f>DG394</f>
        <v>169217153</v>
      </c>
      <c r="DH413" s="890">
        <f>DH394</f>
        <v>26066353.350879814</v>
      </c>
      <c r="DI413" s="890">
        <f>DI394</f>
        <v>43233146.624210842</v>
      </c>
      <c r="DJ413" s="890">
        <f>DJ394</f>
        <v>99917653.024909347</v>
      </c>
      <c r="DK413" s="1073"/>
      <c r="DL413" s="1071"/>
      <c r="DM413" s="1072"/>
      <c r="DN413" s="1072"/>
      <c r="DO413" s="890">
        <f>DO394</f>
        <v>169217153</v>
      </c>
      <c r="DP413" s="890">
        <f>DP394</f>
        <v>26066353.350879814</v>
      </c>
      <c r="DQ413" s="890">
        <f>DQ394</f>
        <v>43233146.624210842</v>
      </c>
      <c r="DR413" s="890">
        <f>DR394</f>
        <v>99917653.024909347</v>
      </c>
      <c r="DS413" s="1073"/>
      <c r="DT413" s="1071"/>
      <c r="DU413" s="1072"/>
      <c r="DV413" s="1072"/>
      <c r="DW413" s="890">
        <f>DW394</f>
        <v>169217153</v>
      </c>
      <c r="DX413" s="890">
        <f>DX394</f>
        <v>26066353.350879814</v>
      </c>
      <c r="DY413" s="890">
        <f>DY394</f>
        <v>43233146.624210842</v>
      </c>
      <c r="DZ413" s="890">
        <f>DZ394</f>
        <v>99917653.024909347</v>
      </c>
      <c r="EA413" s="1073"/>
      <c r="EB413" s="1071"/>
      <c r="EC413" s="1072"/>
      <c r="ED413" s="1072"/>
      <c r="EE413" s="890">
        <f>EE394</f>
        <v>169217153</v>
      </c>
      <c r="EF413" s="890">
        <f>EF394</f>
        <v>26066353.350879814</v>
      </c>
      <c r="EG413" s="890">
        <f>EG394</f>
        <v>43233146.624210842</v>
      </c>
      <c r="EH413" s="890">
        <f>EH394</f>
        <v>99917653.024909347</v>
      </c>
      <c r="EI413" s="1073"/>
      <c r="EJ413" s="1071"/>
      <c r="EK413" s="1072"/>
      <c r="EL413" s="1072"/>
      <c r="EM413" s="890">
        <f>EM394</f>
        <v>169217153</v>
      </c>
      <c r="EN413" s="890">
        <f>EN394</f>
        <v>26066353.350879814</v>
      </c>
      <c r="EO413" s="890">
        <f>EO394</f>
        <v>43233146.624210842</v>
      </c>
      <c r="EP413" s="890">
        <f>EP394</f>
        <v>99917653.024909347</v>
      </c>
      <c r="EQ413" s="1073"/>
      <c r="ER413" s="1071"/>
      <c r="ES413" s="1072"/>
      <c r="ET413" s="1072"/>
      <c r="EU413" s="890">
        <f>EU394</f>
        <v>169217153</v>
      </c>
      <c r="EV413" s="890">
        <f>EV394</f>
        <v>26066353.350879814</v>
      </c>
      <c r="EW413" s="890">
        <f>EW394</f>
        <v>43233146.624210842</v>
      </c>
      <c r="EX413" s="890">
        <f>EX394</f>
        <v>99917653.024909347</v>
      </c>
      <c r="EY413" s="1073"/>
      <c r="EZ413" s="1071"/>
      <c r="FA413" s="1072"/>
      <c r="FB413" s="1072"/>
      <c r="FC413" s="890">
        <f>FC394</f>
        <v>169217153</v>
      </c>
      <c r="FD413" s="890">
        <f>FD394</f>
        <v>26066353.350879814</v>
      </c>
      <c r="FE413" s="890">
        <f>FE394</f>
        <v>43233146.624210842</v>
      </c>
      <c r="FF413" s="890">
        <f>FF394</f>
        <v>99917653.024909347</v>
      </c>
      <c r="FG413" s="1073"/>
      <c r="FH413" s="1071"/>
      <c r="FI413" s="1072"/>
      <c r="FJ413" s="1072"/>
      <c r="FK413" s="890">
        <f>FK394</f>
        <v>169217153</v>
      </c>
      <c r="FL413" s="890">
        <f>FL394</f>
        <v>26066353.350879814</v>
      </c>
      <c r="FM413" s="890">
        <f>FM394</f>
        <v>43233146.624210842</v>
      </c>
      <c r="FN413" s="890">
        <f>FN394</f>
        <v>99917653.024909347</v>
      </c>
      <c r="FO413" s="1073"/>
    </row>
    <row r="414" spans="2:171">
      <c r="B414" s="108"/>
      <c r="C414" s="108" t="s">
        <v>527</v>
      </c>
      <c r="D414" s="1071"/>
      <c r="E414" s="124"/>
      <c r="F414" s="1072"/>
      <c r="G414" s="1648">
        <f>SUM(G409:G413)</f>
        <v>5352763952</v>
      </c>
      <c r="H414" s="1648">
        <f>SUM(H409:H413)</f>
        <v>1703371011.6169519</v>
      </c>
      <c r="I414" s="1648">
        <f>SUM(I409:I413)</f>
        <v>0</v>
      </c>
      <c r="J414" s="1648">
        <f>SUM(J409:J413)</f>
        <v>3649392939.8330483</v>
      </c>
      <c r="K414" s="1073"/>
      <c r="L414" s="1071"/>
      <c r="M414" s="1072"/>
      <c r="N414" s="1072"/>
      <c r="O414" s="1648">
        <f>SUM(O409:O413)</f>
        <v>5352763952</v>
      </c>
      <c r="P414" s="1648">
        <f>SUM(P409:P413)</f>
        <v>1703371011.6169519</v>
      </c>
      <c r="Q414" s="1648">
        <f>SUM(Q409:Q413)</f>
        <v>1100952176.6242108</v>
      </c>
      <c r="R414" s="1648">
        <f>SUM(R409:R413)</f>
        <v>2548440763.7588377</v>
      </c>
      <c r="S414" s="1073"/>
      <c r="T414" s="1071"/>
      <c r="U414" s="1072"/>
      <c r="V414" s="1072"/>
      <c r="W414" s="1648">
        <f>SUM(W409:W413)</f>
        <v>5352763952</v>
      </c>
      <c r="X414" s="1648">
        <f>SUM(X409:X413)</f>
        <v>1703371011.6169519</v>
      </c>
      <c r="Y414" s="1648">
        <f>SUM(Y409:Y413)</f>
        <v>1100952176.6242108</v>
      </c>
      <c r="Z414" s="1648">
        <f>SUM(Z409:Z413)</f>
        <v>2548440763.7588377</v>
      </c>
      <c r="AA414" s="1073"/>
      <c r="AB414" s="1071"/>
      <c r="AC414" s="1072"/>
      <c r="AD414" s="1072"/>
      <c r="AE414" s="1648">
        <f>SUM(AE409:AE413)</f>
        <v>5352763952</v>
      </c>
      <c r="AF414" s="1648">
        <f>SUM(AF409:AF413)</f>
        <v>1703371011.6169519</v>
      </c>
      <c r="AG414" s="1648">
        <f>SUM(AG409:AG413)</f>
        <v>1100952176.6242108</v>
      </c>
      <c r="AH414" s="1648">
        <f>SUM(AH409:AH413)</f>
        <v>2548440763.7588377</v>
      </c>
      <c r="AI414" s="1073"/>
      <c r="AJ414" s="1071"/>
      <c r="AK414" s="1072"/>
      <c r="AL414" s="1072"/>
      <c r="AM414" s="1648">
        <f>SUM(AM409:AM413)</f>
        <v>5352763952</v>
      </c>
      <c r="AN414" s="1648">
        <f>SUM(AN409:AN413)</f>
        <v>1703371011.6169519</v>
      </c>
      <c r="AO414" s="1648">
        <f>SUM(AO409:AO413)</f>
        <v>1100952176.6242108</v>
      </c>
      <c r="AP414" s="1648">
        <f>SUM(AP409:AP413)</f>
        <v>2548440763.7588377</v>
      </c>
      <c r="AQ414" s="1073"/>
      <c r="AR414" s="1071"/>
      <c r="AS414" s="1072"/>
      <c r="AT414" s="1072"/>
      <c r="AU414" s="1648">
        <f>SUM(AU409:AU413)</f>
        <v>5352763952</v>
      </c>
      <c r="AV414" s="1648">
        <f>SUM(AV409:AV413)</f>
        <v>1703371011.6169519</v>
      </c>
      <c r="AW414" s="1648">
        <f>SUM(AW409:AW413)</f>
        <v>1100952176.6242108</v>
      </c>
      <c r="AX414" s="1648">
        <f>SUM(AX409:AX413)</f>
        <v>2548440763.7588377</v>
      </c>
      <c r="AY414" s="1073"/>
      <c r="AZ414" s="1071"/>
      <c r="BA414" s="1072"/>
      <c r="BB414" s="1072"/>
      <c r="BC414" s="1648">
        <f>SUM(BC409:BC413)</f>
        <v>5352763952</v>
      </c>
      <c r="BD414" s="1648">
        <f>SUM(BD409:BD413)</f>
        <v>1703371011.6169519</v>
      </c>
      <c r="BE414" s="1648">
        <f>SUM(BE409:BE413)</f>
        <v>1100952176.6242108</v>
      </c>
      <c r="BF414" s="1648">
        <f>SUM(BF409:BF413)</f>
        <v>2548440763.7588377</v>
      </c>
      <c r="BG414" s="1073"/>
      <c r="BH414" s="1071"/>
      <c r="BI414" s="1072"/>
      <c r="BJ414" s="1072"/>
      <c r="BK414" s="1648">
        <f>SUM(BK409:BK413)</f>
        <v>5352763952</v>
      </c>
      <c r="BL414" s="1648">
        <f>SUM(BL409:BL413)</f>
        <v>1703371011.6169519</v>
      </c>
      <c r="BM414" s="1648">
        <f>SUM(BM409:BM413)</f>
        <v>1100952176.6242108</v>
      </c>
      <c r="BN414" s="1648">
        <f>SUM(BN409:BN413)</f>
        <v>2548440763.7588377</v>
      </c>
      <c r="BO414" s="1073"/>
      <c r="BP414" s="1071"/>
      <c r="BQ414" s="1072"/>
      <c r="BR414" s="1072"/>
      <c r="BS414" s="1648">
        <f>SUM(BS409:BS413)</f>
        <v>5352763952</v>
      </c>
      <c r="BT414" s="1648">
        <f>SUM(BT409:BT413)</f>
        <v>1703371011.6169519</v>
      </c>
      <c r="BU414" s="1648">
        <f>SUM(BU409:BU413)</f>
        <v>1100952176.6242108</v>
      </c>
      <c r="BV414" s="1648">
        <f>SUM(BV409:BV413)</f>
        <v>2548440763.7588377</v>
      </c>
      <c r="BW414" s="1073"/>
      <c r="BX414" s="1071"/>
      <c r="BY414" s="1072"/>
      <c r="BZ414" s="1072"/>
      <c r="CA414" s="1648">
        <f>SUM(CA409:CA413)</f>
        <v>5352763952</v>
      </c>
      <c r="CB414" s="1648">
        <f>SUM(CB409:CB413)</f>
        <v>1703371011.6169519</v>
      </c>
      <c r="CC414" s="1648">
        <f>SUM(CC409:CC413)</f>
        <v>1100952176.6242108</v>
      </c>
      <c r="CD414" s="1648">
        <f>SUM(CD409:CD413)</f>
        <v>2548440763.7588377</v>
      </c>
      <c r="CE414" s="1073"/>
      <c r="CF414" s="1071"/>
      <c r="CG414" s="1072"/>
      <c r="CH414" s="1072"/>
      <c r="CI414" s="1648">
        <f>SUM(CI409:CI413)</f>
        <v>5352763952</v>
      </c>
      <c r="CJ414" s="1648">
        <f>SUM(CJ409:CJ413)</f>
        <v>1703371011.6169519</v>
      </c>
      <c r="CK414" s="1648">
        <f>SUM(CK409:CK413)</f>
        <v>1100952176.6242108</v>
      </c>
      <c r="CL414" s="1648">
        <f>SUM(CL409:CL413)</f>
        <v>2548440763.7588377</v>
      </c>
      <c r="CM414" s="1073"/>
      <c r="CN414" s="1071"/>
      <c r="CO414" s="1072"/>
      <c r="CP414" s="1072"/>
      <c r="CQ414" s="1648">
        <f>SUM(CQ409:CQ413)</f>
        <v>5352763952</v>
      </c>
      <c r="CR414" s="1648">
        <f>SUM(CR409:CR413)</f>
        <v>1703371011.6169519</v>
      </c>
      <c r="CS414" s="1648">
        <f>SUM(CS409:CS413)</f>
        <v>1100952176.6242108</v>
      </c>
      <c r="CT414" s="1648">
        <f>SUM(CT409:CT413)</f>
        <v>2548440763.7588377</v>
      </c>
      <c r="CU414" s="1073"/>
      <c r="CV414" s="1071"/>
      <c r="CW414" s="1072"/>
      <c r="CX414" s="1072"/>
      <c r="CY414" s="1648">
        <f>SUM(CY409:CY413)</f>
        <v>5352763952</v>
      </c>
      <c r="CZ414" s="1648">
        <f>SUM(CZ409:CZ413)</f>
        <v>1703371011.6169519</v>
      </c>
      <c r="DA414" s="1648">
        <f>SUM(DA409:DA413)</f>
        <v>1100952176.6242108</v>
      </c>
      <c r="DB414" s="1648">
        <f>SUM(DB409:DB413)</f>
        <v>2548440763.7588377</v>
      </c>
      <c r="DC414" s="1073"/>
      <c r="DD414" s="1071"/>
      <c r="DE414" s="1072"/>
      <c r="DF414" s="1072"/>
      <c r="DG414" s="1648">
        <f>SUM(DG409:DG413)</f>
        <v>5352763952</v>
      </c>
      <c r="DH414" s="1648">
        <f>SUM(DH409:DH413)</f>
        <v>1703371011.6169519</v>
      </c>
      <c r="DI414" s="1648">
        <f>SUM(DI409:DI413)</f>
        <v>1100952176.6242108</v>
      </c>
      <c r="DJ414" s="1648">
        <f>SUM(DJ409:DJ413)</f>
        <v>2548440763.7588377</v>
      </c>
      <c r="DK414" s="1073"/>
      <c r="DL414" s="1071"/>
      <c r="DM414" s="1072"/>
      <c r="DN414" s="1072"/>
      <c r="DO414" s="1648">
        <f>SUM(DO409:DO413)</f>
        <v>5352763952</v>
      </c>
      <c r="DP414" s="1648">
        <f>SUM(DP409:DP413)</f>
        <v>1703371011.6169519</v>
      </c>
      <c r="DQ414" s="1648">
        <f>SUM(DQ409:DQ413)</f>
        <v>1100952176.6242108</v>
      </c>
      <c r="DR414" s="1648">
        <f>SUM(DR409:DR413)</f>
        <v>2548440763.7588377</v>
      </c>
      <c r="DS414" s="1073"/>
      <c r="DT414" s="1071"/>
      <c r="DU414" s="1072"/>
      <c r="DV414" s="1072"/>
      <c r="DW414" s="1648">
        <f>SUM(DW409:DW413)</f>
        <v>5352763952</v>
      </c>
      <c r="DX414" s="1648">
        <f>SUM(DX409:DX413)</f>
        <v>1703371011.6169519</v>
      </c>
      <c r="DY414" s="1648">
        <f>SUM(DY409:DY413)</f>
        <v>1100952176.6242108</v>
      </c>
      <c r="DZ414" s="1648">
        <f>SUM(DZ409:DZ413)</f>
        <v>2548440763.7588377</v>
      </c>
      <c r="EA414" s="1073"/>
      <c r="EB414" s="1071"/>
      <c r="EC414" s="1072"/>
      <c r="ED414" s="1072"/>
      <c r="EE414" s="1648">
        <f>SUM(EE409:EE413)</f>
        <v>5352763952</v>
      </c>
      <c r="EF414" s="1648">
        <f>SUM(EF409:EF413)</f>
        <v>1703371011.6169519</v>
      </c>
      <c r="EG414" s="1648">
        <f>SUM(EG409:EG413)</f>
        <v>1100952176.6242108</v>
      </c>
      <c r="EH414" s="1648">
        <f>SUM(EH409:EH413)</f>
        <v>2548440763.7588377</v>
      </c>
      <c r="EI414" s="1073"/>
      <c r="EJ414" s="1071"/>
      <c r="EK414" s="1072"/>
      <c r="EL414" s="1072"/>
      <c r="EM414" s="1648">
        <f>SUM(EM409:EM413)</f>
        <v>5352763952</v>
      </c>
      <c r="EN414" s="1648">
        <f>SUM(EN409:EN413)</f>
        <v>1703371011.6169519</v>
      </c>
      <c r="EO414" s="1648">
        <f>SUM(EO409:EO413)</f>
        <v>1100952176.6242108</v>
      </c>
      <c r="EP414" s="1648">
        <f>SUM(EP409:EP413)</f>
        <v>2548440763.7588377</v>
      </c>
      <c r="EQ414" s="1073"/>
      <c r="ER414" s="1071"/>
      <c r="ES414" s="1072"/>
      <c r="ET414" s="1072"/>
      <c r="EU414" s="1648">
        <f>SUM(EU409:EU413)</f>
        <v>5352763952</v>
      </c>
      <c r="EV414" s="1648">
        <f>SUM(EV409:EV413)</f>
        <v>1703371011.6169519</v>
      </c>
      <c r="EW414" s="1648">
        <f>SUM(EW409:EW413)</f>
        <v>1100952176.6242108</v>
      </c>
      <c r="EX414" s="1648">
        <f>SUM(EX409:EX413)</f>
        <v>2548440763.7588377</v>
      </c>
      <c r="EY414" s="1073"/>
      <c r="EZ414" s="1071"/>
      <c r="FA414" s="1072"/>
      <c r="FB414" s="1072"/>
      <c r="FC414" s="1648">
        <f>SUM(FC409:FC413)</f>
        <v>5352763952</v>
      </c>
      <c r="FD414" s="1648">
        <f>SUM(FD409:FD413)</f>
        <v>1703371011.6169519</v>
      </c>
      <c r="FE414" s="1648">
        <f>SUM(FE409:FE413)</f>
        <v>1100952176.6242108</v>
      </c>
      <c r="FF414" s="1648">
        <f>SUM(FF409:FF413)</f>
        <v>2548440763.7588377</v>
      </c>
      <c r="FG414" s="1073"/>
      <c r="FH414" s="1071"/>
      <c r="FI414" s="1072"/>
      <c r="FJ414" s="1072"/>
      <c r="FK414" s="1648">
        <f>SUM(FK409:FK413)</f>
        <v>5352763952</v>
      </c>
      <c r="FL414" s="1648">
        <f>SUM(FL409:FL413)</f>
        <v>1703371011.6169519</v>
      </c>
      <c r="FM414" s="1648">
        <f>SUM(FM409:FM413)</f>
        <v>1100952176.6242108</v>
      </c>
      <c r="FN414" s="1648">
        <f>SUM(FN409:FN413)</f>
        <v>2548440763.7588377</v>
      </c>
      <c r="FO414" s="1073"/>
    </row>
    <row r="415" spans="2:171">
      <c r="B415" s="123"/>
      <c r="C415" s="123" t="s">
        <v>342</v>
      </c>
      <c r="D415" s="1296" t="s">
        <v>640</v>
      </c>
      <c r="E415" s="561"/>
      <c r="F415" s="1075"/>
      <c r="G415" s="1649">
        <f>H415+I415+J415</f>
        <v>0.99999999989724941</v>
      </c>
      <c r="H415" s="1649">
        <f>IF($G414=0,0,H414/G414)</f>
        <v>0.31822270268064157</v>
      </c>
      <c r="I415" s="1649">
        <f>IF($G414=0,0,I414/G414)</f>
        <v>0</v>
      </c>
      <c r="J415" s="1649">
        <f>IF($G414=0,0,J414/G414)</f>
        <v>0.68177729721660785</v>
      </c>
      <c r="K415" s="1078"/>
      <c r="L415" s="1074" t="s">
        <v>640</v>
      </c>
      <c r="M415" s="1075"/>
      <c r="N415" s="1075"/>
      <c r="O415" s="1649">
        <f>P415+Q415+R415</f>
        <v>1</v>
      </c>
      <c r="P415" s="1649">
        <f>IF($G414=0,0,P414/O414)</f>
        <v>0.31822270268064157</v>
      </c>
      <c r="Q415" s="1649">
        <f>IF($G414=0,0,Q414/O414)</f>
        <v>0.20567919424372383</v>
      </c>
      <c r="R415" s="1649">
        <f>IF($G414=0,0,R414/O414)</f>
        <v>0.47609810307563472</v>
      </c>
      <c r="S415" s="1078"/>
      <c r="T415" s="1074" t="s">
        <v>640</v>
      </c>
      <c r="U415" s="1075"/>
      <c r="V415" s="1075"/>
      <c r="W415" s="1649">
        <f>X415+Y415+Z415</f>
        <v>1</v>
      </c>
      <c r="X415" s="1649">
        <f>IF($G414=0,0,X414/W414)</f>
        <v>0.31822270268064157</v>
      </c>
      <c r="Y415" s="1649">
        <f>IF($G414=0,0,Y414/W414)</f>
        <v>0.20567919424372383</v>
      </c>
      <c r="Z415" s="1649">
        <f>IF($G414=0,0,Z414/W414)</f>
        <v>0.47609810307563472</v>
      </c>
      <c r="AA415" s="1078"/>
      <c r="AB415" s="1074" t="s">
        <v>640</v>
      </c>
      <c r="AC415" s="1075"/>
      <c r="AD415" s="1075"/>
      <c r="AE415" s="1649">
        <f>AF415+AG415+AH415</f>
        <v>1</v>
      </c>
      <c r="AF415" s="1649">
        <f>IF($G414=0,0,AF414/AE414)</f>
        <v>0.31822270268064157</v>
      </c>
      <c r="AG415" s="1649">
        <f>IF($G414=0,0,AG414/AE414)</f>
        <v>0.20567919424372383</v>
      </c>
      <c r="AH415" s="1649">
        <f>IF($G414=0,0,AH414/AE414)</f>
        <v>0.47609810307563472</v>
      </c>
      <c r="AI415" s="1078"/>
      <c r="AJ415" s="1074" t="s">
        <v>640</v>
      </c>
      <c r="AK415" s="1075"/>
      <c r="AL415" s="1075"/>
      <c r="AM415" s="1649">
        <f>AN415+AO415+AP415</f>
        <v>1</v>
      </c>
      <c r="AN415" s="1649">
        <f>IF($G414=0,0,AN414/AM414)</f>
        <v>0.31822270268064157</v>
      </c>
      <c r="AO415" s="1649">
        <f>IF($G414=0,0,AO414/AM414)</f>
        <v>0.20567919424372383</v>
      </c>
      <c r="AP415" s="1649">
        <f>IF($G414=0,0,AP414/AM414)</f>
        <v>0.47609810307563472</v>
      </c>
      <c r="AQ415" s="1078"/>
      <c r="AR415" s="1074" t="s">
        <v>640</v>
      </c>
      <c r="AS415" s="1075"/>
      <c r="AT415" s="1075"/>
      <c r="AU415" s="1649">
        <f>AV415+AW415+AX415</f>
        <v>1</v>
      </c>
      <c r="AV415" s="1649">
        <f>IF($G414=0,0,AV414/AU414)</f>
        <v>0.31822270268064157</v>
      </c>
      <c r="AW415" s="1649">
        <f>IF($G414=0,0,AW414/AU414)</f>
        <v>0.20567919424372383</v>
      </c>
      <c r="AX415" s="1649">
        <f>IF($G414=0,0,AX414/AU414)</f>
        <v>0.47609810307563472</v>
      </c>
      <c r="AY415" s="1078"/>
      <c r="AZ415" s="1074" t="s">
        <v>640</v>
      </c>
      <c r="BA415" s="1075"/>
      <c r="BB415" s="1075"/>
      <c r="BC415" s="1649">
        <f>BD415+BE415+BF415</f>
        <v>1</v>
      </c>
      <c r="BD415" s="1649">
        <f>IF($G414=0,0,BD414/BC414)</f>
        <v>0.31822270268064157</v>
      </c>
      <c r="BE415" s="1649">
        <f>IF($G414=0,0,BE414/BC414)</f>
        <v>0.20567919424372383</v>
      </c>
      <c r="BF415" s="1649">
        <f>IF($G414=0,0,BF414/BC414)</f>
        <v>0.47609810307563472</v>
      </c>
      <c r="BG415" s="1078"/>
      <c r="BH415" s="1074" t="s">
        <v>640</v>
      </c>
      <c r="BI415" s="1075"/>
      <c r="BJ415" s="1075"/>
      <c r="BK415" s="1649">
        <f>BL415+BM415+BN415</f>
        <v>1</v>
      </c>
      <c r="BL415" s="1649">
        <f>IF($G414=0,0,BL414/BK414)</f>
        <v>0.31822270268064157</v>
      </c>
      <c r="BM415" s="1649">
        <f>IF($G414=0,0,BM414/BK414)</f>
        <v>0.20567919424372383</v>
      </c>
      <c r="BN415" s="1649">
        <f>IF($G414=0,0,BN414/BK414)</f>
        <v>0.47609810307563472</v>
      </c>
      <c r="BO415" s="1078"/>
      <c r="BP415" s="1074" t="s">
        <v>640</v>
      </c>
      <c r="BQ415" s="1075"/>
      <c r="BR415" s="1075"/>
      <c r="BS415" s="1649">
        <f>BT415+BU415+BV415</f>
        <v>1</v>
      </c>
      <c r="BT415" s="1649">
        <f>IF($G414=0,0,BT414/BS414)</f>
        <v>0.31822270268064157</v>
      </c>
      <c r="BU415" s="1649">
        <f>IF($G414=0,0,BU414/BS414)</f>
        <v>0.20567919424372383</v>
      </c>
      <c r="BV415" s="1649">
        <f>IF($G414=0,0,BV414/BS414)</f>
        <v>0.47609810307563472</v>
      </c>
      <c r="BW415" s="1078"/>
      <c r="BX415" s="1074" t="s">
        <v>640</v>
      </c>
      <c r="BY415" s="1075"/>
      <c r="BZ415" s="1075"/>
      <c r="CA415" s="1649">
        <f>CB415+CC415+CD415</f>
        <v>1</v>
      </c>
      <c r="CB415" s="1649">
        <f>IF($G414=0,0,CB414/CA414)</f>
        <v>0.31822270268064157</v>
      </c>
      <c r="CC415" s="1649">
        <f>IF($G414=0,0,CC414/CA414)</f>
        <v>0.20567919424372383</v>
      </c>
      <c r="CD415" s="1649">
        <f>IF($G414=0,0,CD414/CA414)</f>
        <v>0.47609810307563472</v>
      </c>
      <c r="CE415" s="1078"/>
      <c r="CF415" s="1074" t="s">
        <v>640</v>
      </c>
      <c r="CG415" s="1075"/>
      <c r="CH415" s="1075"/>
      <c r="CI415" s="1649">
        <f>CJ415+CK415+CL415</f>
        <v>1</v>
      </c>
      <c r="CJ415" s="1649">
        <f>IF($G414=0,0,CJ414/CI414)</f>
        <v>0.31822270268064157</v>
      </c>
      <c r="CK415" s="1649">
        <f>IF($G414=0,0,CK414/CI414)</f>
        <v>0.20567919424372383</v>
      </c>
      <c r="CL415" s="1649">
        <f>IF($G414=0,0,CL414/CI414)</f>
        <v>0.47609810307563472</v>
      </c>
      <c r="CM415" s="1078"/>
      <c r="CN415" s="1074" t="s">
        <v>640</v>
      </c>
      <c r="CO415" s="1075"/>
      <c r="CP415" s="1075"/>
      <c r="CQ415" s="1649">
        <f>CR415+CS415+CT415</f>
        <v>1</v>
      </c>
      <c r="CR415" s="1649">
        <f>IF($G414=0,0,CR414/CQ414)</f>
        <v>0.31822270268064157</v>
      </c>
      <c r="CS415" s="1649">
        <f>IF($G414=0,0,CS414/CQ414)</f>
        <v>0.20567919424372383</v>
      </c>
      <c r="CT415" s="1649">
        <f>IF($G414=0,0,CT414/CQ414)</f>
        <v>0.47609810307563472</v>
      </c>
      <c r="CU415" s="1078"/>
      <c r="CV415" s="1074" t="s">
        <v>640</v>
      </c>
      <c r="CW415" s="1075"/>
      <c r="CX415" s="1075"/>
      <c r="CY415" s="1649">
        <f>CZ415+DA415+DB415</f>
        <v>1</v>
      </c>
      <c r="CZ415" s="1649">
        <f>IF($G414=0,0,CZ414/CY414)</f>
        <v>0.31822270268064157</v>
      </c>
      <c r="DA415" s="1649">
        <f>IF($G414=0,0,DA414/CY414)</f>
        <v>0.20567919424372383</v>
      </c>
      <c r="DB415" s="1649">
        <f>IF($G414=0,0,DB414/CY414)</f>
        <v>0.47609810307563472</v>
      </c>
      <c r="DC415" s="1078"/>
      <c r="DD415" s="1074" t="s">
        <v>640</v>
      </c>
      <c r="DE415" s="1075"/>
      <c r="DF415" s="1075"/>
      <c r="DG415" s="1649">
        <f>DH415+DI415+DJ415</f>
        <v>1</v>
      </c>
      <c r="DH415" s="1649">
        <f>IF($G414=0,0,DH414/DG414)</f>
        <v>0.31822270268064157</v>
      </c>
      <c r="DI415" s="1649">
        <f>IF($G414=0,0,DI414/DG414)</f>
        <v>0.20567919424372383</v>
      </c>
      <c r="DJ415" s="1649">
        <f>IF($G414=0,0,DJ414/DG414)</f>
        <v>0.47609810307563472</v>
      </c>
      <c r="DK415" s="1078"/>
      <c r="DL415" s="1074" t="s">
        <v>640</v>
      </c>
      <c r="DM415" s="1075"/>
      <c r="DN415" s="1075"/>
      <c r="DO415" s="1649">
        <f>DP415+DQ415+DR415</f>
        <v>1</v>
      </c>
      <c r="DP415" s="1649">
        <f>IF($G414=0,0,DP414/DO414)</f>
        <v>0.31822270268064157</v>
      </c>
      <c r="DQ415" s="1649">
        <f>IF($G414=0,0,DQ414/DO414)</f>
        <v>0.20567919424372383</v>
      </c>
      <c r="DR415" s="1649">
        <f>IF($G414=0,0,DR414/DO414)</f>
        <v>0.47609810307563472</v>
      </c>
      <c r="DS415" s="1078"/>
      <c r="DT415" s="1074" t="s">
        <v>640</v>
      </c>
      <c r="DU415" s="1075"/>
      <c r="DV415" s="1075"/>
      <c r="DW415" s="1649">
        <f>DX415+DY415+DZ415</f>
        <v>1</v>
      </c>
      <c r="DX415" s="1649">
        <f>IF($G414=0,0,DX414/DW414)</f>
        <v>0.31822270268064157</v>
      </c>
      <c r="DY415" s="1649">
        <f>IF($G414=0,0,DY414/DW414)</f>
        <v>0.20567919424372383</v>
      </c>
      <c r="DZ415" s="1649">
        <f>IF($G414=0,0,DZ414/DW414)</f>
        <v>0.47609810307563472</v>
      </c>
      <c r="EA415" s="1078"/>
      <c r="EB415" s="1074" t="s">
        <v>640</v>
      </c>
      <c r="EC415" s="1075"/>
      <c r="ED415" s="1075"/>
      <c r="EE415" s="1649">
        <f>EF415+EG415+EH415</f>
        <v>1</v>
      </c>
      <c r="EF415" s="1649">
        <f>IF($G414=0,0,EF414/EE414)</f>
        <v>0.31822270268064157</v>
      </c>
      <c r="EG415" s="1649">
        <f>IF($G414=0,0,EG414/EE414)</f>
        <v>0.20567919424372383</v>
      </c>
      <c r="EH415" s="1649">
        <f>IF($G414=0,0,EH414/EE414)</f>
        <v>0.47609810307563472</v>
      </c>
      <c r="EI415" s="1078"/>
      <c r="EJ415" s="1074" t="s">
        <v>640</v>
      </c>
      <c r="EK415" s="1075"/>
      <c r="EL415" s="1075"/>
      <c r="EM415" s="1649">
        <f>EN415+EO415+EP415</f>
        <v>1</v>
      </c>
      <c r="EN415" s="1649">
        <f>IF($G414=0,0,EN414/EM414)</f>
        <v>0.31822270268064157</v>
      </c>
      <c r="EO415" s="1649">
        <f>IF($G414=0,0,EO414/EM414)</f>
        <v>0.20567919424372383</v>
      </c>
      <c r="EP415" s="1649">
        <f>IF($G414=0,0,EP414/EM414)</f>
        <v>0.47609810307563472</v>
      </c>
      <c r="EQ415" s="1078"/>
      <c r="ER415" s="1074" t="s">
        <v>640</v>
      </c>
      <c r="ES415" s="1075"/>
      <c r="ET415" s="1075"/>
      <c r="EU415" s="1649">
        <f>EV415+EW415+EX415</f>
        <v>1</v>
      </c>
      <c r="EV415" s="1649">
        <f>IF($G414=0,0,EV414/EU414)</f>
        <v>0.31822270268064157</v>
      </c>
      <c r="EW415" s="1649">
        <f>IF($G414=0,0,EW414/EU414)</f>
        <v>0.20567919424372383</v>
      </c>
      <c r="EX415" s="1649">
        <f>IF($G414=0,0,EX414/EU414)</f>
        <v>0.47609810307563472</v>
      </c>
      <c r="EY415" s="1078"/>
      <c r="EZ415" s="1074" t="s">
        <v>640</v>
      </c>
      <c r="FA415" s="1075"/>
      <c r="FB415" s="1075"/>
      <c r="FC415" s="1649">
        <f>FD415+FE415+FF415</f>
        <v>1</v>
      </c>
      <c r="FD415" s="1649">
        <f>IF($G414=0,0,FD414/FC414)</f>
        <v>0.31822270268064157</v>
      </c>
      <c r="FE415" s="1649">
        <f>IF($G414=0,0,FE414/FC414)</f>
        <v>0.20567919424372383</v>
      </c>
      <c r="FF415" s="1649">
        <f>IF($G414=0,0,FF414/FC414)</f>
        <v>0.47609810307563472</v>
      </c>
      <c r="FG415" s="1078"/>
      <c r="FH415" s="1074" t="s">
        <v>640</v>
      </c>
      <c r="FI415" s="1075"/>
      <c r="FJ415" s="1075"/>
      <c r="FK415" s="1649">
        <f>FL415+FM415+FN415</f>
        <v>1</v>
      </c>
      <c r="FL415" s="1649">
        <f>IF($G414=0,0,FL414/FK414)</f>
        <v>0.31822270268064157</v>
      </c>
      <c r="FM415" s="1649">
        <f>IF($G414=0,0,FM414/FK414)</f>
        <v>0.20567919424372383</v>
      </c>
      <c r="FN415" s="1649">
        <f>IF($G414=0,0,FN414/FK414)</f>
        <v>0.47609810307563472</v>
      </c>
      <c r="FO415" s="1078"/>
    </row>
    <row r="416" spans="2:171">
      <c r="K416" s="1073"/>
      <c r="S416" s="1073"/>
      <c r="AA416" s="1073"/>
      <c r="AI416" s="1073"/>
      <c r="AQ416" s="1073"/>
      <c r="AY416" s="1073"/>
      <c r="BG416" s="1073"/>
      <c r="BO416" s="1073"/>
      <c r="BW416" s="1073"/>
      <c r="CE416" s="1073"/>
      <c r="CM416" s="1073"/>
      <c r="CU416" s="1073"/>
      <c r="DC416" s="1073"/>
      <c r="DK416" s="1073"/>
      <c r="DS416" s="1073"/>
      <c r="EA416" s="1073"/>
      <c r="EI416" s="1073"/>
      <c r="EQ416" s="1073"/>
      <c r="EY416" s="1073"/>
      <c r="FG416" s="1073"/>
      <c r="FO416" s="1073"/>
    </row>
    <row r="417" spans="2:171">
      <c r="E417" s="302" t="s">
        <v>525</v>
      </c>
      <c r="G417" s="303" t="s">
        <v>104</v>
      </c>
      <c r="H417" s="303" t="s">
        <v>105</v>
      </c>
      <c r="I417" s="303" t="s">
        <v>106</v>
      </c>
      <c r="J417" s="304" t="s">
        <v>516</v>
      </c>
      <c r="K417" s="1078"/>
      <c r="O417" s="303" t="s">
        <v>104</v>
      </c>
      <c r="P417" s="303" t="s">
        <v>105</v>
      </c>
      <c r="Q417" s="303" t="s">
        <v>106</v>
      </c>
      <c r="R417" s="304" t="s">
        <v>516</v>
      </c>
      <c r="S417" s="1078"/>
      <c r="W417" s="303" t="s">
        <v>104</v>
      </c>
      <c r="X417" s="303" t="s">
        <v>105</v>
      </c>
      <c r="Y417" s="303" t="s">
        <v>106</v>
      </c>
      <c r="Z417" s="304" t="s">
        <v>516</v>
      </c>
      <c r="AA417" s="1078"/>
      <c r="AE417" s="303" t="s">
        <v>104</v>
      </c>
      <c r="AF417" s="303" t="s">
        <v>105</v>
      </c>
      <c r="AG417" s="303" t="s">
        <v>106</v>
      </c>
      <c r="AH417" s="304" t="s">
        <v>516</v>
      </c>
      <c r="AI417" s="1078"/>
      <c r="AM417" s="303" t="s">
        <v>104</v>
      </c>
      <c r="AN417" s="303" t="s">
        <v>105</v>
      </c>
      <c r="AO417" s="303" t="s">
        <v>106</v>
      </c>
      <c r="AP417" s="304" t="s">
        <v>516</v>
      </c>
      <c r="AQ417" s="1078"/>
      <c r="AU417" s="303" t="s">
        <v>104</v>
      </c>
      <c r="AV417" s="303" t="s">
        <v>105</v>
      </c>
      <c r="AW417" s="303" t="s">
        <v>106</v>
      </c>
      <c r="AX417" s="304" t="s">
        <v>516</v>
      </c>
      <c r="AY417" s="1078"/>
      <c r="BC417" s="303" t="s">
        <v>104</v>
      </c>
      <c r="BD417" s="303" t="s">
        <v>105</v>
      </c>
      <c r="BE417" s="303" t="s">
        <v>106</v>
      </c>
      <c r="BF417" s="304" t="s">
        <v>516</v>
      </c>
      <c r="BG417" s="1078"/>
      <c r="BK417" s="303" t="s">
        <v>104</v>
      </c>
      <c r="BL417" s="303" t="s">
        <v>105</v>
      </c>
      <c r="BM417" s="303" t="s">
        <v>106</v>
      </c>
      <c r="BN417" s="304" t="s">
        <v>516</v>
      </c>
      <c r="BO417" s="1078"/>
      <c r="BS417" s="303" t="s">
        <v>104</v>
      </c>
      <c r="BT417" s="303" t="s">
        <v>105</v>
      </c>
      <c r="BU417" s="303" t="s">
        <v>106</v>
      </c>
      <c r="BV417" s="304" t="s">
        <v>516</v>
      </c>
      <c r="BW417" s="1078"/>
      <c r="CA417" s="303" t="s">
        <v>104</v>
      </c>
      <c r="CB417" s="303" t="s">
        <v>105</v>
      </c>
      <c r="CC417" s="303" t="s">
        <v>106</v>
      </c>
      <c r="CD417" s="304" t="s">
        <v>516</v>
      </c>
      <c r="CE417" s="1078"/>
      <c r="CI417" s="303" t="s">
        <v>104</v>
      </c>
      <c r="CJ417" s="303" t="s">
        <v>105</v>
      </c>
      <c r="CK417" s="303" t="s">
        <v>106</v>
      </c>
      <c r="CL417" s="304" t="s">
        <v>516</v>
      </c>
      <c r="CM417" s="1078"/>
      <c r="CQ417" s="303" t="s">
        <v>104</v>
      </c>
      <c r="CR417" s="303" t="s">
        <v>105</v>
      </c>
      <c r="CS417" s="303" t="s">
        <v>106</v>
      </c>
      <c r="CT417" s="304" t="s">
        <v>516</v>
      </c>
      <c r="CU417" s="1078"/>
      <c r="CY417" s="303" t="s">
        <v>104</v>
      </c>
      <c r="CZ417" s="303" t="s">
        <v>105</v>
      </c>
      <c r="DA417" s="303" t="s">
        <v>106</v>
      </c>
      <c r="DB417" s="304" t="s">
        <v>516</v>
      </c>
      <c r="DC417" s="1078"/>
      <c r="DG417" s="303" t="s">
        <v>104</v>
      </c>
      <c r="DH417" s="303" t="s">
        <v>105</v>
      </c>
      <c r="DI417" s="303" t="s">
        <v>106</v>
      </c>
      <c r="DJ417" s="304" t="s">
        <v>516</v>
      </c>
      <c r="DK417" s="1078"/>
      <c r="DO417" s="303" t="s">
        <v>104</v>
      </c>
      <c r="DP417" s="303" t="s">
        <v>105</v>
      </c>
      <c r="DQ417" s="303" t="s">
        <v>106</v>
      </c>
      <c r="DR417" s="304" t="s">
        <v>516</v>
      </c>
      <c r="DS417" s="1078"/>
      <c r="DW417" s="303" t="s">
        <v>104</v>
      </c>
      <c r="DX417" s="303" t="s">
        <v>105</v>
      </c>
      <c r="DY417" s="303" t="s">
        <v>106</v>
      </c>
      <c r="DZ417" s="304" t="s">
        <v>516</v>
      </c>
      <c r="EA417" s="1078"/>
      <c r="EE417" s="303" t="s">
        <v>104</v>
      </c>
      <c r="EF417" s="303" t="s">
        <v>105</v>
      </c>
      <c r="EG417" s="303" t="s">
        <v>106</v>
      </c>
      <c r="EH417" s="304" t="s">
        <v>516</v>
      </c>
      <c r="EI417" s="1078"/>
      <c r="EM417" s="303" t="s">
        <v>104</v>
      </c>
      <c r="EN417" s="303" t="s">
        <v>105</v>
      </c>
      <c r="EO417" s="303" t="s">
        <v>106</v>
      </c>
      <c r="EP417" s="304" t="s">
        <v>516</v>
      </c>
      <c r="EQ417" s="1078"/>
      <c r="EU417" s="303" t="s">
        <v>104</v>
      </c>
      <c r="EV417" s="303" t="s">
        <v>105</v>
      </c>
      <c r="EW417" s="303" t="s">
        <v>106</v>
      </c>
      <c r="EX417" s="304" t="s">
        <v>516</v>
      </c>
      <c r="EY417" s="1078"/>
      <c r="FC417" s="303" t="s">
        <v>104</v>
      </c>
      <c r="FD417" s="303" t="s">
        <v>105</v>
      </c>
      <c r="FE417" s="303" t="s">
        <v>106</v>
      </c>
      <c r="FF417" s="304" t="s">
        <v>516</v>
      </c>
      <c r="FG417" s="1078"/>
      <c r="FK417" s="303" t="s">
        <v>104</v>
      </c>
      <c r="FL417" s="303" t="s">
        <v>105</v>
      </c>
      <c r="FM417" s="303" t="s">
        <v>106</v>
      </c>
      <c r="FN417" s="304" t="s">
        <v>516</v>
      </c>
      <c r="FO417" s="1078"/>
    </row>
    <row r="418" spans="2:171">
      <c r="B418" s="108"/>
      <c r="C418" s="108" t="s">
        <v>121</v>
      </c>
      <c r="D418" s="1071"/>
      <c r="E418" s="904" t="s">
        <v>396</v>
      </c>
      <c r="G418" s="890">
        <f t="shared" ref="G418:J419" si="1099">G403</f>
        <v>1057719030</v>
      </c>
      <c r="H418" s="890">
        <f t="shared" si="1099"/>
        <v>0</v>
      </c>
      <c r="I418" s="890">
        <f t="shared" si="1099"/>
        <v>0</v>
      </c>
      <c r="J418" s="890">
        <f t="shared" si="1099"/>
        <v>1057719030</v>
      </c>
      <c r="K418" s="1073"/>
      <c r="L418" s="1071"/>
      <c r="M418" s="1072"/>
      <c r="N418" s="1072"/>
      <c r="O418" s="890">
        <f t="shared" ref="O418:R419" si="1100">O403</f>
        <v>1057719030</v>
      </c>
      <c r="P418" s="890">
        <f t="shared" si="1100"/>
        <v>0</v>
      </c>
      <c r="Q418" s="890">
        <f t="shared" si="1100"/>
        <v>1057719030</v>
      </c>
      <c r="R418" s="890">
        <f t="shared" si="1100"/>
        <v>0</v>
      </c>
      <c r="S418" s="1073"/>
      <c r="T418" s="1071"/>
      <c r="U418" s="1072"/>
      <c r="V418" s="1072"/>
      <c r="W418" s="890">
        <f t="shared" ref="W418:Z419" si="1101">W403</f>
        <v>1057719030</v>
      </c>
      <c r="X418" s="890">
        <f t="shared" si="1101"/>
        <v>0</v>
      </c>
      <c r="Y418" s="890">
        <f t="shared" si="1101"/>
        <v>1057719030</v>
      </c>
      <c r="Z418" s="890">
        <f t="shared" si="1101"/>
        <v>0</v>
      </c>
      <c r="AA418" s="1073"/>
      <c r="AB418" s="1071"/>
      <c r="AC418" s="1072"/>
      <c r="AD418" s="1072"/>
      <c r="AE418" s="890">
        <f t="shared" ref="AE418:AH419" si="1102">AE403</f>
        <v>1057719030</v>
      </c>
      <c r="AF418" s="890">
        <f t="shared" si="1102"/>
        <v>0</v>
      </c>
      <c r="AG418" s="890">
        <f t="shared" si="1102"/>
        <v>1057719030</v>
      </c>
      <c r="AH418" s="890">
        <f t="shared" si="1102"/>
        <v>0</v>
      </c>
      <c r="AI418" s="1073"/>
      <c r="AJ418" s="1071"/>
      <c r="AK418" s="1072"/>
      <c r="AL418" s="1072"/>
      <c r="AM418" s="890">
        <f t="shared" ref="AM418:AP419" si="1103">AM403</f>
        <v>1057719030</v>
      </c>
      <c r="AN418" s="890">
        <f t="shared" si="1103"/>
        <v>0</v>
      </c>
      <c r="AO418" s="890">
        <f t="shared" si="1103"/>
        <v>1057719030</v>
      </c>
      <c r="AP418" s="890">
        <f t="shared" si="1103"/>
        <v>0</v>
      </c>
      <c r="AQ418" s="1073"/>
      <c r="AR418" s="1071"/>
      <c r="AS418" s="1072"/>
      <c r="AT418" s="1072"/>
      <c r="AU418" s="890">
        <f t="shared" ref="AU418:AX419" si="1104">AU403</f>
        <v>1057719030</v>
      </c>
      <c r="AV418" s="890">
        <f t="shared" si="1104"/>
        <v>0</v>
      </c>
      <c r="AW418" s="890">
        <f t="shared" si="1104"/>
        <v>1057719030</v>
      </c>
      <c r="AX418" s="890">
        <f t="shared" si="1104"/>
        <v>0</v>
      </c>
      <c r="AY418" s="1073"/>
      <c r="AZ418" s="1071"/>
      <c r="BA418" s="1072"/>
      <c r="BB418" s="1072"/>
      <c r="BC418" s="890">
        <f t="shared" ref="BC418:BF419" si="1105">BC403</f>
        <v>1057719030</v>
      </c>
      <c r="BD418" s="890">
        <f t="shared" si="1105"/>
        <v>0</v>
      </c>
      <c r="BE418" s="890">
        <f t="shared" si="1105"/>
        <v>1057719030</v>
      </c>
      <c r="BF418" s="890">
        <f t="shared" si="1105"/>
        <v>0</v>
      </c>
      <c r="BG418" s="1073"/>
      <c r="BH418" s="1071"/>
      <c r="BI418" s="1072"/>
      <c r="BJ418" s="1072"/>
      <c r="BK418" s="890">
        <f t="shared" ref="BK418:BN419" si="1106">BK403</f>
        <v>1057719030</v>
      </c>
      <c r="BL418" s="890">
        <f t="shared" si="1106"/>
        <v>0</v>
      </c>
      <c r="BM418" s="890">
        <f t="shared" si="1106"/>
        <v>1057719030</v>
      </c>
      <c r="BN418" s="890">
        <f t="shared" si="1106"/>
        <v>0</v>
      </c>
      <c r="BO418" s="1073"/>
      <c r="BP418" s="1071"/>
      <c r="BQ418" s="1072"/>
      <c r="BR418" s="1072"/>
      <c r="BS418" s="890">
        <f t="shared" ref="BS418:BV419" si="1107">BS403</f>
        <v>1057719030</v>
      </c>
      <c r="BT418" s="890">
        <f t="shared" si="1107"/>
        <v>0</v>
      </c>
      <c r="BU418" s="890">
        <f t="shared" si="1107"/>
        <v>1057719030</v>
      </c>
      <c r="BV418" s="890">
        <f t="shared" si="1107"/>
        <v>0</v>
      </c>
      <c r="BW418" s="1073"/>
      <c r="BX418" s="1071"/>
      <c r="BY418" s="1072"/>
      <c r="BZ418" s="1072"/>
      <c r="CA418" s="890">
        <f t="shared" ref="CA418:CD419" si="1108">CA403</f>
        <v>1057719030</v>
      </c>
      <c r="CB418" s="890">
        <f t="shared" si="1108"/>
        <v>0</v>
      </c>
      <c r="CC418" s="890">
        <f t="shared" si="1108"/>
        <v>1057719030</v>
      </c>
      <c r="CD418" s="890">
        <f t="shared" si="1108"/>
        <v>0</v>
      </c>
      <c r="CE418" s="1073"/>
      <c r="CF418" s="1071"/>
      <c r="CG418" s="1072"/>
      <c r="CH418" s="1072"/>
      <c r="CI418" s="890">
        <f t="shared" ref="CI418:CL419" si="1109">CI403</f>
        <v>1057719030</v>
      </c>
      <c r="CJ418" s="890">
        <f t="shared" si="1109"/>
        <v>0</v>
      </c>
      <c r="CK418" s="890">
        <f t="shared" si="1109"/>
        <v>1057719030</v>
      </c>
      <c r="CL418" s="890">
        <f t="shared" si="1109"/>
        <v>0</v>
      </c>
      <c r="CM418" s="1073"/>
      <c r="CN418" s="1071"/>
      <c r="CO418" s="1072"/>
      <c r="CP418" s="1072"/>
      <c r="CQ418" s="890">
        <f t="shared" ref="CQ418:CT419" si="1110">CQ403</f>
        <v>1057719030</v>
      </c>
      <c r="CR418" s="890">
        <f t="shared" si="1110"/>
        <v>0</v>
      </c>
      <c r="CS418" s="890">
        <f t="shared" si="1110"/>
        <v>1057719030</v>
      </c>
      <c r="CT418" s="890">
        <f t="shared" si="1110"/>
        <v>0</v>
      </c>
      <c r="CU418" s="1073"/>
      <c r="CV418" s="1071"/>
      <c r="CW418" s="1072"/>
      <c r="CX418" s="1072"/>
      <c r="CY418" s="890">
        <f t="shared" ref="CY418:DB419" si="1111">CY403</f>
        <v>1057719030</v>
      </c>
      <c r="CZ418" s="890">
        <f t="shared" si="1111"/>
        <v>0</v>
      </c>
      <c r="DA418" s="890">
        <f t="shared" si="1111"/>
        <v>1057719030</v>
      </c>
      <c r="DB418" s="890">
        <f t="shared" si="1111"/>
        <v>0</v>
      </c>
      <c r="DC418" s="1073"/>
      <c r="DD418" s="1071"/>
      <c r="DE418" s="1072"/>
      <c r="DF418" s="1072"/>
      <c r="DG418" s="890">
        <f t="shared" ref="DG418:DJ419" si="1112">DG403</f>
        <v>1057719030</v>
      </c>
      <c r="DH418" s="890">
        <f t="shared" si="1112"/>
        <v>0</v>
      </c>
      <c r="DI418" s="890">
        <f t="shared" si="1112"/>
        <v>1057719030</v>
      </c>
      <c r="DJ418" s="890">
        <f t="shared" si="1112"/>
        <v>0</v>
      </c>
      <c r="DK418" s="1073"/>
      <c r="DL418" s="1071"/>
      <c r="DM418" s="1072"/>
      <c r="DN418" s="1072"/>
      <c r="DO418" s="890">
        <f t="shared" ref="DO418:DR419" si="1113">DO403</f>
        <v>1057719030</v>
      </c>
      <c r="DP418" s="890">
        <f t="shared" si="1113"/>
        <v>0</v>
      </c>
      <c r="DQ418" s="890">
        <f t="shared" si="1113"/>
        <v>1057719030</v>
      </c>
      <c r="DR418" s="890">
        <f t="shared" si="1113"/>
        <v>0</v>
      </c>
      <c r="DS418" s="1073"/>
      <c r="DT418" s="1071"/>
      <c r="DU418" s="1072"/>
      <c r="DV418" s="1072"/>
      <c r="DW418" s="890">
        <f t="shared" ref="DW418:DZ419" si="1114">DW403</f>
        <v>1057719030</v>
      </c>
      <c r="DX418" s="890">
        <f t="shared" si="1114"/>
        <v>0</v>
      </c>
      <c r="DY418" s="890">
        <f t="shared" si="1114"/>
        <v>1057719030</v>
      </c>
      <c r="DZ418" s="890">
        <f t="shared" si="1114"/>
        <v>0</v>
      </c>
      <c r="EA418" s="1073"/>
      <c r="EB418" s="1071"/>
      <c r="EC418" s="1072"/>
      <c r="ED418" s="1072"/>
      <c r="EE418" s="890">
        <f t="shared" ref="EE418:EH419" si="1115">EE403</f>
        <v>1057719030</v>
      </c>
      <c r="EF418" s="890">
        <f t="shared" si="1115"/>
        <v>0</v>
      </c>
      <c r="EG418" s="890">
        <f t="shared" si="1115"/>
        <v>1057719030</v>
      </c>
      <c r="EH418" s="890">
        <f t="shared" si="1115"/>
        <v>0</v>
      </c>
      <c r="EI418" s="1073"/>
      <c r="EJ418" s="1071"/>
      <c r="EK418" s="1072"/>
      <c r="EL418" s="1072"/>
      <c r="EM418" s="890">
        <f t="shared" ref="EM418:EP419" si="1116">EM403</f>
        <v>1057719030</v>
      </c>
      <c r="EN418" s="890">
        <f t="shared" si="1116"/>
        <v>0</v>
      </c>
      <c r="EO418" s="890">
        <f t="shared" si="1116"/>
        <v>1057719030</v>
      </c>
      <c r="EP418" s="890">
        <f t="shared" si="1116"/>
        <v>0</v>
      </c>
      <c r="EQ418" s="1073"/>
      <c r="ER418" s="1071"/>
      <c r="ES418" s="1072"/>
      <c r="ET418" s="1072"/>
      <c r="EU418" s="890">
        <f t="shared" ref="EU418:EX419" si="1117">EU403</f>
        <v>1057719030</v>
      </c>
      <c r="EV418" s="890">
        <f t="shared" si="1117"/>
        <v>0</v>
      </c>
      <c r="EW418" s="890">
        <f t="shared" si="1117"/>
        <v>1057719030</v>
      </c>
      <c r="EX418" s="890">
        <f t="shared" si="1117"/>
        <v>0</v>
      </c>
      <c r="EY418" s="1073"/>
      <c r="EZ418" s="1071"/>
      <c r="FA418" s="1072"/>
      <c r="FB418" s="1072"/>
      <c r="FC418" s="890">
        <f t="shared" ref="FC418:FF419" si="1118">FC403</f>
        <v>1057719030</v>
      </c>
      <c r="FD418" s="890">
        <f t="shared" si="1118"/>
        <v>0</v>
      </c>
      <c r="FE418" s="890">
        <f t="shared" si="1118"/>
        <v>1057719030</v>
      </c>
      <c r="FF418" s="890">
        <f t="shared" si="1118"/>
        <v>0</v>
      </c>
      <c r="FG418" s="1073"/>
      <c r="FH418" s="1071"/>
      <c r="FI418" s="1072"/>
      <c r="FJ418" s="1072"/>
      <c r="FK418" s="890">
        <f t="shared" ref="FK418:FN419" si="1119">FK403</f>
        <v>1057719030</v>
      </c>
      <c r="FL418" s="890">
        <f t="shared" si="1119"/>
        <v>0</v>
      </c>
      <c r="FM418" s="890">
        <f t="shared" si="1119"/>
        <v>1057719030</v>
      </c>
      <c r="FN418" s="890">
        <f t="shared" si="1119"/>
        <v>0</v>
      </c>
      <c r="FO418" s="1073"/>
    </row>
    <row r="419" spans="2:171">
      <c r="B419" s="108"/>
      <c r="C419" s="108" t="s">
        <v>122</v>
      </c>
      <c r="D419" s="1071"/>
      <c r="E419" s="904" t="s">
        <v>395</v>
      </c>
      <c r="G419" s="890">
        <f t="shared" si="1099"/>
        <v>2407306658</v>
      </c>
      <c r="H419" s="890">
        <f t="shared" si="1099"/>
        <v>0</v>
      </c>
      <c r="I419" s="890">
        <f t="shared" si="1099"/>
        <v>0</v>
      </c>
      <c r="J419" s="890">
        <f t="shared" si="1099"/>
        <v>2407306658</v>
      </c>
      <c r="K419" s="1078"/>
      <c r="L419" s="1071"/>
      <c r="M419" s="1072"/>
      <c r="N419" s="1072"/>
      <c r="O419" s="890">
        <f t="shared" si="1100"/>
        <v>2407306658</v>
      </c>
      <c r="P419" s="890">
        <f t="shared" si="1100"/>
        <v>0</v>
      </c>
      <c r="Q419" s="890">
        <f t="shared" si="1100"/>
        <v>0</v>
      </c>
      <c r="R419" s="890">
        <f t="shared" si="1100"/>
        <v>2407306658</v>
      </c>
      <c r="S419" s="1078"/>
      <c r="T419" s="1071"/>
      <c r="U419" s="1072"/>
      <c r="V419" s="1072"/>
      <c r="W419" s="890">
        <f t="shared" si="1101"/>
        <v>2407306658</v>
      </c>
      <c r="X419" s="890">
        <f t="shared" si="1101"/>
        <v>0</v>
      </c>
      <c r="Y419" s="890">
        <f t="shared" si="1101"/>
        <v>0</v>
      </c>
      <c r="Z419" s="890">
        <f t="shared" si="1101"/>
        <v>2407306658</v>
      </c>
      <c r="AA419" s="1078"/>
      <c r="AB419" s="1071"/>
      <c r="AC419" s="1072"/>
      <c r="AD419" s="1072"/>
      <c r="AE419" s="890">
        <f t="shared" si="1102"/>
        <v>2407306658</v>
      </c>
      <c r="AF419" s="890">
        <f t="shared" si="1102"/>
        <v>0</v>
      </c>
      <c r="AG419" s="890">
        <f t="shared" si="1102"/>
        <v>0</v>
      </c>
      <c r="AH419" s="890">
        <f t="shared" si="1102"/>
        <v>2407306658</v>
      </c>
      <c r="AI419" s="1078"/>
      <c r="AJ419" s="1071"/>
      <c r="AK419" s="1072"/>
      <c r="AL419" s="1072"/>
      <c r="AM419" s="890">
        <f t="shared" si="1103"/>
        <v>2407306658</v>
      </c>
      <c r="AN419" s="890">
        <f t="shared" si="1103"/>
        <v>0</v>
      </c>
      <c r="AO419" s="890">
        <f t="shared" si="1103"/>
        <v>0</v>
      </c>
      <c r="AP419" s="890">
        <f t="shared" si="1103"/>
        <v>2407306658</v>
      </c>
      <c r="AQ419" s="1078"/>
      <c r="AR419" s="1071"/>
      <c r="AS419" s="1072"/>
      <c r="AT419" s="1072"/>
      <c r="AU419" s="890">
        <f t="shared" si="1104"/>
        <v>2407306658</v>
      </c>
      <c r="AV419" s="890">
        <f t="shared" si="1104"/>
        <v>0</v>
      </c>
      <c r="AW419" s="890">
        <f t="shared" si="1104"/>
        <v>0</v>
      </c>
      <c r="AX419" s="890">
        <f t="shared" si="1104"/>
        <v>2407306658</v>
      </c>
      <c r="AY419" s="1078"/>
      <c r="AZ419" s="1071"/>
      <c r="BA419" s="1072"/>
      <c r="BB419" s="1072"/>
      <c r="BC419" s="890">
        <f t="shared" si="1105"/>
        <v>2407306658</v>
      </c>
      <c r="BD419" s="890">
        <f t="shared" si="1105"/>
        <v>0</v>
      </c>
      <c r="BE419" s="890">
        <f t="shared" si="1105"/>
        <v>0</v>
      </c>
      <c r="BF419" s="890">
        <f t="shared" si="1105"/>
        <v>2407306658</v>
      </c>
      <c r="BG419" s="1078"/>
      <c r="BH419" s="1071"/>
      <c r="BI419" s="1072"/>
      <c r="BJ419" s="1072"/>
      <c r="BK419" s="890">
        <f t="shared" si="1106"/>
        <v>2407306658</v>
      </c>
      <c r="BL419" s="890">
        <f t="shared" si="1106"/>
        <v>0</v>
      </c>
      <c r="BM419" s="890">
        <f t="shared" si="1106"/>
        <v>0</v>
      </c>
      <c r="BN419" s="890">
        <f t="shared" si="1106"/>
        <v>2407306658</v>
      </c>
      <c r="BO419" s="1078"/>
      <c r="BP419" s="1071"/>
      <c r="BQ419" s="1072"/>
      <c r="BR419" s="1072"/>
      <c r="BS419" s="890">
        <f t="shared" si="1107"/>
        <v>2407306658</v>
      </c>
      <c r="BT419" s="890">
        <f t="shared" si="1107"/>
        <v>0</v>
      </c>
      <c r="BU419" s="890">
        <f t="shared" si="1107"/>
        <v>0</v>
      </c>
      <c r="BV419" s="890">
        <f t="shared" si="1107"/>
        <v>2407306658</v>
      </c>
      <c r="BW419" s="1078"/>
      <c r="BX419" s="1071"/>
      <c r="BY419" s="1072"/>
      <c r="BZ419" s="1072"/>
      <c r="CA419" s="890">
        <f t="shared" si="1108"/>
        <v>2407306658</v>
      </c>
      <c r="CB419" s="890">
        <f t="shared" si="1108"/>
        <v>0</v>
      </c>
      <c r="CC419" s="890">
        <f t="shared" si="1108"/>
        <v>0</v>
      </c>
      <c r="CD419" s="890">
        <f t="shared" si="1108"/>
        <v>2407306658</v>
      </c>
      <c r="CE419" s="1078"/>
      <c r="CF419" s="1071"/>
      <c r="CG419" s="1072"/>
      <c r="CH419" s="1072"/>
      <c r="CI419" s="890">
        <f t="shared" si="1109"/>
        <v>2407306658</v>
      </c>
      <c r="CJ419" s="890">
        <f t="shared" si="1109"/>
        <v>0</v>
      </c>
      <c r="CK419" s="890">
        <f t="shared" si="1109"/>
        <v>0</v>
      </c>
      <c r="CL419" s="890">
        <f t="shared" si="1109"/>
        <v>2407306658</v>
      </c>
      <c r="CM419" s="1078"/>
      <c r="CN419" s="1071"/>
      <c r="CO419" s="1072"/>
      <c r="CP419" s="1072"/>
      <c r="CQ419" s="890">
        <f t="shared" si="1110"/>
        <v>2407306658</v>
      </c>
      <c r="CR419" s="890">
        <f t="shared" si="1110"/>
        <v>0</v>
      </c>
      <c r="CS419" s="890">
        <f t="shared" si="1110"/>
        <v>0</v>
      </c>
      <c r="CT419" s="890">
        <f t="shared" si="1110"/>
        <v>2407306658</v>
      </c>
      <c r="CU419" s="1078"/>
      <c r="CV419" s="1071"/>
      <c r="CW419" s="1072"/>
      <c r="CX419" s="1072"/>
      <c r="CY419" s="890">
        <f t="shared" si="1111"/>
        <v>2407306658</v>
      </c>
      <c r="CZ419" s="890">
        <f t="shared" si="1111"/>
        <v>0</v>
      </c>
      <c r="DA419" s="890">
        <f t="shared" si="1111"/>
        <v>0</v>
      </c>
      <c r="DB419" s="890">
        <f t="shared" si="1111"/>
        <v>2407306658</v>
      </c>
      <c r="DC419" s="1078"/>
      <c r="DD419" s="1071"/>
      <c r="DE419" s="1072"/>
      <c r="DF419" s="1072"/>
      <c r="DG419" s="890">
        <f t="shared" si="1112"/>
        <v>2407306658</v>
      </c>
      <c r="DH419" s="890">
        <f t="shared" si="1112"/>
        <v>0</v>
      </c>
      <c r="DI419" s="890">
        <f t="shared" si="1112"/>
        <v>0</v>
      </c>
      <c r="DJ419" s="890">
        <f t="shared" si="1112"/>
        <v>2407306658</v>
      </c>
      <c r="DK419" s="1078"/>
      <c r="DL419" s="1071"/>
      <c r="DM419" s="1072"/>
      <c r="DN419" s="1072"/>
      <c r="DO419" s="890">
        <f t="shared" si="1113"/>
        <v>2407306658</v>
      </c>
      <c r="DP419" s="890">
        <f t="shared" si="1113"/>
        <v>0</v>
      </c>
      <c r="DQ419" s="890">
        <f t="shared" si="1113"/>
        <v>0</v>
      </c>
      <c r="DR419" s="890">
        <f t="shared" si="1113"/>
        <v>2407306658</v>
      </c>
      <c r="DS419" s="1078"/>
      <c r="DT419" s="1071"/>
      <c r="DU419" s="1072"/>
      <c r="DV419" s="1072"/>
      <c r="DW419" s="890">
        <f t="shared" si="1114"/>
        <v>2407306658</v>
      </c>
      <c r="DX419" s="890">
        <f t="shared" si="1114"/>
        <v>0</v>
      </c>
      <c r="DY419" s="890">
        <f t="shared" si="1114"/>
        <v>0</v>
      </c>
      <c r="DZ419" s="890">
        <f t="shared" si="1114"/>
        <v>2407306658</v>
      </c>
      <c r="EA419" s="1078"/>
      <c r="EB419" s="1071"/>
      <c r="EC419" s="1072"/>
      <c r="ED419" s="1072"/>
      <c r="EE419" s="890">
        <f t="shared" si="1115"/>
        <v>2407306658</v>
      </c>
      <c r="EF419" s="890">
        <f t="shared" si="1115"/>
        <v>0</v>
      </c>
      <c r="EG419" s="890">
        <f t="shared" si="1115"/>
        <v>0</v>
      </c>
      <c r="EH419" s="890">
        <f t="shared" si="1115"/>
        <v>2407306658</v>
      </c>
      <c r="EI419" s="1078"/>
      <c r="EJ419" s="1071"/>
      <c r="EK419" s="1072"/>
      <c r="EL419" s="1072"/>
      <c r="EM419" s="890">
        <f t="shared" si="1116"/>
        <v>2407306658</v>
      </c>
      <c r="EN419" s="890">
        <f t="shared" si="1116"/>
        <v>0</v>
      </c>
      <c r="EO419" s="890">
        <f t="shared" si="1116"/>
        <v>0</v>
      </c>
      <c r="EP419" s="890">
        <f t="shared" si="1116"/>
        <v>2407306658</v>
      </c>
      <c r="EQ419" s="1078"/>
      <c r="ER419" s="1071"/>
      <c r="ES419" s="1072"/>
      <c r="ET419" s="1072"/>
      <c r="EU419" s="890">
        <f t="shared" si="1117"/>
        <v>2407306658</v>
      </c>
      <c r="EV419" s="890">
        <f t="shared" si="1117"/>
        <v>0</v>
      </c>
      <c r="EW419" s="890">
        <f t="shared" si="1117"/>
        <v>0</v>
      </c>
      <c r="EX419" s="890">
        <f t="shared" si="1117"/>
        <v>2407306658</v>
      </c>
      <c r="EY419" s="1078"/>
      <c r="EZ419" s="1071"/>
      <c r="FA419" s="1072"/>
      <c r="FB419" s="1072"/>
      <c r="FC419" s="890">
        <f t="shared" si="1118"/>
        <v>2407306658</v>
      </c>
      <c r="FD419" s="890">
        <f t="shared" si="1118"/>
        <v>0</v>
      </c>
      <c r="FE419" s="890">
        <f t="shared" si="1118"/>
        <v>0</v>
      </c>
      <c r="FF419" s="890">
        <f t="shared" si="1118"/>
        <v>2407306658</v>
      </c>
      <c r="FG419" s="1078"/>
      <c r="FH419" s="1071"/>
      <c r="FI419" s="1072"/>
      <c r="FJ419" s="1072"/>
      <c r="FK419" s="890">
        <f t="shared" si="1119"/>
        <v>2407306658</v>
      </c>
      <c r="FL419" s="890">
        <f t="shared" si="1119"/>
        <v>0</v>
      </c>
      <c r="FM419" s="890">
        <f t="shared" si="1119"/>
        <v>0</v>
      </c>
      <c r="FN419" s="890">
        <f t="shared" si="1119"/>
        <v>2407306658</v>
      </c>
      <c r="FO419" s="1078"/>
    </row>
    <row r="420" spans="2:171">
      <c r="B420" s="108"/>
      <c r="C420" s="108" t="s">
        <v>527</v>
      </c>
      <c r="D420" s="1071"/>
      <c r="E420" s="124"/>
      <c r="F420" s="1072"/>
      <c r="G420" s="1648">
        <f>SUM(G418:G419)</f>
        <v>3465025688</v>
      </c>
      <c r="H420" s="1648">
        <f>SUM(H418:H419)</f>
        <v>0</v>
      </c>
      <c r="I420" s="1648">
        <f>SUM(I418:I419)</f>
        <v>0</v>
      </c>
      <c r="J420" s="1648">
        <f>SUM(J418:J419)</f>
        <v>3465025688</v>
      </c>
      <c r="K420" s="1073"/>
      <c r="L420" s="1071"/>
      <c r="M420" s="1072"/>
      <c r="N420" s="1072"/>
      <c r="O420" s="1648">
        <f>SUM(O418:O419)</f>
        <v>3465025688</v>
      </c>
      <c r="P420" s="1648">
        <f>SUM(P418:P419)</f>
        <v>0</v>
      </c>
      <c r="Q420" s="1648">
        <f>SUM(Q418:Q419)</f>
        <v>1057719030</v>
      </c>
      <c r="R420" s="1648">
        <f>SUM(R418:R419)</f>
        <v>2407306658</v>
      </c>
      <c r="S420" s="1073"/>
      <c r="T420" s="1071"/>
      <c r="U420" s="1072"/>
      <c r="V420" s="1072"/>
      <c r="W420" s="1648">
        <f>SUM(W418:W419)</f>
        <v>3465025688</v>
      </c>
      <c r="X420" s="1648">
        <f>SUM(X418:X419)</f>
        <v>0</v>
      </c>
      <c r="Y420" s="1648">
        <f>SUM(Y418:Y419)</f>
        <v>1057719030</v>
      </c>
      <c r="Z420" s="1648">
        <f>SUM(Z418:Z419)</f>
        <v>2407306658</v>
      </c>
      <c r="AA420" s="1073"/>
      <c r="AB420" s="1071"/>
      <c r="AC420" s="1072"/>
      <c r="AD420" s="1072"/>
      <c r="AE420" s="1648">
        <f>SUM(AE418:AE419)</f>
        <v>3465025688</v>
      </c>
      <c r="AF420" s="1648">
        <f>SUM(AF418:AF419)</f>
        <v>0</v>
      </c>
      <c r="AG420" s="1648">
        <f>SUM(AG418:AG419)</f>
        <v>1057719030</v>
      </c>
      <c r="AH420" s="1648">
        <f>SUM(AH418:AH419)</f>
        <v>2407306658</v>
      </c>
      <c r="AI420" s="1073"/>
      <c r="AJ420" s="1071"/>
      <c r="AK420" s="1072"/>
      <c r="AL420" s="1072"/>
      <c r="AM420" s="1648">
        <f>SUM(AM418:AM419)</f>
        <v>3465025688</v>
      </c>
      <c r="AN420" s="1648">
        <f>SUM(AN418:AN419)</f>
        <v>0</v>
      </c>
      <c r="AO420" s="1648">
        <f>SUM(AO418:AO419)</f>
        <v>1057719030</v>
      </c>
      <c r="AP420" s="1648">
        <f>SUM(AP418:AP419)</f>
        <v>2407306658</v>
      </c>
      <c r="AQ420" s="1073"/>
      <c r="AR420" s="1071"/>
      <c r="AS420" s="1072"/>
      <c r="AT420" s="1072"/>
      <c r="AU420" s="1648">
        <f>SUM(AU418:AU419)</f>
        <v>3465025688</v>
      </c>
      <c r="AV420" s="1648">
        <f>SUM(AV418:AV419)</f>
        <v>0</v>
      </c>
      <c r="AW420" s="1648">
        <f>SUM(AW418:AW419)</f>
        <v>1057719030</v>
      </c>
      <c r="AX420" s="1648">
        <f>SUM(AX418:AX419)</f>
        <v>2407306658</v>
      </c>
      <c r="AY420" s="1073"/>
      <c r="AZ420" s="1071"/>
      <c r="BA420" s="1072"/>
      <c r="BB420" s="1072"/>
      <c r="BC420" s="1648">
        <f>SUM(BC418:BC419)</f>
        <v>3465025688</v>
      </c>
      <c r="BD420" s="1648">
        <f>SUM(BD418:BD419)</f>
        <v>0</v>
      </c>
      <c r="BE420" s="1648">
        <f>SUM(BE418:BE419)</f>
        <v>1057719030</v>
      </c>
      <c r="BF420" s="1648">
        <f>SUM(BF418:BF419)</f>
        <v>2407306658</v>
      </c>
      <c r="BG420" s="1073"/>
      <c r="BH420" s="1071"/>
      <c r="BI420" s="1072"/>
      <c r="BJ420" s="1072"/>
      <c r="BK420" s="1648">
        <f>SUM(BK418:BK419)</f>
        <v>3465025688</v>
      </c>
      <c r="BL420" s="1648">
        <f>SUM(BL418:BL419)</f>
        <v>0</v>
      </c>
      <c r="BM420" s="1648">
        <f>SUM(BM418:BM419)</f>
        <v>1057719030</v>
      </c>
      <c r="BN420" s="1648">
        <f>SUM(BN418:BN419)</f>
        <v>2407306658</v>
      </c>
      <c r="BO420" s="1073"/>
      <c r="BP420" s="1071"/>
      <c r="BQ420" s="1072"/>
      <c r="BR420" s="1072"/>
      <c r="BS420" s="1648">
        <f>SUM(BS418:BS419)</f>
        <v>3465025688</v>
      </c>
      <c r="BT420" s="1648">
        <f>SUM(BT418:BT419)</f>
        <v>0</v>
      </c>
      <c r="BU420" s="1648">
        <f>SUM(BU418:BU419)</f>
        <v>1057719030</v>
      </c>
      <c r="BV420" s="1648">
        <f>SUM(BV418:BV419)</f>
        <v>2407306658</v>
      </c>
      <c r="BW420" s="1073"/>
      <c r="BX420" s="1071"/>
      <c r="BY420" s="1072"/>
      <c r="BZ420" s="1072"/>
      <c r="CA420" s="1648">
        <f>SUM(CA418:CA419)</f>
        <v>3465025688</v>
      </c>
      <c r="CB420" s="1648">
        <f>SUM(CB418:CB419)</f>
        <v>0</v>
      </c>
      <c r="CC420" s="1648">
        <f>SUM(CC418:CC419)</f>
        <v>1057719030</v>
      </c>
      <c r="CD420" s="1648">
        <f>SUM(CD418:CD419)</f>
        <v>2407306658</v>
      </c>
      <c r="CE420" s="1073"/>
      <c r="CF420" s="1071"/>
      <c r="CG420" s="1072"/>
      <c r="CH420" s="1072"/>
      <c r="CI420" s="1648">
        <f>SUM(CI418:CI419)</f>
        <v>3465025688</v>
      </c>
      <c r="CJ420" s="1648">
        <f>SUM(CJ418:CJ419)</f>
        <v>0</v>
      </c>
      <c r="CK420" s="1648">
        <f>SUM(CK418:CK419)</f>
        <v>1057719030</v>
      </c>
      <c r="CL420" s="1648">
        <f>SUM(CL418:CL419)</f>
        <v>2407306658</v>
      </c>
      <c r="CM420" s="1073"/>
      <c r="CN420" s="1071"/>
      <c r="CO420" s="1072"/>
      <c r="CP420" s="1072"/>
      <c r="CQ420" s="1648">
        <f>SUM(CQ418:CQ419)</f>
        <v>3465025688</v>
      </c>
      <c r="CR420" s="1648">
        <f>SUM(CR418:CR419)</f>
        <v>0</v>
      </c>
      <c r="CS420" s="1648">
        <f>SUM(CS418:CS419)</f>
        <v>1057719030</v>
      </c>
      <c r="CT420" s="1648">
        <f>SUM(CT418:CT419)</f>
        <v>2407306658</v>
      </c>
      <c r="CU420" s="1073"/>
      <c r="CV420" s="1071"/>
      <c r="CW420" s="1072"/>
      <c r="CX420" s="1072"/>
      <c r="CY420" s="1648">
        <f>SUM(CY418:CY419)</f>
        <v>3465025688</v>
      </c>
      <c r="CZ420" s="1648">
        <f>SUM(CZ418:CZ419)</f>
        <v>0</v>
      </c>
      <c r="DA420" s="1648">
        <f>SUM(DA418:DA419)</f>
        <v>1057719030</v>
      </c>
      <c r="DB420" s="1648">
        <f>SUM(DB418:DB419)</f>
        <v>2407306658</v>
      </c>
      <c r="DC420" s="1073"/>
      <c r="DD420" s="1071"/>
      <c r="DE420" s="1072"/>
      <c r="DF420" s="1072"/>
      <c r="DG420" s="1648">
        <f>SUM(DG418:DG419)</f>
        <v>3465025688</v>
      </c>
      <c r="DH420" s="1648">
        <f>SUM(DH418:DH419)</f>
        <v>0</v>
      </c>
      <c r="DI420" s="1648">
        <f>SUM(DI418:DI419)</f>
        <v>1057719030</v>
      </c>
      <c r="DJ420" s="1648">
        <f>SUM(DJ418:DJ419)</f>
        <v>2407306658</v>
      </c>
      <c r="DK420" s="1073"/>
      <c r="DL420" s="1071"/>
      <c r="DM420" s="1072"/>
      <c r="DN420" s="1072"/>
      <c r="DO420" s="1648">
        <f>SUM(DO418:DO419)</f>
        <v>3465025688</v>
      </c>
      <c r="DP420" s="1648">
        <f>SUM(DP418:DP419)</f>
        <v>0</v>
      </c>
      <c r="DQ420" s="1648">
        <f>SUM(DQ418:DQ419)</f>
        <v>1057719030</v>
      </c>
      <c r="DR420" s="1648">
        <f>SUM(DR418:DR419)</f>
        <v>2407306658</v>
      </c>
      <c r="DS420" s="1073"/>
      <c r="DT420" s="1071"/>
      <c r="DU420" s="1072"/>
      <c r="DV420" s="1072"/>
      <c r="DW420" s="1648">
        <f>SUM(DW418:DW419)</f>
        <v>3465025688</v>
      </c>
      <c r="DX420" s="1648">
        <f>SUM(DX418:DX419)</f>
        <v>0</v>
      </c>
      <c r="DY420" s="1648">
        <f>SUM(DY418:DY419)</f>
        <v>1057719030</v>
      </c>
      <c r="DZ420" s="1648">
        <f>SUM(DZ418:DZ419)</f>
        <v>2407306658</v>
      </c>
      <c r="EA420" s="1073"/>
      <c r="EB420" s="1071"/>
      <c r="EC420" s="1072"/>
      <c r="ED420" s="1072"/>
      <c r="EE420" s="1648">
        <f>SUM(EE418:EE419)</f>
        <v>3465025688</v>
      </c>
      <c r="EF420" s="1648">
        <f>SUM(EF418:EF419)</f>
        <v>0</v>
      </c>
      <c r="EG420" s="1648">
        <f>SUM(EG418:EG419)</f>
        <v>1057719030</v>
      </c>
      <c r="EH420" s="1648">
        <f>SUM(EH418:EH419)</f>
        <v>2407306658</v>
      </c>
      <c r="EI420" s="1073"/>
      <c r="EJ420" s="1071"/>
      <c r="EK420" s="1072"/>
      <c r="EL420" s="1072"/>
      <c r="EM420" s="1648">
        <f>SUM(EM418:EM419)</f>
        <v>3465025688</v>
      </c>
      <c r="EN420" s="1648">
        <f>SUM(EN418:EN419)</f>
        <v>0</v>
      </c>
      <c r="EO420" s="1648">
        <f>SUM(EO418:EO419)</f>
        <v>1057719030</v>
      </c>
      <c r="EP420" s="1648">
        <f>SUM(EP418:EP419)</f>
        <v>2407306658</v>
      </c>
      <c r="EQ420" s="1073"/>
      <c r="ER420" s="1071"/>
      <c r="ES420" s="1072"/>
      <c r="ET420" s="1072"/>
      <c r="EU420" s="1648">
        <f>SUM(EU418:EU419)</f>
        <v>3465025688</v>
      </c>
      <c r="EV420" s="1648">
        <f>SUM(EV418:EV419)</f>
        <v>0</v>
      </c>
      <c r="EW420" s="1648">
        <f>SUM(EW418:EW419)</f>
        <v>1057719030</v>
      </c>
      <c r="EX420" s="1648">
        <f>SUM(EX418:EX419)</f>
        <v>2407306658</v>
      </c>
      <c r="EY420" s="1073"/>
      <c r="EZ420" s="1071"/>
      <c r="FA420" s="1072"/>
      <c r="FB420" s="1072"/>
      <c r="FC420" s="1648">
        <f>SUM(FC418:FC419)</f>
        <v>3465025688</v>
      </c>
      <c r="FD420" s="1648">
        <f>SUM(FD418:FD419)</f>
        <v>0</v>
      </c>
      <c r="FE420" s="1648">
        <f>SUM(FE418:FE419)</f>
        <v>1057719030</v>
      </c>
      <c r="FF420" s="1648">
        <f>SUM(FF418:FF419)</f>
        <v>2407306658</v>
      </c>
      <c r="FG420" s="1073"/>
      <c r="FH420" s="1071"/>
      <c r="FI420" s="1072"/>
      <c r="FJ420" s="1072"/>
      <c r="FK420" s="1648">
        <f>SUM(FK418:FK419)</f>
        <v>3465025688</v>
      </c>
      <c r="FL420" s="1648">
        <f>SUM(FL418:FL419)</f>
        <v>0</v>
      </c>
      <c r="FM420" s="1648">
        <f>SUM(FM418:FM419)</f>
        <v>1057719030</v>
      </c>
      <c r="FN420" s="1648">
        <f>SUM(FN418:FN419)</f>
        <v>2407306658</v>
      </c>
      <c r="FO420" s="1073"/>
    </row>
    <row r="421" spans="2:171">
      <c r="B421" s="123"/>
      <c r="C421" s="123" t="s">
        <v>344</v>
      </c>
      <c r="D421" s="1296" t="s">
        <v>641</v>
      </c>
      <c r="E421" s="616"/>
      <c r="F421" s="1075"/>
      <c r="G421" s="1649">
        <f>H421+I421+J421</f>
        <v>1</v>
      </c>
      <c r="H421" s="1649">
        <f>IF($G420=0,0,H420/G420)</f>
        <v>0</v>
      </c>
      <c r="I421" s="1649">
        <f>IF($G420=0,0,I420/G420)</f>
        <v>0</v>
      </c>
      <c r="J421" s="1649">
        <f>IF($G420=0,0,J420/G420)</f>
        <v>1</v>
      </c>
      <c r="K421" s="1078"/>
      <c r="L421" s="1074" t="s">
        <v>641</v>
      </c>
      <c r="M421" s="1075"/>
      <c r="N421" s="1075"/>
      <c r="O421" s="1649">
        <f>P421+Q421+R421</f>
        <v>1</v>
      </c>
      <c r="P421" s="1649">
        <f>IF($G420=0,0,P420/O420)</f>
        <v>0</v>
      </c>
      <c r="Q421" s="1649">
        <f>IF($G420=0,0,Q420/O420)</f>
        <v>0.30525575428288138</v>
      </c>
      <c r="R421" s="1649">
        <f>IF($G420=0,0,R420/O420)</f>
        <v>0.69474424571711857</v>
      </c>
      <c r="S421" s="1078"/>
      <c r="T421" s="1074" t="s">
        <v>641</v>
      </c>
      <c r="U421" s="1075"/>
      <c r="V421" s="1075"/>
      <c r="W421" s="1649">
        <f>X421+Y421+Z421</f>
        <v>1</v>
      </c>
      <c r="X421" s="1649">
        <f>IF($G420=0,0,X420/W420)</f>
        <v>0</v>
      </c>
      <c r="Y421" s="1649">
        <f>IF($G420=0,0,Y420/W420)</f>
        <v>0.30525575428288138</v>
      </c>
      <c r="Z421" s="1649">
        <f>IF($G420=0,0,Z420/W420)</f>
        <v>0.69474424571711857</v>
      </c>
      <c r="AA421" s="1078"/>
      <c r="AB421" s="1074" t="s">
        <v>641</v>
      </c>
      <c r="AC421" s="1075"/>
      <c r="AD421" s="1075"/>
      <c r="AE421" s="1649">
        <f>AF421+AG421+AH421</f>
        <v>1</v>
      </c>
      <c r="AF421" s="1649">
        <f>IF($G420=0,0,AF420/AE420)</f>
        <v>0</v>
      </c>
      <c r="AG421" s="1649">
        <f>IF($G420=0,0,AG420/AE420)</f>
        <v>0.30525575428288138</v>
      </c>
      <c r="AH421" s="1649">
        <f>IF($G420=0,0,AH420/AE420)</f>
        <v>0.69474424571711857</v>
      </c>
      <c r="AI421" s="1078"/>
      <c r="AJ421" s="1074" t="s">
        <v>641</v>
      </c>
      <c r="AK421" s="1075"/>
      <c r="AL421" s="1075"/>
      <c r="AM421" s="1649">
        <f>AN421+AO421+AP421</f>
        <v>1</v>
      </c>
      <c r="AN421" s="1649">
        <f>IF($G420=0,0,AN420/AM420)</f>
        <v>0</v>
      </c>
      <c r="AO421" s="1649">
        <f>IF($G420=0,0,AO420/AM420)</f>
        <v>0.30525575428288138</v>
      </c>
      <c r="AP421" s="1649">
        <f>IF($G420=0,0,AP420/AM420)</f>
        <v>0.69474424571711857</v>
      </c>
      <c r="AQ421" s="1078"/>
      <c r="AR421" s="1074" t="s">
        <v>641</v>
      </c>
      <c r="AS421" s="1075"/>
      <c r="AT421" s="1075"/>
      <c r="AU421" s="1649">
        <f>AV421+AW421+AX421</f>
        <v>1</v>
      </c>
      <c r="AV421" s="1649">
        <f>IF($G420=0,0,AV420/AU420)</f>
        <v>0</v>
      </c>
      <c r="AW421" s="1649">
        <f>IF($G420=0,0,AW420/AU420)</f>
        <v>0.30525575428288138</v>
      </c>
      <c r="AX421" s="1649">
        <f>IF($G420=0,0,AX420/AU420)</f>
        <v>0.69474424571711857</v>
      </c>
      <c r="AY421" s="1078"/>
      <c r="AZ421" s="1074" t="s">
        <v>641</v>
      </c>
      <c r="BA421" s="1075"/>
      <c r="BB421" s="1075"/>
      <c r="BC421" s="1649">
        <f>BD421+BE421+BF421</f>
        <v>1</v>
      </c>
      <c r="BD421" s="1649">
        <f>IF($G420=0,0,BD420/BC420)</f>
        <v>0</v>
      </c>
      <c r="BE421" s="1649">
        <f>IF($G420=0,0,BE420/BC420)</f>
        <v>0.30525575428288138</v>
      </c>
      <c r="BF421" s="1649">
        <f>IF($G420=0,0,BF420/BC420)</f>
        <v>0.69474424571711857</v>
      </c>
      <c r="BG421" s="1078"/>
      <c r="BH421" s="1074" t="s">
        <v>641</v>
      </c>
      <c r="BI421" s="1075"/>
      <c r="BJ421" s="1075"/>
      <c r="BK421" s="1649">
        <f>BL421+BM421+BN421</f>
        <v>1</v>
      </c>
      <c r="BL421" s="1649">
        <f>IF($G420=0,0,BL420/BK420)</f>
        <v>0</v>
      </c>
      <c r="BM421" s="1649">
        <f>IF($G420=0,0,BM420/BK420)</f>
        <v>0.30525575428288138</v>
      </c>
      <c r="BN421" s="1649">
        <f>IF($G420=0,0,BN420/BK420)</f>
        <v>0.69474424571711857</v>
      </c>
      <c r="BO421" s="1078"/>
      <c r="BP421" s="1074" t="s">
        <v>641</v>
      </c>
      <c r="BQ421" s="1075"/>
      <c r="BR421" s="1075"/>
      <c r="BS421" s="1649">
        <f>BT421+BU421+BV421</f>
        <v>1</v>
      </c>
      <c r="BT421" s="1649">
        <f>IF($G420=0,0,BT420/BS420)</f>
        <v>0</v>
      </c>
      <c r="BU421" s="1649">
        <f>IF($G420=0,0,BU420/BS420)</f>
        <v>0.30525575428288138</v>
      </c>
      <c r="BV421" s="1649">
        <f>IF($G420=0,0,BV420/BS420)</f>
        <v>0.69474424571711857</v>
      </c>
      <c r="BW421" s="1078"/>
      <c r="BX421" s="1074" t="s">
        <v>641</v>
      </c>
      <c r="BY421" s="1075"/>
      <c r="BZ421" s="1075"/>
      <c r="CA421" s="1649">
        <f>CB421+CC421+CD421</f>
        <v>1</v>
      </c>
      <c r="CB421" s="1649">
        <f>IF($G420=0,0,CB420/CA420)</f>
        <v>0</v>
      </c>
      <c r="CC421" s="1649">
        <f>IF($G420=0,0,CC420/CA420)</f>
        <v>0.30525575428288138</v>
      </c>
      <c r="CD421" s="1649">
        <f>IF($G420=0,0,CD420/CA420)</f>
        <v>0.69474424571711857</v>
      </c>
      <c r="CE421" s="1078"/>
      <c r="CF421" s="1074" t="s">
        <v>641</v>
      </c>
      <c r="CG421" s="1075"/>
      <c r="CH421" s="1075"/>
      <c r="CI421" s="1649">
        <f>CJ421+CK421+CL421</f>
        <v>1</v>
      </c>
      <c r="CJ421" s="1649">
        <f>IF($G420=0,0,CJ420/CI420)</f>
        <v>0</v>
      </c>
      <c r="CK421" s="1649">
        <f>IF($G420=0,0,CK420/CI420)</f>
        <v>0.30525575428288138</v>
      </c>
      <c r="CL421" s="1649">
        <f>IF($G420=0,0,CL420/CI420)</f>
        <v>0.69474424571711857</v>
      </c>
      <c r="CM421" s="1078"/>
      <c r="CN421" s="1074" t="s">
        <v>641</v>
      </c>
      <c r="CO421" s="1075"/>
      <c r="CP421" s="1075"/>
      <c r="CQ421" s="1649">
        <f>CR421+CS421+CT421</f>
        <v>1</v>
      </c>
      <c r="CR421" s="1649">
        <f>IF($G420=0,0,CR420/CQ420)</f>
        <v>0</v>
      </c>
      <c r="CS421" s="1649">
        <f>IF($G420=0,0,CS420/CQ420)</f>
        <v>0.30525575428288138</v>
      </c>
      <c r="CT421" s="1649">
        <f>IF($G420=0,0,CT420/CQ420)</f>
        <v>0.69474424571711857</v>
      </c>
      <c r="CU421" s="1078"/>
      <c r="CV421" s="1074" t="s">
        <v>641</v>
      </c>
      <c r="CW421" s="1075"/>
      <c r="CX421" s="1075"/>
      <c r="CY421" s="1649">
        <f>CZ421+DA421+DB421</f>
        <v>1</v>
      </c>
      <c r="CZ421" s="1649">
        <f>IF($G420=0,0,CZ420/CY420)</f>
        <v>0</v>
      </c>
      <c r="DA421" s="1649">
        <f>IF($G420=0,0,DA420/CY420)</f>
        <v>0.30525575428288138</v>
      </c>
      <c r="DB421" s="1649">
        <f>IF($G420=0,0,DB420/CY420)</f>
        <v>0.69474424571711857</v>
      </c>
      <c r="DC421" s="1078"/>
      <c r="DD421" s="1074" t="s">
        <v>641</v>
      </c>
      <c r="DE421" s="1075"/>
      <c r="DF421" s="1075"/>
      <c r="DG421" s="1649">
        <f>DH421+DI421+DJ421</f>
        <v>1</v>
      </c>
      <c r="DH421" s="1649">
        <f>IF($G420=0,0,DH420/DG420)</f>
        <v>0</v>
      </c>
      <c r="DI421" s="1649">
        <f>IF($G420=0,0,DI420/DG420)</f>
        <v>0.30525575428288138</v>
      </c>
      <c r="DJ421" s="1649">
        <f>IF($G420=0,0,DJ420/DG420)</f>
        <v>0.69474424571711857</v>
      </c>
      <c r="DK421" s="1078"/>
      <c r="DL421" s="1074" t="s">
        <v>641</v>
      </c>
      <c r="DM421" s="1075"/>
      <c r="DN421" s="1075"/>
      <c r="DO421" s="1649">
        <f>DP421+DQ421+DR421</f>
        <v>1</v>
      </c>
      <c r="DP421" s="1649">
        <f>IF($G420=0,0,DP420/DO420)</f>
        <v>0</v>
      </c>
      <c r="DQ421" s="1649">
        <f>IF($G420=0,0,DQ420/DO420)</f>
        <v>0.30525575428288138</v>
      </c>
      <c r="DR421" s="1649">
        <f>IF($G420=0,0,DR420/DO420)</f>
        <v>0.69474424571711857</v>
      </c>
      <c r="DS421" s="1078"/>
      <c r="DT421" s="1074" t="s">
        <v>641</v>
      </c>
      <c r="DU421" s="1075"/>
      <c r="DV421" s="1075"/>
      <c r="DW421" s="1649">
        <f>DX421+DY421+DZ421</f>
        <v>1</v>
      </c>
      <c r="DX421" s="1649">
        <f>IF($G420=0,0,DX420/DW420)</f>
        <v>0</v>
      </c>
      <c r="DY421" s="1649">
        <f>IF($G420=0,0,DY420/DW420)</f>
        <v>0.30525575428288138</v>
      </c>
      <c r="DZ421" s="1649">
        <f>IF($G420=0,0,DZ420/DW420)</f>
        <v>0.69474424571711857</v>
      </c>
      <c r="EA421" s="1078"/>
      <c r="EB421" s="1074" t="s">
        <v>641</v>
      </c>
      <c r="EC421" s="1075"/>
      <c r="ED421" s="1075"/>
      <c r="EE421" s="1649">
        <f>EF421+EG421+EH421</f>
        <v>1</v>
      </c>
      <c r="EF421" s="1649">
        <f>IF($G420=0,0,EF420/EE420)</f>
        <v>0</v>
      </c>
      <c r="EG421" s="1649">
        <f>IF($G420=0,0,EG420/EE420)</f>
        <v>0.30525575428288138</v>
      </c>
      <c r="EH421" s="1649">
        <f>IF($G420=0,0,EH420/EE420)</f>
        <v>0.69474424571711857</v>
      </c>
      <c r="EI421" s="1078"/>
      <c r="EJ421" s="1074" t="s">
        <v>641</v>
      </c>
      <c r="EK421" s="1075"/>
      <c r="EL421" s="1075"/>
      <c r="EM421" s="1649">
        <f>EN421+EO421+EP421</f>
        <v>1</v>
      </c>
      <c r="EN421" s="1649">
        <f>IF($G420=0,0,EN420/EM420)</f>
        <v>0</v>
      </c>
      <c r="EO421" s="1649">
        <f>IF($G420=0,0,EO420/EM420)</f>
        <v>0.30525575428288138</v>
      </c>
      <c r="EP421" s="1649">
        <f>IF($G420=0,0,EP420/EM420)</f>
        <v>0.69474424571711857</v>
      </c>
      <c r="EQ421" s="1078"/>
      <c r="ER421" s="1074" t="s">
        <v>641</v>
      </c>
      <c r="ES421" s="1075"/>
      <c r="ET421" s="1075"/>
      <c r="EU421" s="1649">
        <f>EV421+EW421+EX421</f>
        <v>1</v>
      </c>
      <c r="EV421" s="1649">
        <f>IF($G420=0,0,EV420/EU420)</f>
        <v>0</v>
      </c>
      <c r="EW421" s="1649">
        <f>IF($G420=0,0,EW420/EU420)</f>
        <v>0.30525575428288138</v>
      </c>
      <c r="EX421" s="1649">
        <f>IF($G420=0,0,EX420/EU420)</f>
        <v>0.69474424571711857</v>
      </c>
      <c r="EY421" s="1078"/>
      <c r="EZ421" s="1074" t="s">
        <v>641</v>
      </c>
      <c r="FA421" s="1075"/>
      <c r="FB421" s="1075"/>
      <c r="FC421" s="1649">
        <f>FD421+FE421+FF421</f>
        <v>1</v>
      </c>
      <c r="FD421" s="1649">
        <f>IF($G420=0,0,FD420/FC420)</f>
        <v>0</v>
      </c>
      <c r="FE421" s="1649">
        <f>IF($G420=0,0,FE420/FC420)</f>
        <v>0.30525575428288138</v>
      </c>
      <c r="FF421" s="1649">
        <f>IF($G420=0,0,FF420/FC420)</f>
        <v>0.69474424571711857</v>
      </c>
      <c r="FG421" s="1078"/>
      <c r="FH421" s="1074" t="s">
        <v>641</v>
      </c>
      <c r="FI421" s="1075"/>
      <c r="FJ421" s="1075"/>
      <c r="FK421" s="1649">
        <f>FL421+FM421+FN421</f>
        <v>1</v>
      </c>
      <c r="FL421" s="1649">
        <f>IF($G420=0,0,FL420/FK420)</f>
        <v>0</v>
      </c>
      <c r="FM421" s="1649">
        <f>IF($G420=0,0,FM420/FK420)</f>
        <v>0.30525575428288138</v>
      </c>
      <c r="FN421" s="1649">
        <f>IF($G420=0,0,FN420/FK420)</f>
        <v>0.69474424571711857</v>
      </c>
      <c r="FO421" s="1078"/>
    </row>
    <row r="422" spans="2:171">
      <c r="K422" s="1073"/>
      <c r="S422" s="1073"/>
      <c r="AA422" s="1073"/>
      <c r="AI422" s="1073"/>
      <c r="AQ422" s="1073"/>
      <c r="AY422" s="1073"/>
      <c r="BG422" s="1073"/>
      <c r="BO422" s="1073"/>
      <c r="BW422" s="1073"/>
      <c r="CE422" s="1073"/>
      <c r="CM422" s="1073"/>
      <c r="CU422" s="1073"/>
      <c r="DC422" s="1073"/>
      <c r="DK422" s="1073"/>
      <c r="DS422" s="1073"/>
      <c r="EA422" s="1073"/>
      <c r="EI422" s="1073"/>
      <c r="EQ422" s="1073"/>
      <c r="EY422" s="1073"/>
      <c r="FG422" s="1073"/>
      <c r="FO422" s="1073"/>
    </row>
    <row r="423" spans="2:171">
      <c r="E423" s="302" t="s">
        <v>525</v>
      </c>
      <c r="G423" s="303" t="s">
        <v>104</v>
      </c>
      <c r="H423" s="303" t="s">
        <v>105</v>
      </c>
      <c r="I423" s="303" t="s">
        <v>106</v>
      </c>
      <c r="J423" s="304" t="s">
        <v>516</v>
      </c>
      <c r="K423" s="1078"/>
      <c r="O423" s="303" t="s">
        <v>104</v>
      </c>
      <c r="P423" s="303" t="s">
        <v>105</v>
      </c>
      <c r="Q423" s="303" t="s">
        <v>106</v>
      </c>
      <c r="R423" s="304" t="s">
        <v>516</v>
      </c>
      <c r="S423" s="1078"/>
      <c r="W423" s="303" t="s">
        <v>104</v>
      </c>
      <c r="X423" s="303" t="s">
        <v>105</v>
      </c>
      <c r="Y423" s="303" t="s">
        <v>106</v>
      </c>
      <c r="Z423" s="304" t="s">
        <v>516</v>
      </c>
      <c r="AA423" s="1078"/>
      <c r="AE423" s="303" t="s">
        <v>104</v>
      </c>
      <c r="AF423" s="303" t="s">
        <v>105</v>
      </c>
      <c r="AG423" s="303" t="s">
        <v>106</v>
      </c>
      <c r="AH423" s="304" t="s">
        <v>516</v>
      </c>
      <c r="AI423" s="1078"/>
      <c r="AM423" s="303" t="s">
        <v>104</v>
      </c>
      <c r="AN423" s="303" t="s">
        <v>105</v>
      </c>
      <c r="AO423" s="303" t="s">
        <v>106</v>
      </c>
      <c r="AP423" s="304" t="s">
        <v>516</v>
      </c>
      <c r="AQ423" s="1078"/>
      <c r="AU423" s="303" t="s">
        <v>104</v>
      </c>
      <c r="AV423" s="303" t="s">
        <v>105</v>
      </c>
      <c r="AW423" s="303" t="s">
        <v>106</v>
      </c>
      <c r="AX423" s="304" t="s">
        <v>516</v>
      </c>
      <c r="AY423" s="1078"/>
      <c r="BC423" s="303" t="s">
        <v>104</v>
      </c>
      <c r="BD423" s="303" t="s">
        <v>105</v>
      </c>
      <c r="BE423" s="303" t="s">
        <v>106</v>
      </c>
      <c r="BF423" s="304" t="s">
        <v>516</v>
      </c>
      <c r="BG423" s="1078"/>
      <c r="BK423" s="303" t="s">
        <v>104</v>
      </c>
      <c r="BL423" s="303" t="s">
        <v>105</v>
      </c>
      <c r="BM423" s="303" t="s">
        <v>106</v>
      </c>
      <c r="BN423" s="304" t="s">
        <v>516</v>
      </c>
      <c r="BO423" s="1078"/>
      <c r="BS423" s="303" t="s">
        <v>104</v>
      </c>
      <c r="BT423" s="303" t="s">
        <v>105</v>
      </c>
      <c r="BU423" s="303" t="s">
        <v>106</v>
      </c>
      <c r="BV423" s="304" t="s">
        <v>516</v>
      </c>
      <c r="BW423" s="1078"/>
      <c r="CA423" s="303" t="s">
        <v>104</v>
      </c>
      <c r="CB423" s="303" t="s">
        <v>105</v>
      </c>
      <c r="CC423" s="303" t="s">
        <v>106</v>
      </c>
      <c r="CD423" s="304" t="s">
        <v>516</v>
      </c>
      <c r="CE423" s="1078"/>
      <c r="CI423" s="303" t="s">
        <v>104</v>
      </c>
      <c r="CJ423" s="303" t="s">
        <v>105</v>
      </c>
      <c r="CK423" s="303" t="s">
        <v>106</v>
      </c>
      <c r="CL423" s="304" t="s">
        <v>516</v>
      </c>
      <c r="CM423" s="1078"/>
      <c r="CQ423" s="303" t="s">
        <v>104</v>
      </c>
      <c r="CR423" s="303" t="s">
        <v>105</v>
      </c>
      <c r="CS423" s="303" t="s">
        <v>106</v>
      </c>
      <c r="CT423" s="304" t="s">
        <v>516</v>
      </c>
      <c r="CU423" s="1078"/>
      <c r="CY423" s="303" t="s">
        <v>104</v>
      </c>
      <c r="CZ423" s="303" t="s">
        <v>105</v>
      </c>
      <c r="DA423" s="303" t="s">
        <v>106</v>
      </c>
      <c r="DB423" s="304" t="s">
        <v>516</v>
      </c>
      <c r="DC423" s="1078"/>
      <c r="DG423" s="303" t="s">
        <v>104</v>
      </c>
      <c r="DH423" s="303" t="s">
        <v>105</v>
      </c>
      <c r="DI423" s="303" t="s">
        <v>106</v>
      </c>
      <c r="DJ423" s="304" t="s">
        <v>516</v>
      </c>
      <c r="DK423" s="1078"/>
      <c r="DO423" s="303" t="s">
        <v>104</v>
      </c>
      <c r="DP423" s="303" t="s">
        <v>105</v>
      </c>
      <c r="DQ423" s="303" t="s">
        <v>106</v>
      </c>
      <c r="DR423" s="304" t="s">
        <v>516</v>
      </c>
      <c r="DS423" s="1078"/>
      <c r="DW423" s="303" t="s">
        <v>104</v>
      </c>
      <c r="DX423" s="303" t="s">
        <v>105</v>
      </c>
      <c r="DY423" s="303" t="s">
        <v>106</v>
      </c>
      <c r="DZ423" s="304" t="s">
        <v>516</v>
      </c>
      <c r="EA423" s="1078"/>
      <c r="EE423" s="303" t="s">
        <v>104</v>
      </c>
      <c r="EF423" s="303" t="s">
        <v>105</v>
      </c>
      <c r="EG423" s="303" t="s">
        <v>106</v>
      </c>
      <c r="EH423" s="304" t="s">
        <v>516</v>
      </c>
      <c r="EI423" s="1078"/>
      <c r="EM423" s="303" t="s">
        <v>104</v>
      </c>
      <c r="EN423" s="303" t="s">
        <v>105</v>
      </c>
      <c r="EO423" s="303" t="s">
        <v>106</v>
      </c>
      <c r="EP423" s="304" t="s">
        <v>516</v>
      </c>
      <c r="EQ423" s="1078"/>
      <c r="EU423" s="303" t="s">
        <v>104</v>
      </c>
      <c r="EV423" s="303" t="s">
        <v>105</v>
      </c>
      <c r="EW423" s="303" t="s">
        <v>106</v>
      </c>
      <c r="EX423" s="304" t="s">
        <v>516</v>
      </c>
      <c r="EY423" s="1078"/>
      <c r="FC423" s="303" t="s">
        <v>104</v>
      </c>
      <c r="FD423" s="303" t="s">
        <v>105</v>
      </c>
      <c r="FE423" s="303" t="s">
        <v>106</v>
      </c>
      <c r="FF423" s="304" t="s">
        <v>516</v>
      </c>
      <c r="FG423" s="1078"/>
      <c r="FK423" s="303" t="s">
        <v>104</v>
      </c>
      <c r="FL423" s="303" t="s">
        <v>105</v>
      </c>
      <c r="FM423" s="303" t="s">
        <v>106</v>
      </c>
      <c r="FN423" s="304" t="s">
        <v>516</v>
      </c>
      <c r="FO423" s="1078"/>
    </row>
    <row r="424" spans="2:171">
      <c r="C424" s="108" t="s">
        <v>121</v>
      </c>
      <c r="D424" s="1071"/>
      <c r="E424" s="904" t="s">
        <v>396</v>
      </c>
      <c r="G424" s="890">
        <f>G403</f>
        <v>1057719030</v>
      </c>
      <c r="H424" s="890">
        <f t="shared" ref="H424:J425" si="1120">H403</f>
        <v>0</v>
      </c>
      <c r="I424" s="890">
        <f t="shared" si="1120"/>
        <v>0</v>
      </c>
      <c r="J424" s="890">
        <f t="shared" si="1120"/>
        <v>1057719030</v>
      </c>
      <c r="K424" s="1073">
        <f t="shared" ref="K424:K429" si="1121">IF($E424="DIRECT",0,1)</f>
        <v>1</v>
      </c>
      <c r="L424" s="1071"/>
      <c r="N424" s="1072"/>
      <c r="O424" s="890">
        <f t="shared" ref="O424:R425" si="1122">O403</f>
        <v>1057719030</v>
      </c>
      <c r="P424" s="890">
        <f t="shared" si="1122"/>
        <v>0</v>
      </c>
      <c r="Q424" s="890">
        <f t="shared" si="1122"/>
        <v>1057719030</v>
      </c>
      <c r="R424" s="890">
        <f t="shared" si="1122"/>
        <v>0</v>
      </c>
      <c r="S424" s="1073"/>
      <c r="T424" s="1071"/>
      <c r="V424" s="1072"/>
      <c r="W424" s="890">
        <f t="shared" ref="W424:Z425" si="1123">W403</f>
        <v>1057719030</v>
      </c>
      <c r="X424" s="890">
        <f t="shared" si="1123"/>
        <v>0</v>
      </c>
      <c r="Y424" s="890">
        <f t="shared" si="1123"/>
        <v>1057719030</v>
      </c>
      <c r="Z424" s="890">
        <f t="shared" si="1123"/>
        <v>0</v>
      </c>
      <c r="AA424" s="1073"/>
      <c r="AB424" s="1071"/>
      <c r="AD424" s="1072"/>
      <c r="AE424" s="890">
        <f t="shared" ref="AE424:AH425" si="1124">AE403</f>
        <v>1057719030</v>
      </c>
      <c r="AF424" s="890">
        <f t="shared" si="1124"/>
        <v>0</v>
      </c>
      <c r="AG424" s="890">
        <f t="shared" si="1124"/>
        <v>1057719030</v>
      </c>
      <c r="AH424" s="890">
        <f t="shared" si="1124"/>
        <v>0</v>
      </c>
      <c r="AI424" s="1073"/>
      <c r="AJ424" s="1071"/>
      <c r="AL424" s="1072"/>
      <c r="AM424" s="890">
        <f t="shared" ref="AM424:AP425" si="1125">AM403</f>
        <v>1057719030</v>
      </c>
      <c r="AN424" s="890">
        <f t="shared" si="1125"/>
        <v>0</v>
      </c>
      <c r="AO424" s="890">
        <f t="shared" si="1125"/>
        <v>1057719030</v>
      </c>
      <c r="AP424" s="890">
        <f t="shared" si="1125"/>
        <v>0</v>
      </c>
      <c r="AQ424" s="1073"/>
      <c r="AR424" s="1071"/>
      <c r="AT424" s="1072"/>
      <c r="AU424" s="890">
        <f t="shared" ref="AU424:AX425" si="1126">AU403</f>
        <v>1057719030</v>
      </c>
      <c r="AV424" s="890">
        <f t="shared" si="1126"/>
        <v>0</v>
      </c>
      <c r="AW424" s="890">
        <f t="shared" si="1126"/>
        <v>1057719030</v>
      </c>
      <c r="AX424" s="890">
        <f t="shared" si="1126"/>
        <v>0</v>
      </c>
      <c r="AY424" s="1073"/>
      <c r="AZ424" s="1071"/>
      <c r="BB424" s="1072"/>
      <c r="BC424" s="890">
        <f t="shared" ref="BC424:BF425" si="1127">BC403</f>
        <v>1057719030</v>
      </c>
      <c r="BD424" s="890">
        <f t="shared" si="1127"/>
        <v>0</v>
      </c>
      <c r="BE424" s="890">
        <f t="shared" si="1127"/>
        <v>1057719030</v>
      </c>
      <c r="BF424" s="890">
        <f t="shared" si="1127"/>
        <v>0</v>
      </c>
      <c r="BG424" s="1073"/>
      <c r="BH424" s="1071"/>
      <c r="BJ424" s="1072"/>
      <c r="BK424" s="890">
        <f t="shared" ref="BK424:BN425" si="1128">BK403</f>
        <v>1057719030</v>
      </c>
      <c r="BL424" s="890">
        <f t="shared" si="1128"/>
        <v>0</v>
      </c>
      <c r="BM424" s="890">
        <f t="shared" si="1128"/>
        <v>1057719030</v>
      </c>
      <c r="BN424" s="890">
        <f t="shared" si="1128"/>
        <v>0</v>
      </c>
      <c r="BO424" s="1073"/>
      <c r="BP424" s="1071"/>
      <c r="BR424" s="1072"/>
      <c r="BS424" s="890">
        <f t="shared" ref="BS424:BV425" si="1129">BS403</f>
        <v>1057719030</v>
      </c>
      <c r="BT424" s="890">
        <f t="shared" si="1129"/>
        <v>0</v>
      </c>
      <c r="BU424" s="890">
        <f t="shared" si="1129"/>
        <v>1057719030</v>
      </c>
      <c r="BV424" s="890">
        <f t="shared" si="1129"/>
        <v>0</v>
      </c>
      <c r="BW424" s="1073"/>
      <c r="BX424" s="1071"/>
      <c r="BZ424" s="1072"/>
      <c r="CA424" s="890">
        <f t="shared" ref="CA424:CD425" si="1130">CA403</f>
        <v>1057719030</v>
      </c>
      <c r="CB424" s="890">
        <f t="shared" si="1130"/>
        <v>0</v>
      </c>
      <c r="CC424" s="890">
        <f t="shared" si="1130"/>
        <v>1057719030</v>
      </c>
      <c r="CD424" s="890">
        <f t="shared" si="1130"/>
        <v>0</v>
      </c>
      <c r="CE424" s="1073"/>
      <c r="CF424" s="1071"/>
      <c r="CH424" s="1072"/>
      <c r="CI424" s="890">
        <f t="shared" ref="CI424:CL425" si="1131">CI403</f>
        <v>1057719030</v>
      </c>
      <c r="CJ424" s="890">
        <f t="shared" si="1131"/>
        <v>0</v>
      </c>
      <c r="CK424" s="890">
        <f t="shared" si="1131"/>
        <v>1057719030</v>
      </c>
      <c r="CL424" s="890">
        <f t="shared" si="1131"/>
        <v>0</v>
      </c>
      <c r="CM424" s="1073"/>
      <c r="CN424" s="1071"/>
      <c r="CP424" s="1072"/>
      <c r="CQ424" s="890">
        <f t="shared" ref="CQ424:CT425" si="1132">CQ403</f>
        <v>1057719030</v>
      </c>
      <c r="CR424" s="890">
        <f t="shared" si="1132"/>
        <v>0</v>
      </c>
      <c r="CS424" s="890">
        <f t="shared" si="1132"/>
        <v>1057719030</v>
      </c>
      <c r="CT424" s="890">
        <f t="shared" si="1132"/>
        <v>0</v>
      </c>
      <c r="CU424" s="1073"/>
      <c r="CV424" s="1071"/>
      <c r="CX424" s="1072"/>
      <c r="CY424" s="890">
        <f t="shared" ref="CY424:DB425" si="1133">CY403</f>
        <v>1057719030</v>
      </c>
      <c r="CZ424" s="890">
        <f t="shared" si="1133"/>
        <v>0</v>
      </c>
      <c r="DA424" s="890">
        <f t="shared" si="1133"/>
        <v>1057719030</v>
      </c>
      <c r="DB424" s="890">
        <f t="shared" si="1133"/>
        <v>0</v>
      </c>
      <c r="DC424" s="1073"/>
      <c r="DD424" s="1071"/>
      <c r="DF424" s="1072"/>
      <c r="DG424" s="890">
        <f t="shared" ref="DG424:DJ425" si="1134">DG403</f>
        <v>1057719030</v>
      </c>
      <c r="DH424" s="890">
        <f t="shared" si="1134"/>
        <v>0</v>
      </c>
      <c r="DI424" s="890">
        <f t="shared" si="1134"/>
        <v>1057719030</v>
      </c>
      <c r="DJ424" s="890">
        <f t="shared" si="1134"/>
        <v>0</v>
      </c>
      <c r="DK424" s="1073"/>
      <c r="DL424" s="1071"/>
      <c r="DN424" s="1072"/>
      <c r="DO424" s="890">
        <f t="shared" ref="DO424:DR425" si="1135">DO403</f>
        <v>1057719030</v>
      </c>
      <c r="DP424" s="890">
        <f t="shared" si="1135"/>
        <v>0</v>
      </c>
      <c r="DQ424" s="890">
        <f t="shared" si="1135"/>
        <v>1057719030</v>
      </c>
      <c r="DR424" s="890">
        <f t="shared" si="1135"/>
        <v>0</v>
      </c>
      <c r="DS424" s="1073"/>
      <c r="DT424" s="1071"/>
      <c r="DV424" s="1072"/>
      <c r="DW424" s="890">
        <f t="shared" ref="DW424:DZ425" si="1136">DW403</f>
        <v>1057719030</v>
      </c>
      <c r="DX424" s="890">
        <f t="shared" si="1136"/>
        <v>0</v>
      </c>
      <c r="DY424" s="890">
        <f t="shared" si="1136"/>
        <v>1057719030</v>
      </c>
      <c r="DZ424" s="890">
        <f t="shared" si="1136"/>
        <v>0</v>
      </c>
      <c r="EA424" s="1073"/>
      <c r="EB424" s="1071"/>
      <c r="ED424" s="1072"/>
      <c r="EE424" s="890">
        <f t="shared" ref="EE424:EH425" si="1137">EE403</f>
        <v>1057719030</v>
      </c>
      <c r="EF424" s="890">
        <f t="shared" si="1137"/>
        <v>0</v>
      </c>
      <c r="EG424" s="890">
        <f t="shared" si="1137"/>
        <v>1057719030</v>
      </c>
      <c r="EH424" s="890">
        <f t="shared" si="1137"/>
        <v>0</v>
      </c>
      <c r="EI424" s="1073"/>
      <c r="EJ424" s="1071"/>
      <c r="EL424" s="1072"/>
      <c r="EM424" s="890">
        <f t="shared" ref="EM424:EP425" si="1138">EM403</f>
        <v>1057719030</v>
      </c>
      <c r="EN424" s="890">
        <f t="shared" si="1138"/>
        <v>0</v>
      </c>
      <c r="EO424" s="890">
        <f t="shared" si="1138"/>
        <v>1057719030</v>
      </c>
      <c r="EP424" s="890">
        <f t="shared" si="1138"/>
        <v>0</v>
      </c>
      <c r="EQ424" s="1073"/>
      <c r="ER424" s="1071"/>
      <c r="ET424" s="1072"/>
      <c r="EU424" s="890">
        <f t="shared" ref="EU424:EX425" si="1139">EU403</f>
        <v>1057719030</v>
      </c>
      <c r="EV424" s="890">
        <f t="shared" si="1139"/>
        <v>0</v>
      </c>
      <c r="EW424" s="890">
        <f t="shared" si="1139"/>
        <v>1057719030</v>
      </c>
      <c r="EX424" s="890">
        <f t="shared" si="1139"/>
        <v>0</v>
      </c>
      <c r="EY424" s="1073"/>
      <c r="EZ424" s="1071"/>
      <c r="FB424" s="1072"/>
      <c r="FC424" s="890">
        <f t="shared" ref="FC424:FF425" si="1140">FC403</f>
        <v>1057719030</v>
      </c>
      <c r="FD424" s="890">
        <f t="shared" si="1140"/>
        <v>0</v>
      </c>
      <c r="FE424" s="890">
        <f t="shared" si="1140"/>
        <v>1057719030</v>
      </c>
      <c r="FF424" s="890">
        <f t="shared" si="1140"/>
        <v>0</v>
      </c>
      <c r="FG424" s="1073"/>
      <c r="FH424" s="1071"/>
      <c r="FJ424" s="1072"/>
      <c r="FK424" s="890">
        <f t="shared" ref="FK424:FN425" si="1141">FK403</f>
        <v>1057719030</v>
      </c>
      <c r="FL424" s="890">
        <f t="shared" si="1141"/>
        <v>0</v>
      </c>
      <c r="FM424" s="890">
        <f t="shared" si="1141"/>
        <v>1057719030</v>
      </c>
      <c r="FN424" s="890">
        <f t="shared" si="1141"/>
        <v>0</v>
      </c>
      <c r="FO424" s="1073"/>
    </row>
    <row r="425" spans="2:171">
      <c r="C425" s="108" t="s">
        <v>122</v>
      </c>
      <c r="D425" s="1071"/>
      <c r="E425" s="904" t="s">
        <v>395</v>
      </c>
      <c r="G425" s="890">
        <f>G404</f>
        <v>2407306658</v>
      </c>
      <c r="H425" s="890">
        <f t="shared" si="1120"/>
        <v>0</v>
      </c>
      <c r="I425" s="890">
        <f t="shared" si="1120"/>
        <v>0</v>
      </c>
      <c r="J425" s="890">
        <f t="shared" si="1120"/>
        <v>2407306658</v>
      </c>
      <c r="K425" s="1073">
        <f t="shared" si="1121"/>
        <v>1</v>
      </c>
      <c r="L425" s="1071"/>
      <c r="N425" s="1072"/>
      <c r="O425" s="890">
        <f t="shared" si="1122"/>
        <v>2407306658</v>
      </c>
      <c r="P425" s="890">
        <f t="shared" si="1122"/>
        <v>0</v>
      </c>
      <c r="Q425" s="890">
        <f t="shared" si="1122"/>
        <v>0</v>
      </c>
      <c r="R425" s="890">
        <f t="shared" si="1122"/>
        <v>2407306658</v>
      </c>
      <c r="S425" s="1073"/>
      <c r="T425" s="1071"/>
      <c r="V425" s="1072"/>
      <c r="W425" s="890">
        <f t="shared" si="1123"/>
        <v>2407306658</v>
      </c>
      <c r="X425" s="890">
        <f t="shared" si="1123"/>
        <v>0</v>
      </c>
      <c r="Y425" s="890">
        <f t="shared" si="1123"/>
        <v>0</v>
      </c>
      <c r="Z425" s="890">
        <f t="shared" si="1123"/>
        <v>2407306658</v>
      </c>
      <c r="AA425" s="1073"/>
      <c r="AB425" s="1071"/>
      <c r="AD425" s="1072"/>
      <c r="AE425" s="890">
        <f t="shared" si="1124"/>
        <v>2407306658</v>
      </c>
      <c r="AF425" s="890">
        <f t="shared" si="1124"/>
        <v>0</v>
      </c>
      <c r="AG425" s="890">
        <f t="shared" si="1124"/>
        <v>0</v>
      </c>
      <c r="AH425" s="890">
        <f t="shared" si="1124"/>
        <v>2407306658</v>
      </c>
      <c r="AI425" s="1073"/>
      <c r="AJ425" s="1071"/>
      <c r="AL425" s="1072"/>
      <c r="AM425" s="890">
        <f t="shared" si="1125"/>
        <v>2407306658</v>
      </c>
      <c r="AN425" s="890">
        <f t="shared" si="1125"/>
        <v>0</v>
      </c>
      <c r="AO425" s="890">
        <f t="shared" si="1125"/>
        <v>0</v>
      </c>
      <c r="AP425" s="890">
        <f t="shared" si="1125"/>
        <v>2407306658</v>
      </c>
      <c r="AQ425" s="1073"/>
      <c r="AR425" s="1071"/>
      <c r="AT425" s="1072"/>
      <c r="AU425" s="890">
        <f t="shared" si="1126"/>
        <v>2407306658</v>
      </c>
      <c r="AV425" s="890">
        <f t="shared" si="1126"/>
        <v>0</v>
      </c>
      <c r="AW425" s="890">
        <f t="shared" si="1126"/>
        <v>0</v>
      </c>
      <c r="AX425" s="890">
        <f t="shared" si="1126"/>
        <v>2407306658</v>
      </c>
      <c r="AY425" s="1073"/>
      <c r="AZ425" s="1071"/>
      <c r="BB425" s="1072"/>
      <c r="BC425" s="890">
        <f t="shared" si="1127"/>
        <v>2407306658</v>
      </c>
      <c r="BD425" s="890">
        <f t="shared" si="1127"/>
        <v>0</v>
      </c>
      <c r="BE425" s="890">
        <f t="shared" si="1127"/>
        <v>0</v>
      </c>
      <c r="BF425" s="890">
        <f t="shared" si="1127"/>
        <v>2407306658</v>
      </c>
      <c r="BG425" s="1073"/>
      <c r="BH425" s="1071"/>
      <c r="BJ425" s="1072"/>
      <c r="BK425" s="890">
        <f t="shared" si="1128"/>
        <v>2407306658</v>
      </c>
      <c r="BL425" s="890">
        <f t="shared" si="1128"/>
        <v>0</v>
      </c>
      <c r="BM425" s="890">
        <f t="shared" si="1128"/>
        <v>0</v>
      </c>
      <c r="BN425" s="890">
        <f t="shared" si="1128"/>
        <v>2407306658</v>
      </c>
      <c r="BO425" s="1073"/>
      <c r="BP425" s="1071"/>
      <c r="BR425" s="1072"/>
      <c r="BS425" s="890">
        <f t="shared" si="1129"/>
        <v>2407306658</v>
      </c>
      <c r="BT425" s="890">
        <f t="shared" si="1129"/>
        <v>0</v>
      </c>
      <c r="BU425" s="890">
        <f t="shared" si="1129"/>
        <v>0</v>
      </c>
      <c r="BV425" s="890">
        <f t="shared" si="1129"/>
        <v>2407306658</v>
      </c>
      <c r="BW425" s="1073"/>
      <c r="BX425" s="1071"/>
      <c r="BZ425" s="1072"/>
      <c r="CA425" s="890">
        <f t="shared" si="1130"/>
        <v>2407306658</v>
      </c>
      <c r="CB425" s="890">
        <f t="shared" si="1130"/>
        <v>0</v>
      </c>
      <c r="CC425" s="890">
        <f t="shared" si="1130"/>
        <v>0</v>
      </c>
      <c r="CD425" s="890">
        <f t="shared" si="1130"/>
        <v>2407306658</v>
      </c>
      <c r="CE425" s="1073"/>
      <c r="CF425" s="1071"/>
      <c r="CH425" s="1072"/>
      <c r="CI425" s="890">
        <f t="shared" si="1131"/>
        <v>2407306658</v>
      </c>
      <c r="CJ425" s="890">
        <f t="shared" si="1131"/>
        <v>0</v>
      </c>
      <c r="CK425" s="890">
        <f t="shared" si="1131"/>
        <v>0</v>
      </c>
      <c r="CL425" s="890">
        <f t="shared" si="1131"/>
        <v>2407306658</v>
      </c>
      <c r="CM425" s="1073"/>
      <c r="CN425" s="1071"/>
      <c r="CP425" s="1072"/>
      <c r="CQ425" s="890">
        <f t="shared" si="1132"/>
        <v>2407306658</v>
      </c>
      <c r="CR425" s="890">
        <f t="shared" si="1132"/>
        <v>0</v>
      </c>
      <c r="CS425" s="890">
        <f t="shared" si="1132"/>
        <v>0</v>
      </c>
      <c r="CT425" s="890">
        <f t="shared" si="1132"/>
        <v>2407306658</v>
      </c>
      <c r="CU425" s="1073"/>
      <c r="CV425" s="1071"/>
      <c r="CX425" s="1072"/>
      <c r="CY425" s="890">
        <f t="shared" si="1133"/>
        <v>2407306658</v>
      </c>
      <c r="CZ425" s="890">
        <f t="shared" si="1133"/>
        <v>0</v>
      </c>
      <c r="DA425" s="890">
        <f t="shared" si="1133"/>
        <v>0</v>
      </c>
      <c r="DB425" s="890">
        <f t="shared" si="1133"/>
        <v>2407306658</v>
      </c>
      <c r="DC425" s="1073"/>
      <c r="DD425" s="1071"/>
      <c r="DF425" s="1072"/>
      <c r="DG425" s="890">
        <f t="shared" si="1134"/>
        <v>2407306658</v>
      </c>
      <c r="DH425" s="890">
        <f t="shared" si="1134"/>
        <v>0</v>
      </c>
      <c r="DI425" s="890">
        <f t="shared" si="1134"/>
        <v>0</v>
      </c>
      <c r="DJ425" s="890">
        <f t="shared" si="1134"/>
        <v>2407306658</v>
      </c>
      <c r="DK425" s="1073"/>
      <c r="DL425" s="1071"/>
      <c r="DN425" s="1072"/>
      <c r="DO425" s="890">
        <f t="shared" si="1135"/>
        <v>2407306658</v>
      </c>
      <c r="DP425" s="890">
        <f t="shared" si="1135"/>
        <v>0</v>
      </c>
      <c r="DQ425" s="890">
        <f t="shared" si="1135"/>
        <v>0</v>
      </c>
      <c r="DR425" s="890">
        <f t="shared" si="1135"/>
        <v>2407306658</v>
      </c>
      <c r="DS425" s="1073"/>
      <c r="DT425" s="1071"/>
      <c r="DV425" s="1072"/>
      <c r="DW425" s="890">
        <f t="shared" si="1136"/>
        <v>2407306658</v>
      </c>
      <c r="DX425" s="890">
        <f t="shared" si="1136"/>
        <v>0</v>
      </c>
      <c r="DY425" s="890">
        <f t="shared" si="1136"/>
        <v>0</v>
      </c>
      <c r="DZ425" s="890">
        <f t="shared" si="1136"/>
        <v>2407306658</v>
      </c>
      <c r="EA425" s="1073"/>
      <c r="EB425" s="1071"/>
      <c r="ED425" s="1072"/>
      <c r="EE425" s="890">
        <f t="shared" si="1137"/>
        <v>2407306658</v>
      </c>
      <c r="EF425" s="890">
        <f t="shared" si="1137"/>
        <v>0</v>
      </c>
      <c r="EG425" s="890">
        <f t="shared" si="1137"/>
        <v>0</v>
      </c>
      <c r="EH425" s="890">
        <f t="shared" si="1137"/>
        <v>2407306658</v>
      </c>
      <c r="EI425" s="1073"/>
      <c r="EJ425" s="1071"/>
      <c r="EL425" s="1072"/>
      <c r="EM425" s="890">
        <f t="shared" si="1138"/>
        <v>2407306658</v>
      </c>
      <c r="EN425" s="890">
        <f t="shared" si="1138"/>
        <v>0</v>
      </c>
      <c r="EO425" s="890">
        <f t="shared" si="1138"/>
        <v>0</v>
      </c>
      <c r="EP425" s="890">
        <f t="shared" si="1138"/>
        <v>2407306658</v>
      </c>
      <c r="EQ425" s="1073"/>
      <c r="ER425" s="1071"/>
      <c r="ET425" s="1072"/>
      <c r="EU425" s="890">
        <f t="shared" si="1139"/>
        <v>2407306658</v>
      </c>
      <c r="EV425" s="890">
        <f t="shared" si="1139"/>
        <v>0</v>
      </c>
      <c r="EW425" s="890">
        <f t="shared" si="1139"/>
        <v>0</v>
      </c>
      <c r="EX425" s="890">
        <f t="shared" si="1139"/>
        <v>2407306658</v>
      </c>
      <c r="EY425" s="1073"/>
      <c r="EZ425" s="1071"/>
      <c r="FB425" s="1072"/>
      <c r="FC425" s="890">
        <f t="shared" si="1140"/>
        <v>2407306658</v>
      </c>
      <c r="FD425" s="890">
        <f t="shared" si="1140"/>
        <v>0</v>
      </c>
      <c r="FE425" s="890">
        <f t="shared" si="1140"/>
        <v>0</v>
      </c>
      <c r="FF425" s="890">
        <f t="shared" si="1140"/>
        <v>2407306658</v>
      </c>
      <c r="FG425" s="1073"/>
      <c r="FH425" s="1071"/>
      <c r="FJ425" s="1072"/>
      <c r="FK425" s="890">
        <f t="shared" si="1141"/>
        <v>2407306658</v>
      </c>
      <c r="FL425" s="890">
        <f t="shared" si="1141"/>
        <v>0</v>
      </c>
      <c r="FM425" s="890">
        <f t="shared" si="1141"/>
        <v>0</v>
      </c>
      <c r="FN425" s="890">
        <f t="shared" si="1141"/>
        <v>2407306658</v>
      </c>
      <c r="FO425" s="1073"/>
    </row>
    <row r="426" spans="2:171">
      <c r="C426" s="108" t="s">
        <v>532</v>
      </c>
      <c r="D426" s="1071"/>
      <c r="E426" s="904" t="str">
        <f>E16</f>
        <v>DIST</v>
      </c>
      <c r="G426" s="890">
        <f>I410+J410</f>
        <v>0</v>
      </c>
      <c r="H426" s="890">
        <v>0</v>
      </c>
      <c r="I426" s="890">
        <f t="shared" ref="I426:J428" si="1142">I410</f>
        <v>0</v>
      </c>
      <c r="J426" s="890">
        <f t="shared" si="1142"/>
        <v>0</v>
      </c>
      <c r="K426" s="1073">
        <f t="shared" si="1121"/>
        <v>1</v>
      </c>
      <c r="L426" s="1071"/>
      <c r="N426" s="1072"/>
      <c r="O426" s="890">
        <f>Q410+R410</f>
        <v>0</v>
      </c>
      <c r="P426" s="890">
        <v>0</v>
      </c>
      <c r="Q426" s="890">
        <f t="shared" ref="Q426:R428" si="1143">Q410</f>
        <v>0</v>
      </c>
      <c r="R426" s="890">
        <f t="shared" si="1143"/>
        <v>0</v>
      </c>
      <c r="S426" s="1073"/>
      <c r="T426" s="1071"/>
      <c r="V426" s="1072"/>
      <c r="W426" s="890">
        <f>Y410+Z410</f>
        <v>0</v>
      </c>
      <c r="X426" s="890">
        <v>0</v>
      </c>
      <c r="Y426" s="890">
        <f t="shared" ref="Y426:Z428" si="1144">Y410</f>
        <v>0</v>
      </c>
      <c r="Z426" s="890">
        <f t="shared" si="1144"/>
        <v>0</v>
      </c>
      <c r="AA426" s="1073"/>
      <c r="AB426" s="1071"/>
      <c r="AD426" s="1072"/>
      <c r="AE426" s="890">
        <f>AG410+AH410</f>
        <v>0</v>
      </c>
      <c r="AF426" s="890">
        <v>0</v>
      </c>
      <c r="AG426" s="890">
        <f t="shared" ref="AG426:AH428" si="1145">AG410</f>
        <v>0</v>
      </c>
      <c r="AH426" s="890">
        <f t="shared" si="1145"/>
        <v>0</v>
      </c>
      <c r="AI426" s="1073"/>
      <c r="AJ426" s="1071"/>
      <c r="AL426" s="1072"/>
      <c r="AM426" s="890">
        <f>AO410+AP410</f>
        <v>0</v>
      </c>
      <c r="AN426" s="890">
        <v>0</v>
      </c>
      <c r="AO426" s="890">
        <f t="shared" ref="AO426:AP428" si="1146">AO410</f>
        <v>0</v>
      </c>
      <c r="AP426" s="890">
        <f t="shared" si="1146"/>
        <v>0</v>
      </c>
      <c r="AQ426" s="1073"/>
      <c r="AR426" s="1071"/>
      <c r="AT426" s="1072"/>
      <c r="AU426" s="890">
        <f>AW410+AX410</f>
        <v>0</v>
      </c>
      <c r="AV426" s="890">
        <v>0</v>
      </c>
      <c r="AW426" s="890">
        <f t="shared" ref="AW426:AX428" si="1147">AW410</f>
        <v>0</v>
      </c>
      <c r="AX426" s="890">
        <f t="shared" si="1147"/>
        <v>0</v>
      </c>
      <c r="AY426" s="1073"/>
      <c r="AZ426" s="1071"/>
      <c r="BB426" s="1072"/>
      <c r="BC426" s="890">
        <f>BE410+BF410</f>
        <v>0</v>
      </c>
      <c r="BD426" s="890">
        <v>0</v>
      </c>
      <c r="BE426" s="890">
        <f t="shared" ref="BE426:BF428" si="1148">BE410</f>
        <v>0</v>
      </c>
      <c r="BF426" s="890">
        <f t="shared" si="1148"/>
        <v>0</v>
      </c>
      <c r="BG426" s="1073"/>
      <c r="BH426" s="1071"/>
      <c r="BJ426" s="1072"/>
      <c r="BK426" s="890">
        <f>BM410+BN410</f>
        <v>0</v>
      </c>
      <c r="BL426" s="890">
        <v>0</v>
      </c>
      <c r="BM426" s="890">
        <f t="shared" ref="BM426:BN428" si="1149">BM410</f>
        <v>0</v>
      </c>
      <c r="BN426" s="890">
        <f t="shared" si="1149"/>
        <v>0</v>
      </c>
      <c r="BO426" s="1073"/>
      <c r="BP426" s="1071"/>
      <c r="BR426" s="1072"/>
      <c r="BS426" s="890">
        <f>BU410+BV410</f>
        <v>0</v>
      </c>
      <c r="BT426" s="890">
        <v>0</v>
      </c>
      <c r="BU426" s="890">
        <f t="shared" ref="BU426:BV428" si="1150">BU410</f>
        <v>0</v>
      </c>
      <c r="BV426" s="890">
        <f t="shared" si="1150"/>
        <v>0</v>
      </c>
      <c r="BW426" s="1073"/>
      <c r="BX426" s="1071"/>
      <c r="BZ426" s="1072"/>
      <c r="CA426" s="890">
        <f>CC410+CD410</f>
        <v>0</v>
      </c>
      <c r="CB426" s="890">
        <v>0</v>
      </c>
      <c r="CC426" s="890">
        <f t="shared" ref="CC426:CD428" si="1151">CC410</f>
        <v>0</v>
      </c>
      <c r="CD426" s="890">
        <f t="shared" si="1151"/>
        <v>0</v>
      </c>
      <c r="CE426" s="1073"/>
      <c r="CF426" s="1071"/>
      <c r="CH426" s="1072"/>
      <c r="CI426" s="890">
        <f>CK410+CL410</f>
        <v>0</v>
      </c>
      <c r="CJ426" s="890">
        <v>0</v>
      </c>
      <c r="CK426" s="890">
        <f t="shared" ref="CK426:CL428" si="1152">CK410</f>
        <v>0</v>
      </c>
      <c r="CL426" s="890">
        <f t="shared" si="1152"/>
        <v>0</v>
      </c>
      <c r="CM426" s="1073"/>
      <c r="CN426" s="1071"/>
      <c r="CP426" s="1072"/>
      <c r="CQ426" s="890">
        <f>CS410+CT410</f>
        <v>0</v>
      </c>
      <c r="CR426" s="890">
        <v>0</v>
      </c>
      <c r="CS426" s="890">
        <f t="shared" ref="CS426:CT428" si="1153">CS410</f>
        <v>0</v>
      </c>
      <c r="CT426" s="890">
        <f t="shared" si="1153"/>
        <v>0</v>
      </c>
      <c r="CU426" s="1073"/>
      <c r="CV426" s="1071"/>
      <c r="CX426" s="1072"/>
      <c r="CY426" s="890">
        <f>DA410+DB410</f>
        <v>0</v>
      </c>
      <c r="CZ426" s="890">
        <v>0</v>
      </c>
      <c r="DA426" s="890">
        <f t="shared" ref="DA426:DB428" si="1154">DA410</f>
        <v>0</v>
      </c>
      <c r="DB426" s="890">
        <f t="shared" si="1154"/>
        <v>0</v>
      </c>
      <c r="DC426" s="1073"/>
      <c r="DD426" s="1071"/>
      <c r="DF426" s="1072"/>
      <c r="DG426" s="890">
        <f>DI410+DJ410</f>
        <v>0</v>
      </c>
      <c r="DH426" s="890">
        <v>0</v>
      </c>
      <c r="DI426" s="890">
        <f t="shared" ref="DI426:DJ428" si="1155">DI410</f>
        <v>0</v>
      </c>
      <c r="DJ426" s="890">
        <f t="shared" si="1155"/>
        <v>0</v>
      </c>
      <c r="DK426" s="1073"/>
      <c r="DL426" s="1071"/>
      <c r="DN426" s="1072"/>
      <c r="DO426" s="890">
        <f>DQ410+DR410</f>
        <v>0</v>
      </c>
      <c r="DP426" s="890">
        <v>0</v>
      </c>
      <c r="DQ426" s="890">
        <f t="shared" ref="DQ426:DR428" si="1156">DQ410</f>
        <v>0</v>
      </c>
      <c r="DR426" s="890">
        <f t="shared" si="1156"/>
        <v>0</v>
      </c>
      <c r="DS426" s="1073"/>
      <c r="DT426" s="1071"/>
      <c r="DV426" s="1072"/>
      <c r="DW426" s="890">
        <f>DY410+DZ410</f>
        <v>0</v>
      </c>
      <c r="DX426" s="890">
        <v>0</v>
      </c>
      <c r="DY426" s="890">
        <f t="shared" ref="DY426:DZ428" si="1157">DY410</f>
        <v>0</v>
      </c>
      <c r="DZ426" s="890">
        <f t="shared" si="1157"/>
        <v>0</v>
      </c>
      <c r="EA426" s="1073"/>
      <c r="EB426" s="1071"/>
      <c r="ED426" s="1072"/>
      <c r="EE426" s="890">
        <f>EG410+EH410</f>
        <v>0</v>
      </c>
      <c r="EF426" s="890">
        <v>0</v>
      </c>
      <c r="EG426" s="890">
        <f t="shared" ref="EG426:EH428" si="1158">EG410</f>
        <v>0</v>
      </c>
      <c r="EH426" s="890">
        <f t="shared" si="1158"/>
        <v>0</v>
      </c>
      <c r="EI426" s="1073"/>
      <c r="EJ426" s="1071"/>
      <c r="EL426" s="1072"/>
      <c r="EM426" s="890">
        <f>EO410+EP410</f>
        <v>0</v>
      </c>
      <c r="EN426" s="890">
        <v>0</v>
      </c>
      <c r="EO426" s="890">
        <f t="shared" ref="EO426:EP428" si="1159">EO410</f>
        <v>0</v>
      </c>
      <c r="EP426" s="890">
        <f t="shared" si="1159"/>
        <v>0</v>
      </c>
      <c r="EQ426" s="1073"/>
      <c r="ER426" s="1071"/>
      <c r="ET426" s="1072"/>
      <c r="EU426" s="890">
        <f>EW410+EX410</f>
        <v>0</v>
      </c>
      <c r="EV426" s="890">
        <v>0</v>
      </c>
      <c r="EW426" s="890">
        <f t="shared" ref="EW426:EX428" si="1160">EW410</f>
        <v>0</v>
      </c>
      <c r="EX426" s="890">
        <f t="shared" si="1160"/>
        <v>0</v>
      </c>
      <c r="EY426" s="1073"/>
      <c r="EZ426" s="1071"/>
      <c r="FB426" s="1072"/>
      <c r="FC426" s="890">
        <f>FE410+FF410</f>
        <v>0</v>
      </c>
      <c r="FD426" s="890">
        <v>0</v>
      </c>
      <c r="FE426" s="890">
        <f t="shared" ref="FE426:FF428" si="1161">FE410</f>
        <v>0</v>
      </c>
      <c r="FF426" s="890">
        <f t="shared" si="1161"/>
        <v>0</v>
      </c>
      <c r="FG426" s="1073"/>
      <c r="FH426" s="1071"/>
      <c r="FJ426" s="1072"/>
      <c r="FK426" s="890">
        <f>FM410+FN410</f>
        <v>0</v>
      </c>
      <c r="FL426" s="890">
        <v>0</v>
      </c>
      <c r="FM426" s="890">
        <f t="shared" ref="FM426:FN428" si="1162">FM410</f>
        <v>0</v>
      </c>
      <c r="FN426" s="890">
        <f t="shared" si="1162"/>
        <v>0</v>
      </c>
      <c r="FO426" s="1073"/>
    </row>
    <row r="427" spans="2:171">
      <c r="C427" s="108" t="s">
        <v>533</v>
      </c>
      <c r="D427" s="1071"/>
      <c r="E427" s="904" t="str">
        <f>E17</f>
        <v>DIRECT</v>
      </c>
      <c r="G427" s="890">
        <f>I411+J411</f>
        <v>4697263.32</v>
      </c>
      <c r="H427" s="890">
        <v>0</v>
      </c>
      <c r="I427" s="890">
        <f t="shared" si="1142"/>
        <v>0</v>
      </c>
      <c r="J427" s="890">
        <f t="shared" si="1142"/>
        <v>4697263.32</v>
      </c>
      <c r="K427" s="1073">
        <f t="shared" si="1121"/>
        <v>0</v>
      </c>
      <c r="L427" s="1071"/>
      <c r="N427" s="1072"/>
      <c r="O427" s="890">
        <f>Q411+R411</f>
        <v>4697263.4199999943</v>
      </c>
      <c r="P427" s="890">
        <v>0</v>
      </c>
      <c r="Q427" s="890">
        <f t="shared" si="1143"/>
        <v>0</v>
      </c>
      <c r="R427" s="890">
        <f t="shared" si="1143"/>
        <v>4697263.4199999943</v>
      </c>
      <c r="S427" s="1073"/>
      <c r="T427" s="1071"/>
      <c r="V427" s="1072"/>
      <c r="W427" s="890">
        <f>Y411+Z411</f>
        <v>4697263.4199999943</v>
      </c>
      <c r="X427" s="890">
        <v>0</v>
      </c>
      <c r="Y427" s="890">
        <f t="shared" si="1144"/>
        <v>0</v>
      </c>
      <c r="Z427" s="890">
        <f t="shared" si="1144"/>
        <v>4697263.4199999943</v>
      </c>
      <c r="AA427" s="1073"/>
      <c r="AB427" s="1071"/>
      <c r="AD427" s="1072"/>
      <c r="AE427" s="890">
        <f>AG411+AH411</f>
        <v>4697263.4199999943</v>
      </c>
      <c r="AF427" s="890">
        <v>0</v>
      </c>
      <c r="AG427" s="890">
        <f t="shared" si="1145"/>
        <v>0</v>
      </c>
      <c r="AH427" s="890">
        <f t="shared" si="1145"/>
        <v>4697263.4199999943</v>
      </c>
      <c r="AI427" s="1073"/>
      <c r="AJ427" s="1071"/>
      <c r="AL427" s="1072"/>
      <c r="AM427" s="890">
        <f>AO411+AP411</f>
        <v>4697263.4199999943</v>
      </c>
      <c r="AN427" s="890">
        <v>0</v>
      </c>
      <c r="AO427" s="890">
        <f t="shared" si="1146"/>
        <v>0</v>
      </c>
      <c r="AP427" s="890">
        <f t="shared" si="1146"/>
        <v>4697263.4199999943</v>
      </c>
      <c r="AQ427" s="1073"/>
      <c r="AR427" s="1071"/>
      <c r="AT427" s="1072"/>
      <c r="AU427" s="890">
        <f>AW411+AX411</f>
        <v>4697263.4199999943</v>
      </c>
      <c r="AV427" s="890">
        <v>0</v>
      </c>
      <c r="AW427" s="890">
        <f t="shared" si="1147"/>
        <v>0</v>
      </c>
      <c r="AX427" s="890">
        <f t="shared" si="1147"/>
        <v>4697263.4199999943</v>
      </c>
      <c r="AY427" s="1073"/>
      <c r="AZ427" s="1071"/>
      <c r="BB427" s="1072"/>
      <c r="BC427" s="890">
        <f>BE411+BF411</f>
        <v>4697263.4199999943</v>
      </c>
      <c r="BD427" s="890">
        <v>0</v>
      </c>
      <c r="BE427" s="890">
        <f t="shared" si="1148"/>
        <v>0</v>
      </c>
      <c r="BF427" s="890">
        <f t="shared" si="1148"/>
        <v>4697263.4199999943</v>
      </c>
      <c r="BG427" s="1073"/>
      <c r="BH427" s="1071"/>
      <c r="BJ427" s="1072"/>
      <c r="BK427" s="890">
        <f>BM411+BN411</f>
        <v>4697263.4199999943</v>
      </c>
      <c r="BL427" s="890">
        <v>0</v>
      </c>
      <c r="BM427" s="890">
        <f t="shared" si="1149"/>
        <v>0</v>
      </c>
      <c r="BN427" s="890">
        <f t="shared" si="1149"/>
        <v>4697263.4199999943</v>
      </c>
      <c r="BO427" s="1073"/>
      <c r="BP427" s="1071"/>
      <c r="BR427" s="1072"/>
      <c r="BS427" s="890">
        <f>BU411+BV411</f>
        <v>4697263.4199999943</v>
      </c>
      <c r="BT427" s="890">
        <v>0</v>
      </c>
      <c r="BU427" s="890">
        <f t="shared" si="1150"/>
        <v>0</v>
      </c>
      <c r="BV427" s="890">
        <f t="shared" si="1150"/>
        <v>4697263.4199999943</v>
      </c>
      <c r="BW427" s="1073"/>
      <c r="BX427" s="1071"/>
      <c r="BZ427" s="1072"/>
      <c r="CA427" s="890">
        <f>CC411+CD411</f>
        <v>4697263.4199999943</v>
      </c>
      <c r="CB427" s="890">
        <v>0</v>
      </c>
      <c r="CC427" s="890">
        <f t="shared" si="1151"/>
        <v>0</v>
      </c>
      <c r="CD427" s="890">
        <f t="shared" si="1151"/>
        <v>4697263.4199999943</v>
      </c>
      <c r="CE427" s="1073"/>
      <c r="CF427" s="1071"/>
      <c r="CH427" s="1072"/>
      <c r="CI427" s="890">
        <f>CK411+CL411</f>
        <v>4697263.4199999943</v>
      </c>
      <c r="CJ427" s="890">
        <v>0</v>
      </c>
      <c r="CK427" s="890">
        <f t="shared" si="1152"/>
        <v>0</v>
      </c>
      <c r="CL427" s="890">
        <f t="shared" si="1152"/>
        <v>4697263.4199999943</v>
      </c>
      <c r="CM427" s="1073"/>
      <c r="CN427" s="1071"/>
      <c r="CP427" s="1072"/>
      <c r="CQ427" s="890">
        <f>CS411+CT411</f>
        <v>4697263.4199999943</v>
      </c>
      <c r="CR427" s="890">
        <v>0</v>
      </c>
      <c r="CS427" s="890">
        <f t="shared" si="1153"/>
        <v>0</v>
      </c>
      <c r="CT427" s="890">
        <f t="shared" si="1153"/>
        <v>4697263.4199999943</v>
      </c>
      <c r="CU427" s="1073"/>
      <c r="CV427" s="1071"/>
      <c r="CX427" s="1072"/>
      <c r="CY427" s="890">
        <f>DA411+DB411</f>
        <v>4697263.4199999943</v>
      </c>
      <c r="CZ427" s="890">
        <v>0</v>
      </c>
      <c r="DA427" s="890">
        <f t="shared" si="1154"/>
        <v>0</v>
      </c>
      <c r="DB427" s="890">
        <f t="shared" si="1154"/>
        <v>4697263.4199999943</v>
      </c>
      <c r="DC427" s="1073"/>
      <c r="DD427" s="1071"/>
      <c r="DF427" s="1072"/>
      <c r="DG427" s="890">
        <f>DI411+DJ411</f>
        <v>4697263.4199999943</v>
      </c>
      <c r="DH427" s="890">
        <v>0</v>
      </c>
      <c r="DI427" s="890">
        <f t="shared" si="1155"/>
        <v>0</v>
      </c>
      <c r="DJ427" s="890">
        <f t="shared" si="1155"/>
        <v>4697263.4199999943</v>
      </c>
      <c r="DK427" s="1073"/>
      <c r="DL427" s="1071"/>
      <c r="DN427" s="1072"/>
      <c r="DO427" s="890">
        <f>DQ411+DR411</f>
        <v>4697263.4199999943</v>
      </c>
      <c r="DP427" s="890">
        <v>0</v>
      </c>
      <c r="DQ427" s="890">
        <f t="shared" si="1156"/>
        <v>0</v>
      </c>
      <c r="DR427" s="890">
        <f t="shared" si="1156"/>
        <v>4697263.4199999943</v>
      </c>
      <c r="DS427" s="1073"/>
      <c r="DT427" s="1071"/>
      <c r="DV427" s="1072"/>
      <c r="DW427" s="890">
        <f>DY411+DZ411</f>
        <v>4697263.4199999943</v>
      </c>
      <c r="DX427" s="890">
        <v>0</v>
      </c>
      <c r="DY427" s="890">
        <f t="shared" si="1157"/>
        <v>0</v>
      </c>
      <c r="DZ427" s="890">
        <f t="shared" si="1157"/>
        <v>4697263.4199999943</v>
      </c>
      <c r="EA427" s="1073"/>
      <c r="EB427" s="1071"/>
      <c r="ED427" s="1072"/>
      <c r="EE427" s="890">
        <f>EG411+EH411</f>
        <v>4697263.4199999943</v>
      </c>
      <c r="EF427" s="890">
        <v>0</v>
      </c>
      <c r="EG427" s="890">
        <f t="shared" si="1158"/>
        <v>0</v>
      </c>
      <c r="EH427" s="890">
        <f t="shared" si="1158"/>
        <v>4697263.4199999943</v>
      </c>
      <c r="EI427" s="1073"/>
      <c r="EJ427" s="1071"/>
      <c r="EL427" s="1072"/>
      <c r="EM427" s="890">
        <f>EO411+EP411</f>
        <v>4697263.4199999943</v>
      </c>
      <c r="EN427" s="890">
        <v>0</v>
      </c>
      <c r="EO427" s="890">
        <f t="shared" si="1159"/>
        <v>0</v>
      </c>
      <c r="EP427" s="890">
        <f t="shared" si="1159"/>
        <v>4697263.4199999943</v>
      </c>
      <c r="EQ427" s="1073"/>
      <c r="ER427" s="1071"/>
      <c r="ET427" s="1072"/>
      <c r="EU427" s="890">
        <f>EW411+EX411</f>
        <v>4697263.4199999943</v>
      </c>
      <c r="EV427" s="890">
        <v>0</v>
      </c>
      <c r="EW427" s="890">
        <f t="shared" si="1160"/>
        <v>0</v>
      </c>
      <c r="EX427" s="890">
        <f t="shared" si="1160"/>
        <v>4697263.4199999943</v>
      </c>
      <c r="EY427" s="1073"/>
      <c r="EZ427" s="1071"/>
      <c r="FB427" s="1072"/>
      <c r="FC427" s="890">
        <f>FE411+FF411</f>
        <v>4697263.4199999943</v>
      </c>
      <c r="FD427" s="890">
        <v>0</v>
      </c>
      <c r="FE427" s="890">
        <f t="shared" si="1161"/>
        <v>0</v>
      </c>
      <c r="FF427" s="890">
        <f t="shared" si="1161"/>
        <v>4697263.4199999943</v>
      </c>
      <c r="FG427" s="1073"/>
      <c r="FH427" s="1071"/>
      <c r="FJ427" s="1072"/>
      <c r="FK427" s="890">
        <f>FM411+FN411</f>
        <v>4697263.4199999943</v>
      </c>
      <c r="FL427" s="890">
        <v>0</v>
      </c>
      <c r="FM427" s="890">
        <f t="shared" si="1162"/>
        <v>0</v>
      </c>
      <c r="FN427" s="890">
        <f t="shared" si="1162"/>
        <v>4697263.4199999943</v>
      </c>
      <c r="FO427" s="1073"/>
    </row>
    <row r="428" spans="2:171">
      <c r="C428" s="108" t="s">
        <v>547</v>
      </c>
      <c r="D428" s="1071"/>
      <c r="E428" s="904" t="str">
        <f>E18</f>
        <v>DIRECT</v>
      </c>
      <c r="G428" s="890">
        <f>I412+J412</f>
        <v>36519188.863927945</v>
      </c>
      <c r="H428" s="890">
        <v>0</v>
      </c>
      <c r="I428" s="890">
        <f t="shared" si="1142"/>
        <v>0</v>
      </c>
      <c r="J428" s="890">
        <f t="shared" si="1142"/>
        <v>36519188.863927945</v>
      </c>
      <c r="K428" s="1073">
        <f t="shared" si="1121"/>
        <v>0</v>
      </c>
      <c r="L428" s="1071"/>
      <c r="N428" s="1072"/>
      <c r="O428" s="890">
        <f>Q412+R412</f>
        <v>36519189.313927948</v>
      </c>
      <c r="P428" s="890">
        <v>0</v>
      </c>
      <c r="Q428" s="890">
        <f t="shared" si="1143"/>
        <v>0</v>
      </c>
      <c r="R428" s="890">
        <f t="shared" si="1143"/>
        <v>36519189.313927948</v>
      </c>
      <c r="S428" s="1073"/>
      <c r="T428" s="1071"/>
      <c r="V428" s="1072"/>
      <c r="W428" s="890">
        <f>Y412+Z412</f>
        <v>36519189.313927948</v>
      </c>
      <c r="X428" s="890">
        <v>0</v>
      </c>
      <c r="Y428" s="890">
        <f t="shared" si="1144"/>
        <v>0</v>
      </c>
      <c r="Z428" s="890">
        <f t="shared" si="1144"/>
        <v>36519189.313927948</v>
      </c>
      <c r="AA428" s="1073"/>
      <c r="AB428" s="1071"/>
      <c r="AD428" s="1072"/>
      <c r="AE428" s="890">
        <f>AG412+AH412</f>
        <v>36519189.313927948</v>
      </c>
      <c r="AF428" s="890">
        <v>0</v>
      </c>
      <c r="AG428" s="890">
        <f t="shared" si="1145"/>
        <v>0</v>
      </c>
      <c r="AH428" s="890">
        <f t="shared" si="1145"/>
        <v>36519189.313927948</v>
      </c>
      <c r="AI428" s="1073"/>
      <c r="AJ428" s="1071"/>
      <c r="AL428" s="1072"/>
      <c r="AM428" s="890">
        <f>AO412+AP412</f>
        <v>36519189.313927948</v>
      </c>
      <c r="AN428" s="890">
        <v>0</v>
      </c>
      <c r="AO428" s="890">
        <f t="shared" si="1146"/>
        <v>0</v>
      </c>
      <c r="AP428" s="890">
        <f t="shared" si="1146"/>
        <v>36519189.313927948</v>
      </c>
      <c r="AQ428" s="1073"/>
      <c r="AR428" s="1071"/>
      <c r="AT428" s="1072"/>
      <c r="AU428" s="890">
        <f>AW412+AX412</f>
        <v>36519189.313927948</v>
      </c>
      <c r="AV428" s="890">
        <v>0</v>
      </c>
      <c r="AW428" s="890">
        <f t="shared" si="1147"/>
        <v>0</v>
      </c>
      <c r="AX428" s="890">
        <f t="shared" si="1147"/>
        <v>36519189.313927948</v>
      </c>
      <c r="AY428" s="1073"/>
      <c r="AZ428" s="1071"/>
      <c r="BB428" s="1072"/>
      <c r="BC428" s="890">
        <f>BE412+BF412</f>
        <v>36519189.313927948</v>
      </c>
      <c r="BD428" s="890">
        <v>0</v>
      </c>
      <c r="BE428" s="890">
        <f t="shared" si="1148"/>
        <v>0</v>
      </c>
      <c r="BF428" s="890">
        <f t="shared" si="1148"/>
        <v>36519189.313927948</v>
      </c>
      <c r="BG428" s="1073"/>
      <c r="BH428" s="1071"/>
      <c r="BJ428" s="1072"/>
      <c r="BK428" s="890">
        <f>BM412+BN412</f>
        <v>36519189.313927948</v>
      </c>
      <c r="BL428" s="890">
        <v>0</v>
      </c>
      <c r="BM428" s="890">
        <f t="shared" si="1149"/>
        <v>0</v>
      </c>
      <c r="BN428" s="890">
        <f t="shared" si="1149"/>
        <v>36519189.313927948</v>
      </c>
      <c r="BO428" s="1073"/>
      <c r="BP428" s="1071"/>
      <c r="BR428" s="1072"/>
      <c r="BS428" s="890">
        <f>BU412+BV412</f>
        <v>36519189.313927948</v>
      </c>
      <c r="BT428" s="890">
        <v>0</v>
      </c>
      <c r="BU428" s="890">
        <f t="shared" si="1150"/>
        <v>0</v>
      </c>
      <c r="BV428" s="890">
        <f t="shared" si="1150"/>
        <v>36519189.313927948</v>
      </c>
      <c r="BW428" s="1073"/>
      <c r="BX428" s="1071"/>
      <c r="BZ428" s="1072"/>
      <c r="CA428" s="890">
        <f>CC412+CD412</f>
        <v>36519189.313927948</v>
      </c>
      <c r="CB428" s="890">
        <v>0</v>
      </c>
      <c r="CC428" s="890">
        <f t="shared" si="1151"/>
        <v>0</v>
      </c>
      <c r="CD428" s="890">
        <f t="shared" si="1151"/>
        <v>36519189.313927948</v>
      </c>
      <c r="CE428" s="1073"/>
      <c r="CF428" s="1071"/>
      <c r="CH428" s="1072"/>
      <c r="CI428" s="890">
        <f>CK412+CL412</f>
        <v>36519189.313927948</v>
      </c>
      <c r="CJ428" s="890">
        <v>0</v>
      </c>
      <c r="CK428" s="890">
        <f t="shared" si="1152"/>
        <v>0</v>
      </c>
      <c r="CL428" s="890">
        <f t="shared" si="1152"/>
        <v>36519189.313927948</v>
      </c>
      <c r="CM428" s="1073"/>
      <c r="CN428" s="1071"/>
      <c r="CP428" s="1072"/>
      <c r="CQ428" s="890">
        <f>CS412+CT412</f>
        <v>36519189.313927948</v>
      </c>
      <c r="CR428" s="890">
        <v>0</v>
      </c>
      <c r="CS428" s="890">
        <f t="shared" si="1153"/>
        <v>0</v>
      </c>
      <c r="CT428" s="890">
        <f t="shared" si="1153"/>
        <v>36519189.313927948</v>
      </c>
      <c r="CU428" s="1073"/>
      <c r="CV428" s="1071"/>
      <c r="CX428" s="1072"/>
      <c r="CY428" s="890">
        <f>DA412+DB412</f>
        <v>36519189.313927948</v>
      </c>
      <c r="CZ428" s="890">
        <v>0</v>
      </c>
      <c r="DA428" s="890">
        <f t="shared" si="1154"/>
        <v>0</v>
      </c>
      <c r="DB428" s="890">
        <f t="shared" si="1154"/>
        <v>36519189.313927948</v>
      </c>
      <c r="DC428" s="1073"/>
      <c r="DD428" s="1071"/>
      <c r="DF428" s="1072"/>
      <c r="DG428" s="890">
        <f>DI412+DJ412</f>
        <v>36519189.313927948</v>
      </c>
      <c r="DH428" s="890">
        <v>0</v>
      </c>
      <c r="DI428" s="890">
        <f t="shared" si="1155"/>
        <v>0</v>
      </c>
      <c r="DJ428" s="890">
        <f t="shared" si="1155"/>
        <v>36519189.313927948</v>
      </c>
      <c r="DK428" s="1073"/>
      <c r="DL428" s="1071"/>
      <c r="DN428" s="1072"/>
      <c r="DO428" s="890">
        <f>DQ412+DR412</f>
        <v>36519189.313927948</v>
      </c>
      <c r="DP428" s="890">
        <v>0</v>
      </c>
      <c r="DQ428" s="890">
        <f t="shared" si="1156"/>
        <v>0</v>
      </c>
      <c r="DR428" s="890">
        <f t="shared" si="1156"/>
        <v>36519189.313927948</v>
      </c>
      <c r="DS428" s="1073"/>
      <c r="DT428" s="1071"/>
      <c r="DV428" s="1072"/>
      <c r="DW428" s="890">
        <f>DY412+DZ412</f>
        <v>36519189.313927948</v>
      </c>
      <c r="DX428" s="890">
        <v>0</v>
      </c>
      <c r="DY428" s="890">
        <f t="shared" si="1157"/>
        <v>0</v>
      </c>
      <c r="DZ428" s="890">
        <f t="shared" si="1157"/>
        <v>36519189.313927948</v>
      </c>
      <c r="EA428" s="1073"/>
      <c r="EB428" s="1071"/>
      <c r="ED428" s="1072"/>
      <c r="EE428" s="890">
        <f>EG412+EH412</f>
        <v>36519189.313927948</v>
      </c>
      <c r="EF428" s="890">
        <v>0</v>
      </c>
      <c r="EG428" s="890">
        <f t="shared" si="1158"/>
        <v>0</v>
      </c>
      <c r="EH428" s="890">
        <f t="shared" si="1158"/>
        <v>36519189.313927948</v>
      </c>
      <c r="EI428" s="1073"/>
      <c r="EJ428" s="1071"/>
      <c r="EL428" s="1072"/>
      <c r="EM428" s="890">
        <f>EO412+EP412</f>
        <v>36519189.313927948</v>
      </c>
      <c r="EN428" s="890">
        <v>0</v>
      </c>
      <c r="EO428" s="890">
        <f t="shared" si="1159"/>
        <v>0</v>
      </c>
      <c r="EP428" s="890">
        <f t="shared" si="1159"/>
        <v>36519189.313927948</v>
      </c>
      <c r="EQ428" s="1073"/>
      <c r="ER428" s="1071"/>
      <c r="ET428" s="1072"/>
      <c r="EU428" s="890">
        <f>EW412+EX412</f>
        <v>36519189.313927948</v>
      </c>
      <c r="EV428" s="890">
        <v>0</v>
      </c>
      <c r="EW428" s="890">
        <f t="shared" si="1160"/>
        <v>0</v>
      </c>
      <c r="EX428" s="890">
        <f t="shared" si="1160"/>
        <v>36519189.313927948</v>
      </c>
      <c r="EY428" s="1073"/>
      <c r="EZ428" s="1071"/>
      <c r="FB428" s="1072"/>
      <c r="FC428" s="890">
        <f>FE412+FF412</f>
        <v>36519189.313927948</v>
      </c>
      <c r="FD428" s="890">
        <v>0</v>
      </c>
      <c r="FE428" s="890">
        <f t="shared" si="1161"/>
        <v>0</v>
      </c>
      <c r="FF428" s="890">
        <f t="shared" si="1161"/>
        <v>36519189.313927948</v>
      </c>
      <c r="FG428" s="1073"/>
      <c r="FH428" s="1071"/>
      <c r="FJ428" s="1072"/>
      <c r="FK428" s="890">
        <f>FM412+FN412</f>
        <v>36519189.313927948</v>
      </c>
      <c r="FL428" s="890">
        <v>0</v>
      </c>
      <c r="FM428" s="890">
        <f t="shared" si="1162"/>
        <v>0</v>
      </c>
      <c r="FN428" s="890">
        <f t="shared" si="1162"/>
        <v>36519189.313927948</v>
      </c>
      <c r="FO428" s="1073"/>
    </row>
    <row r="429" spans="2:171">
      <c r="C429" s="108" t="s">
        <v>811</v>
      </c>
      <c r="D429" s="1071"/>
      <c r="E429" s="904" t="s">
        <v>109</v>
      </c>
      <c r="G429" s="890">
        <f>I394+J394</f>
        <v>143150799.64912018</v>
      </c>
      <c r="H429" s="890">
        <v>0</v>
      </c>
      <c r="I429" s="890">
        <f>I394</f>
        <v>0</v>
      </c>
      <c r="J429" s="890">
        <f>J394</f>
        <v>143150799.64912018</v>
      </c>
      <c r="K429" s="1073">
        <f t="shared" si="1121"/>
        <v>1</v>
      </c>
      <c r="L429" s="1071"/>
      <c r="N429" s="1072"/>
      <c r="O429" s="890">
        <f>Q394+R394</f>
        <v>143150799.64912018</v>
      </c>
      <c r="P429" s="890">
        <v>0</v>
      </c>
      <c r="Q429" s="890">
        <f>Q394</f>
        <v>43233146.624210842</v>
      </c>
      <c r="R429" s="890">
        <f>R394</f>
        <v>99917653.024909347</v>
      </c>
      <c r="S429" s="1073"/>
      <c r="T429" s="1071"/>
      <c r="V429" s="1072"/>
      <c r="W429" s="890">
        <f>Y394+Z394</f>
        <v>143150799.64912018</v>
      </c>
      <c r="X429" s="890">
        <v>0</v>
      </c>
      <c r="Y429" s="890">
        <f>Y394</f>
        <v>43233146.624210842</v>
      </c>
      <c r="Z429" s="890">
        <f>Z394</f>
        <v>99917653.024909347</v>
      </c>
      <c r="AA429" s="1073"/>
      <c r="AB429" s="1071"/>
      <c r="AD429" s="1072"/>
      <c r="AE429" s="890">
        <f>AG394+AH394</f>
        <v>143150799.64912018</v>
      </c>
      <c r="AF429" s="890">
        <v>0</v>
      </c>
      <c r="AG429" s="890">
        <f>AG394</f>
        <v>43233146.624210842</v>
      </c>
      <c r="AH429" s="890">
        <f>AH394</f>
        <v>99917653.024909347</v>
      </c>
      <c r="AI429" s="1073"/>
      <c r="AJ429" s="1071"/>
      <c r="AL429" s="1072"/>
      <c r="AM429" s="890">
        <f>AO394+AP394</f>
        <v>143150799.64912018</v>
      </c>
      <c r="AN429" s="890">
        <v>0</v>
      </c>
      <c r="AO429" s="890">
        <f>AO394</f>
        <v>43233146.624210842</v>
      </c>
      <c r="AP429" s="890">
        <f>AP394</f>
        <v>99917653.024909347</v>
      </c>
      <c r="AQ429" s="1073"/>
      <c r="AR429" s="1071"/>
      <c r="AT429" s="1072"/>
      <c r="AU429" s="890">
        <f>AW394+AX394</f>
        <v>143150799.64912018</v>
      </c>
      <c r="AV429" s="890">
        <v>0</v>
      </c>
      <c r="AW429" s="890">
        <f>AW394</f>
        <v>43233146.624210842</v>
      </c>
      <c r="AX429" s="890">
        <f>AX394</f>
        <v>99917653.024909347</v>
      </c>
      <c r="AY429" s="1073"/>
      <c r="AZ429" s="1071"/>
      <c r="BB429" s="1072"/>
      <c r="BC429" s="890">
        <f>BE394+BF394</f>
        <v>143150799.64912018</v>
      </c>
      <c r="BD429" s="890">
        <v>0</v>
      </c>
      <c r="BE429" s="890">
        <f>BE394</f>
        <v>43233146.624210842</v>
      </c>
      <c r="BF429" s="890">
        <f>BF394</f>
        <v>99917653.024909347</v>
      </c>
      <c r="BG429" s="1073"/>
      <c r="BH429" s="1071"/>
      <c r="BJ429" s="1072"/>
      <c r="BK429" s="890">
        <f>BM394+BN394</f>
        <v>143150799.64912018</v>
      </c>
      <c r="BL429" s="890">
        <v>0</v>
      </c>
      <c r="BM429" s="890">
        <f>BM394</f>
        <v>43233146.624210842</v>
      </c>
      <c r="BN429" s="890">
        <f>BN394</f>
        <v>99917653.024909347</v>
      </c>
      <c r="BO429" s="1073"/>
      <c r="BP429" s="1071"/>
      <c r="BR429" s="1072"/>
      <c r="BS429" s="890">
        <f>BU394+BV394</f>
        <v>143150799.64912018</v>
      </c>
      <c r="BT429" s="890">
        <v>0</v>
      </c>
      <c r="BU429" s="890">
        <f>BU394</f>
        <v>43233146.624210842</v>
      </c>
      <c r="BV429" s="890">
        <f>BV394</f>
        <v>99917653.024909347</v>
      </c>
      <c r="BW429" s="1073"/>
      <c r="BX429" s="1071"/>
      <c r="BZ429" s="1072"/>
      <c r="CA429" s="890">
        <f>CC394+CD394</f>
        <v>143150799.64912018</v>
      </c>
      <c r="CB429" s="890">
        <v>0</v>
      </c>
      <c r="CC429" s="890">
        <f>CC394</f>
        <v>43233146.624210842</v>
      </c>
      <c r="CD429" s="890">
        <f>CD394</f>
        <v>99917653.024909347</v>
      </c>
      <c r="CE429" s="1073"/>
      <c r="CF429" s="1071"/>
      <c r="CH429" s="1072"/>
      <c r="CI429" s="890">
        <f>CK394+CL394</f>
        <v>143150799.64912018</v>
      </c>
      <c r="CJ429" s="890">
        <v>0</v>
      </c>
      <c r="CK429" s="890">
        <f>CK394</f>
        <v>43233146.624210842</v>
      </c>
      <c r="CL429" s="890">
        <f>CL394</f>
        <v>99917653.024909347</v>
      </c>
      <c r="CM429" s="1073"/>
      <c r="CN429" s="1071"/>
      <c r="CP429" s="1072"/>
      <c r="CQ429" s="890">
        <f>CS394+CT394</f>
        <v>143150799.64912018</v>
      </c>
      <c r="CR429" s="890">
        <v>0</v>
      </c>
      <c r="CS429" s="890">
        <f>CS394</f>
        <v>43233146.624210842</v>
      </c>
      <c r="CT429" s="890">
        <f>CT394</f>
        <v>99917653.024909347</v>
      </c>
      <c r="CU429" s="1073"/>
      <c r="CV429" s="1071"/>
      <c r="CX429" s="1072"/>
      <c r="CY429" s="890">
        <f>DA394+DB394</f>
        <v>143150799.64912018</v>
      </c>
      <c r="CZ429" s="890">
        <v>0</v>
      </c>
      <c r="DA429" s="890">
        <f>DA394</f>
        <v>43233146.624210842</v>
      </c>
      <c r="DB429" s="890">
        <f>DB394</f>
        <v>99917653.024909347</v>
      </c>
      <c r="DC429" s="1073"/>
      <c r="DD429" s="1071"/>
      <c r="DF429" s="1072"/>
      <c r="DG429" s="890">
        <f>DI394+DJ394</f>
        <v>143150799.64912018</v>
      </c>
      <c r="DH429" s="890">
        <v>0</v>
      </c>
      <c r="DI429" s="890">
        <f>DI394</f>
        <v>43233146.624210842</v>
      </c>
      <c r="DJ429" s="890">
        <f>DJ394</f>
        <v>99917653.024909347</v>
      </c>
      <c r="DK429" s="1073"/>
      <c r="DL429" s="1071"/>
      <c r="DN429" s="1072"/>
      <c r="DO429" s="890">
        <f>DQ394+DR394</f>
        <v>143150799.64912018</v>
      </c>
      <c r="DP429" s="890">
        <v>0</v>
      </c>
      <c r="DQ429" s="890">
        <f>DQ394</f>
        <v>43233146.624210842</v>
      </c>
      <c r="DR429" s="890">
        <f>DR394</f>
        <v>99917653.024909347</v>
      </c>
      <c r="DS429" s="1073"/>
      <c r="DT429" s="1071"/>
      <c r="DV429" s="1072"/>
      <c r="DW429" s="890">
        <f>DY394+DZ394</f>
        <v>143150799.64912018</v>
      </c>
      <c r="DX429" s="890">
        <v>0</v>
      </c>
      <c r="DY429" s="890">
        <f>DY394</f>
        <v>43233146.624210842</v>
      </c>
      <c r="DZ429" s="890">
        <f>DZ394</f>
        <v>99917653.024909347</v>
      </c>
      <c r="EA429" s="1073"/>
      <c r="EB429" s="1071"/>
      <c r="ED429" s="1072"/>
      <c r="EE429" s="890">
        <f>EG394+EH394</f>
        <v>143150799.64912018</v>
      </c>
      <c r="EF429" s="890">
        <v>0</v>
      </c>
      <c r="EG429" s="890">
        <f>EG394</f>
        <v>43233146.624210842</v>
      </c>
      <c r="EH429" s="890">
        <f>EH394</f>
        <v>99917653.024909347</v>
      </c>
      <c r="EI429" s="1073"/>
      <c r="EJ429" s="1071"/>
      <c r="EL429" s="1072"/>
      <c r="EM429" s="890">
        <f>EO394+EP394</f>
        <v>143150799.64912018</v>
      </c>
      <c r="EN429" s="890">
        <v>0</v>
      </c>
      <c r="EO429" s="890">
        <f>EO394</f>
        <v>43233146.624210842</v>
      </c>
      <c r="EP429" s="890">
        <f>EP394</f>
        <v>99917653.024909347</v>
      </c>
      <c r="EQ429" s="1073"/>
      <c r="ER429" s="1071"/>
      <c r="ET429" s="1072"/>
      <c r="EU429" s="890">
        <f>EW394+EX394</f>
        <v>143150799.64912018</v>
      </c>
      <c r="EV429" s="890">
        <v>0</v>
      </c>
      <c r="EW429" s="890">
        <f>EW394</f>
        <v>43233146.624210842</v>
      </c>
      <c r="EX429" s="890">
        <f>EX394</f>
        <v>99917653.024909347</v>
      </c>
      <c r="EY429" s="1073"/>
      <c r="EZ429" s="1071"/>
      <c r="FB429" s="1072"/>
      <c r="FC429" s="890">
        <f>FE394+FF394</f>
        <v>143150799.64912018</v>
      </c>
      <c r="FD429" s="890">
        <v>0</v>
      </c>
      <c r="FE429" s="890">
        <f>FE394</f>
        <v>43233146.624210842</v>
      </c>
      <c r="FF429" s="890">
        <f>FF394</f>
        <v>99917653.024909347</v>
      </c>
      <c r="FG429" s="1073"/>
      <c r="FH429" s="1071"/>
      <c r="FJ429" s="1072"/>
      <c r="FK429" s="890">
        <f>FM394+FN394</f>
        <v>143150799.64912018</v>
      </c>
      <c r="FL429" s="890">
        <v>0</v>
      </c>
      <c r="FM429" s="890">
        <f>FM394</f>
        <v>43233146.624210842</v>
      </c>
      <c r="FN429" s="890">
        <f>FN394</f>
        <v>99917653.024909347</v>
      </c>
      <c r="FO429" s="1073"/>
    </row>
    <row r="430" spans="2:171">
      <c r="C430" s="108" t="s">
        <v>527</v>
      </c>
      <c r="D430" s="1071"/>
      <c r="E430" s="1093"/>
      <c r="F430" s="1072"/>
      <c r="G430" s="1648">
        <f>SUM(G424:G429)</f>
        <v>3649392939.8330483</v>
      </c>
      <c r="H430" s="1648">
        <f>SUM(H424:H429)</f>
        <v>0</v>
      </c>
      <c r="I430" s="1648">
        <f>SUM(I424:I429)</f>
        <v>0</v>
      </c>
      <c r="J430" s="1648">
        <f>SUM(J424:J429)</f>
        <v>3649392939.8330483</v>
      </c>
      <c r="K430" s="1073"/>
      <c r="L430" s="1071"/>
      <c r="N430" s="1072"/>
      <c r="O430" s="1648">
        <f>SUM(O424:O429)</f>
        <v>3649392940.3830485</v>
      </c>
      <c r="P430" s="1648">
        <f>SUM(P424:P429)</f>
        <v>0</v>
      </c>
      <c r="Q430" s="1648">
        <f>SUM(Q424:Q429)</f>
        <v>1100952176.6242108</v>
      </c>
      <c r="R430" s="1648">
        <f>SUM(R424:R429)</f>
        <v>2548440763.7588377</v>
      </c>
      <c r="S430" s="1073"/>
      <c r="T430" s="1071"/>
      <c r="V430" s="1072"/>
      <c r="W430" s="1648">
        <f>SUM(W424:W429)</f>
        <v>3649392940.3830485</v>
      </c>
      <c r="X430" s="1648">
        <f>SUM(X424:X429)</f>
        <v>0</v>
      </c>
      <c r="Y430" s="1648">
        <f>SUM(Y424:Y429)</f>
        <v>1100952176.6242108</v>
      </c>
      <c r="Z430" s="1648">
        <f>SUM(Z424:Z429)</f>
        <v>2548440763.7588377</v>
      </c>
      <c r="AA430" s="1073"/>
      <c r="AB430" s="1071"/>
      <c r="AD430" s="1072"/>
      <c r="AE430" s="1648">
        <f>SUM(AE424:AE429)</f>
        <v>3649392940.3830485</v>
      </c>
      <c r="AF430" s="1648">
        <f>SUM(AF424:AF429)</f>
        <v>0</v>
      </c>
      <c r="AG430" s="1648">
        <f>SUM(AG424:AG429)</f>
        <v>1100952176.6242108</v>
      </c>
      <c r="AH430" s="1648">
        <f>SUM(AH424:AH429)</f>
        <v>2548440763.7588377</v>
      </c>
      <c r="AI430" s="1073"/>
      <c r="AJ430" s="1071"/>
      <c r="AL430" s="1072"/>
      <c r="AM430" s="1648">
        <f>SUM(AM424:AM429)</f>
        <v>3649392940.3830485</v>
      </c>
      <c r="AN430" s="1648">
        <f>SUM(AN424:AN429)</f>
        <v>0</v>
      </c>
      <c r="AO430" s="1648">
        <f>SUM(AO424:AO429)</f>
        <v>1100952176.6242108</v>
      </c>
      <c r="AP430" s="1648">
        <f>SUM(AP424:AP429)</f>
        <v>2548440763.7588377</v>
      </c>
      <c r="AQ430" s="1073"/>
      <c r="AR430" s="1071"/>
      <c r="AT430" s="1072"/>
      <c r="AU430" s="1648">
        <f>SUM(AU424:AU429)</f>
        <v>3649392940.3830485</v>
      </c>
      <c r="AV430" s="1648">
        <f>SUM(AV424:AV429)</f>
        <v>0</v>
      </c>
      <c r="AW430" s="1648">
        <f>SUM(AW424:AW429)</f>
        <v>1100952176.6242108</v>
      </c>
      <c r="AX430" s="1648">
        <f>SUM(AX424:AX429)</f>
        <v>2548440763.7588377</v>
      </c>
      <c r="AY430" s="1073"/>
      <c r="AZ430" s="1071"/>
      <c r="BB430" s="1072"/>
      <c r="BC430" s="1648">
        <f>SUM(BC424:BC429)</f>
        <v>3649392940.3830485</v>
      </c>
      <c r="BD430" s="1648">
        <f>SUM(BD424:BD429)</f>
        <v>0</v>
      </c>
      <c r="BE430" s="1648">
        <f>SUM(BE424:BE429)</f>
        <v>1100952176.6242108</v>
      </c>
      <c r="BF430" s="1648">
        <f>SUM(BF424:BF429)</f>
        <v>2548440763.7588377</v>
      </c>
      <c r="BG430" s="1073"/>
      <c r="BH430" s="1071"/>
      <c r="BJ430" s="1072"/>
      <c r="BK430" s="1648">
        <f>SUM(BK424:BK429)</f>
        <v>3649392940.3830485</v>
      </c>
      <c r="BL430" s="1648">
        <f>SUM(BL424:BL429)</f>
        <v>0</v>
      </c>
      <c r="BM430" s="1648">
        <f>SUM(BM424:BM429)</f>
        <v>1100952176.6242108</v>
      </c>
      <c r="BN430" s="1648">
        <f>SUM(BN424:BN429)</f>
        <v>2548440763.7588377</v>
      </c>
      <c r="BO430" s="1073"/>
      <c r="BP430" s="1071"/>
      <c r="BR430" s="1072"/>
      <c r="BS430" s="1648">
        <f>SUM(BS424:BS429)</f>
        <v>3649392940.3830485</v>
      </c>
      <c r="BT430" s="1648">
        <f>SUM(BT424:BT429)</f>
        <v>0</v>
      </c>
      <c r="BU430" s="1648">
        <f>SUM(BU424:BU429)</f>
        <v>1100952176.6242108</v>
      </c>
      <c r="BV430" s="1648">
        <f>SUM(BV424:BV429)</f>
        <v>2548440763.7588377</v>
      </c>
      <c r="BW430" s="1073"/>
      <c r="BX430" s="1071"/>
      <c r="BZ430" s="1072"/>
      <c r="CA430" s="1648">
        <f>SUM(CA424:CA429)</f>
        <v>3649392940.3830485</v>
      </c>
      <c r="CB430" s="1648">
        <f>SUM(CB424:CB429)</f>
        <v>0</v>
      </c>
      <c r="CC430" s="1648">
        <f>SUM(CC424:CC429)</f>
        <v>1100952176.6242108</v>
      </c>
      <c r="CD430" s="1648">
        <f>SUM(CD424:CD429)</f>
        <v>2548440763.7588377</v>
      </c>
      <c r="CE430" s="1073"/>
      <c r="CF430" s="1071"/>
      <c r="CH430" s="1072"/>
      <c r="CI430" s="1648">
        <f>SUM(CI424:CI429)</f>
        <v>3649392940.3830485</v>
      </c>
      <c r="CJ430" s="1648">
        <f>SUM(CJ424:CJ429)</f>
        <v>0</v>
      </c>
      <c r="CK430" s="1648">
        <f>SUM(CK424:CK429)</f>
        <v>1100952176.6242108</v>
      </c>
      <c r="CL430" s="1648">
        <f>SUM(CL424:CL429)</f>
        <v>2548440763.7588377</v>
      </c>
      <c r="CM430" s="1073"/>
      <c r="CN430" s="1071"/>
      <c r="CP430" s="1072"/>
      <c r="CQ430" s="1648">
        <f>SUM(CQ424:CQ429)</f>
        <v>3649392940.3830485</v>
      </c>
      <c r="CR430" s="1648">
        <f>SUM(CR424:CR429)</f>
        <v>0</v>
      </c>
      <c r="CS430" s="1648">
        <f>SUM(CS424:CS429)</f>
        <v>1100952176.6242108</v>
      </c>
      <c r="CT430" s="1648">
        <f>SUM(CT424:CT429)</f>
        <v>2548440763.7588377</v>
      </c>
      <c r="CU430" s="1073"/>
      <c r="CV430" s="1071"/>
      <c r="CX430" s="1072"/>
      <c r="CY430" s="1648">
        <f>SUM(CY424:CY429)</f>
        <v>3649392940.3830485</v>
      </c>
      <c r="CZ430" s="1648">
        <f>SUM(CZ424:CZ429)</f>
        <v>0</v>
      </c>
      <c r="DA430" s="1648">
        <f>SUM(DA424:DA429)</f>
        <v>1100952176.6242108</v>
      </c>
      <c r="DB430" s="1648">
        <f>SUM(DB424:DB429)</f>
        <v>2548440763.7588377</v>
      </c>
      <c r="DC430" s="1073"/>
      <c r="DD430" s="1071"/>
      <c r="DF430" s="1072"/>
      <c r="DG430" s="1648">
        <f>SUM(DG424:DG429)</f>
        <v>3649392940.3830485</v>
      </c>
      <c r="DH430" s="1648">
        <f>SUM(DH424:DH429)</f>
        <v>0</v>
      </c>
      <c r="DI430" s="1648">
        <f>SUM(DI424:DI429)</f>
        <v>1100952176.6242108</v>
      </c>
      <c r="DJ430" s="1648">
        <f>SUM(DJ424:DJ429)</f>
        <v>2548440763.7588377</v>
      </c>
      <c r="DK430" s="1073"/>
      <c r="DL430" s="1071"/>
      <c r="DN430" s="1072"/>
      <c r="DO430" s="1648">
        <f>SUM(DO424:DO429)</f>
        <v>3649392940.3830485</v>
      </c>
      <c r="DP430" s="1648">
        <f>SUM(DP424:DP429)</f>
        <v>0</v>
      </c>
      <c r="DQ430" s="1648">
        <f>SUM(DQ424:DQ429)</f>
        <v>1100952176.6242108</v>
      </c>
      <c r="DR430" s="1648">
        <f>SUM(DR424:DR429)</f>
        <v>2548440763.7588377</v>
      </c>
      <c r="DS430" s="1073"/>
      <c r="DT430" s="1071"/>
      <c r="DV430" s="1072"/>
      <c r="DW430" s="1648">
        <f>SUM(DW424:DW429)</f>
        <v>3649392940.3830485</v>
      </c>
      <c r="DX430" s="1648">
        <f>SUM(DX424:DX429)</f>
        <v>0</v>
      </c>
      <c r="DY430" s="1648">
        <f>SUM(DY424:DY429)</f>
        <v>1100952176.6242108</v>
      </c>
      <c r="DZ430" s="1648">
        <f>SUM(DZ424:DZ429)</f>
        <v>2548440763.7588377</v>
      </c>
      <c r="EA430" s="1073"/>
      <c r="EB430" s="1071"/>
      <c r="ED430" s="1072"/>
      <c r="EE430" s="1648">
        <f>SUM(EE424:EE429)</f>
        <v>3649392940.3830485</v>
      </c>
      <c r="EF430" s="1648">
        <f>SUM(EF424:EF429)</f>
        <v>0</v>
      </c>
      <c r="EG430" s="1648">
        <f>SUM(EG424:EG429)</f>
        <v>1100952176.6242108</v>
      </c>
      <c r="EH430" s="1648">
        <f>SUM(EH424:EH429)</f>
        <v>2548440763.7588377</v>
      </c>
      <c r="EI430" s="1073"/>
      <c r="EJ430" s="1071"/>
      <c r="EL430" s="1072"/>
      <c r="EM430" s="1648">
        <f>SUM(EM424:EM429)</f>
        <v>3649392940.3830485</v>
      </c>
      <c r="EN430" s="1648">
        <f>SUM(EN424:EN429)</f>
        <v>0</v>
      </c>
      <c r="EO430" s="1648">
        <f>SUM(EO424:EO429)</f>
        <v>1100952176.6242108</v>
      </c>
      <c r="EP430" s="1648">
        <f>SUM(EP424:EP429)</f>
        <v>2548440763.7588377</v>
      </c>
      <c r="EQ430" s="1073"/>
      <c r="ER430" s="1071"/>
      <c r="ET430" s="1072"/>
      <c r="EU430" s="1648">
        <f>SUM(EU424:EU429)</f>
        <v>3649392940.3830485</v>
      </c>
      <c r="EV430" s="1648">
        <f>SUM(EV424:EV429)</f>
        <v>0</v>
      </c>
      <c r="EW430" s="1648">
        <f>SUM(EW424:EW429)</f>
        <v>1100952176.6242108</v>
      </c>
      <c r="EX430" s="1648">
        <f>SUM(EX424:EX429)</f>
        <v>2548440763.7588377</v>
      </c>
      <c r="EY430" s="1073"/>
      <c r="EZ430" s="1071"/>
      <c r="FB430" s="1072"/>
      <c r="FC430" s="1648">
        <f>SUM(FC424:FC429)</f>
        <v>3649392940.3830485</v>
      </c>
      <c r="FD430" s="1648">
        <f>SUM(FD424:FD429)</f>
        <v>0</v>
      </c>
      <c r="FE430" s="1648">
        <f>SUM(FE424:FE429)</f>
        <v>1100952176.6242108</v>
      </c>
      <c r="FF430" s="1648">
        <f>SUM(FF424:FF429)</f>
        <v>2548440763.7588377</v>
      </c>
      <c r="FG430" s="1073"/>
      <c r="FH430" s="1071"/>
      <c r="FJ430" s="1072"/>
      <c r="FK430" s="1648">
        <f>SUM(FK424:FK429)</f>
        <v>3649392940.3830485</v>
      </c>
      <c r="FL430" s="1648">
        <f>SUM(FL424:FL429)</f>
        <v>0</v>
      </c>
      <c r="FM430" s="1648">
        <f>SUM(FM424:FM429)</f>
        <v>1100952176.6242108</v>
      </c>
      <c r="FN430" s="1648">
        <f>SUM(FN424:FN429)</f>
        <v>2548440763.7588377</v>
      </c>
      <c r="FO430" s="1073"/>
    </row>
    <row r="431" spans="2:171">
      <c r="C431" s="123" t="s">
        <v>812</v>
      </c>
      <c r="D431" s="1296" t="s">
        <v>642</v>
      </c>
      <c r="E431" s="1075"/>
      <c r="F431" s="1075"/>
      <c r="G431" s="1649">
        <f>H431+I431+J431</f>
        <v>1</v>
      </c>
      <c r="H431" s="1649">
        <f>H430/G430</f>
        <v>0</v>
      </c>
      <c r="I431" s="1649">
        <f>I430/G430</f>
        <v>0</v>
      </c>
      <c r="J431" s="1649">
        <f>J430/G430</f>
        <v>1</v>
      </c>
      <c r="K431" s="1078"/>
      <c r="L431" s="1074" t="s">
        <v>642</v>
      </c>
      <c r="M431" s="1075"/>
      <c r="N431" s="1075"/>
      <c r="O431" s="1649">
        <f>P431+Q431+R431</f>
        <v>1</v>
      </c>
      <c r="P431" s="1649">
        <f>P430/O430</f>
        <v>0</v>
      </c>
      <c r="Q431" s="1649">
        <f>Q430/O430</f>
        <v>0.30168090819747473</v>
      </c>
      <c r="R431" s="1649">
        <f>R430/O430</f>
        <v>0.69831909180252527</v>
      </c>
      <c r="S431" s="1078"/>
      <c r="T431" s="1074" t="s">
        <v>642</v>
      </c>
      <c r="U431" s="1075"/>
      <c r="V431" s="1075"/>
      <c r="W431" s="1649">
        <f>X431+Y431+Z431</f>
        <v>1</v>
      </c>
      <c r="X431" s="1649">
        <f>X430/W430</f>
        <v>0</v>
      </c>
      <c r="Y431" s="1649">
        <f>Y430/W430</f>
        <v>0.30168090819747473</v>
      </c>
      <c r="Z431" s="1649">
        <f>Z430/W430</f>
        <v>0.69831909180252527</v>
      </c>
      <c r="AA431" s="1078"/>
      <c r="AB431" s="1074" t="s">
        <v>642</v>
      </c>
      <c r="AC431" s="1075"/>
      <c r="AD431" s="1075"/>
      <c r="AE431" s="1649">
        <f>AF431+AG431+AH431</f>
        <v>1</v>
      </c>
      <c r="AF431" s="1649">
        <f>AF430/AE430</f>
        <v>0</v>
      </c>
      <c r="AG431" s="1649">
        <f>AG430/AE430</f>
        <v>0.30168090819747473</v>
      </c>
      <c r="AH431" s="1649">
        <f>AH430/AE430</f>
        <v>0.69831909180252527</v>
      </c>
      <c r="AI431" s="1078"/>
      <c r="AJ431" s="1074" t="s">
        <v>642</v>
      </c>
      <c r="AK431" s="1075"/>
      <c r="AL431" s="1075"/>
      <c r="AM431" s="1649">
        <f>AN431+AO431+AP431</f>
        <v>1</v>
      </c>
      <c r="AN431" s="1649">
        <f>AN430/AM430</f>
        <v>0</v>
      </c>
      <c r="AO431" s="1649">
        <f>AO430/AM430</f>
        <v>0.30168090819747473</v>
      </c>
      <c r="AP431" s="1649">
        <f>AP430/AM430</f>
        <v>0.69831909180252527</v>
      </c>
      <c r="AQ431" s="1078"/>
      <c r="AR431" s="1074" t="s">
        <v>642</v>
      </c>
      <c r="AS431" s="1075"/>
      <c r="AT431" s="1075"/>
      <c r="AU431" s="1649">
        <f>AV431+AW431+AX431</f>
        <v>1</v>
      </c>
      <c r="AV431" s="1649">
        <f>AV430/AU430</f>
        <v>0</v>
      </c>
      <c r="AW431" s="1649">
        <f>AW430/AU430</f>
        <v>0.30168090819747473</v>
      </c>
      <c r="AX431" s="1649">
        <f>AX430/AU430</f>
        <v>0.69831909180252527</v>
      </c>
      <c r="AY431" s="1078"/>
      <c r="AZ431" s="1074" t="s">
        <v>642</v>
      </c>
      <c r="BA431" s="1075"/>
      <c r="BB431" s="1075"/>
      <c r="BC431" s="1649">
        <f>BD431+BE431+BF431</f>
        <v>1</v>
      </c>
      <c r="BD431" s="1649">
        <f>BD430/BC430</f>
        <v>0</v>
      </c>
      <c r="BE431" s="1649">
        <f>BE430/BC430</f>
        <v>0.30168090819747473</v>
      </c>
      <c r="BF431" s="1649">
        <f>BF430/BC430</f>
        <v>0.69831909180252527</v>
      </c>
      <c r="BG431" s="1078"/>
      <c r="BH431" s="1074" t="s">
        <v>642</v>
      </c>
      <c r="BI431" s="1075"/>
      <c r="BJ431" s="1075"/>
      <c r="BK431" s="1649">
        <f>BL431+BM431+BN431</f>
        <v>1</v>
      </c>
      <c r="BL431" s="1649">
        <f>BL430/BK430</f>
        <v>0</v>
      </c>
      <c r="BM431" s="1649">
        <f>BM430/BK430</f>
        <v>0.30168090819747473</v>
      </c>
      <c r="BN431" s="1649">
        <f>BN430/BK430</f>
        <v>0.69831909180252527</v>
      </c>
      <c r="BO431" s="1078"/>
      <c r="BP431" s="1074" t="s">
        <v>642</v>
      </c>
      <c r="BQ431" s="1075"/>
      <c r="BR431" s="1075"/>
      <c r="BS431" s="1649">
        <f>BT431+BU431+BV431</f>
        <v>1</v>
      </c>
      <c r="BT431" s="1649">
        <f>BT430/BS430</f>
        <v>0</v>
      </c>
      <c r="BU431" s="1649">
        <f>BU430/BS430</f>
        <v>0.30168090819747473</v>
      </c>
      <c r="BV431" s="1649">
        <f>BV430/BS430</f>
        <v>0.69831909180252527</v>
      </c>
      <c r="BW431" s="1078"/>
      <c r="BX431" s="1074" t="s">
        <v>642</v>
      </c>
      <c r="BY431" s="1075"/>
      <c r="BZ431" s="1075"/>
      <c r="CA431" s="1649">
        <f>CB431+CC431+CD431</f>
        <v>1</v>
      </c>
      <c r="CB431" s="1649">
        <f>CB430/CA430</f>
        <v>0</v>
      </c>
      <c r="CC431" s="1649">
        <f>CC430/CA430</f>
        <v>0.30168090819747473</v>
      </c>
      <c r="CD431" s="1649">
        <f>CD430/CA430</f>
        <v>0.69831909180252527</v>
      </c>
      <c r="CE431" s="1078"/>
      <c r="CF431" s="1074" t="s">
        <v>642</v>
      </c>
      <c r="CG431" s="1075"/>
      <c r="CH431" s="1075"/>
      <c r="CI431" s="1649">
        <f>CJ431+CK431+CL431</f>
        <v>1</v>
      </c>
      <c r="CJ431" s="1649">
        <f>CJ430/CI430</f>
        <v>0</v>
      </c>
      <c r="CK431" s="1649">
        <f>CK430/CI430</f>
        <v>0.30168090819747473</v>
      </c>
      <c r="CL431" s="1649">
        <f>CL430/CI430</f>
        <v>0.69831909180252527</v>
      </c>
      <c r="CM431" s="1078"/>
      <c r="CN431" s="1074" t="s">
        <v>642</v>
      </c>
      <c r="CO431" s="1075"/>
      <c r="CP431" s="1075"/>
      <c r="CQ431" s="1649">
        <f>CR431+CS431+CT431</f>
        <v>1</v>
      </c>
      <c r="CR431" s="1649">
        <f>CR430/CQ430</f>
        <v>0</v>
      </c>
      <c r="CS431" s="1649">
        <f>CS430/CQ430</f>
        <v>0.30168090819747473</v>
      </c>
      <c r="CT431" s="1649">
        <f>CT430/CQ430</f>
        <v>0.69831909180252527</v>
      </c>
      <c r="CU431" s="1078"/>
      <c r="CV431" s="1074" t="s">
        <v>642</v>
      </c>
      <c r="CW431" s="1075"/>
      <c r="CX431" s="1075"/>
      <c r="CY431" s="1649">
        <f>CZ431+DA431+DB431</f>
        <v>1</v>
      </c>
      <c r="CZ431" s="1649">
        <f>CZ430/CY430</f>
        <v>0</v>
      </c>
      <c r="DA431" s="1649">
        <f>DA430/CY430</f>
        <v>0.30168090819747473</v>
      </c>
      <c r="DB431" s="1649">
        <f>DB430/CY430</f>
        <v>0.69831909180252527</v>
      </c>
      <c r="DC431" s="1078"/>
      <c r="DD431" s="1074" t="s">
        <v>642</v>
      </c>
      <c r="DE431" s="1075"/>
      <c r="DF431" s="1075"/>
      <c r="DG431" s="1649">
        <f>DH431+DI431+DJ431</f>
        <v>1</v>
      </c>
      <c r="DH431" s="1649">
        <f>DH430/DG430</f>
        <v>0</v>
      </c>
      <c r="DI431" s="1649">
        <f>DI430/DG430</f>
        <v>0.30168090819747473</v>
      </c>
      <c r="DJ431" s="1649">
        <f>DJ430/DG430</f>
        <v>0.69831909180252527</v>
      </c>
      <c r="DK431" s="1078"/>
      <c r="DL431" s="1074" t="s">
        <v>642</v>
      </c>
      <c r="DM431" s="1075"/>
      <c r="DN431" s="1075"/>
      <c r="DO431" s="1649">
        <f>DP431+DQ431+DR431</f>
        <v>1</v>
      </c>
      <c r="DP431" s="1649">
        <f>DP430/DO430</f>
        <v>0</v>
      </c>
      <c r="DQ431" s="1649">
        <f>DQ430/DO430</f>
        <v>0.30168090819747473</v>
      </c>
      <c r="DR431" s="1649">
        <f>DR430/DO430</f>
        <v>0.69831909180252527</v>
      </c>
      <c r="DS431" s="1078"/>
      <c r="DT431" s="1074" t="s">
        <v>642</v>
      </c>
      <c r="DU431" s="1075"/>
      <c r="DV431" s="1075"/>
      <c r="DW431" s="1649">
        <f>DX431+DY431+DZ431</f>
        <v>1</v>
      </c>
      <c r="DX431" s="1649">
        <f>DX430/DW430</f>
        <v>0</v>
      </c>
      <c r="DY431" s="1649">
        <f>DY430/DW430</f>
        <v>0.30168090819747473</v>
      </c>
      <c r="DZ431" s="1649">
        <f>DZ430/DW430</f>
        <v>0.69831909180252527</v>
      </c>
      <c r="EA431" s="1078"/>
      <c r="EB431" s="1074" t="s">
        <v>642</v>
      </c>
      <c r="EC431" s="1075"/>
      <c r="ED431" s="1075"/>
      <c r="EE431" s="1649">
        <f>EF431+EG431+EH431</f>
        <v>1</v>
      </c>
      <c r="EF431" s="1649">
        <f>EF430/EE430</f>
        <v>0</v>
      </c>
      <c r="EG431" s="1649">
        <f>EG430/EE430</f>
        <v>0.30168090819747473</v>
      </c>
      <c r="EH431" s="1649">
        <f>EH430/EE430</f>
        <v>0.69831909180252527</v>
      </c>
      <c r="EI431" s="1078"/>
      <c r="EJ431" s="1074" t="s">
        <v>642</v>
      </c>
      <c r="EK431" s="1075"/>
      <c r="EL431" s="1075"/>
      <c r="EM431" s="1649">
        <f>EN431+EO431+EP431</f>
        <v>1</v>
      </c>
      <c r="EN431" s="1649">
        <f>EN430/EM430</f>
        <v>0</v>
      </c>
      <c r="EO431" s="1649">
        <f>EO430/EM430</f>
        <v>0.30168090819747473</v>
      </c>
      <c r="EP431" s="1649">
        <f>EP430/EM430</f>
        <v>0.69831909180252527</v>
      </c>
      <c r="EQ431" s="1078"/>
      <c r="ER431" s="1074" t="s">
        <v>642</v>
      </c>
      <c r="ES431" s="1075"/>
      <c r="ET431" s="1075"/>
      <c r="EU431" s="1649">
        <f>EV431+EW431+EX431</f>
        <v>1</v>
      </c>
      <c r="EV431" s="1649">
        <f>EV430/EU430</f>
        <v>0</v>
      </c>
      <c r="EW431" s="1649">
        <f>EW430/EU430</f>
        <v>0.30168090819747473</v>
      </c>
      <c r="EX431" s="1649">
        <f>EX430/EU430</f>
        <v>0.69831909180252527</v>
      </c>
      <c r="EY431" s="1078"/>
      <c r="EZ431" s="1074" t="s">
        <v>642</v>
      </c>
      <c r="FA431" s="1075"/>
      <c r="FB431" s="1075"/>
      <c r="FC431" s="1649">
        <f>FD431+FE431+FF431</f>
        <v>1</v>
      </c>
      <c r="FD431" s="1649">
        <f>FD430/FC430</f>
        <v>0</v>
      </c>
      <c r="FE431" s="1649">
        <f>FE430/FC430</f>
        <v>0.30168090819747473</v>
      </c>
      <c r="FF431" s="1649">
        <f>FF430/FC430</f>
        <v>0.69831909180252527</v>
      </c>
      <c r="FG431" s="1078"/>
      <c r="FH431" s="1074" t="s">
        <v>642</v>
      </c>
      <c r="FI431" s="1075"/>
      <c r="FJ431" s="1075"/>
      <c r="FK431" s="1649">
        <f>FL431+FM431+FN431</f>
        <v>1</v>
      </c>
      <c r="FL431" s="1649">
        <f>FL430/FK430</f>
        <v>0</v>
      </c>
      <c r="FM431" s="1649">
        <f>FM430/FK430</f>
        <v>0.30168090819747473</v>
      </c>
      <c r="FN431" s="1649">
        <f>FN430/FK430</f>
        <v>0.69831909180252527</v>
      </c>
      <c r="FO431" s="1078"/>
    </row>
    <row r="432" spans="2:171">
      <c r="K432" s="1073"/>
      <c r="S432" s="1073"/>
      <c r="AA432" s="1073"/>
      <c r="AI432" s="1073"/>
      <c r="AQ432" s="1073"/>
      <c r="AY432" s="1073"/>
      <c r="BG432" s="1073"/>
      <c r="BO432" s="1073"/>
      <c r="BW432" s="1073"/>
      <c r="CE432" s="1073"/>
      <c r="CM432" s="1073"/>
      <c r="CU432" s="1073"/>
      <c r="DC432" s="1073"/>
      <c r="DK432" s="1073"/>
      <c r="DS432" s="1073"/>
      <c r="EA432" s="1073"/>
      <c r="EI432" s="1073"/>
      <c r="EQ432" s="1073"/>
      <c r="EY432" s="1073"/>
      <c r="FG432" s="1073"/>
      <c r="FO432" s="1073"/>
    </row>
    <row r="433" spans="2:171">
      <c r="E433" s="302" t="s">
        <v>525</v>
      </c>
      <c r="G433" s="303" t="s">
        <v>104</v>
      </c>
      <c r="H433" s="303" t="s">
        <v>105</v>
      </c>
      <c r="I433" s="303" t="s">
        <v>106</v>
      </c>
      <c r="J433" s="304" t="s">
        <v>516</v>
      </c>
      <c r="K433" s="1073"/>
      <c r="O433" s="303" t="s">
        <v>104</v>
      </c>
      <c r="P433" s="303" t="s">
        <v>105</v>
      </c>
      <c r="Q433" s="303" t="s">
        <v>106</v>
      </c>
      <c r="R433" s="304" t="s">
        <v>516</v>
      </c>
      <c r="S433" s="1073"/>
      <c r="W433" s="303" t="s">
        <v>104</v>
      </c>
      <c r="X433" s="303" t="s">
        <v>105</v>
      </c>
      <c r="Y433" s="303" t="s">
        <v>106</v>
      </c>
      <c r="Z433" s="304" t="s">
        <v>516</v>
      </c>
      <c r="AA433" s="1073"/>
      <c r="AE433" s="303" t="s">
        <v>104</v>
      </c>
      <c r="AF433" s="303" t="s">
        <v>105</v>
      </c>
      <c r="AG433" s="303" t="s">
        <v>106</v>
      </c>
      <c r="AH433" s="304" t="s">
        <v>516</v>
      </c>
      <c r="AI433" s="1073"/>
      <c r="AM433" s="303" t="s">
        <v>104</v>
      </c>
      <c r="AN433" s="303" t="s">
        <v>105</v>
      </c>
      <c r="AO433" s="303" t="s">
        <v>106</v>
      </c>
      <c r="AP433" s="304" t="s">
        <v>516</v>
      </c>
      <c r="AQ433" s="1073"/>
      <c r="AU433" s="303" t="s">
        <v>104</v>
      </c>
      <c r="AV433" s="303" t="s">
        <v>105</v>
      </c>
      <c r="AW433" s="303" t="s">
        <v>106</v>
      </c>
      <c r="AX433" s="304" t="s">
        <v>516</v>
      </c>
      <c r="AY433" s="1073"/>
      <c r="BC433" s="303" t="s">
        <v>104</v>
      </c>
      <c r="BD433" s="303" t="s">
        <v>105</v>
      </c>
      <c r="BE433" s="303" t="s">
        <v>106</v>
      </c>
      <c r="BF433" s="304" t="s">
        <v>516</v>
      </c>
      <c r="BG433" s="1073"/>
      <c r="BK433" s="303" t="s">
        <v>104</v>
      </c>
      <c r="BL433" s="303" t="s">
        <v>105</v>
      </c>
      <c r="BM433" s="303" t="s">
        <v>106</v>
      </c>
      <c r="BN433" s="304" t="s">
        <v>516</v>
      </c>
      <c r="BO433" s="1073"/>
      <c r="BS433" s="303" t="s">
        <v>104</v>
      </c>
      <c r="BT433" s="303" t="s">
        <v>105</v>
      </c>
      <c r="BU433" s="303" t="s">
        <v>106</v>
      </c>
      <c r="BV433" s="304" t="s">
        <v>516</v>
      </c>
      <c r="BW433" s="1073"/>
      <c r="CA433" s="303" t="s">
        <v>104</v>
      </c>
      <c r="CB433" s="303" t="s">
        <v>105</v>
      </c>
      <c r="CC433" s="303" t="s">
        <v>106</v>
      </c>
      <c r="CD433" s="304" t="s">
        <v>516</v>
      </c>
      <c r="CE433" s="1073"/>
      <c r="CI433" s="303" t="s">
        <v>104</v>
      </c>
      <c r="CJ433" s="303" t="s">
        <v>105</v>
      </c>
      <c r="CK433" s="303" t="s">
        <v>106</v>
      </c>
      <c r="CL433" s="304" t="s">
        <v>516</v>
      </c>
      <c r="CM433" s="1073"/>
      <c r="CQ433" s="303" t="s">
        <v>104</v>
      </c>
      <c r="CR433" s="303" t="s">
        <v>105</v>
      </c>
      <c r="CS433" s="303" t="s">
        <v>106</v>
      </c>
      <c r="CT433" s="304" t="s">
        <v>516</v>
      </c>
      <c r="CU433" s="1073"/>
      <c r="CY433" s="303" t="s">
        <v>104</v>
      </c>
      <c r="CZ433" s="303" t="s">
        <v>105</v>
      </c>
      <c r="DA433" s="303" t="s">
        <v>106</v>
      </c>
      <c r="DB433" s="304" t="s">
        <v>516</v>
      </c>
      <c r="DC433" s="1073"/>
      <c r="DG433" s="303" t="s">
        <v>104</v>
      </c>
      <c r="DH433" s="303" t="s">
        <v>105</v>
      </c>
      <c r="DI433" s="303" t="s">
        <v>106</v>
      </c>
      <c r="DJ433" s="304" t="s">
        <v>516</v>
      </c>
      <c r="DK433" s="1073"/>
      <c r="DO433" s="303" t="s">
        <v>104</v>
      </c>
      <c r="DP433" s="303" t="s">
        <v>105</v>
      </c>
      <c r="DQ433" s="303" t="s">
        <v>106</v>
      </c>
      <c r="DR433" s="304" t="s">
        <v>516</v>
      </c>
      <c r="DS433" s="1073"/>
      <c r="DW433" s="303" t="s">
        <v>104</v>
      </c>
      <c r="DX433" s="303" t="s">
        <v>105</v>
      </c>
      <c r="DY433" s="303" t="s">
        <v>106</v>
      </c>
      <c r="DZ433" s="304" t="s">
        <v>516</v>
      </c>
      <c r="EA433" s="1073"/>
      <c r="EE433" s="303" t="s">
        <v>104</v>
      </c>
      <c r="EF433" s="303" t="s">
        <v>105</v>
      </c>
      <c r="EG433" s="303" t="s">
        <v>106</v>
      </c>
      <c r="EH433" s="304" t="s">
        <v>516</v>
      </c>
      <c r="EI433" s="1073"/>
      <c r="EM433" s="303" t="s">
        <v>104</v>
      </c>
      <c r="EN433" s="303" t="s">
        <v>105</v>
      </c>
      <c r="EO433" s="303" t="s">
        <v>106</v>
      </c>
      <c r="EP433" s="304" t="s">
        <v>516</v>
      </c>
      <c r="EQ433" s="1073"/>
      <c r="EU433" s="303" t="s">
        <v>104</v>
      </c>
      <c r="EV433" s="303" t="s">
        <v>105</v>
      </c>
      <c r="EW433" s="303" t="s">
        <v>106</v>
      </c>
      <c r="EX433" s="304" t="s">
        <v>516</v>
      </c>
      <c r="EY433" s="1073"/>
      <c r="FC433" s="303" t="s">
        <v>104</v>
      </c>
      <c r="FD433" s="303" t="s">
        <v>105</v>
      </c>
      <c r="FE433" s="303" t="s">
        <v>106</v>
      </c>
      <c r="FF433" s="304" t="s">
        <v>516</v>
      </c>
      <c r="FG433" s="1073"/>
      <c r="FK433" s="303" t="s">
        <v>104</v>
      </c>
      <c r="FL433" s="303" t="s">
        <v>105</v>
      </c>
      <c r="FM433" s="303" t="s">
        <v>106</v>
      </c>
      <c r="FN433" s="304" t="s">
        <v>516</v>
      </c>
      <c r="FO433" s="1073"/>
    </row>
    <row r="434" spans="2:171">
      <c r="B434" s="108"/>
      <c r="C434" s="108" t="s">
        <v>126</v>
      </c>
      <c r="D434" s="1071"/>
      <c r="E434" s="904" t="str">
        <f>E383</f>
        <v>PTD</v>
      </c>
      <c r="G434" s="890">
        <f t="shared" ref="G434:J435" si="1163">G383</f>
        <v>21045508</v>
      </c>
      <c r="H434" s="890">
        <f t="shared" si="1163"/>
        <v>6687437.8488280065</v>
      </c>
      <c r="I434" s="890">
        <f t="shared" si="1163"/>
        <v>0</v>
      </c>
      <c r="J434" s="890">
        <f t="shared" si="1163"/>
        <v>14358070.151171993</v>
      </c>
      <c r="K434" s="1078"/>
      <c r="L434" s="1071"/>
      <c r="M434" s="1072"/>
      <c r="N434" s="1072"/>
      <c r="O434" s="890">
        <f t="shared" ref="O434:R435" si="1164">O383</f>
        <v>21045508</v>
      </c>
      <c r="P434" s="890">
        <f t="shared" si="1164"/>
        <v>6687437.8488280065</v>
      </c>
      <c r="Q434" s="890">
        <f t="shared" si="1164"/>
        <v>4382883.5340425316</v>
      </c>
      <c r="R434" s="890">
        <f t="shared" si="1164"/>
        <v>9975186.6171294618</v>
      </c>
      <c r="S434" s="1078"/>
      <c r="T434" s="1071"/>
      <c r="U434" s="1072"/>
      <c r="V434" s="1072"/>
      <c r="W434" s="890">
        <f t="shared" ref="W434:Z435" si="1165">W383</f>
        <v>21045508</v>
      </c>
      <c r="X434" s="890">
        <f t="shared" si="1165"/>
        <v>6687437.8488280065</v>
      </c>
      <c r="Y434" s="890">
        <f t="shared" si="1165"/>
        <v>4382883.5340425316</v>
      </c>
      <c r="Z434" s="890">
        <f t="shared" si="1165"/>
        <v>9975186.6171294618</v>
      </c>
      <c r="AA434" s="1078"/>
      <c r="AB434" s="1071"/>
      <c r="AC434" s="1072"/>
      <c r="AD434" s="1072"/>
      <c r="AE434" s="890">
        <f t="shared" ref="AE434:AH435" si="1166">AE383</f>
        <v>21045508</v>
      </c>
      <c r="AF434" s="890">
        <f t="shared" si="1166"/>
        <v>6687437.8488280065</v>
      </c>
      <c r="AG434" s="890">
        <f t="shared" si="1166"/>
        <v>4382883.5340425316</v>
      </c>
      <c r="AH434" s="890">
        <f t="shared" si="1166"/>
        <v>9975186.6171294618</v>
      </c>
      <c r="AI434" s="1078"/>
      <c r="AJ434" s="1071"/>
      <c r="AK434" s="1072"/>
      <c r="AL434" s="1072"/>
      <c r="AM434" s="890">
        <f t="shared" ref="AM434:AP435" si="1167">AM383</f>
        <v>21045508</v>
      </c>
      <c r="AN434" s="890">
        <f t="shared" si="1167"/>
        <v>6687437.8488280065</v>
      </c>
      <c r="AO434" s="890">
        <f t="shared" si="1167"/>
        <v>4382883.5340425316</v>
      </c>
      <c r="AP434" s="890">
        <f t="shared" si="1167"/>
        <v>9975186.6171294618</v>
      </c>
      <c r="AQ434" s="1078"/>
      <c r="AR434" s="1071"/>
      <c r="AS434" s="1072"/>
      <c r="AT434" s="1072"/>
      <c r="AU434" s="890">
        <f t="shared" ref="AU434:AX435" si="1168">AU383</f>
        <v>21045508</v>
      </c>
      <c r="AV434" s="890">
        <f t="shared" si="1168"/>
        <v>6687437.8488280065</v>
      </c>
      <c r="AW434" s="890">
        <f t="shared" si="1168"/>
        <v>4382883.5340425316</v>
      </c>
      <c r="AX434" s="890">
        <f t="shared" si="1168"/>
        <v>9975186.6171294618</v>
      </c>
      <c r="AY434" s="1078"/>
      <c r="AZ434" s="1071"/>
      <c r="BA434" s="1072"/>
      <c r="BB434" s="1072"/>
      <c r="BC434" s="890">
        <f t="shared" ref="BC434:BF435" si="1169">BC383</f>
        <v>21045508</v>
      </c>
      <c r="BD434" s="890">
        <f t="shared" si="1169"/>
        <v>6687437.8488280065</v>
      </c>
      <c r="BE434" s="890">
        <f t="shared" si="1169"/>
        <v>4382883.5340425316</v>
      </c>
      <c r="BF434" s="890">
        <f t="shared" si="1169"/>
        <v>9975186.6171294618</v>
      </c>
      <c r="BG434" s="1078"/>
      <c r="BH434" s="1071"/>
      <c r="BI434" s="1072"/>
      <c r="BJ434" s="1072"/>
      <c r="BK434" s="890">
        <f t="shared" ref="BK434:BN435" si="1170">BK383</f>
        <v>21045508</v>
      </c>
      <c r="BL434" s="890">
        <f t="shared" si="1170"/>
        <v>6687437.8488280065</v>
      </c>
      <c r="BM434" s="890">
        <f t="shared" si="1170"/>
        <v>4382883.5340425316</v>
      </c>
      <c r="BN434" s="890">
        <f t="shared" si="1170"/>
        <v>9975186.6171294618</v>
      </c>
      <c r="BO434" s="1078"/>
      <c r="BP434" s="1071"/>
      <c r="BQ434" s="1072"/>
      <c r="BR434" s="1072"/>
      <c r="BS434" s="890">
        <f t="shared" ref="BS434:BV435" si="1171">BS383</f>
        <v>21045508</v>
      </c>
      <c r="BT434" s="890">
        <f t="shared" si="1171"/>
        <v>6687437.8488280065</v>
      </c>
      <c r="BU434" s="890">
        <f t="shared" si="1171"/>
        <v>4382883.5340425316</v>
      </c>
      <c r="BV434" s="890">
        <f t="shared" si="1171"/>
        <v>9975186.6171294618</v>
      </c>
      <c r="BW434" s="1078"/>
      <c r="BX434" s="1071"/>
      <c r="BY434" s="1072"/>
      <c r="BZ434" s="1072"/>
      <c r="CA434" s="890">
        <f t="shared" ref="CA434:CD435" si="1172">CA383</f>
        <v>21045508</v>
      </c>
      <c r="CB434" s="890">
        <f t="shared" si="1172"/>
        <v>6687437.8488280065</v>
      </c>
      <c r="CC434" s="890">
        <f t="shared" si="1172"/>
        <v>4382883.5340425316</v>
      </c>
      <c r="CD434" s="890">
        <f t="shared" si="1172"/>
        <v>9975186.6171294618</v>
      </c>
      <c r="CE434" s="1078"/>
      <c r="CF434" s="1071"/>
      <c r="CG434" s="1072"/>
      <c r="CH434" s="1072"/>
      <c r="CI434" s="890">
        <f t="shared" ref="CI434:CL435" si="1173">CI383</f>
        <v>21045508</v>
      </c>
      <c r="CJ434" s="890">
        <f t="shared" si="1173"/>
        <v>6687437.8488280065</v>
      </c>
      <c r="CK434" s="890">
        <f t="shared" si="1173"/>
        <v>4382883.5340425316</v>
      </c>
      <c r="CL434" s="890">
        <f t="shared" si="1173"/>
        <v>9975186.6171294618</v>
      </c>
      <c r="CM434" s="1078"/>
      <c r="CN434" s="1071"/>
      <c r="CO434" s="1072"/>
      <c r="CP434" s="1072"/>
      <c r="CQ434" s="890">
        <f t="shared" ref="CQ434:CT435" si="1174">CQ383</f>
        <v>21045508</v>
      </c>
      <c r="CR434" s="890">
        <f t="shared" si="1174"/>
        <v>6687437.8488280065</v>
      </c>
      <c r="CS434" s="890">
        <f t="shared" si="1174"/>
        <v>4382883.5340425316</v>
      </c>
      <c r="CT434" s="890">
        <f t="shared" si="1174"/>
        <v>9975186.6171294618</v>
      </c>
      <c r="CU434" s="1078"/>
      <c r="CV434" s="1071"/>
      <c r="CW434" s="1072"/>
      <c r="CX434" s="1072"/>
      <c r="CY434" s="890">
        <f t="shared" ref="CY434:DB435" si="1175">CY383</f>
        <v>21045508</v>
      </c>
      <c r="CZ434" s="890">
        <f t="shared" si="1175"/>
        <v>6687437.8488280065</v>
      </c>
      <c r="DA434" s="890">
        <f t="shared" si="1175"/>
        <v>4382883.5340425316</v>
      </c>
      <c r="DB434" s="890">
        <f t="shared" si="1175"/>
        <v>9975186.6171294618</v>
      </c>
      <c r="DC434" s="1078"/>
      <c r="DD434" s="1071"/>
      <c r="DE434" s="1072"/>
      <c r="DF434" s="1072"/>
      <c r="DG434" s="890">
        <f t="shared" ref="DG434:DJ435" si="1176">DG383</f>
        <v>21045508</v>
      </c>
      <c r="DH434" s="890">
        <f t="shared" si="1176"/>
        <v>6687437.8488280065</v>
      </c>
      <c r="DI434" s="890">
        <f t="shared" si="1176"/>
        <v>4382883.5340425316</v>
      </c>
      <c r="DJ434" s="890">
        <f t="shared" si="1176"/>
        <v>9975186.6171294618</v>
      </c>
      <c r="DK434" s="1078"/>
      <c r="DL434" s="1071"/>
      <c r="DM434" s="1072"/>
      <c r="DN434" s="1072"/>
      <c r="DO434" s="890">
        <f t="shared" ref="DO434:DR435" si="1177">DO383</f>
        <v>21045508</v>
      </c>
      <c r="DP434" s="890">
        <f t="shared" si="1177"/>
        <v>6687437.8488280065</v>
      </c>
      <c r="DQ434" s="890">
        <f t="shared" si="1177"/>
        <v>4382883.5340425316</v>
      </c>
      <c r="DR434" s="890">
        <f t="shared" si="1177"/>
        <v>9975186.6171294618</v>
      </c>
      <c r="DS434" s="1078"/>
      <c r="DT434" s="1071"/>
      <c r="DU434" s="1072"/>
      <c r="DV434" s="1072"/>
      <c r="DW434" s="890">
        <f t="shared" ref="DW434:DZ435" si="1178">DW383</f>
        <v>21045508</v>
      </c>
      <c r="DX434" s="890">
        <f t="shared" si="1178"/>
        <v>6687437.8488280065</v>
      </c>
      <c r="DY434" s="890">
        <f t="shared" si="1178"/>
        <v>4382883.5340425316</v>
      </c>
      <c r="DZ434" s="890">
        <f t="shared" si="1178"/>
        <v>9975186.6171294618</v>
      </c>
      <c r="EA434" s="1078"/>
      <c r="EB434" s="1071"/>
      <c r="EC434" s="1072"/>
      <c r="ED434" s="1072"/>
      <c r="EE434" s="890">
        <f t="shared" ref="EE434:EH435" si="1179">EE383</f>
        <v>21045508</v>
      </c>
      <c r="EF434" s="890">
        <f t="shared" si="1179"/>
        <v>6687437.8488280065</v>
      </c>
      <c r="EG434" s="890">
        <f t="shared" si="1179"/>
        <v>4382883.5340425316</v>
      </c>
      <c r="EH434" s="890">
        <f t="shared" si="1179"/>
        <v>9975186.6171294618</v>
      </c>
      <c r="EI434" s="1078"/>
      <c r="EJ434" s="1071"/>
      <c r="EK434" s="1072"/>
      <c r="EL434" s="1072"/>
      <c r="EM434" s="890">
        <f t="shared" ref="EM434:EP435" si="1180">EM383</f>
        <v>21045508</v>
      </c>
      <c r="EN434" s="890">
        <f t="shared" si="1180"/>
        <v>6687437.8488280065</v>
      </c>
      <c r="EO434" s="890">
        <f t="shared" si="1180"/>
        <v>4382883.5340425316</v>
      </c>
      <c r="EP434" s="890">
        <f t="shared" si="1180"/>
        <v>9975186.6171294618</v>
      </c>
      <c r="EQ434" s="1078"/>
      <c r="ER434" s="1071"/>
      <c r="ES434" s="1072"/>
      <c r="ET434" s="1072"/>
      <c r="EU434" s="890">
        <f t="shared" ref="EU434:EX435" si="1181">EU383</f>
        <v>21045508</v>
      </c>
      <c r="EV434" s="890">
        <f t="shared" si="1181"/>
        <v>6687437.8488280065</v>
      </c>
      <c r="EW434" s="890">
        <f t="shared" si="1181"/>
        <v>4382883.5340425316</v>
      </c>
      <c r="EX434" s="890">
        <f t="shared" si="1181"/>
        <v>9975186.6171294618</v>
      </c>
      <c r="EY434" s="1078"/>
      <c r="EZ434" s="1071"/>
      <c r="FA434" s="1072"/>
      <c r="FB434" s="1072"/>
      <c r="FC434" s="890">
        <f t="shared" ref="FC434:FF435" si="1182">FC383</f>
        <v>21045508</v>
      </c>
      <c r="FD434" s="890">
        <f t="shared" si="1182"/>
        <v>6687437.8488280065</v>
      </c>
      <c r="FE434" s="890">
        <f t="shared" si="1182"/>
        <v>4382883.5340425316</v>
      </c>
      <c r="FF434" s="890">
        <f t="shared" si="1182"/>
        <v>9975186.6171294618</v>
      </c>
      <c r="FG434" s="1078"/>
      <c r="FH434" s="1071"/>
      <c r="FI434" s="1072"/>
      <c r="FJ434" s="1072"/>
      <c r="FK434" s="890">
        <f t="shared" ref="FK434:FN435" si="1183">FK383</f>
        <v>21045508</v>
      </c>
      <c r="FL434" s="890">
        <f t="shared" si="1183"/>
        <v>6687437.8488280065</v>
      </c>
      <c r="FM434" s="890">
        <f t="shared" si="1183"/>
        <v>4382883.5340425316</v>
      </c>
      <c r="FN434" s="890">
        <f t="shared" si="1183"/>
        <v>9975186.6171294618</v>
      </c>
      <c r="FO434" s="1078"/>
    </row>
    <row r="435" spans="2:171">
      <c r="B435" s="108"/>
      <c r="C435" s="108" t="s">
        <v>127</v>
      </c>
      <c r="D435" s="1071"/>
      <c r="E435" s="904" t="str">
        <f>E384</f>
        <v>LABOR</v>
      </c>
      <c r="G435" s="890">
        <f t="shared" si="1163"/>
        <v>3976622</v>
      </c>
      <c r="H435" s="890">
        <f t="shared" si="1163"/>
        <v>1455724.5705582532</v>
      </c>
      <c r="I435" s="890">
        <f t="shared" si="1163"/>
        <v>0</v>
      </c>
      <c r="J435" s="890">
        <f t="shared" si="1163"/>
        <v>2520897.4294417468</v>
      </c>
      <c r="K435" s="1073"/>
      <c r="L435" s="1071"/>
      <c r="M435" s="1072"/>
      <c r="N435" s="1072"/>
      <c r="O435" s="890">
        <f t="shared" si="1164"/>
        <v>3976622</v>
      </c>
      <c r="P435" s="890">
        <f t="shared" si="1164"/>
        <v>1455724.5705582532</v>
      </c>
      <c r="Q435" s="890">
        <f t="shared" si="1164"/>
        <v>305059.74741504656</v>
      </c>
      <c r="R435" s="890">
        <f t="shared" si="1164"/>
        <v>2215837.6820267001</v>
      </c>
      <c r="S435" s="1073"/>
      <c r="T435" s="1071"/>
      <c r="U435" s="1072"/>
      <c r="V435" s="1072"/>
      <c r="W435" s="890">
        <f t="shared" si="1165"/>
        <v>3976622</v>
      </c>
      <c r="X435" s="890">
        <f t="shared" si="1165"/>
        <v>1455724.5705582532</v>
      </c>
      <c r="Y435" s="890">
        <f t="shared" si="1165"/>
        <v>305059.74741504656</v>
      </c>
      <c r="Z435" s="890">
        <f t="shared" si="1165"/>
        <v>2215837.6820267001</v>
      </c>
      <c r="AA435" s="1073"/>
      <c r="AB435" s="1071"/>
      <c r="AC435" s="1072"/>
      <c r="AD435" s="1072"/>
      <c r="AE435" s="890">
        <f t="shared" si="1166"/>
        <v>3976622</v>
      </c>
      <c r="AF435" s="890">
        <f t="shared" si="1166"/>
        <v>1455724.5705582532</v>
      </c>
      <c r="AG435" s="890">
        <f t="shared" si="1166"/>
        <v>305059.74741504656</v>
      </c>
      <c r="AH435" s="890">
        <f t="shared" si="1166"/>
        <v>2215837.6820267001</v>
      </c>
      <c r="AI435" s="1073"/>
      <c r="AJ435" s="1071"/>
      <c r="AK435" s="1072"/>
      <c r="AL435" s="1072"/>
      <c r="AM435" s="890">
        <f t="shared" si="1167"/>
        <v>3976622</v>
      </c>
      <c r="AN435" s="890">
        <f t="shared" si="1167"/>
        <v>1455724.5705582532</v>
      </c>
      <c r="AO435" s="890">
        <f t="shared" si="1167"/>
        <v>305059.74741504656</v>
      </c>
      <c r="AP435" s="890">
        <f t="shared" si="1167"/>
        <v>2215837.6820267001</v>
      </c>
      <c r="AQ435" s="1073"/>
      <c r="AR435" s="1071"/>
      <c r="AS435" s="1072"/>
      <c r="AT435" s="1072"/>
      <c r="AU435" s="890">
        <f t="shared" si="1168"/>
        <v>3976622</v>
      </c>
      <c r="AV435" s="890">
        <f t="shared" si="1168"/>
        <v>1455724.5705582532</v>
      </c>
      <c r="AW435" s="890">
        <f t="shared" si="1168"/>
        <v>305059.74741504656</v>
      </c>
      <c r="AX435" s="890">
        <f t="shared" si="1168"/>
        <v>2215837.6820267001</v>
      </c>
      <c r="AY435" s="1073"/>
      <c r="AZ435" s="1071"/>
      <c r="BA435" s="1072"/>
      <c r="BB435" s="1072"/>
      <c r="BC435" s="890">
        <f t="shared" si="1169"/>
        <v>3976622</v>
      </c>
      <c r="BD435" s="890">
        <f t="shared" si="1169"/>
        <v>1455724.5705582532</v>
      </c>
      <c r="BE435" s="890">
        <f t="shared" si="1169"/>
        <v>305059.74741504656</v>
      </c>
      <c r="BF435" s="890">
        <f t="shared" si="1169"/>
        <v>2215837.6820267001</v>
      </c>
      <c r="BG435" s="1073"/>
      <c r="BH435" s="1071"/>
      <c r="BI435" s="1072"/>
      <c r="BJ435" s="1072"/>
      <c r="BK435" s="890">
        <f t="shared" si="1170"/>
        <v>3976622</v>
      </c>
      <c r="BL435" s="890">
        <f t="shared" si="1170"/>
        <v>1455724.5705582532</v>
      </c>
      <c r="BM435" s="890">
        <f t="shared" si="1170"/>
        <v>305059.74741504656</v>
      </c>
      <c r="BN435" s="890">
        <f t="shared" si="1170"/>
        <v>2215837.6820267001</v>
      </c>
      <c r="BO435" s="1073"/>
      <c r="BP435" s="1071"/>
      <c r="BQ435" s="1072"/>
      <c r="BR435" s="1072"/>
      <c r="BS435" s="890">
        <f t="shared" si="1171"/>
        <v>3976622</v>
      </c>
      <c r="BT435" s="890">
        <f t="shared" si="1171"/>
        <v>1455724.5705582532</v>
      </c>
      <c r="BU435" s="890">
        <f t="shared" si="1171"/>
        <v>305059.74741504656</v>
      </c>
      <c r="BV435" s="890">
        <f t="shared" si="1171"/>
        <v>2215837.6820267001</v>
      </c>
      <c r="BW435" s="1073"/>
      <c r="BX435" s="1071"/>
      <c r="BY435" s="1072"/>
      <c r="BZ435" s="1072"/>
      <c r="CA435" s="890">
        <f t="shared" si="1172"/>
        <v>3976622</v>
      </c>
      <c r="CB435" s="890">
        <f t="shared" si="1172"/>
        <v>1455724.5705582532</v>
      </c>
      <c r="CC435" s="890">
        <f t="shared" si="1172"/>
        <v>305059.74741504656</v>
      </c>
      <c r="CD435" s="890">
        <f t="shared" si="1172"/>
        <v>2215837.6820267001</v>
      </c>
      <c r="CE435" s="1073"/>
      <c r="CF435" s="1071"/>
      <c r="CG435" s="1072"/>
      <c r="CH435" s="1072"/>
      <c r="CI435" s="890">
        <f t="shared" si="1173"/>
        <v>3976622</v>
      </c>
      <c r="CJ435" s="890">
        <f t="shared" si="1173"/>
        <v>1455724.5705582532</v>
      </c>
      <c r="CK435" s="890">
        <f t="shared" si="1173"/>
        <v>305059.74741504656</v>
      </c>
      <c r="CL435" s="890">
        <f t="shared" si="1173"/>
        <v>2215837.6820267001</v>
      </c>
      <c r="CM435" s="1073"/>
      <c r="CN435" s="1071"/>
      <c r="CO435" s="1072"/>
      <c r="CP435" s="1072"/>
      <c r="CQ435" s="890">
        <f t="shared" si="1174"/>
        <v>3976622</v>
      </c>
      <c r="CR435" s="890">
        <f t="shared" si="1174"/>
        <v>1455724.5705582532</v>
      </c>
      <c r="CS435" s="890">
        <f t="shared" si="1174"/>
        <v>305059.74741504656</v>
      </c>
      <c r="CT435" s="890">
        <f t="shared" si="1174"/>
        <v>2215837.6820267001</v>
      </c>
      <c r="CU435" s="1073"/>
      <c r="CV435" s="1071"/>
      <c r="CW435" s="1072"/>
      <c r="CX435" s="1072"/>
      <c r="CY435" s="890">
        <f t="shared" si="1175"/>
        <v>3976622</v>
      </c>
      <c r="CZ435" s="890">
        <f t="shared" si="1175"/>
        <v>1455724.5705582532</v>
      </c>
      <c r="DA435" s="890">
        <f t="shared" si="1175"/>
        <v>305059.74741504656</v>
      </c>
      <c r="DB435" s="890">
        <f t="shared" si="1175"/>
        <v>2215837.6820267001</v>
      </c>
      <c r="DC435" s="1073"/>
      <c r="DD435" s="1071"/>
      <c r="DE435" s="1072"/>
      <c r="DF435" s="1072"/>
      <c r="DG435" s="890">
        <f t="shared" si="1176"/>
        <v>3976622</v>
      </c>
      <c r="DH435" s="890">
        <f t="shared" si="1176"/>
        <v>1455724.5705582532</v>
      </c>
      <c r="DI435" s="890">
        <f t="shared" si="1176"/>
        <v>305059.74741504656</v>
      </c>
      <c r="DJ435" s="890">
        <f t="shared" si="1176"/>
        <v>2215837.6820267001</v>
      </c>
      <c r="DK435" s="1073"/>
      <c r="DL435" s="1071"/>
      <c r="DM435" s="1072"/>
      <c r="DN435" s="1072"/>
      <c r="DO435" s="890">
        <f t="shared" si="1177"/>
        <v>3976622</v>
      </c>
      <c r="DP435" s="890">
        <f t="shared" si="1177"/>
        <v>1455724.5705582532</v>
      </c>
      <c r="DQ435" s="890">
        <f t="shared" si="1177"/>
        <v>305059.74741504656</v>
      </c>
      <c r="DR435" s="890">
        <f t="shared" si="1177"/>
        <v>2215837.6820267001</v>
      </c>
      <c r="DS435" s="1073"/>
      <c r="DT435" s="1071"/>
      <c r="DU435" s="1072"/>
      <c r="DV435" s="1072"/>
      <c r="DW435" s="890">
        <f t="shared" si="1178"/>
        <v>3976622</v>
      </c>
      <c r="DX435" s="890">
        <f t="shared" si="1178"/>
        <v>1455724.5705582532</v>
      </c>
      <c r="DY435" s="890">
        <f t="shared" si="1178"/>
        <v>305059.74741504656</v>
      </c>
      <c r="DZ435" s="890">
        <f t="shared" si="1178"/>
        <v>2215837.6820267001</v>
      </c>
      <c r="EA435" s="1073"/>
      <c r="EB435" s="1071"/>
      <c r="EC435" s="1072"/>
      <c r="ED435" s="1072"/>
      <c r="EE435" s="890">
        <f t="shared" si="1179"/>
        <v>3976622</v>
      </c>
      <c r="EF435" s="890">
        <f t="shared" si="1179"/>
        <v>1455724.5705582532</v>
      </c>
      <c r="EG435" s="890">
        <f t="shared" si="1179"/>
        <v>305059.74741504656</v>
      </c>
      <c r="EH435" s="890">
        <f t="shared" si="1179"/>
        <v>2215837.6820267001</v>
      </c>
      <c r="EI435" s="1073"/>
      <c r="EJ435" s="1071"/>
      <c r="EK435" s="1072"/>
      <c r="EL435" s="1072"/>
      <c r="EM435" s="890">
        <f t="shared" si="1180"/>
        <v>3976622</v>
      </c>
      <c r="EN435" s="890">
        <f t="shared" si="1180"/>
        <v>1455724.5705582532</v>
      </c>
      <c r="EO435" s="890">
        <f t="shared" si="1180"/>
        <v>305059.74741504656</v>
      </c>
      <c r="EP435" s="890">
        <f t="shared" si="1180"/>
        <v>2215837.6820267001</v>
      </c>
      <c r="EQ435" s="1073"/>
      <c r="ER435" s="1071"/>
      <c r="ES435" s="1072"/>
      <c r="ET435" s="1072"/>
      <c r="EU435" s="890">
        <f t="shared" si="1181"/>
        <v>3976622</v>
      </c>
      <c r="EV435" s="890">
        <f t="shared" si="1181"/>
        <v>1455724.5705582532</v>
      </c>
      <c r="EW435" s="890">
        <f t="shared" si="1181"/>
        <v>305059.74741504656</v>
      </c>
      <c r="EX435" s="890">
        <f t="shared" si="1181"/>
        <v>2215837.6820267001</v>
      </c>
      <c r="EY435" s="1073"/>
      <c r="EZ435" s="1071"/>
      <c r="FA435" s="1072"/>
      <c r="FB435" s="1072"/>
      <c r="FC435" s="890">
        <f t="shared" si="1182"/>
        <v>3976622</v>
      </c>
      <c r="FD435" s="890">
        <f t="shared" si="1182"/>
        <v>1455724.5705582532</v>
      </c>
      <c r="FE435" s="890">
        <f t="shared" si="1182"/>
        <v>305059.74741504656</v>
      </c>
      <c r="FF435" s="890">
        <f t="shared" si="1182"/>
        <v>2215837.6820267001</v>
      </c>
      <c r="FG435" s="1073"/>
      <c r="FH435" s="1071"/>
      <c r="FI435" s="1072"/>
      <c r="FJ435" s="1072"/>
      <c r="FK435" s="890">
        <f t="shared" si="1183"/>
        <v>3976622</v>
      </c>
      <c r="FL435" s="890">
        <f t="shared" si="1183"/>
        <v>1455724.5705582532</v>
      </c>
      <c r="FM435" s="890">
        <f t="shared" si="1183"/>
        <v>305059.74741504656</v>
      </c>
      <c r="FN435" s="890">
        <f t="shared" si="1183"/>
        <v>2215837.6820267001</v>
      </c>
      <c r="FO435" s="1073"/>
    </row>
    <row r="436" spans="2:171">
      <c r="B436" s="108"/>
      <c r="C436" s="108" t="s">
        <v>133</v>
      </c>
      <c r="D436" s="1071"/>
      <c r="E436" s="904" t="str">
        <f>E390</f>
        <v>PTD</v>
      </c>
      <c r="G436" s="890">
        <f t="shared" ref="G436:J437" si="1184">G390</f>
        <v>42279271</v>
      </c>
      <c r="H436" s="890">
        <f t="shared" si="1184"/>
        <v>13434695.760551672</v>
      </c>
      <c r="I436" s="890">
        <f t="shared" si="1184"/>
        <v>0</v>
      </c>
      <c r="J436" s="890">
        <f t="shared" si="1184"/>
        <v>28844575.239448324</v>
      </c>
      <c r="K436" s="1073"/>
      <c r="L436" s="1071"/>
      <c r="M436" s="1072"/>
      <c r="N436" s="1072"/>
      <c r="O436" s="890">
        <f t="shared" ref="O436:R437" si="1185">O390</f>
        <v>42279271</v>
      </c>
      <c r="P436" s="890">
        <f t="shared" si="1185"/>
        <v>13434695.760551672</v>
      </c>
      <c r="Q436" s="890">
        <f t="shared" si="1185"/>
        <v>8804972.5716871228</v>
      </c>
      <c r="R436" s="890">
        <f t="shared" si="1185"/>
        <v>20039602.667761203</v>
      </c>
      <c r="S436" s="1073"/>
      <c r="T436" s="1071"/>
      <c r="U436" s="1072"/>
      <c r="V436" s="1072"/>
      <c r="W436" s="890">
        <f t="shared" ref="W436:Z437" si="1186">W390</f>
        <v>42279271</v>
      </c>
      <c r="X436" s="890">
        <f t="shared" si="1186"/>
        <v>13434695.760551672</v>
      </c>
      <c r="Y436" s="890">
        <f t="shared" si="1186"/>
        <v>8804972.5716871228</v>
      </c>
      <c r="Z436" s="890">
        <f t="shared" si="1186"/>
        <v>20039602.667761203</v>
      </c>
      <c r="AA436" s="1073"/>
      <c r="AB436" s="1071"/>
      <c r="AC436" s="1072"/>
      <c r="AD436" s="1072"/>
      <c r="AE436" s="890">
        <f t="shared" ref="AE436:AH437" si="1187">AE390</f>
        <v>42279271</v>
      </c>
      <c r="AF436" s="890">
        <f t="shared" si="1187"/>
        <v>13434695.760551672</v>
      </c>
      <c r="AG436" s="890">
        <f t="shared" si="1187"/>
        <v>8804972.5716871228</v>
      </c>
      <c r="AH436" s="890">
        <f t="shared" si="1187"/>
        <v>20039602.667761203</v>
      </c>
      <c r="AI436" s="1073"/>
      <c r="AJ436" s="1071"/>
      <c r="AK436" s="1072"/>
      <c r="AL436" s="1072"/>
      <c r="AM436" s="890">
        <f t="shared" ref="AM436:AP437" si="1188">AM390</f>
        <v>42279271</v>
      </c>
      <c r="AN436" s="890">
        <f t="shared" si="1188"/>
        <v>13434695.760551672</v>
      </c>
      <c r="AO436" s="890">
        <f t="shared" si="1188"/>
        <v>8804972.5716871228</v>
      </c>
      <c r="AP436" s="890">
        <f t="shared" si="1188"/>
        <v>20039602.667761203</v>
      </c>
      <c r="AQ436" s="1073"/>
      <c r="AR436" s="1071"/>
      <c r="AS436" s="1072"/>
      <c r="AT436" s="1072"/>
      <c r="AU436" s="890">
        <f t="shared" ref="AU436:AX437" si="1189">AU390</f>
        <v>42279271</v>
      </c>
      <c r="AV436" s="890">
        <f t="shared" si="1189"/>
        <v>13434695.760551672</v>
      </c>
      <c r="AW436" s="890">
        <f t="shared" si="1189"/>
        <v>8804972.5716871228</v>
      </c>
      <c r="AX436" s="890">
        <f t="shared" si="1189"/>
        <v>20039602.667761203</v>
      </c>
      <c r="AY436" s="1073"/>
      <c r="AZ436" s="1071"/>
      <c r="BA436" s="1072"/>
      <c r="BB436" s="1072"/>
      <c r="BC436" s="890">
        <f t="shared" ref="BC436:BF437" si="1190">BC390</f>
        <v>42279271</v>
      </c>
      <c r="BD436" s="890">
        <f t="shared" si="1190"/>
        <v>13434695.760551672</v>
      </c>
      <c r="BE436" s="890">
        <f t="shared" si="1190"/>
        <v>8804972.5716871228</v>
      </c>
      <c r="BF436" s="890">
        <f t="shared" si="1190"/>
        <v>20039602.667761203</v>
      </c>
      <c r="BG436" s="1073"/>
      <c r="BH436" s="1071"/>
      <c r="BI436" s="1072"/>
      <c r="BJ436" s="1072"/>
      <c r="BK436" s="890">
        <f t="shared" ref="BK436:BN437" si="1191">BK390</f>
        <v>42279271</v>
      </c>
      <c r="BL436" s="890">
        <f t="shared" si="1191"/>
        <v>13434695.760551672</v>
      </c>
      <c r="BM436" s="890">
        <f t="shared" si="1191"/>
        <v>8804972.5716871228</v>
      </c>
      <c r="BN436" s="890">
        <f t="shared" si="1191"/>
        <v>20039602.667761203</v>
      </c>
      <c r="BO436" s="1073"/>
      <c r="BP436" s="1071"/>
      <c r="BQ436" s="1072"/>
      <c r="BR436" s="1072"/>
      <c r="BS436" s="890">
        <f t="shared" ref="BS436:BV437" si="1192">BS390</f>
        <v>42279271</v>
      </c>
      <c r="BT436" s="890">
        <f t="shared" si="1192"/>
        <v>13434695.760551672</v>
      </c>
      <c r="BU436" s="890">
        <f t="shared" si="1192"/>
        <v>8804972.5716871228</v>
      </c>
      <c r="BV436" s="890">
        <f t="shared" si="1192"/>
        <v>20039602.667761203</v>
      </c>
      <c r="BW436" s="1073"/>
      <c r="BX436" s="1071"/>
      <c r="BY436" s="1072"/>
      <c r="BZ436" s="1072"/>
      <c r="CA436" s="890">
        <f t="shared" ref="CA436:CD437" si="1193">CA390</f>
        <v>42279271</v>
      </c>
      <c r="CB436" s="890">
        <f t="shared" si="1193"/>
        <v>13434695.760551672</v>
      </c>
      <c r="CC436" s="890">
        <f t="shared" si="1193"/>
        <v>8804972.5716871228</v>
      </c>
      <c r="CD436" s="890">
        <f t="shared" si="1193"/>
        <v>20039602.667761203</v>
      </c>
      <c r="CE436" s="1073"/>
      <c r="CF436" s="1071"/>
      <c r="CG436" s="1072"/>
      <c r="CH436" s="1072"/>
      <c r="CI436" s="890">
        <f t="shared" ref="CI436:CL437" si="1194">CI390</f>
        <v>42279271</v>
      </c>
      <c r="CJ436" s="890">
        <f t="shared" si="1194"/>
        <v>13434695.760551672</v>
      </c>
      <c r="CK436" s="890">
        <f t="shared" si="1194"/>
        <v>8804972.5716871228</v>
      </c>
      <c r="CL436" s="890">
        <f t="shared" si="1194"/>
        <v>20039602.667761203</v>
      </c>
      <c r="CM436" s="1073"/>
      <c r="CN436" s="1071"/>
      <c r="CO436" s="1072"/>
      <c r="CP436" s="1072"/>
      <c r="CQ436" s="890">
        <f t="shared" ref="CQ436:CT437" si="1195">CQ390</f>
        <v>42279271</v>
      </c>
      <c r="CR436" s="890">
        <f t="shared" si="1195"/>
        <v>13434695.760551672</v>
      </c>
      <c r="CS436" s="890">
        <f t="shared" si="1195"/>
        <v>8804972.5716871228</v>
      </c>
      <c r="CT436" s="890">
        <f t="shared" si="1195"/>
        <v>20039602.667761203</v>
      </c>
      <c r="CU436" s="1073"/>
      <c r="CV436" s="1071"/>
      <c r="CW436" s="1072"/>
      <c r="CX436" s="1072"/>
      <c r="CY436" s="890">
        <f t="shared" ref="CY436:DB437" si="1196">CY390</f>
        <v>42279271</v>
      </c>
      <c r="CZ436" s="890">
        <f t="shared" si="1196"/>
        <v>13434695.760551672</v>
      </c>
      <c r="DA436" s="890">
        <f t="shared" si="1196"/>
        <v>8804972.5716871228</v>
      </c>
      <c r="DB436" s="890">
        <f t="shared" si="1196"/>
        <v>20039602.667761203</v>
      </c>
      <c r="DC436" s="1073"/>
      <c r="DD436" s="1071"/>
      <c r="DE436" s="1072"/>
      <c r="DF436" s="1072"/>
      <c r="DG436" s="890">
        <f t="shared" ref="DG436:DJ437" si="1197">DG390</f>
        <v>42279271</v>
      </c>
      <c r="DH436" s="890">
        <f t="shared" si="1197"/>
        <v>13434695.760551672</v>
      </c>
      <c r="DI436" s="890">
        <f t="shared" si="1197"/>
        <v>8804972.5716871228</v>
      </c>
      <c r="DJ436" s="890">
        <f t="shared" si="1197"/>
        <v>20039602.667761203</v>
      </c>
      <c r="DK436" s="1073"/>
      <c r="DL436" s="1071"/>
      <c r="DM436" s="1072"/>
      <c r="DN436" s="1072"/>
      <c r="DO436" s="890">
        <f t="shared" ref="DO436:DR437" si="1198">DO390</f>
        <v>42279271</v>
      </c>
      <c r="DP436" s="890">
        <f t="shared" si="1198"/>
        <v>13434695.760551672</v>
      </c>
      <c r="DQ436" s="890">
        <f t="shared" si="1198"/>
        <v>8804972.5716871228</v>
      </c>
      <c r="DR436" s="890">
        <f t="shared" si="1198"/>
        <v>20039602.667761203</v>
      </c>
      <c r="DS436" s="1073"/>
      <c r="DT436" s="1071"/>
      <c r="DU436" s="1072"/>
      <c r="DV436" s="1072"/>
      <c r="DW436" s="890">
        <f t="shared" ref="DW436:DZ437" si="1199">DW390</f>
        <v>42279271</v>
      </c>
      <c r="DX436" s="890">
        <f t="shared" si="1199"/>
        <v>13434695.760551672</v>
      </c>
      <c r="DY436" s="890">
        <f t="shared" si="1199"/>
        <v>8804972.5716871228</v>
      </c>
      <c r="DZ436" s="890">
        <f t="shared" si="1199"/>
        <v>20039602.667761203</v>
      </c>
      <c r="EA436" s="1073"/>
      <c r="EB436" s="1071"/>
      <c r="EC436" s="1072"/>
      <c r="ED436" s="1072"/>
      <c r="EE436" s="890">
        <f t="shared" ref="EE436:EH437" si="1200">EE390</f>
        <v>42279271</v>
      </c>
      <c r="EF436" s="890">
        <f t="shared" si="1200"/>
        <v>13434695.760551672</v>
      </c>
      <c r="EG436" s="890">
        <f t="shared" si="1200"/>
        <v>8804972.5716871228</v>
      </c>
      <c r="EH436" s="890">
        <f t="shared" si="1200"/>
        <v>20039602.667761203</v>
      </c>
      <c r="EI436" s="1073"/>
      <c r="EJ436" s="1071"/>
      <c r="EK436" s="1072"/>
      <c r="EL436" s="1072"/>
      <c r="EM436" s="890">
        <f t="shared" ref="EM436:EP437" si="1201">EM390</f>
        <v>42279271</v>
      </c>
      <c r="EN436" s="890">
        <f t="shared" si="1201"/>
        <v>13434695.760551672</v>
      </c>
      <c r="EO436" s="890">
        <f t="shared" si="1201"/>
        <v>8804972.5716871228</v>
      </c>
      <c r="EP436" s="890">
        <f t="shared" si="1201"/>
        <v>20039602.667761203</v>
      </c>
      <c r="EQ436" s="1073"/>
      <c r="ER436" s="1071"/>
      <c r="ES436" s="1072"/>
      <c r="ET436" s="1072"/>
      <c r="EU436" s="890">
        <f t="shared" ref="EU436:EX437" si="1202">EU390</f>
        <v>42279271</v>
      </c>
      <c r="EV436" s="890">
        <f t="shared" si="1202"/>
        <v>13434695.760551672</v>
      </c>
      <c r="EW436" s="890">
        <f t="shared" si="1202"/>
        <v>8804972.5716871228</v>
      </c>
      <c r="EX436" s="890">
        <f t="shared" si="1202"/>
        <v>20039602.667761203</v>
      </c>
      <c r="EY436" s="1073"/>
      <c r="EZ436" s="1071"/>
      <c r="FA436" s="1072"/>
      <c r="FB436" s="1072"/>
      <c r="FC436" s="890">
        <f t="shared" ref="FC436:FF437" si="1203">FC390</f>
        <v>42279271</v>
      </c>
      <c r="FD436" s="890">
        <f t="shared" si="1203"/>
        <v>13434695.760551672</v>
      </c>
      <c r="FE436" s="890">
        <f t="shared" si="1203"/>
        <v>8804972.5716871228</v>
      </c>
      <c r="FF436" s="890">
        <f t="shared" si="1203"/>
        <v>20039602.667761203</v>
      </c>
      <c r="FG436" s="1073"/>
      <c r="FH436" s="1071"/>
      <c r="FI436" s="1072"/>
      <c r="FJ436" s="1072"/>
      <c r="FK436" s="890">
        <f t="shared" ref="FK436:FN437" si="1204">FK390</f>
        <v>42279271</v>
      </c>
      <c r="FL436" s="890">
        <f t="shared" si="1204"/>
        <v>13434695.760551672</v>
      </c>
      <c r="FM436" s="890">
        <f t="shared" si="1204"/>
        <v>8804972.5716871228</v>
      </c>
      <c r="FN436" s="890">
        <f t="shared" si="1204"/>
        <v>20039602.667761203</v>
      </c>
      <c r="FO436" s="1073"/>
    </row>
    <row r="437" spans="2:171">
      <c r="B437" s="108"/>
      <c r="C437" s="108" t="s">
        <v>134</v>
      </c>
      <c r="D437" s="1071"/>
      <c r="E437" s="904" t="str">
        <f>E391</f>
        <v>PTD</v>
      </c>
      <c r="G437" s="890">
        <f t="shared" si="1184"/>
        <v>258773</v>
      </c>
      <c r="H437" s="890">
        <f t="shared" si="1184"/>
        <v>82227.920297992794</v>
      </c>
      <c r="I437" s="890">
        <f t="shared" si="1184"/>
        <v>0</v>
      </c>
      <c r="J437" s="890">
        <f t="shared" si="1184"/>
        <v>176545.07970200721</v>
      </c>
      <c r="K437" s="1078"/>
      <c r="L437" s="1071"/>
      <c r="M437" s="1072"/>
      <c r="N437" s="1072"/>
      <c r="O437" s="890">
        <f t="shared" si="1185"/>
        <v>258773</v>
      </c>
      <c r="P437" s="890">
        <f t="shared" si="1185"/>
        <v>82227.920297992794</v>
      </c>
      <c r="Q437" s="890">
        <f t="shared" si="1185"/>
        <v>53891.401469367622</v>
      </c>
      <c r="R437" s="890">
        <f t="shared" si="1185"/>
        <v>122653.67823263959</v>
      </c>
      <c r="S437" s="1078"/>
      <c r="T437" s="1071"/>
      <c r="U437" s="1072"/>
      <c r="V437" s="1072"/>
      <c r="W437" s="890">
        <f t="shared" si="1186"/>
        <v>258773</v>
      </c>
      <c r="X437" s="890">
        <f t="shared" si="1186"/>
        <v>82227.920297992794</v>
      </c>
      <c r="Y437" s="890">
        <f t="shared" si="1186"/>
        <v>53891.401469367622</v>
      </c>
      <c r="Z437" s="890">
        <f t="shared" si="1186"/>
        <v>122653.67823263959</v>
      </c>
      <c r="AA437" s="1078"/>
      <c r="AB437" s="1071"/>
      <c r="AC437" s="1072"/>
      <c r="AD437" s="1072"/>
      <c r="AE437" s="890">
        <f t="shared" si="1187"/>
        <v>258773</v>
      </c>
      <c r="AF437" s="890">
        <f t="shared" si="1187"/>
        <v>82227.920297992794</v>
      </c>
      <c r="AG437" s="890">
        <f t="shared" si="1187"/>
        <v>53891.401469367622</v>
      </c>
      <c r="AH437" s="890">
        <f t="shared" si="1187"/>
        <v>122653.67823263959</v>
      </c>
      <c r="AI437" s="1078"/>
      <c r="AJ437" s="1071"/>
      <c r="AK437" s="1072"/>
      <c r="AL437" s="1072"/>
      <c r="AM437" s="890">
        <f t="shared" si="1188"/>
        <v>258773</v>
      </c>
      <c r="AN437" s="890">
        <f t="shared" si="1188"/>
        <v>82227.920297992794</v>
      </c>
      <c r="AO437" s="890">
        <f t="shared" si="1188"/>
        <v>53891.401469367622</v>
      </c>
      <c r="AP437" s="890">
        <f t="shared" si="1188"/>
        <v>122653.67823263959</v>
      </c>
      <c r="AQ437" s="1078"/>
      <c r="AR437" s="1071"/>
      <c r="AS437" s="1072"/>
      <c r="AT437" s="1072"/>
      <c r="AU437" s="890">
        <f t="shared" si="1189"/>
        <v>258773</v>
      </c>
      <c r="AV437" s="890">
        <f t="shared" si="1189"/>
        <v>82227.920297992794</v>
      </c>
      <c r="AW437" s="890">
        <f t="shared" si="1189"/>
        <v>53891.401469367622</v>
      </c>
      <c r="AX437" s="890">
        <f t="shared" si="1189"/>
        <v>122653.67823263959</v>
      </c>
      <c r="AY437" s="1078"/>
      <c r="AZ437" s="1071"/>
      <c r="BA437" s="1072"/>
      <c r="BB437" s="1072"/>
      <c r="BC437" s="890">
        <f t="shared" si="1190"/>
        <v>258773</v>
      </c>
      <c r="BD437" s="890">
        <f t="shared" si="1190"/>
        <v>82227.920297992794</v>
      </c>
      <c r="BE437" s="890">
        <f t="shared" si="1190"/>
        <v>53891.401469367622</v>
      </c>
      <c r="BF437" s="890">
        <f t="shared" si="1190"/>
        <v>122653.67823263959</v>
      </c>
      <c r="BG437" s="1078"/>
      <c r="BH437" s="1071"/>
      <c r="BI437" s="1072"/>
      <c r="BJ437" s="1072"/>
      <c r="BK437" s="890">
        <f t="shared" si="1191"/>
        <v>258773</v>
      </c>
      <c r="BL437" s="890">
        <f t="shared" si="1191"/>
        <v>82227.920297992794</v>
      </c>
      <c r="BM437" s="890">
        <f t="shared" si="1191"/>
        <v>53891.401469367622</v>
      </c>
      <c r="BN437" s="890">
        <f t="shared" si="1191"/>
        <v>122653.67823263959</v>
      </c>
      <c r="BO437" s="1078"/>
      <c r="BP437" s="1071"/>
      <c r="BQ437" s="1072"/>
      <c r="BR437" s="1072"/>
      <c r="BS437" s="890">
        <f t="shared" si="1192"/>
        <v>258773</v>
      </c>
      <c r="BT437" s="890">
        <f t="shared" si="1192"/>
        <v>82227.920297992794</v>
      </c>
      <c r="BU437" s="890">
        <f t="shared" si="1192"/>
        <v>53891.401469367622</v>
      </c>
      <c r="BV437" s="890">
        <f t="shared" si="1192"/>
        <v>122653.67823263959</v>
      </c>
      <c r="BW437" s="1078"/>
      <c r="BX437" s="1071"/>
      <c r="BY437" s="1072"/>
      <c r="BZ437" s="1072"/>
      <c r="CA437" s="890">
        <f t="shared" si="1193"/>
        <v>258773</v>
      </c>
      <c r="CB437" s="890">
        <f t="shared" si="1193"/>
        <v>82227.920297992794</v>
      </c>
      <c r="CC437" s="890">
        <f t="shared" si="1193"/>
        <v>53891.401469367622</v>
      </c>
      <c r="CD437" s="890">
        <f t="shared" si="1193"/>
        <v>122653.67823263959</v>
      </c>
      <c r="CE437" s="1078"/>
      <c r="CF437" s="1071"/>
      <c r="CG437" s="1072"/>
      <c r="CH437" s="1072"/>
      <c r="CI437" s="890">
        <f t="shared" si="1194"/>
        <v>258773</v>
      </c>
      <c r="CJ437" s="890">
        <f t="shared" si="1194"/>
        <v>82227.920297992794</v>
      </c>
      <c r="CK437" s="890">
        <f t="shared" si="1194"/>
        <v>53891.401469367622</v>
      </c>
      <c r="CL437" s="890">
        <f t="shared" si="1194"/>
        <v>122653.67823263959</v>
      </c>
      <c r="CM437" s="1078"/>
      <c r="CN437" s="1071"/>
      <c r="CO437" s="1072"/>
      <c r="CP437" s="1072"/>
      <c r="CQ437" s="890">
        <f t="shared" si="1195"/>
        <v>258773</v>
      </c>
      <c r="CR437" s="890">
        <f t="shared" si="1195"/>
        <v>82227.920297992794</v>
      </c>
      <c r="CS437" s="890">
        <f t="shared" si="1195"/>
        <v>53891.401469367622</v>
      </c>
      <c r="CT437" s="890">
        <f t="shared" si="1195"/>
        <v>122653.67823263959</v>
      </c>
      <c r="CU437" s="1078"/>
      <c r="CV437" s="1071"/>
      <c r="CW437" s="1072"/>
      <c r="CX437" s="1072"/>
      <c r="CY437" s="890">
        <f t="shared" si="1196"/>
        <v>258773</v>
      </c>
      <c r="CZ437" s="890">
        <f t="shared" si="1196"/>
        <v>82227.920297992794</v>
      </c>
      <c r="DA437" s="890">
        <f t="shared" si="1196"/>
        <v>53891.401469367622</v>
      </c>
      <c r="DB437" s="890">
        <f t="shared" si="1196"/>
        <v>122653.67823263959</v>
      </c>
      <c r="DC437" s="1078"/>
      <c r="DD437" s="1071"/>
      <c r="DE437" s="1072"/>
      <c r="DF437" s="1072"/>
      <c r="DG437" s="890">
        <f t="shared" si="1197"/>
        <v>258773</v>
      </c>
      <c r="DH437" s="890">
        <f t="shared" si="1197"/>
        <v>82227.920297992794</v>
      </c>
      <c r="DI437" s="890">
        <f t="shared" si="1197"/>
        <v>53891.401469367622</v>
      </c>
      <c r="DJ437" s="890">
        <f t="shared" si="1197"/>
        <v>122653.67823263959</v>
      </c>
      <c r="DK437" s="1078"/>
      <c r="DL437" s="1071"/>
      <c r="DM437" s="1072"/>
      <c r="DN437" s="1072"/>
      <c r="DO437" s="890">
        <f t="shared" si="1198"/>
        <v>258773</v>
      </c>
      <c r="DP437" s="890">
        <f t="shared" si="1198"/>
        <v>82227.920297992794</v>
      </c>
      <c r="DQ437" s="890">
        <f t="shared" si="1198"/>
        <v>53891.401469367622</v>
      </c>
      <c r="DR437" s="890">
        <f t="shared" si="1198"/>
        <v>122653.67823263959</v>
      </c>
      <c r="DS437" s="1078"/>
      <c r="DT437" s="1071"/>
      <c r="DU437" s="1072"/>
      <c r="DV437" s="1072"/>
      <c r="DW437" s="890">
        <f t="shared" si="1199"/>
        <v>258773</v>
      </c>
      <c r="DX437" s="890">
        <f t="shared" si="1199"/>
        <v>82227.920297992794</v>
      </c>
      <c r="DY437" s="890">
        <f t="shared" si="1199"/>
        <v>53891.401469367622</v>
      </c>
      <c r="DZ437" s="890">
        <f t="shared" si="1199"/>
        <v>122653.67823263959</v>
      </c>
      <c r="EA437" s="1078"/>
      <c r="EB437" s="1071"/>
      <c r="EC437" s="1072"/>
      <c r="ED437" s="1072"/>
      <c r="EE437" s="890">
        <f t="shared" si="1200"/>
        <v>258773</v>
      </c>
      <c r="EF437" s="890">
        <f t="shared" si="1200"/>
        <v>82227.920297992794</v>
      </c>
      <c r="EG437" s="890">
        <f t="shared" si="1200"/>
        <v>53891.401469367622</v>
      </c>
      <c r="EH437" s="890">
        <f t="shared" si="1200"/>
        <v>122653.67823263959</v>
      </c>
      <c r="EI437" s="1078"/>
      <c r="EJ437" s="1071"/>
      <c r="EK437" s="1072"/>
      <c r="EL437" s="1072"/>
      <c r="EM437" s="890">
        <f t="shared" si="1201"/>
        <v>258773</v>
      </c>
      <c r="EN437" s="890">
        <f t="shared" si="1201"/>
        <v>82227.920297992794</v>
      </c>
      <c r="EO437" s="890">
        <f t="shared" si="1201"/>
        <v>53891.401469367622</v>
      </c>
      <c r="EP437" s="890">
        <f t="shared" si="1201"/>
        <v>122653.67823263959</v>
      </c>
      <c r="EQ437" s="1078"/>
      <c r="ER437" s="1071"/>
      <c r="ES437" s="1072"/>
      <c r="ET437" s="1072"/>
      <c r="EU437" s="890">
        <f t="shared" si="1202"/>
        <v>258773</v>
      </c>
      <c r="EV437" s="890">
        <f t="shared" si="1202"/>
        <v>82227.920297992794</v>
      </c>
      <c r="EW437" s="890">
        <f t="shared" si="1202"/>
        <v>53891.401469367622</v>
      </c>
      <c r="EX437" s="890">
        <f t="shared" si="1202"/>
        <v>122653.67823263959</v>
      </c>
      <c r="EY437" s="1078"/>
      <c r="EZ437" s="1071"/>
      <c r="FA437" s="1072"/>
      <c r="FB437" s="1072"/>
      <c r="FC437" s="890">
        <f t="shared" si="1203"/>
        <v>258773</v>
      </c>
      <c r="FD437" s="890">
        <f t="shared" si="1203"/>
        <v>82227.920297992794</v>
      </c>
      <c r="FE437" s="890">
        <f t="shared" si="1203"/>
        <v>53891.401469367622</v>
      </c>
      <c r="FF437" s="890">
        <f t="shared" si="1203"/>
        <v>122653.67823263959</v>
      </c>
      <c r="FG437" s="1078"/>
      <c r="FH437" s="1071"/>
      <c r="FI437" s="1072"/>
      <c r="FJ437" s="1072"/>
      <c r="FK437" s="890">
        <f t="shared" si="1204"/>
        <v>258773</v>
      </c>
      <c r="FL437" s="890">
        <f t="shared" si="1204"/>
        <v>82227.920297992794</v>
      </c>
      <c r="FM437" s="890">
        <f t="shared" si="1204"/>
        <v>53891.401469367622</v>
      </c>
      <c r="FN437" s="890">
        <f t="shared" si="1204"/>
        <v>122653.67823263959</v>
      </c>
      <c r="FO437" s="1078"/>
    </row>
    <row r="438" spans="2:171">
      <c r="B438" s="108"/>
      <c r="C438" s="108" t="s">
        <v>527</v>
      </c>
      <c r="D438" s="1071"/>
      <c r="E438" s="124"/>
      <c r="F438" s="1072"/>
      <c r="G438" s="1648">
        <f>SUM(G434:G437)</f>
        <v>67560174</v>
      </c>
      <c r="H438" s="1648">
        <f>SUM(H434:H437)</f>
        <v>21660086.100235924</v>
      </c>
      <c r="I438" s="1648">
        <f>SUM(I434:I437)</f>
        <v>0</v>
      </c>
      <c r="J438" s="1648">
        <f>SUM(J434:J437)</f>
        <v>45900087.899764068</v>
      </c>
      <c r="K438" s="1073"/>
      <c r="L438" s="1071"/>
      <c r="M438" s="1072"/>
      <c r="N438" s="1072"/>
      <c r="O438" s="1648">
        <f>SUM(O434:O437)</f>
        <v>67560174</v>
      </c>
      <c r="P438" s="1648">
        <f>SUM(P434:P437)</f>
        <v>21660086.100235924</v>
      </c>
      <c r="Q438" s="1648">
        <f>SUM(Q434:Q437)</f>
        <v>13546807.25461407</v>
      </c>
      <c r="R438" s="1648">
        <f>SUM(R434:R437)</f>
        <v>32353280.645150006</v>
      </c>
      <c r="S438" s="1073"/>
      <c r="T438" s="1071"/>
      <c r="U438" s="1072"/>
      <c r="V438" s="1072"/>
      <c r="W438" s="1648">
        <f>SUM(W434:W437)</f>
        <v>67560174</v>
      </c>
      <c r="X438" s="1648">
        <f>SUM(X434:X437)</f>
        <v>21660086.100235924</v>
      </c>
      <c r="Y438" s="1648">
        <f>SUM(Y434:Y437)</f>
        <v>13546807.25461407</v>
      </c>
      <c r="Z438" s="1648">
        <f>SUM(Z434:Z437)</f>
        <v>32353280.645150006</v>
      </c>
      <c r="AA438" s="1073"/>
      <c r="AB438" s="1071"/>
      <c r="AC438" s="1072"/>
      <c r="AD438" s="1072"/>
      <c r="AE438" s="1648">
        <f>SUM(AE434:AE437)</f>
        <v>67560174</v>
      </c>
      <c r="AF438" s="1648">
        <f>SUM(AF434:AF437)</f>
        <v>21660086.100235924</v>
      </c>
      <c r="AG438" s="1648">
        <f>SUM(AG434:AG437)</f>
        <v>13546807.25461407</v>
      </c>
      <c r="AH438" s="1648">
        <f>SUM(AH434:AH437)</f>
        <v>32353280.645150006</v>
      </c>
      <c r="AI438" s="1073"/>
      <c r="AJ438" s="1071"/>
      <c r="AK438" s="1072"/>
      <c r="AL438" s="1072"/>
      <c r="AM438" s="1648">
        <f>SUM(AM434:AM437)</f>
        <v>67560174</v>
      </c>
      <c r="AN438" s="1648">
        <f>SUM(AN434:AN437)</f>
        <v>21660086.100235924</v>
      </c>
      <c r="AO438" s="1648">
        <f>SUM(AO434:AO437)</f>
        <v>13546807.25461407</v>
      </c>
      <c r="AP438" s="1648">
        <f>SUM(AP434:AP437)</f>
        <v>32353280.645150006</v>
      </c>
      <c r="AQ438" s="1073"/>
      <c r="AR438" s="1071"/>
      <c r="AS438" s="1072"/>
      <c r="AT438" s="1072"/>
      <c r="AU438" s="1648">
        <f>SUM(AU434:AU437)</f>
        <v>67560174</v>
      </c>
      <c r="AV438" s="1648">
        <f>SUM(AV434:AV437)</f>
        <v>21660086.100235924</v>
      </c>
      <c r="AW438" s="1648">
        <f>SUM(AW434:AW437)</f>
        <v>13546807.25461407</v>
      </c>
      <c r="AX438" s="1648">
        <f>SUM(AX434:AX437)</f>
        <v>32353280.645150006</v>
      </c>
      <c r="AY438" s="1073"/>
      <c r="AZ438" s="1071"/>
      <c r="BA438" s="1072"/>
      <c r="BB438" s="1072"/>
      <c r="BC438" s="1648">
        <f>SUM(BC434:BC437)</f>
        <v>67560174</v>
      </c>
      <c r="BD438" s="1648">
        <f>SUM(BD434:BD437)</f>
        <v>21660086.100235924</v>
      </c>
      <c r="BE438" s="1648">
        <f>SUM(BE434:BE437)</f>
        <v>13546807.25461407</v>
      </c>
      <c r="BF438" s="1648">
        <f>SUM(BF434:BF437)</f>
        <v>32353280.645150006</v>
      </c>
      <c r="BG438" s="1073"/>
      <c r="BH438" s="1071"/>
      <c r="BI438" s="1072"/>
      <c r="BJ438" s="1072"/>
      <c r="BK438" s="1648">
        <f>SUM(BK434:BK437)</f>
        <v>67560174</v>
      </c>
      <c r="BL438" s="1648">
        <f>SUM(BL434:BL437)</f>
        <v>21660086.100235924</v>
      </c>
      <c r="BM438" s="1648">
        <f>SUM(BM434:BM437)</f>
        <v>13546807.25461407</v>
      </c>
      <c r="BN438" s="1648">
        <f>SUM(BN434:BN437)</f>
        <v>32353280.645150006</v>
      </c>
      <c r="BO438" s="1073"/>
      <c r="BP438" s="1071"/>
      <c r="BQ438" s="1072"/>
      <c r="BR438" s="1072"/>
      <c r="BS438" s="1648">
        <f>SUM(BS434:BS437)</f>
        <v>67560174</v>
      </c>
      <c r="BT438" s="1648">
        <f>SUM(BT434:BT437)</f>
        <v>21660086.100235924</v>
      </c>
      <c r="BU438" s="1648">
        <f>SUM(BU434:BU437)</f>
        <v>13546807.25461407</v>
      </c>
      <c r="BV438" s="1648">
        <f>SUM(BV434:BV437)</f>
        <v>32353280.645150006</v>
      </c>
      <c r="BW438" s="1073"/>
      <c r="BX438" s="1071"/>
      <c r="BY438" s="1072"/>
      <c r="BZ438" s="1072"/>
      <c r="CA438" s="1648">
        <f>SUM(CA434:CA437)</f>
        <v>67560174</v>
      </c>
      <c r="CB438" s="1648">
        <f>SUM(CB434:CB437)</f>
        <v>21660086.100235924</v>
      </c>
      <c r="CC438" s="1648">
        <f>SUM(CC434:CC437)</f>
        <v>13546807.25461407</v>
      </c>
      <c r="CD438" s="1648">
        <f>SUM(CD434:CD437)</f>
        <v>32353280.645150006</v>
      </c>
      <c r="CE438" s="1073"/>
      <c r="CF438" s="1071"/>
      <c r="CG438" s="1072"/>
      <c r="CH438" s="1072"/>
      <c r="CI438" s="1648">
        <f>SUM(CI434:CI437)</f>
        <v>67560174</v>
      </c>
      <c r="CJ438" s="1648">
        <f>SUM(CJ434:CJ437)</f>
        <v>21660086.100235924</v>
      </c>
      <c r="CK438" s="1648">
        <f>SUM(CK434:CK437)</f>
        <v>13546807.25461407</v>
      </c>
      <c r="CL438" s="1648">
        <f>SUM(CL434:CL437)</f>
        <v>32353280.645150006</v>
      </c>
      <c r="CM438" s="1073"/>
      <c r="CN438" s="1071"/>
      <c r="CO438" s="1072"/>
      <c r="CP438" s="1072"/>
      <c r="CQ438" s="1648">
        <f>SUM(CQ434:CQ437)</f>
        <v>67560174</v>
      </c>
      <c r="CR438" s="1648">
        <f>SUM(CR434:CR437)</f>
        <v>21660086.100235924</v>
      </c>
      <c r="CS438" s="1648">
        <f>SUM(CS434:CS437)</f>
        <v>13546807.25461407</v>
      </c>
      <c r="CT438" s="1648">
        <f>SUM(CT434:CT437)</f>
        <v>32353280.645150006</v>
      </c>
      <c r="CU438" s="1073"/>
      <c r="CV438" s="1071"/>
      <c r="CW438" s="1072"/>
      <c r="CX438" s="1072"/>
      <c r="CY438" s="1648">
        <f>SUM(CY434:CY437)</f>
        <v>67560174</v>
      </c>
      <c r="CZ438" s="1648">
        <f>SUM(CZ434:CZ437)</f>
        <v>21660086.100235924</v>
      </c>
      <c r="DA438" s="1648">
        <f>SUM(DA434:DA437)</f>
        <v>13546807.25461407</v>
      </c>
      <c r="DB438" s="1648">
        <f>SUM(DB434:DB437)</f>
        <v>32353280.645150006</v>
      </c>
      <c r="DC438" s="1073"/>
      <c r="DD438" s="1071"/>
      <c r="DE438" s="1072"/>
      <c r="DF438" s="1072"/>
      <c r="DG438" s="1648">
        <f>SUM(DG434:DG437)</f>
        <v>67560174</v>
      </c>
      <c r="DH438" s="1648">
        <f>SUM(DH434:DH437)</f>
        <v>21660086.100235924</v>
      </c>
      <c r="DI438" s="1648">
        <f>SUM(DI434:DI437)</f>
        <v>13546807.25461407</v>
      </c>
      <c r="DJ438" s="1648">
        <f>SUM(DJ434:DJ437)</f>
        <v>32353280.645150006</v>
      </c>
      <c r="DK438" s="1073"/>
      <c r="DL438" s="1071"/>
      <c r="DM438" s="1072"/>
      <c r="DN438" s="1072"/>
      <c r="DO438" s="1648">
        <f>SUM(DO434:DO437)</f>
        <v>67560174</v>
      </c>
      <c r="DP438" s="1648">
        <f>SUM(DP434:DP437)</f>
        <v>21660086.100235924</v>
      </c>
      <c r="DQ438" s="1648">
        <f>SUM(DQ434:DQ437)</f>
        <v>13546807.25461407</v>
      </c>
      <c r="DR438" s="1648">
        <f>SUM(DR434:DR437)</f>
        <v>32353280.645150006</v>
      </c>
      <c r="DS438" s="1073"/>
      <c r="DT438" s="1071"/>
      <c r="DU438" s="1072"/>
      <c r="DV438" s="1072"/>
      <c r="DW438" s="1648">
        <f>SUM(DW434:DW437)</f>
        <v>67560174</v>
      </c>
      <c r="DX438" s="1648">
        <f>SUM(DX434:DX437)</f>
        <v>21660086.100235924</v>
      </c>
      <c r="DY438" s="1648">
        <f>SUM(DY434:DY437)</f>
        <v>13546807.25461407</v>
      </c>
      <c r="DZ438" s="1648">
        <f>SUM(DZ434:DZ437)</f>
        <v>32353280.645150006</v>
      </c>
      <c r="EA438" s="1073"/>
      <c r="EB438" s="1071"/>
      <c r="EC438" s="1072"/>
      <c r="ED438" s="1072"/>
      <c r="EE438" s="1648">
        <f>SUM(EE434:EE437)</f>
        <v>67560174</v>
      </c>
      <c r="EF438" s="1648">
        <f>SUM(EF434:EF437)</f>
        <v>21660086.100235924</v>
      </c>
      <c r="EG438" s="1648">
        <f>SUM(EG434:EG437)</f>
        <v>13546807.25461407</v>
      </c>
      <c r="EH438" s="1648">
        <f>SUM(EH434:EH437)</f>
        <v>32353280.645150006</v>
      </c>
      <c r="EI438" s="1073"/>
      <c r="EJ438" s="1071"/>
      <c r="EK438" s="1072"/>
      <c r="EL438" s="1072"/>
      <c r="EM438" s="1648">
        <f>SUM(EM434:EM437)</f>
        <v>67560174</v>
      </c>
      <c r="EN438" s="1648">
        <f>SUM(EN434:EN437)</f>
        <v>21660086.100235924</v>
      </c>
      <c r="EO438" s="1648">
        <f>SUM(EO434:EO437)</f>
        <v>13546807.25461407</v>
      </c>
      <c r="EP438" s="1648">
        <f>SUM(EP434:EP437)</f>
        <v>32353280.645150006</v>
      </c>
      <c r="EQ438" s="1073"/>
      <c r="ER438" s="1071"/>
      <c r="ES438" s="1072"/>
      <c r="ET438" s="1072"/>
      <c r="EU438" s="1648">
        <f>SUM(EU434:EU437)</f>
        <v>67560174</v>
      </c>
      <c r="EV438" s="1648">
        <f>SUM(EV434:EV437)</f>
        <v>21660086.100235924</v>
      </c>
      <c r="EW438" s="1648">
        <f>SUM(EW434:EW437)</f>
        <v>13546807.25461407</v>
      </c>
      <c r="EX438" s="1648">
        <f>SUM(EX434:EX437)</f>
        <v>32353280.645150006</v>
      </c>
      <c r="EY438" s="1073"/>
      <c r="EZ438" s="1071"/>
      <c r="FA438" s="1072"/>
      <c r="FB438" s="1072"/>
      <c r="FC438" s="1648">
        <f>SUM(FC434:FC437)</f>
        <v>67560174</v>
      </c>
      <c r="FD438" s="1648">
        <f>SUM(FD434:FD437)</f>
        <v>21660086.100235924</v>
      </c>
      <c r="FE438" s="1648">
        <f>SUM(FE434:FE437)</f>
        <v>13546807.25461407</v>
      </c>
      <c r="FF438" s="1648">
        <f>SUM(FF434:FF437)</f>
        <v>32353280.645150006</v>
      </c>
      <c r="FG438" s="1073"/>
      <c r="FH438" s="1071"/>
      <c r="FI438" s="1072"/>
      <c r="FJ438" s="1072"/>
      <c r="FK438" s="1648">
        <f>SUM(FK434:FK437)</f>
        <v>67560174</v>
      </c>
      <c r="FL438" s="1648">
        <f>SUM(FL434:FL437)</f>
        <v>21660086.100235924</v>
      </c>
      <c r="FM438" s="1648">
        <f>SUM(FM434:FM437)</f>
        <v>13546807.25461407</v>
      </c>
      <c r="FN438" s="1648">
        <f>SUM(FN434:FN437)</f>
        <v>32353280.645150006</v>
      </c>
      <c r="FO438" s="1073"/>
    </row>
    <row r="439" spans="2:171">
      <c r="B439" s="123"/>
      <c r="C439" s="123" t="s">
        <v>346</v>
      </c>
      <c r="D439" s="1296" t="s">
        <v>645</v>
      </c>
      <c r="E439" s="561"/>
      <c r="F439" s="1075"/>
      <c r="G439" s="1649">
        <f>SUM(H439:J439)</f>
        <v>0.99999999999999989</v>
      </c>
      <c r="H439" s="1649">
        <f>H438/G438</f>
        <v>0.32060435635106455</v>
      </c>
      <c r="I439" s="1649">
        <f>I438/G438</f>
        <v>0</v>
      </c>
      <c r="J439" s="1649">
        <f>J438/G438</f>
        <v>0.67939564364893534</v>
      </c>
      <c r="K439" s="1073"/>
      <c r="L439" s="1074" t="s">
        <v>645</v>
      </c>
      <c r="M439" s="1075"/>
      <c r="N439" s="1075"/>
      <c r="O439" s="1649">
        <f>SUM(P439:R439)</f>
        <v>1</v>
      </c>
      <c r="P439" s="1649">
        <f>P438/O438</f>
        <v>0.32060435635106455</v>
      </c>
      <c r="Q439" s="1649">
        <f>Q438/O438</f>
        <v>0.2005146886479906</v>
      </c>
      <c r="R439" s="1649">
        <f>R438/O438</f>
        <v>0.47888095500094485</v>
      </c>
      <c r="S439" s="1073"/>
      <c r="T439" s="1074" t="s">
        <v>645</v>
      </c>
      <c r="U439" s="1075"/>
      <c r="V439" s="1075"/>
      <c r="W439" s="1649">
        <f>SUM(X439:Z439)</f>
        <v>1</v>
      </c>
      <c r="X439" s="1649">
        <f>X438/W438</f>
        <v>0.32060435635106455</v>
      </c>
      <c r="Y439" s="1649">
        <f>Y438/W438</f>
        <v>0.2005146886479906</v>
      </c>
      <c r="Z439" s="1649">
        <f>Z438/W438</f>
        <v>0.47888095500094485</v>
      </c>
      <c r="AA439" s="1073"/>
      <c r="AB439" s="1074" t="s">
        <v>645</v>
      </c>
      <c r="AC439" s="1075"/>
      <c r="AD439" s="1075"/>
      <c r="AE439" s="1649">
        <f>SUM(AF439:AH439)</f>
        <v>1</v>
      </c>
      <c r="AF439" s="1649">
        <f>AF438/AE438</f>
        <v>0.32060435635106455</v>
      </c>
      <c r="AG439" s="1649">
        <f>AG438/AE438</f>
        <v>0.2005146886479906</v>
      </c>
      <c r="AH439" s="1649">
        <f>AH438/AE438</f>
        <v>0.47888095500094485</v>
      </c>
      <c r="AI439" s="1073"/>
      <c r="AJ439" s="1074" t="s">
        <v>645</v>
      </c>
      <c r="AK439" s="1075"/>
      <c r="AL439" s="1075"/>
      <c r="AM439" s="1649">
        <f>SUM(AN439:AP439)</f>
        <v>1</v>
      </c>
      <c r="AN439" s="1649">
        <f>AN438/AM438</f>
        <v>0.32060435635106455</v>
      </c>
      <c r="AO439" s="1649">
        <f>AO438/AM438</f>
        <v>0.2005146886479906</v>
      </c>
      <c r="AP439" s="1649">
        <f>AP438/AM438</f>
        <v>0.47888095500094485</v>
      </c>
      <c r="AQ439" s="1073"/>
      <c r="AR439" s="1074" t="s">
        <v>645</v>
      </c>
      <c r="AS439" s="1075"/>
      <c r="AT439" s="1075"/>
      <c r="AU439" s="1649">
        <f>SUM(AV439:AX439)</f>
        <v>1</v>
      </c>
      <c r="AV439" s="1649">
        <f>AV438/AU438</f>
        <v>0.32060435635106455</v>
      </c>
      <c r="AW439" s="1649">
        <f>AW438/AU438</f>
        <v>0.2005146886479906</v>
      </c>
      <c r="AX439" s="1649">
        <f>AX438/AU438</f>
        <v>0.47888095500094485</v>
      </c>
      <c r="AY439" s="1073"/>
      <c r="AZ439" s="1074" t="s">
        <v>645</v>
      </c>
      <c r="BA439" s="1075"/>
      <c r="BB439" s="1075"/>
      <c r="BC439" s="1649">
        <f>SUM(BD439:BF439)</f>
        <v>1</v>
      </c>
      <c r="BD439" s="1649">
        <f>BD438/BC438</f>
        <v>0.32060435635106455</v>
      </c>
      <c r="BE439" s="1649">
        <f>BE438/BC438</f>
        <v>0.2005146886479906</v>
      </c>
      <c r="BF439" s="1649">
        <f>BF438/BC438</f>
        <v>0.47888095500094485</v>
      </c>
      <c r="BG439" s="1073"/>
      <c r="BH439" s="1074" t="s">
        <v>645</v>
      </c>
      <c r="BI439" s="1075"/>
      <c r="BJ439" s="1075"/>
      <c r="BK439" s="1649">
        <f>SUM(BL439:BN439)</f>
        <v>1</v>
      </c>
      <c r="BL439" s="1649">
        <f>BL438/BK438</f>
        <v>0.32060435635106455</v>
      </c>
      <c r="BM439" s="1649">
        <f>BM438/BK438</f>
        <v>0.2005146886479906</v>
      </c>
      <c r="BN439" s="1649">
        <f>BN438/BK438</f>
        <v>0.47888095500094485</v>
      </c>
      <c r="BO439" s="1073"/>
      <c r="BP439" s="1074" t="s">
        <v>645</v>
      </c>
      <c r="BQ439" s="1075"/>
      <c r="BR439" s="1075"/>
      <c r="BS439" s="1649">
        <f>SUM(BT439:BV439)</f>
        <v>1</v>
      </c>
      <c r="BT439" s="1649">
        <f>BT438/BS438</f>
        <v>0.32060435635106455</v>
      </c>
      <c r="BU439" s="1649">
        <f>BU438/BS438</f>
        <v>0.2005146886479906</v>
      </c>
      <c r="BV439" s="1649">
        <f>BV438/BS438</f>
        <v>0.47888095500094485</v>
      </c>
      <c r="BW439" s="1073"/>
      <c r="BX439" s="1074" t="s">
        <v>645</v>
      </c>
      <c r="BY439" s="1075"/>
      <c r="BZ439" s="1075"/>
      <c r="CA439" s="1649">
        <f>SUM(CB439:CD439)</f>
        <v>1</v>
      </c>
      <c r="CB439" s="1649">
        <f>CB438/CA438</f>
        <v>0.32060435635106455</v>
      </c>
      <c r="CC439" s="1649">
        <f>CC438/CA438</f>
        <v>0.2005146886479906</v>
      </c>
      <c r="CD439" s="1649">
        <f>CD438/CA438</f>
        <v>0.47888095500094485</v>
      </c>
      <c r="CE439" s="1073"/>
      <c r="CF439" s="1074" t="s">
        <v>645</v>
      </c>
      <c r="CG439" s="1075"/>
      <c r="CH439" s="1075"/>
      <c r="CI439" s="1649">
        <f>SUM(CJ439:CL439)</f>
        <v>1</v>
      </c>
      <c r="CJ439" s="1649">
        <f>CJ438/CI438</f>
        <v>0.32060435635106455</v>
      </c>
      <c r="CK439" s="1649">
        <f>CK438/CI438</f>
        <v>0.2005146886479906</v>
      </c>
      <c r="CL439" s="1649">
        <f>CL438/CI438</f>
        <v>0.47888095500094485</v>
      </c>
      <c r="CM439" s="1073"/>
      <c r="CN439" s="1074" t="s">
        <v>645</v>
      </c>
      <c r="CO439" s="1075"/>
      <c r="CP439" s="1075"/>
      <c r="CQ439" s="1649">
        <f>SUM(CR439:CT439)</f>
        <v>1</v>
      </c>
      <c r="CR439" s="1649">
        <f>CR438/CQ438</f>
        <v>0.32060435635106455</v>
      </c>
      <c r="CS439" s="1649">
        <f>CS438/CQ438</f>
        <v>0.2005146886479906</v>
      </c>
      <c r="CT439" s="1649">
        <f>CT438/CQ438</f>
        <v>0.47888095500094485</v>
      </c>
      <c r="CU439" s="1073"/>
      <c r="CV439" s="1074" t="s">
        <v>645</v>
      </c>
      <c r="CW439" s="1075"/>
      <c r="CX439" s="1075"/>
      <c r="CY439" s="1649">
        <f>SUM(CZ439:DB439)</f>
        <v>1</v>
      </c>
      <c r="CZ439" s="1649">
        <f>CZ438/CY438</f>
        <v>0.32060435635106455</v>
      </c>
      <c r="DA439" s="1649">
        <f>DA438/CY438</f>
        <v>0.2005146886479906</v>
      </c>
      <c r="DB439" s="1649">
        <f>DB438/CY438</f>
        <v>0.47888095500094485</v>
      </c>
      <c r="DC439" s="1073"/>
      <c r="DD439" s="1074" t="s">
        <v>645</v>
      </c>
      <c r="DE439" s="1075"/>
      <c r="DF439" s="1075"/>
      <c r="DG439" s="1649">
        <f>SUM(DH439:DJ439)</f>
        <v>1</v>
      </c>
      <c r="DH439" s="1649">
        <f>DH438/DG438</f>
        <v>0.32060435635106455</v>
      </c>
      <c r="DI439" s="1649">
        <f>DI438/DG438</f>
        <v>0.2005146886479906</v>
      </c>
      <c r="DJ439" s="1649">
        <f>DJ438/DG438</f>
        <v>0.47888095500094485</v>
      </c>
      <c r="DK439" s="1073"/>
      <c r="DL439" s="1074" t="s">
        <v>645</v>
      </c>
      <c r="DM439" s="1075"/>
      <c r="DN439" s="1075"/>
      <c r="DO439" s="1649">
        <f>SUM(DP439:DR439)</f>
        <v>1</v>
      </c>
      <c r="DP439" s="1649">
        <f>DP438/DO438</f>
        <v>0.32060435635106455</v>
      </c>
      <c r="DQ439" s="1649">
        <f>DQ438/DO438</f>
        <v>0.2005146886479906</v>
      </c>
      <c r="DR439" s="1649">
        <f>DR438/DO438</f>
        <v>0.47888095500094485</v>
      </c>
      <c r="DS439" s="1073"/>
      <c r="DT439" s="1074" t="s">
        <v>645</v>
      </c>
      <c r="DU439" s="1075"/>
      <c r="DV439" s="1075"/>
      <c r="DW439" s="1649">
        <f>SUM(DX439:DZ439)</f>
        <v>1</v>
      </c>
      <c r="DX439" s="1649">
        <f>DX438/DW438</f>
        <v>0.32060435635106455</v>
      </c>
      <c r="DY439" s="1649">
        <f>DY438/DW438</f>
        <v>0.2005146886479906</v>
      </c>
      <c r="DZ439" s="1649">
        <f>DZ438/DW438</f>
        <v>0.47888095500094485</v>
      </c>
      <c r="EA439" s="1073"/>
      <c r="EB439" s="1074" t="s">
        <v>645</v>
      </c>
      <c r="EC439" s="1075"/>
      <c r="ED439" s="1075"/>
      <c r="EE439" s="1649">
        <f>SUM(EF439:EH439)</f>
        <v>1</v>
      </c>
      <c r="EF439" s="1649">
        <f>EF438/EE438</f>
        <v>0.32060435635106455</v>
      </c>
      <c r="EG439" s="1649">
        <f>EG438/EE438</f>
        <v>0.2005146886479906</v>
      </c>
      <c r="EH439" s="1649">
        <f>EH438/EE438</f>
        <v>0.47888095500094485</v>
      </c>
      <c r="EI439" s="1073"/>
      <c r="EJ439" s="1074" t="s">
        <v>645</v>
      </c>
      <c r="EK439" s="1075"/>
      <c r="EL439" s="1075"/>
      <c r="EM439" s="1649">
        <f>SUM(EN439:EP439)</f>
        <v>1</v>
      </c>
      <c r="EN439" s="1649">
        <f>EN438/EM438</f>
        <v>0.32060435635106455</v>
      </c>
      <c r="EO439" s="1649">
        <f>EO438/EM438</f>
        <v>0.2005146886479906</v>
      </c>
      <c r="EP439" s="1649">
        <f>EP438/EM438</f>
        <v>0.47888095500094485</v>
      </c>
      <c r="EQ439" s="1073"/>
      <c r="ER439" s="1074" t="s">
        <v>645</v>
      </c>
      <c r="ES439" s="1075"/>
      <c r="ET439" s="1075"/>
      <c r="EU439" s="1649">
        <f>SUM(EV439:EX439)</f>
        <v>1</v>
      </c>
      <c r="EV439" s="1649">
        <f>EV438/EU438</f>
        <v>0.32060435635106455</v>
      </c>
      <c r="EW439" s="1649">
        <f>EW438/EU438</f>
        <v>0.2005146886479906</v>
      </c>
      <c r="EX439" s="1649">
        <f>EX438/EU438</f>
        <v>0.47888095500094485</v>
      </c>
      <c r="EY439" s="1073"/>
      <c r="EZ439" s="1074" t="s">
        <v>645</v>
      </c>
      <c r="FA439" s="1075"/>
      <c r="FB439" s="1075"/>
      <c r="FC439" s="1649">
        <f>SUM(FD439:FF439)</f>
        <v>1</v>
      </c>
      <c r="FD439" s="1649">
        <f>FD438/FC438</f>
        <v>0.32060435635106455</v>
      </c>
      <c r="FE439" s="1649">
        <f>FE438/FC438</f>
        <v>0.2005146886479906</v>
      </c>
      <c r="FF439" s="1649">
        <f>FF438/FC438</f>
        <v>0.47888095500094485</v>
      </c>
      <c r="FG439" s="1073"/>
      <c r="FH439" s="1074" t="s">
        <v>645</v>
      </c>
      <c r="FI439" s="1075"/>
      <c r="FJ439" s="1075"/>
      <c r="FK439" s="1649">
        <f>SUM(FL439:FN439)</f>
        <v>1</v>
      </c>
      <c r="FL439" s="1649">
        <f>FL438/FK438</f>
        <v>0.32060435635106455</v>
      </c>
      <c r="FM439" s="1649">
        <f>FM438/FK438</f>
        <v>0.2005146886479906</v>
      </c>
      <c r="FN439" s="1649">
        <f>FN438/FK438</f>
        <v>0.47888095500094485</v>
      </c>
      <c r="FO439" s="1073"/>
    </row>
    <row r="440" spans="2:171" ht="16.5" thickBot="1">
      <c r="K440" s="1078"/>
      <c r="S440" s="1073"/>
      <c r="AA440" s="1073"/>
      <c r="AI440" s="1073"/>
      <c r="AQ440" s="1073"/>
      <c r="AY440" s="1073"/>
      <c r="BG440" s="1073"/>
      <c r="BO440" s="1073"/>
      <c r="BW440" s="1073"/>
      <c r="CE440" s="1073"/>
      <c r="CM440" s="1073"/>
      <c r="CU440" s="1073"/>
      <c r="DC440" s="1073"/>
      <c r="DK440" s="1073"/>
      <c r="DS440" s="1073"/>
      <c r="EA440" s="1073"/>
      <c r="EI440" s="1073"/>
      <c r="EQ440" s="1073"/>
      <c r="EY440" s="1073"/>
      <c r="FG440" s="1073"/>
      <c r="FO440" s="1073"/>
    </row>
    <row r="441" spans="2:171" ht="17.25" thickTop="1" thickBot="1">
      <c r="D441" s="1071"/>
      <c r="E441" s="1079"/>
      <c r="F441" s="1079"/>
      <c r="G441" s="1080"/>
      <c r="H441" s="1081"/>
      <c r="I441" s="1081"/>
      <c r="J441" s="1082"/>
      <c r="K441" s="1073"/>
      <c r="O441" s="1080"/>
      <c r="P441" s="1081"/>
      <c r="Q441" s="1081"/>
      <c r="R441" s="1082"/>
      <c r="S441" s="1073"/>
      <c r="W441" s="1080"/>
      <c r="X441" s="1081"/>
      <c r="Y441" s="1081"/>
      <c r="Z441" s="1082"/>
      <c r="AA441" s="1073"/>
      <c r="AE441" s="1080"/>
      <c r="AF441" s="1081"/>
      <c r="AG441" s="1081"/>
      <c r="AH441" s="1082"/>
      <c r="AI441" s="1073"/>
      <c r="AM441" s="1080"/>
      <c r="AN441" s="1081"/>
      <c r="AO441" s="1081"/>
      <c r="AP441" s="1082"/>
      <c r="AQ441" s="1073"/>
      <c r="AU441" s="1080"/>
      <c r="AV441" s="1081"/>
      <c r="AW441" s="1081"/>
      <c r="AX441" s="1082"/>
      <c r="AY441" s="1073"/>
      <c r="BC441" s="1080"/>
      <c r="BD441" s="1081"/>
      <c r="BE441" s="1081"/>
      <c r="BF441" s="1082"/>
      <c r="BG441" s="1073"/>
      <c r="BK441" s="1080"/>
      <c r="BL441" s="1081"/>
      <c r="BM441" s="1081"/>
      <c r="BN441" s="1082"/>
      <c r="BO441" s="1073"/>
      <c r="BS441" s="1080"/>
      <c r="BT441" s="1081"/>
      <c r="BU441" s="1081"/>
      <c r="BV441" s="1082"/>
      <c r="BW441" s="1073"/>
      <c r="CA441" s="1080"/>
      <c r="CB441" s="1081"/>
      <c r="CC441" s="1081"/>
      <c r="CD441" s="1082"/>
      <c r="CE441" s="1073"/>
      <c r="CI441" s="1080"/>
      <c r="CJ441" s="1081"/>
      <c r="CK441" s="1081"/>
      <c r="CL441" s="1082"/>
      <c r="CM441" s="1073"/>
      <c r="CQ441" s="1080"/>
      <c r="CR441" s="1081"/>
      <c r="CS441" s="1081"/>
      <c r="CT441" s="1082"/>
      <c r="CU441" s="1073"/>
      <c r="CY441" s="1080"/>
      <c r="CZ441" s="1081"/>
      <c r="DA441" s="1081"/>
      <c r="DB441" s="1082"/>
      <c r="DC441" s="1073"/>
      <c r="DG441" s="1080"/>
      <c r="DH441" s="1081"/>
      <c r="DI441" s="1081"/>
      <c r="DJ441" s="1082"/>
      <c r="DK441" s="1073"/>
      <c r="DO441" s="1080"/>
      <c r="DP441" s="1081"/>
      <c r="DQ441" s="1081"/>
      <c r="DR441" s="1082"/>
      <c r="DS441" s="1073"/>
      <c r="DW441" s="1080"/>
      <c r="DX441" s="1081"/>
      <c r="DY441" s="1081"/>
      <c r="DZ441" s="1082"/>
      <c r="EA441" s="1073"/>
      <c r="EE441" s="1080"/>
      <c r="EF441" s="1081"/>
      <c r="EG441" s="1081"/>
      <c r="EH441" s="1082"/>
      <c r="EI441" s="1073"/>
      <c r="EM441" s="1080"/>
      <c r="EN441" s="1081"/>
      <c r="EO441" s="1081"/>
      <c r="EP441" s="1082"/>
      <c r="EQ441" s="1073"/>
      <c r="EU441" s="1080"/>
      <c r="EV441" s="1081"/>
      <c r="EW441" s="1081"/>
      <c r="EX441" s="1082"/>
      <c r="EY441" s="1073"/>
      <c r="FC441" s="1080"/>
      <c r="FD441" s="1081"/>
      <c r="FE441" s="1081"/>
      <c r="FF441" s="1082"/>
      <c r="FG441" s="1073"/>
      <c r="FK441" s="1080"/>
      <c r="FL441" s="1081"/>
      <c r="FM441" s="1081"/>
      <c r="FN441" s="1082"/>
      <c r="FO441" s="1073"/>
    </row>
    <row r="442" spans="2:171">
      <c r="D442" s="1083"/>
      <c r="E442" s="1084"/>
      <c r="F442" s="1079"/>
      <c r="G442" s="1085"/>
      <c r="H442" s="1086"/>
      <c r="I442" s="1086"/>
      <c r="J442" s="1087"/>
      <c r="K442" s="1073"/>
      <c r="O442" s="1085"/>
      <c r="P442" s="1086"/>
      <c r="Q442" s="1086"/>
      <c r="R442" s="1087"/>
      <c r="S442" s="1073"/>
      <c r="W442" s="1085"/>
      <c r="X442" s="1086"/>
      <c r="Y442" s="1086"/>
      <c r="Z442" s="1087"/>
      <c r="AA442" s="1073"/>
      <c r="AE442" s="1085"/>
      <c r="AF442" s="1086"/>
      <c r="AG442" s="1086"/>
      <c r="AH442" s="1087"/>
      <c r="AI442" s="1073"/>
      <c r="AM442" s="1085"/>
      <c r="AN442" s="1086"/>
      <c r="AO442" s="1086"/>
      <c r="AP442" s="1087"/>
      <c r="AQ442" s="1073"/>
      <c r="AU442" s="1085"/>
      <c r="AV442" s="1086"/>
      <c r="AW442" s="1086"/>
      <c r="AX442" s="1087"/>
      <c r="AY442" s="1073"/>
      <c r="BC442" s="1085"/>
      <c r="BD442" s="1086"/>
      <c r="BE442" s="1086"/>
      <c r="BF442" s="1087"/>
      <c r="BG442" s="1073"/>
      <c r="BK442" s="1085"/>
      <c r="BL442" s="1086"/>
      <c r="BM442" s="1086"/>
      <c r="BN442" s="1087"/>
      <c r="BO442" s="1073"/>
      <c r="BS442" s="1085"/>
      <c r="BT442" s="1086"/>
      <c r="BU442" s="1086"/>
      <c r="BV442" s="1087"/>
      <c r="BW442" s="1073"/>
      <c r="CA442" s="1085"/>
      <c r="CB442" s="1086"/>
      <c r="CC442" s="1086"/>
      <c r="CD442" s="1087"/>
      <c r="CE442" s="1073"/>
      <c r="CI442" s="1085"/>
      <c r="CJ442" s="1086"/>
      <c r="CK442" s="1086"/>
      <c r="CL442" s="1087"/>
      <c r="CM442" s="1073"/>
      <c r="CQ442" s="1085"/>
      <c r="CR442" s="1086"/>
      <c r="CS442" s="1086"/>
      <c r="CT442" s="1087"/>
      <c r="CU442" s="1073"/>
      <c r="CY442" s="1085"/>
      <c r="CZ442" s="1086"/>
      <c r="DA442" s="1086"/>
      <c r="DB442" s="1087"/>
      <c r="DC442" s="1073"/>
      <c r="DG442" s="1085"/>
      <c r="DH442" s="1086"/>
      <c r="DI442" s="1086"/>
      <c r="DJ442" s="1087"/>
      <c r="DK442" s="1073"/>
      <c r="DO442" s="1085"/>
      <c r="DP442" s="1086"/>
      <c r="DQ442" s="1086"/>
      <c r="DR442" s="1087"/>
      <c r="DS442" s="1073"/>
      <c r="DW442" s="1085"/>
      <c r="DX442" s="1086"/>
      <c r="DY442" s="1086"/>
      <c r="DZ442" s="1087"/>
      <c r="EA442" s="1073"/>
      <c r="EE442" s="1085"/>
      <c r="EF442" s="1086"/>
      <c r="EG442" s="1086"/>
      <c r="EH442" s="1087"/>
      <c r="EI442" s="1073"/>
      <c r="EM442" s="1085"/>
      <c r="EN442" s="1086"/>
      <c r="EO442" s="1086"/>
      <c r="EP442" s="1087"/>
      <c r="EQ442" s="1073"/>
      <c r="EU442" s="1085"/>
      <c r="EV442" s="1086"/>
      <c r="EW442" s="1086"/>
      <c r="EX442" s="1087"/>
      <c r="EY442" s="1073"/>
      <c r="FC442" s="1085"/>
      <c r="FD442" s="1086"/>
      <c r="FE442" s="1086"/>
      <c r="FF442" s="1087"/>
      <c r="FG442" s="1073"/>
      <c r="FK442" s="1085"/>
      <c r="FL442" s="1086"/>
      <c r="FM442" s="1086"/>
      <c r="FN442" s="1087"/>
      <c r="FO442" s="1073"/>
    </row>
    <row r="443" spans="2:171">
      <c r="D443" s="1083"/>
      <c r="E443" s="1084"/>
      <c r="F443" s="1079"/>
      <c r="G443" s="1085" t="s">
        <v>395</v>
      </c>
      <c r="H443" s="1088">
        <v>0</v>
      </c>
      <c r="I443" s="1088">
        <v>0</v>
      </c>
      <c r="J443" s="1089">
        <v>1</v>
      </c>
      <c r="K443" s="1078"/>
      <c r="O443" s="1085" t="s">
        <v>395</v>
      </c>
      <c r="P443" s="1088">
        <v>0</v>
      </c>
      <c r="Q443" s="1088">
        <v>0</v>
      </c>
      <c r="R443" s="1089">
        <v>1</v>
      </c>
      <c r="S443" s="1078"/>
      <c r="W443" s="1085" t="s">
        <v>395</v>
      </c>
      <c r="X443" s="1088">
        <v>0</v>
      </c>
      <c r="Y443" s="1088">
        <v>0</v>
      </c>
      <c r="Z443" s="1089">
        <v>1</v>
      </c>
      <c r="AA443" s="1078"/>
      <c r="AE443" s="1085" t="s">
        <v>395</v>
      </c>
      <c r="AF443" s="1088">
        <v>0</v>
      </c>
      <c r="AG443" s="1088">
        <v>0</v>
      </c>
      <c r="AH443" s="1089">
        <v>1</v>
      </c>
      <c r="AI443" s="1078"/>
      <c r="AM443" s="1085" t="s">
        <v>395</v>
      </c>
      <c r="AN443" s="1088">
        <v>0</v>
      </c>
      <c r="AO443" s="1088">
        <v>0</v>
      </c>
      <c r="AP443" s="1089">
        <v>1</v>
      </c>
      <c r="AQ443" s="1078"/>
      <c r="AU443" s="1085" t="s">
        <v>395</v>
      </c>
      <c r="AV443" s="1088">
        <v>0</v>
      </c>
      <c r="AW443" s="1088">
        <v>0</v>
      </c>
      <c r="AX443" s="1089">
        <v>1</v>
      </c>
      <c r="AY443" s="1078"/>
      <c r="BC443" s="1085" t="s">
        <v>395</v>
      </c>
      <c r="BD443" s="1088">
        <v>0</v>
      </c>
      <c r="BE443" s="1088">
        <v>0</v>
      </c>
      <c r="BF443" s="1089">
        <v>1</v>
      </c>
      <c r="BG443" s="1078"/>
      <c r="BK443" s="1085" t="s">
        <v>395</v>
      </c>
      <c r="BL443" s="1088">
        <v>0</v>
      </c>
      <c r="BM443" s="1088">
        <v>0</v>
      </c>
      <c r="BN443" s="1089">
        <v>1</v>
      </c>
      <c r="BO443" s="1078"/>
      <c r="BS443" s="1085" t="s">
        <v>395</v>
      </c>
      <c r="BT443" s="1088">
        <v>0</v>
      </c>
      <c r="BU443" s="1088">
        <v>0</v>
      </c>
      <c r="BV443" s="1089">
        <v>1</v>
      </c>
      <c r="BW443" s="1078"/>
      <c r="CA443" s="1085" t="s">
        <v>395</v>
      </c>
      <c r="CB443" s="1088">
        <v>0</v>
      </c>
      <c r="CC443" s="1088">
        <v>0</v>
      </c>
      <c r="CD443" s="1089">
        <v>1</v>
      </c>
      <c r="CE443" s="1078"/>
      <c r="CI443" s="1085" t="s">
        <v>395</v>
      </c>
      <c r="CJ443" s="1088">
        <v>0</v>
      </c>
      <c r="CK443" s="1088">
        <v>0</v>
      </c>
      <c r="CL443" s="1089">
        <v>1</v>
      </c>
      <c r="CM443" s="1078"/>
      <c r="CQ443" s="1085" t="s">
        <v>395</v>
      </c>
      <c r="CR443" s="1088">
        <v>0</v>
      </c>
      <c r="CS443" s="1088">
        <v>0</v>
      </c>
      <c r="CT443" s="1089">
        <v>1</v>
      </c>
      <c r="CU443" s="1078"/>
      <c r="CY443" s="1085" t="s">
        <v>395</v>
      </c>
      <c r="CZ443" s="1088">
        <v>0</v>
      </c>
      <c r="DA443" s="1088">
        <v>0</v>
      </c>
      <c r="DB443" s="1089">
        <v>1</v>
      </c>
      <c r="DC443" s="1078"/>
      <c r="DG443" s="1085" t="s">
        <v>395</v>
      </c>
      <c r="DH443" s="1088">
        <v>0</v>
      </c>
      <c r="DI443" s="1088">
        <v>0</v>
      </c>
      <c r="DJ443" s="1089">
        <v>1</v>
      </c>
      <c r="DK443" s="1078"/>
      <c r="DO443" s="1085" t="s">
        <v>395</v>
      </c>
      <c r="DP443" s="1088">
        <v>0</v>
      </c>
      <c r="DQ443" s="1088">
        <v>0</v>
      </c>
      <c r="DR443" s="1089">
        <v>1</v>
      </c>
      <c r="DS443" s="1078"/>
      <c r="DW443" s="1085" t="s">
        <v>395</v>
      </c>
      <c r="DX443" s="1088">
        <v>0</v>
      </c>
      <c r="DY443" s="1088">
        <v>0</v>
      </c>
      <c r="DZ443" s="1089">
        <v>1</v>
      </c>
      <c r="EA443" s="1078"/>
      <c r="EE443" s="1085" t="s">
        <v>395</v>
      </c>
      <c r="EF443" s="1088">
        <v>0</v>
      </c>
      <c r="EG443" s="1088">
        <v>0</v>
      </c>
      <c r="EH443" s="1089">
        <v>1</v>
      </c>
      <c r="EI443" s="1078"/>
      <c r="EM443" s="1085" t="s">
        <v>395</v>
      </c>
      <c r="EN443" s="1088">
        <v>0</v>
      </c>
      <c r="EO443" s="1088">
        <v>0</v>
      </c>
      <c r="EP443" s="1089">
        <v>1</v>
      </c>
      <c r="EQ443" s="1078"/>
      <c r="EU443" s="1085" t="s">
        <v>395</v>
      </c>
      <c r="EV443" s="1088">
        <v>0</v>
      </c>
      <c r="EW443" s="1088">
        <v>0</v>
      </c>
      <c r="EX443" s="1089">
        <v>1</v>
      </c>
      <c r="EY443" s="1078"/>
      <c r="FC443" s="1085" t="s">
        <v>395</v>
      </c>
      <c r="FD443" s="1088">
        <v>0</v>
      </c>
      <c r="FE443" s="1088">
        <v>0</v>
      </c>
      <c r="FF443" s="1089">
        <v>1</v>
      </c>
      <c r="FG443" s="1078"/>
      <c r="FK443" s="1085" t="s">
        <v>395</v>
      </c>
      <c r="FL443" s="1088">
        <v>0</v>
      </c>
      <c r="FM443" s="1088">
        <v>0</v>
      </c>
      <c r="FN443" s="1089">
        <v>1</v>
      </c>
      <c r="FO443" s="1078"/>
    </row>
    <row r="444" spans="2:171">
      <c r="D444" s="1083"/>
      <c r="E444" s="1084"/>
      <c r="F444" s="1079"/>
      <c r="G444" s="1085" t="s">
        <v>397</v>
      </c>
      <c r="H444" s="1088">
        <v>1</v>
      </c>
      <c r="I444" s="1088">
        <v>0</v>
      </c>
      <c r="J444" s="1089">
        <v>0</v>
      </c>
      <c r="K444" s="1073"/>
      <c r="O444" s="1085" t="s">
        <v>397</v>
      </c>
      <c r="P444" s="1088">
        <v>1</v>
      </c>
      <c r="Q444" s="1088">
        <v>0</v>
      </c>
      <c r="R444" s="1089">
        <v>0</v>
      </c>
      <c r="S444" s="1073"/>
      <c r="W444" s="1085" t="s">
        <v>397</v>
      </c>
      <c r="X444" s="1088">
        <v>1</v>
      </c>
      <c r="Y444" s="1088">
        <v>0</v>
      </c>
      <c r="Z444" s="1089">
        <v>0</v>
      </c>
      <c r="AA444" s="1073"/>
      <c r="AE444" s="1085" t="s">
        <v>397</v>
      </c>
      <c r="AF444" s="1088">
        <v>1</v>
      </c>
      <c r="AG444" s="1088">
        <v>0</v>
      </c>
      <c r="AH444" s="1089">
        <v>0</v>
      </c>
      <c r="AI444" s="1073"/>
      <c r="AM444" s="1085" t="s">
        <v>397</v>
      </c>
      <c r="AN444" s="1088">
        <v>1</v>
      </c>
      <c r="AO444" s="1088">
        <v>0</v>
      </c>
      <c r="AP444" s="1089">
        <v>0</v>
      </c>
      <c r="AQ444" s="1073"/>
      <c r="AU444" s="1085" t="s">
        <v>397</v>
      </c>
      <c r="AV444" s="1088">
        <v>1</v>
      </c>
      <c r="AW444" s="1088">
        <v>0</v>
      </c>
      <c r="AX444" s="1089">
        <v>0</v>
      </c>
      <c r="AY444" s="1073"/>
      <c r="BC444" s="1085" t="s">
        <v>397</v>
      </c>
      <c r="BD444" s="1088">
        <v>1</v>
      </c>
      <c r="BE444" s="1088">
        <v>0</v>
      </c>
      <c r="BF444" s="1089">
        <v>0</v>
      </c>
      <c r="BG444" s="1073"/>
      <c r="BK444" s="1085" t="s">
        <v>397</v>
      </c>
      <c r="BL444" s="1088">
        <v>1</v>
      </c>
      <c r="BM444" s="1088">
        <v>0</v>
      </c>
      <c r="BN444" s="1089">
        <v>0</v>
      </c>
      <c r="BO444" s="1073"/>
      <c r="BS444" s="1085" t="s">
        <v>397</v>
      </c>
      <c r="BT444" s="1088">
        <v>1</v>
      </c>
      <c r="BU444" s="1088">
        <v>0</v>
      </c>
      <c r="BV444" s="1089">
        <v>0</v>
      </c>
      <c r="BW444" s="1073"/>
      <c r="CA444" s="1085" t="s">
        <v>397</v>
      </c>
      <c r="CB444" s="1088">
        <v>1</v>
      </c>
      <c r="CC444" s="1088">
        <v>0</v>
      </c>
      <c r="CD444" s="1089">
        <v>0</v>
      </c>
      <c r="CE444" s="1073"/>
      <c r="CI444" s="1085" t="s">
        <v>397</v>
      </c>
      <c r="CJ444" s="1088">
        <v>1</v>
      </c>
      <c r="CK444" s="1088">
        <v>0</v>
      </c>
      <c r="CL444" s="1089">
        <v>0</v>
      </c>
      <c r="CM444" s="1073"/>
      <c r="CQ444" s="1085" t="s">
        <v>397</v>
      </c>
      <c r="CR444" s="1088">
        <v>1</v>
      </c>
      <c r="CS444" s="1088">
        <v>0</v>
      </c>
      <c r="CT444" s="1089">
        <v>0</v>
      </c>
      <c r="CU444" s="1073"/>
      <c r="CY444" s="1085" t="s">
        <v>397</v>
      </c>
      <c r="CZ444" s="1088">
        <v>1</v>
      </c>
      <c r="DA444" s="1088">
        <v>0</v>
      </c>
      <c r="DB444" s="1089">
        <v>0</v>
      </c>
      <c r="DC444" s="1073"/>
      <c r="DG444" s="1085" t="s">
        <v>397</v>
      </c>
      <c r="DH444" s="1088">
        <v>1</v>
      </c>
      <c r="DI444" s="1088">
        <v>0</v>
      </c>
      <c r="DJ444" s="1089">
        <v>0</v>
      </c>
      <c r="DK444" s="1073"/>
      <c r="DO444" s="1085" t="s">
        <v>397</v>
      </c>
      <c r="DP444" s="1088">
        <v>1</v>
      </c>
      <c r="DQ444" s="1088">
        <v>0</v>
      </c>
      <c r="DR444" s="1089">
        <v>0</v>
      </c>
      <c r="DS444" s="1073"/>
      <c r="DW444" s="1085" t="s">
        <v>397</v>
      </c>
      <c r="DX444" s="1088">
        <v>1</v>
      </c>
      <c r="DY444" s="1088">
        <v>0</v>
      </c>
      <c r="DZ444" s="1089">
        <v>0</v>
      </c>
      <c r="EA444" s="1073"/>
      <c r="EE444" s="1085" t="s">
        <v>397</v>
      </c>
      <c r="EF444" s="1088">
        <v>1</v>
      </c>
      <c r="EG444" s="1088">
        <v>0</v>
      </c>
      <c r="EH444" s="1089">
        <v>0</v>
      </c>
      <c r="EI444" s="1073"/>
      <c r="EM444" s="1085" t="s">
        <v>397</v>
      </c>
      <c r="EN444" s="1088">
        <v>1</v>
      </c>
      <c r="EO444" s="1088">
        <v>0</v>
      </c>
      <c r="EP444" s="1089">
        <v>0</v>
      </c>
      <c r="EQ444" s="1073"/>
      <c r="EU444" s="1085" t="s">
        <v>397</v>
      </c>
      <c r="EV444" s="1088">
        <v>1</v>
      </c>
      <c r="EW444" s="1088">
        <v>0</v>
      </c>
      <c r="EX444" s="1089">
        <v>0</v>
      </c>
      <c r="EY444" s="1073"/>
      <c r="FC444" s="1085" t="s">
        <v>397</v>
      </c>
      <c r="FD444" s="1088">
        <v>1</v>
      </c>
      <c r="FE444" s="1088">
        <v>0</v>
      </c>
      <c r="FF444" s="1089">
        <v>0</v>
      </c>
      <c r="FG444" s="1073"/>
      <c r="FK444" s="1085" t="s">
        <v>397</v>
      </c>
      <c r="FL444" s="1088">
        <v>1</v>
      </c>
      <c r="FM444" s="1088">
        <v>0</v>
      </c>
      <c r="FN444" s="1089">
        <v>0</v>
      </c>
      <c r="FO444" s="1073"/>
    </row>
    <row r="445" spans="2:171">
      <c r="D445" s="1083"/>
      <c r="E445" s="1084"/>
      <c r="F445" s="1079"/>
      <c r="G445" s="1085" t="s">
        <v>396</v>
      </c>
      <c r="H445" s="1088">
        <v>0</v>
      </c>
      <c r="I445" s="1088">
        <v>1</v>
      </c>
      <c r="J445" s="1089">
        <v>0</v>
      </c>
      <c r="K445" s="1073"/>
      <c r="O445" s="1085" t="s">
        <v>396</v>
      </c>
      <c r="P445" s="1088">
        <v>0</v>
      </c>
      <c r="Q445" s="1088">
        <v>1</v>
      </c>
      <c r="R445" s="1089">
        <v>0</v>
      </c>
      <c r="S445" s="1073"/>
      <c r="W445" s="1085" t="s">
        <v>396</v>
      </c>
      <c r="X445" s="1088">
        <v>0</v>
      </c>
      <c r="Y445" s="1088">
        <v>1</v>
      </c>
      <c r="Z445" s="1089">
        <v>0</v>
      </c>
      <c r="AA445" s="1073"/>
      <c r="AE445" s="1085" t="s">
        <v>396</v>
      </c>
      <c r="AF445" s="1088">
        <v>0</v>
      </c>
      <c r="AG445" s="1088">
        <v>1</v>
      </c>
      <c r="AH445" s="1089">
        <v>0</v>
      </c>
      <c r="AI445" s="1073"/>
      <c r="AM445" s="1085" t="s">
        <v>396</v>
      </c>
      <c r="AN445" s="1088">
        <v>0</v>
      </c>
      <c r="AO445" s="1088">
        <v>1</v>
      </c>
      <c r="AP445" s="1089">
        <v>0</v>
      </c>
      <c r="AQ445" s="1073"/>
      <c r="AU445" s="1085" t="s">
        <v>396</v>
      </c>
      <c r="AV445" s="1088">
        <v>0</v>
      </c>
      <c r="AW445" s="1088">
        <v>1</v>
      </c>
      <c r="AX445" s="1089">
        <v>0</v>
      </c>
      <c r="AY445" s="1073"/>
      <c r="BC445" s="1085" t="s">
        <v>396</v>
      </c>
      <c r="BD445" s="1088">
        <v>0</v>
      </c>
      <c r="BE445" s="1088">
        <v>1</v>
      </c>
      <c r="BF445" s="1089">
        <v>0</v>
      </c>
      <c r="BG445" s="1073"/>
      <c r="BK445" s="1085" t="s">
        <v>396</v>
      </c>
      <c r="BL445" s="1088">
        <v>0</v>
      </c>
      <c r="BM445" s="1088">
        <v>1</v>
      </c>
      <c r="BN445" s="1089">
        <v>0</v>
      </c>
      <c r="BO445" s="1073"/>
      <c r="BS445" s="1085" t="s">
        <v>396</v>
      </c>
      <c r="BT445" s="1088">
        <v>0</v>
      </c>
      <c r="BU445" s="1088">
        <v>1</v>
      </c>
      <c r="BV445" s="1089">
        <v>0</v>
      </c>
      <c r="BW445" s="1073"/>
      <c r="CA445" s="1085" t="s">
        <v>396</v>
      </c>
      <c r="CB445" s="1088">
        <v>0</v>
      </c>
      <c r="CC445" s="1088">
        <v>1</v>
      </c>
      <c r="CD445" s="1089">
        <v>0</v>
      </c>
      <c r="CE445" s="1073"/>
      <c r="CI445" s="1085" t="s">
        <v>396</v>
      </c>
      <c r="CJ445" s="1088">
        <v>0</v>
      </c>
      <c r="CK445" s="1088">
        <v>1</v>
      </c>
      <c r="CL445" s="1089">
        <v>0</v>
      </c>
      <c r="CM445" s="1073"/>
      <c r="CQ445" s="1085" t="s">
        <v>396</v>
      </c>
      <c r="CR445" s="1088">
        <v>0</v>
      </c>
      <c r="CS445" s="1088">
        <v>1</v>
      </c>
      <c r="CT445" s="1089">
        <v>0</v>
      </c>
      <c r="CU445" s="1073"/>
      <c r="CY445" s="1085" t="s">
        <v>396</v>
      </c>
      <c r="CZ445" s="1088">
        <v>0</v>
      </c>
      <c r="DA445" s="1088">
        <v>1</v>
      </c>
      <c r="DB445" s="1089">
        <v>0</v>
      </c>
      <c r="DC445" s="1073"/>
      <c r="DG445" s="1085" t="s">
        <v>396</v>
      </c>
      <c r="DH445" s="1088">
        <v>0</v>
      </c>
      <c r="DI445" s="1088">
        <v>1</v>
      </c>
      <c r="DJ445" s="1089">
        <v>0</v>
      </c>
      <c r="DK445" s="1073"/>
      <c r="DO445" s="1085" t="s">
        <v>396</v>
      </c>
      <c r="DP445" s="1088">
        <v>0</v>
      </c>
      <c r="DQ445" s="1088">
        <v>1</v>
      </c>
      <c r="DR445" s="1089">
        <v>0</v>
      </c>
      <c r="DS445" s="1073"/>
      <c r="DW445" s="1085" t="s">
        <v>396</v>
      </c>
      <c r="DX445" s="1088">
        <v>0</v>
      </c>
      <c r="DY445" s="1088">
        <v>1</v>
      </c>
      <c r="DZ445" s="1089">
        <v>0</v>
      </c>
      <c r="EA445" s="1073"/>
      <c r="EE445" s="1085" t="s">
        <v>396</v>
      </c>
      <c r="EF445" s="1088">
        <v>0</v>
      </c>
      <c r="EG445" s="1088">
        <v>1</v>
      </c>
      <c r="EH445" s="1089">
        <v>0</v>
      </c>
      <c r="EI445" s="1073"/>
      <c r="EM445" s="1085" t="s">
        <v>396</v>
      </c>
      <c r="EN445" s="1088">
        <v>0</v>
      </c>
      <c r="EO445" s="1088">
        <v>1</v>
      </c>
      <c r="EP445" s="1089">
        <v>0</v>
      </c>
      <c r="EQ445" s="1073"/>
      <c r="EU445" s="1085" t="s">
        <v>396</v>
      </c>
      <c r="EV445" s="1088">
        <v>0</v>
      </c>
      <c r="EW445" s="1088">
        <v>1</v>
      </c>
      <c r="EX445" s="1089">
        <v>0</v>
      </c>
      <c r="EY445" s="1073"/>
      <c r="FC445" s="1085" t="s">
        <v>396</v>
      </c>
      <c r="FD445" s="1088">
        <v>0</v>
      </c>
      <c r="FE445" s="1088">
        <v>1</v>
      </c>
      <c r="FF445" s="1089">
        <v>0</v>
      </c>
      <c r="FG445" s="1073"/>
      <c r="FK445" s="1085" t="s">
        <v>396</v>
      </c>
      <c r="FL445" s="1088">
        <v>0</v>
      </c>
      <c r="FM445" s="1088">
        <v>1</v>
      </c>
      <c r="FN445" s="1089">
        <v>0</v>
      </c>
      <c r="FO445" s="1073"/>
    </row>
    <row r="446" spans="2:171">
      <c r="D446" s="1083"/>
      <c r="E446" s="1084"/>
      <c r="F446" s="1079"/>
      <c r="G446" s="1085" t="s">
        <v>90</v>
      </c>
      <c r="H446" s="1088">
        <v>0</v>
      </c>
      <c r="I446" s="1088">
        <v>0</v>
      </c>
      <c r="J446" s="1089">
        <v>0</v>
      </c>
      <c r="K446" s="1078"/>
      <c r="O446" s="1085" t="s">
        <v>90</v>
      </c>
      <c r="P446" s="1088">
        <v>0</v>
      </c>
      <c r="Q446" s="1088">
        <v>0</v>
      </c>
      <c r="R446" s="1089">
        <v>0</v>
      </c>
      <c r="S446" s="1078"/>
      <c r="W446" s="1085" t="s">
        <v>90</v>
      </c>
      <c r="X446" s="1088">
        <v>0</v>
      </c>
      <c r="Y446" s="1088">
        <v>0</v>
      </c>
      <c r="Z446" s="1089">
        <v>0</v>
      </c>
      <c r="AA446" s="1078"/>
      <c r="AE446" s="1085" t="s">
        <v>90</v>
      </c>
      <c r="AF446" s="1088">
        <v>0</v>
      </c>
      <c r="AG446" s="1088">
        <v>0</v>
      </c>
      <c r="AH446" s="1089">
        <v>0</v>
      </c>
      <c r="AI446" s="1078"/>
      <c r="AM446" s="1085" t="s">
        <v>90</v>
      </c>
      <c r="AN446" s="1088">
        <v>0</v>
      </c>
      <c r="AO446" s="1088">
        <v>0</v>
      </c>
      <c r="AP446" s="1089">
        <v>0</v>
      </c>
      <c r="AQ446" s="1078"/>
      <c r="AU446" s="1085" t="s">
        <v>90</v>
      </c>
      <c r="AV446" s="1088">
        <v>0</v>
      </c>
      <c r="AW446" s="1088">
        <v>0</v>
      </c>
      <c r="AX446" s="1089">
        <v>0</v>
      </c>
      <c r="AY446" s="1078"/>
      <c r="BC446" s="1085" t="s">
        <v>90</v>
      </c>
      <c r="BD446" s="1088">
        <v>0</v>
      </c>
      <c r="BE446" s="1088">
        <v>0</v>
      </c>
      <c r="BF446" s="1089">
        <v>0</v>
      </c>
      <c r="BG446" s="1078"/>
      <c r="BK446" s="1085" t="s">
        <v>90</v>
      </c>
      <c r="BL446" s="1088">
        <v>0</v>
      </c>
      <c r="BM446" s="1088">
        <v>0</v>
      </c>
      <c r="BN446" s="1089">
        <v>0</v>
      </c>
      <c r="BO446" s="1078"/>
      <c r="BS446" s="1085" t="s">
        <v>90</v>
      </c>
      <c r="BT446" s="1088">
        <v>0</v>
      </c>
      <c r="BU446" s="1088">
        <v>0</v>
      </c>
      <c r="BV446" s="1089">
        <v>0</v>
      </c>
      <c r="BW446" s="1078"/>
      <c r="CA446" s="1085" t="s">
        <v>90</v>
      </c>
      <c r="CB446" s="1088">
        <v>0</v>
      </c>
      <c r="CC446" s="1088">
        <v>0</v>
      </c>
      <c r="CD446" s="1089">
        <v>0</v>
      </c>
      <c r="CE446" s="1078"/>
      <c r="CI446" s="1085" t="s">
        <v>90</v>
      </c>
      <c r="CJ446" s="1088">
        <v>0</v>
      </c>
      <c r="CK446" s="1088">
        <v>0</v>
      </c>
      <c r="CL446" s="1089">
        <v>0</v>
      </c>
      <c r="CM446" s="1078"/>
      <c r="CQ446" s="1085" t="s">
        <v>90</v>
      </c>
      <c r="CR446" s="1088">
        <v>0</v>
      </c>
      <c r="CS446" s="1088">
        <v>0</v>
      </c>
      <c r="CT446" s="1089">
        <v>0</v>
      </c>
      <c r="CU446" s="1078"/>
      <c r="CY446" s="1085" t="s">
        <v>90</v>
      </c>
      <c r="CZ446" s="1088">
        <v>0</v>
      </c>
      <c r="DA446" s="1088">
        <v>0</v>
      </c>
      <c r="DB446" s="1089">
        <v>0</v>
      </c>
      <c r="DC446" s="1078"/>
      <c r="DG446" s="1085" t="s">
        <v>90</v>
      </c>
      <c r="DH446" s="1088">
        <v>0</v>
      </c>
      <c r="DI446" s="1088">
        <v>0</v>
      </c>
      <c r="DJ446" s="1089">
        <v>0</v>
      </c>
      <c r="DK446" s="1078"/>
      <c r="DO446" s="1085" t="s">
        <v>90</v>
      </c>
      <c r="DP446" s="1088">
        <v>0</v>
      </c>
      <c r="DQ446" s="1088">
        <v>0</v>
      </c>
      <c r="DR446" s="1089">
        <v>0</v>
      </c>
      <c r="DS446" s="1078"/>
      <c r="DW446" s="1085" t="s">
        <v>90</v>
      </c>
      <c r="DX446" s="1088">
        <v>0</v>
      </c>
      <c r="DY446" s="1088">
        <v>0</v>
      </c>
      <c r="DZ446" s="1089">
        <v>0</v>
      </c>
      <c r="EA446" s="1078"/>
      <c r="EE446" s="1085" t="s">
        <v>90</v>
      </c>
      <c r="EF446" s="1088">
        <v>0</v>
      </c>
      <c r="EG446" s="1088">
        <v>0</v>
      </c>
      <c r="EH446" s="1089">
        <v>0</v>
      </c>
      <c r="EI446" s="1078"/>
      <c r="EM446" s="1085" t="s">
        <v>90</v>
      </c>
      <c r="EN446" s="1088">
        <v>0</v>
      </c>
      <c r="EO446" s="1088">
        <v>0</v>
      </c>
      <c r="EP446" s="1089">
        <v>0</v>
      </c>
      <c r="EQ446" s="1078"/>
      <c r="EU446" s="1085" t="s">
        <v>90</v>
      </c>
      <c r="EV446" s="1088">
        <v>0</v>
      </c>
      <c r="EW446" s="1088">
        <v>0</v>
      </c>
      <c r="EX446" s="1089">
        <v>0</v>
      </c>
      <c r="EY446" s="1078"/>
      <c r="FC446" s="1085" t="s">
        <v>90</v>
      </c>
      <c r="FD446" s="1088">
        <v>0</v>
      </c>
      <c r="FE446" s="1088">
        <v>0</v>
      </c>
      <c r="FF446" s="1089">
        <v>0</v>
      </c>
      <c r="FG446" s="1078"/>
      <c r="FK446" s="1085" t="s">
        <v>90</v>
      </c>
      <c r="FL446" s="1088">
        <v>0</v>
      </c>
      <c r="FM446" s="1088">
        <v>0</v>
      </c>
      <c r="FN446" s="1089">
        <v>0</v>
      </c>
      <c r="FO446" s="1078"/>
    </row>
    <row r="447" spans="2:171">
      <c r="D447" s="1083"/>
      <c r="E447" s="1084"/>
      <c r="F447" s="1079"/>
      <c r="G447" s="1085" t="s">
        <v>91</v>
      </c>
      <c r="H447" s="1088">
        <f>H395</f>
        <v>0.15404084567525972</v>
      </c>
      <c r="I447" s="1088">
        <f>I395</f>
        <v>0</v>
      </c>
      <c r="J447" s="1089">
        <f>J395</f>
        <v>0.84595915432474023</v>
      </c>
      <c r="K447" s="1073"/>
      <c r="O447" s="1085" t="s">
        <v>91</v>
      </c>
      <c r="P447" s="1088">
        <f>P395</f>
        <v>0.15404084567525972</v>
      </c>
      <c r="Q447" s="1088">
        <f>Q395</f>
        <v>0.25548915022941465</v>
      </c>
      <c r="R447" s="1089">
        <f>R395</f>
        <v>0.59047000409532568</v>
      </c>
      <c r="S447" s="1073"/>
      <c r="W447" s="1085" t="s">
        <v>91</v>
      </c>
      <c r="X447" s="1088">
        <f>X395</f>
        <v>0.15404084567525972</v>
      </c>
      <c r="Y447" s="1088">
        <f>Y395</f>
        <v>0.25548915022941465</v>
      </c>
      <c r="Z447" s="1089">
        <f>Z395</f>
        <v>0.59047000409532568</v>
      </c>
      <c r="AA447" s="1073"/>
      <c r="AE447" s="1085" t="s">
        <v>91</v>
      </c>
      <c r="AF447" s="1088">
        <f>AF395</f>
        <v>0.15404084567525972</v>
      </c>
      <c r="AG447" s="1088">
        <f>AG395</f>
        <v>0.25548915022941465</v>
      </c>
      <c r="AH447" s="1089">
        <f>AH395</f>
        <v>0.59047000409532568</v>
      </c>
      <c r="AI447" s="1073"/>
      <c r="AM447" s="1085" t="s">
        <v>91</v>
      </c>
      <c r="AN447" s="1088">
        <f>AN395</f>
        <v>0.15404084567525972</v>
      </c>
      <c r="AO447" s="1088">
        <f>AO395</f>
        <v>0.25548915022941465</v>
      </c>
      <c r="AP447" s="1089">
        <f>AP395</f>
        <v>0.59047000409532568</v>
      </c>
      <c r="AQ447" s="1073"/>
      <c r="AU447" s="1085" t="s">
        <v>91</v>
      </c>
      <c r="AV447" s="1088">
        <f>AV395</f>
        <v>0.15404084567525972</v>
      </c>
      <c r="AW447" s="1088">
        <f>AW395</f>
        <v>0.25548915022941465</v>
      </c>
      <c r="AX447" s="1089">
        <f>AX395</f>
        <v>0.59047000409532568</v>
      </c>
      <c r="AY447" s="1073"/>
      <c r="BC447" s="1085" t="s">
        <v>91</v>
      </c>
      <c r="BD447" s="1088">
        <f>BD395</f>
        <v>0.15404084567525972</v>
      </c>
      <c r="BE447" s="1088">
        <f>BE395</f>
        <v>0.25548915022941465</v>
      </c>
      <c r="BF447" s="1089">
        <f>BF395</f>
        <v>0.59047000409532568</v>
      </c>
      <c r="BG447" s="1073"/>
      <c r="BK447" s="1085" t="s">
        <v>91</v>
      </c>
      <c r="BL447" s="1088">
        <f>BL395</f>
        <v>0.15404084567525972</v>
      </c>
      <c r="BM447" s="1088">
        <f>BM395</f>
        <v>0.25548915022941465</v>
      </c>
      <c r="BN447" s="1089">
        <f>BN395</f>
        <v>0.59047000409532568</v>
      </c>
      <c r="BO447" s="1073"/>
      <c r="BS447" s="1085" t="s">
        <v>91</v>
      </c>
      <c r="BT447" s="1088">
        <f>BT395</f>
        <v>0.15404084567525972</v>
      </c>
      <c r="BU447" s="1088">
        <f>BU395</f>
        <v>0.25548915022941465</v>
      </c>
      <c r="BV447" s="1089">
        <f>BV395</f>
        <v>0.59047000409532568</v>
      </c>
      <c r="BW447" s="1073"/>
      <c r="CA447" s="1085" t="s">
        <v>91</v>
      </c>
      <c r="CB447" s="1088">
        <f>CB395</f>
        <v>0.15404084567525972</v>
      </c>
      <c r="CC447" s="1088">
        <f>CC395</f>
        <v>0.25548915022941465</v>
      </c>
      <c r="CD447" s="1089">
        <f>CD395</f>
        <v>0.59047000409532568</v>
      </c>
      <c r="CE447" s="1073"/>
      <c r="CI447" s="1085" t="s">
        <v>91</v>
      </c>
      <c r="CJ447" s="1088">
        <f>CJ395</f>
        <v>0.15404084567525972</v>
      </c>
      <c r="CK447" s="1088">
        <f>CK395</f>
        <v>0.25548915022941465</v>
      </c>
      <c r="CL447" s="1089">
        <f>CL395</f>
        <v>0.59047000409532568</v>
      </c>
      <c r="CM447" s="1073"/>
      <c r="CQ447" s="1085" t="s">
        <v>91</v>
      </c>
      <c r="CR447" s="1088">
        <f>CR395</f>
        <v>0.15404084567525972</v>
      </c>
      <c r="CS447" s="1088">
        <f>CS395</f>
        <v>0.25548915022941465</v>
      </c>
      <c r="CT447" s="1089">
        <f>CT395</f>
        <v>0.59047000409532568</v>
      </c>
      <c r="CU447" s="1073"/>
      <c r="CY447" s="1085" t="s">
        <v>91</v>
      </c>
      <c r="CZ447" s="1088">
        <f>CZ395</f>
        <v>0.15404084567525972</v>
      </c>
      <c r="DA447" s="1088">
        <f>DA395</f>
        <v>0.25548915022941465</v>
      </c>
      <c r="DB447" s="1089">
        <f>DB395</f>
        <v>0.59047000409532568</v>
      </c>
      <c r="DC447" s="1073"/>
      <c r="DG447" s="1085" t="s">
        <v>91</v>
      </c>
      <c r="DH447" s="1088">
        <f>DH395</f>
        <v>0.15404084567525972</v>
      </c>
      <c r="DI447" s="1088">
        <f>DI395</f>
        <v>0.25548915022941465</v>
      </c>
      <c r="DJ447" s="1089">
        <f>DJ395</f>
        <v>0.59047000409532568</v>
      </c>
      <c r="DK447" s="1073"/>
      <c r="DO447" s="1085" t="s">
        <v>91</v>
      </c>
      <c r="DP447" s="1088">
        <f>DP395</f>
        <v>0.15404084567525972</v>
      </c>
      <c r="DQ447" s="1088">
        <f>DQ395</f>
        <v>0.25548915022941465</v>
      </c>
      <c r="DR447" s="1089">
        <f>DR395</f>
        <v>0.59047000409532568</v>
      </c>
      <c r="DS447" s="1073"/>
      <c r="DW447" s="1085" t="s">
        <v>91</v>
      </c>
      <c r="DX447" s="1088">
        <f>DX395</f>
        <v>0.15404084567525972</v>
      </c>
      <c r="DY447" s="1088">
        <f>DY395</f>
        <v>0.25548915022941465</v>
      </c>
      <c r="DZ447" s="1089">
        <f>DZ395</f>
        <v>0.59047000409532568</v>
      </c>
      <c r="EA447" s="1073"/>
      <c r="EE447" s="1085" t="s">
        <v>91</v>
      </c>
      <c r="EF447" s="1088">
        <f>EF395</f>
        <v>0.15404084567525972</v>
      </c>
      <c r="EG447" s="1088">
        <f>EG395</f>
        <v>0.25548915022941465</v>
      </c>
      <c r="EH447" s="1089">
        <f>EH395</f>
        <v>0.59047000409532568</v>
      </c>
      <c r="EI447" s="1073"/>
      <c r="EM447" s="1085" t="s">
        <v>91</v>
      </c>
      <c r="EN447" s="1088">
        <f>EN395</f>
        <v>0.15404084567525972</v>
      </c>
      <c r="EO447" s="1088">
        <f>EO395</f>
        <v>0.25548915022941465</v>
      </c>
      <c r="EP447" s="1089">
        <f>EP395</f>
        <v>0.59047000409532568</v>
      </c>
      <c r="EQ447" s="1073"/>
      <c r="EU447" s="1085" t="s">
        <v>91</v>
      </c>
      <c r="EV447" s="1088">
        <f>EV395</f>
        <v>0.15404084567525972</v>
      </c>
      <c r="EW447" s="1088">
        <f>EW395</f>
        <v>0.25548915022941465</v>
      </c>
      <c r="EX447" s="1089">
        <f>EX395</f>
        <v>0.59047000409532568</v>
      </c>
      <c r="EY447" s="1073"/>
      <c r="FC447" s="1085" t="s">
        <v>91</v>
      </c>
      <c r="FD447" s="1088">
        <f>FD395</f>
        <v>0.15404084567525972</v>
      </c>
      <c r="FE447" s="1088">
        <f>FE395</f>
        <v>0.25548915022941465</v>
      </c>
      <c r="FF447" s="1089">
        <f>FF395</f>
        <v>0.59047000409532568</v>
      </c>
      <c r="FG447" s="1073"/>
      <c r="FK447" s="1085" t="s">
        <v>91</v>
      </c>
      <c r="FL447" s="1088">
        <f>FL395</f>
        <v>0.15404084567525972</v>
      </c>
      <c r="FM447" s="1088">
        <f>FM395</f>
        <v>0.25548915022941465</v>
      </c>
      <c r="FN447" s="1089">
        <f>FN395</f>
        <v>0.59047000409532568</v>
      </c>
      <c r="FO447" s="1073"/>
    </row>
    <row r="448" spans="2:171">
      <c r="D448" s="1083"/>
      <c r="E448" s="1084"/>
      <c r="F448" s="1079"/>
      <c r="G448" s="1085" t="s">
        <v>93</v>
      </c>
      <c r="H448" s="1088">
        <f>H439</f>
        <v>0.32060435635106455</v>
      </c>
      <c r="I448" s="1088">
        <f>I439</f>
        <v>0</v>
      </c>
      <c r="J448" s="1089">
        <f>J439</f>
        <v>0.67939564364893534</v>
      </c>
      <c r="K448" s="1073"/>
      <c r="O448" s="1085" t="s">
        <v>93</v>
      </c>
      <c r="P448" s="1088">
        <f>P439</f>
        <v>0.32060435635106455</v>
      </c>
      <c r="Q448" s="1088">
        <f>Q439</f>
        <v>0.2005146886479906</v>
      </c>
      <c r="R448" s="1089">
        <f>R439</f>
        <v>0.47888095500094485</v>
      </c>
      <c r="S448" s="1073"/>
      <c r="W448" s="1085" t="s">
        <v>93</v>
      </c>
      <c r="X448" s="1088">
        <f>X439</f>
        <v>0.32060435635106455</v>
      </c>
      <c r="Y448" s="1088">
        <f>Y439</f>
        <v>0.2005146886479906</v>
      </c>
      <c r="Z448" s="1089">
        <f>Z439</f>
        <v>0.47888095500094485</v>
      </c>
      <c r="AA448" s="1073"/>
      <c r="AE448" s="1085" t="s">
        <v>93</v>
      </c>
      <c r="AF448" s="1088">
        <f>AF439</f>
        <v>0.32060435635106455</v>
      </c>
      <c r="AG448" s="1088">
        <f>AG439</f>
        <v>0.2005146886479906</v>
      </c>
      <c r="AH448" s="1089">
        <f>AH439</f>
        <v>0.47888095500094485</v>
      </c>
      <c r="AI448" s="1073"/>
      <c r="AM448" s="1085" t="s">
        <v>93</v>
      </c>
      <c r="AN448" s="1088">
        <f>AN439</f>
        <v>0.32060435635106455</v>
      </c>
      <c r="AO448" s="1088">
        <f>AO439</f>
        <v>0.2005146886479906</v>
      </c>
      <c r="AP448" s="1089">
        <f>AP439</f>
        <v>0.47888095500094485</v>
      </c>
      <c r="AQ448" s="1073"/>
      <c r="AU448" s="1085" t="s">
        <v>93</v>
      </c>
      <c r="AV448" s="1088">
        <f>AV439</f>
        <v>0.32060435635106455</v>
      </c>
      <c r="AW448" s="1088">
        <f>AW439</f>
        <v>0.2005146886479906</v>
      </c>
      <c r="AX448" s="1089">
        <f>AX439</f>
        <v>0.47888095500094485</v>
      </c>
      <c r="AY448" s="1073"/>
      <c r="BC448" s="1085" t="s">
        <v>93</v>
      </c>
      <c r="BD448" s="1088">
        <f>BD439</f>
        <v>0.32060435635106455</v>
      </c>
      <c r="BE448" s="1088">
        <f>BE439</f>
        <v>0.2005146886479906</v>
      </c>
      <c r="BF448" s="1089">
        <f>BF439</f>
        <v>0.47888095500094485</v>
      </c>
      <c r="BG448" s="1073"/>
      <c r="BK448" s="1085" t="s">
        <v>93</v>
      </c>
      <c r="BL448" s="1088">
        <f>BL439</f>
        <v>0.32060435635106455</v>
      </c>
      <c r="BM448" s="1088">
        <f>BM439</f>
        <v>0.2005146886479906</v>
      </c>
      <c r="BN448" s="1089">
        <f>BN439</f>
        <v>0.47888095500094485</v>
      </c>
      <c r="BO448" s="1073"/>
      <c r="BS448" s="1085" t="s">
        <v>93</v>
      </c>
      <c r="BT448" s="1088">
        <f>BT439</f>
        <v>0.32060435635106455</v>
      </c>
      <c r="BU448" s="1088">
        <f>BU439</f>
        <v>0.2005146886479906</v>
      </c>
      <c r="BV448" s="1089">
        <f>BV439</f>
        <v>0.47888095500094485</v>
      </c>
      <c r="BW448" s="1073"/>
      <c r="CA448" s="1085" t="s">
        <v>93</v>
      </c>
      <c r="CB448" s="1088">
        <f>CB439</f>
        <v>0.32060435635106455</v>
      </c>
      <c r="CC448" s="1088">
        <f>CC439</f>
        <v>0.2005146886479906</v>
      </c>
      <c r="CD448" s="1089">
        <f>CD439</f>
        <v>0.47888095500094485</v>
      </c>
      <c r="CE448" s="1073"/>
      <c r="CI448" s="1085" t="s">
        <v>93</v>
      </c>
      <c r="CJ448" s="1088">
        <f>CJ439</f>
        <v>0.32060435635106455</v>
      </c>
      <c r="CK448" s="1088">
        <f>CK439</f>
        <v>0.2005146886479906</v>
      </c>
      <c r="CL448" s="1089">
        <f>CL439</f>
        <v>0.47888095500094485</v>
      </c>
      <c r="CM448" s="1073"/>
      <c r="CQ448" s="1085" t="s">
        <v>93</v>
      </c>
      <c r="CR448" s="1088">
        <f>CR439</f>
        <v>0.32060435635106455</v>
      </c>
      <c r="CS448" s="1088">
        <f>CS439</f>
        <v>0.2005146886479906</v>
      </c>
      <c r="CT448" s="1089">
        <f>CT439</f>
        <v>0.47888095500094485</v>
      </c>
      <c r="CU448" s="1073"/>
      <c r="CY448" s="1085" t="s">
        <v>93</v>
      </c>
      <c r="CZ448" s="1088">
        <f>CZ439</f>
        <v>0.32060435635106455</v>
      </c>
      <c r="DA448" s="1088">
        <f>DA439</f>
        <v>0.2005146886479906</v>
      </c>
      <c r="DB448" s="1089">
        <f>DB439</f>
        <v>0.47888095500094485</v>
      </c>
      <c r="DC448" s="1073"/>
      <c r="DG448" s="1085" t="s">
        <v>93</v>
      </c>
      <c r="DH448" s="1088">
        <f>DH439</f>
        <v>0.32060435635106455</v>
      </c>
      <c r="DI448" s="1088">
        <f>DI439</f>
        <v>0.2005146886479906</v>
      </c>
      <c r="DJ448" s="1089">
        <f>DJ439</f>
        <v>0.47888095500094485</v>
      </c>
      <c r="DK448" s="1073"/>
      <c r="DO448" s="1085" t="s">
        <v>93</v>
      </c>
      <c r="DP448" s="1088">
        <f>DP439</f>
        <v>0.32060435635106455</v>
      </c>
      <c r="DQ448" s="1088">
        <f>DQ439</f>
        <v>0.2005146886479906</v>
      </c>
      <c r="DR448" s="1089">
        <f>DR439</f>
        <v>0.47888095500094485</v>
      </c>
      <c r="DS448" s="1073"/>
      <c r="DW448" s="1085" t="s">
        <v>93</v>
      </c>
      <c r="DX448" s="1088">
        <f>DX439</f>
        <v>0.32060435635106455</v>
      </c>
      <c r="DY448" s="1088">
        <f>DY439</f>
        <v>0.2005146886479906</v>
      </c>
      <c r="DZ448" s="1089">
        <f>DZ439</f>
        <v>0.47888095500094485</v>
      </c>
      <c r="EA448" s="1073"/>
      <c r="EE448" s="1085" t="s">
        <v>93</v>
      </c>
      <c r="EF448" s="1088">
        <f>EF439</f>
        <v>0.32060435635106455</v>
      </c>
      <c r="EG448" s="1088">
        <f>EG439</f>
        <v>0.2005146886479906</v>
      </c>
      <c r="EH448" s="1089">
        <f>EH439</f>
        <v>0.47888095500094485</v>
      </c>
      <c r="EI448" s="1073"/>
      <c r="EM448" s="1085" t="s">
        <v>93</v>
      </c>
      <c r="EN448" s="1088">
        <f>EN439</f>
        <v>0.32060435635106455</v>
      </c>
      <c r="EO448" s="1088">
        <f>EO439</f>
        <v>0.2005146886479906</v>
      </c>
      <c r="EP448" s="1089">
        <f>EP439</f>
        <v>0.47888095500094485</v>
      </c>
      <c r="EQ448" s="1073"/>
      <c r="EU448" s="1085" t="s">
        <v>93</v>
      </c>
      <c r="EV448" s="1088">
        <f>EV439</f>
        <v>0.32060435635106455</v>
      </c>
      <c r="EW448" s="1088">
        <f>EW439</f>
        <v>0.2005146886479906</v>
      </c>
      <c r="EX448" s="1089">
        <f>EX439</f>
        <v>0.47888095500094485</v>
      </c>
      <c r="EY448" s="1073"/>
      <c r="FC448" s="1085" t="s">
        <v>93</v>
      </c>
      <c r="FD448" s="1088">
        <f>FD439</f>
        <v>0.32060435635106455</v>
      </c>
      <c r="FE448" s="1088">
        <f>FE439</f>
        <v>0.2005146886479906</v>
      </c>
      <c r="FF448" s="1089">
        <f>FF439</f>
        <v>0.47888095500094485</v>
      </c>
      <c r="FG448" s="1073"/>
      <c r="FK448" s="1085" t="s">
        <v>93</v>
      </c>
      <c r="FL448" s="1088">
        <f>FL439</f>
        <v>0.32060435635106455</v>
      </c>
      <c r="FM448" s="1088">
        <f>FM439</f>
        <v>0.2005146886479906</v>
      </c>
      <c r="FN448" s="1089">
        <f>FN439</f>
        <v>0.47888095500094485</v>
      </c>
      <c r="FO448" s="1073"/>
    </row>
    <row r="449" spans="1:171">
      <c r="D449" s="1083"/>
      <c r="E449" s="1084"/>
      <c r="F449" s="1079"/>
      <c r="G449" s="1085" t="s">
        <v>95</v>
      </c>
      <c r="H449" s="1088">
        <f>H379</f>
        <v>0.36607064250971133</v>
      </c>
      <c r="I449" s="1088">
        <f>I379</f>
        <v>0</v>
      </c>
      <c r="J449" s="1089">
        <f>J379</f>
        <v>0.63392935749028867</v>
      </c>
      <c r="K449" s="1078"/>
      <c r="O449" s="1085" t="s">
        <v>95</v>
      </c>
      <c r="P449" s="1088">
        <f>P379</f>
        <v>0.36607064250971133</v>
      </c>
      <c r="Q449" s="1088">
        <f>Q379</f>
        <v>7.6713287663511029E-2</v>
      </c>
      <c r="R449" s="1089">
        <f>R379</f>
        <v>0.55721606982677763</v>
      </c>
      <c r="S449" s="1078"/>
      <c r="W449" s="1085" t="s">
        <v>95</v>
      </c>
      <c r="X449" s="1088">
        <f>X379</f>
        <v>0.36607064250971133</v>
      </c>
      <c r="Y449" s="1088">
        <f>Y379</f>
        <v>7.6713287663511029E-2</v>
      </c>
      <c r="Z449" s="1089">
        <f>Z379</f>
        <v>0.55721606982677763</v>
      </c>
      <c r="AA449" s="1078"/>
      <c r="AE449" s="1085" t="s">
        <v>95</v>
      </c>
      <c r="AF449" s="1088">
        <f>AF379</f>
        <v>0.36607064250971133</v>
      </c>
      <c r="AG449" s="1088">
        <f>AG379</f>
        <v>7.6713287663511029E-2</v>
      </c>
      <c r="AH449" s="1089">
        <f>AH379</f>
        <v>0.55721606982677763</v>
      </c>
      <c r="AI449" s="1078"/>
      <c r="AM449" s="1085" t="s">
        <v>95</v>
      </c>
      <c r="AN449" s="1088">
        <f>AN379</f>
        <v>0.36607064250971133</v>
      </c>
      <c r="AO449" s="1088">
        <f>AO379</f>
        <v>7.6713287663511029E-2</v>
      </c>
      <c r="AP449" s="1089">
        <f>AP379</f>
        <v>0.55721606982677763</v>
      </c>
      <c r="AQ449" s="1078"/>
      <c r="AU449" s="1085" t="s">
        <v>95</v>
      </c>
      <c r="AV449" s="1088">
        <f>AV379</f>
        <v>0.36607064250971133</v>
      </c>
      <c r="AW449" s="1088">
        <f>AW379</f>
        <v>7.6713287663511029E-2</v>
      </c>
      <c r="AX449" s="1089">
        <f>AX379</f>
        <v>0.55721606982677763</v>
      </c>
      <c r="AY449" s="1078"/>
      <c r="BC449" s="1085" t="s">
        <v>95</v>
      </c>
      <c r="BD449" s="1088">
        <f>BD379</f>
        <v>0.36607064250971133</v>
      </c>
      <c r="BE449" s="1088">
        <f>BE379</f>
        <v>7.6713287663511029E-2</v>
      </c>
      <c r="BF449" s="1089">
        <f>BF379</f>
        <v>0.55721606982677763</v>
      </c>
      <c r="BG449" s="1078"/>
      <c r="BK449" s="1085" t="s">
        <v>95</v>
      </c>
      <c r="BL449" s="1088">
        <f>BL379</f>
        <v>0.36607064250971133</v>
      </c>
      <c r="BM449" s="1088">
        <f>BM379</f>
        <v>7.6713287663511029E-2</v>
      </c>
      <c r="BN449" s="1089">
        <f>BN379</f>
        <v>0.55721606982677763</v>
      </c>
      <c r="BO449" s="1078"/>
      <c r="BS449" s="1085" t="s">
        <v>95</v>
      </c>
      <c r="BT449" s="1088">
        <f>BT379</f>
        <v>0.36607064250971133</v>
      </c>
      <c r="BU449" s="1088">
        <f>BU379</f>
        <v>7.6713287663511029E-2</v>
      </c>
      <c r="BV449" s="1089">
        <f>BV379</f>
        <v>0.55721606982677763</v>
      </c>
      <c r="BW449" s="1078"/>
      <c r="CA449" s="1085" t="s">
        <v>95</v>
      </c>
      <c r="CB449" s="1088">
        <f>CB379</f>
        <v>0.36607064250971133</v>
      </c>
      <c r="CC449" s="1088">
        <f>CC379</f>
        <v>7.6713287663511029E-2</v>
      </c>
      <c r="CD449" s="1089">
        <f>CD379</f>
        <v>0.55721606982677763</v>
      </c>
      <c r="CE449" s="1078"/>
      <c r="CI449" s="1085" t="s">
        <v>95</v>
      </c>
      <c r="CJ449" s="1088">
        <f>CJ379</f>
        <v>0.36607064250971133</v>
      </c>
      <c r="CK449" s="1088">
        <f>CK379</f>
        <v>7.6713287663511029E-2</v>
      </c>
      <c r="CL449" s="1089">
        <f>CL379</f>
        <v>0.55721606982677763</v>
      </c>
      <c r="CM449" s="1078"/>
      <c r="CQ449" s="1085" t="s">
        <v>95</v>
      </c>
      <c r="CR449" s="1088">
        <f>CR379</f>
        <v>0.36607064250971133</v>
      </c>
      <c r="CS449" s="1088">
        <f>CS379</f>
        <v>7.6713287663511029E-2</v>
      </c>
      <c r="CT449" s="1089">
        <f>CT379</f>
        <v>0.55721606982677763</v>
      </c>
      <c r="CU449" s="1078"/>
      <c r="CY449" s="1085" t="s">
        <v>95</v>
      </c>
      <c r="CZ449" s="1088">
        <f>CZ379</f>
        <v>0.36607064250971133</v>
      </c>
      <c r="DA449" s="1088">
        <f>DA379</f>
        <v>7.6713287663511029E-2</v>
      </c>
      <c r="DB449" s="1089">
        <f>DB379</f>
        <v>0.55721606982677763</v>
      </c>
      <c r="DC449" s="1078"/>
      <c r="DG449" s="1085" t="s">
        <v>95</v>
      </c>
      <c r="DH449" s="1088">
        <f>DH379</f>
        <v>0.36607064250971133</v>
      </c>
      <c r="DI449" s="1088">
        <f>DI379</f>
        <v>7.6713287663511029E-2</v>
      </c>
      <c r="DJ449" s="1089">
        <f>DJ379</f>
        <v>0.55721606982677763</v>
      </c>
      <c r="DK449" s="1078"/>
      <c r="DO449" s="1085" t="s">
        <v>95</v>
      </c>
      <c r="DP449" s="1088">
        <f>DP379</f>
        <v>0.36607064250971133</v>
      </c>
      <c r="DQ449" s="1088">
        <f>DQ379</f>
        <v>7.6713287663511029E-2</v>
      </c>
      <c r="DR449" s="1089">
        <f>DR379</f>
        <v>0.55721606982677763</v>
      </c>
      <c r="DS449" s="1078"/>
      <c r="DW449" s="1085" t="s">
        <v>95</v>
      </c>
      <c r="DX449" s="1088">
        <f>DX379</f>
        <v>0.36607064250971133</v>
      </c>
      <c r="DY449" s="1088">
        <f>DY379</f>
        <v>7.6713287663511029E-2</v>
      </c>
      <c r="DZ449" s="1089">
        <f>DZ379</f>
        <v>0.55721606982677763</v>
      </c>
      <c r="EA449" s="1078"/>
      <c r="EE449" s="1085" t="s">
        <v>95</v>
      </c>
      <c r="EF449" s="1088">
        <f>EF379</f>
        <v>0.36607064250971133</v>
      </c>
      <c r="EG449" s="1088">
        <f>EG379</f>
        <v>7.6713287663511029E-2</v>
      </c>
      <c r="EH449" s="1089">
        <f>EH379</f>
        <v>0.55721606982677763</v>
      </c>
      <c r="EI449" s="1078"/>
      <c r="EM449" s="1085" t="s">
        <v>95</v>
      </c>
      <c r="EN449" s="1088">
        <f>EN379</f>
        <v>0.36607064250971133</v>
      </c>
      <c r="EO449" s="1088">
        <f>EO379</f>
        <v>7.6713287663511029E-2</v>
      </c>
      <c r="EP449" s="1089">
        <f>EP379</f>
        <v>0.55721606982677763</v>
      </c>
      <c r="EQ449" s="1078"/>
      <c r="EU449" s="1085" t="s">
        <v>95</v>
      </c>
      <c r="EV449" s="1088">
        <f>EV379</f>
        <v>0.36607064250971133</v>
      </c>
      <c r="EW449" s="1088">
        <f>EW379</f>
        <v>7.6713287663511029E-2</v>
      </c>
      <c r="EX449" s="1089">
        <f>EX379</f>
        <v>0.55721606982677763</v>
      </c>
      <c r="EY449" s="1078"/>
      <c r="FC449" s="1085" t="s">
        <v>95</v>
      </c>
      <c r="FD449" s="1088">
        <f>FD379</f>
        <v>0.36607064250971133</v>
      </c>
      <c r="FE449" s="1088">
        <f>FE379</f>
        <v>7.6713287663511029E-2</v>
      </c>
      <c r="FF449" s="1089">
        <f>FF379</f>
        <v>0.55721606982677763</v>
      </c>
      <c r="FG449" s="1078"/>
      <c r="FK449" s="1085" t="s">
        <v>95</v>
      </c>
      <c r="FL449" s="1088">
        <f>FL379</f>
        <v>0.36607064250971133</v>
      </c>
      <c r="FM449" s="1088">
        <f>FM379</f>
        <v>7.6713287663511029E-2</v>
      </c>
      <c r="FN449" s="1089">
        <f>FN379</f>
        <v>0.55721606982677763</v>
      </c>
      <c r="FO449" s="1078"/>
    </row>
    <row r="450" spans="1:171">
      <c r="D450" s="1083"/>
      <c r="E450" s="1084"/>
      <c r="F450" s="1079"/>
      <c r="G450" s="1085" t="s">
        <v>99</v>
      </c>
      <c r="H450" s="1088">
        <f>H406</f>
        <v>0.31776081854750221</v>
      </c>
      <c r="I450" s="1088">
        <f>I406</f>
        <v>0</v>
      </c>
      <c r="J450" s="1089">
        <f>J406</f>
        <v>0.68223918145249773</v>
      </c>
      <c r="K450" s="1073"/>
      <c r="O450" s="1085" t="s">
        <v>99</v>
      </c>
      <c r="P450" s="1088">
        <f>P406</f>
        <v>0.31776081854750221</v>
      </c>
      <c r="Q450" s="1088">
        <f>Q406</f>
        <v>0.2082574359356178</v>
      </c>
      <c r="R450" s="1089">
        <f>R406</f>
        <v>0.47398174551687999</v>
      </c>
      <c r="S450" s="1073"/>
      <c r="W450" s="1085" t="s">
        <v>99</v>
      </c>
      <c r="X450" s="1088">
        <f>X406</f>
        <v>0.31776081854750221</v>
      </c>
      <c r="Y450" s="1088">
        <f>Y406</f>
        <v>0.2082574359356178</v>
      </c>
      <c r="Z450" s="1089">
        <f>Z406</f>
        <v>0.47398174551687999</v>
      </c>
      <c r="AA450" s="1073"/>
      <c r="AE450" s="1085" t="s">
        <v>99</v>
      </c>
      <c r="AF450" s="1088">
        <f>AF406</f>
        <v>0.31776081854750221</v>
      </c>
      <c r="AG450" s="1088">
        <f>AG406</f>
        <v>0.2082574359356178</v>
      </c>
      <c r="AH450" s="1089">
        <f>AH406</f>
        <v>0.47398174551687999</v>
      </c>
      <c r="AI450" s="1073"/>
      <c r="AM450" s="1085" t="s">
        <v>99</v>
      </c>
      <c r="AN450" s="1088">
        <f>AN406</f>
        <v>0.31776081854750221</v>
      </c>
      <c r="AO450" s="1088">
        <f>AO406</f>
        <v>0.2082574359356178</v>
      </c>
      <c r="AP450" s="1089">
        <f>AP406</f>
        <v>0.47398174551687999</v>
      </c>
      <c r="AQ450" s="1073"/>
      <c r="AU450" s="1085" t="s">
        <v>99</v>
      </c>
      <c r="AV450" s="1088">
        <f>AV406</f>
        <v>0.31776081854750221</v>
      </c>
      <c r="AW450" s="1088">
        <f>AW406</f>
        <v>0.2082574359356178</v>
      </c>
      <c r="AX450" s="1089">
        <f>AX406</f>
        <v>0.47398174551687999</v>
      </c>
      <c r="AY450" s="1073"/>
      <c r="BC450" s="1085" t="s">
        <v>99</v>
      </c>
      <c r="BD450" s="1088">
        <f>BD406</f>
        <v>0.31776081854750221</v>
      </c>
      <c r="BE450" s="1088">
        <f>BE406</f>
        <v>0.2082574359356178</v>
      </c>
      <c r="BF450" s="1089">
        <f>BF406</f>
        <v>0.47398174551687999</v>
      </c>
      <c r="BG450" s="1073"/>
      <c r="BK450" s="1085" t="s">
        <v>99</v>
      </c>
      <c r="BL450" s="1088">
        <f>BL406</f>
        <v>0.31776081854750221</v>
      </c>
      <c r="BM450" s="1088">
        <f>BM406</f>
        <v>0.2082574359356178</v>
      </c>
      <c r="BN450" s="1089">
        <f>BN406</f>
        <v>0.47398174551687999</v>
      </c>
      <c r="BO450" s="1073"/>
      <c r="BS450" s="1085" t="s">
        <v>99</v>
      </c>
      <c r="BT450" s="1088">
        <f>BT406</f>
        <v>0.31776081854750221</v>
      </c>
      <c r="BU450" s="1088">
        <f>BU406</f>
        <v>0.2082574359356178</v>
      </c>
      <c r="BV450" s="1089">
        <f>BV406</f>
        <v>0.47398174551687999</v>
      </c>
      <c r="BW450" s="1073"/>
      <c r="CA450" s="1085" t="s">
        <v>99</v>
      </c>
      <c r="CB450" s="1088">
        <f>CB406</f>
        <v>0.31776081854750221</v>
      </c>
      <c r="CC450" s="1088">
        <f>CC406</f>
        <v>0.2082574359356178</v>
      </c>
      <c r="CD450" s="1089">
        <f>CD406</f>
        <v>0.47398174551687999</v>
      </c>
      <c r="CE450" s="1073"/>
      <c r="CI450" s="1085" t="s">
        <v>99</v>
      </c>
      <c r="CJ450" s="1088">
        <f>CJ406</f>
        <v>0.31776081854750221</v>
      </c>
      <c r="CK450" s="1088">
        <f>CK406</f>
        <v>0.2082574359356178</v>
      </c>
      <c r="CL450" s="1089">
        <f>CL406</f>
        <v>0.47398174551687999</v>
      </c>
      <c r="CM450" s="1073"/>
      <c r="CQ450" s="1085" t="s">
        <v>99</v>
      </c>
      <c r="CR450" s="1088">
        <f>CR406</f>
        <v>0.31776081854750221</v>
      </c>
      <c r="CS450" s="1088">
        <f>CS406</f>
        <v>0.2082574359356178</v>
      </c>
      <c r="CT450" s="1089">
        <f>CT406</f>
        <v>0.47398174551687999</v>
      </c>
      <c r="CU450" s="1073"/>
      <c r="CY450" s="1085" t="s">
        <v>99</v>
      </c>
      <c r="CZ450" s="1088">
        <f>CZ406</f>
        <v>0.31776081854750221</v>
      </c>
      <c r="DA450" s="1088">
        <f>DA406</f>
        <v>0.2082574359356178</v>
      </c>
      <c r="DB450" s="1089">
        <f>DB406</f>
        <v>0.47398174551687999</v>
      </c>
      <c r="DC450" s="1073"/>
      <c r="DG450" s="1085" t="s">
        <v>99</v>
      </c>
      <c r="DH450" s="1088">
        <f>DH406</f>
        <v>0.31776081854750221</v>
      </c>
      <c r="DI450" s="1088">
        <f>DI406</f>
        <v>0.2082574359356178</v>
      </c>
      <c r="DJ450" s="1089">
        <f>DJ406</f>
        <v>0.47398174551687999</v>
      </c>
      <c r="DK450" s="1073"/>
      <c r="DO450" s="1085" t="s">
        <v>99</v>
      </c>
      <c r="DP450" s="1088">
        <f>DP406</f>
        <v>0.31776081854750221</v>
      </c>
      <c r="DQ450" s="1088">
        <f>DQ406</f>
        <v>0.2082574359356178</v>
      </c>
      <c r="DR450" s="1089">
        <f>DR406</f>
        <v>0.47398174551687999</v>
      </c>
      <c r="DS450" s="1073"/>
      <c r="DW450" s="1085" t="s">
        <v>99</v>
      </c>
      <c r="DX450" s="1088">
        <f>DX406</f>
        <v>0.31776081854750221</v>
      </c>
      <c r="DY450" s="1088">
        <f>DY406</f>
        <v>0.2082574359356178</v>
      </c>
      <c r="DZ450" s="1089">
        <f>DZ406</f>
        <v>0.47398174551687999</v>
      </c>
      <c r="EA450" s="1073"/>
      <c r="EE450" s="1085" t="s">
        <v>99</v>
      </c>
      <c r="EF450" s="1088">
        <f>EF406</f>
        <v>0.31776081854750221</v>
      </c>
      <c r="EG450" s="1088">
        <f>EG406</f>
        <v>0.2082574359356178</v>
      </c>
      <c r="EH450" s="1089">
        <f>EH406</f>
        <v>0.47398174551687999</v>
      </c>
      <c r="EI450" s="1073"/>
      <c r="EM450" s="1085" t="s">
        <v>99</v>
      </c>
      <c r="EN450" s="1088">
        <f>EN406</f>
        <v>0.31776081854750221</v>
      </c>
      <c r="EO450" s="1088">
        <f>EO406</f>
        <v>0.2082574359356178</v>
      </c>
      <c r="EP450" s="1089">
        <f>EP406</f>
        <v>0.47398174551687999</v>
      </c>
      <c r="EQ450" s="1073"/>
      <c r="EU450" s="1085" t="s">
        <v>99</v>
      </c>
      <c r="EV450" s="1088">
        <f>EV406</f>
        <v>0.31776081854750221</v>
      </c>
      <c r="EW450" s="1088">
        <f>EW406</f>
        <v>0.2082574359356178</v>
      </c>
      <c r="EX450" s="1089">
        <f>EX406</f>
        <v>0.47398174551687999</v>
      </c>
      <c r="EY450" s="1073"/>
      <c r="FC450" s="1085" t="s">
        <v>99</v>
      </c>
      <c r="FD450" s="1088">
        <f>FD406</f>
        <v>0.31776081854750221</v>
      </c>
      <c r="FE450" s="1088">
        <f>FE406</f>
        <v>0.2082574359356178</v>
      </c>
      <c r="FF450" s="1089">
        <f>FF406</f>
        <v>0.47398174551687999</v>
      </c>
      <c r="FG450" s="1073"/>
      <c r="FK450" s="1085" t="s">
        <v>99</v>
      </c>
      <c r="FL450" s="1088">
        <f>FL406</f>
        <v>0.31776081854750221</v>
      </c>
      <c r="FM450" s="1088">
        <f>FM406</f>
        <v>0.2082574359356178</v>
      </c>
      <c r="FN450" s="1089">
        <f>FN406</f>
        <v>0.47398174551687999</v>
      </c>
      <c r="FO450" s="1073"/>
    </row>
    <row r="451" spans="1:171">
      <c r="D451" s="1083"/>
      <c r="E451" s="1084"/>
      <c r="F451" s="1079"/>
      <c r="G451" s="1085" t="s">
        <v>108</v>
      </c>
      <c r="H451" s="1088">
        <f>H415</f>
        <v>0.31822270268064157</v>
      </c>
      <c r="I451" s="1088">
        <f>I415</f>
        <v>0</v>
      </c>
      <c r="J451" s="1089">
        <f>J415</f>
        <v>0.68177729721660785</v>
      </c>
      <c r="K451" s="1073"/>
      <c r="O451" s="1085" t="s">
        <v>108</v>
      </c>
      <c r="P451" s="1088">
        <f>P415</f>
        <v>0.31822270268064157</v>
      </c>
      <c r="Q451" s="1088">
        <f>Q415</f>
        <v>0.20567919424372383</v>
      </c>
      <c r="R451" s="1089">
        <f>R415</f>
        <v>0.47609810307563472</v>
      </c>
      <c r="S451" s="1073"/>
      <c r="W451" s="1085" t="s">
        <v>108</v>
      </c>
      <c r="X451" s="1088">
        <f>X415</f>
        <v>0.31822270268064157</v>
      </c>
      <c r="Y451" s="1088">
        <f>Y415</f>
        <v>0.20567919424372383</v>
      </c>
      <c r="Z451" s="1089">
        <f>Z415</f>
        <v>0.47609810307563472</v>
      </c>
      <c r="AA451" s="1073"/>
      <c r="AE451" s="1085" t="s">
        <v>108</v>
      </c>
      <c r="AF451" s="1088">
        <f>AF415</f>
        <v>0.31822270268064157</v>
      </c>
      <c r="AG451" s="1088">
        <f>AG415</f>
        <v>0.20567919424372383</v>
      </c>
      <c r="AH451" s="1089">
        <f>AH415</f>
        <v>0.47609810307563472</v>
      </c>
      <c r="AI451" s="1073"/>
      <c r="AM451" s="1085" t="s">
        <v>108</v>
      </c>
      <c r="AN451" s="1088">
        <f>AN415</f>
        <v>0.31822270268064157</v>
      </c>
      <c r="AO451" s="1088">
        <f>AO415</f>
        <v>0.20567919424372383</v>
      </c>
      <c r="AP451" s="1089">
        <f>AP415</f>
        <v>0.47609810307563472</v>
      </c>
      <c r="AQ451" s="1073"/>
      <c r="AU451" s="1085" t="s">
        <v>108</v>
      </c>
      <c r="AV451" s="1088">
        <f>AV415</f>
        <v>0.31822270268064157</v>
      </c>
      <c r="AW451" s="1088">
        <f>AW415</f>
        <v>0.20567919424372383</v>
      </c>
      <c r="AX451" s="1089">
        <f>AX415</f>
        <v>0.47609810307563472</v>
      </c>
      <c r="AY451" s="1073"/>
      <c r="BC451" s="1085" t="s">
        <v>108</v>
      </c>
      <c r="BD451" s="1088">
        <f>BD415</f>
        <v>0.31822270268064157</v>
      </c>
      <c r="BE451" s="1088">
        <f>BE415</f>
        <v>0.20567919424372383</v>
      </c>
      <c r="BF451" s="1089">
        <f>BF415</f>
        <v>0.47609810307563472</v>
      </c>
      <c r="BG451" s="1073"/>
      <c r="BK451" s="1085" t="s">
        <v>108</v>
      </c>
      <c r="BL451" s="1088">
        <f>BL415</f>
        <v>0.31822270268064157</v>
      </c>
      <c r="BM451" s="1088">
        <f>BM415</f>
        <v>0.20567919424372383</v>
      </c>
      <c r="BN451" s="1089">
        <f>BN415</f>
        <v>0.47609810307563472</v>
      </c>
      <c r="BO451" s="1073"/>
      <c r="BS451" s="1085" t="s">
        <v>108</v>
      </c>
      <c r="BT451" s="1088">
        <f>BT415</f>
        <v>0.31822270268064157</v>
      </c>
      <c r="BU451" s="1088">
        <f>BU415</f>
        <v>0.20567919424372383</v>
      </c>
      <c r="BV451" s="1089">
        <f>BV415</f>
        <v>0.47609810307563472</v>
      </c>
      <c r="BW451" s="1073"/>
      <c r="CA451" s="1085" t="s">
        <v>108</v>
      </c>
      <c r="CB451" s="1088">
        <f>CB415</f>
        <v>0.31822270268064157</v>
      </c>
      <c r="CC451" s="1088">
        <f>CC415</f>
        <v>0.20567919424372383</v>
      </c>
      <c r="CD451" s="1089">
        <f>CD415</f>
        <v>0.47609810307563472</v>
      </c>
      <c r="CE451" s="1073"/>
      <c r="CI451" s="1085" t="s">
        <v>108</v>
      </c>
      <c r="CJ451" s="1088">
        <f>CJ415</f>
        <v>0.31822270268064157</v>
      </c>
      <c r="CK451" s="1088">
        <f>CK415</f>
        <v>0.20567919424372383</v>
      </c>
      <c r="CL451" s="1089">
        <f>CL415</f>
        <v>0.47609810307563472</v>
      </c>
      <c r="CM451" s="1073"/>
      <c r="CQ451" s="1085" t="s">
        <v>108</v>
      </c>
      <c r="CR451" s="1088">
        <f>CR415</f>
        <v>0.31822270268064157</v>
      </c>
      <c r="CS451" s="1088">
        <f>CS415</f>
        <v>0.20567919424372383</v>
      </c>
      <c r="CT451" s="1089">
        <f>CT415</f>
        <v>0.47609810307563472</v>
      </c>
      <c r="CU451" s="1073"/>
      <c r="CY451" s="1085" t="s">
        <v>108</v>
      </c>
      <c r="CZ451" s="1088">
        <f>CZ415</f>
        <v>0.31822270268064157</v>
      </c>
      <c r="DA451" s="1088">
        <f>DA415</f>
        <v>0.20567919424372383</v>
      </c>
      <c r="DB451" s="1089">
        <f>DB415</f>
        <v>0.47609810307563472</v>
      </c>
      <c r="DC451" s="1073"/>
      <c r="DG451" s="1085" t="s">
        <v>108</v>
      </c>
      <c r="DH451" s="1088">
        <f>DH415</f>
        <v>0.31822270268064157</v>
      </c>
      <c r="DI451" s="1088">
        <f>DI415</f>
        <v>0.20567919424372383</v>
      </c>
      <c r="DJ451" s="1089">
        <f>DJ415</f>
        <v>0.47609810307563472</v>
      </c>
      <c r="DK451" s="1073"/>
      <c r="DO451" s="1085" t="s">
        <v>108</v>
      </c>
      <c r="DP451" s="1088">
        <f>DP415</f>
        <v>0.31822270268064157</v>
      </c>
      <c r="DQ451" s="1088">
        <f>DQ415</f>
        <v>0.20567919424372383</v>
      </c>
      <c r="DR451" s="1089">
        <f>DR415</f>
        <v>0.47609810307563472</v>
      </c>
      <c r="DS451" s="1073"/>
      <c r="DW451" s="1085" t="s">
        <v>108</v>
      </c>
      <c r="DX451" s="1088">
        <f>DX415</f>
        <v>0.31822270268064157</v>
      </c>
      <c r="DY451" s="1088">
        <f>DY415</f>
        <v>0.20567919424372383</v>
      </c>
      <c r="DZ451" s="1089">
        <f>DZ415</f>
        <v>0.47609810307563472</v>
      </c>
      <c r="EA451" s="1073"/>
      <c r="EE451" s="1085" t="s">
        <v>108</v>
      </c>
      <c r="EF451" s="1088">
        <f>EF415</f>
        <v>0.31822270268064157</v>
      </c>
      <c r="EG451" s="1088">
        <f>EG415</f>
        <v>0.20567919424372383</v>
      </c>
      <c r="EH451" s="1089">
        <f>EH415</f>
        <v>0.47609810307563472</v>
      </c>
      <c r="EI451" s="1073"/>
      <c r="EM451" s="1085" t="s">
        <v>108</v>
      </c>
      <c r="EN451" s="1088">
        <f>EN415</f>
        <v>0.31822270268064157</v>
      </c>
      <c r="EO451" s="1088">
        <f>EO415</f>
        <v>0.20567919424372383</v>
      </c>
      <c r="EP451" s="1089">
        <f>EP415</f>
        <v>0.47609810307563472</v>
      </c>
      <c r="EQ451" s="1073"/>
      <c r="EU451" s="1085" t="s">
        <v>108</v>
      </c>
      <c r="EV451" s="1088">
        <f>EV415</f>
        <v>0.31822270268064157</v>
      </c>
      <c r="EW451" s="1088">
        <f>EW415</f>
        <v>0.20567919424372383</v>
      </c>
      <c r="EX451" s="1089">
        <f>EX415</f>
        <v>0.47609810307563472</v>
      </c>
      <c r="EY451" s="1073"/>
      <c r="FC451" s="1085" t="s">
        <v>108</v>
      </c>
      <c r="FD451" s="1088">
        <f>FD415</f>
        <v>0.31822270268064157</v>
      </c>
      <c r="FE451" s="1088">
        <f>FE415</f>
        <v>0.20567919424372383</v>
      </c>
      <c r="FF451" s="1089">
        <f>FF415</f>
        <v>0.47609810307563472</v>
      </c>
      <c r="FG451" s="1073"/>
      <c r="FK451" s="1085" t="s">
        <v>108</v>
      </c>
      <c r="FL451" s="1088">
        <f>FL415</f>
        <v>0.31822270268064157</v>
      </c>
      <c r="FM451" s="1088">
        <f>FM415</f>
        <v>0.20567919424372383</v>
      </c>
      <c r="FN451" s="1089">
        <f>FN415</f>
        <v>0.47609810307563472</v>
      </c>
      <c r="FO451" s="1073"/>
    </row>
    <row r="452" spans="1:171">
      <c r="D452" s="1083"/>
      <c r="E452" s="1084"/>
      <c r="F452" s="1079"/>
      <c r="G452" s="1090" t="s">
        <v>109</v>
      </c>
      <c r="H452" s="1088">
        <f>H421</f>
        <v>0</v>
      </c>
      <c r="I452" s="1088">
        <f>I421</f>
        <v>0</v>
      </c>
      <c r="J452" s="1089">
        <f>J421</f>
        <v>1</v>
      </c>
      <c r="K452" s="1078"/>
      <c r="O452" s="1090" t="s">
        <v>109</v>
      </c>
      <c r="P452" s="1088">
        <f>P421</f>
        <v>0</v>
      </c>
      <c r="Q452" s="1088">
        <f>Q421</f>
        <v>0.30525575428288138</v>
      </c>
      <c r="R452" s="1089">
        <f>R421</f>
        <v>0.69474424571711857</v>
      </c>
      <c r="S452" s="1078"/>
      <c r="W452" s="1090" t="s">
        <v>109</v>
      </c>
      <c r="X452" s="1088">
        <f>X421</f>
        <v>0</v>
      </c>
      <c r="Y452" s="1088">
        <f>Y421</f>
        <v>0.30525575428288138</v>
      </c>
      <c r="Z452" s="1089">
        <f>Z421</f>
        <v>0.69474424571711857</v>
      </c>
      <c r="AA452" s="1078"/>
      <c r="AE452" s="1090" t="s">
        <v>109</v>
      </c>
      <c r="AF452" s="1088">
        <f>AF421</f>
        <v>0</v>
      </c>
      <c r="AG452" s="1088">
        <f>AG421</f>
        <v>0.30525575428288138</v>
      </c>
      <c r="AH452" s="1089">
        <f>AH421</f>
        <v>0.69474424571711857</v>
      </c>
      <c r="AI452" s="1078"/>
      <c r="AM452" s="1090" t="s">
        <v>109</v>
      </c>
      <c r="AN452" s="1088">
        <f>AN421</f>
        <v>0</v>
      </c>
      <c r="AO452" s="1088">
        <f>AO421</f>
        <v>0.30525575428288138</v>
      </c>
      <c r="AP452" s="1089">
        <f>AP421</f>
        <v>0.69474424571711857</v>
      </c>
      <c r="AQ452" s="1078"/>
      <c r="AU452" s="1090" t="s">
        <v>109</v>
      </c>
      <c r="AV452" s="1088">
        <f>AV421</f>
        <v>0</v>
      </c>
      <c r="AW452" s="1088">
        <f>AW421</f>
        <v>0.30525575428288138</v>
      </c>
      <c r="AX452" s="1089">
        <f>AX421</f>
        <v>0.69474424571711857</v>
      </c>
      <c r="AY452" s="1078"/>
      <c r="BC452" s="1090" t="s">
        <v>109</v>
      </c>
      <c r="BD452" s="1088">
        <f>BD421</f>
        <v>0</v>
      </c>
      <c r="BE452" s="1088">
        <f>BE421</f>
        <v>0.30525575428288138</v>
      </c>
      <c r="BF452" s="1089">
        <f>BF421</f>
        <v>0.69474424571711857</v>
      </c>
      <c r="BG452" s="1078"/>
      <c r="BK452" s="1090" t="s">
        <v>109</v>
      </c>
      <c r="BL452" s="1088">
        <f>BL421</f>
        <v>0</v>
      </c>
      <c r="BM452" s="1088">
        <f>BM421</f>
        <v>0.30525575428288138</v>
      </c>
      <c r="BN452" s="1089">
        <f>BN421</f>
        <v>0.69474424571711857</v>
      </c>
      <c r="BO452" s="1078"/>
      <c r="BS452" s="1090" t="s">
        <v>109</v>
      </c>
      <c r="BT452" s="1088">
        <f>BT421</f>
        <v>0</v>
      </c>
      <c r="BU452" s="1088">
        <f>BU421</f>
        <v>0.30525575428288138</v>
      </c>
      <c r="BV452" s="1089">
        <f>BV421</f>
        <v>0.69474424571711857</v>
      </c>
      <c r="BW452" s="1078"/>
      <c r="CA452" s="1090" t="s">
        <v>109</v>
      </c>
      <c r="CB452" s="1088">
        <f>CB421</f>
        <v>0</v>
      </c>
      <c r="CC452" s="1088">
        <f>CC421</f>
        <v>0.30525575428288138</v>
      </c>
      <c r="CD452" s="1089">
        <f>CD421</f>
        <v>0.69474424571711857</v>
      </c>
      <c r="CE452" s="1078"/>
      <c r="CI452" s="1090" t="s">
        <v>109</v>
      </c>
      <c r="CJ452" s="1088">
        <f>CJ421</f>
        <v>0</v>
      </c>
      <c r="CK452" s="1088">
        <f>CK421</f>
        <v>0.30525575428288138</v>
      </c>
      <c r="CL452" s="1089">
        <f>CL421</f>
        <v>0.69474424571711857</v>
      </c>
      <c r="CM452" s="1078"/>
      <c r="CQ452" s="1090" t="s">
        <v>109</v>
      </c>
      <c r="CR452" s="1088">
        <f>CR421</f>
        <v>0</v>
      </c>
      <c r="CS452" s="1088">
        <f>CS421</f>
        <v>0.30525575428288138</v>
      </c>
      <c r="CT452" s="1089">
        <f>CT421</f>
        <v>0.69474424571711857</v>
      </c>
      <c r="CU452" s="1078"/>
      <c r="CY452" s="1090" t="s">
        <v>109</v>
      </c>
      <c r="CZ452" s="1088">
        <f>CZ421</f>
        <v>0</v>
      </c>
      <c r="DA452" s="1088">
        <f>DA421</f>
        <v>0.30525575428288138</v>
      </c>
      <c r="DB452" s="1089">
        <f>DB421</f>
        <v>0.69474424571711857</v>
      </c>
      <c r="DC452" s="1078"/>
      <c r="DG452" s="1090" t="s">
        <v>109</v>
      </c>
      <c r="DH452" s="1088">
        <f>DH421</f>
        <v>0</v>
      </c>
      <c r="DI452" s="1088">
        <f>DI421</f>
        <v>0.30525575428288138</v>
      </c>
      <c r="DJ452" s="1089">
        <f>DJ421</f>
        <v>0.69474424571711857</v>
      </c>
      <c r="DK452" s="1078"/>
      <c r="DO452" s="1090" t="s">
        <v>109</v>
      </c>
      <c r="DP452" s="1088">
        <f>DP421</f>
        <v>0</v>
      </c>
      <c r="DQ452" s="1088">
        <f>DQ421</f>
        <v>0.30525575428288138</v>
      </c>
      <c r="DR452" s="1089">
        <f>DR421</f>
        <v>0.69474424571711857</v>
      </c>
      <c r="DS452" s="1078"/>
      <c r="DW452" s="1090" t="s">
        <v>109</v>
      </c>
      <c r="DX452" s="1088">
        <f>DX421</f>
        <v>0</v>
      </c>
      <c r="DY452" s="1088">
        <f>DY421</f>
        <v>0.30525575428288138</v>
      </c>
      <c r="DZ452" s="1089">
        <f>DZ421</f>
        <v>0.69474424571711857</v>
      </c>
      <c r="EA452" s="1078"/>
      <c r="EE452" s="1090" t="s">
        <v>109</v>
      </c>
      <c r="EF452" s="1088">
        <f>EF421</f>
        <v>0</v>
      </c>
      <c r="EG452" s="1088">
        <f>EG421</f>
        <v>0.30525575428288138</v>
      </c>
      <c r="EH452" s="1089">
        <f>EH421</f>
        <v>0.69474424571711857</v>
      </c>
      <c r="EI452" s="1078"/>
      <c r="EM452" s="1090" t="s">
        <v>109</v>
      </c>
      <c r="EN452" s="1088">
        <f>EN421</f>
        <v>0</v>
      </c>
      <c r="EO452" s="1088">
        <f>EO421</f>
        <v>0.30525575428288138</v>
      </c>
      <c r="EP452" s="1089">
        <f>EP421</f>
        <v>0.69474424571711857</v>
      </c>
      <c r="EQ452" s="1078"/>
      <c r="EU452" s="1090" t="s">
        <v>109</v>
      </c>
      <c r="EV452" s="1088">
        <f>EV421</f>
        <v>0</v>
      </c>
      <c r="EW452" s="1088">
        <f>EW421</f>
        <v>0.30525575428288138</v>
      </c>
      <c r="EX452" s="1089">
        <f>EX421</f>
        <v>0.69474424571711857</v>
      </c>
      <c r="EY452" s="1078"/>
      <c r="FC452" s="1090" t="s">
        <v>109</v>
      </c>
      <c r="FD452" s="1088">
        <f>FD421</f>
        <v>0</v>
      </c>
      <c r="FE452" s="1088">
        <f>FE421</f>
        <v>0.30525575428288138</v>
      </c>
      <c r="FF452" s="1089">
        <f>FF421</f>
        <v>0.69474424571711857</v>
      </c>
      <c r="FG452" s="1078"/>
      <c r="FK452" s="1090" t="s">
        <v>109</v>
      </c>
      <c r="FL452" s="1088">
        <f>FL421</f>
        <v>0</v>
      </c>
      <c r="FM452" s="1088">
        <f>FM421</f>
        <v>0.30525575428288138</v>
      </c>
      <c r="FN452" s="1089">
        <f>FN421</f>
        <v>0.69474424571711857</v>
      </c>
      <c r="FO452" s="1078"/>
    </row>
    <row r="453" spans="1:171" ht="16.5" thickBot="1">
      <c r="D453" s="865"/>
      <c r="E453" s="1079"/>
      <c r="F453" s="1079"/>
      <c r="G453" s="114"/>
      <c r="H453" s="1091"/>
      <c r="I453" s="1091"/>
      <c r="J453" s="1092"/>
      <c r="K453" s="1073"/>
      <c r="O453" s="114"/>
      <c r="P453" s="1091"/>
      <c r="Q453" s="1091"/>
      <c r="R453" s="1092"/>
      <c r="S453" s="1073"/>
      <c r="W453" s="114"/>
      <c r="X453" s="1091"/>
      <c r="Y453" s="1091"/>
      <c r="Z453" s="1092"/>
      <c r="AA453" s="1073"/>
      <c r="AE453" s="114"/>
      <c r="AF453" s="1091"/>
      <c r="AG453" s="1091"/>
      <c r="AH453" s="1092"/>
      <c r="AI453" s="1073"/>
      <c r="AM453" s="114"/>
      <c r="AN453" s="1091"/>
      <c r="AO453" s="1091"/>
      <c r="AP453" s="1092"/>
      <c r="AQ453" s="1073"/>
      <c r="AU453" s="114"/>
      <c r="AV453" s="1091"/>
      <c r="AW453" s="1091"/>
      <c r="AX453" s="1092"/>
      <c r="AY453" s="1073"/>
      <c r="BC453" s="114"/>
      <c r="BD453" s="1091"/>
      <c r="BE453" s="1091"/>
      <c r="BF453" s="1092"/>
      <c r="BG453" s="1073"/>
      <c r="BK453" s="114"/>
      <c r="BL453" s="1091"/>
      <c r="BM453" s="1091"/>
      <c r="BN453" s="1092"/>
      <c r="BO453" s="1073"/>
      <c r="BS453" s="114"/>
      <c r="BT453" s="1091"/>
      <c r="BU453" s="1091"/>
      <c r="BV453" s="1092"/>
      <c r="BW453" s="1073"/>
      <c r="CA453" s="114"/>
      <c r="CB453" s="1091"/>
      <c r="CC453" s="1091"/>
      <c r="CD453" s="1092"/>
      <c r="CE453" s="1073"/>
      <c r="CI453" s="114"/>
      <c r="CJ453" s="1091"/>
      <c r="CK453" s="1091"/>
      <c r="CL453" s="1092"/>
      <c r="CM453" s="1073"/>
      <c r="CQ453" s="114"/>
      <c r="CR453" s="1091"/>
      <c r="CS453" s="1091"/>
      <c r="CT453" s="1092"/>
      <c r="CU453" s="1073"/>
      <c r="CY453" s="114"/>
      <c r="CZ453" s="1091"/>
      <c r="DA453" s="1091"/>
      <c r="DB453" s="1092"/>
      <c r="DC453" s="1073"/>
      <c r="DG453" s="114"/>
      <c r="DH453" s="1091"/>
      <c r="DI453" s="1091"/>
      <c r="DJ453" s="1092"/>
      <c r="DK453" s="1073"/>
      <c r="DO453" s="114"/>
      <c r="DP453" s="1091"/>
      <c r="DQ453" s="1091"/>
      <c r="DR453" s="1092"/>
      <c r="DS453" s="1073"/>
      <c r="DW453" s="114"/>
      <c r="DX453" s="1091"/>
      <c r="DY453" s="1091"/>
      <c r="DZ453" s="1092"/>
      <c r="EA453" s="1073"/>
      <c r="EE453" s="114"/>
      <c r="EF453" s="1091"/>
      <c r="EG453" s="1091"/>
      <c r="EH453" s="1092"/>
      <c r="EI453" s="1073"/>
      <c r="EM453" s="114"/>
      <c r="EN453" s="1091"/>
      <c r="EO453" s="1091"/>
      <c r="EP453" s="1092"/>
      <c r="EQ453" s="1073"/>
      <c r="EU453" s="114"/>
      <c r="EV453" s="1091"/>
      <c r="EW453" s="1091"/>
      <c r="EX453" s="1092"/>
      <c r="EY453" s="1073"/>
      <c r="FC453" s="114"/>
      <c r="FD453" s="1091"/>
      <c r="FE453" s="1091"/>
      <c r="FF453" s="1092"/>
      <c r="FG453" s="1073"/>
      <c r="FK453" s="114"/>
      <c r="FL453" s="1091"/>
      <c r="FM453" s="1091"/>
      <c r="FN453" s="1092"/>
      <c r="FO453" s="1073"/>
    </row>
    <row r="454" spans="1:171" ht="16.5" thickTop="1">
      <c r="K454" s="1073"/>
      <c r="S454" s="1073"/>
      <c r="AA454" s="1073"/>
      <c r="AI454" s="1073"/>
      <c r="AQ454" s="1073"/>
      <c r="AY454" s="1073"/>
      <c r="BG454" s="1073"/>
      <c r="BO454" s="1073"/>
      <c r="BW454" s="1073"/>
      <c r="CE454" s="1073"/>
      <c r="CM454" s="1073"/>
      <c r="CU454" s="1073"/>
      <c r="DC454" s="1073"/>
      <c r="DK454" s="1073"/>
      <c r="DS454" s="1073"/>
      <c r="EA454" s="1073"/>
      <c r="EI454" s="1073"/>
      <c r="EQ454" s="1073"/>
      <c r="EY454" s="1073"/>
      <c r="FG454" s="1073"/>
      <c r="FO454" s="1073"/>
    </row>
    <row r="455" spans="1:171">
      <c r="K455" s="1073"/>
      <c r="S455" s="1073"/>
      <c r="AA455" s="1073"/>
      <c r="AI455" s="1073"/>
      <c r="AQ455" s="1073"/>
      <c r="AY455" s="1073"/>
      <c r="BG455" s="1073"/>
      <c r="BO455" s="1073"/>
      <c r="BW455" s="1073"/>
      <c r="CE455" s="1073"/>
      <c r="CM455" s="1073"/>
      <c r="CU455" s="1073"/>
      <c r="DC455" s="1073"/>
      <c r="DK455" s="1073"/>
      <c r="DS455" s="1073"/>
      <c r="EA455" s="1073"/>
      <c r="EI455" s="1073"/>
      <c r="EQ455" s="1073"/>
      <c r="EY455" s="1073"/>
      <c r="FG455" s="1073"/>
      <c r="FO455" s="1073"/>
    </row>
    <row r="456" spans="1:171">
      <c r="K456" s="1073"/>
      <c r="S456" s="1073"/>
      <c r="AA456" s="1073"/>
      <c r="AI456" s="1073"/>
      <c r="AQ456" s="1073"/>
      <c r="AY456" s="1073"/>
      <c r="BG456" s="1073"/>
      <c r="BO456" s="1073"/>
      <c r="BW456" s="1073"/>
      <c r="CE456" s="1073"/>
      <c r="CM456" s="1073"/>
      <c r="CU456" s="1073"/>
      <c r="DC456" s="1073"/>
      <c r="DK456" s="1073"/>
      <c r="DS456" s="1073"/>
      <c r="EA456" s="1073"/>
      <c r="EI456" s="1073"/>
      <c r="EQ456" s="1073"/>
      <c r="EY456" s="1073"/>
      <c r="FG456" s="1073"/>
      <c r="FO456" s="1073"/>
    </row>
    <row r="457" spans="1:171">
      <c r="K457" s="1073"/>
      <c r="S457" s="1073"/>
      <c r="AA457" s="1073"/>
      <c r="AI457" s="1073"/>
      <c r="AQ457" s="1073"/>
      <c r="AY457" s="1073"/>
      <c r="BG457" s="1073"/>
      <c r="BO457" s="1073"/>
      <c r="BW457" s="1073"/>
      <c r="CE457" s="1073"/>
      <c r="CM457" s="1073"/>
      <c r="CU457" s="1073"/>
      <c r="DC457" s="1073"/>
      <c r="DK457" s="1073"/>
      <c r="DS457" s="1073"/>
      <c r="EA457" s="1073"/>
      <c r="EI457" s="1073"/>
      <c r="EQ457" s="1073"/>
      <c r="EY457" s="1073"/>
      <c r="FG457" s="1073"/>
      <c r="FO457" s="1073"/>
    </row>
    <row r="458" spans="1:171">
      <c r="K458" s="1073"/>
      <c r="S458" s="1073"/>
      <c r="AA458" s="1073"/>
      <c r="AI458" s="1073"/>
      <c r="AQ458" s="1073"/>
      <c r="AY458" s="1073"/>
      <c r="BG458" s="1073"/>
      <c r="BO458" s="1073"/>
      <c r="BW458" s="1073"/>
      <c r="CE458" s="1073"/>
      <c r="CM458" s="1073"/>
      <c r="CU458" s="1073"/>
      <c r="DC458" s="1073"/>
      <c r="DK458" s="1073"/>
      <c r="DS458" s="1073"/>
      <c r="EA458" s="1073"/>
      <c r="EI458" s="1073"/>
      <c r="EQ458" s="1073"/>
      <c r="EY458" s="1073"/>
      <c r="FG458" s="1073"/>
      <c r="FO458" s="1073"/>
    </row>
    <row r="459" spans="1:171">
      <c r="K459" s="1073"/>
      <c r="S459" s="1073"/>
      <c r="AA459" s="1073"/>
      <c r="AI459" s="1073"/>
      <c r="AQ459" s="1073"/>
      <c r="AY459" s="1073"/>
      <c r="BG459" s="1073"/>
      <c r="BO459" s="1073"/>
      <c r="BW459" s="1073"/>
      <c r="CE459" s="1073"/>
      <c r="CM459" s="1073"/>
      <c r="CU459" s="1073"/>
      <c r="DC459" s="1073"/>
      <c r="DK459" s="1073"/>
      <c r="DS459" s="1073"/>
      <c r="EA459" s="1073"/>
      <c r="EI459" s="1073"/>
      <c r="EQ459" s="1073"/>
      <c r="EY459" s="1073"/>
      <c r="FG459" s="1073"/>
      <c r="FO459" s="1073"/>
    </row>
    <row r="460" spans="1:171">
      <c r="K460" s="1073"/>
      <c r="S460" s="1073"/>
      <c r="AA460" s="1073"/>
      <c r="AI460" s="1073"/>
      <c r="AQ460" s="1073"/>
      <c r="AY460" s="1073"/>
      <c r="BG460" s="1073"/>
      <c r="BO460" s="1073"/>
      <c r="BW460" s="1073"/>
      <c r="CE460" s="1073"/>
      <c r="CM460" s="1073"/>
      <c r="CU460" s="1073"/>
      <c r="DC460" s="1073"/>
      <c r="DK460" s="1073"/>
      <c r="DS460" s="1073"/>
      <c r="EA460" s="1073"/>
      <c r="EI460" s="1073"/>
      <c r="EQ460" s="1073"/>
      <c r="EY460" s="1073"/>
      <c r="FG460" s="1073"/>
      <c r="FO460" s="1073"/>
    </row>
    <row r="461" spans="1:171">
      <c r="A461" s="903"/>
      <c r="B461" s="903"/>
      <c r="C461" s="903"/>
      <c r="D461" s="903"/>
      <c r="E461" s="903"/>
      <c r="F461" s="903"/>
      <c r="G461" s="903"/>
      <c r="H461" s="903"/>
      <c r="I461" s="903"/>
      <c r="J461" s="903"/>
      <c r="K461" s="1073"/>
      <c r="L461" s="903"/>
      <c r="M461" s="903"/>
      <c r="N461" s="903"/>
      <c r="O461" s="903"/>
      <c r="P461" s="903"/>
      <c r="Q461" s="903"/>
      <c r="R461" s="903"/>
      <c r="S461" s="1073"/>
      <c r="T461" s="903"/>
      <c r="U461" s="903"/>
      <c r="V461" s="903"/>
      <c r="W461" s="903"/>
      <c r="X461" s="903"/>
      <c r="Y461" s="903"/>
      <c r="Z461" s="903"/>
      <c r="AA461" s="1073"/>
      <c r="AB461" s="903"/>
      <c r="AC461" s="903"/>
      <c r="AD461" s="903"/>
      <c r="AE461" s="903"/>
      <c r="AF461" s="903"/>
      <c r="AG461" s="903"/>
      <c r="AH461" s="903"/>
      <c r="AI461" s="1073"/>
      <c r="AJ461" s="903"/>
      <c r="AK461" s="903"/>
      <c r="AL461" s="903"/>
      <c r="AM461" s="903"/>
      <c r="AN461" s="903"/>
      <c r="AO461" s="903"/>
      <c r="AP461" s="903"/>
      <c r="AQ461" s="1073"/>
      <c r="AR461" s="903"/>
      <c r="AS461" s="903"/>
      <c r="AT461" s="903"/>
      <c r="AU461" s="903"/>
      <c r="AV461" s="903"/>
      <c r="AW461" s="903"/>
      <c r="AX461" s="903"/>
      <c r="AY461" s="1073"/>
      <c r="AZ461" s="903"/>
      <c r="BA461" s="903"/>
      <c r="BB461" s="903"/>
      <c r="BC461" s="903"/>
      <c r="BD461" s="903"/>
      <c r="BE461" s="903"/>
      <c r="BF461" s="903"/>
      <c r="BG461" s="1073"/>
      <c r="BH461" s="903"/>
      <c r="BI461" s="903"/>
      <c r="BJ461" s="903"/>
      <c r="BK461" s="903"/>
      <c r="BL461" s="903"/>
      <c r="BM461" s="903"/>
      <c r="BN461" s="903"/>
      <c r="BO461" s="1073"/>
      <c r="BP461" s="903"/>
      <c r="BQ461" s="903"/>
      <c r="BR461" s="903"/>
      <c r="BS461" s="903"/>
      <c r="BT461" s="903"/>
      <c r="BU461" s="903"/>
      <c r="BV461" s="903"/>
      <c r="BW461" s="1073"/>
      <c r="BX461" s="903"/>
      <c r="BY461" s="903"/>
      <c r="BZ461" s="903"/>
      <c r="CA461" s="903"/>
      <c r="CB461" s="903"/>
      <c r="CC461" s="903"/>
      <c r="CD461" s="903"/>
      <c r="CE461" s="1073"/>
      <c r="CF461" s="903"/>
      <c r="CG461" s="903"/>
      <c r="CH461" s="903"/>
      <c r="CI461" s="903"/>
      <c r="CJ461" s="903"/>
      <c r="CK461" s="903"/>
      <c r="CL461" s="903"/>
      <c r="CM461" s="1073"/>
      <c r="CN461" s="903"/>
      <c r="CO461" s="903"/>
      <c r="CP461" s="903"/>
      <c r="CQ461" s="903"/>
      <c r="CR461" s="903"/>
      <c r="CS461" s="903"/>
      <c r="CT461" s="903"/>
      <c r="CU461" s="1073"/>
      <c r="CV461" s="903"/>
      <c r="CW461" s="903"/>
      <c r="CX461" s="903"/>
      <c r="CY461" s="903"/>
      <c r="CZ461" s="903"/>
      <c r="DA461" s="903"/>
      <c r="DB461" s="903"/>
      <c r="DC461" s="1073"/>
      <c r="DD461" s="903"/>
      <c r="DE461" s="903"/>
      <c r="DF461" s="903"/>
      <c r="DG461" s="903"/>
      <c r="DH461" s="903"/>
      <c r="DI461" s="903"/>
      <c r="DJ461" s="903"/>
      <c r="DK461" s="1073"/>
      <c r="DL461" s="903"/>
      <c r="DM461" s="903"/>
      <c r="DN461" s="903"/>
      <c r="DO461" s="903"/>
      <c r="DP461" s="903"/>
      <c r="DQ461" s="903"/>
      <c r="DR461" s="903"/>
      <c r="DS461" s="1073"/>
      <c r="DT461" s="903"/>
      <c r="DU461" s="903"/>
      <c r="DV461" s="903"/>
      <c r="DW461" s="903"/>
      <c r="DX461" s="903"/>
      <c r="DY461" s="903"/>
      <c r="DZ461" s="903"/>
      <c r="EA461" s="1073"/>
      <c r="EB461" s="903"/>
      <c r="EC461" s="903"/>
      <c r="ED461" s="903"/>
      <c r="EE461" s="903"/>
      <c r="EF461" s="903"/>
      <c r="EG461" s="903"/>
      <c r="EH461" s="903"/>
      <c r="EI461" s="1073"/>
      <c r="EJ461" s="903"/>
      <c r="EK461" s="903"/>
      <c r="EL461" s="903"/>
      <c r="EM461" s="903"/>
      <c r="EN461" s="903"/>
      <c r="EO461" s="903"/>
      <c r="EP461" s="903"/>
      <c r="EQ461" s="1073"/>
      <c r="ER461" s="903"/>
      <c r="ES461" s="903"/>
      <c r="ET461" s="903"/>
      <c r="EU461" s="903"/>
      <c r="EV461" s="903"/>
      <c r="EW461" s="903"/>
      <c r="EX461" s="903"/>
      <c r="EY461" s="1073"/>
      <c r="EZ461" s="903"/>
      <c r="FA461" s="903"/>
      <c r="FB461" s="903"/>
      <c r="FC461" s="903"/>
      <c r="FD461" s="903"/>
      <c r="FE461" s="903"/>
      <c r="FF461" s="903"/>
      <c r="FG461" s="1073"/>
      <c r="FH461" s="903"/>
      <c r="FI461" s="903"/>
      <c r="FJ461" s="903"/>
      <c r="FK461" s="903"/>
      <c r="FL461" s="903"/>
      <c r="FM461" s="903"/>
      <c r="FN461" s="903"/>
      <c r="FO461" s="1073"/>
    </row>
    <row r="462" spans="1:171">
      <c r="K462" s="1073"/>
      <c r="S462" s="1073"/>
      <c r="AA462" s="1073"/>
      <c r="AI462" s="1073"/>
      <c r="AQ462" s="1073"/>
      <c r="AY462" s="1073"/>
      <c r="BG462" s="1073"/>
      <c r="BO462" s="1073"/>
      <c r="BW462" s="1073"/>
      <c r="CE462" s="1073"/>
      <c r="CM462" s="1073"/>
      <c r="CU462" s="1073"/>
      <c r="DC462" s="1073"/>
      <c r="DK462" s="1073"/>
      <c r="DS462" s="1073"/>
      <c r="EA462" s="1073"/>
      <c r="EI462" s="1073"/>
      <c r="EQ462" s="1073"/>
      <c r="EY462" s="1073"/>
      <c r="FG462" s="1073"/>
      <c r="FO462" s="1073"/>
    </row>
    <row r="463" spans="1:171">
      <c r="B463" s="1096" t="s">
        <v>646</v>
      </c>
      <c r="G463" s="1097" t="s">
        <v>647</v>
      </c>
      <c r="K463" s="1073"/>
      <c r="S463" s="1073"/>
      <c r="AA463" s="1073"/>
      <c r="AI463" s="1073"/>
      <c r="AQ463" s="1073"/>
      <c r="AY463" s="1073"/>
      <c r="BG463" s="1073"/>
      <c r="BO463" s="1073"/>
      <c r="BW463" s="1073"/>
      <c r="CE463" s="1073"/>
      <c r="CM463" s="1073"/>
      <c r="CU463" s="1073"/>
      <c r="DC463" s="1073"/>
      <c r="DK463" s="1073"/>
      <c r="DS463" s="1073"/>
      <c r="EA463" s="1073"/>
      <c r="EI463" s="1073"/>
      <c r="EQ463" s="1073"/>
      <c r="EY463" s="1073"/>
      <c r="FG463" s="1073"/>
      <c r="FO463" s="1073"/>
    </row>
    <row r="464" spans="1:171">
      <c r="K464" s="1073"/>
      <c r="S464" s="1073"/>
      <c r="AA464" s="1073"/>
      <c r="AI464" s="1073"/>
      <c r="AQ464" s="1073"/>
      <c r="AY464" s="1073"/>
      <c r="BG464" s="1073"/>
      <c r="BO464" s="1073"/>
      <c r="BW464" s="1073"/>
      <c r="CE464" s="1073"/>
      <c r="CM464" s="1073"/>
      <c r="CU464" s="1073"/>
      <c r="DC464" s="1073"/>
      <c r="DK464" s="1073"/>
      <c r="DS464" s="1073"/>
      <c r="EA464" s="1073"/>
      <c r="EI464" s="1073"/>
      <c r="EQ464" s="1073"/>
      <c r="EY464" s="1073"/>
      <c r="FG464" s="1073"/>
      <c r="FO464" s="1073"/>
    </row>
    <row r="465" spans="1:171">
      <c r="B465" s="2486" t="s">
        <v>671</v>
      </c>
      <c r="C465" s="2487"/>
      <c r="D465" s="2487"/>
      <c r="E465" s="2487"/>
      <c r="F465" s="1159"/>
      <c r="G465" s="522">
        <f>G470+G484</f>
        <v>216427715</v>
      </c>
      <c r="K465" s="1073"/>
      <c r="O465" s="522">
        <f>O470+O484</f>
        <v>216427715</v>
      </c>
      <c r="S465" s="1073"/>
      <c r="W465" s="522">
        <f>W470+W484</f>
        <v>216427715</v>
      </c>
      <c r="AA465" s="1073"/>
      <c r="AE465" s="522">
        <f>AE470+AE484</f>
        <v>216427715</v>
      </c>
      <c r="AI465" s="1073"/>
      <c r="AM465" s="522">
        <f>AM470+AM484</f>
        <v>216427715</v>
      </c>
      <c r="AQ465" s="1073"/>
      <c r="AU465" s="522">
        <f>AU470+AU484</f>
        <v>216427715</v>
      </c>
      <c r="AY465" s="1073"/>
      <c r="BC465" s="522">
        <f>BC470+BC484</f>
        <v>216427715</v>
      </c>
      <c r="BG465" s="1073"/>
      <c r="BK465" s="522">
        <f>BK470+BK484</f>
        <v>216427715</v>
      </c>
      <c r="BO465" s="1073"/>
      <c r="BS465" s="522">
        <f>BS470+BS484</f>
        <v>216427715</v>
      </c>
      <c r="BW465" s="1073"/>
      <c r="CA465" s="522">
        <f>CA470+CA484</f>
        <v>216427715</v>
      </c>
      <c r="CE465" s="1073"/>
      <c r="CI465" s="522">
        <f>CI470+CI484</f>
        <v>216427715</v>
      </c>
      <c r="CM465" s="1073"/>
      <c r="CQ465" s="522">
        <f>CQ470+CQ484</f>
        <v>216427715</v>
      </c>
      <c r="CU465" s="1073"/>
      <c r="CY465" s="522">
        <f>CY470+CY484</f>
        <v>216427715</v>
      </c>
      <c r="DC465" s="1073"/>
      <c r="DG465" s="522">
        <f>DG470+DG484</f>
        <v>216427715</v>
      </c>
      <c r="DK465" s="1073"/>
      <c r="DO465" s="522">
        <f>DO470+DO484</f>
        <v>216427715</v>
      </c>
      <c r="DS465" s="1073"/>
      <c r="DW465" s="522">
        <f>DW470+DW484</f>
        <v>216427715</v>
      </c>
      <c r="EA465" s="1073"/>
      <c r="EE465" s="522">
        <f>EE470+EE484</f>
        <v>216427715</v>
      </c>
      <c r="EI465" s="1073"/>
      <c r="EM465" s="522">
        <f>EM470+EM484</f>
        <v>216427715</v>
      </c>
      <c r="EQ465" s="1073"/>
      <c r="EU465" s="522">
        <f>EU470+EU484</f>
        <v>216427715</v>
      </c>
      <c r="EY465" s="1073"/>
      <c r="FC465" s="522">
        <f>FC470+FC484</f>
        <v>216427715</v>
      </c>
      <c r="FG465" s="1073"/>
      <c r="FK465" s="522">
        <f>FK470+FK484</f>
        <v>216427715</v>
      </c>
      <c r="FO465" s="1073"/>
    </row>
    <row r="466" spans="1:171">
      <c r="B466" s="2488" t="s">
        <v>672</v>
      </c>
      <c r="C466" s="2489"/>
      <c r="D466" s="2489"/>
      <c r="E466" s="2489"/>
      <c r="F466" s="1160"/>
      <c r="G466" s="522">
        <f>G489+G493</f>
        <v>253658001</v>
      </c>
      <c r="K466" s="1073"/>
      <c r="O466" s="522">
        <f>O489+O493</f>
        <v>253658001</v>
      </c>
      <c r="S466" s="1073"/>
      <c r="W466" s="522">
        <f>W489+W493</f>
        <v>253658001</v>
      </c>
      <c r="AA466" s="1073"/>
      <c r="AE466" s="522">
        <f>AE489+AE493</f>
        <v>253658001</v>
      </c>
      <c r="AI466" s="1073"/>
      <c r="AM466" s="522">
        <f>AM489+AM493</f>
        <v>253658001</v>
      </c>
      <c r="AQ466" s="1073"/>
      <c r="AU466" s="522">
        <f>AU489+AU493</f>
        <v>253658001</v>
      </c>
      <c r="AY466" s="1073"/>
      <c r="BC466" s="522">
        <f>BC489+BC493</f>
        <v>253658001</v>
      </c>
      <c r="BG466" s="1073"/>
      <c r="BK466" s="522">
        <f>BK489+BK493</f>
        <v>253658001</v>
      </c>
      <c r="BO466" s="1073"/>
      <c r="BS466" s="522">
        <f>BS489+BS493</f>
        <v>253658001</v>
      </c>
      <c r="BW466" s="1073"/>
      <c r="CA466" s="522">
        <f>CA489+CA493</f>
        <v>253658001</v>
      </c>
      <c r="CE466" s="1073"/>
      <c r="CI466" s="522">
        <f>CI489+CI493</f>
        <v>253658001</v>
      </c>
      <c r="CM466" s="1073"/>
      <c r="CQ466" s="522">
        <f>CQ489+CQ493</f>
        <v>253658001</v>
      </c>
      <c r="CU466" s="1073"/>
      <c r="CY466" s="522">
        <f>CY489+CY493</f>
        <v>253658001</v>
      </c>
      <c r="DC466" s="1073"/>
      <c r="DG466" s="522">
        <f>DG489+DG493</f>
        <v>253658001</v>
      </c>
      <c r="DK466" s="1073"/>
      <c r="DO466" s="522">
        <f>DO489+DO493</f>
        <v>253658001</v>
      </c>
      <c r="DS466" s="1073"/>
      <c r="DW466" s="522">
        <f>DW489+DW493</f>
        <v>253658001</v>
      </c>
      <c r="EA466" s="1073"/>
      <c r="EE466" s="522">
        <f>EE489+EE493</f>
        <v>253658001</v>
      </c>
      <c r="EI466" s="1073"/>
      <c r="EM466" s="522">
        <f>EM489+EM493</f>
        <v>253658001</v>
      </c>
      <c r="EQ466" s="1073"/>
      <c r="EU466" s="522">
        <f>EU489+EU493</f>
        <v>253658001</v>
      </c>
      <c r="EY466" s="1073"/>
      <c r="FC466" s="522">
        <f>FC489+FC493</f>
        <v>253658001</v>
      </c>
      <c r="FG466" s="1073"/>
      <c r="FK466" s="522">
        <f>FK489+FK493</f>
        <v>253658001</v>
      </c>
      <c r="FO466" s="1073"/>
    </row>
    <row r="467" spans="1:171">
      <c r="K467" s="1073"/>
      <c r="S467" s="1073"/>
      <c r="AA467" s="1073"/>
      <c r="AI467" s="1073"/>
      <c r="AQ467" s="1073"/>
      <c r="AY467" s="1073"/>
      <c r="BG467" s="1073"/>
      <c r="BO467" s="1073"/>
      <c r="BW467" s="1073"/>
      <c r="CE467" s="1073"/>
      <c r="CM467" s="1073"/>
      <c r="CU467" s="1073"/>
      <c r="DC467" s="1073"/>
      <c r="DK467" s="1073"/>
      <c r="DS467" s="1073"/>
      <c r="EA467" s="1073"/>
      <c r="EI467" s="1073"/>
      <c r="EQ467" s="1073"/>
      <c r="EY467" s="1073"/>
      <c r="FG467" s="1073"/>
      <c r="FO467" s="1073"/>
    </row>
    <row r="468" spans="1:171">
      <c r="K468" s="1073"/>
      <c r="S468" s="1073"/>
      <c r="AA468" s="1073"/>
      <c r="AI468" s="1073"/>
      <c r="AQ468" s="1073"/>
      <c r="AY468" s="1073"/>
      <c r="BG468" s="1073"/>
      <c r="BO468" s="1073"/>
      <c r="BW468" s="1073"/>
      <c r="CE468" s="1073"/>
      <c r="CM468" s="1073"/>
      <c r="CU468" s="1073"/>
      <c r="DC468" s="1073"/>
      <c r="DK468" s="1073"/>
      <c r="DS468" s="1073"/>
      <c r="EA468" s="1073"/>
      <c r="EI468" s="1073"/>
      <c r="EQ468" s="1073"/>
      <c r="EY468" s="1073"/>
      <c r="FG468" s="1073"/>
      <c r="FO468" s="1073"/>
    </row>
    <row r="469" spans="1:171">
      <c r="A469" s="1098"/>
      <c r="B469" s="1099" t="s">
        <v>648</v>
      </c>
      <c r="C469" s="1102"/>
      <c r="K469" s="1073"/>
      <c r="S469" s="1073"/>
      <c r="AA469" s="1073"/>
      <c r="AI469" s="1073"/>
      <c r="AQ469" s="1073"/>
      <c r="AY469" s="1073"/>
      <c r="BG469" s="1073"/>
      <c r="BO469" s="1073"/>
      <c r="BW469" s="1073"/>
      <c r="CE469" s="1073"/>
      <c r="CM469" s="1073"/>
      <c r="CU469" s="1073"/>
      <c r="DC469" s="1073"/>
      <c r="DK469" s="1073"/>
      <c r="DS469" s="1073"/>
      <c r="EA469" s="1073"/>
      <c r="EI469" s="1073"/>
      <c r="EQ469" s="1073"/>
      <c r="EY469" s="1073"/>
      <c r="FG469" s="1073"/>
      <c r="FO469" s="1073"/>
    </row>
    <row r="470" spans="1:171">
      <c r="A470" s="1128">
        <v>105000</v>
      </c>
      <c r="B470" s="1100"/>
      <c r="C470" s="1097" t="s">
        <v>652</v>
      </c>
      <c r="G470" s="1106">
        <f>'3-YEAR PP &amp; OSS Worksheet'!$D$11+'3-YEAR PP &amp; OSS Worksheet'!$D$12+'3-YEAR PP &amp; OSS Worksheet'!$D$13+'3-YEAR PP &amp; OSS Worksheet'!$D$15+'3-YEAR PP &amp; OSS Worksheet'!$D$16</f>
        <v>138498834</v>
      </c>
      <c r="K470" s="1073"/>
      <c r="N470" s="1161">
        <f>VLOOKUP($A470,'New Resources - Group'!$A$4:$Y$133,N$2,FALSE)*N$1</f>
        <v>0</v>
      </c>
      <c r="O470" s="1141">
        <f>$G470+N470</f>
        <v>138498834</v>
      </c>
      <c r="S470" s="1073"/>
      <c r="V470" s="1161">
        <f>VLOOKUP($A470,'New Resources - Group'!$A$4:$Y$133,V$2,FALSE)*V$1</f>
        <v>0</v>
      </c>
      <c r="W470" s="1141">
        <f>$G470+V470</f>
        <v>138498834</v>
      </c>
      <c r="AA470" s="1073"/>
      <c r="AD470" s="1161">
        <f>VLOOKUP($A470,'New Resources - Group'!$A$4:$Y$133,AD$2,FALSE)*AD$1</f>
        <v>0</v>
      </c>
      <c r="AE470" s="1141">
        <f>$G470+AD470</f>
        <v>138498834</v>
      </c>
      <c r="AI470" s="1073"/>
      <c r="AL470" s="1161">
        <f>VLOOKUP($A470,'New Resources - Group'!$A$4:$Y$133,AL$2,FALSE)*AL$1</f>
        <v>0</v>
      </c>
      <c r="AM470" s="1141">
        <f>$G470+AL470</f>
        <v>138498834</v>
      </c>
      <c r="AQ470" s="1073"/>
      <c r="AT470" s="1161">
        <f>VLOOKUP($A470,'New Resources - Group'!$A$4:$Y$133,AT$2,FALSE)*AT$1</f>
        <v>0</v>
      </c>
      <c r="AU470" s="1141">
        <f>$G470+AT470</f>
        <v>138498834</v>
      </c>
      <c r="AY470" s="1073"/>
      <c r="BB470" s="1161">
        <f>VLOOKUP($A470,'New Resources - Group'!$A$4:$Y$133,BB$2,FALSE)*BB$1</f>
        <v>0</v>
      </c>
      <c r="BC470" s="1141">
        <f>$G470+BB470</f>
        <v>138498834</v>
      </c>
      <c r="BG470" s="1073"/>
      <c r="BJ470" s="1161">
        <f>VLOOKUP($A470,'New Resources - Group'!$A$4:$Y$133,BJ$2,FALSE)*BJ$1</f>
        <v>0</v>
      </c>
      <c r="BK470" s="1141">
        <f>$G470+BJ470</f>
        <v>138498834</v>
      </c>
      <c r="BO470" s="1073"/>
      <c r="BR470" s="1161">
        <f>VLOOKUP($A470,'New Resources - Group'!$A$4:$Y$133,BR$2,FALSE)*BR$1</f>
        <v>0</v>
      </c>
      <c r="BS470" s="1141">
        <f>$G470+BR470</f>
        <v>138498834</v>
      </c>
      <c r="BW470" s="1073"/>
      <c r="BZ470" s="1161">
        <f>VLOOKUP($A470,'New Resources - Group'!$A$4:$Y$133,BZ$2,FALSE)*BZ$1</f>
        <v>0</v>
      </c>
      <c r="CA470" s="1141">
        <f>$G470+BZ470</f>
        <v>138498834</v>
      </c>
      <c r="CE470" s="1073"/>
      <c r="CH470" s="1161">
        <f>VLOOKUP($A470,'New Resources - Group'!$A$4:$Y$133,CH$2,FALSE)*CH$1</f>
        <v>0</v>
      </c>
      <c r="CI470" s="1141">
        <f>$G470+CH470</f>
        <v>138498834</v>
      </c>
      <c r="CM470" s="1073"/>
      <c r="CP470" s="1161">
        <f>VLOOKUP($A470,'New Resources - Group'!$A$4:$Y$133,CP$2,FALSE)*CP$1</f>
        <v>0</v>
      </c>
      <c r="CQ470" s="1141">
        <f>$G470+CP470</f>
        <v>138498834</v>
      </c>
      <c r="CU470" s="1073"/>
      <c r="CX470" s="1161">
        <f>VLOOKUP($A470,'New Resources - Group'!$A$4:$Y$133,CX$2,FALSE)*CX$1</f>
        <v>0</v>
      </c>
      <c r="CY470" s="1141">
        <f>$G470+CX470</f>
        <v>138498834</v>
      </c>
      <c r="DC470" s="1073"/>
      <c r="DF470" s="1161">
        <f>VLOOKUP($A470,'New Resources - Group'!$A$4:$Y$133,DF$2,FALSE)*DF$1</f>
        <v>0</v>
      </c>
      <c r="DG470" s="1141">
        <f>$G470+DF470</f>
        <v>138498834</v>
      </c>
      <c r="DK470" s="1073"/>
      <c r="DN470" s="1161">
        <f>VLOOKUP($A470,'New Resources - Group'!$A$4:$Y$133,DN$2,FALSE)*DN$1</f>
        <v>0</v>
      </c>
      <c r="DO470" s="1141">
        <f>$G470+DN470</f>
        <v>138498834</v>
      </c>
      <c r="DS470" s="1073"/>
      <c r="DV470" s="1161">
        <f>VLOOKUP($A470,'New Resources - Group'!$A$4:$Y$133,DV$2,FALSE)*DV$1</f>
        <v>0</v>
      </c>
      <c r="DW470" s="1141">
        <f>$G470+DV470</f>
        <v>138498834</v>
      </c>
      <c r="EA470" s="1073"/>
      <c r="ED470" s="1161">
        <f>VLOOKUP($A470,'New Resources - Group'!$A$4:$Y$133,ED$2,FALSE)*ED$1</f>
        <v>0</v>
      </c>
      <c r="EE470" s="1141">
        <f>$G470+ED470</f>
        <v>138498834</v>
      </c>
      <c r="EI470" s="1073"/>
      <c r="EL470" s="1161">
        <f>VLOOKUP($A470,'New Resources - Group'!$A$4:$Y$133,EL$2,FALSE)*EL$1</f>
        <v>0</v>
      </c>
      <c r="EM470" s="1141">
        <f>$G470+EL470</f>
        <v>138498834</v>
      </c>
      <c r="EQ470" s="1073"/>
      <c r="ET470" s="1161">
        <f>VLOOKUP($A470,'New Resources - Group'!$A$4:$Y$133,ET$2,FALSE)*ET$1</f>
        <v>0</v>
      </c>
      <c r="EU470" s="1141">
        <f>$G470+ET470</f>
        <v>138498834</v>
      </c>
      <c r="EY470" s="1073"/>
      <c r="FB470" s="1161">
        <f>VLOOKUP($A470,'New Resources - Group'!$A$4:$Y$133,FB$2,FALSE)*FB$1</f>
        <v>0</v>
      </c>
      <c r="FC470" s="1141">
        <f>$G470+FB470</f>
        <v>138498834</v>
      </c>
      <c r="FG470" s="1073"/>
      <c r="FJ470" s="1161">
        <f>VLOOKUP($A470,'New Resources - Group'!$A$4:$Y$133,FJ$2,FALSE)*FJ$1</f>
        <v>0</v>
      </c>
      <c r="FK470" s="1141">
        <f>$G470+FJ470</f>
        <v>138498834</v>
      </c>
      <c r="FO470" s="1073"/>
    </row>
    <row r="471" spans="1:171">
      <c r="B471" s="1100"/>
      <c r="K471" s="1073"/>
      <c r="S471" s="1073"/>
      <c r="AA471" s="1073"/>
      <c r="AI471" s="1073"/>
      <c r="AQ471" s="1073"/>
      <c r="AY471" s="1073"/>
      <c r="BG471" s="1073"/>
      <c r="BO471" s="1073"/>
      <c r="BW471" s="1073"/>
      <c r="CE471" s="1073"/>
      <c r="CM471" s="1073"/>
      <c r="CU471" s="1073"/>
      <c r="DC471" s="1073"/>
      <c r="DK471" s="1073"/>
      <c r="DS471" s="1073"/>
      <c r="EA471" s="1073"/>
      <c r="EI471" s="1073"/>
      <c r="EQ471" s="1073"/>
      <c r="EY471" s="1073"/>
      <c r="FG471" s="1073"/>
      <c r="FO471" s="1073"/>
    </row>
    <row r="472" spans="1:171">
      <c r="A472" s="1098"/>
      <c r="B472" s="1100"/>
      <c r="C472" s="1097"/>
      <c r="K472" s="1073"/>
      <c r="S472" s="1073"/>
      <c r="AA472" s="1073"/>
      <c r="AI472" s="1073"/>
      <c r="AQ472" s="1073"/>
      <c r="AY472" s="1073"/>
      <c r="BG472" s="1073"/>
      <c r="BO472" s="1073"/>
      <c r="BW472" s="1073"/>
      <c r="CE472" s="1073"/>
      <c r="CM472" s="1073"/>
      <c r="CU472" s="1073"/>
      <c r="DC472" s="1073"/>
      <c r="DK472" s="1073"/>
      <c r="DS472" s="1073"/>
      <c r="EA472" s="1073"/>
      <c r="EI472" s="1073"/>
      <c r="EQ472" s="1073"/>
      <c r="EY472" s="1073"/>
      <c r="FG472" s="1073"/>
      <c r="FO472" s="1073"/>
    </row>
    <row r="473" spans="1:171">
      <c r="A473" s="1128">
        <v>106000</v>
      </c>
      <c r="B473" s="1099"/>
      <c r="C473" s="1097" t="s">
        <v>653</v>
      </c>
      <c r="K473" s="1073"/>
      <c r="N473" s="1161">
        <f>VLOOKUP($A473,'New Resources - Group'!$A$4:$Y$133,N$2,FALSE)*N$1</f>
        <v>0</v>
      </c>
      <c r="S473" s="1073"/>
      <c r="V473" s="1161">
        <f>VLOOKUP($A473,'New Resources - Group'!$A$4:$Y$133,V$2,FALSE)*V$1</f>
        <v>0</v>
      </c>
      <c r="AA473" s="1073"/>
      <c r="AD473" s="1161">
        <f>VLOOKUP($A473,'New Resources - Group'!$A$4:$Y$133,AD$2,FALSE)*AD$1</f>
        <v>0</v>
      </c>
      <c r="AI473" s="1073"/>
      <c r="AL473" s="1161">
        <f>VLOOKUP($A473,'New Resources - Group'!$A$4:$Y$133,AL$2,FALSE)*AL$1</f>
        <v>0</v>
      </c>
      <c r="AQ473" s="1073"/>
      <c r="AT473" s="1161">
        <f>VLOOKUP($A473,'New Resources - Group'!$A$4:$Y$133,AT$2,FALSE)*AT$1</f>
        <v>0</v>
      </c>
      <c r="AY473" s="1073"/>
      <c r="BB473" s="1161">
        <f>VLOOKUP($A473,'New Resources - Group'!$A$4:$Y$133,BB$2,FALSE)*BB$1</f>
        <v>0</v>
      </c>
      <c r="BG473" s="1073"/>
      <c r="BJ473" s="1161">
        <f>VLOOKUP($A473,'New Resources - Group'!$A$4:$Y$133,BJ$2,FALSE)*BJ$1</f>
        <v>0</v>
      </c>
      <c r="BO473" s="1073"/>
      <c r="BR473" s="1161">
        <f>VLOOKUP($A473,'New Resources - Group'!$A$4:$Y$133,BR$2,FALSE)*BR$1</f>
        <v>0</v>
      </c>
      <c r="BW473" s="1073"/>
      <c r="BZ473" s="1161">
        <f>VLOOKUP($A473,'New Resources - Group'!$A$4:$Y$133,BZ$2,FALSE)*BZ$1</f>
        <v>0</v>
      </c>
      <c r="CE473" s="1073"/>
      <c r="CH473" s="1161">
        <f>VLOOKUP($A473,'New Resources - Group'!$A$4:$Y$133,CH$2,FALSE)*CH$1</f>
        <v>0</v>
      </c>
      <c r="CM473" s="1073"/>
      <c r="CP473" s="1161">
        <f>VLOOKUP($A473,'New Resources - Group'!$A$4:$Y$133,CP$2,FALSE)*CP$1</f>
        <v>0</v>
      </c>
      <c r="CU473" s="1073"/>
      <c r="CX473" s="1161">
        <f>VLOOKUP($A473,'New Resources - Group'!$A$4:$Y$133,CX$2,FALSE)*CX$1</f>
        <v>0</v>
      </c>
      <c r="DC473" s="1073"/>
      <c r="DF473" s="1161">
        <f>VLOOKUP($A473,'New Resources - Group'!$A$4:$Y$133,DF$2,FALSE)*DF$1</f>
        <v>0</v>
      </c>
      <c r="DK473" s="1073"/>
      <c r="DN473" s="1161">
        <f>VLOOKUP($A473,'New Resources - Group'!$A$4:$Y$133,DN$2,FALSE)*DN$1</f>
        <v>0</v>
      </c>
      <c r="DS473" s="1073"/>
      <c r="DV473" s="1161">
        <f>VLOOKUP($A473,'New Resources - Group'!$A$4:$Y$133,DV$2,FALSE)*DV$1</f>
        <v>0</v>
      </c>
      <c r="EA473" s="1073"/>
      <c r="ED473" s="1161">
        <f>VLOOKUP($A473,'New Resources - Group'!$A$4:$Y$133,ED$2,FALSE)*ED$1</f>
        <v>0</v>
      </c>
      <c r="EI473" s="1073"/>
      <c r="EL473" s="1161">
        <f>VLOOKUP($A473,'New Resources - Group'!$A$4:$Y$133,EL$2,FALSE)*EL$1</f>
        <v>0</v>
      </c>
      <c r="EQ473" s="1073"/>
      <c r="ET473" s="1161">
        <f>VLOOKUP($A473,'New Resources - Group'!$A$4:$Y$133,ET$2,FALSE)*ET$1</f>
        <v>0</v>
      </c>
      <c r="EY473" s="1073"/>
      <c r="FB473" s="1161">
        <f>VLOOKUP($A473,'New Resources - Group'!$A$4:$Y$133,FB$2,FALSE)*FB$1</f>
        <v>0</v>
      </c>
      <c r="FG473" s="1073"/>
      <c r="FJ473" s="1161">
        <f>VLOOKUP($A473,'New Resources - Group'!$A$4:$Y$133,FJ$2,FALSE)*FJ$1</f>
        <v>0</v>
      </c>
      <c r="FO473" s="1073"/>
    </row>
    <row r="474" spans="1:171">
      <c r="A474" s="1128">
        <v>107000</v>
      </c>
      <c r="B474" s="1099"/>
      <c r="C474" s="1097" t="s">
        <v>654</v>
      </c>
      <c r="K474" s="1073"/>
      <c r="N474" s="1161">
        <f>VLOOKUP($A474,'New Resources - Group'!$A$4:$Y$133,N$2,FALSE)*N$1</f>
        <v>0</v>
      </c>
      <c r="S474" s="1073"/>
      <c r="V474" s="1161">
        <f>VLOOKUP($A474,'New Resources - Group'!$A$4:$Y$133,V$2,FALSE)*V$1</f>
        <v>0</v>
      </c>
      <c r="AA474" s="1073"/>
      <c r="AD474" s="1161">
        <f>VLOOKUP($A474,'New Resources - Group'!$A$4:$Y$133,AD$2,FALSE)*AD$1</f>
        <v>0</v>
      </c>
      <c r="AI474" s="1073"/>
      <c r="AL474" s="1161">
        <f>VLOOKUP($A474,'New Resources - Group'!$A$4:$Y$133,AL$2,FALSE)*AL$1</f>
        <v>0</v>
      </c>
      <c r="AQ474" s="1073"/>
      <c r="AT474" s="1161">
        <f>VLOOKUP($A474,'New Resources - Group'!$A$4:$Y$133,AT$2,FALSE)*AT$1</f>
        <v>0</v>
      </c>
      <c r="AY474" s="1073"/>
      <c r="BB474" s="1161">
        <f>VLOOKUP($A474,'New Resources - Group'!$A$4:$Y$133,BB$2,FALSE)*BB$1</f>
        <v>0</v>
      </c>
      <c r="BG474" s="1073"/>
      <c r="BJ474" s="1161">
        <f>VLOOKUP($A474,'New Resources - Group'!$A$4:$Y$133,BJ$2,FALSE)*BJ$1</f>
        <v>0</v>
      </c>
      <c r="BO474" s="1073"/>
      <c r="BR474" s="1161">
        <f>VLOOKUP($A474,'New Resources - Group'!$A$4:$Y$133,BR$2,FALSE)*BR$1</f>
        <v>0</v>
      </c>
      <c r="BW474" s="1073"/>
      <c r="BZ474" s="1161">
        <f>VLOOKUP($A474,'New Resources - Group'!$A$4:$Y$133,BZ$2,FALSE)*BZ$1</f>
        <v>0</v>
      </c>
      <c r="CE474" s="1073"/>
      <c r="CH474" s="1161">
        <f>VLOOKUP($A474,'New Resources - Group'!$A$4:$Y$133,CH$2,FALSE)*CH$1</f>
        <v>0</v>
      </c>
      <c r="CM474" s="1073"/>
      <c r="CP474" s="1161">
        <f>VLOOKUP($A474,'New Resources - Group'!$A$4:$Y$133,CP$2,FALSE)*CP$1</f>
        <v>0</v>
      </c>
      <c r="CU474" s="1073"/>
      <c r="CX474" s="1161">
        <f>VLOOKUP($A474,'New Resources - Group'!$A$4:$Y$133,CX$2,FALSE)*CX$1</f>
        <v>0</v>
      </c>
      <c r="DC474" s="1073"/>
      <c r="DF474" s="1161">
        <f>VLOOKUP($A474,'New Resources - Group'!$A$4:$Y$133,DF$2,FALSE)*DF$1</f>
        <v>0</v>
      </c>
      <c r="DK474" s="1073"/>
      <c r="DN474" s="1161">
        <f>VLOOKUP($A474,'New Resources - Group'!$A$4:$Y$133,DN$2,FALSE)*DN$1</f>
        <v>0</v>
      </c>
      <c r="DS474" s="1073"/>
      <c r="DV474" s="1161">
        <f>VLOOKUP($A474,'New Resources - Group'!$A$4:$Y$133,DV$2,FALSE)*DV$1</f>
        <v>0</v>
      </c>
      <c r="EA474" s="1073"/>
      <c r="ED474" s="1161">
        <f>VLOOKUP($A474,'New Resources - Group'!$A$4:$Y$133,ED$2,FALSE)*ED$1</f>
        <v>0</v>
      </c>
      <c r="EI474" s="1073"/>
      <c r="EL474" s="1161">
        <f>VLOOKUP($A474,'New Resources - Group'!$A$4:$Y$133,EL$2,FALSE)*EL$1</f>
        <v>0</v>
      </c>
      <c r="EQ474" s="1073"/>
      <c r="ET474" s="1161">
        <f>VLOOKUP($A474,'New Resources - Group'!$A$4:$Y$133,ET$2,FALSE)*ET$1</f>
        <v>0</v>
      </c>
      <c r="EY474" s="1073"/>
      <c r="FB474" s="1161">
        <f>VLOOKUP($A474,'New Resources - Group'!$A$4:$Y$133,FB$2,FALSE)*FB$1</f>
        <v>0</v>
      </c>
      <c r="FG474" s="1073"/>
      <c r="FJ474" s="1161">
        <f>VLOOKUP($A474,'New Resources - Group'!$A$4:$Y$133,FJ$2,FALSE)*FJ$1</f>
        <v>0</v>
      </c>
      <c r="FO474" s="1073"/>
    </row>
    <row r="475" spans="1:171">
      <c r="A475" s="1128">
        <v>104000</v>
      </c>
      <c r="B475" s="1098"/>
      <c r="C475" s="1097" t="s">
        <v>655</v>
      </c>
      <c r="K475" s="1073"/>
      <c r="N475" s="1161">
        <f>VLOOKUP($A475,'New Resources - Group'!$A$4:$Y$133,N$2,FALSE)*N$1</f>
        <v>0</v>
      </c>
      <c r="O475" s="1140"/>
      <c r="S475" s="1073"/>
      <c r="V475" s="1161">
        <f>VLOOKUP($A475,'New Resources - Group'!$A$4:$Y$133,V$2,FALSE)*V$1</f>
        <v>0</v>
      </c>
      <c r="W475" s="1140"/>
      <c r="AA475" s="1073"/>
      <c r="AD475" s="1161">
        <f>VLOOKUP($A475,'New Resources - Group'!$A$4:$Y$133,AD$2,FALSE)*AD$1</f>
        <v>0</v>
      </c>
      <c r="AE475" s="1140"/>
      <c r="AI475" s="1073"/>
      <c r="AL475" s="1161">
        <f>VLOOKUP($A475,'New Resources - Group'!$A$4:$Y$133,AL$2,FALSE)*AL$1</f>
        <v>0</v>
      </c>
      <c r="AM475" s="1140"/>
      <c r="AQ475" s="1073"/>
      <c r="AT475" s="1161">
        <f>VLOOKUP($A475,'New Resources - Group'!$A$4:$Y$133,AT$2,FALSE)*AT$1</f>
        <v>0</v>
      </c>
      <c r="AU475" s="1140"/>
      <c r="AY475" s="1073"/>
      <c r="BB475" s="1161">
        <f>VLOOKUP($A475,'New Resources - Group'!$A$4:$Y$133,BB$2,FALSE)*BB$1</f>
        <v>0</v>
      </c>
      <c r="BC475" s="1140"/>
      <c r="BG475" s="1073"/>
      <c r="BJ475" s="1161">
        <f>VLOOKUP($A475,'New Resources - Group'!$A$4:$Y$133,BJ$2,FALSE)*BJ$1</f>
        <v>0</v>
      </c>
      <c r="BK475" s="1140"/>
      <c r="BO475" s="1073"/>
      <c r="BR475" s="1161">
        <f>VLOOKUP($A475,'New Resources - Group'!$A$4:$Y$133,BR$2,FALSE)*BR$1</f>
        <v>0</v>
      </c>
      <c r="BS475" s="1140"/>
      <c r="BW475" s="1073"/>
      <c r="BZ475" s="1161">
        <f>VLOOKUP($A475,'New Resources - Group'!$A$4:$Y$133,BZ$2,FALSE)*BZ$1</f>
        <v>0</v>
      </c>
      <c r="CA475" s="1140"/>
      <c r="CE475" s="1073"/>
      <c r="CH475" s="1161">
        <f>VLOOKUP($A475,'New Resources - Group'!$A$4:$Y$133,CH$2,FALSE)*CH$1</f>
        <v>0</v>
      </c>
      <c r="CI475" s="1140"/>
      <c r="CM475" s="1073"/>
      <c r="CP475" s="1161">
        <f>VLOOKUP($A475,'New Resources - Group'!$A$4:$Y$133,CP$2,FALSE)*CP$1</f>
        <v>0</v>
      </c>
      <c r="CQ475" s="1140"/>
      <c r="CU475" s="1073"/>
      <c r="CX475" s="1161">
        <f>VLOOKUP($A475,'New Resources - Group'!$A$4:$Y$133,CX$2,FALSE)*CX$1</f>
        <v>0</v>
      </c>
      <c r="CY475" s="1140"/>
      <c r="DC475" s="1073"/>
      <c r="DF475" s="1161">
        <f>VLOOKUP($A475,'New Resources - Group'!$A$4:$Y$133,DF$2,FALSE)*DF$1</f>
        <v>0</v>
      </c>
      <c r="DG475" s="1140"/>
      <c r="DK475" s="1073"/>
      <c r="DN475" s="1161">
        <f>VLOOKUP($A475,'New Resources - Group'!$A$4:$Y$133,DN$2,FALSE)*DN$1</f>
        <v>0</v>
      </c>
      <c r="DO475" s="1140"/>
      <c r="DS475" s="1073"/>
      <c r="DV475" s="1161">
        <f>VLOOKUP($A475,'New Resources - Group'!$A$4:$Y$133,DV$2,FALSE)*DV$1</f>
        <v>0</v>
      </c>
      <c r="DW475" s="1140"/>
      <c r="EA475" s="1073"/>
      <c r="ED475" s="1161">
        <f>VLOOKUP($A475,'New Resources - Group'!$A$4:$Y$133,ED$2,FALSE)*ED$1</f>
        <v>0</v>
      </c>
      <c r="EE475" s="1140"/>
      <c r="EI475" s="1073"/>
      <c r="EL475" s="1161">
        <f>VLOOKUP($A475,'New Resources - Group'!$A$4:$Y$133,EL$2,FALSE)*EL$1</f>
        <v>0</v>
      </c>
      <c r="EM475" s="1140"/>
      <c r="EQ475" s="1073"/>
      <c r="ET475" s="1161">
        <f>VLOOKUP($A475,'New Resources - Group'!$A$4:$Y$133,ET$2,FALSE)*ET$1</f>
        <v>0</v>
      </c>
      <c r="EU475" s="1140"/>
      <c r="EY475" s="1073"/>
      <c r="FB475" s="1161">
        <f>VLOOKUP($A475,'New Resources - Group'!$A$4:$Y$133,FB$2,FALSE)*FB$1</f>
        <v>0</v>
      </c>
      <c r="FC475" s="1140"/>
      <c r="FG475" s="1073"/>
      <c r="FJ475" s="1161">
        <f>VLOOKUP($A475,'New Resources - Group'!$A$4:$Y$133,FJ$2,FALSE)*FJ$1</f>
        <v>0</v>
      </c>
      <c r="FK475" s="1140"/>
      <c r="FO475" s="1073"/>
    </row>
    <row r="476" spans="1:171">
      <c r="A476" s="1098"/>
      <c r="B476" s="1098"/>
      <c r="C476" s="1097" t="s">
        <v>656</v>
      </c>
      <c r="K476" s="1073"/>
      <c r="N476" s="1142">
        <f>N473+N474-N475</f>
        <v>0</v>
      </c>
      <c r="O476" s="1142">
        <f>N476</f>
        <v>0</v>
      </c>
      <c r="S476" s="1073"/>
      <c r="V476" s="1142">
        <f>V473+V474-V475</f>
        <v>0</v>
      </c>
      <c r="W476" s="1142">
        <f>V476</f>
        <v>0</v>
      </c>
      <c r="AA476" s="1073"/>
      <c r="AD476" s="1142">
        <f>AD473+AD474-AD475</f>
        <v>0</v>
      </c>
      <c r="AE476" s="1142">
        <f>AD476</f>
        <v>0</v>
      </c>
      <c r="AI476" s="1073"/>
      <c r="AL476" s="1142">
        <f>AL473+AL474-AL475</f>
        <v>0</v>
      </c>
      <c r="AM476" s="1142">
        <f>AL476</f>
        <v>0</v>
      </c>
      <c r="AQ476" s="1073"/>
      <c r="AT476" s="1142">
        <f>AT473+AT474-AT475</f>
        <v>0</v>
      </c>
      <c r="AU476" s="1142">
        <f>AT476</f>
        <v>0</v>
      </c>
      <c r="AY476" s="1073"/>
      <c r="BB476" s="1142">
        <f>BB473+BB474-BB475</f>
        <v>0</v>
      </c>
      <c r="BC476" s="1142">
        <f>BB476</f>
        <v>0</v>
      </c>
      <c r="BG476" s="1073"/>
      <c r="BJ476" s="1142">
        <f>BJ473+BJ474-BJ475</f>
        <v>0</v>
      </c>
      <c r="BK476" s="1142">
        <f>BJ476</f>
        <v>0</v>
      </c>
      <c r="BO476" s="1073"/>
      <c r="BR476" s="1142">
        <f>BR473+BR474-BR475</f>
        <v>0</v>
      </c>
      <c r="BS476" s="1142">
        <f>BR476</f>
        <v>0</v>
      </c>
      <c r="BW476" s="1073"/>
      <c r="BZ476" s="1142">
        <f>BZ473+BZ474-BZ475</f>
        <v>0</v>
      </c>
      <c r="CA476" s="1142">
        <f>BZ476</f>
        <v>0</v>
      </c>
      <c r="CE476" s="1073"/>
      <c r="CH476" s="1142">
        <f>CH473+CH474-CH475</f>
        <v>0</v>
      </c>
      <c r="CI476" s="1142">
        <f>CH476</f>
        <v>0</v>
      </c>
      <c r="CM476" s="1073"/>
      <c r="CP476" s="1142">
        <f>CP473+CP474-CP475</f>
        <v>0</v>
      </c>
      <c r="CQ476" s="1142">
        <f>CP476</f>
        <v>0</v>
      </c>
      <c r="CU476" s="1073"/>
      <c r="CX476" s="1142">
        <f>CX473+CX474-CX475</f>
        <v>0</v>
      </c>
      <c r="CY476" s="1142">
        <f>CX476</f>
        <v>0</v>
      </c>
      <c r="DC476" s="1073"/>
      <c r="DF476" s="1142">
        <f>DF473+DF474-DF475</f>
        <v>0</v>
      </c>
      <c r="DG476" s="1142">
        <f>DF476</f>
        <v>0</v>
      </c>
      <c r="DK476" s="1073"/>
      <c r="DN476" s="1142">
        <f>DN473+DN474-DN475</f>
        <v>0</v>
      </c>
      <c r="DO476" s="1142">
        <f>DN476</f>
        <v>0</v>
      </c>
      <c r="DS476" s="1073"/>
      <c r="DV476" s="1142">
        <f>DV473+DV474-DV475</f>
        <v>0</v>
      </c>
      <c r="DW476" s="1142">
        <f>DV476</f>
        <v>0</v>
      </c>
      <c r="EA476" s="1073"/>
      <c r="ED476" s="1142">
        <f>ED473+ED474-ED475</f>
        <v>0</v>
      </c>
      <c r="EE476" s="1142">
        <f>ED476</f>
        <v>0</v>
      </c>
      <c r="EI476" s="1073"/>
      <c r="EL476" s="1142">
        <f>EL473+EL474-EL475</f>
        <v>0</v>
      </c>
      <c r="EM476" s="1142">
        <f>EL476</f>
        <v>0</v>
      </c>
      <c r="EQ476" s="1073"/>
      <c r="ET476" s="1142">
        <f>ET473+ET474-ET475</f>
        <v>0</v>
      </c>
      <c r="EU476" s="1142">
        <f>ET476</f>
        <v>0</v>
      </c>
      <c r="EY476" s="1073"/>
      <c r="FB476" s="1142">
        <f>FB473+FB474-FB475</f>
        <v>0</v>
      </c>
      <c r="FC476" s="1142">
        <f>FB476</f>
        <v>0</v>
      </c>
      <c r="FG476" s="1073"/>
      <c r="FJ476" s="1142">
        <f>FJ473+FJ474-FJ475</f>
        <v>0</v>
      </c>
      <c r="FK476" s="1142">
        <f>FJ476</f>
        <v>0</v>
      </c>
      <c r="FO476" s="1073"/>
    </row>
    <row r="477" spans="1:171">
      <c r="A477" s="1098"/>
      <c r="B477" s="1098"/>
      <c r="C477" s="1102"/>
      <c r="K477" s="1073"/>
      <c r="S477" s="1073"/>
      <c r="AA477" s="1073"/>
      <c r="AI477" s="1073"/>
      <c r="AQ477" s="1073"/>
      <c r="AY477" s="1073"/>
      <c r="BG477" s="1073"/>
      <c r="BO477" s="1073"/>
      <c r="BW477" s="1073"/>
      <c r="CE477" s="1073"/>
      <c r="CM477" s="1073"/>
      <c r="CU477" s="1073"/>
      <c r="DC477" s="1073"/>
      <c r="DK477" s="1073"/>
      <c r="DS477" s="1073"/>
      <c r="EA477" s="1073"/>
      <c r="EI477" s="1073"/>
      <c r="EQ477" s="1073"/>
      <c r="EY477" s="1073"/>
      <c r="FG477" s="1073"/>
      <c r="FO477" s="1073"/>
    </row>
    <row r="478" spans="1:171">
      <c r="A478" s="1098"/>
      <c r="B478" s="1098"/>
      <c r="C478" s="1103" t="s">
        <v>657</v>
      </c>
      <c r="G478" s="1106">
        <f>'3-YEAR PP &amp; OSS Worksheet'!$E$14+'3-YEAR PP &amp; OSS Worksheet'!$E$17+'3-YEAR PP &amp; OSS Worksheet'!$E$18+'3-YEAR PP &amp; OSS Worksheet'!$E$19+'3-YEAR PP &amp; OSS Worksheet'!$E$20</f>
        <v>674216</v>
      </c>
      <c r="K478" s="1073"/>
      <c r="O478" s="1143">
        <f>$G478</f>
        <v>674216</v>
      </c>
      <c r="S478" s="1073"/>
      <c r="W478" s="1143">
        <f>$G478</f>
        <v>674216</v>
      </c>
      <c r="AA478" s="1073"/>
      <c r="AE478" s="1143">
        <f>$G478</f>
        <v>674216</v>
      </c>
      <c r="AI478" s="1073"/>
      <c r="AM478" s="1143">
        <f>$G478</f>
        <v>674216</v>
      </c>
      <c r="AQ478" s="1073"/>
      <c r="AU478" s="1143">
        <f>$G478</f>
        <v>674216</v>
      </c>
      <c r="AY478" s="1073"/>
      <c r="BC478" s="1143">
        <f>$G478</f>
        <v>674216</v>
      </c>
      <c r="BG478" s="1073"/>
      <c r="BK478" s="1143">
        <f>$G478</f>
        <v>674216</v>
      </c>
      <c r="BO478" s="1073"/>
      <c r="BS478" s="1143">
        <f>$G478</f>
        <v>674216</v>
      </c>
      <c r="BW478" s="1073"/>
      <c r="CA478" s="1143">
        <f>$G478</f>
        <v>674216</v>
      </c>
      <c r="CE478" s="1073"/>
      <c r="CI478" s="1143">
        <f>$G478</f>
        <v>674216</v>
      </c>
      <c r="CM478" s="1073"/>
      <c r="CQ478" s="1143">
        <f>$G478</f>
        <v>674216</v>
      </c>
      <c r="CU478" s="1073"/>
      <c r="CY478" s="1143">
        <f>$G478</f>
        <v>674216</v>
      </c>
      <c r="DC478" s="1073"/>
      <c r="DG478" s="1143">
        <f>$G478</f>
        <v>674216</v>
      </c>
      <c r="DK478" s="1073"/>
      <c r="DO478" s="1143">
        <f>$G478</f>
        <v>674216</v>
      </c>
      <c r="DS478" s="1073"/>
      <c r="DW478" s="1143">
        <f>$G478</f>
        <v>674216</v>
      </c>
      <c r="EA478" s="1073"/>
      <c r="EE478" s="1143">
        <f>$G478</f>
        <v>674216</v>
      </c>
      <c r="EI478" s="1073"/>
      <c r="EM478" s="1143">
        <f>$G478</f>
        <v>674216</v>
      </c>
      <c r="EQ478" s="1073"/>
      <c r="EU478" s="1143">
        <f>$G478</f>
        <v>674216</v>
      </c>
      <c r="EY478" s="1073"/>
      <c r="FC478" s="1143">
        <f>$G478</f>
        <v>674216</v>
      </c>
      <c r="FG478" s="1073"/>
      <c r="FK478" s="1143">
        <f>$G478</f>
        <v>674216</v>
      </c>
      <c r="FO478" s="1073"/>
    </row>
    <row r="479" spans="1:171">
      <c r="A479" s="1098"/>
      <c r="B479" s="1098"/>
      <c r="C479" s="1102"/>
      <c r="K479" s="1073"/>
      <c r="S479" s="1073"/>
      <c r="AA479" s="1073"/>
      <c r="AI479" s="1073"/>
      <c r="AQ479" s="1073"/>
      <c r="AY479" s="1073"/>
      <c r="BG479" s="1073"/>
      <c r="BO479" s="1073"/>
      <c r="BW479" s="1073"/>
      <c r="CE479" s="1073"/>
      <c r="CM479" s="1073"/>
      <c r="CU479" s="1073"/>
      <c r="DC479" s="1073"/>
      <c r="DK479" s="1073"/>
      <c r="DS479" s="1073"/>
      <c r="EA479" s="1073"/>
      <c r="EI479" s="1073"/>
      <c r="EQ479" s="1073"/>
      <c r="EY479" s="1073"/>
      <c r="FG479" s="1073"/>
      <c r="FO479" s="1073"/>
    </row>
    <row r="480" spans="1:171">
      <c r="A480" s="1098"/>
      <c r="B480" s="1098"/>
      <c r="C480" s="1259" t="s">
        <v>658</v>
      </c>
      <c r="K480" s="1073"/>
      <c r="O480" s="1140">
        <f>O478-O476</f>
        <v>674216</v>
      </c>
      <c r="S480" s="1073"/>
      <c r="W480" s="1140">
        <f>W478-W476</f>
        <v>674216</v>
      </c>
      <c r="AA480" s="1073"/>
      <c r="AE480" s="1140">
        <f>AE478-AE476</f>
        <v>674216</v>
      </c>
      <c r="AI480" s="1073"/>
      <c r="AM480" s="1140">
        <f>AM478-AM476</f>
        <v>674216</v>
      </c>
      <c r="AQ480" s="1073"/>
      <c r="AU480" s="1140">
        <f>AU478-AU476</f>
        <v>674216</v>
      </c>
      <c r="AY480" s="1073"/>
      <c r="BC480" s="1140">
        <f>BC478-BC476</f>
        <v>674216</v>
      </c>
      <c r="BG480" s="1073"/>
      <c r="BK480" s="1140">
        <f>BK478-BK476</f>
        <v>674216</v>
      </c>
      <c r="BO480" s="1073"/>
      <c r="BS480" s="1140">
        <f>BS478-BS476</f>
        <v>674216</v>
      </c>
      <c r="BW480" s="1073"/>
      <c r="CA480" s="1140">
        <f>CA478-CA476</f>
        <v>674216</v>
      </c>
      <c r="CE480" s="1073"/>
      <c r="CI480" s="1140">
        <f>CI478-CI476</f>
        <v>674216</v>
      </c>
      <c r="CM480" s="1073"/>
      <c r="CQ480" s="1140">
        <f>CQ478-CQ476</f>
        <v>674216</v>
      </c>
      <c r="CU480" s="1073"/>
      <c r="CY480" s="1140">
        <f>CY478-CY476</f>
        <v>674216</v>
      </c>
      <c r="DC480" s="1073"/>
      <c r="DG480" s="1140">
        <f>DG478-DG476</f>
        <v>674216</v>
      </c>
      <c r="DK480" s="1073"/>
      <c r="DO480" s="1140">
        <f>DO478-DO476</f>
        <v>674216</v>
      </c>
      <c r="DS480" s="1073"/>
      <c r="DW480" s="1140">
        <f>DW478-DW476</f>
        <v>674216</v>
      </c>
      <c r="EA480" s="1073"/>
      <c r="EE480" s="1140">
        <f>EE478-EE476</f>
        <v>674216</v>
      </c>
      <c r="EI480" s="1073"/>
      <c r="EM480" s="1140">
        <f>EM478-EM476</f>
        <v>674216</v>
      </c>
      <c r="EQ480" s="1073"/>
      <c r="EU480" s="1140">
        <f>EU478-EU476</f>
        <v>674216</v>
      </c>
      <c r="EY480" s="1073"/>
      <c r="FC480" s="1140">
        <f>FC478-FC476</f>
        <v>674216</v>
      </c>
      <c r="FG480" s="1073"/>
      <c r="FK480" s="1140">
        <f>FK478-FK476</f>
        <v>674216</v>
      </c>
      <c r="FO480" s="1073"/>
    </row>
    <row r="481" spans="1:171">
      <c r="A481" s="1098"/>
      <c r="B481" s="1098"/>
      <c r="C481" s="1260" t="s">
        <v>659</v>
      </c>
      <c r="K481" s="1073"/>
      <c r="O481" s="1140">
        <f>IF(O480&gt;0,O480,0)</f>
        <v>674216</v>
      </c>
      <c r="S481" s="1073"/>
      <c r="W481" s="1140">
        <f>IF(W480&gt;0,W480,0)</f>
        <v>674216</v>
      </c>
      <c r="AA481" s="1073"/>
      <c r="AE481" s="1140">
        <f>IF(AE480&gt;0,AE480,0)</f>
        <v>674216</v>
      </c>
      <c r="AI481" s="1073"/>
      <c r="AM481" s="1140">
        <f>IF(AM480&gt;0,AM480,0)</f>
        <v>674216</v>
      </c>
      <c r="AQ481" s="1073"/>
      <c r="AU481" s="1140">
        <f>IF(AU480&gt;0,AU480,0)</f>
        <v>674216</v>
      </c>
      <c r="AY481" s="1073"/>
      <c r="BC481" s="1140">
        <f>IF(BC480&gt;0,BC480,0)</f>
        <v>674216</v>
      </c>
      <c r="BG481" s="1073"/>
      <c r="BK481" s="1140">
        <f>IF(BK480&gt;0,BK480,0)</f>
        <v>674216</v>
      </c>
      <c r="BO481" s="1073"/>
      <c r="BS481" s="1140">
        <f>IF(BS480&gt;0,BS480,0)</f>
        <v>674216</v>
      </c>
      <c r="BW481" s="1073"/>
      <c r="CA481" s="1140">
        <f>IF(CA480&gt;0,CA480,0)</f>
        <v>674216</v>
      </c>
      <c r="CE481" s="1073"/>
      <c r="CI481" s="1140">
        <f>IF(CI480&gt;0,CI480,0)</f>
        <v>674216</v>
      </c>
      <c r="CM481" s="1073"/>
      <c r="CQ481" s="1140">
        <f>IF(CQ480&gt;0,CQ480,0)</f>
        <v>674216</v>
      </c>
      <c r="CU481" s="1073"/>
      <c r="CY481" s="1140">
        <f>IF(CY480&gt;0,CY480,0)</f>
        <v>674216</v>
      </c>
      <c r="DC481" s="1073"/>
      <c r="DG481" s="1140">
        <f>IF(DG480&gt;0,DG480,0)</f>
        <v>674216</v>
      </c>
      <c r="DK481" s="1073"/>
      <c r="DO481" s="1140">
        <f>IF(DO480&gt;0,DO480,0)</f>
        <v>674216</v>
      </c>
      <c r="DS481" s="1073"/>
      <c r="DW481" s="1140">
        <f>IF(DW480&gt;0,DW480,0)</f>
        <v>674216</v>
      </c>
      <c r="EA481" s="1073"/>
      <c r="EE481" s="1140">
        <f>IF(EE480&gt;0,EE480,0)</f>
        <v>674216</v>
      </c>
      <c r="EI481" s="1073"/>
      <c r="EM481" s="1140">
        <f>IF(EM480&gt;0,EM480,0)</f>
        <v>674216</v>
      </c>
      <c r="EQ481" s="1073"/>
      <c r="EU481" s="1140">
        <f>IF(EU480&gt;0,EU480,0)</f>
        <v>674216</v>
      </c>
      <c r="EY481" s="1073"/>
      <c r="FC481" s="1140">
        <f>IF(FC480&gt;0,FC480,0)</f>
        <v>674216</v>
      </c>
      <c r="FG481" s="1073"/>
      <c r="FK481" s="1140">
        <f>IF(FK480&gt;0,FK480,0)</f>
        <v>674216</v>
      </c>
      <c r="FO481" s="1073"/>
    </row>
    <row r="482" spans="1:171">
      <c r="A482" s="1098"/>
      <c r="B482" s="1098"/>
      <c r="C482" s="1104"/>
      <c r="K482" s="1073"/>
      <c r="S482" s="1073"/>
      <c r="AA482" s="1073"/>
      <c r="AI482" s="1073"/>
      <c r="AQ482" s="1073"/>
      <c r="AY482" s="1073"/>
      <c r="BG482" s="1073"/>
      <c r="BO482" s="1073"/>
      <c r="BW482" s="1073"/>
      <c r="CE482" s="1073"/>
      <c r="CM482" s="1073"/>
      <c r="CU482" s="1073"/>
      <c r="DC482" s="1073"/>
      <c r="DK482" s="1073"/>
      <c r="DS482" s="1073"/>
      <c r="EA482" s="1073"/>
      <c r="EI482" s="1073"/>
      <c r="EQ482" s="1073"/>
      <c r="EY482" s="1073"/>
      <c r="FG482" s="1073"/>
      <c r="FO482" s="1073"/>
    </row>
    <row r="483" spans="1:171">
      <c r="A483" s="1098"/>
      <c r="B483" s="1098"/>
      <c r="C483" s="1259" t="s">
        <v>660</v>
      </c>
      <c r="G483" s="1105">
        <f>G484/G478</f>
        <v>115.58444326447311</v>
      </c>
      <c r="K483" s="1073"/>
      <c r="O483" s="1144">
        <f>$G483</f>
        <v>115.58444326447311</v>
      </c>
      <c r="S483" s="1073"/>
      <c r="W483" s="1144">
        <f>$G483</f>
        <v>115.58444326447311</v>
      </c>
      <c r="AA483" s="1073"/>
      <c r="AE483" s="1144">
        <f>$G483</f>
        <v>115.58444326447311</v>
      </c>
      <c r="AI483" s="1073"/>
      <c r="AM483" s="1144">
        <f>$G483</f>
        <v>115.58444326447311</v>
      </c>
      <c r="AQ483" s="1073"/>
      <c r="AU483" s="1144">
        <f>$G483</f>
        <v>115.58444326447311</v>
      </c>
      <c r="AY483" s="1073"/>
      <c r="BC483" s="1144">
        <f>$G483</f>
        <v>115.58444326447311</v>
      </c>
      <c r="BG483" s="1073"/>
      <c r="BK483" s="1144">
        <f>$G483</f>
        <v>115.58444326447311</v>
      </c>
      <c r="BO483" s="1073"/>
      <c r="BS483" s="1144">
        <f>$G483</f>
        <v>115.58444326447311</v>
      </c>
      <c r="BW483" s="1073"/>
      <c r="CA483" s="1144">
        <f>$G483</f>
        <v>115.58444326447311</v>
      </c>
      <c r="CE483" s="1073"/>
      <c r="CI483" s="1144">
        <f>$G483</f>
        <v>115.58444326447311</v>
      </c>
      <c r="CM483" s="1073"/>
      <c r="CQ483" s="1144">
        <f>$G483</f>
        <v>115.58444326447311</v>
      </c>
      <c r="CU483" s="1073"/>
      <c r="CY483" s="1144">
        <f>$G483</f>
        <v>115.58444326447311</v>
      </c>
      <c r="DC483" s="1073"/>
      <c r="DG483" s="1144">
        <f>$G483</f>
        <v>115.58444326447311</v>
      </c>
      <c r="DK483" s="1073"/>
      <c r="DO483" s="1144">
        <f>$G483</f>
        <v>115.58444326447311</v>
      </c>
      <c r="DS483" s="1073"/>
      <c r="DW483" s="1144">
        <f>$G483</f>
        <v>115.58444326447311</v>
      </c>
      <c r="EA483" s="1073"/>
      <c r="EE483" s="1144">
        <f>$G483</f>
        <v>115.58444326447311</v>
      </c>
      <c r="EI483" s="1073"/>
      <c r="EM483" s="1144">
        <f>$G483</f>
        <v>115.58444326447311</v>
      </c>
      <c r="EQ483" s="1073"/>
      <c r="EU483" s="1144">
        <f>$G483</f>
        <v>115.58444326447311</v>
      </c>
      <c r="EY483" s="1073"/>
      <c r="FC483" s="1144">
        <f>$G483</f>
        <v>115.58444326447311</v>
      </c>
      <c r="FG483" s="1073"/>
      <c r="FK483" s="1144">
        <f>$G483</f>
        <v>115.58444326447311</v>
      </c>
      <c r="FO483" s="1073"/>
    </row>
    <row r="484" spans="1:171">
      <c r="A484" s="1098"/>
      <c r="B484" s="1258"/>
      <c r="C484" s="1261" t="s">
        <v>661</v>
      </c>
      <c r="G484" s="890">
        <f>'3-YEAR PP &amp; OSS Worksheet'!$D$14+'3-YEAR PP &amp; OSS Worksheet'!$D$17+'3-YEAR PP &amp; OSS Worksheet'!$D$18+'3-YEAR PP &amp; OSS Worksheet'!$D$19+'3-YEAR PP &amp; OSS Worksheet'!$D$20</f>
        <v>77928881</v>
      </c>
      <c r="K484" s="1073"/>
      <c r="O484" s="1141">
        <f>O481*O483</f>
        <v>77928881</v>
      </c>
      <c r="S484" s="1073"/>
      <c r="W484" s="1141">
        <f>W481*W483</f>
        <v>77928881</v>
      </c>
      <c r="AA484" s="1073"/>
      <c r="AE484" s="1141">
        <f>AE481*AE483</f>
        <v>77928881</v>
      </c>
      <c r="AI484" s="1073"/>
      <c r="AM484" s="1141">
        <f>AM481*AM483</f>
        <v>77928881</v>
      </c>
      <c r="AQ484" s="1073"/>
      <c r="AU484" s="1141">
        <f>AU481*AU483</f>
        <v>77928881</v>
      </c>
      <c r="AY484" s="1073"/>
      <c r="BC484" s="1141">
        <f>BC481*BC483</f>
        <v>77928881</v>
      </c>
      <c r="BG484" s="1073"/>
      <c r="BK484" s="1141">
        <f>BK481*BK483</f>
        <v>77928881</v>
      </c>
      <c r="BO484" s="1073"/>
      <c r="BS484" s="1141">
        <f>BS481*BS483</f>
        <v>77928881</v>
      </c>
      <c r="BW484" s="1073"/>
      <c r="CA484" s="1141">
        <f>CA481*CA483</f>
        <v>77928881</v>
      </c>
      <c r="CE484" s="1073"/>
      <c r="CI484" s="1141">
        <f>CI481*CI483</f>
        <v>77928881</v>
      </c>
      <c r="CM484" s="1073"/>
      <c r="CQ484" s="1141">
        <f>CQ481*CQ483</f>
        <v>77928881</v>
      </c>
      <c r="CU484" s="1073"/>
      <c r="CY484" s="1141">
        <f>CY481*CY483</f>
        <v>77928881</v>
      </c>
      <c r="DC484" s="1073"/>
      <c r="DG484" s="1141">
        <f>DG481*DG483</f>
        <v>77928881</v>
      </c>
      <c r="DK484" s="1073"/>
      <c r="DO484" s="1141">
        <f>DO481*DO483</f>
        <v>77928881</v>
      </c>
      <c r="DS484" s="1073"/>
      <c r="DW484" s="1141">
        <f>DW481*DW483</f>
        <v>77928881</v>
      </c>
      <c r="EA484" s="1073"/>
      <c r="EE484" s="1141">
        <f>EE481*EE483</f>
        <v>77928881</v>
      </c>
      <c r="EI484" s="1073"/>
      <c r="EM484" s="1141">
        <f>EM481*EM483</f>
        <v>77928881</v>
      </c>
      <c r="EQ484" s="1073"/>
      <c r="EU484" s="1141">
        <f>EU481*EU483</f>
        <v>77928881</v>
      </c>
      <c r="EY484" s="1073"/>
      <c r="FC484" s="1141">
        <f>FC481*FC483</f>
        <v>77928881</v>
      </c>
      <c r="FG484" s="1073"/>
      <c r="FK484" s="1141">
        <f>FK481*FK483</f>
        <v>77928881</v>
      </c>
      <c r="FO484" s="1073"/>
    </row>
    <row r="485" spans="1:171">
      <c r="A485" s="1098"/>
      <c r="B485" s="1098"/>
      <c r="C485" s="1104"/>
      <c r="K485" s="1073"/>
      <c r="S485" s="1073"/>
      <c r="AA485" s="1073"/>
      <c r="AI485" s="1073"/>
      <c r="AQ485" s="1073"/>
      <c r="AY485" s="1073"/>
      <c r="BG485" s="1073"/>
      <c r="BO485" s="1073"/>
      <c r="BW485" s="1073"/>
      <c r="CE485" s="1073"/>
      <c r="CM485" s="1073"/>
      <c r="CU485" s="1073"/>
      <c r="DC485" s="1073"/>
      <c r="DK485" s="1073"/>
      <c r="DS485" s="1073"/>
      <c r="EA485" s="1073"/>
      <c r="EI485" s="1073"/>
      <c r="EQ485" s="1073"/>
      <c r="EY485" s="1073"/>
      <c r="FG485" s="1073"/>
      <c r="FO485" s="1073"/>
    </row>
    <row r="486" spans="1:171">
      <c r="A486" s="1098"/>
      <c r="B486" s="1098"/>
      <c r="C486" s="1104" t="s">
        <v>662</v>
      </c>
      <c r="G486" s="1106">
        <f>'3-YEAR PP &amp; OSS Worksheet'!$E$29+'3-YEAR PP &amp; OSS Worksheet'!$E$32+'3-YEAR PP &amp; OSS Worksheet'!$E$33+'3-YEAR PP &amp; OSS Worksheet'!$E$34+'3-YEAR PP &amp; OSS Worksheet'!$E$35</f>
        <v>2495820</v>
      </c>
      <c r="K486" s="1073"/>
      <c r="O486" s="1140">
        <f>$G486</f>
        <v>2495820</v>
      </c>
      <c r="S486" s="1073"/>
      <c r="W486" s="1140">
        <f>$G486</f>
        <v>2495820</v>
      </c>
      <c r="AA486" s="1073"/>
      <c r="AE486" s="1140">
        <f>$G486</f>
        <v>2495820</v>
      </c>
      <c r="AI486" s="1073"/>
      <c r="AM486" s="1140">
        <f>$G486</f>
        <v>2495820</v>
      </c>
      <c r="AQ486" s="1073"/>
      <c r="AU486" s="1140">
        <f>$G486</f>
        <v>2495820</v>
      </c>
      <c r="AY486" s="1073"/>
      <c r="BC486" s="1140">
        <f>$G486</f>
        <v>2495820</v>
      </c>
      <c r="BG486" s="1073"/>
      <c r="BK486" s="1140">
        <f>$G486</f>
        <v>2495820</v>
      </c>
      <c r="BO486" s="1073"/>
      <c r="BS486" s="1140">
        <f>$G486</f>
        <v>2495820</v>
      </c>
      <c r="BW486" s="1073"/>
      <c r="CA486" s="1140">
        <f>$G486</f>
        <v>2495820</v>
      </c>
      <c r="CE486" s="1073"/>
      <c r="CI486" s="1140">
        <f>$G486</f>
        <v>2495820</v>
      </c>
      <c r="CM486" s="1073"/>
      <c r="CQ486" s="1140">
        <f>$G486</f>
        <v>2495820</v>
      </c>
      <c r="CU486" s="1073"/>
      <c r="CY486" s="1140">
        <f>$G486</f>
        <v>2495820</v>
      </c>
      <c r="DC486" s="1073"/>
      <c r="DG486" s="1140">
        <f>$G486</f>
        <v>2495820</v>
      </c>
      <c r="DK486" s="1073"/>
      <c r="DO486" s="1140">
        <f>$G486</f>
        <v>2495820</v>
      </c>
      <c r="DS486" s="1073"/>
      <c r="DW486" s="1140">
        <f>$G486</f>
        <v>2495820</v>
      </c>
      <c r="EA486" s="1073"/>
      <c r="EE486" s="1140">
        <f>$G486</f>
        <v>2495820</v>
      </c>
      <c r="EI486" s="1073"/>
      <c r="EM486" s="1140">
        <f>$G486</f>
        <v>2495820</v>
      </c>
      <c r="EQ486" s="1073"/>
      <c r="EU486" s="1140">
        <f>$G486</f>
        <v>2495820</v>
      </c>
      <c r="EY486" s="1073"/>
      <c r="FC486" s="1140">
        <f>$G486</f>
        <v>2495820</v>
      </c>
      <c r="FG486" s="1073"/>
      <c r="FK486" s="1140">
        <f>$G486</f>
        <v>2495820</v>
      </c>
      <c r="FO486" s="1073"/>
    </row>
    <row r="487" spans="1:171">
      <c r="A487" s="1098"/>
      <c r="B487" s="1098"/>
      <c r="C487" s="1104" t="s">
        <v>663</v>
      </c>
      <c r="K487" s="1073"/>
      <c r="O487" s="1140">
        <f>IF(O480&gt;0,0,-O480)</f>
        <v>0</v>
      </c>
      <c r="S487" s="1073"/>
      <c r="W487" s="1140">
        <f>IF(W480&gt;0,0,-W480)</f>
        <v>0</v>
      </c>
      <c r="AA487" s="1073"/>
      <c r="AE487" s="1140">
        <f>IF(AE480&gt;0,0,-AE480)</f>
        <v>0</v>
      </c>
      <c r="AI487" s="1073"/>
      <c r="AM487" s="1140">
        <f>IF(AM480&gt;0,0,-AM480)</f>
        <v>0</v>
      </c>
      <c r="AQ487" s="1073"/>
      <c r="AU487" s="1140">
        <f>IF(AU480&gt;0,0,-AU480)</f>
        <v>0</v>
      </c>
      <c r="AY487" s="1073"/>
      <c r="BC487" s="1140">
        <f>IF(BC480&gt;0,0,-BC480)</f>
        <v>0</v>
      </c>
      <c r="BG487" s="1073"/>
      <c r="BK487" s="1140">
        <f>IF(BK480&gt;0,0,-BK480)</f>
        <v>0</v>
      </c>
      <c r="BO487" s="1073"/>
      <c r="BS487" s="1140">
        <f>IF(BS480&gt;0,0,-BS480)</f>
        <v>0</v>
      </c>
      <c r="BW487" s="1073"/>
      <c r="CA487" s="1140">
        <f>IF(CA480&gt;0,0,-CA480)</f>
        <v>0</v>
      </c>
      <c r="CE487" s="1073"/>
      <c r="CI487" s="1140">
        <f>IF(CI480&gt;0,0,-CI480)</f>
        <v>0</v>
      </c>
      <c r="CM487" s="1073"/>
      <c r="CQ487" s="1140">
        <f>IF(CQ480&gt;0,0,-CQ480)</f>
        <v>0</v>
      </c>
      <c r="CU487" s="1073"/>
      <c r="CY487" s="1140">
        <f>IF(CY480&gt;0,0,-CY480)</f>
        <v>0</v>
      </c>
      <c r="DC487" s="1073"/>
      <c r="DG487" s="1140">
        <f>IF(DG480&gt;0,0,-DG480)</f>
        <v>0</v>
      </c>
      <c r="DK487" s="1073"/>
      <c r="DO487" s="1140">
        <f>IF(DO480&gt;0,0,-DO480)</f>
        <v>0</v>
      </c>
      <c r="DS487" s="1073"/>
      <c r="DW487" s="1140">
        <f>IF(DW480&gt;0,0,-DW480)</f>
        <v>0</v>
      </c>
      <c r="EA487" s="1073"/>
      <c r="EE487" s="1140">
        <f>IF(EE480&gt;0,0,-EE480)</f>
        <v>0</v>
      </c>
      <c r="EI487" s="1073"/>
      <c r="EM487" s="1140">
        <f>IF(EM480&gt;0,0,-EM480)</f>
        <v>0</v>
      </c>
      <c r="EQ487" s="1073"/>
      <c r="EU487" s="1140">
        <f>IF(EU480&gt;0,0,-EU480)</f>
        <v>0</v>
      </c>
      <c r="EY487" s="1073"/>
      <c r="FC487" s="1140">
        <f>IF(FC480&gt;0,0,-FC480)</f>
        <v>0</v>
      </c>
      <c r="FG487" s="1073"/>
      <c r="FK487" s="1140">
        <f>IF(FK480&gt;0,0,-FK480)</f>
        <v>0</v>
      </c>
      <c r="FO487" s="1073"/>
    </row>
    <row r="488" spans="1:171">
      <c r="A488" s="1098"/>
      <c r="B488" s="1098"/>
      <c r="C488" s="1260" t="s">
        <v>664</v>
      </c>
      <c r="K488" s="1073"/>
      <c r="O488" s="1140">
        <f>SUM(O486:O487)</f>
        <v>2495820</v>
      </c>
      <c r="S488" s="1073"/>
      <c r="W488" s="1140">
        <f>SUM(W486:W487)</f>
        <v>2495820</v>
      </c>
      <c r="AA488" s="1073"/>
      <c r="AE488" s="1140">
        <f>SUM(AE486:AE487)</f>
        <v>2495820</v>
      </c>
      <c r="AI488" s="1073"/>
      <c r="AM488" s="1140">
        <f>SUM(AM486:AM487)</f>
        <v>2495820</v>
      </c>
      <c r="AQ488" s="1073"/>
      <c r="AU488" s="1140">
        <f>SUM(AU486:AU487)</f>
        <v>2495820</v>
      </c>
      <c r="AY488" s="1073"/>
      <c r="BC488" s="1140">
        <f>SUM(BC486:BC487)</f>
        <v>2495820</v>
      </c>
      <c r="BG488" s="1073"/>
      <c r="BK488" s="1140">
        <f>SUM(BK486:BK487)</f>
        <v>2495820</v>
      </c>
      <c r="BO488" s="1073"/>
      <c r="BS488" s="1140">
        <f>SUM(BS486:BS487)</f>
        <v>2495820</v>
      </c>
      <c r="BW488" s="1073"/>
      <c r="CA488" s="1140">
        <f>SUM(CA486:CA487)</f>
        <v>2495820</v>
      </c>
      <c r="CE488" s="1073"/>
      <c r="CI488" s="1140">
        <f>SUM(CI486:CI487)</f>
        <v>2495820</v>
      </c>
      <c r="CM488" s="1073"/>
      <c r="CQ488" s="1140">
        <f>SUM(CQ486:CQ487)</f>
        <v>2495820</v>
      </c>
      <c r="CU488" s="1073"/>
      <c r="CY488" s="1140">
        <f>SUM(CY486:CY487)</f>
        <v>2495820</v>
      </c>
      <c r="DC488" s="1073"/>
      <c r="DG488" s="1140">
        <f>SUM(DG486:DG487)</f>
        <v>2495820</v>
      </c>
      <c r="DK488" s="1073"/>
      <c r="DO488" s="1140">
        <f>SUM(DO486:DO487)</f>
        <v>2495820</v>
      </c>
      <c r="DS488" s="1073"/>
      <c r="DW488" s="1140">
        <f>SUM(DW486:DW487)</f>
        <v>2495820</v>
      </c>
      <c r="EA488" s="1073"/>
      <c r="EE488" s="1140">
        <f>SUM(EE486:EE487)</f>
        <v>2495820</v>
      </c>
      <c r="EI488" s="1073"/>
      <c r="EM488" s="1140">
        <f>SUM(EM486:EM487)</f>
        <v>2495820</v>
      </c>
      <c r="EQ488" s="1073"/>
      <c r="EU488" s="1140">
        <f>SUM(EU486:EU487)</f>
        <v>2495820</v>
      </c>
      <c r="EY488" s="1073"/>
      <c r="FC488" s="1140">
        <f>SUM(FC486:FC487)</f>
        <v>2495820</v>
      </c>
      <c r="FG488" s="1073"/>
      <c r="FK488" s="1140">
        <f>SUM(FK486:FK487)</f>
        <v>2495820</v>
      </c>
      <c r="FO488" s="1073"/>
    </row>
    <row r="489" spans="1:171">
      <c r="A489" s="1098"/>
      <c r="B489" s="1258"/>
      <c r="C489" s="1261" t="s">
        <v>665</v>
      </c>
      <c r="G489" s="890">
        <f>'3-YEAR PP &amp; OSS Worksheet'!$D$29+'3-YEAR PP &amp; OSS Worksheet'!$D$32+'3-YEAR PP &amp; OSS Worksheet'!$D$33+'3-YEAR PP &amp; OSS Worksheet'!$D$34+'3-YEAR PP &amp; OSS Worksheet'!$D$35</f>
        <v>213630664</v>
      </c>
      <c r="K489" s="1073"/>
      <c r="O489" s="1141">
        <f>O488*O490</f>
        <v>213630664</v>
      </c>
      <c r="S489" s="1073"/>
      <c r="W489" s="1141">
        <f>W488*W490</f>
        <v>213630664</v>
      </c>
      <c r="AA489" s="1073"/>
      <c r="AE489" s="1141">
        <f>AE488*AE490</f>
        <v>213630664</v>
      </c>
      <c r="AI489" s="1073"/>
      <c r="AM489" s="1141">
        <f>AM488*AM490</f>
        <v>213630664</v>
      </c>
      <c r="AQ489" s="1073"/>
      <c r="AU489" s="1141">
        <f>AU488*AU490</f>
        <v>213630664</v>
      </c>
      <c r="AY489" s="1073"/>
      <c r="BC489" s="1141">
        <f>BC488*BC490</f>
        <v>213630664</v>
      </c>
      <c r="BG489" s="1073"/>
      <c r="BK489" s="1141">
        <f>BK488*BK490</f>
        <v>213630664</v>
      </c>
      <c r="BO489" s="1073"/>
      <c r="BS489" s="1141">
        <f>BS488*BS490</f>
        <v>213630664</v>
      </c>
      <c r="BW489" s="1073"/>
      <c r="CA489" s="1141">
        <f>CA488*CA490</f>
        <v>213630664</v>
      </c>
      <c r="CE489" s="1073"/>
      <c r="CI489" s="1141">
        <f>CI488*CI490</f>
        <v>213630664</v>
      </c>
      <c r="CM489" s="1073"/>
      <c r="CQ489" s="1141">
        <f>CQ488*CQ490</f>
        <v>213630664</v>
      </c>
      <c r="CU489" s="1073"/>
      <c r="CY489" s="1141">
        <f>CY488*CY490</f>
        <v>213630664</v>
      </c>
      <c r="DC489" s="1073"/>
      <c r="DG489" s="1141">
        <f>DG488*DG490</f>
        <v>213630664</v>
      </c>
      <c r="DK489" s="1073"/>
      <c r="DO489" s="1141">
        <f>DO488*DO490</f>
        <v>213630664</v>
      </c>
      <c r="DS489" s="1073"/>
      <c r="DW489" s="1141">
        <f>DW488*DW490</f>
        <v>213630664</v>
      </c>
      <c r="EA489" s="1073"/>
      <c r="EE489" s="1141">
        <f>EE488*EE490</f>
        <v>213630664</v>
      </c>
      <c r="EI489" s="1073"/>
      <c r="EM489" s="1141">
        <f>EM488*EM490</f>
        <v>213630664</v>
      </c>
      <c r="EQ489" s="1073"/>
      <c r="EU489" s="1141">
        <f>EU488*EU490</f>
        <v>213630664</v>
      </c>
      <c r="EY489" s="1073"/>
      <c r="FC489" s="1141">
        <f>FC488*FC490</f>
        <v>213630664</v>
      </c>
      <c r="FG489" s="1073"/>
      <c r="FK489" s="1141">
        <f>FK488*FK490</f>
        <v>213630664</v>
      </c>
      <c r="FO489" s="1073"/>
    </row>
    <row r="490" spans="1:171">
      <c r="A490" s="1098"/>
      <c r="B490" s="1098"/>
      <c r="C490" s="1259" t="s">
        <v>666</v>
      </c>
      <c r="G490" s="1105">
        <f>G489/G486</f>
        <v>85.595381077161008</v>
      </c>
      <c r="K490" s="1073"/>
      <c r="O490" s="1144">
        <f>$G490</f>
        <v>85.595381077161008</v>
      </c>
      <c r="S490" s="1073"/>
      <c r="W490" s="1144">
        <f>$G490</f>
        <v>85.595381077161008</v>
      </c>
      <c r="AA490" s="1073"/>
      <c r="AE490" s="1144">
        <f>$G490</f>
        <v>85.595381077161008</v>
      </c>
      <c r="AI490" s="1073"/>
      <c r="AM490" s="1144">
        <f>$G490</f>
        <v>85.595381077161008</v>
      </c>
      <c r="AQ490" s="1073"/>
      <c r="AU490" s="1144">
        <f>$G490</f>
        <v>85.595381077161008</v>
      </c>
      <c r="AY490" s="1073"/>
      <c r="BC490" s="1144">
        <f>$G490</f>
        <v>85.595381077161008</v>
      </c>
      <c r="BG490" s="1073"/>
      <c r="BK490" s="1144">
        <f>$G490</f>
        <v>85.595381077161008</v>
      </c>
      <c r="BO490" s="1073"/>
      <c r="BS490" s="1144">
        <f>$G490</f>
        <v>85.595381077161008</v>
      </c>
      <c r="BW490" s="1073"/>
      <c r="CA490" s="1144">
        <f>$G490</f>
        <v>85.595381077161008</v>
      </c>
      <c r="CE490" s="1073"/>
      <c r="CI490" s="1144">
        <f>$G490</f>
        <v>85.595381077161008</v>
      </c>
      <c r="CM490" s="1073"/>
      <c r="CQ490" s="1144">
        <f>$G490</f>
        <v>85.595381077161008</v>
      </c>
      <c r="CU490" s="1073"/>
      <c r="CY490" s="1144">
        <f>$G490</f>
        <v>85.595381077161008</v>
      </c>
      <c r="DC490" s="1073"/>
      <c r="DG490" s="1144">
        <f>$G490</f>
        <v>85.595381077161008</v>
      </c>
      <c r="DK490" s="1073"/>
      <c r="DO490" s="1144">
        <f>$G490</f>
        <v>85.595381077161008</v>
      </c>
      <c r="DS490" s="1073"/>
      <c r="DW490" s="1144">
        <f>$G490</f>
        <v>85.595381077161008</v>
      </c>
      <c r="EA490" s="1073"/>
      <c r="EE490" s="1144">
        <f>$G490</f>
        <v>85.595381077161008</v>
      </c>
      <c r="EI490" s="1073"/>
      <c r="EM490" s="1144">
        <f>$G490</f>
        <v>85.595381077161008</v>
      </c>
      <c r="EQ490" s="1073"/>
      <c r="EU490" s="1144">
        <f>$G490</f>
        <v>85.595381077161008</v>
      </c>
      <c r="EY490" s="1073"/>
      <c r="FC490" s="1144">
        <f>$G490</f>
        <v>85.595381077161008</v>
      </c>
      <c r="FG490" s="1073"/>
      <c r="FK490" s="1144">
        <f>$G490</f>
        <v>85.595381077161008</v>
      </c>
      <c r="FO490" s="1073"/>
    </row>
    <row r="491" spans="1:171">
      <c r="A491" s="1098"/>
      <c r="B491" s="1101" t="s">
        <v>649</v>
      </c>
      <c r="C491" s="1102"/>
      <c r="K491" s="1073"/>
      <c r="S491" s="1073"/>
      <c r="AA491" s="1073"/>
      <c r="AI491" s="1073"/>
      <c r="AQ491" s="1073"/>
      <c r="AY491" s="1073"/>
      <c r="BG491" s="1073"/>
      <c r="BO491" s="1073"/>
      <c r="BW491" s="1073"/>
      <c r="CE491" s="1073"/>
      <c r="CM491" s="1073"/>
      <c r="CU491" s="1073"/>
      <c r="DC491" s="1073"/>
      <c r="DK491" s="1073"/>
      <c r="DS491" s="1073"/>
      <c r="EA491" s="1073"/>
      <c r="EI491" s="1073"/>
      <c r="EQ491" s="1073"/>
      <c r="EY491" s="1073"/>
      <c r="FG491" s="1073"/>
      <c r="FO491" s="1073"/>
    </row>
    <row r="492" spans="1:171">
      <c r="B492" s="1101" t="s">
        <v>650</v>
      </c>
      <c r="K492" s="1073"/>
      <c r="S492" s="1073"/>
      <c r="AA492" s="1073"/>
      <c r="AI492" s="1073"/>
      <c r="AQ492" s="1073"/>
      <c r="AY492" s="1073"/>
      <c r="BG492" s="1073"/>
      <c r="BO492" s="1073"/>
      <c r="BW492" s="1073"/>
      <c r="CE492" s="1073"/>
      <c r="CM492" s="1073"/>
      <c r="CU492" s="1073"/>
      <c r="DC492" s="1073"/>
      <c r="DK492" s="1073"/>
      <c r="DS492" s="1073"/>
      <c r="EA492" s="1073"/>
      <c r="EI492" s="1073"/>
      <c r="EQ492" s="1073"/>
      <c r="EY492" s="1073"/>
      <c r="FG492" s="1073"/>
      <c r="FO492" s="1073"/>
    </row>
    <row r="493" spans="1:171">
      <c r="A493" s="1128">
        <v>103000</v>
      </c>
      <c r="B493" s="1204"/>
      <c r="C493" s="1261" t="s">
        <v>667</v>
      </c>
      <c r="G493" s="585">
        <f>'3-YEAR PP &amp; OSS Worksheet'!$D$26+'3-YEAR PP &amp; OSS Worksheet'!$D$27+'3-YEAR PP &amp; OSS Worksheet'!$D$28+'3-YEAR PP &amp; OSS Worksheet'!$D$30+'3-YEAR PP &amp; OSS Worksheet'!$D$31</f>
        <v>40027337</v>
      </c>
      <c r="K493" s="1073"/>
      <c r="N493" s="1161">
        <f>VLOOKUP($A493,'New Resources - Group'!$A$4:$Y$133,N$2,FALSE)*N$1</f>
        <v>0</v>
      </c>
      <c r="O493" s="1141">
        <f>$G493+N493</f>
        <v>40027337</v>
      </c>
      <c r="S493" s="1073"/>
      <c r="V493" s="1161">
        <f>VLOOKUP($A493,'New Resources - Group'!$A$4:$Y$133,V$2,FALSE)*V$1</f>
        <v>0</v>
      </c>
      <c r="W493" s="1141">
        <f>$G493+V493</f>
        <v>40027337</v>
      </c>
      <c r="AA493" s="1073"/>
      <c r="AD493" s="1161">
        <f>VLOOKUP($A493,'New Resources - Group'!$A$4:$Y$133,AD$2,FALSE)*AD$1</f>
        <v>0</v>
      </c>
      <c r="AE493" s="1141">
        <f>$G493+AD493</f>
        <v>40027337</v>
      </c>
      <c r="AI493" s="1073"/>
      <c r="AL493" s="1161">
        <f>VLOOKUP($A493,'New Resources - Group'!$A$4:$Y$133,AL$2,FALSE)*AL$1</f>
        <v>0</v>
      </c>
      <c r="AM493" s="1141">
        <f>$G493+AL493</f>
        <v>40027337</v>
      </c>
      <c r="AQ493" s="1073"/>
      <c r="AT493" s="1161">
        <f>VLOOKUP($A493,'New Resources - Group'!$A$4:$Y$133,AT$2,FALSE)*AT$1</f>
        <v>0</v>
      </c>
      <c r="AU493" s="1141">
        <f>$G493+AT493</f>
        <v>40027337</v>
      </c>
      <c r="AY493" s="1073"/>
      <c r="BB493" s="1161">
        <f>VLOOKUP($A493,'New Resources - Group'!$A$4:$Y$133,BB$2,FALSE)*BB$1</f>
        <v>0</v>
      </c>
      <c r="BC493" s="1141">
        <f>$G493+BB493</f>
        <v>40027337</v>
      </c>
      <c r="BG493" s="1073"/>
      <c r="BJ493" s="1161">
        <f>VLOOKUP($A493,'New Resources - Group'!$A$4:$Y$133,BJ$2,FALSE)*BJ$1</f>
        <v>0</v>
      </c>
      <c r="BK493" s="1141">
        <f>$G493+BJ493</f>
        <v>40027337</v>
      </c>
      <c r="BO493" s="1073"/>
      <c r="BR493" s="1161">
        <f>VLOOKUP($A493,'New Resources - Group'!$A$4:$Y$133,BR$2,FALSE)*BR$1</f>
        <v>0</v>
      </c>
      <c r="BS493" s="1141">
        <f>$G493+BR493</f>
        <v>40027337</v>
      </c>
      <c r="BW493" s="1073"/>
      <c r="BZ493" s="1161">
        <f>VLOOKUP($A493,'New Resources - Group'!$A$4:$Y$133,BZ$2,FALSE)*BZ$1</f>
        <v>0</v>
      </c>
      <c r="CA493" s="1141">
        <f>$G493+BZ493</f>
        <v>40027337</v>
      </c>
      <c r="CE493" s="1073"/>
      <c r="CH493" s="1161">
        <f>VLOOKUP($A493,'New Resources - Group'!$A$4:$Y$133,CH$2,FALSE)*CH$1</f>
        <v>0</v>
      </c>
      <c r="CI493" s="1141">
        <f>$G493+CH493</f>
        <v>40027337</v>
      </c>
      <c r="CM493" s="1073"/>
      <c r="CP493" s="1161">
        <f>VLOOKUP($A493,'New Resources - Group'!$A$4:$Y$133,CP$2,FALSE)*CP$1</f>
        <v>0</v>
      </c>
      <c r="CQ493" s="1141">
        <f>$G493+CP493</f>
        <v>40027337</v>
      </c>
      <c r="CU493" s="1073"/>
      <c r="CX493" s="1161">
        <f>VLOOKUP($A493,'New Resources - Group'!$A$4:$Y$133,CX$2,FALSE)*CX$1</f>
        <v>0</v>
      </c>
      <c r="CY493" s="1141">
        <f>$G493+CX493</f>
        <v>40027337</v>
      </c>
      <c r="DC493" s="1073"/>
      <c r="DF493" s="1161">
        <f>VLOOKUP($A493,'New Resources - Group'!$A$4:$Y$133,DF$2,FALSE)*DF$1</f>
        <v>0</v>
      </c>
      <c r="DG493" s="1141">
        <f>$G493+DF493</f>
        <v>40027337</v>
      </c>
      <c r="DK493" s="1073"/>
      <c r="DN493" s="1161">
        <f>VLOOKUP($A493,'New Resources - Group'!$A$4:$Y$133,DN$2,FALSE)*DN$1</f>
        <v>0</v>
      </c>
      <c r="DO493" s="1141">
        <f>$G493+DN493</f>
        <v>40027337</v>
      </c>
      <c r="DS493" s="1073"/>
      <c r="DV493" s="1161">
        <f>VLOOKUP($A493,'New Resources - Group'!$A$4:$Y$133,DV$2,FALSE)*DV$1</f>
        <v>0</v>
      </c>
      <c r="DW493" s="1141">
        <f>$G493+DV493</f>
        <v>40027337</v>
      </c>
      <c r="EA493" s="1073"/>
      <c r="ED493" s="1161">
        <f>VLOOKUP($A493,'New Resources - Group'!$A$4:$Y$133,ED$2,FALSE)*ED$1</f>
        <v>0</v>
      </c>
      <c r="EE493" s="1141">
        <f>$G493+ED493</f>
        <v>40027337</v>
      </c>
      <c r="EI493" s="1073"/>
      <c r="EL493" s="1161">
        <f>VLOOKUP($A493,'New Resources - Group'!$A$4:$Y$133,EL$2,FALSE)*EL$1</f>
        <v>0</v>
      </c>
      <c r="EM493" s="1141">
        <f>$G493+EL493</f>
        <v>40027337</v>
      </c>
      <c r="EQ493" s="1073"/>
      <c r="ET493" s="1161">
        <f>VLOOKUP($A493,'New Resources - Group'!$A$4:$Y$133,ET$2,FALSE)*ET$1</f>
        <v>0</v>
      </c>
      <c r="EU493" s="1141">
        <f>$G493+ET493</f>
        <v>40027337</v>
      </c>
      <c r="EY493" s="1073"/>
      <c r="FB493" s="1161">
        <f>VLOOKUP($A493,'New Resources - Group'!$A$4:$Y$133,FB$2,FALSE)*FB$1</f>
        <v>0</v>
      </c>
      <c r="FC493" s="1141">
        <f>$G493+FB493</f>
        <v>40027337</v>
      </c>
      <c r="FG493" s="1073"/>
      <c r="FJ493" s="1161">
        <f>VLOOKUP($A493,'New Resources - Group'!$A$4:$Y$133,FJ$2,FALSE)*FJ$1</f>
        <v>0</v>
      </c>
      <c r="FK493" s="1141">
        <f>$G493+FJ493</f>
        <v>40027337</v>
      </c>
      <c r="FO493" s="1073"/>
    </row>
    <row r="494" spans="1:171">
      <c r="A494" s="1098" t="s">
        <v>651</v>
      </c>
      <c r="K494" s="1073"/>
      <c r="S494" s="1073"/>
      <c r="AA494" s="1073"/>
      <c r="AI494" s="1073"/>
      <c r="AQ494" s="1073"/>
      <c r="AY494" s="1073"/>
      <c r="BG494" s="1073"/>
      <c r="BO494" s="1073"/>
      <c r="BW494" s="1073"/>
      <c r="CE494" s="1073"/>
      <c r="CM494" s="1073"/>
      <c r="CU494" s="1073"/>
      <c r="DC494" s="1073"/>
      <c r="DK494" s="1073"/>
      <c r="DS494" s="1073"/>
      <c r="EA494" s="1073"/>
      <c r="EI494" s="1073"/>
      <c r="EQ494" s="1073"/>
      <c r="EY494" s="1073"/>
      <c r="FG494" s="1073"/>
      <c r="FO494" s="1073"/>
    </row>
    <row r="495" spans="1:171">
      <c r="K495" s="1073"/>
      <c r="S495" s="1073"/>
      <c r="AA495" s="1073"/>
      <c r="AI495" s="1073"/>
      <c r="AQ495" s="1073"/>
      <c r="AY495" s="1073"/>
      <c r="BG495" s="1073"/>
      <c r="BO495" s="1073"/>
      <c r="BW495" s="1073"/>
      <c r="CE495" s="1073"/>
      <c r="CM495" s="1073"/>
      <c r="CU495" s="1073"/>
      <c r="DC495" s="1073"/>
      <c r="DK495" s="1073"/>
      <c r="DS495" s="1073"/>
      <c r="EA495" s="1073"/>
      <c r="EI495" s="1073"/>
      <c r="EQ495" s="1073"/>
      <c r="EY495" s="1073"/>
      <c r="FG495" s="1073"/>
      <c r="FO495" s="1073"/>
    </row>
    <row r="496" spans="1:171">
      <c r="A496" s="903"/>
      <c r="B496" s="903"/>
      <c r="C496" s="903"/>
      <c r="D496" s="903"/>
      <c r="E496" s="903"/>
      <c r="F496" s="903"/>
      <c r="G496" s="903"/>
      <c r="H496" s="903"/>
      <c r="I496" s="903"/>
      <c r="J496" s="903"/>
      <c r="K496" s="903"/>
      <c r="L496" s="903"/>
      <c r="M496" s="903"/>
      <c r="N496" s="903"/>
      <c r="O496" s="903"/>
      <c r="P496" s="903"/>
      <c r="Q496" s="903"/>
      <c r="R496" s="903"/>
      <c r="S496" s="903"/>
      <c r="T496" s="903"/>
      <c r="U496" s="903"/>
      <c r="V496" s="903"/>
      <c r="W496" s="903"/>
      <c r="X496" s="903"/>
      <c r="Y496" s="903"/>
      <c r="Z496" s="903"/>
      <c r="AA496" s="903"/>
      <c r="AB496" s="903"/>
      <c r="AC496" s="903"/>
      <c r="AD496" s="903"/>
      <c r="AE496" s="903"/>
      <c r="AF496" s="903"/>
      <c r="AG496" s="903"/>
      <c r="AH496" s="903"/>
      <c r="AI496" s="903"/>
      <c r="AJ496" s="903"/>
      <c r="AK496" s="903"/>
      <c r="AL496" s="903"/>
      <c r="AM496" s="903"/>
      <c r="AN496" s="903"/>
      <c r="AO496" s="903"/>
      <c r="AP496" s="903"/>
      <c r="AQ496" s="903"/>
      <c r="AR496" s="903"/>
      <c r="AS496" s="903"/>
      <c r="AT496" s="903"/>
      <c r="AU496" s="903"/>
      <c r="AV496" s="903"/>
      <c r="AW496" s="903"/>
      <c r="AX496" s="903"/>
      <c r="AY496" s="903"/>
      <c r="AZ496" s="903"/>
      <c r="BA496" s="903"/>
      <c r="BB496" s="903"/>
      <c r="BC496" s="903"/>
      <c r="BD496" s="903"/>
      <c r="BE496" s="903"/>
      <c r="BF496" s="903"/>
      <c r="BG496" s="903"/>
      <c r="BH496" s="903"/>
      <c r="BI496" s="903"/>
      <c r="BJ496" s="903"/>
      <c r="BK496" s="903"/>
      <c r="BL496" s="903"/>
      <c r="BM496" s="903"/>
      <c r="BN496" s="903"/>
      <c r="BO496" s="903"/>
      <c r="BP496" s="903"/>
      <c r="BQ496" s="903"/>
      <c r="BR496" s="903"/>
      <c r="BS496" s="903"/>
      <c r="BT496" s="903"/>
      <c r="BU496" s="903"/>
      <c r="BV496" s="903"/>
      <c r="BW496" s="903"/>
      <c r="BX496" s="903"/>
      <c r="BY496" s="903"/>
      <c r="BZ496" s="903"/>
      <c r="CA496" s="903"/>
      <c r="CB496" s="903"/>
      <c r="CC496" s="903"/>
      <c r="CD496" s="903"/>
      <c r="CE496" s="903"/>
      <c r="CF496" s="903"/>
      <c r="CG496" s="903"/>
      <c r="CH496" s="903"/>
      <c r="CI496" s="903"/>
      <c r="CJ496" s="903"/>
      <c r="CK496" s="903"/>
      <c r="CL496" s="903"/>
      <c r="CM496" s="903"/>
      <c r="CN496" s="903"/>
      <c r="CO496" s="903"/>
      <c r="CP496" s="903"/>
      <c r="CQ496" s="903"/>
      <c r="CR496" s="903"/>
      <c r="CS496" s="903"/>
      <c r="CT496" s="903"/>
      <c r="CU496" s="903"/>
      <c r="CV496" s="903"/>
      <c r="CW496" s="903"/>
      <c r="CX496" s="903"/>
      <c r="CY496" s="903"/>
      <c r="CZ496" s="903"/>
      <c r="DA496" s="903"/>
      <c r="DB496" s="903"/>
      <c r="DC496" s="903"/>
      <c r="DD496" s="903"/>
      <c r="DE496" s="903"/>
      <c r="DF496" s="903"/>
      <c r="DG496" s="903"/>
      <c r="DH496" s="903"/>
      <c r="DI496" s="903"/>
      <c r="DJ496" s="903"/>
      <c r="DK496" s="903"/>
      <c r="DL496" s="903"/>
      <c r="DM496" s="903"/>
      <c r="DN496" s="903"/>
      <c r="DO496" s="903"/>
      <c r="DP496" s="903"/>
      <c r="DQ496" s="903"/>
      <c r="DR496" s="903"/>
      <c r="DS496" s="903"/>
      <c r="DT496" s="903"/>
      <c r="DU496" s="903"/>
      <c r="DV496" s="903"/>
      <c r="DW496" s="903"/>
      <c r="DX496" s="903"/>
      <c r="DY496" s="903"/>
      <c r="DZ496" s="903"/>
      <c r="EA496" s="903"/>
      <c r="EB496" s="903"/>
      <c r="EC496" s="903"/>
      <c r="ED496" s="903"/>
      <c r="EE496" s="903"/>
      <c r="EF496" s="903"/>
      <c r="EG496" s="903"/>
      <c r="EH496" s="903"/>
      <c r="EI496" s="903"/>
      <c r="EJ496" s="903"/>
      <c r="EK496" s="903"/>
      <c r="EL496" s="903"/>
      <c r="EM496" s="903"/>
      <c r="EN496" s="903"/>
      <c r="EO496" s="903"/>
      <c r="EP496" s="903"/>
      <c r="EQ496" s="903"/>
      <c r="ER496" s="903"/>
      <c r="ES496" s="903"/>
      <c r="ET496" s="903"/>
      <c r="EU496" s="903"/>
      <c r="EV496" s="903"/>
      <c r="EW496" s="903"/>
      <c r="EX496" s="903"/>
      <c r="EY496" s="903"/>
      <c r="EZ496" s="903"/>
      <c r="FA496" s="903"/>
      <c r="FB496" s="903"/>
      <c r="FC496" s="903"/>
      <c r="FD496" s="903"/>
      <c r="FE496" s="903"/>
      <c r="FF496" s="903"/>
      <c r="FG496" s="903"/>
      <c r="FH496" s="903"/>
      <c r="FI496" s="903"/>
      <c r="FJ496" s="903"/>
      <c r="FK496" s="903"/>
      <c r="FL496" s="903"/>
      <c r="FM496" s="903"/>
      <c r="FN496" s="903"/>
      <c r="FO496" s="903"/>
    </row>
  </sheetData>
  <mergeCells count="25">
    <mergeCell ref="I12:I14"/>
    <mergeCell ref="H287:H289"/>
    <mergeCell ref="C5:E5"/>
    <mergeCell ref="C6:E6"/>
    <mergeCell ref="C7:E7"/>
    <mergeCell ref="I287:I289"/>
    <mergeCell ref="I171:I173"/>
    <mergeCell ref="I264:I266"/>
    <mergeCell ref="E287:F288"/>
    <mergeCell ref="G287:G289"/>
    <mergeCell ref="B466:E466"/>
    <mergeCell ref="G12:G14"/>
    <mergeCell ref="H12:H14"/>
    <mergeCell ref="B264:B266"/>
    <mergeCell ref="E264:F265"/>
    <mergeCell ref="G264:G266"/>
    <mergeCell ref="H264:H266"/>
    <mergeCell ref="B171:B173"/>
    <mergeCell ref="E171:F172"/>
    <mergeCell ref="B287:B289"/>
    <mergeCell ref="B465:E465"/>
    <mergeCell ref="B12:B14"/>
    <mergeCell ref="E12:F13"/>
    <mergeCell ref="G171:G173"/>
    <mergeCell ref="H171:H173"/>
  </mergeCells>
  <phoneticPr fontId="0" type="noConversion"/>
  <hyperlinks>
    <hyperlink ref="A5" location="TOC!A1" display="TOC" xr:uid="{00000000-0004-0000-1200-000000000000}"/>
    <hyperlink ref="A6" location="'Materiality -  Group'!A15" display="é" xr:uid="{00000000-0004-0000-1200-000001000000}"/>
  </hyperlinks>
  <printOptions horizontalCentered="1" headings="1"/>
  <pageMargins left="0.5" right="0.5" top="1" bottom="0.75" header="0.5" footer="0.5"/>
  <pageSetup scale="39" orientation="portrait" r:id="rId1"/>
  <headerFooter alignWithMargins="0">
    <oddFooter>&amp;LFY 2026-2028 ASC Filing&amp;CPages &amp;P of &amp;N&amp;R&amp;A
&amp;D</oddFooter>
  </headerFooter>
  <rowBreaks count="5" manualBreakCount="5">
    <brk id="81" max="16383" man="1"/>
    <brk id="169" max="16383" man="1"/>
    <brk id="261" max="16383" man="1"/>
    <brk id="356" max="16383" man="1"/>
    <brk id="460" max="16383" man="1"/>
  </rowBreaks>
  <colBreaks count="2" manualBreakCount="2">
    <brk id="10" max="1048575" man="1"/>
    <brk id="27" max="1048575" man="1"/>
  </colBreaks>
  <customProperties>
    <customPr name="xxe4aPID" r:id="rId2"/>
  </customPropertie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0"/>
  <dimension ref="A1:J51"/>
  <sheetViews>
    <sheetView tabSelected="1" zoomScale="110" zoomScaleNormal="110" zoomScalePageLayoutView="70" workbookViewId="0">
      <selection activeCell="F9" sqref="F9"/>
    </sheetView>
  </sheetViews>
  <sheetFormatPr defaultRowHeight="15.75"/>
  <cols>
    <col min="1" max="1" width="41.5" customWidth="1"/>
    <col min="2" max="8" width="14.625" customWidth="1"/>
    <col min="9" max="9" width="18.875" bestFit="1" customWidth="1"/>
    <col min="10" max="10" width="15.75" customWidth="1"/>
  </cols>
  <sheetData>
    <row r="1" spans="1:10">
      <c r="A1" s="1196"/>
    </row>
    <row r="2" spans="1:10">
      <c r="A2" s="1234" t="s">
        <v>699</v>
      </c>
    </row>
    <row r="3" spans="1:10" ht="16.5" thickBot="1">
      <c r="A3" s="1203"/>
    </row>
    <row r="4" spans="1:10" ht="19.5" thickTop="1">
      <c r="A4" s="2135" t="s">
        <v>54</v>
      </c>
      <c r="B4" s="2136"/>
      <c r="C4" s="2136"/>
      <c r="D4" s="2136"/>
      <c r="E4" s="2136"/>
      <c r="F4" s="2136"/>
      <c r="G4" s="2136"/>
      <c r="H4" s="2136"/>
      <c r="I4" s="2136"/>
      <c r="J4" s="2137"/>
    </row>
    <row r="5" spans="1:10">
      <c r="A5" s="2138" t="s">
        <v>56</v>
      </c>
      <c r="B5" s="847"/>
      <c r="C5" s="847"/>
      <c r="D5" s="847"/>
      <c r="E5" s="847"/>
      <c r="F5" s="847"/>
      <c r="G5" s="847"/>
      <c r="H5" s="847"/>
      <c r="I5" s="847"/>
      <c r="J5" s="2139"/>
    </row>
    <row r="6" spans="1:10" ht="16.5" thickBot="1">
      <c r="A6" s="2140" t="s">
        <v>723</v>
      </c>
      <c r="B6" s="2141"/>
      <c r="C6" s="2141"/>
      <c r="D6" s="2141"/>
      <c r="E6" s="2141"/>
      <c r="F6" s="2141"/>
      <c r="G6" s="2141"/>
      <c r="H6" s="2141"/>
      <c r="I6" s="2141"/>
      <c r="J6" s="2142"/>
    </row>
    <row r="7" spans="1:10">
      <c r="A7" s="684" t="str">
        <f>'Sch 1- Rate Base '!E5</f>
        <v>Utility Name</v>
      </c>
      <c r="B7" s="685"/>
      <c r="C7" s="686"/>
      <c r="D7" s="823"/>
      <c r="E7" s="824"/>
      <c r="F7" s="825"/>
      <c r="G7" s="826"/>
      <c r="H7" s="827"/>
      <c r="I7" s="827"/>
      <c r="J7" s="828"/>
    </row>
    <row r="8" spans="1:10" ht="16.5" thickBot="1">
      <c r="A8" s="1246">
        <f>'Sch 1- Rate Base '!E7</f>
        <v>45446</v>
      </c>
      <c r="B8" s="689">
        <f>'Sch 1- Rate Base '!E6</f>
        <v>2023</v>
      </c>
      <c r="C8" s="686"/>
      <c r="D8" s="823"/>
      <c r="E8" s="824"/>
      <c r="F8" s="825"/>
      <c r="G8" s="826"/>
      <c r="H8" s="827"/>
      <c r="I8" s="827"/>
      <c r="J8" s="828"/>
    </row>
    <row r="9" spans="1:10">
      <c r="A9" s="690"/>
      <c r="B9" s="691"/>
      <c r="C9" s="686"/>
      <c r="D9" s="823"/>
      <c r="E9" s="824"/>
      <c r="F9" s="825"/>
      <c r="G9" s="826"/>
      <c r="H9" s="827"/>
      <c r="I9" s="827"/>
      <c r="J9" s="828"/>
    </row>
    <row r="10" spans="1:10" ht="16.5" thickBot="1">
      <c r="A10" s="690" t="s">
        <v>282</v>
      </c>
      <c r="B10" s="692">
        <v>8.3099999999999993E-2</v>
      </c>
      <c r="C10" s="687"/>
      <c r="D10" s="830"/>
      <c r="E10" s="830"/>
      <c r="F10" s="827"/>
      <c r="G10" s="827"/>
      <c r="H10" s="827"/>
      <c r="I10" s="827"/>
      <c r="J10" s="829"/>
    </row>
    <row r="11" spans="1:10" ht="19.5" thickBot="1">
      <c r="A11" s="693"/>
      <c r="B11" s="696">
        <f t="shared" ref="B11:I11" si="0">IF(B14="Coal", 1,IF(B14="Hydro",2,IF(B14="Geo-Therm", 1, IF(B14="Natural Gas", 3,IF(B14="Wind",3,IF(B14= "Form 1 LF",4,IF(B14="Form 1 SF",5,"")))))))</f>
        <v>3</v>
      </c>
      <c r="C11" s="694">
        <f t="shared" si="0"/>
        <v>4</v>
      </c>
      <c r="D11" s="694">
        <f t="shared" si="0"/>
        <v>1</v>
      </c>
      <c r="E11" s="694">
        <f t="shared" si="0"/>
        <v>1</v>
      </c>
      <c r="F11" s="695">
        <f t="shared" si="0"/>
        <v>3</v>
      </c>
      <c r="G11" s="696">
        <f t="shared" si="0"/>
        <v>3</v>
      </c>
      <c r="H11" s="694">
        <f t="shared" si="0"/>
        <v>3</v>
      </c>
      <c r="I11" s="694">
        <f t="shared" si="0"/>
        <v>3</v>
      </c>
      <c r="J11" s="697"/>
    </row>
    <row r="12" spans="1:10" ht="19.5" thickBot="1">
      <c r="A12" s="698"/>
      <c r="B12" s="699"/>
      <c r="C12" s="699"/>
      <c r="D12" s="699"/>
      <c r="E12" s="699"/>
      <c r="F12" s="699"/>
      <c r="G12" s="699"/>
      <c r="H12" s="699"/>
      <c r="I12" s="699"/>
      <c r="J12" s="700" t="s">
        <v>286</v>
      </c>
    </row>
    <row r="13" spans="1:10" ht="57" thickBot="1">
      <c r="A13" s="701" t="s">
        <v>283</v>
      </c>
      <c r="B13" s="699"/>
      <c r="C13" s="2119" t="s">
        <v>2958</v>
      </c>
      <c r="D13" s="699" t="s">
        <v>2084</v>
      </c>
      <c r="E13" s="699" t="s">
        <v>2959</v>
      </c>
      <c r="F13" s="699" t="s">
        <v>2960</v>
      </c>
      <c r="G13" s="699" t="s">
        <v>2961</v>
      </c>
      <c r="H13" s="699" t="s">
        <v>2962</v>
      </c>
      <c r="I13" s="699" t="s">
        <v>2082</v>
      </c>
      <c r="J13" s="703"/>
    </row>
    <row r="14" spans="1:10" ht="16.5" thickBot="1">
      <c r="A14" s="704" t="s">
        <v>284</v>
      </c>
      <c r="B14" s="705" t="s">
        <v>2963</v>
      </c>
      <c r="C14" s="705" t="s">
        <v>2964</v>
      </c>
      <c r="D14" s="705" t="s">
        <v>2965</v>
      </c>
      <c r="E14" s="705" t="s">
        <v>2966</v>
      </c>
      <c r="F14" s="705" t="s">
        <v>2967</v>
      </c>
      <c r="G14" s="705" t="s">
        <v>2967</v>
      </c>
      <c r="H14" s="705" t="s">
        <v>2967</v>
      </c>
      <c r="I14" s="705" t="s">
        <v>2967</v>
      </c>
      <c r="J14" s="706"/>
    </row>
    <row r="15" spans="1:10">
      <c r="A15" s="707" t="s">
        <v>556</v>
      </c>
      <c r="B15" s="708">
        <f>Wind_Resources_Costs!AE22</f>
        <v>0</v>
      </c>
      <c r="C15" s="708">
        <f>'3-YEAR PP &amp; OSS Worksheet'!E12*1000</f>
        <v>19124000</v>
      </c>
      <c r="D15" s="708">
        <f>+'402'!F13</f>
        <v>308291000</v>
      </c>
      <c r="E15" s="709">
        <f>+'402'!D13</f>
        <v>1641846000</v>
      </c>
      <c r="F15" s="709">
        <f>+'402'!C13</f>
        <v>63905000</v>
      </c>
      <c r="G15" s="709">
        <f>+'402'!G13</f>
        <v>779307000</v>
      </c>
      <c r="H15" s="710">
        <f>+'402'!H13</f>
        <v>112000</v>
      </c>
      <c r="I15" s="710">
        <f>+'402'!E13</f>
        <v>2265353000</v>
      </c>
      <c r="J15" s="712">
        <f>SUM(B15:I15)</f>
        <v>5077938000</v>
      </c>
    </row>
    <row r="16" spans="1:10">
      <c r="A16" s="707"/>
      <c r="B16" s="708"/>
      <c r="C16" s="708"/>
      <c r="D16" s="708"/>
      <c r="E16" s="709"/>
      <c r="F16" s="709"/>
      <c r="G16" s="709"/>
      <c r="H16" s="710"/>
      <c r="I16" s="710"/>
      <c r="J16" s="712"/>
    </row>
    <row r="17" spans="1:10">
      <c r="A17" s="707" t="s">
        <v>557</v>
      </c>
      <c r="B17" s="713">
        <f>Wind_Resources_Costs!AE28</f>
        <v>0</v>
      </c>
      <c r="C17" s="713"/>
      <c r="D17" s="714">
        <f>+'402'!F18</f>
        <v>145991402</v>
      </c>
      <c r="E17" s="714">
        <f>+'402'!D18</f>
        <v>350343741</v>
      </c>
      <c r="F17" s="714">
        <f>+'402'!C18</f>
        <v>34233031</v>
      </c>
      <c r="G17" s="715">
        <f>+'402'!G18</f>
        <v>66029041</v>
      </c>
      <c r="H17" s="715">
        <f>+'402'!H18</f>
        <v>14481395</v>
      </c>
      <c r="I17" s="715">
        <f>+'402'!E18</f>
        <v>204960752</v>
      </c>
      <c r="J17" s="712">
        <f>SUM(B17:I17)</f>
        <v>816039362</v>
      </c>
    </row>
    <row r="18" spans="1:10">
      <c r="A18" s="707" t="s">
        <v>558</v>
      </c>
      <c r="B18" s="718">
        <f>Wind_Resources_Costs!AE31</f>
        <v>0</v>
      </c>
      <c r="C18" s="718"/>
      <c r="D18" s="2120"/>
      <c r="E18" s="2120"/>
      <c r="F18" s="2120"/>
      <c r="G18" s="2121"/>
      <c r="H18" s="2121"/>
      <c r="I18" s="2121">
        <v>69678243.349999994</v>
      </c>
      <c r="J18" s="1653">
        <f>SUM(B18:I18)</f>
        <v>69678243.349999994</v>
      </c>
    </row>
    <row r="19" spans="1:10">
      <c r="A19" s="707"/>
      <c r="B19" s="722"/>
      <c r="C19" s="723"/>
      <c r="D19" s="723"/>
      <c r="E19" s="722"/>
      <c r="F19" s="723"/>
      <c r="G19" s="723"/>
      <c r="H19" s="722"/>
      <c r="I19" s="722"/>
      <c r="J19" s="1613"/>
    </row>
    <row r="20" spans="1:10">
      <c r="A20" s="1240" t="s">
        <v>559</v>
      </c>
      <c r="B20" s="1241">
        <f t="shared" ref="B20:I20" si="1">B17+B18</f>
        <v>0</v>
      </c>
      <c r="C20" s="1241">
        <f t="shared" si="1"/>
        <v>0</v>
      </c>
      <c r="D20" s="1241">
        <f t="shared" si="1"/>
        <v>145991402</v>
      </c>
      <c r="E20" s="1241">
        <f t="shared" si="1"/>
        <v>350343741</v>
      </c>
      <c r="F20" s="1241">
        <f t="shared" si="1"/>
        <v>34233031</v>
      </c>
      <c r="G20" s="1241">
        <f t="shared" si="1"/>
        <v>66029041</v>
      </c>
      <c r="H20" s="1241">
        <f t="shared" si="1"/>
        <v>14481395</v>
      </c>
      <c r="I20" s="1241">
        <f t="shared" si="1"/>
        <v>274638995.35000002</v>
      </c>
      <c r="J20" s="1242">
        <f>SUM(B20:I20)</f>
        <v>885717605.35000002</v>
      </c>
    </row>
    <row r="21" spans="1:10">
      <c r="A21" s="707" t="s">
        <v>440</v>
      </c>
      <c r="B21" s="726"/>
      <c r="C21" s="726"/>
      <c r="D21" s="713"/>
      <c r="E21" s="714"/>
      <c r="F21" s="714"/>
      <c r="G21" s="714"/>
      <c r="H21" s="1652"/>
      <c r="I21" s="1652"/>
      <c r="J21" s="712">
        <f>SUM(B21:I21)</f>
        <v>0</v>
      </c>
    </row>
    <row r="22" spans="1:10">
      <c r="A22" s="831" t="s">
        <v>560</v>
      </c>
      <c r="B22" s="832" t="s">
        <v>241</v>
      </c>
      <c r="C22" s="732"/>
      <c r="D22" s="732"/>
      <c r="E22" s="732"/>
      <c r="F22" s="732"/>
      <c r="G22" s="732"/>
      <c r="H22" s="1654"/>
      <c r="I22" s="1654"/>
      <c r="J22" s="846">
        <f>'Sch 1- Rate Base '!G105*Ratios!R50</f>
        <v>12772256.003511883</v>
      </c>
    </row>
    <row r="23" spans="1:10">
      <c r="A23" s="831" t="s">
        <v>406</v>
      </c>
      <c r="B23" s="832" t="s">
        <v>408</v>
      </c>
      <c r="C23" s="732"/>
      <c r="D23" s="732"/>
      <c r="E23" s="732"/>
      <c r="F23" s="732"/>
      <c r="G23" s="732"/>
      <c r="H23" s="1654"/>
      <c r="I23" s="1654"/>
      <c r="J23" s="846">
        <f>Ratios!R37-'Sch 1- Rate Base '!G63*Ratios!R38</f>
        <v>7053403.2880003843</v>
      </c>
    </row>
    <row r="24" spans="1:10">
      <c r="A24" s="1240" t="s">
        <v>561</v>
      </c>
      <c r="B24" s="1241">
        <f t="shared" ref="B24:J24" si="2">SUM(B20:B23)</f>
        <v>0</v>
      </c>
      <c r="C24" s="1241">
        <f>SUM(C20:C23)</f>
        <v>0</v>
      </c>
      <c r="D24" s="1241">
        <f>SUM(D20:D23)</f>
        <v>145991402</v>
      </c>
      <c r="E24" s="1241">
        <f t="shared" si="2"/>
        <v>350343741</v>
      </c>
      <c r="F24" s="1241">
        <f t="shared" si="2"/>
        <v>34233031</v>
      </c>
      <c r="G24" s="1241">
        <f t="shared" si="2"/>
        <v>66029041</v>
      </c>
      <c r="H24" s="1241">
        <f t="shared" si="2"/>
        <v>14481395</v>
      </c>
      <c r="I24" s="1241">
        <f t="shared" si="2"/>
        <v>274638995.35000002</v>
      </c>
      <c r="J24" s="1242">
        <f t="shared" si="2"/>
        <v>905543264.64151227</v>
      </c>
    </row>
    <row r="25" spans="1:10">
      <c r="A25" s="1243" t="s">
        <v>277</v>
      </c>
      <c r="B25" s="1244">
        <f t="shared" ref="B25:I25" si="3">$B$10</f>
        <v>8.3099999999999993E-2</v>
      </c>
      <c r="C25" s="1244">
        <f t="shared" si="3"/>
        <v>8.3099999999999993E-2</v>
      </c>
      <c r="D25" s="1244">
        <f t="shared" si="3"/>
        <v>8.3099999999999993E-2</v>
      </c>
      <c r="E25" s="1244">
        <f t="shared" si="3"/>
        <v>8.3099999999999993E-2</v>
      </c>
      <c r="F25" s="1244">
        <f t="shared" si="3"/>
        <v>8.3099999999999993E-2</v>
      </c>
      <c r="G25" s="1244">
        <f t="shared" si="3"/>
        <v>8.3099999999999993E-2</v>
      </c>
      <c r="H25" s="1244">
        <f t="shared" si="3"/>
        <v>8.3099999999999993E-2</v>
      </c>
      <c r="I25" s="1244">
        <f t="shared" si="3"/>
        <v>8.3099999999999993E-2</v>
      </c>
      <c r="J25" s="1245">
        <f>$B$10</f>
        <v>8.3099999999999993E-2</v>
      </c>
    </row>
    <row r="26" spans="1:10">
      <c r="A26" s="1240" t="s">
        <v>562</v>
      </c>
      <c r="B26" s="1241">
        <f t="shared" ref="B26:J26" si="4">B24*B25</f>
        <v>0</v>
      </c>
      <c r="C26" s="1241">
        <f>C24*C25</f>
        <v>0</v>
      </c>
      <c r="D26" s="1241">
        <f>D24*D25</f>
        <v>12131885.506199999</v>
      </c>
      <c r="E26" s="1241">
        <f t="shared" si="4"/>
        <v>29113564.877099998</v>
      </c>
      <c r="F26" s="1241">
        <f t="shared" si="4"/>
        <v>2844764.8761</v>
      </c>
      <c r="G26" s="1241">
        <f t="shared" si="4"/>
        <v>5487013.3070999999</v>
      </c>
      <c r="H26" s="1241">
        <f t="shared" si="4"/>
        <v>1203403.9245</v>
      </c>
      <c r="I26" s="1241">
        <f t="shared" si="4"/>
        <v>22822500.513585001</v>
      </c>
      <c r="J26" s="1242">
        <f t="shared" si="4"/>
        <v>75250645.291709661</v>
      </c>
    </row>
    <row r="27" spans="1:10">
      <c r="A27" s="707"/>
      <c r="B27" s="713"/>
      <c r="C27" s="713"/>
      <c r="D27" s="713"/>
      <c r="E27" s="714"/>
      <c r="F27" s="714"/>
      <c r="G27" s="714"/>
      <c r="H27" s="713"/>
      <c r="I27" s="713"/>
      <c r="J27" s="712"/>
    </row>
    <row r="28" spans="1:10">
      <c r="A28" s="728" t="s">
        <v>407</v>
      </c>
      <c r="B28" s="713"/>
      <c r="C28" s="713"/>
      <c r="D28" s="713"/>
      <c r="E28" s="714"/>
      <c r="F28" s="714"/>
      <c r="G28" s="714"/>
      <c r="H28" s="713"/>
      <c r="I28" s="713"/>
      <c r="J28" s="712"/>
    </row>
    <row r="29" spans="1:10">
      <c r="A29" s="728" t="s">
        <v>409</v>
      </c>
      <c r="B29" s="713">
        <f>Wind_Resources_Costs!AE32</f>
        <v>0</v>
      </c>
      <c r="C29" s="713"/>
      <c r="D29" s="713"/>
      <c r="E29" s="714"/>
      <c r="F29" s="714"/>
      <c r="G29" s="714"/>
      <c r="H29" s="715"/>
      <c r="I29" s="715"/>
      <c r="J29" s="712">
        <f>SUM(B29:I29)</f>
        <v>0</v>
      </c>
    </row>
    <row r="30" spans="1:10">
      <c r="A30" s="831" t="s">
        <v>92</v>
      </c>
      <c r="B30" s="832" t="s">
        <v>410</v>
      </c>
      <c r="C30" s="732"/>
      <c r="D30" s="732"/>
      <c r="E30" s="732"/>
      <c r="F30" s="1627"/>
      <c r="G30" s="1627"/>
      <c r="H30" s="1627"/>
      <c r="I30" s="1627"/>
      <c r="J30" s="1655">
        <f>'Sch 3 - Expenses'!G91*Ratios!R38</f>
        <v>400163.79629769939</v>
      </c>
    </row>
    <row r="31" spans="1:10">
      <c r="A31" s="728" t="s">
        <v>411</v>
      </c>
      <c r="B31" s="713"/>
      <c r="C31" s="713"/>
      <c r="D31" s="713"/>
      <c r="E31" s="714"/>
      <c r="F31" s="714"/>
      <c r="G31" s="714"/>
      <c r="H31" s="715"/>
      <c r="I31" s="715"/>
      <c r="J31" s="712">
        <f>SUM(J29:J30)</f>
        <v>400163.79629769939</v>
      </c>
    </row>
    <row r="32" spans="1:10">
      <c r="A32" s="728"/>
      <c r="B32" s="713"/>
      <c r="C32" s="713"/>
      <c r="D32" s="713"/>
      <c r="E32" s="714"/>
      <c r="F32" s="714"/>
      <c r="G32" s="714"/>
      <c r="H32" s="715"/>
      <c r="I32" s="715"/>
      <c r="J32" s="712"/>
    </row>
    <row r="33" spans="1:10">
      <c r="A33" s="728" t="s">
        <v>232</v>
      </c>
      <c r="B33" s="713">
        <f>SUM(Wind_Resources_Costs!AE34:AE37)</f>
        <v>0</v>
      </c>
      <c r="C33" s="713"/>
      <c r="D33" s="714">
        <f>+'402'!F41</f>
        <v>2109629</v>
      </c>
      <c r="E33" s="2122">
        <f>+'402'!D41</f>
        <v>9409687</v>
      </c>
      <c r="F33" s="2122">
        <f>+'402'!C41</f>
        <v>302273</v>
      </c>
      <c r="G33" s="715">
        <f>+'402'!G41</f>
        <v>279621</v>
      </c>
      <c r="H33" s="715">
        <f>+'402'!H41</f>
        <v>56943</v>
      </c>
      <c r="I33" s="715">
        <v>2132077</v>
      </c>
      <c r="J33" s="712">
        <f>SUM(B33:I33)</f>
        <v>14290230</v>
      </c>
    </row>
    <row r="34" spans="1:10">
      <c r="A34" s="728" t="s">
        <v>233</v>
      </c>
      <c r="B34" s="713">
        <f>SUM(Wind_Resources_Costs!AE38:AE40)</f>
        <v>0</v>
      </c>
      <c r="C34" s="713"/>
      <c r="D34" s="730">
        <f>+'402'!F40</f>
        <v>2850337</v>
      </c>
      <c r="E34" s="2123">
        <f>+'402'!D40</f>
        <v>7679310</v>
      </c>
      <c r="F34" s="2122">
        <f>+'402'!C40</f>
        <v>737876</v>
      </c>
      <c r="G34" s="715">
        <f>+'402'!G40</f>
        <v>325657</v>
      </c>
      <c r="H34" s="715">
        <f>+'402'!H40</f>
        <v>76906</v>
      </c>
      <c r="I34" s="715">
        <f>+'402'!E40</f>
        <v>2285568</v>
      </c>
      <c r="J34" s="712">
        <f>SUM(B34:I34)</f>
        <v>13955654</v>
      </c>
    </row>
    <row r="35" spans="1:10">
      <c r="A35" s="707" t="s">
        <v>563</v>
      </c>
      <c r="B35" s="713"/>
      <c r="C35" s="713"/>
      <c r="D35" s="731">
        <f>+'402'!F21</f>
        <v>11997451</v>
      </c>
      <c r="E35" s="731">
        <f>+'402'!D21</f>
        <v>34049395</v>
      </c>
      <c r="F35" s="2122">
        <f>+'402'!C21</f>
        <v>1982207</v>
      </c>
      <c r="G35" s="715">
        <f>+'402'!G21</f>
        <v>28638414</v>
      </c>
      <c r="H35" s="715">
        <f>+'402'!H21</f>
        <v>-4255</v>
      </c>
      <c r="I35" s="715">
        <f>+'402'!E21</f>
        <v>46437759</v>
      </c>
      <c r="J35" s="712">
        <f>SUM(B35:I35)</f>
        <v>123100971</v>
      </c>
    </row>
    <row r="36" spans="1:10">
      <c r="A36" s="831" t="s">
        <v>564</v>
      </c>
      <c r="B36" s="732" t="s">
        <v>234</v>
      </c>
      <c r="C36" s="732"/>
      <c r="D36" s="833"/>
      <c r="E36" s="833"/>
      <c r="F36" s="833"/>
      <c r="G36" s="833"/>
      <c r="H36" s="732"/>
      <c r="I36" s="732"/>
      <c r="J36" s="846">
        <f>('Sch 3 - Expenses'!G59+'Sch 3 - Expenses'!G60-'Sch 3 - Expenses'!G61+'Sch 3 - Expenses'!G62+'Sch 3 - Expenses'!G64+'Sch 3 - Expenses'!G65)*Ratios!R22+('Sch 3 - Expenses'!G63-'Sch 3 - Expenses'!G68)*Ratios!R59+'Sch 3 - Expenses'!G74*Ratios!R74</f>
        <v>17472569.317731131</v>
      </c>
    </row>
    <row r="37" spans="1:10">
      <c r="A37" s="707" t="s">
        <v>235</v>
      </c>
      <c r="B37" s="713"/>
      <c r="C37" s="713">
        <f>'3-YEAR PP &amp; OSS Worksheet'!D12</f>
        <v>1210852</v>
      </c>
      <c r="D37" s="714"/>
      <c r="E37" s="714"/>
      <c r="F37" s="714"/>
      <c r="G37" s="714"/>
      <c r="H37" s="714"/>
      <c r="I37" s="714"/>
      <c r="J37" s="712">
        <f>SUM(B37:I37)</f>
        <v>1210852</v>
      </c>
    </row>
    <row r="38" spans="1:10">
      <c r="A38" s="831" t="s">
        <v>236</v>
      </c>
      <c r="B38" s="732" t="s">
        <v>238</v>
      </c>
      <c r="C38" s="732"/>
      <c r="D38" s="833"/>
      <c r="E38" s="833"/>
      <c r="F38" s="833"/>
      <c r="G38" s="833"/>
      <c r="H38" s="734"/>
      <c r="I38" s="735"/>
      <c r="J38" s="846">
        <f>'Sch 3A - Taxes'!F17*Ratios!R22</f>
        <v>2808546.3907575952</v>
      </c>
    </row>
    <row r="39" spans="1:10">
      <c r="A39" s="831" t="s">
        <v>237</v>
      </c>
      <c r="B39" s="732" t="s">
        <v>239</v>
      </c>
      <c r="C39" s="732"/>
      <c r="D39" s="833"/>
      <c r="E39" s="833"/>
      <c r="F39" s="833"/>
      <c r="G39" s="833"/>
      <c r="H39" s="734"/>
      <c r="I39" s="735"/>
      <c r="J39" s="846">
        <f>'Sch 3A - Taxes'!F23*Ratios!R22</f>
        <v>18048.290407458091</v>
      </c>
    </row>
    <row r="40" spans="1:10">
      <c r="A40" s="831" t="s">
        <v>271</v>
      </c>
      <c r="B40" s="732" t="s">
        <v>240</v>
      </c>
      <c r="C40" s="732"/>
      <c r="D40" s="833"/>
      <c r="E40" s="833"/>
      <c r="F40" s="833"/>
      <c r="G40" s="833"/>
      <c r="H40" s="734"/>
      <c r="I40" s="735"/>
      <c r="J40" s="846">
        <f>'Sch 3A - Taxes'!F22*Ratios!R59</f>
        <v>6091798.8507824866</v>
      </c>
    </row>
    <row r="41" spans="1:10">
      <c r="A41" s="738"/>
      <c r="B41" s="739"/>
      <c r="C41" s="739"/>
      <c r="D41" s="739"/>
      <c r="E41" s="739"/>
      <c r="F41" s="740"/>
      <c r="G41" s="740"/>
      <c r="H41" s="740"/>
      <c r="I41" s="741"/>
      <c r="J41" s="743"/>
    </row>
    <row r="42" spans="1:10">
      <c r="A42" s="707" t="s">
        <v>565</v>
      </c>
      <c r="B42" s="744"/>
      <c r="C42" s="744"/>
      <c r="D42" s="744"/>
      <c r="E42" s="744"/>
      <c r="F42" s="744"/>
      <c r="G42" s="744"/>
      <c r="H42" s="744"/>
      <c r="I42" s="744"/>
      <c r="J42" s="712">
        <f>SUM(J26,J31,J33:J40)</f>
        <v>254599478.93768603</v>
      </c>
    </row>
    <row r="43" spans="1:10" ht="16.5" thickBot="1">
      <c r="A43" s="746" t="s">
        <v>566</v>
      </c>
      <c r="B43" s="747"/>
      <c r="C43" s="747"/>
      <c r="D43" s="747"/>
      <c r="E43" s="747"/>
      <c r="F43" s="747"/>
      <c r="G43" s="747"/>
      <c r="H43" s="747"/>
      <c r="I43" s="747"/>
      <c r="J43" s="749">
        <f>IF(J15&gt;0,J42/J15*1000,0)</f>
        <v>50.138359101211165</v>
      </c>
    </row>
    <row r="44" spans="1:10">
      <c r="A44" s="750"/>
      <c r="B44" s="751"/>
      <c r="C44" s="751"/>
      <c r="D44" s="751"/>
      <c r="E44" s="751"/>
      <c r="F44" s="688"/>
      <c r="G44" s="688"/>
      <c r="H44" s="752"/>
      <c r="I44" s="688"/>
      <c r="J44" s="753"/>
    </row>
    <row r="45" spans="1:10">
      <c r="A45" s="754" t="s">
        <v>816</v>
      </c>
      <c r="B45" s="751"/>
      <c r="C45" s="751"/>
      <c r="D45" s="751"/>
      <c r="E45" s="755"/>
      <c r="F45" s="688"/>
      <c r="G45" s="688"/>
      <c r="H45" s="688"/>
      <c r="I45" s="688"/>
      <c r="J45" s="756">
        <f>IF(J15&gt;0,J42/J15*1000,0)</f>
        <v>50.138359101211165</v>
      </c>
    </row>
    <row r="46" spans="1:10">
      <c r="A46" s="754" t="s">
        <v>567</v>
      </c>
      <c r="B46" s="751"/>
      <c r="C46" s="751"/>
      <c r="D46" s="751"/>
      <c r="E46" s="755"/>
      <c r="F46" s="688"/>
      <c r="G46" s="688"/>
      <c r="H46" s="688"/>
      <c r="I46" s="688"/>
      <c r="J46" s="756">
        <f>IF('Sch 4 - Average System Cost'!D39=0,0,'Sch 4 - Average System Cost'!D33/('Sch 4 - Average System Cost'!D39+'Sch 4 - Average System Cost'!D42))</f>
        <v>0</v>
      </c>
    </row>
    <row r="47" spans="1:10" ht="20.25">
      <c r="A47" s="757" t="s">
        <v>871</v>
      </c>
      <c r="B47" s="758"/>
      <c r="C47" s="758"/>
      <c r="D47" s="758"/>
      <c r="E47" s="759"/>
      <c r="F47" s="760"/>
      <c r="G47" s="760"/>
      <c r="H47" s="760"/>
      <c r="I47" s="760"/>
      <c r="J47" s="761">
        <f>SUM(J45:J46)</f>
        <v>50.138359101211165</v>
      </c>
    </row>
    <row r="48" spans="1:10" ht="15.75" hidden="1" customHeight="1">
      <c r="A48" s="762"/>
      <c r="B48" s="763"/>
      <c r="C48" s="763"/>
      <c r="D48" s="763"/>
      <c r="E48" s="764"/>
      <c r="F48" s="688"/>
      <c r="G48" s="688"/>
      <c r="H48" s="688"/>
      <c r="I48" s="688"/>
      <c r="J48" s="765"/>
    </row>
    <row r="49" spans="1:10" ht="18.75" hidden="1" customHeight="1">
      <c r="A49" s="766"/>
      <c r="B49" s="688"/>
      <c r="C49" s="688"/>
      <c r="D49" s="688"/>
      <c r="E49" s="767"/>
      <c r="F49" s="688"/>
      <c r="G49" s="688"/>
      <c r="H49" s="688"/>
      <c r="I49" s="688"/>
      <c r="J49" s="768"/>
    </row>
    <row r="50" spans="1:10" ht="19.5" thickBot="1">
      <c r="A50" s="769"/>
      <c r="B50" s="770"/>
      <c r="C50" s="770"/>
      <c r="D50" s="770"/>
      <c r="E50" s="770"/>
      <c r="F50" s="770"/>
      <c r="G50" s="770"/>
      <c r="H50" s="770"/>
      <c r="I50" s="770"/>
      <c r="J50" s="771"/>
    </row>
    <row r="51" spans="1:10" ht="16.5" thickTop="1"/>
  </sheetData>
  <phoneticPr fontId="0" type="noConversion"/>
  <conditionalFormatting sqref="D35:E35">
    <cfRule type="expression" dxfId="2" priority="1" stopIfTrue="1">
      <formula>MOD(ROW(),2)=1</formula>
    </cfRule>
  </conditionalFormatting>
  <dataValidations disablePrompts="1" count="1">
    <dataValidation type="list" allowBlank="1" showInputMessage="1" showErrorMessage="1" sqref="B14:I14" xr:uid="{2B56EBFE-6EF2-45ED-883D-E127BEB1E807}">
      <formula1>"Coal, Natural Gas, Geo-Therm, Hydro, Form 1 LF,Form 1 SF,Wind"</formula1>
    </dataValidation>
  </dataValidations>
  <hyperlinks>
    <hyperlink ref="A2" location="TOC!A1" display="TOC" xr:uid="{00000000-0004-0000-14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xxe4aPID" r:id="rId2"/>
  </customProperties>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B2:AE43"/>
  <sheetViews>
    <sheetView topLeftCell="A6" zoomScaleNormal="100" workbookViewId="0">
      <selection activeCell="C29" sqref="C29"/>
    </sheetView>
  </sheetViews>
  <sheetFormatPr defaultRowHeight="15.75"/>
  <cols>
    <col min="2" max="2" width="50.125" bestFit="1" customWidth="1"/>
    <col min="3" max="3" width="16.875" bestFit="1" customWidth="1"/>
  </cols>
  <sheetData>
    <row r="2" spans="2:31">
      <c r="B2" s="1236" t="s">
        <v>699</v>
      </c>
    </row>
    <row r="3" spans="2:31" ht="16.5" thickBot="1"/>
    <row r="4" spans="2:31" ht="19.5" thickTop="1">
      <c r="B4" s="2282" t="s">
        <v>54</v>
      </c>
      <c r="C4" s="2283"/>
      <c r="D4" s="2283"/>
      <c r="E4" s="2283"/>
      <c r="F4" s="2283"/>
      <c r="G4" s="2283"/>
      <c r="H4" s="2283"/>
      <c r="I4" s="2283"/>
      <c r="J4" s="2283"/>
      <c r="K4" s="2283"/>
      <c r="L4" s="2283"/>
      <c r="M4" s="2283"/>
      <c r="N4" s="2283"/>
      <c r="O4" s="2283"/>
      <c r="P4" s="2283"/>
      <c r="Q4" s="2283"/>
      <c r="R4" s="2283"/>
      <c r="S4" s="2283"/>
      <c r="T4" s="2283"/>
      <c r="U4" s="2283"/>
      <c r="V4" s="2283"/>
      <c r="W4" s="2283"/>
      <c r="X4" s="2283"/>
      <c r="Y4" s="2283"/>
      <c r="Z4" s="2283"/>
      <c r="AA4" s="2283"/>
      <c r="AB4" s="2283"/>
      <c r="AC4" s="2283"/>
      <c r="AD4" s="2283"/>
      <c r="AE4" s="2284"/>
    </row>
    <row r="5" spans="2:31">
      <c r="B5" s="2294" t="s">
        <v>56</v>
      </c>
      <c r="C5" s="2295"/>
      <c r="D5" s="2295"/>
      <c r="E5" s="2295"/>
      <c r="F5" s="2295"/>
      <c r="G5" s="2295"/>
      <c r="H5" s="2295"/>
      <c r="I5" s="2295"/>
      <c r="J5" s="2295"/>
      <c r="K5" s="2295"/>
      <c r="L5" s="2295"/>
      <c r="M5" s="2295"/>
      <c r="N5" s="2295"/>
      <c r="O5" s="2295"/>
      <c r="P5" s="2295"/>
      <c r="Q5" s="2295"/>
      <c r="R5" s="2295"/>
      <c r="S5" s="2295"/>
      <c r="T5" s="2295"/>
      <c r="U5" s="2295"/>
      <c r="V5" s="2295"/>
      <c r="W5" s="2295"/>
      <c r="X5" s="2295"/>
      <c r="Y5" s="2295"/>
      <c r="Z5" s="2295"/>
      <c r="AA5" s="2295"/>
      <c r="AB5" s="2295"/>
      <c r="AC5" s="2295"/>
      <c r="AD5" s="2295"/>
      <c r="AE5" s="2296"/>
    </row>
    <row r="6" spans="2:31">
      <c r="B6" s="2291" t="s">
        <v>723</v>
      </c>
      <c r="C6" s="2292"/>
      <c r="D6" s="2292"/>
      <c r="E6" s="2292"/>
      <c r="F6" s="2292"/>
      <c r="G6" s="2292"/>
      <c r="H6" s="2292"/>
      <c r="I6" s="2292"/>
      <c r="J6" s="2292"/>
      <c r="K6" s="2292"/>
      <c r="L6" s="2292"/>
      <c r="M6" s="2292"/>
      <c r="N6" s="2292"/>
      <c r="O6" s="2292"/>
      <c r="P6" s="2292"/>
      <c r="Q6" s="2292"/>
      <c r="R6" s="2292"/>
      <c r="S6" s="2292"/>
      <c r="T6" s="2292"/>
      <c r="U6" s="2292"/>
      <c r="V6" s="2292"/>
      <c r="W6" s="2292"/>
      <c r="X6" s="2292"/>
      <c r="Y6" s="2292"/>
      <c r="Z6" s="2292"/>
      <c r="AA6" s="2292"/>
      <c r="AB6" s="2292"/>
      <c r="AC6" s="2292"/>
      <c r="AD6" s="2292"/>
      <c r="AE6" s="2293"/>
    </row>
    <row r="7" spans="2:31" ht="16.5" thickBot="1">
      <c r="B7" s="2496" t="s">
        <v>769</v>
      </c>
      <c r="C7" s="2497"/>
      <c r="D7" s="2497"/>
      <c r="E7" s="2497"/>
      <c r="F7" s="2497"/>
      <c r="G7" s="2497"/>
      <c r="H7" s="2497"/>
      <c r="I7" s="2497"/>
      <c r="J7" s="2497"/>
      <c r="K7" s="2497"/>
      <c r="L7" s="2497"/>
      <c r="M7" s="2497"/>
      <c r="N7" s="2497"/>
      <c r="O7" s="2497"/>
      <c r="P7" s="2497"/>
      <c r="Q7" s="2497"/>
      <c r="R7" s="2497"/>
      <c r="S7" s="2497"/>
      <c r="T7" s="2497"/>
      <c r="U7" s="2497"/>
      <c r="V7" s="2497"/>
      <c r="W7" s="2497"/>
      <c r="X7" s="2497"/>
      <c r="Y7" s="2497"/>
      <c r="Z7" s="2497"/>
      <c r="AA7" s="2497"/>
      <c r="AB7" s="2497"/>
      <c r="AC7" s="2497"/>
      <c r="AD7" s="2497"/>
      <c r="AE7" s="2498"/>
    </row>
    <row r="8" spans="2:31" ht="21" thickBot="1">
      <c r="B8" s="1593" t="s">
        <v>720</v>
      </c>
      <c r="C8" s="685"/>
      <c r="D8" s="1594"/>
      <c r="E8" s="1594"/>
      <c r="F8" s="1594"/>
      <c r="G8" s="1594"/>
      <c r="H8" s="1594"/>
      <c r="I8" s="1594"/>
      <c r="J8" s="1594"/>
      <c r="K8" s="1594"/>
      <c r="L8" s="1594"/>
      <c r="M8" s="1594"/>
      <c r="N8" s="1594"/>
      <c r="O8" s="1594"/>
      <c r="P8" s="1594"/>
      <c r="Q8" s="1594"/>
      <c r="R8" s="1594"/>
      <c r="S8" s="1594"/>
      <c r="T8" s="1594"/>
      <c r="U8" s="1594"/>
      <c r="V8" s="1594"/>
      <c r="W8" s="1594"/>
      <c r="X8" s="686"/>
      <c r="Y8" s="1595"/>
      <c r="Z8" s="1595"/>
      <c r="AA8" s="1595"/>
      <c r="AB8" s="823"/>
      <c r="AC8" s="824"/>
      <c r="AD8" s="825"/>
      <c r="AE8" s="828"/>
    </row>
    <row r="9" spans="2:31" ht="16.5" thickBot="1">
      <c r="B9" s="684" t="str">
        <f>'Sch 1- Rate Base '!E5</f>
        <v>Utility Name</v>
      </c>
      <c r="C9" s="689">
        <f>'Sch 1- Rate Base '!$E$6</f>
        <v>2023</v>
      </c>
      <c r="D9" s="1596"/>
      <c r="E9" s="1596"/>
      <c r="F9" s="1596"/>
      <c r="G9" s="1596"/>
      <c r="H9" s="1596"/>
      <c r="I9" s="1596"/>
      <c r="J9" s="1596"/>
      <c r="K9" s="1596"/>
      <c r="L9" s="1596"/>
      <c r="M9" s="1596"/>
      <c r="N9" s="1596"/>
      <c r="O9" s="1596"/>
      <c r="P9" s="1596"/>
      <c r="Q9" s="1596"/>
      <c r="R9" s="1596"/>
      <c r="S9" s="1596"/>
      <c r="T9" s="1596"/>
      <c r="U9" s="1596"/>
      <c r="V9" s="1596"/>
      <c r="W9" s="1596"/>
      <c r="X9" s="686"/>
      <c r="Y9" s="1595"/>
      <c r="Z9" s="1595"/>
      <c r="AA9" s="1595"/>
      <c r="AB9" s="823"/>
      <c r="AC9" s="824"/>
      <c r="AD9" s="825"/>
      <c r="AE9" s="828"/>
    </row>
    <row r="10" spans="2:31" ht="16.5" thickBot="1">
      <c r="B10" s="690"/>
      <c r="C10" s="691"/>
      <c r="D10" s="1597"/>
      <c r="E10" s="1597"/>
      <c r="F10" s="1597"/>
      <c r="G10" s="1597"/>
      <c r="H10" s="1597"/>
      <c r="I10" s="1597"/>
      <c r="J10" s="1597"/>
      <c r="K10" s="1597"/>
      <c r="L10" s="1597"/>
      <c r="M10" s="1597"/>
      <c r="N10" s="1597"/>
      <c r="O10" s="1597"/>
      <c r="P10" s="1597"/>
      <c r="Q10" s="1597"/>
      <c r="R10" s="1597"/>
      <c r="S10" s="1597"/>
      <c r="T10" s="1597"/>
      <c r="U10" s="1597"/>
      <c r="V10" s="1597"/>
      <c r="W10" s="1597"/>
      <c r="X10" s="686"/>
      <c r="Y10" s="1595"/>
      <c r="Z10" s="1595"/>
      <c r="AA10" s="1595"/>
      <c r="AB10" s="823"/>
      <c r="AC10" s="824"/>
      <c r="AD10" s="825"/>
      <c r="AE10" s="828"/>
    </row>
    <row r="11" spans="2:31" ht="20.25" thickTop="1" thickBot="1">
      <c r="B11" s="1598" t="s">
        <v>770</v>
      </c>
      <c r="C11" s="1599"/>
      <c r="D11" s="1599"/>
      <c r="E11" s="1599"/>
      <c r="F11" s="1599"/>
      <c r="G11" s="1599"/>
      <c r="H11" s="1599"/>
      <c r="I11" s="1599"/>
      <c r="J11" s="1599"/>
      <c r="K11" s="1599"/>
      <c r="L11" s="1599"/>
      <c r="M11" s="1599"/>
      <c r="N11" s="1599"/>
      <c r="O11" s="1599"/>
      <c r="P11" s="1599"/>
      <c r="Q11" s="1599"/>
      <c r="R11" s="1599"/>
      <c r="S11" s="1599"/>
      <c r="T11" s="1599"/>
      <c r="U11" s="1599"/>
      <c r="V11" s="1599"/>
      <c r="W11" s="1599"/>
      <c r="X11" s="1599"/>
      <c r="Y11" s="1599"/>
      <c r="Z11" s="1599"/>
      <c r="AA11" s="1599"/>
      <c r="AB11" s="1599"/>
      <c r="AC11" s="1599"/>
      <c r="AD11" s="1599"/>
      <c r="AE11" s="1600" t="s">
        <v>104</v>
      </c>
    </row>
    <row r="12" spans="2:31" ht="19.5" thickTop="1">
      <c r="B12" s="1601" t="s">
        <v>771</v>
      </c>
      <c r="C12" s="1602"/>
      <c r="D12" s="1602"/>
      <c r="E12" s="1602"/>
      <c r="F12" s="1602"/>
      <c r="G12" s="1602"/>
      <c r="H12" s="1602"/>
      <c r="I12" s="1602"/>
      <c r="J12" s="1602"/>
      <c r="K12" s="1602"/>
      <c r="L12" s="1602"/>
      <c r="M12" s="1602"/>
      <c r="N12" s="1602"/>
      <c r="O12" s="1602"/>
      <c r="P12" s="1602"/>
      <c r="Q12" s="1602"/>
      <c r="R12" s="1602"/>
      <c r="S12" s="1602"/>
      <c r="T12" s="1602"/>
      <c r="U12" s="1602"/>
      <c r="V12" s="1602"/>
      <c r="W12" s="1602"/>
      <c r="X12" s="1602"/>
      <c r="Y12" s="1602"/>
      <c r="Z12" s="1602"/>
      <c r="AA12" s="1602"/>
      <c r="AB12" s="1602"/>
      <c r="AC12" s="1602"/>
      <c r="AD12" s="1602"/>
      <c r="AE12" s="1603"/>
    </row>
    <row r="13" spans="2:31">
      <c r="B13" s="707" t="s">
        <v>772</v>
      </c>
      <c r="C13" s="1604"/>
      <c r="D13" s="1605"/>
      <c r="E13" s="1605"/>
      <c r="F13" s="1605"/>
      <c r="G13" s="1605"/>
      <c r="H13" s="1605"/>
      <c r="I13" s="1605"/>
      <c r="J13" s="1605"/>
      <c r="K13" s="1605"/>
      <c r="L13" s="1605"/>
      <c r="M13" s="1605"/>
      <c r="N13" s="1605"/>
      <c r="O13" s="1605"/>
      <c r="P13" s="1605"/>
      <c r="Q13" s="1605"/>
      <c r="R13" s="1605"/>
      <c r="S13" s="1605"/>
      <c r="T13" s="1605"/>
      <c r="U13" s="1605"/>
      <c r="V13" s="1605"/>
      <c r="W13" s="1605"/>
      <c r="X13" s="1605"/>
      <c r="Y13" s="1605"/>
      <c r="Z13" s="1605"/>
      <c r="AA13" s="1605"/>
      <c r="AB13" s="1606"/>
      <c r="AC13" s="1606"/>
      <c r="AD13" s="1605"/>
      <c r="AE13" s="1607"/>
    </row>
    <row r="14" spans="2:31">
      <c r="B14" s="707" t="s">
        <v>773</v>
      </c>
      <c r="C14" s="1608"/>
      <c r="D14" s="708"/>
      <c r="E14" s="708"/>
      <c r="F14" s="708"/>
      <c r="G14" s="708"/>
      <c r="H14" s="708"/>
      <c r="I14" s="708"/>
      <c r="J14" s="708"/>
      <c r="K14" s="708"/>
      <c r="L14" s="708"/>
      <c r="M14" s="708"/>
      <c r="N14" s="708"/>
      <c r="O14" s="708"/>
      <c r="P14" s="708"/>
      <c r="Q14" s="708"/>
      <c r="R14" s="708"/>
      <c r="S14" s="708"/>
      <c r="T14" s="708"/>
      <c r="U14" s="708"/>
      <c r="V14" s="708"/>
      <c r="W14" s="708"/>
      <c r="X14" s="708"/>
      <c r="Y14" s="708"/>
      <c r="Z14" s="708"/>
      <c r="AA14" s="708"/>
      <c r="AB14" s="708"/>
      <c r="AC14" s="708"/>
      <c r="AD14" s="708"/>
      <c r="AE14" s="712"/>
    </row>
    <row r="15" spans="2:31">
      <c r="B15" s="707" t="s">
        <v>774</v>
      </c>
      <c r="C15" s="1609"/>
      <c r="D15" s="708"/>
      <c r="E15" s="708"/>
      <c r="F15" s="708"/>
      <c r="G15" s="708"/>
      <c r="H15" s="708"/>
      <c r="I15" s="708"/>
      <c r="J15" s="708"/>
      <c r="K15" s="708"/>
      <c r="L15" s="708"/>
      <c r="M15" s="708"/>
      <c r="N15" s="708"/>
      <c r="O15" s="708"/>
      <c r="P15" s="708"/>
      <c r="Q15" s="708"/>
      <c r="R15" s="708"/>
      <c r="S15" s="708"/>
      <c r="T15" s="708"/>
      <c r="U15" s="708"/>
      <c r="V15" s="708"/>
      <c r="W15" s="708"/>
      <c r="X15" s="708"/>
      <c r="Y15" s="708"/>
      <c r="Z15" s="708"/>
      <c r="AA15" s="708"/>
      <c r="AB15" s="708"/>
      <c r="AC15" s="708"/>
      <c r="AD15" s="708"/>
      <c r="AE15" s="712"/>
    </row>
    <row r="16" spans="2:31">
      <c r="B16" s="707" t="s">
        <v>775</v>
      </c>
      <c r="C16" s="1609"/>
      <c r="D16" s="713"/>
      <c r="E16" s="713"/>
      <c r="F16" s="713"/>
      <c r="G16" s="713"/>
      <c r="H16" s="713"/>
      <c r="I16" s="713"/>
      <c r="J16" s="713"/>
      <c r="K16" s="713"/>
      <c r="L16" s="713"/>
      <c r="M16" s="713"/>
      <c r="N16" s="713"/>
      <c r="O16" s="713"/>
      <c r="P16" s="713"/>
      <c r="Q16" s="713"/>
      <c r="R16" s="713"/>
      <c r="S16" s="713"/>
      <c r="T16" s="713"/>
      <c r="U16" s="713"/>
      <c r="V16" s="713"/>
      <c r="W16" s="713"/>
      <c r="X16" s="713"/>
      <c r="Y16" s="713"/>
      <c r="Z16" s="713"/>
      <c r="AA16" s="713"/>
      <c r="AB16" s="713"/>
      <c r="AC16" s="713"/>
      <c r="AD16" s="713"/>
      <c r="AE16" s="712"/>
    </row>
    <row r="17" spans="2:31">
      <c r="B17" s="707" t="s">
        <v>776</v>
      </c>
      <c r="C17" s="1610"/>
      <c r="D17" s="718"/>
      <c r="E17" s="718"/>
      <c r="F17" s="718"/>
      <c r="G17" s="718"/>
      <c r="H17" s="718"/>
      <c r="I17" s="718"/>
      <c r="J17" s="718"/>
      <c r="K17" s="718"/>
      <c r="L17" s="718"/>
      <c r="M17" s="718"/>
      <c r="N17" s="718"/>
      <c r="O17" s="718"/>
      <c r="P17" s="718"/>
      <c r="Q17" s="718"/>
      <c r="R17" s="718"/>
      <c r="S17" s="718"/>
      <c r="T17" s="718"/>
      <c r="U17" s="718"/>
      <c r="V17" s="718"/>
      <c r="W17" s="718"/>
      <c r="X17" s="718"/>
      <c r="Y17" s="718"/>
      <c r="Z17" s="718"/>
      <c r="AA17" s="718"/>
      <c r="AB17" s="718"/>
      <c r="AC17" s="718"/>
      <c r="AD17" s="718"/>
      <c r="AE17" s="1611">
        <f>SUM(C17:AD17)</f>
        <v>0</v>
      </c>
    </row>
    <row r="18" spans="2:31">
      <c r="B18" s="707" t="s">
        <v>777</v>
      </c>
      <c r="C18" s="1612"/>
      <c r="D18" s="723"/>
      <c r="E18" s="723"/>
      <c r="F18" s="723"/>
      <c r="G18" s="723"/>
      <c r="H18" s="723"/>
      <c r="I18" s="723"/>
      <c r="J18" s="723"/>
      <c r="K18" s="723"/>
      <c r="L18" s="723"/>
      <c r="M18" s="723"/>
      <c r="N18" s="723"/>
      <c r="O18" s="723"/>
      <c r="P18" s="723"/>
      <c r="Q18" s="723"/>
      <c r="R18" s="723"/>
      <c r="S18" s="723"/>
      <c r="T18" s="723"/>
      <c r="U18" s="723"/>
      <c r="V18" s="723"/>
      <c r="W18" s="723"/>
      <c r="X18" s="723"/>
      <c r="Y18" s="723"/>
      <c r="Z18" s="723"/>
      <c r="AA18" s="723"/>
      <c r="AB18" s="723"/>
      <c r="AC18" s="722"/>
      <c r="AD18" s="723"/>
      <c r="AE18" s="1613"/>
    </row>
    <row r="19" spans="2:31">
      <c r="B19" s="707" t="s">
        <v>778</v>
      </c>
      <c r="C19" s="1614"/>
      <c r="D19" s="744"/>
      <c r="E19" s="744"/>
      <c r="F19" s="744"/>
      <c r="G19" s="744"/>
      <c r="H19" s="744"/>
      <c r="I19" s="744"/>
      <c r="J19" s="744"/>
      <c r="K19" s="744"/>
      <c r="L19" s="744"/>
      <c r="M19" s="744"/>
      <c r="N19" s="744"/>
      <c r="O19" s="744"/>
      <c r="P19" s="744"/>
      <c r="Q19" s="744"/>
      <c r="R19" s="744"/>
      <c r="S19" s="744"/>
      <c r="T19" s="744"/>
      <c r="U19" s="744"/>
      <c r="V19" s="744"/>
      <c r="W19" s="744"/>
      <c r="X19" s="744"/>
      <c r="Y19" s="744"/>
      <c r="Z19" s="744"/>
      <c r="AA19" s="744"/>
      <c r="AB19" s="744"/>
      <c r="AC19" s="744"/>
      <c r="AD19" s="744"/>
      <c r="AE19" s="1615"/>
    </row>
    <row r="20" spans="2:31">
      <c r="B20" s="707" t="s">
        <v>779</v>
      </c>
      <c r="C20" s="1616"/>
      <c r="D20" s="726"/>
      <c r="E20" s="726"/>
      <c r="F20" s="726"/>
      <c r="G20" s="726"/>
      <c r="H20" s="726"/>
      <c r="I20" s="726"/>
      <c r="J20" s="726"/>
      <c r="K20" s="726"/>
      <c r="L20" s="726"/>
      <c r="M20" s="726"/>
      <c r="N20" s="726"/>
      <c r="O20" s="726"/>
      <c r="P20" s="726"/>
      <c r="Q20" s="726"/>
      <c r="R20" s="726"/>
      <c r="S20" s="726"/>
      <c r="T20" s="726"/>
      <c r="U20" s="726"/>
      <c r="V20" s="726"/>
      <c r="W20" s="726"/>
      <c r="X20" s="726"/>
      <c r="Y20" s="726"/>
      <c r="Z20" s="726"/>
      <c r="AA20" s="726"/>
      <c r="AB20" s="713"/>
      <c r="AC20" s="713"/>
      <c r="AD20" s="726"/>
      <c r="AE20" s="712"/>
    </row>
    <row r="21" spans="2:31">
      <c r="B21" s="707" t="s">
        <v>780</v>
      </c>
      <c r="C21" s="1614"/>
      <c r="D21" s="713"/>
      <c r="E21" s="713"/>
      <c r="F21" s="713"/>
      <c r="G21" s="713"/>
      <c r="H21" s="713"/>
      <c r="I21" s="713"/>
      <c r="J21" s="713"/>
      <c r="K21" s="713"/>
      <c r="L21" s="713"/>
      <c r="M21" s="713"/>
      <c r="N21" s="713"/>
      <c r="O21" s="713"/>
      <c r="P21" s="713"/>
      <c r="Q21" s="713"/>
      <c r="R21" s="713"/>
      <c r="S21" s="713"/>
      <c r="T21" s="713"/>
      <c r="U21" s="713"/>
      <c r="V21" s="713"/>
      <c r="W21" s="713"/>
      <c r="X21" s="713"/>
      <c r="Y21" s="713"/>
      <c r="Z21" s="713"/>
      <c r="AA21" s="713"/>
      <c r="AB21" s="713"/>
      <c r="AC21" s="713"/>
      <c r="AD21" s="713"/>
      <c r="AE21" s="712"/>
    </row>
    <row r="22" spans="2:31">
      <c r="B22" s="707" t="s">
        <v>781</v>
      </c>
      <c r="C22" s="1614"/>
      <c r="D22" s="713"/>
      <c r="E22" s="713"/>
      <c r="F22" s="713"/>
      <c r="G22" s="713"/>
      <c r="H22" s="713"/>
      <c r="I22" s="713"/>
      <c r="J22" s="713"/>
      <c r="K22" s="713"/>
      <c r="L22" s="713"/>
      <c r="M22" s="713"/>
      <c r="N22" s="713"/>
      <c r="O22" s="713"/>
      <c r="P22" s="713"/>
      <c r="Q22" s="713"/>
      <c r="R22" s="713"/>
      <c r="S22" s="713"/>
      <c r="T22" s="713"/>
      <c r="U22" s="713"/>
      <c r="V22" s="713"/>
      <c r="W22" s="713"/>
      <c r="X22" s="713"/>
      <c r="Y22" s="713"/>
      <c r="Z22" s="713"/>
      <c r="AA22" s="713"/>
      <c r="AB22" s="713"/>
      <c r="AC22" s="713"/>
      <c r="AD22" s="713"/>
      <c r="AE22" s="712">
        <f>SUM(C22:AD22)</f>
        <v>0</v>
      </c>
    </row>
    <row r="23" spans="2:31">
      <c r="B23" s="707"/>
      <c r="C23" s="713"/>
      <c r="D23" s="713"/>
      <c r="E23" s="713"/>
      <c r="F23" s="713"/>
      <c r="G23" s="713"/>
      <c r="H23" s="713"/>
      <c r="I23" s="713"/>
      <c r="J23" s="713"/>
      <c r="K23" s="713"/>
      <c r="L23" s="713"/>
      <c r="M23" s="713"/>
      <c r="N23" s="713"/>
      <c r="O23" s="713"/>
      <c r="P23" s="713"/>
      <c r="Q23" s="713"/>
      <c r="R23" s="713"/>
      <c r="S23" s="713"/>
      <c r="T23" s="713"/>
      <c r="U23" s="713"/>
      <c r="V23" s="713"/>
      <c r="W23" s="713"/>
      <c r="X23" s="713"/>
      <c r="Y23" s="713"/>
      <c r="Z23" s="713"/>
      <c r="AA23" s="713"/>
      <c r="AB23" s="713"/>
      <c r="AC23" s="713"/>
      <c r="AD23" s="713"/>
      <c r="AE23" s="712"/>
    </row>
    <row r="24" spans="2:31">
      <c r="B24" s="707" t="s">
        <v>782</v>
      </c>
      <c r="C24" s="744"/>
      <c r="D24" s="744"/>
      <c r="E24" s="744"/>
      <c r="F24" s="744"/>
      <c r="G24" s="744"/>
      <c r="H24" s="744"/>
      <c r="I24" s="744"/>
      <c r="J24" s="744"/>
      <c r="K24" s="744"/>
      <c r="L24" s="744"/>
      <c r="M24" s="744"/>
      <c r="N24" s="744"/>
      <c r="O24" s="744"/>
      <c r="P24" s="744"/>
      <c r="Q24" s="744"/>
      <c r="R24" s="744"/>
      <c r="S24" s="744"/>
      <c r="T24" s="744"/>
      <c r="U24" s="744"/>
      <c r="V24" s="744"/>
      <c r="W24" s="744"/>
      <c r="X24" s="744"/>
      <c r="Y24" s="744"/>
      <c r="Z24" s="744"/>
      <c r="AA24" s="744"/>
      <c r="AB24" s="744"/>
      <c r="AC24" s="744"/>
      <c r="AD24" s="744"/>
      <c r="AE24" s="712">
        <f>SUM(C24:AD24)</f>
        <v>0</v>
      </c>
    </row>
    <row r="25" spans="2:31">
      <c r="B25" s="728" t="s">
        <v>126</v>
      </c>
      <c r="C25" s="1617"/>
      <c r="D25" s="1618"/>
      <c r="E25" s="1618"/>
      <c r="F25" s="1618"/>
      <c r="G25" s="1618"/>
      <c r="H25" s="1618"/>
      <c r="I25" s="1618"/>
      <c r="J25" s="1618"/>
      <c r="K25" s="1618"/>
      <c r="L25" s="1618"/>
      <c r="M25" s="1618"/>
      <c r="N25" s="1618"/>
      <c r="O25" s="1618"/>
      <c r="P25" s="1618"/>
      <c r="Q25" s="1618"/>
      <c r="R25" s="1618"/>
      <c r="S25" s="1618"/>
      <c r="T25" s="1618"/>
      <c r="U25" s="1618"/>
      <c r="V25" s="1618"/>
      <c r="W25" s="1618"/>
      <c r="X25" s="1618"/>
      <c r="Y25" s="1618"/>
      <c r="Z25" s="1618"/>
      <c r="AA25" s="1618"/>
      <c r="AB25" s="1618"/>
      <c r="AC25" s="1618"/>
      <c r="AD25" s="1618"/>
      <c r="AE25" s="712">
        <f t="shared" ref="AE25:AE41" si="0">SUM(C25:AD25)</f>
        <v>0</v>
      </c>
    </row>
    <row r="26" spans="2:31">
      <c r="B26" s="707" t="s">
        <v>783</v>
      </c>
      <c r="C26" s="1619"/>
      <c r="D26" s="744"/>
      <c r="E26" s="744"/>
      <c r="F26" s="744"/>
      <c r="G26" s="744"/>
      <c r="H26" s="744"/>
      <c r="I26" s="744"/>
      <c r="J26" s="744"/>
      <c r="K26" s="744"/>
      <c r="L26" s="744"/>
      <c r="M26" s="744"/>
      <c r="N26" s="744"/>
      <c r="O26" s="744"/>
      <c r="P26" s="744"/>
      <c r="Q26" s="744"/>
      <c r="R26" s="744"/>
      <c r="S26" s="744"/>
      <c r="T26" s="744"/>
      <c r="U26" s="744"/>
      <c r="V26" s="744"/>
      <c r="W26" s="744"/>
      <c r="X26" s="744"/>
      <c r="Y26" s="744"/>
      <c r="Z26" s="744"/>
      <c r="AA26" s="744"/>
      <c r="AB26" s="744"/>
      <c r="AC26" s="744"/>
      <c r="AD26" s="744"/>
      <c r="AE26" s="712">
        <f t="shared" si="0"/>
        <v>0</v>
      </c>
    </row>
    <row r="27" spans="2:31">
      <c r="B27" s="707" t="s">
        <v>784</v>
      </c>
      <c r="C27" s="713"/>
      <c r="D27" s="713"/>
      <c r="E27" s="713"/>
      <c r="F27" s="713"/>
      <c r="G27" s="713"/>
      <c r="H27" s="713"/>
      <c r="I27" s="713"/>
      <c r="J27" s="713"/>
      <c r="K27" s="713"/>
      <c r="L27" s="713"/>
      <c r="M27" s="713"/>
      <c r="N27" s="713"/>
      <c r="O27" s="713"/>
      <c r="P27" s="713"/>
      <c r="Q27" s="713"/>
      <c r="R27" s="713"/>
      <c r="S27" s="713"/>
      <c r="T27" s="713"/>
      <c r="U27" s="713"/>
      <c r="V27" s="713"/>
      <c r="W27" s="713"/>
      <c r="X27" s="713"/>
      <c r="Y27" s="713"/>
      <c r="Z27" s="713"/>
      <c r="AA27" s="713"/>
      <c r="AB27" s="713"/>
      <c r="AC27" s="713"/>
      <c r="AD27" s="713"/>
      <c r="AE27" s="712">
        <f t="shared" si="0"/>
        <v>0</v>
      </c>
    </row>
    <row r="28" spans="2:31">
      <c r="B28" s="728" t="s">
        <v>785</v>
      </c>
      <c r="C28" s="713">
        <f>SUM(C24:C27)</f>
        <v>0</v>
      </c>
      <c r="D28" s="713">
        <f t="shared" ref="D28:AD28" si="1">SUM(D24:D27)</f>
        <v>0</v>
      </c>
      <c r="E28" s="713">
        <f t="shared" si="1"/>
        <v>0</v>
      </c>
      <c r="F28" s="713">
        <f t="shared" si="1"/>
        <v>0</v>
      </c>
      <c r="G28" s="713">
        <f t="shared" si="1"/>
        <v>0</v>
      </c>
      <c r="H28" s="713">
        <f t="shared" si="1"/>
        <v>0</v>
      </c>
      <c r="I28" s="713">
        <f t="shared" si="1"/>
        <v>0</v>
      </c>
      <c r="J28" s="713">
        <f t="shared" si="1"/>
        <v>0</v>
      </c>
      <c r="K28" s="713">
        <f t="shared" si="1"/>
        <v>0</v>
      </c>
      <c r="L28" s="713">
        <f t="shared" si="1"/>
        <v>0</v>
      </c>
      <c r="M28" s="713">
        <f t="shared" si="1"/>
        <v>0</v>
      </c>
      <c r="N28" s="713">
        <f t="shared" si="1"/>
        <v>0</v>
      </c>
      <c r="O28" s="713">
        <f t="shared" si="1"/>
        <v>0</v>
      </c>
      <c r="P28" s="713">
        <f t="shared" si="1"/>
        <v>0</v>
      </c>
      <c r="Q28" s="713">
        <f t="shared" si="1"/>
        <v>0</v>
      </c>
      <c r="R28" s="713">
        <f t="shared" si="1"/>
        <v>0</v>
      </c>
      <c r="S28" s="713">
        <f t="shared" si="1"/>
        <v>0</v>
      </c>
      <c r="T28" s="713">
        <f t="shared" si="1"/>
        <v>0</v>
      </c>
      <c r="U28" s="713">
        <f t="shared" si="1"/>
        <v>0</v>
      </c>
      <c r="V28" s="713">
        <f t="shared" si="1"/>
        <v>0</v>
      </c>
      <c r="W28" s="713">
        <f t="shared" si="1"/>
        <v>0</v>
      </c>
      <c r="X28" s="713">
        <f t="shared" si="1"/>
        <v>0</v>
      </c>
      <c r="Y28" s="713">
        <f t="shared" si="1"/>
        <v>0</v>
      </c>
      <c r="Z28" s="713">
        <f t="shared" si="1"/>
        <v>0</v>
      </c>
      <c r="AA28" s="713">
        <f t="shared" si="1"/>
        <v>0</v>
      </c>
      <c r="AB28" s="713">
        <f t="shared" si="1"/>
        <v>0</v>
      </c>
      <c r="AC28" s="713">
        <f t="shared" si="1"/>
        <v>0</v>
      </c>
      <c r="AD28" s="713">
        <f t="shared" si="1"/>
        <v>0</v>
      </c>
      <c r="AE28" s="712">
        <f t="shared" si="0"/>
        <v>0</v>
      </c>
    </row>
    <row r="29" spans="2:31">
      <c r="B29" s="728" t="s">
        <v>786</v>
      </c>
      <c r="C29" s="1620" t="e">
        <f>C28/(C17*1000)</f>
        <v>#DIV/0!</v>
      </c>
      <c r="D29" s="713" t="e">
        <f t="shared" ref="D29:AD29" si="2">D28/(D17*1000)</f>
        <v>#DIV/0!</v>
      </c>
      <c r="E29" s="713" t="e">
        <f t="shared" si="2"/>
        <v>#DIV/0!</v>
      </c>
      <c r="F29" s="713" t="e">
        <f t="shared" si="2"/>
        <v>#DIV/0!</v>
      </c>
      <c r="G29" s="713" t="e">
        <f t="shared" si="2"/>
        <v>#DIV/0!</v>
      </c>
      <c r="H29" s="713" t="e">
        <f t="shared" si="2"/>
        <v>#DIV/0!</v>
      </c>
      <c r="I29" s="713" t="e">
        <f t="shared" si="2"/>
        <v>#DIV/0!</v>
      </c>
      <c r="J29" s="713" t="e">
        <f t="shared" si="2"/>
        <v>#DIV/0!</v>
      </c>
      <c r="K29" s="713" t="e">
        <f t="shared" si="2"/>
        <v>#DIV/0!</v>
      </c>
      <c r="L29" s="713" t="e">
        <f t="shared" si="2"/>
        <v>#DIV/0!</v>
      </c>
      <c r="M29" s="713" t="e">
        <f t="shared" si="2"/>
        <v>#DIV/0!</v>
      </c>
      <c r="N29" s="713" t="e">
        <f t="shared" si="2"/>
        <v>#DIV/0!</v>
      </c>
      <c r="O29" s="713" t="e">
        <f t="shared" si="2"/>
        <v>#DIV/0!</v>
      </c>
      <c r="P29" s="713" t="e">
        <f t="shared" si="2"/>
        <v>#DIV/0!</v>
      </c>
      <c r="Q29" s="713" t="e">
        <f t="shared" si="2"/>
        <v>#DIV/0!</v>
      </c>
      <c r="R29" s="713" t="e">
        <f t="shared" si="2"/>
        <v>#DIV/0!</v>
      </c>
      <c r="S29" s="713" t="e">
        <f t="shared" si="2"/>
        <v>#DIV/0!</v>
      </c>
      <c r="T29" s="713" t="e">
        <f t="shared" si="2"/>
        <v>#DIV/0!</v>
      </c>
      <c r="U29" s="713" t="e">
        <f t="shared" si="2"/>
        <v>#DIV/0!</v>
      </c>
      <c r="V29" s="713" t="e">
        <f t="shared" si="2"/>
        <v>#DIV/0!</v>
      </c>
      <c r="W29" s="713" t="e">
        <f t="shared" si="2"/>
        <v>#DIV/0!</v>
      </c>
      <c r="X29" s="713" t="e">
        <f t="shared" si="2"/>
        <v>#DIV/0!</v>
      </c>
      <c r="Y29" s="713" t="e">
        <f t="shared" si="2"/>
        <v>#DIV/0!</v>
      </c>
      <c r="Z29" s="713" t="e">
        <f t="shared" si="2"/>
        <v>#DIV/0!</v>
      </c>
      <c r="AA29" s="713" t="e">
        <f t="shared" si="2"/>
        <v>#DIV/0!</v>
      </c>
      <c r="AB29" s="713" t="e">
        <f t="shared" si="2"/>
        <v>#DIV/0!</v>
      </c>
      <c r="AC29" s="713" t="e">
        <f t="shared" si="2"/>
        <v>#DIV/0!</v>
      </c>
      <c r="AD29" s="713" t="e">
        <f t="shared" si="2"/>
        <v>#DIV/0!</v>
      </c>
      <c r="AE29" s="1621" t="e">
        <f>AE28/AE17</f>
        <v>#DIV/0!</v>
      </c>
    </row>
    <row r="30" spans="2:31">
      <c r="B30" s="728"/>
      <c r="C30" s="713"/>
      <c r="D30" s="713"/>
      <c r="E30" s="713"/>
      <c r="F30" s="713"/>
      <c r="G30" s="713"/>
      <c r="H30" s="713"/>
      <c r="I30" s="713"/>
      <c r="J30" s="713"/>
      <c r="K30" s="713"/>
      <c r="L30" s="713"/>
      <c r="M30" s="713"/>
      <c r="N30" s="713"/>
      <c r="O30" s="713"/>
      <c r="P30" s="713"/>
      <c r="Q30" s="713"/>
      <c r="R30" s="713"/>
      <c r="S30" s="713"/>
      <c r="T30" s="713"/>
      <c r="U30" s="713"/>
      <c r="V30" s="713"/>
      <c r="W30" s="713"/>
      <c r="X30" s="713"/>
      <c r="Y30" s="713"/>
      <c r="Z30" s="713"/>
      <c r="AA30" s="713"/>
      <c r="AB30" s="713"/>
      <c r="AC30" s="713"/>
      <c r="AD30" s="713"/>
      <c r="AE30" s="1621"/>
    </row>
    <row r="31" spans="2:31">
      <c r="B31" s="728" t="s">
        <v>805</v>
      </c>
      <c r="C31" s="713"/>
      <c r="D31" s="713"/>
      <c r="E31" s="713"/>
      <c r="F31" s="713"/>
      <c r="G31" s="713"/>
      <c r="H31" s="713"/>
      <c r="I31" s="713"/>
      <c r="J31" s="713"/>
      <c r="K31" s="713"/>
      <c r="L31" s="713"/>
      <c r="M31" s="713"/>
      <c r="N31" s="713"/>
      <c r="O31" s="713"/>
      <c r="P31" s="713"/>
      <c r="Q31" s="713"/>
      <c r="R31" s="713"/>
      <c r="S31" s="713"/>
      <c r="T31" s="713"/>
      <c r="U31" s="713"/>
      <c r="V31" s="713"/>
      <c r="W31" s="713"/>
      <c r="X31" s="713"/>
      <c r="Y31" s="713"/>
      <c r="Z31" s="713"/>
      <c r="AA31" s="713"/>
      <c r="AB31" s="713"/>
      <c r="AC31" s="713"/>
      <c r="AD31" s="713"/>
      <c r="AE31" s="1621">
        <f t="shared" si="0"/>
        <v>0</v>
      </c>
    </row>
    <row r="32" spans="2:31">
      <c r="B32" s="728" t="s">
        <v>407</v>
      </c>
      <c r="C32" s="713"/>
      <c r="D32" s="713"/>
      <c r="E32" s="713"/>
      <c r="F32" s="713"/>
      <c r="G32" s="713"/>
      <c r="H32" s="713"/>
      <c r="I32" s="713"/>
      <c r="J32" s="713"/>
      <c r="K32" s="713"/>
      <c r="L32" s="713"/>
      <c r="M32" s="713"/>
      <c r="N32" s="713"/>
      <c r="O32" s="713"/>
      <c r="P32" s="713"/>
      <c r="Q32" s="713"/>
      <c r="R32" s="713"/>
      <c r="S32" s="713"/>
      <c r="T32" s="713"/>
      <c r="U32" s="713"/>
      <c r="V32" s="713"/>
      <c r="W32" s="713"/>
      <c r="X32" s="713"/>
      <c r="Y32" s="713"/>
      <c r="Z32" s="713"/>
      <c r="AA32" s="713"/>
      <c r="AB32" s="713"/>
      <c r="AC32" s="713"/>
      <c r="AD32" s="713"/>
      <c r="AE32" s="1621">
        <f t="shared" si="0"/>
        <v>0</v>
      </c>
    </row>
    <row r="33" spans="2:31">
      <c r="B33" s="728"/>
      <c r="C33" s="713"/>
      <c r="D33" s="713"/>
      <c r="E33" s="713"/>
      <c r="F33" s="713"/>
      <c r="G33" s="713"/>
      <c r="H33" s="713"/>
      <c r="I33" s="713"/>
      <c r="J33" s="713"/>
      <c r="K33" s="713"/>
      <c r="L33" s="713"/>
      <c r="M33" s="713"/>
      <c r="N33" s="713"/>
      <c r="O33" s="713"/>
      <c r="P33" s="713"/>
      <c r="Q33" s="713"/>
      <c r="R33" s="713"/>
      <c r="S33" s="713"/>
      <c r="T33" s="713"/>
      <c r="U33" s="713"/>
      <c r="V33" s="713"/>
      <c r="W33" s="713"/>
      <c r="X33" s="713"/>
      <c r="Y33" s="713"/>
      <c r="Z33" s="713"/>
      <c r="AA33" s="713"/>
      <c r="AB33" s="713"/>
      <c r="AC33" s="713"/>
      <c r="AD33" s="713"/>
      <c r="AE33" s="1621"/>
    </row>
    <row r="34" spans="2:31">
      <c r="B34" s="707" t="s">
        <v>787</v>
      </c>
      <c r="C34" s="713"/>
      <c r="D34" s="713"/>
      <c r="E34" s="713"/>
      <c r="F34" s="713"/>
      <c r="G34" s="713"/>
      <c r="H34" s="713"/>
      <c r="I34" s="713"/>
      <c r="J34" s="713"/>
      <c r="K34" s="713"/>
      <c r="L34" s="713"/>
      <c r="M34" s="713"/>
      <c r="N34" s="713"/>
      <c r="O34" s="713"/>
      <c r="P34" s="713"/>
      <c r="Q34" s="713"/>
      <c r="R34" s="713"/>
      <c r="S34" s="713"/>
      <c r="T34" s="713"/>
      <c r="U34" s="713"/>
      <c r="V34" s="713"/>
      <c r="W34" s="713"/>
      <c r="X34" s="713"/>
      <c r="Y34" s="713"/>
      <c r="Z34" s="713"/>
      <c r="AA34" s="713"/>
      <c r="AB34" s="713"/>
      <c r="AC34" s="713"/>
      <c r="AD34" s="713"/>
      <c r="AE34" s="712">
        <f t="shared" si="0"/>
        <v>0</v>
      </c>
    </row>
    <row r="35" spans="2:31">
      <c r="B35" s="728" t="s">
        <v>788</v>
      </c>
      <c r="C35" s="713"/>
      <c r="D35" s="713"/>
      <c r="E35" s="713"/>
      <c r="F35" s="713"/>
      <c r="G35" s="713"/>
      <c r="H35" s="713"/>
      <c r="I35" s="713"/>
      <c r="J35" s="713"/>
      <c r="K35" s="713"/>
      <c r="L35" s="713"/>
      <c r="M35" s="713"/>
      <c r="N35" s="713"/>
      <c r="O35" s="713"/>
      <c r="P35" s="713"/>
      <c r="Q35" s="713"/>
      <c r="R35" s="713"/>
      <c r="S35" s="713"/>
      <c r="T35" s="713"/>
      <c r="U35" s="713"/>
      <c r="V35" s="713"/>
      <c r="W35" s="713"/>
      <c r="X35" s="713"/>
      <c r="Y35" s="713"/>
      <c r="Z35" s="713"/>
      <c r="AA35" s="713"/>
      <c r="AB35" s="713"/>
      <c r="AC35" s="713"/>
      <c r="AD35" s="713"/>
      <c r="AE35" s="712">
        <f t="shared" si="0"/>
        <v>0</v>
      </c>
    </row>
    <row r="36" spans="2:31">
      <c r="B36" s="728" t="s">
        <v>789</v>
      </c>
      <c r="C36" s="713"/>
      <c r="D36" s="713"/>
      <c r="E36" s="713"/>
      <c r="F36" s="713"/>
      <c r="G36" s="713"/>
      <c r="H36" s="713"/>
      <c r="I36" s="713"/>
      <c r="J36" s="713"/>
      <c r="K36" s="713"/>
      <c r="L36" s="713"/>
      <c r="M36" s="713"/>
      <c r="N36" s="713"/>
      <c r="O36" s="713"/>
      <c r="P36" s="713"/>
      <c r="Q36" s="713"/>
      <c r="R36" s="713"/>
      <c r="S36" s="713"/>
      <c r="T36" s="713"/>
      <c r="U36" s="713"/>
      <c r="V36" s="713"/>
      <c r="W36" s="713"/>
      <c r="X36" s="713"/>
      <c r="Y36" s="713"/>
      <c r="Z36" s="713"/>
      <c r="AA36" s="713"/>
      <c r="AB36" s="713"/>
      <c r="AC36" s="713"/>
      <c r="AD36" s="713"/>
      <c r="AE36" s="712">
        <f t="shared" si="0"/>
        <v>0</v>
      </c>
    </row>
    <row r="37" spans="2:31">
      <c r="B37" s="728" t="s">
        <v>790</v>
      </c>
      <c r="C37" s="713"/>
      <c r="D37" s="713"/>
      <c r="E37" s="713"/>
      <c r="F37" s="713"/>
      <c r="G37" s="713"/>
      <c r="H37" s="713"/>
      <c r="I37" s="713"/>
      <c r="J37" s="713"/>
      <c r="K37" s="713"/>
      <c r="L37" s="713"/>
      <c r="M37" s="713"/>
      <c r="N37" s="713"/>
      <c r="O37" s="713"/>
      <c r="P37" s="713"/>
      <c r="Q37" s="713"/>
      <c r="R37" s="713"/>
      <c r="S37" s="713"/>
      <c r="T37" s="713"/>
      <c r="U37" s="713"/>
      <c r="V37" s="713"/>
      <c r="W37" s="713"/>
      <c r="X37" s="713"/>
      <c r="Y37" s="713"/>
      <c r="Z37" s="713"/>
      <c r="AA37" s="713"/>
      <c r="AB37" s="713"/>
      <c r="AC37" s="713"/>
      <c r="AD37" s="713"/>
      <c r="AE37" s="712">
        <f t="shared" si="0"/>
        <v>0</v>
      </c>
    </row>
    <row r="38" spans="2:31">
      <c r="B38" s="728" t="s">
        <v>791</v>
      </c>
      <c r="C38" s="713"/>
      <c r="D38" s="713"/>
      <c r="E38" s="713"/>
      <c r="F38" s="713"/>
      <c r="G38" s="713"/>
      <c r="H38" s="713"/>
      <c r="I38" s="713"/>
      <c r="J38" s="713"/>
      <c r="K38" s="713"/>
      <c r="L38" s="713"/>
      <c r="M38" s="713"/>
      <c r="N38" s="713"/>
      <c r="O38" s="713"/>
      <c r="P38" s="713"/>
      <c r="Q38" s="713"/>
      <c r="R38" s="713"/>
      <c r="S38" s="713"/>
      <c r="T38" s="713"/>
      <c r="U38" s="713"/>
      <c r="V38" s="713"/>
      <c r="W38" s="713"/>
      <c r="X38" s="713"/>
      <c r="Y38" s="713"/>
      <c r="Z38" s="713"/>
      <c r="AA38" s="713"/>
      <c r="AB38" s="713"/>
      <c r="AC38" s="730"/>
      <c r="AD38" s="713"/>
      <c r="AE38" s="1622">
        <f t="shared" si="0"/>
        <v>0</v>
      </c>
    </row>
    <row r="39" spans="2:31">
      <c r="B39" s="707" t="s">
        <v>792</v>
      </c>
      <c r="C39" s="713"/>
      <c r="D39" s="713"/>
      <c r="E39" s="713"/>
      <c r="F39" s="713"/>
      <c r="G39" s="713"/>
      <c r="H39" s="713"/>
      <c r="I39" s="713"/>
      <c r="J39" s="713"/>
      <c r="K39" s="713"/>
      <c r="L39" s="713"/>
      <c r="M39" s="713"/>
      <c r="N39" s="713"/>
      <c r="O39" s="713"/>
      <c r="P39" s="713"/>
      <c r="Q39" s="713"/>
      <c r="R39" s="713"/>
      <c r="S39" s="713"/>
      <c r="T39" s="713"/>
      <c r="U39" s="713"/>
      <c r="V39" s="713"/>
      <c r="W39" s="713"/>
      <c r="X39" s="713"/>
      <c r="Y39" s="713"/>
      <c r="Z39" s="713"/>
      <c r="AA39" s="713"/>
      <c r="AB39" s="713"/>
      <c r="AC39" s="714"/>
      <c r="AD39" s="713"/>
      <c r="AE39" s="1622">
        <f t="shared" si="0"/>
        <v>0</v>
      </c>
    </row>
    <row r="40" spans="2:31">
      <c r="B40" s="707" t="s">
        <v>793</v>
      </c>
      <c r="C40" s="713"/>
      <c r="D40" s="713"/>
      <c r="E40" s="713"/>
      <c r="F40" s="713"/>
      <c r="G40" s="713"/>
      <c r="H40" s="713"/>
      <c r="I40" s="713"/>
      <c r="J40" s="713"/>
      <c r="K40" s="713"/>
      <c r="L40" s="713"/>
      <c r="M40" s="713"/>
      <c r="N40" s="713"/>
      <c r="O40" s="713"/>
      <c r="P40" s="713"/>
      <c r="Q40" s="713"/>
      <c r="R40" s="713"/>
      <c r="S40" s="713"/>
      <c r="T40" s="713"/>
      <c r="U40" s="713"/>
      <c r="V40" s="713"/>
      <c r="W40" s="713"/>
      <c r="X40" s="713"/>
      <c r="Y40" s="713"/>
      <c r="Z40" s="713"/>
      <c r="AA40" s="713"/>
      <c r="AB40" s="713"/>
      <c r="AC40" s="714"/>
      <c r="AD40" s="713"/>
      <c r="AE40" s="1622">
        <f t="shared" si="0"/>
        <v>0</v>
      </c>
    </row>
    <row r="41" spans="2:31">
      <c r="B41" s="707" t="s">
        <v>794</v>
      </c>
      <c r="C41" s="713">
        <f>SUM(C34:C40)</f>
        <v>0</v>
      </c>
      <c r="D41" s="713">
        <f>SUM(D34:D40)</f>
        <v>0</v>
      </c>
      <c r="E41" s="713">
        <f t="shared" ref="E41:AC41" si="3">SUM(E34:E40)</f>
        <v>0</v>
      </c>
      <c r="F41" s="713">
        <f t="shared" si="3"/>
        <v>0</v>
      </c>
      <c r="G41" s="713">
        <f t="shared" si="3"/>
        <v>0</v>
      </c>
      <c r="H41" s="713">
        <f t="shared" si="3"/>
        <v>0</v>
      </c>
      <c r="I41" s="713">
        <f t="shared" si="3"/>
        <v>0</v>
      </c>
      <c r="J41" s="713">
        <f t="shared" si="3"/>
        <v>0</v>
      </c>
      <c r="K41" s="713">
        <f t="shared" si="3"/>
        <v>0</v>
      </c>
      <c r="L41" s="713">
        <f t="shared" si="3"/>
        <v>0</v>
      </c>
      <c r="M41" s="713">
        <f t="shared" si="3"/>
        <v>0</v>
      </c>
      <c r="N41" s="713">
        <f t="shared" si="3"/>
        <v>0</v>
      </c>
      <c r="O41" s="713">
        <f t="shared" si="3"/>
        <v>0</v>
      </c>
      <c r="P41" s="713">
        <f t="shared" si="3"/>
        <v>0</v>
      </c>
      <c r="Q41" s="713">
        <f t="shared" si="3"/>
        <v>0</v>
      </c>
      <c r="R41" s="713">
        <f t="shared" si="3"/>
        <v>0</v>
      </c>
      <c r="S41" s="713">
        <f t="shared" si="3"/>
        <v>0</v>
      </c>
      <c r="T41" s="713">
        <f t="shared" si="3"/>
        <v>0</v>
      </c>
      <c r="U41" s="713">
        <f t="shared" si="3"/>
        <v>0</v>
      </c>
      <c r="V41" s="713">
        <f t="shared" si="3"/>
        <v>0</v>
      </c>
      <c r="W41" s="713">
        <f t="shared" si="3"/>
        <v>0</v>
      </c>
      <c r="X41" s="713">
        <f t="shared" si="3"/>
        <v>0</v>
      </c>
      <c r="Y41" s="713">
        <f t="shared" si="3"/>
        <v>0</v>
      </c>
      <c r="Z41" s="713">
        <f t="shared" si="3"/>
        <v>0</v>
      </c>
      <c r="AA41" s="713">
        <f t="shared" si="3"/>
        <v>0</v>
      </c>
      <c r="AB41" s="713">
        <f t="shared" si="3"/>
        <v>0</v>
      </c>
      <c r="AC41" s="713">
        <f t="shared" si="3"/>
        <v>0</v>
      </c>
      <c r="AD41" s="713">
        <f>SUM(AD34:AD40)</f>
        <v>0</v>
      </c>
      <c r="AE41" s="712">
        <f t="shared" si="0"/>
        <v>0</v>
      </c>
    </row>
    <row r="42" spans="2:31" ht="16.5" thickBot="1">
      <c r="B42" s="1623" t="s">
        <v>795</v>
      </c>
      <c r="C42" s="1624" t="e">
        <f>C41/C22</f>
        <v>#DIV/0!</v>
      </c>
      <c r="D42" s="1625" t="e">
        <f t="shared" ref="D42:AD42" si="4">D41/D22</f>
        <v>#DIV/0!</v>
      </c>
      <c r="E42" s="1625" t="e">
        <f t="shared" si="4"/>
        <v>#DIV/0!</v>
      </c>
      <c r="F42" s="1625" t="e">
        <f t="shared" si="4"/>
        <v>#DIV/0!</v>
      </c>
      <c r="G42" s="1625" t="e">
        <f t="shared" si="4"/>
        <v>#DIV/0!</v>
      </c>
      <c r="H42" s="1625" t="e">
        <f t="shared" si="4"/>
        <v>#DIV/0!</v>
      </c>
      <c r="I42" s="1625" t="e">
        <f t="shared" si="4"/>
        <v>#DIV/0!</v>
      </c>
      <c r="J42" s="1625" t="e">
        <f t="shared" si="4"/>
        <v>#DIV/0!</v>
      </c>
      <c r="K42" s="1625" t="e">
        <f t="shared" si="4"/>
        <v>#DIV/0!</v>
      </c>
      <c r="L42" s="1625" t="e">
        <f t="shared" si="4"/>
        <v>#DIV/0!</v>
      </c>
      <c r="M42" s="1625" t="e">
        <f t="shared" si="4"/>
        <v>#DIV/0!</v>
      </c>
      <c r="N42" s="1625" t="e">
        <f t="shared" si="4"/>
        <v>#DIV/0!</v>
      </c>
      <c r="O42" s="1625" t="e">
        <f t="shared" si="4"/>
        <v>#DIV/0!</v>
      </c>
      <c r="P42" s="1625" t="e">
        <f t="shared" si="4"/>
        <v>#DIV/0!</v>
      </c>
      <c r="Q42" s="1625" t="e">
        <f t="shared" si="4"/>
        <v>#DIV/0!</v>
      </c>
      <c r="R42" s="1625" t="e">
        <f t="shared" si="4"/>
        <v>#DIV/0!</v>
      </c>
      <c r="S42" s="1625" t="e">
        <f t="shared" si="4"/>
        <v>#DIV/0!</v>
      </c>
      <c r="T42" s="1625" t="e">
        <f t="shared" si="4"/>
        <v>#DIV/0!</v>
      </c>
      <c r="U42" s="1625" t="e">
        <f t="shared" si="4"/>
        <v>#DIV/0!</v>
      </c>
      <c r="V42" s="1625" t="e">
        <f t="shared" si="4"/>
        <v>#DIV/0!</v>
      </c>
      <c r="W42" s="1625" t="e">
        <f t="shared" si="4"/>
        <v>#DIV/0!</v>
      </c>
      <c r="X42" s="1625" t="e">
        <f t="shared" si="4"/>
        <v>#DIV/0!</v>
      </c>
      <c r="Y42" s="1625" t="e">
        <f t="shared" si="4"/>
        <v>#DIV/0!</v>
      </c>
      <c r="Z42" s="1625" t="e">
        <f t="shared" si="4"/>
        <v>#DIV/0!</v>
      </c>
      <c r="AA42" s="1625" t="e">
        <f t="shared" si="4"/>
        <v>#DIV/0!</v>
      </c>
      <c r="AB42" s="1625" t="e">
        <f t="shared" si="4"/>
        <v>#DIV/0!</v>
      </c>
      <c r="AC42" s="1625" t="e">
        <f t="shared" si="4"/>
        <v>#DIV/0!</v>
      </c>
      <c r="AD42" s="1625" t="e">
        <f t="shared" si="4"/>
        <v>#DIV/0!</v>
      </c>
      <c r="AE42" s="1626" t="e">
        <f>AE41/AE22</f>
        <v>#DIV/0!</v>
      </c>
    </row>
    <row r="43" spans="2:31" ht="16.5" thickTop="1"/>
  </sheetData>
  <mergeCells count="4">
    <mergeCell ref="B4:AE4"/>
    <mergeCell ref="B5:AE5"/>
    <mergeCell ref="B6:AE6"/>
    <mergeCell ref="B7:AE7"/>
  </mergeCells>
  <conditionalFormatting sqref="AB39:AC39">
    <cfRule type="expression" dxfId="1" priority="1" stopIfTrue="1">
      <formula>MOD(ROW(),2)=1</formula>
    </cfRule>
  </conditionalFormatting>
  <hyperlinks>
    <hyperlink ref="B2" location="TOC!A1" display="TOC" xr:uid="{00000000-0004-0000-13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xxe4aPID" r:id="rId2"/>
  </customProperties>
  <legacyDrawing r:id="rId3"/>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tabColor rgb="FFFFC000"/>
  </sheetPr>
  <dimension ref="A1:AA51"/>
  <sheetViews>
    <sheetView view="pageLayout" topLeftCell="A15" zoomScaleNormal="90" workbookViewId="0">
      <selection activeCell="V55" sqref="V55"/>
    </sheetView>
  </sheetViews>
  <sheetFormatPr defaultRowHeight="15.75"/>
  <cols>
    <col min="1" max="1" width="41.5" customWidth="1"/>
    <col min="2" max="8" width="14.625" customWidth="1"/>
    <col min="9" max="26" width="7.625" customWidth="1"/>
    <col min="27" max="27" width="15.75" customWidth="1"/>
  </cols>
  <sheetData>
    <row r="1" spans="1:27">
      <c r="A1" s="1196"/>
    </row>
    <row r="2" spans="1:27">
      <c r="A2" s="1234" t="s">
        <v>699</v>
      </c>
    </row>
    <row r="3" spans="1:27" ht="16.5" thickBot="1">
      <c r="A3" s="1203"/>
    </row>
    <row r="4" spans="1:27" ht="19.5" thickTop="1">
      <c r="A4" s="2282" t="s">
        <v>54</v>
      </c>
      <c r="B4" s="2283"/>
      <c r="C4" s="2283"/>
      <c r="D4" s="2283"/>
      <c r="E4" s="2283"/>
      <c r="F4" s="2283"/>
      <c r="G4" s="2283"/>
      <c r="H4" s="2283"/>
      <c r="I4" s="2283"/>
      <c r="J4" s="2283"/>
      <c r="K4" s="2283"/>
      <c r="L4" s="2283"/>
      <c r="M4" s="2283"/>
      <c r="N4" s="2283"/>
      <c r="O4" s="2283"/>
      <c r="P4" s="2283"/>
      <c r="Q4" s="2283"/>
      <c r="R4" s="2283"/>
      <c r="S4" s="2283"/>
      <c r="T4" s="2283"/>
      <c r="U4" s="2283"/>
      <c r="V4" s="2283"/>
      <c r="W4" s="2283"/>
      <c r="X4" s="2283"/>
      <c r="Y4" s="2283"/>
      <c r="Z4" s="2283"/>
      <c r="AA4" s="2284"/>
    </row>
    <row r="5" spans="1:27">
      <c r="A5" s="2294" t="s">
        <v>56</v>
      </c>
      <c r="B5" s="2295"/>
      <c r="C5" s="2295"/>
      <c r="D5" s="2295"/>
      <c r="E5" s="2295"/>
      <c r="F5" s="2295"/>
      <c r="G5" s="2295"/>
      <c r="H5" s="2295"/>
      <c r="I5" s="2295"/>
      <c r="J5" s="2295"/>
      <c r="K5" s="2295"/>
      <c r="L5" s="2295"/>
      <c r="M5" s="2295"/>
      <c r="N5" s="2295"/>
      <c r="O5" s="2295"/>
      <c r="P5" s="2295"/>
      <c r="Q5" s="2295"/>
      <c r="R5" s="2295"/>
      <c r="S5" s="2295"/>
      <c r="T5" s="2295"/>
      <c r="U5" s="2295"/>
      <c r="V5" s="2295"/>
      <c r="W5" s="2295"/>
      <c r="X5" s="2295"/>
      <c r="Y5" s="2295"/>
      <c r="Z5" s="2295"/>
      <c r="AA5" s="2296"/>
    </row>
    <row r="6" spans="1:27" ht="16.5" thickBot="1">
      <c r="A6" s="2496" t="s">
        <v>723</v>
      </c>
      <c r="B6" s="2497"/>
      <c r="C6" s="2497"/>
      <c r="D6" s="2497"/>
      <c r="E6" s="2497"/>
      <c r="F6" s="2497"/>
      <c r="G6" s="2497"/>
      <c r="H6" s="2497"/>
      <c r="I6" s="2497"/>
      <c r="J6" s="2497"/>
      <c r="K6" s="2497"/>
      <c r="L6" s="2497"/>
      <c r="M6" s="2497"/>
      <c r="N6" s="2497"/>
      <c r="O6" s="2497"/>
      <c r="P6" s="2497"/>
      <c r="Q6" s="2497"/>
      <c r="R6" s="2497"/>
      <c r="S6" s="2497"/>
      <c r="T6" s="2497"/>
      <c r="U6" s="2497"/>
      <c r="V6" s="2497"/>
      <c r="W6" s="2497"/>
      <c r="X6" s="2497"/>
      <c r="Y6" s="2497"/>
      <c r="Z6" s="2497"/>
      <c r="AA6" s="2498"/>
    </row>
    <row r="7" spans="1:27">
      <c r="A7" s="684" t="str">
        <f>'Sch 1- Rate Base '!E5</f>
        <v>Utility Name</v>
      </c>
      <c r="B7" s="685"/>
      <c r="C7" s="686"/>
      <c r="D7" s="823"/>
      <c r="E7" s="824"/>
      <c r="F7" s="825"/>
      <c r="G7" s="826"/>
      <c r="H7" s="827"/>
      <c r="I7" s="827"/>
      <c r="J7" s="827"/>
      <c r="K7" s="827"/>
      <c r="L7" s="827"/>
      <c r="M7" s="827"/>
      <c r="N7" s="827"/>
      <c r="O7" s="827"/>
      <c r="P7" s="827"/>
      <c r="Q7" s="827"/>
      <c r="R7" s="827"/>
      <c r="S7" s="827"/>
      <c r="T7" s="827"/>
      <c r="U7" s="827"/>
      <c r="V7" s="827"/>
      <c r="W7" s="827"/>
      <c r="X7" s="827"/>
      <c r="Y7" s="827"/>
      <c r="Z7" s="827"/>
      <c r="AA7" s="828"/>
    </row>
    <row r="8" spans="1:27" ht="16.5" thickBot="1">
      <c r="A8" s="1246">
        <f>'Sch 1- Rate Base '!E7</f>
        <v>45446</v>
      </c>
      <c r="B8" s="689">
        <f>'Sch 1- Rate Base '!E6</f>
        <v>2023</v>
      </c>
      <c r="C8" s="686"/>
      <c r="D8" s="823"/>
      <c r="E8" s="824"/>
      <c r="F8" s="825"/>
      <c r="G8" s="826"/>
      <c r="H8" s="827"/>
      <c r="I8" s="827"/>
      <c r="J8" s="827"/>
      <c r="K8" s="827"/>
      <c r="L8" s="827"/>
      <c r="M8" s="827"/>
      <c r="N8" s="827"/>
      <c r="O8" s="827"/>
      <c r="P8" s="827"/>
      <c r="Q8" s="827"/>
      <c r="R8" s="827"/>
      <c r="S8" s="827"/>
      <c r="T8" s="827"/>
      <c r="U8" s="827"/>
      <c r="V8" s="827"/>
      <c r="W8" s="827"/>
      <c r="X8" s="827"/>
      <c r="Y8" s="827"/>
      <c r="Z8" s="827"/>
      <c r="AA8" s="828"/>
    </row>
    <row r="9" spans="1:27">
      <c r="A9" s="690"/>
      <c r="B9" s="691"/>
      <c r="C9" s="686"/>
      <c r="D9" s="823"/>
      <c r="E9" s="824"/>
      <c r="F9" s="825"/>
      <c r="G9" s="826"/>
      <c r="H9" s="827"/>
      <c r="I9" s="827"/>
      <c r="J9" s="827"/>
      <c r="K9" s="827"/>
      <c r="L9" s="827"/>
      <c r="M9" s="827"/>
      <c r="N9" s="827"/>
      <c r="O9" s="827"/>
      <c r="P9" s="827"/>
      <c r="Q9" s="827"/>
      <c r="R9" s="827"/>
      <c r="S9" s="827"/>
      <c r="T9" s="827"/>
      <c r="U9" s="827"/>
      <c r="V9" s="827"/>
      <c r="W9" s="827"/>
      <c r="X9" s="827"/>
      <c r="Y9" s="827"/>
      <c r="Z9" s="827"/>
      <c r="AA9" s="828"/>
    </row>
    <row r="10" spans="1:27" ht="16.5" thickBot="1">
      <c r="A10" s="690" t="s">
        <v>282</v>
      </c>
      <c r="B10" s="692">
        <f>'Sch 2 -Rate of Return'!E14</f>
        <v>8.3054675822784807E-2</v>
      </c>
      <c r="C10" s="687"/>
      <c r="D10" s="830"/>
      <c r="E10" s="830"/>
      <c r="F10" s="827"/>
      <c r="G10" s="827"/>
      <c r="H10" s="827"/>
      <c r="I10" s="827"/>
      <c r="J10" s="827"/>
      <c r="K10" s="827"/>
      <c r="L10" s="827"/>
      <c r="M10" s="827"/>
      <c r="N10" s="827"/>
      <c r="O10" s="827"/>
      <c r="P10" s="827"/>
      <c r="Q10" s="827"/>
      <c r="R10" s="827"/>
      <c r="S10" s="827"/>
      <c r="T10" s="827"/>
      <c r="U10" s="827"/>
      <c r="V10" s="827"/>
      <c r="W10" s="827"/>
      <c r="X10" s="827"/>
      <c r="Y10" s="827"/>
      <c r="Z10" s="827"/>
      <c r="AA10" s="829"/>
    </row>
    <row r="11" spans="1:27" ht="19.5" thickBot="1">
      <c r="A11" s="693"/>
      <c r="B11" s="696" t="str">
        <f t="shared" ref="B11:Z11" si="0">IF(B14="Coal", 1,IF(B14="Hydro",2,IF(B14="Geo-Therm", 1, IF(B14="Natural Gas", 3,IF(B14="Wind",3,IF(B14= "Form 1 LF",4,IF(B14="Form 1 SF",5,"")))))))</f>
        <v/>
      </c>
      <c r="C11" s="694" t="str">
        <f t="shared" si="0"/>
        <v/>
      </c>
      <c r="D11" s="694" t="str">
        <f t="shared" si="0"/>
        <v/>
      </c>
      <c r="E11" s="694" t="str">
        <f t="shared" si="0"/>
        <v/>
      </c>
      <c r="F11" s="695" t="str">
        <f t="shared" si="0"/>
        <v/>
      </c>
      <c r="G11" s="696" t="str">
        <f t="shared" si="0"/>
        <v/>
      </c>
      <c r="H11" s="694" t="str">
        <f t="shared" si="0"/>
        <v/>
      </c>
      <c r="I11" s="694" t="str">
        <f t="shared" si="0"/>
        <v/>
      </c>
      <c r="J11" s="694" t="str">
        <f t="shared" si="0"/>
        <v/>
      </c>
      <c r="K11" s="694" t="str">
        <f t="shared" si="0"/>
        <v/>
      </c>
      <c r="L11" s="694" t="str">
        <f t="shared" si="0"/>
        <v/>
      </c>
      <c r="M11" s="694" t="str">
        <f t="shared" si="0"/>
        <v/>
      </c>
      <c r="N11" s="694" t="str">
        <f t="shared" si="0"/>
        <v/>
      </c>
      <c r="O11" s="694" t="str">
        <f t="shared" si="0"/>
        <v/>
      </c>
      <c r="P11" s="694" t="str">
        <f t="shared" si="0"/>
        <v/>
      </c>
      <c r="Q11" s="694" t="str">
        <f t="shared" si="0"/>
        <v/>
      </c>
      <c r="R11" s="694" t="str">
        <f t="shared" si="0"/>
        <v/>
      </c>
      <c r="S11" s="694" t="str">
        <f t="shared" si="0"/>
        <v/>
      </c>
      <c r="T11" s="694" t="str">
        <f t="shared" si="0"/>
        <v/>
      </c>
      <c r="U11" s="694" t="str">
        <f t="shared" si="0"/>
        <v/>
      </c>
      <c r="V11" s="694" t="str">
        <f t="shared" si="0"/>
        <v/>
      </c>
      <c r="W11" s="694" t="str">
        <f t="shared" si="0"/>
        <v/>
      </c>
      <c r="X11" s="694" t="str">
        <f t="shared" si="0"/>
        <v/>
      </c>
      <c r="Y11" s="694" t="str">
        <f t="shared" si="0"/>
        <v/>
      </c>
      <c r="Z11" s="694" t="str">
        <f t="shared" si="0"/>
        <v/>
      </c>
      <c r="AA11" s="697"/>
    </row>
    <row r="12" spans="1:27" ht="19.5" thickBot="1">
      <c r="A12" s="698"/>
      <c r="B12" s="699"/>
      <c r="C12" s="699"/>
      <c r="D12" s="699"/>
      <c r="E12" s="699"/>
      <c r="F12" s="699"/>
      <c r="G12" s="699"/>
      <c r="H12" s="699"/>
      <c r="I12" s="699"/>
      <c r="J12" s="699"/>
      <c r="K12" s="699"/>
      <c r="L12" s="699"/>
      <c r="M12" s="699"/>
      <c r="N12" s="699"/>
      <c r="O12" s="699"/>
      <c r="P12" s="699"/>
      <c r="Q12" s="699"/>
      <c r="R12" s="699"/>
      <c r="S12" s="699"/>
      <c r="T12" s="699"/>
      <c r="U12" s="699"/>
      <c r="V12" s="699"/>
      <c r="W12" s="699"/>
      <c r="X12" s="699"/>
      <c r="Y12" s="699"/>
      <c r="Z12" s="699"/>
      <c r="AA12" s="700" t="s">
        <v>286</v>
      </c>
    </row>
    <row r="13" spans="1:27">
      <c r="A13" s="701" t="s">
        <v>283</v>
      </c>
      <c r="B13" s="702"/>
      <c r="C13" s="702"/>
      <c r="D13" s="702"/>
      <c r="E13" s="702"/>
      <c r="F13" s="702"/>
      <c r="G13" s="702"/>
      <c r="H13" s="702"/>
      <c r="I13" s="702"/>
      <c r="J13" s="702"/>
      <c r="K13" s="702"/>
      <c r="L13" s="702"/>
      <c r="M13" s="702"/>
      <c r="N13" s="702"/>
      <c r="O13" s="702"/>
      <c r="P13" s="702"/>
      <c r="Q13" s="702"/>
      <c r="R13" s="702"/>
      <c r="S13" s="702"/>
      <c r="T13" s="702"/>
      <c r="U13" s="702"/>
      <c r="V13" s="702"/>
      <c r="W13" s="702"/>
      <c r="X13" s="702"/>
      <c r="Y13" s="702"/>
      <c r="Z13" s="702"/>
      <c r="AA13" s="703"/>
    </row>
    <row r="14" spans="1:27" ht="16.5" thickBot="1">
      <c r="A14" s="704" t="s">
        <v>284</v>
      </c>
      <c r="B14" s="705"/>
      <c r="C14" s="705"/>
      <c r="D14" s="705"/>
      <c r="E14" s="705"/>
      <c r="F14" s="705"/>
      <c r="G14" s="705"/>
      <c r="H14" s="705"/>
      <c r="I14" s="705"/>
      <c r="J14" s="705"/>
      <c r="K14" s="705"/>
      <c r="L14" s="705"/>
      <c r="M14" s="705"/>
      <c r="N14" s="705"/>
      <c r="O14" s="705"/>
      <c r="P14" s="705"/>
      <c r="Q14" s="705"/>
      <c r="R14" s="705"/>
      <c r="S14" s="705"/>
      <c r="T14" s="705"/>
      <c r="U14" s="705"/>
      <c r="V14" s="705"/>
      <c r="W14" s="705"/>
      <c r="X14" s="705"/>
      <c r="Y14" s="705"/>
      <c r="Z14" s="705"/>
      <c r="AA14" s="706"/>
    </row>
    <row r="15" spans="1:27">
      <c r="A15" s="707" t="s">
        <v>556</v>
      </c>
      <c r="B15" s="708">
        <f>Wind_Resources_Costs!C22</f>
        <v>0</v>
      </c>
      <c r="C15" s="708"/>
      <c r="D15" s="708"/>
      <c r="E15" s="709"/>
      <c r="F15" s="709"/>
      <c r="G15" s="709"/>
      <c r="H15" s="710"/>
      <c r="I15" s="710"/>
      <c r="J15" s="710"/>
      <c r="K15" s="710"/>
      <c r="L15" s="710"/>
      <c r="M15" s="711"/>
      <c r="N15" s="711"/>
      <c r="O15" s="711"/>
      <c r="P15" s="711"/>
      <c r="Q15" s="711"/>
      <c r="R15" s="711"/>
      <c r="S15" s="711"/>
      <c r="T15" s="711"/>
      <c r="U15" s="711"/>
      <c r="V15" s="711"/>
      <c r="W15" s="711"/>
      <c r="X15" s="711"/>
      <c r="Y15" s="711"/>
      <c r="Z15" s="711"/>
      <c r="AA15" s="712">
        <f>SUM(B15:Z15)</f>
        <v>0</v>
      </c>
    </row>
    <row r="16" spans="1:27">
      <c r="A16" s="707"/>
      <c r="B16" s="708"/>
      <c r="C16" s="708"/>
      <c r="D16" s="708"/>
      <c r="E16" s="709"/>
      <c r="F16" s="709"/>
      <c r="G16" s="709"/>
      <c r="H16" s="710"/>
      <c r="I16" s="710"/>
      <c r="J16" s="710"/>
      <c r="K16" s="710"/>
      <c r="L16" s="710"/>
      <c r="M16" s="711"/>
      <c r="N16" s="711"/>
      <c r="O16" s="711"/>
      <c r="P16" s="711"/>
      <c r="Q16" s="711"/>
      <c r="R16" s="711"/>
      <c r="S16" s="711"/>
      <c r="T16" s="711"/>
      <c r="U16" s="711"/>
      <c r="V16" s="711"/>
      <c r="W16" s="711"/>
      <c r="X16" s="711"/>
      <c r="Y16" s="711"/>
      <c r="Z16" s="711"/>
      <c r="AA16" s="712"/>
    </row>
    <row r="17" spans="1:27">
      <c r="A17" s="707" t="s">
        <v>557</v>
      </c>
      <c r="B17" s="713">
        <f>Wind_Resources_Costs!C28</f>
        <v>0</v>
      </c>
      <c r="C17" s="713"/>
      <c r="D17" s="713"/>
      <c r="E17" s="714"/>
      <c r="F17" s="714"/>
      <c r="G17" s="714"/>
      <c r="H17" s="715"/>
      <c r="I17" s="715"/>
      <c r="J17" s="715"/>
      <c r="K17" s="715"/>
      <c r="L17" s="716"/>
      <c r="M17" s="717"/>
      <c r="N17" s="717"/>
      <c r="O17" s="717"/>
      <c r="P17" s="717"/>
      <c r="Q17" s="717"/>
      <c r="R17" s="717"/>
      <c r="S17" s="717"/>
      <c r="T17" s="717"/>
      <c r="U17" s="717"/>
      <c r="V17" s="717"/>
      <c r="W17" s="717"/>
      <c r="X17" s="717"/>
      <c r="Y17" s="717"/>
      <c r="Z17" s="717"/>
      <c r="AA17" s="712">
        <f>SUM(B17:Z17)</f>
        <v>0</v>
      </c>
    </row>
    <row r="18" spans="1:27">
      <c r="A18" s="707" t="s">
        <v>558</v>
      </c>
      <c r="B18" s="718">
        <f>Wind_Resources_Costs!C31</f>
        <v>0</v>
      </c>
      <c r="C18" s="718"/>
      <c r="D18" s="718"/>
      <c r="E18" s="719"/>
      <c r="F18" s="719"/>
      <c r="G18" s="719"/>
      <c r="H18" s="720"/>
      <c r="I18" s="720"/>
      <c r="J18" s="720"/>
      <c r="K18" s="720"/>
      <c r="L18" s="720"/>
      <c r="M18" s="720"/>
      <c r="N18" s="720"/>
      <c r="O18" s="720"/>
      <c r="P18" s="720"/>
      <c r="Q18" s="720"/>
      <c r="R18" s="720"/>
      <c r="S18" s="720"/>
      <c r="T18" s="720"/>
      <c r="U18" s="720"/>
      <c r="V18" s="720"/>
      <c r="W18" s="720"/>
      <c r="X18" s="720"/>
      <c r="Y18" s="720"/>
      <c r="Z18" s="720"/>
      <c r="AA18" s="721">
        <f>SUM(B18:Z18)</f>
        <v>0</v>
      </c>
    </row>
    <row r="19" spans="1:27">
      <c r="A19" s="707"/>
      <c r="B19" s="722"/>
      <c r="C19" s="723"/>
      <c r="D19" s="723"/>
      <c r="E19" s="722"/>
      <c r="F19" s="723"/>
      <c r="G19" s="723"/>
      <c r="H19" s="722"/>
      <c r="I19" s="722"/>
      <c r="J19" s="722"/>
      <c r="K19" s="722"/>
      <c r="L19" s="722"/>
      <c r="M19" s="724"/>
      <c r="N19" s="724"/>
      <c r="O19" s="724"/>
      <c r="P19" s="724"/>
      <c r="Q19" s="724"/>
      <c r="R19" s="724"/>
      <c r="S19" s="724"/>
      <c r="T19" s="724"/>
      <c r="U19" s="724"/>
      <c r="V19" s="724"/>
      <c r="W19" s="724"/>
      <c r="X19" s="724"/>
      <c r="Y19" s="724"/>
      <c r="Z19" s="724"/>
      <c r="AA19" s="725"/>
    </row>
    <row r="20" spans="1:27">
      <c r="A20" s="1240" t="s">
        <v>559</v>
      </c>
      <c r="B20" s="1241">
        <f>B17+B18</f>
        <v>0</v>
      </c>
      <c r="C20" s="1241">
        <f t="shared" ref="C20:Z20" si="1">C17+C18</f>
        <v>0</v>
      </c>
      <c r="D20" s="1241">
        <f t="shared" si="1"/>
        <v>0</v>
      </c>
      <c r="E20" s="1241">
        <f t="shared" si="1"/>
        <v>0</v>
      </c>
      <c r="F20" s="1241">
        <f t="shared" si="1"/>
        <v>0</v>
      </c>
      <c r="G20" s="1241">
        <f t="shared" si="1"/>
        <v>0</v>
      </c>
      <c r="H20" s="1241">
        <f t="shared" si="1"/>
        <v>0</v>
      </c>
      <c r="I20" s="1241">
        <f t="shared" si="1"/>
        <v>0</v>
      </c>
      <c r="J20" s="1241">
        <f t="shared" si="1"/>
        <v>0</v>
      </c>
      <c r="K20" s="1241">
        <f t="shared" si="1"/>
        <v>0</v>
      </c>
      <c r="L20" s="1241">
        <f t="shared" si="1"/>
        <v>0</v>
      </c>
      <c r="M20" s="1241">
        <f t="shared" si="1"/>
        <v>0</v>
      </c>
      <c r="N20" s="1241">
        <f t="shared" si="1"/>
        <v>0</v>
      </c>
      <c r="O20" s="1241">
        <f t="shared" si="1"/>
        <v>0</v>
      </c>
      <c r="P20" s="1241">
        <f t="shared" si="1"/>
        <v>0</v>
      </c>
      <c r="Q20" s="1241">
        <f t="shared" si="1"/>
        <v>0</v>
      </c>
      <c r="R20" s="1241">
        <f t="shared" si="1"/>
        <v>0</v>
      </c>
      <c r="S20" s="1241">
        <f t="shared" si="1"/>
        <v>0</v>
      </c>
      <c r="T20" s="1241">
        <f t="shared" si="1"/>
        <v>0</v>
      </c>
      <c r="U20" s="1241">
        <f t="shared" si="1"/>
        <v>0</v>
      </c>
      <c r="V20" s="1241">
        <f t="shared" si="1"/>
        <v>0</v>
      </c>
      <c r="W20" s="1241">
        <f t="shared" si="1"/>
        <v>0</v>
      </c>
      <c r="X20" s="1241">
        <f t="shared" si="1"/>
        <v>0</v>
      </c>
      <c r="Y20" s="1241">
        <f t="shared" si="1"/>
        <v>0</v>
      </c>
      <c r="Z20" s="1241">
        <f t="shared" si="1"/>
        <v>0</v>
      </c>
      <c r="AA20" s="1242">
        <f>SUM(B20:Z20)</f>
        <v>0</v>
      </c>
    </row>
    <row r="21" spans="1:27">
      <c r="A21" s="707" t="s">
        <v>440</v>
      </c>
      <c r="B21" s="726"/>
      <c r="C21" s="726"/>
      <c r="D21" s="713"/>
      <c r="E21" s="714"/>
      <c r="F21" s="714"/>
      <c r="G21" s="714"/>
      <c r="H21" s="720"/>
      <c r="I21" s="720"/>
      <c r="J21" s="720"/>
      <c r="K21" s="720"/>
      <c r="L21" s="720"/>
      <c r="M21" s="720"/>
      <c r="N21" s="720"/>
      <c r="O21" s="720"/>
      <c r="P21" s="720"/>
      <c r="Q21" s="720"/>
      <c r="R21" s="720"/>
      <c r="S21" s="720"/>
      <c r="T21" s="720"/>
      <c r="U21" s="720"/>
      <c r="V21" s="720"/>
      <c r="W21" s="720"/>
      <c r="X21" s="720"/>
      <c r="Y21" s="720"/>
      <c r="Z21" s="720"/>
      <c r="AA21" s="712">
        <f>SUM(B21:Z21)</f>
        <v>0</v>
      </c>
    </row>
    <row r="22" spans="1:27">
      <c r="A22" s="831" t="s">
        <v>560</v>
      </c>
      <c r="B22" s="832" t="s">
        <v>797</v>
      </c>
      <c r="C22" s="732"/>
      <c r="D22" s="732"/>
      <c r="E22" s="732"/>
      <c r="F22" s="732"/>
      <c r="G22" s="732"/>
      <c r="H22" s="727"/>
      <c r="I22" s="727"/>
      <c r="J22" s="727"/>
      <c r="K22" s="727"/>
      <c r="L22" s="727"/>
      <c r="M22" s="727"/>
      <c r="N22" s="727"/>
      <c r="O22" s="727"/>
      <c r="P22" s="727"/>
      <c r="Q22" s="727"/>
      <c r="R22" s="727"/>
      <c r="S22" s="727"/>
      <c r="T22" s="727"/>
      <c r="U22" s="727"/>
      <c r="V22" s="727"/>
      <c r="W22" s="727"/>
      <c r="X22" s="727"/>
      <c r="Y22" s="727"/>
      <c r="Z22" s="727"/>
      <c r="AA22" s="846">
        <f>'Sch 1- Rate Base '!G105*'A-RHWM_Ratios'!R50</f>
        <v>0</v>
      </c>
    </row>
    <row r="23" spans="1:27">
      <c r="A23" s="831" t="s">
        <v>406</v>
      </c>
      <c r="B23" s="832" t="s">
        <v>798</v>
      </c>
      <c r="C23" s="732"/>
      <c r="D23" s="732"/>
      <c r="E23" s="732"/>
      <c r="F23" s="732"/>
      <c r="G23" s="1627"/>
      <c r="H23" s="727"/>
      <c r="I23" s="727"/>
      <c r="J23" s="727"/>
      <c r="K23" s="727"/>
      <c r="L23" s="727"/>
      <c r="M23" s="727"/>
      <c r="N23" s="727"/>
      <c r="O23" s="727"/>
      <c r="P23" s="727"/>
      <c r="Q23" s="727"/>
      <c r="R23" s="727"/>
      <c r="S23" s="727"/>
      <c r="T23" s="727"/>
      <c r="U23" s="727"/>
      <c r="V23" s="727"/>
      <c r="W23" s="727"/>
      <c r="X23" s="727"/>
      <c r="Y23" s="727"/>
      <c r="Z23" s="727"/>
      <c r="AA23" s="846">
        <f>'A-RHWM_Ratios'!R37-'Sch 1- Rate Base '!G63*'A-RHWM_Ratios'!R38</f>
        <v>0</v>
      </c>
    </row>
    <row r="24" spans="1:27">
      <c r="A24" s="1240" t="s">
        <v>561</v>
      </c>
      <c r="B24" s="1241">
        <f t="shared" ref="B24:AA24" si="2">SUM(B20:B23)</f>
        <v>0</v>
      </c>
      <c r="C24" s="1241">
        <f t="shared" si="2"/>
        <v>0</v>
      </c>
      <c r="D24" s="1241">
        <f t="shared" si="2"/>
        <v>0</v>
      </c>
      <c r="E24" s="1241">
        <f t="shared" si="2"/>
        <v>0</v>
      </c>
      <c r="F24" s="1241">
        <f t="shared" si="2"/>
        <v>0</v>
      </c>
      <c r="G24" s="1241">
        <f t="shared" si="2"/>
        <v>0</v>
      </c>
      <c r="H24" s="1241">
        <f t="shared" si="2"/>
        <v>0</v>
      </c>
      <c r="I24" s="1241">
        <f t="shared" si="2"/>
        <v>0</v>
      </c>
      <c r="J24" s="1241">
        <f t="shared" si="2"/>
        <v>0</v>
      </c>
      <c r="K24" s="1241">
        <f t="shared" si="2"/>
        <v>0</v>
      </c>
      <c r="L24" s="1241">
        <f t="shared" si="2"/>
        <v>0</v>
      </c>
      <c r="M24" s="1241">
        <f t="shared" si="2"/>
        <v>0</v>
      </c>
      <c r="N24" s="1241">
        <f t="shared" si="2"/>
        <v>0</v>
      </c>
      <c r="O24" s="1241">
        <f t="shared" si="2"/>
        <v>0</v>
      </c>
      <c r="P24" s="1241">
        <f t="shared" si="2"/>
        <v>0</v>
      </c>
      <c r="Q24" s="1241">
        <f t="shared" si="2"/>
        <v>0</v>
      </c>
      <c r="R24" s="1241">
        <f t="shared" si="2"/>
        <v>0</v>
      </c>
      <c r="S24" s="1241">
        <f t="shared" si="2"/>
        <v>0</v>
      </c>
      <c r="T24" s="1241">
        <f t="shared" si="2"/>
        <v>0</v>
      </c>
      <c r="U24" s="1241">
        <f t="shared" si="2"/>
        <v>0</v>
      </c>
      <c r="V24" s="1241">
        <f t="shared" si="2"/>
        <v>0</v>
      </c>
      <c r="W24" s="1241">
        <f t="shared" si="2"/>
        <v>0</v>
      </c>
      <c r="X24" s="1241">
        <f t="shared" si="2"/>
        <v>0</v>
      </c>
      <c r="Y24" s="1241">
        <f t="shared" si="2"/>
        <v>0</v>
      </c>
      <c r="Z24" s="1241">
        <f t="shared" si="2"/>
        <v>0</v>
      </c>
      <c r="AA24" s="1242">
        <f t="shared" si="2"/>
        <v>0</v>
      </c>
    </row>
    <row r="25" spans="1:27">
      <c r="A25" s="1243" t="s">
        <v>277</v>
      </c>
      <c r="B25" s="1244">
        <f t="shared" ref="B25:AA25" si="3">$B$10</f>
        <v>8.3054675822784807E-2</v>
      </c>
      <c r="C25" s="1244">
        <f t="shared" si="3"/>
        <v>8.3054675822784807E-2</v>
      </c>
      <c r="D25" s="1244">
        <f t="shared" si="3"/>
        <v>8.3054675822784807E-2</v>
      </c>
      <c r="E25" s="1244">
        <f t="shared" si="3"/>
        <v>8.3054675822784807E-2</v>
      </c>
      <c r="F25" s="1244">
        <f t="shared" si="3"/>
        <v>8.3054675822784807E-2</v>
      </c>
      <c r="G25" s="1244">
        <f t="shared" si="3"/>
        <v>8.3054675822784807E-2</v>
      </c>
      <c r="H25" s="1244">
        <f t="shared" si="3"/>
        <v>8.3054675822784807E-2</v>
      </c>
      <c r="I25" s="1244">
        <f t="shared" si="3"/>
        <v>8.3054675822784807E-2</v>
      </c>
      <c r="J25" s="1244">
        <f t="shared" si="3"/>
        <v>8.3054675822784807E-2</v>
      </c>
      <c r="K25" s="1244">
        <f t="shared" si="3"/>
        <v>8.3054675822784807E-2</v>
      </c>
      <c r="L25" s="1244">
        <f t="shared" si="3"/>
        <v>8.3054675822784807E-2</v>
      </c>
      <c r="M25" s="1244">
        <f t="shared" si="3"/>
        <v>8.3054675822784807E-2</v>
      </c>
      <c r="N25" s="1244">
        <f t="shared" si="3"/>
        <v>8.3054675822784807E-2</v>
      </c>
      <c r="O25" s="1244">
        <f t="shared" si="3"/>
        <v>8.3054675822784807E-2</v>
      </c>
      <c r="P25" s="1244">
        <f t="shared" si="3"/>
        <v>8.3054675822784807E-2</v>
      </c>
      <c r="Q25" s="1244">
        <f t="shared" si="3"/>
        <v>8.3054675822784807E-2</v>
      </c>
      <c r="R25" s="1244">
        <f t="shared" si="3"/>
        <v>8.3054675822784807E-2</v>
      </c>
      <c r="S25" s="1244">
        <f t="shared" si="3"/>
        <v>8.3054675822784807E-2</v>
      </c>
      <c r="T25" s="1244">
        <f t="shared" si="3"/>
        <v>8.3054675822784807E-2</v>
      </c>
      <c r="U25" s="1244">
        <f t="shared" si="3"/>
        <v>8.3054675822784807E-2</v>
      </c>
      <c r="V25" s="1244">
        <f t="shared" si="3"/>
        <v>8.3054675822784807E-2</v>
      </c>
      <c r="W25" s="1244">
        <f t="shared" si="3"/>
        <v>8.3054675822784807E-2</v>
      </c>
      <c r="X25" s="1244">
        <f t="shared" si="3"/>
        <v>8.3054675822784807E-2</v>
      </c>
      <c r="Y25" s="1244">
        <f t="shared" si="3"/>
        <v>8.3054675822784807E-2</v>
      </c>
      <c r="Z25" s="1244">
        <f t="shared" si="3"/>
        <v>8.3054675822784807E-2</v>
      </c>
      <c r="AA25" s="1245">
        <f t="shared" si="3"/>
        <v>8.3054675822784807E-2</v>
      </c>
    </row>
    <row r="26" spans="1:27">
      <c r="A26" s="1240" t="s">
        <v>562</v>
      </c>
      <c r="B26" s="1241">
        <f t="shared" ref="B26:AA26" si="4">B24*B25</f>
        <v>0</v>
      </c>
      <c r="C26" s="1241">
        <f t="shared" si="4"/>
        <v>0</v>
      </c>
      <c r="D26" s="1241">
        <f t="shared" si="4"/>
        <v>0</v>
      </c>
      <c r="E26" s="1241">
        <f t="shared" si="4"/>
        <v>0</v>
      </c>
      <c r="F26" s="1241">
        <f t="shared" si="4"/>
        <v>0</v>
      </c>
      <c r="G26" s="1241">
        <f t="shared" si="4"/>
        <v>0</v>
      </c>
      <c r="H26" s="1241">
        <f t="shared" si="4"/>
        <v>0</v>
      </c>
      <c r="I26" s="1241">
        <f t="shared" si="4"/>
        <v>0</v>
      </c>
      <c r="J26" s="1241">
        <f t="shared" si="4"/>
        <v>0</v>
      </c>
      <c r="K26" s="1241">
        <f t="shared" si="4"/>
        <v>0</v>
      </c>
      <c r="L26" s="1241">
        <f t="shared" si="4"/>
        <v>0</v>
      </c>
      <c r="M26" s="1241">
        <f t="shared" si="4"/>
        <v>0</v>
      </c>
      <c r="N26" s="1241">
        <f t="shared" si="4"/>
        <v>0</v>
      </c>
      <c r="O26" s="1241">
        <f t="shared" si="4"/>
        <v>0</v>
      </c>
      <c r="P26" s="1241">
        <f t="shared" si="4"/>
        <v>0</v>
      </c>
      <c r="Q26" s="1241">
        <f t="shared" si="4"/>
        <v>0</v>
      </c>
      <c r="R26" s="1241">
        <f t="shared" si="4"/>
        <v>0</v>
      </c>
      <c r="S26" s="1241">
        <f t="shared" si="4"/>
        <v>0</v>
      </c>
      <c r="T26" s="1241">
        <f t="shared" si="4"/>
        <v>0</v>
      </c>
      <c r="U26" s="1241">
        <f t="shared" si="4"/>
        <v>0</v>
      </c>
      <c r="V26" s="1241">
        <f t="shared" si="4"/>
        <v>0</v>
      </c>
      <c r="W26" s="1241">
        <f t="shared" si="4"/>
        <v>0</v>
      </c>
      <c r="X26" s="1241">
        <f t="shared" si="4"/>
        <v>0</v>
      </c>
      <c r="Y26" s="1241">
        <f t="shared" si="4"/>
        <v>0</v>
      </c>
      <c r="Z26" s="1241">
        <f t="shared" si="4"/>
        <v>0</v>
      </c>
      <c r="AA26" s="1242">
        <f t="shared" si="4"/>
        <v>0</v>
      </c>
    </row>
    <row r="27" spans="1:27">
      <c r="A27" s="707"/>
      <c r="B27" s="713"/>
      <c r="C27" s="713"/>
      <c r="D27" s="713"/>
      <c r="E27" s="714"/>
      <c r="F27" s="714"/>
      <c r="G27" s="714"/>
      <c r="H27" s="713"/>
      <c r="I27" s="713"/>
      <c r="J27" s="713"/>
      <c r="K27" s="713"/>
      <c r="L27" s="713"/>
      <c r="M27" s="713"/>
      <c r="N27" s="713"/>
      <c r="O27" s="713"/>
      <c r="P27" s="713"/>
      <c r="Q27" s="713"/>
      <c r="R27" s="713"/>
      <c r="S27" s="713"/>
      <c r="T27" s="713"/>
      <c r="U27" s="713"/>
      <c r="V27" s="713"/>
      <c r="W27" s="713"/>
      <c r="X27" s="713"/>
      <c r="Y27" s="713"/>
      <c r="Z27" s="713"/>
      <c r="AA27" s="712"/>
    </row>
    <row r="28" spans="1:27">
      <c r="A28" s="728" t="s">
        <v>407</v>
      </c>
      <c r="B28" s="713"/>
      <c r="C28" s="713"/>
      <c r="D28" s="713"/>
      <c r="E28" s="714"/>
      <c r="F28" s="714"/>
      <c r="G28" s="714"/>
      <c r="H28" s="713"/>
      <c r="I28" s="713"/>
      <c r="J28" s="713"/>
      <c r="K28" s="713"/>
      <c r="L28" s="713"/>
      <c r="M28" s="713"/>
      <c r="N28" s="713"/>
      <c r="O28" s="713"/>
      <c r="P28" s="713"/>
      <c r="Q28" s="713"/>
      <c r="R28" s="713"/>
      <c r="S28" s="713"/>
      <c r="T28" s="713"/>
      <c r="U28" s="713"/>
      <c r="V28" s="713"/>
      <c r="W28" s="713"/>
      <c r="X28" s="713"/>
      <c r="Y28" s="713"/>
      <c r="Z28" s="713"/>
      <c r="AA28" s="712"/>
    </row>
    <row r="29" spans="1:27">
      <c r="A29" s="728" t="s">
        <v>409</v>
      </c>
      <c r="B29" s="713">
        <f>Wind_Resources_Costs!C32</f>
        <v>0</v>
      </c>
      <c r="C29" s="713"/>
      <c r="D29" s="713"/>
      <c r="E29" s="714"/>
      <c r="F29" s="714"/>
      <c r="G29" s="714"/>
      <c r="H29" s="715"/>
      <c r="I29" s="715"/>
      <c r="J29" s="715"/>
      <c r="K29" s="715"/>
      <c r="L29" s="729"/>
      <c r="M29" s="717"/>
      <c r="N29" s="717"/>
      <c r="O29" s="717"/>
      <c r="P29" s="717"/>
      <c r="Q29" s="717"/>
      <c r="R29" s="717"/>
      <c r="S29" s="717"/>
      <c r="T29" s="717"/>
      <c r="U29" s="717"/>
      <c r="V29" s="717"/>
      <c r="W29" s="717"/>
      <c r="X29" s="717"/>
      <c r="Y29" s="717"/>
      <c r="Z29" s="717"/>
      <c r="AA29" s="712">
        <f>SUM(B29:Z29)</f>
        <v>0</v>
      </c>
    </row>
    <row r="30" spans="1:27">
      <c r="A30" s="831" t="s">
        <v>92</v>
      </c>
      <c r="B30" s="832" t="s">
        <v>799</v>
      </c>
      <c r="C30" s="732"/>
      <c r="D30" s="732"/>
      <c r="E30" s="732"/>
      <c r="F30" s="732"/>
      <c r="G30" s="1627"/>
      <c r="H30" s="1627"/>
      <c r="I30" s="1627"/>
      <c r="J30" s="1627"/>
      <c r="K30" s="1627"/>
      <c r="L30" s="1628"/>
      <c r="M30" s="1629"/>
      <c r="N30" s="1629"/>
      <c r="O30" s="1629"/>
      <c r="P30" s="1629"/>
      <c r="Q30" s="1629"/>
      <c r="R30" s="1629"/>
      <c r="S30" s="1629"/>
      <c r="T30" s="1629"/>
      <c r="U30" s="1629"/>
      <c r="V30" s="1629"/>
      <c r="W30" s="1629"/>
      <c r="X30" s="1629"/>
      <c r="Y30" s="1629"/>
      <c r="Z30" s="1629"/>
      <c r="AA30" s="846">
        <f>'Sch 3 - Expenses'!G91*'A-RHWM_Ratios'!R38</f>
        <v>0</v>
      </c>
    </row>
    <row r="31" spans="1:27">
      <c r="A31" s="728" t="s">
        <v>411</v>
      </c>
      <c r="B31" s="713"/>
      <c r="C31" s="713"/>
      <c r="D31" s="713"/>
      <c r="E31" s="714"/>
      <c r="F31" s="714"/>
      <c r="G31" s="714"/>
      <c r="H31" s="715"/>
      <c r="I31" s="715"/>
      <c r="J31" s="715"/>
      <c r="K31" s="715"/>
      <c r="L31" s="729"/>
      <c r="M31" s="717"/>
      <c r="N31" s="717"/>
      <c r="O31" s="717"/>
      <c r="P31" s="717"/>
      <c r="Q31" s="717"/>
      <c r="R31" s="717"/>
      <c r="S31" s="717"/>
      <c r="T31" s="717"/>
      <c r="U31" s="717"/>
      <c r="V31" s="717"/>
      <c r="W31" s="717"/>
      <c r="X31" s="717"/>
      <c r="Y31" s="717"/>
      <c r="Z31" s="717"/>
      <c r="AA31" s="712">
        <f>SUM(AA29:AA30)</f>
        <v>0</v>
      </c>
    </row>
    <row r="32" spans="1:27">
      <c r="A32" s="728"/>
      <c r="B32" s="713"/>
      <c r="C32" s="713"/>
      <c r="D32" s="713"/>
      <c r="E32" s="714"/>
      <c r="F32" s="714"/>
      <c r="G32" s="714"/>
      <c r="H32" s="715"/>
      <c r="I32" s="715"/>
      <c r="J32" s="715"/>
      <c r="K32" s="715"/>
      <c r="L32" s="729"/>
      <c r="M32" s="717"/>
      <c r="N32" s="717"/>
      <c r="O32" s="717"/>
      <c r="P32" s="717"/>
      <c r="Q32" s="717"/>
      <c r="R32" s="717"/>
      <c r="S32" s="717"/>
      <c r="T32" s="717"/>
      <c r="U32" s="717"/>
      <c r="V32" s="717"/>
      <c r="W32" s="717"/>
      <c r="X32" s="717"/>
      <c r="Y32" s="717"/>
      <c r="Z32" s="717"/>
      <c r="AA32" s="712"/>
    </row>
    <row r="33" spans="1:27">
      <c r="A33" s="728" t="s">
        <v>232</v>
      </c>
      <c r="B33" s="713">
        <f>SUM(Wind_Resources_Costs!C34:C37)</f>
        <v>0</v>
      </c>
      <c r="C33" s="713"/>
      <c r="D33" s="713"/>
      <c r="E33" s="714"/>
      <c r="F33" s="714"/>
      <c r="G33" s="714"/>
      <c r="H33" s="715"/>
      <c r="I33" s="715"/>
      <c r="J33" s="715"/>
      <c r="K33" s="715"/>
      <c r="L33" s="729"/>
      <c r="M33" s="717"/>
      <c r="N33" s="717"/>
      <c r="O33" s="717"/>
      <c r="P33" s="717"/>
      <c r="Q33" s="717"/>
      <c r="R33" s="717"/>
      <c r="S33" s="717"/>
      <c r="T33" s="717"/>
      <c r="U33" s="717"/>
      <c r="V33" s="717"/>
      <c r="W33" s="717"/>
      <c r="X33" s="717"/>
      <c r="Y33" s="717"/>
      <c r="Z33" s="717"/>
      <c r="AA33" s="712">
        <f>SUM(B33:Z33)</f>
        <v>0</v>
      </c>
    </row>
    <row r="34" spans="1:27">
      <c r="A34" s="728" t="s">
        <v>233</v>
      </c>
      <c r="B34" s="713">
        <f>SUM(Wind_Resources_Costs!C38:C40)</f>
        <v>0</v>
      </c>
      <c r="C34" s="713"/>
      <c r="D34" s="713"/>
      <c r="E34" s="730"/>
      <c r="F34" s="730"/>
      <c r="G34" s="730"/>
      <c r="H34" s="715"/>
      <c r="I34" s="715"/>
      <c r="J34" s="715"/>
      <c r="K34" s="715"/>
      <c r="L34" s="729"/>
      <c r="M34" s="717"/>
      <c r="N34" s="717"/>
      <c r="O34" s="717"/>
      <c r="P34" s="717"/>
      <c r="Q34" s="717"/>
      <c r="R34" s="717"/>
      <c r="S34" s="717"/>
      <c r="T34" s="717"/>
      <c r="U34" s="717"/>
      <c r="V34" s="717"/>
      <c r="W34" s="717"/>
      <c r="X34" s="717"/>
      <c r="Y34" s="717"/>
      <c r="Z34" s="717"/>
      <c r="AA34" s="712">
        <f>SUM(B34:Z34)</f>
        <v>0</v>
      </c>
    </row>
    <row r="35" spans="1:27">
      <c r="A35" s="707" t="s">
        <v>563</v>
      </c>
      <c r="B35" s="713"/>
      <c r="C35" s="713"/>
      <c r="D35" s="714"/>
      <c r="E35" s="731"/>
      <c r="F35" s="731"/>
      <c r="G35" s="731"/>
      <c r="H35" s="715"/>
      <c r="I35" s="715"/>
      <c r="J35" s="715"/>
      <c r="K35" s="715"/>
      <c r="L35" s="715"/>
      <c r="M35" s="717"/>
      <c r="N35" s="717"/>
      <c r="O35" s="717"/>
      <c r="P35" s="717"/>
      <c r="Q35" s="717"/>
      <c r="R35" s="717"/>
      <c r="S35" s="717"/>
      <c r="T35" s="717"/>
      <c r="U35" s="717"/>
      <c r="V35" s="717"/>
      <c r="W35" s="717"/>
      <c r="X35" s="717"/>
      <c r="Y35" s="717"/>
      <c r="Z35" s="717"/>
      <c r="AA35" s="712">
        <f>SUM(B35:Z35)</f>
        <v>0</v>
      </c>
    </row>
    <row r="36" spans="1:27">
      <c r="A36" s="831" t="s">
        <v>564</v>
      </c>
      <c r="B36" s="732" t="s">
        <v>800</v>
      </c>
      <c r="C36" s="732"/>
      <c r="D36" s="833"/>
      <c r="E36" s="833"/>
      <c r="F36" s="833"/>
      <c r="G36" s="833"/>
      <c r="H36" s="732"/>
      <c r="I36" s="732"/>
      <c r="J36" s="732"/>
      <c r="K36" s="732"/>
      <c r="L36" s="732"/>
      <c r="M36" s="733"/>
      <c r="N36" s="733"/>
      <c r="O36" s="733"/>
      <c r="P36" s="733"/>
      <c r="Q36" s="733"/>
      <c r="R36" s="733"/>
      <c r="S36" s="733"/>
      <c r="T36" s="733"/>
      <c r="U36" s="733"/>
      <c r="V36" s="733"/>
      <c r="W36" s="733"/>
      <c r="X36" s="733"/>
      <c r="Y36" s="733"/>
      <c r="Z36" s="733"/>
      <c r="AA36" s="846">
        <f>('Sch 3 - Expenses'!G59+'Sch 3 - Expenses'!G60-'Sch 3 - Expenses'!G61+'Sch 3 - Expenses'!G62+'Sch 3 - Expenses'!G64+'Sch 3 - Expenses'!G65)*'A-RHWM_Ratios'!R22+('Sch 3 - Expenses'!G63-'Sch 3 - Expenses'!G68)*'A-RHWM_Ratios'!R59+'Sch 3 - Expenses'!G74*'A-RHWM_Ratios'!R74</f>
        <v>0</v>
      </c>
    </row>
    <row r="37" spans="1:27">
      <c r="A37" s="707" t="s">
        <v>235</v>
      </c>
      <c r="B37" s="713"/>
      <c r="C37" s="713"/>
      <c r="D37" s="714"/>
      <c r="E37" s="714"/>
      <c r="F37" s="714"/>
      <c r="G37" s="714"/>
      <c r="H37" s="714"/>
      <c r="I37" s="714"/>
      <c r="J37" s="714"/>
      <c r="K37" s="714"/>
      <c r="L37" s="714"/>
      <c r="M37" s="714"/>
      <c r="N37" s="714"/>
      <c r="O37" s="714"/>
      <c r="P37" s="714"/>
      <c r="Q37" s="714"/>
      <c r="R37" s="714"/>
      <c r="S37" s="714"/>
      <c r="T37" s="714"/>
      <c r="U37" s="714"/>
      <c r="V37" s="714"/>
      <c r="W37" s="714"/>
      <c r="X37" s="714"/>
      <c r="Y37" s="714"/>
      <c r="Z37" s="714"/>
      <c r="AA37" s="712">
        <f>SUM(B37:Z37)</f>
        <v>0</v>
      </c>
    </row>
    <row r="38" spans="1:27">
      <c r="A38" s="831" t="s">
        <v>236</v>
      </c>
      <c r="B38" s="732" t="s">
        <v>801</v>
      </c>
      <c r="C38" s="732"/>
      <c r="D38" s="833"/>
      <c r="E38" s="833"/>
      <c r="F38" s="833"/>
      <c r="G38" s="833"/>
      <c r="H38" s="734"/>
      <c r="I38" s="735"/>
      <c r="J38" s="735"/>
      <c r="K38" s="735"/>
      <c r="L38" s="736"/>
      <c r="M38" s="737"/>
      <c r="N38" s="737"/>
      <c r="O38" s="737"/>
      <c r="P38" s="737"/>
      <c r="Q38" s="737"/>
      <c r="R38" s="737"/>
      <c r="S38" s="737"/>
      <c r="T38" s="737"/>
      <c r="U38" s="737"/>
      <c r="V38" s="737"/>
      <c r="W38" s="737"/>
      <c r="X38" s="737"/>
      <c r="Y38" s="737"/>
      <c r="Z38" s="737"/>
      <c r="AA38" s="846">
        <f>'Sch 3A - Taxes'!F17*'A-RHWM_Ratios'!R22</f>
        <v>0</v>
      </c>
    </row>
    <row r="39" spans="1:27">
      <c r="A39" s="831" t="s">
        <v>237</v>
      </c>
      <c r="B39" s="732" t="s">
        <v>802</v>
      </c>
      <c r="C39" s="732"/>
      <c r="D39" s="833"/>
      <c r="E39" s="833"/>
      <c r="F39" s="833"/>
      <c r="G39" s="833"/>
      <c r="H39" s="734"/>
      <c r="I39" s="735"/>
      <c r="J39" s="735"/>
      <c r="K39" s="735"/>
      <c r="L39" s="736"/>
      <c r="M39" s="737"/>
      <c r="N39" s="737"/>
      <c r="O39" s="737"/>
      <c r="P39" s="737"/>
      <c r="Q39" s="737"/>
      <c r="R39" s="737"/>
      <c r="S39" s="737"/>
      <c r="T39" s="737"/>
      <c r="U39" s="737"/>
      <c r="V39" s="737"/>
      <c r="W39" s="737"/>
      <c r="X39" s="737"/>
      <c r="Y39" s="737"/>
      <c r="Z39" s="737"/>
      <c r="AA39" s="846">
        <f>'Sch 3A - Taxes'!F23*'A-RHWM_Ratios'!R22</f>
        <v>0</v>
      </c>
    </row>
    <row r="40" spans="1:27">
      <c r="A40" s="831" t="s">
        <v>271</v>
      </c>
      <c r="B40" s="732" t="s">
        <v>803</v>
      </c>
      <c r="C40" s="732"/>
      <c r="D40" s="833"/>
      <c r="E40" s="833"/>
      <c r="F40" s="833"/>
      <c r="G40" s="833"/>
      <c r="H40" s="734"/>
      <c r="I40" s="735"/>
      <c r="J40" s="735"/>
      <c r="K40" s="735"/>
      <c r="L40" s="736"/>
      <c r="M40" s="737"/>
      <c r="N40" s="737"/>
      <c r="O40" s="737"/>
      <c r="P40" s="737"/>
      <c r="Q40" s="737"/>
      <c r="R40" s="737"/>
      <c r="S40" s="737"/>
      <c r="T40" s="737"/>
      <c r="U40" s="737"/>
      <c r="V40" s="737"/>
      <c r="W40" s="737"/>
      <c r="X40" s="737"/>
      <c r="Y40" s="737"/>
      <c r="Z40" s="737"/>
      <c r="AA40" s="846">
        <f>'Sch 3A - Taxes'!F22*'A-RHWM_Ratios'!R59</f>
        <v>0</v>
      </c>
    </row>
    <row r="41" spans="1:27">
      <c r="A41" s="738"/>
      <c r="B41" s="739"/>
      <c r="C41" s="739"/>
      <c r="D41" s="739"/>
      <c r="E41" s="739"/>
      <c r="F41" s="740"/>
      <c r="G41" s="740"/>
      <c r="H41" s="740"/>
      <c r="I41" s="741"/>
      <c r="J41" s="741"/>
      <c r="K41" s="741"/>
      <c r="L41" s="741"/>
      <c r="M41" s="742"/>
      <c r="N41" s="742"/>
      <c r="O41" s="742"/>
      <c r="P41" s="742"/>
      <c r="Q41" s="742"/>
      <c r="R41" s="742"/>
      <c r="S41" s="742"/>
      <c r="T41" s="742"/>
      <c r="U41" s="742"/>
      <c r="V41" s="742"/>
      <c r="W41" s="742"/>
      <c r="X41" s="742"/>
      <c r="Y41" s="742"/>
      <c r="Z41" s="742"/>
      <c r="AA41" s="743"/>
    </row>
    <row r="42" spans="1:27">
      <c r="A42" s="707" t="s">
        <v>565</v>
      </c>
      <c r="B42" s="744"/>
      <c r="C42" s="744"/>
      <c r="D42" s="744"/>
      <c r="E42" s="744"/>
      <c r="F42" s="744"/>
      <c r="G42" s="744"/>
      <c r="H42" s="744"/>
      <c r="I42" s="744"/>
      <c r="J42" s="744"/>
      <c r="K42" s="744"/>
      <c r="L42" s="744"/>
      <c r="M42" s="745"/>
      <c r="N42" s="745"/>
      <c r="O42" s="745"/>
      <c r="P42" s="745"/>
      <c r="Q42" s="745"/>
      <c r="R42" s="745"/>
      <c r="S42" s="745"/>
      <c r="T42" s="745"/>
      <c r="U42" s="745"/>
      <c r="V42" s="745"/>
      <c r="W42" s="745"/>
      <c r="X42" s="745"/>
      <c r="Y42" s="745"/>
      <c r="Z42" s="745"/>
      <c r="AA42" s="712">
        <f>SUM(AA26,AA31,AA33:AA40)</f>
        <v>0</v>
      </c>
    </row>
    <row r="43" spans="1:27" ht="16.5" thickBot="1">
      <c r="A43" s="746" t="s">
        <v>566</v>
      </c>
      <c r="B43" s="747"/>
      <c r="C43" s="747"/>
      <c r="D43" s="747"/>
      <c r="E43" s="747"/>
      <c r="F43" s="747"/>
      <c r="G43" s="747"/>
      <c r="H43" s="747"/>
      <c r="I43" s="747"/>
      <c r="J43" s="747"/>
      <c r="K43" s="747"/>
      <c r="L43" s="747"/>
      <c r="M43" s="748"/>
      <c r="N43" s="748"/>
      <c r="O43" s="748"/>
      <c r="P43" s="748"/>
      <c r="Q43" s="748"/>
      <c r="R43" s="748"/>
      <c r="S43" s="748"/>
      <c r="T43" s="748"/>
      <c r="U43" s="748"/>
      <c r="V43" s="748"/>
      <c r="W43" s="748"/>
      <c r="X43" s="748"/>
      <c r="Y43" s="748"/>
      <c r="Z43" s="748"/>
      <c r="AA43" s="749">
        <f>IF(AA15&gt;0,AA42/AA15*1000,0)</f>
        <v>0</v>
      </c>
    </row>
    <row r="44" spans="1:27">
      <c r="A44" s="750"/>
      <c r="B44" s="751"/>
      <c r="C44" s="751"/>
      <c r="D44" s="751"/>
      <c r="E44" s="751"/>
      <c r="F44" s="688"/>
      <c r="G44" s="688"/>
      <c r="H44" s="752"/>
      <c r="I44" s="688"/>
      <c r="J44" s="688"/>
      <c r="K44" s="688"/>
      <c r="L44" s="688"/>
      <c r="M44" s="688"/>
      <c r="N44" s="688"/>
      <c r="O44" s="688"/>
      <c r="P44" s="688"/>
      <c r="Q44" s="688"/>
      <c r="R44" s="688"/>
      <c r="S44" s="688"/>
      <c r="T44" s="688"/>
      <c r="U44" s="688"/>
      <c r="V44" s="688"/>
      <c r="W44" s="688"/>
      <c r="X44" s="688"/>
      <c r="Y44" s="688"/>
      <c r="Z44" s="688"/>
      <c r="AA44" s="753"/>
    </row>
    <row r="45" spans="1:27">
      <c r="A45" s="754" t="s">
        <v>761</v>
      </c>
      <c r="B45" s="751"/>
      <c r="C45" s="751"/>
      <c r="D45" s="751"/>
      <c r="E45" s="755"/>
      <c r="F45" s="688"/>
      <c r="G45" s="688"/>
      <c r="H45" s="688"/>
      <c r="I45" s="688"/>
      <c r="J45" s="688"/>
      <c r="K45" s="688"/>
      <c r="L45" s="688"/>
      <c r="M45" s="688"/>
      <c r="N45" s="688"/>
      <c r="O45" s="688"/>
      <c r="P45" s="688"/>
      <c r="Q45" s="688"/>
      <c r="R45" s="688"/>
      <c r="S45" s="688"/>
      <c r="T45" s="688"/>
      <c r="U45" s="688"/>
      <c r="V45" s="688"/>
      <c r="W45" s="688"/>
      <c r="X45" s="688"/>
      <c r="Y45" s="688"/>
      <c r="Z45" s="688"/>
      <c r="AA45" s="756">
        <f>IF(AA15&gt;0,AA42/AA15*1000,0)</f>
        <v>0</v>
      </c>
    </row>
    <row r="46" spans="1:27">
      <c r="A46" s="754" t="s">
        <v>567</v>
      </c>
      <c r="B46" s="751"/>
      <c r="C46" s="751"/>
      <c r="D46" s="751"/>
      <c r="E46" s="755"/>
      <c r="F46" s="688"/>
      <c r="G46" s="688"/>
      <c r="H46" s="688"/>
      <c r="I46" s="688"/>
      <c r="J46" s="688"/>
      <c r="K46" s="688"/>
      <c r="L46" s="688"/>
      <c r="M46" s="688"/>
      <c r="N46" s="688"/>
      <c r="O46" s="688"/>
      <c r="P46" s="688"/>
      <c r="Q46" s="688"/>
      <c r="R46" s="688"/>
      <c r="S46" s="688"/>
      <c r="T46" s="688"/>
      <c r="U46" s="688"/>
      <c r="V46" s="688"/>
      <c r="W46" s="688"/>
      <c r="X46" s="688"/>
      <c r="Y46" s="688"/>
      <c r="Z46" s="688"/>
      <c r="AA46" s="756">
        <f>IF('Sch 4 - Average System Cost'!D39=0,0,'Sch 4 - Average System Cost'!D33/('Sch 4 - Average System Cost'!D39+'Sch 4 - Average System Cost'!D42))</f>
        <v>0</v>
      </c>
    </row>
    <row r="47" spans="1:27" ht="20.25">
      <c r="A47" s="757" t="s">
        <v>872</v>
      </c>
      <c r="B47" s="758"/>
      <c r="C47" s="758"/>
      <c r="D47" s="758"/>
      <c r="E47" s="759"/>
      <c r="F47" s="760"/>
      <c r="G47" s="760"/>
      <c r="H47" s="760"/>
      <c r="I47" s="760"/>
      <c r="J47" s="760"/>
      <c r="K47" s="760"/>
      <c r="L47" s="760"/>
      <c r="M47" s="760"/>
      <c r="N47" s="760"/>
      <c r="O47" s="760"/>
      <c r="P47" s="760"/>
      <c r="Q47" s="760"/>
      <c r="R47" s="760"/>
      <c r="S47" s="760"/>
      <c r="T47" s="760"/>
      <c r="U47" s="760"/>
      <c r="V47" s="760"/>
      <c r="W47" s="760"/>
      <c r="X47" s="760"/>
      <c r="Y47" s="760"/>
      <c r="Z47" s="760"/>
      <c r="AA47" s="761">
        <f>SUM(AA45:AA46)</f>
        <v>0</v>
      </c>
    </row>
    <row r="48" spans="1:27" hidden="1">
      <c r="A48" s="762"/>
      <c r="B48" s="763"/>
      <c r="C48" s="763"/>
      <c r="D48" s="763"/>
      <c r="E48" s="764"/>
      <c r="F48" s="688"/>
      <c r="G48" s="688"/>
      <c r="H48" s="688"/>
      <c r="I48" s="688"/>
      <c r="J48" s="688"/>
      <c r="K48" s="688"/>
      <c r="L48" s="688"/>
      <c r="M48" s="688"/>
      <c r="N48" s="688"/>
      <c r="O48" s="688"/>
      <c r="P48" s="688"/>
      <c r="Q48" s="688"/>
      <c r="R48" s="688"/>
      <c r="S48" s="688"/>
      <c r="T48" s="688"/>
      <c r="U48" s="688"/>
      <c r="V48" s="688"/>
      <c r="W48" s="688"/>
      <c r="X48" s="688"/>
      <c r="Y48" s="688"/>
      <c r="Z48" s="688"/>
      <c r="AA48" s="765"/>
    </row>
    <row r="49" spans="1:27" ht="18.75" hidden="1">
      <c r="A49" s="766"/>
      <c r="B49" s="688"/>
      <c r="C49" s="688"/>
      <c r="D49" s="688"/>
      <c r="E49" s="767"/>
      <c r="F49" s="688"/>
      <c r="G49" s="688"/>
      <c r="H49" s="688"/>
      <c r="I49" s="688"/>
      <c r="J49" s="688"/>
      <c r="K49" s="688"/>
      <c r="L49" s="688"/>
      <c r="M49" s="688"/>
      <c r="N49" s="688"/>
      <c r="O49" s="688"/>
      <c r="P49" s="688"/>
      <c r="Q49" s="688"/>
      <c r="R49" s="688"/>
      <c r="S49" s="688"/>
      <c r="T49" s="688"/>
      <c r="U49" s="688"/>
      <c r="V49" s="688"/>
      <c r="W49" s="688"/>
      <c r="X49" s="688"/>
      <c r="Y49" s="688"/>
      <c r="Z49" s="688"/>
      <c r="AA49" s="768"/>
    </row>
    <row r="50" spans="1:27" ht="19.5" thickBot="1">
      <c r="A50" s="769"/>
      <c r="B50" s="770"/>
      <c r="C50" s="770"/>
      <c r="D50" s="770"/>
      <c r="E50" s="770"/>
      <c r="F50" s="770"/>
      <c r="G50" s="770"/>
      <c r="H50" s="770"/>
      <c r="I50" s="770"/>
      <c r="J50" s="770"/>
      <c r="K50" s="770"/>
      <c r="L50" s="770"/>
      <c r="M50" s="770"/>
      <c r="N50" s="770"/>
      <c r="O50" s="770"/>
      <c r="P50" s="770"/>
      <c r="Q50" s="770"/>
      <c r="R50" s="770"/>
      <c r="S50" s="770"/>
      <c r="T50" s="770"/>
      <c r="U50" s="770"/>
      <c r="V50" s="770"/>
      <c r="W50" s="770"/>
      <c r="X50" s="770"/>
      <c r="Y50" s="770"/>
      <c r="Z50" s="770"/>
      <c r="AA50" s="771"/>
    </row>
    <row r="51" spans="1:27" ht="16.5" thickTop="1"/>
  </sheetData>
  <mergeCells count="3">
    <mergeCell ref="A4:AA4"/>
    <mergeCell ref="A5:AA5"/>
    <mergeCell ref="A6:AA6"/>
  </mergeCells>
  <conditionalFormatting sqref="E35:G35">
    <cfRule type="expression" dxfId="0" priority="1" stopIfTrue="1">
      <formula>MOD(ROW(),2)=1</formula>
    </cfRule>
  </conditionalFormatting>
  <dataValidations disablePrompts="1" count="1">
    <dataValidation type="list" allowBlank="1" showInputMessage="1" showErrorMessage="1" sqref="B14:Z14" xr:uid="{00000000-0002-0000-1500-000000000000}">
      <formula1>"Coal, Natural Gas, Geo-Therm, Hydro, Form 1 LF,Form 1 SF,Wind"</formula1>
    </dataValidation>
  </dataValidations>
  <hyperlinks>
    <hyperlink ref="A2" location="TOC!A1" display="TOC" xr:uid="{00000000-0004-0000-15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xxe4aPID" r:id="rId2"/>
  </customProperties>
  <legacyDrawing r:id="rId3"/>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
    <tabColor indexed="14"/>
  </sheetPr>
  <dimension ref="A1:K78"/>
  <sheetViews>
    <sheetView view="pageLayout" topLeftCell="A2" zoomScaleNormal="100" workbookViewId="0">
      <selection activeCell="I4" sqref="I4"/>
    </sheetView>
  </sheetViews>
  <sheetFormatPr defaultRowHeight="12.75" customHeight="1"/>
  <cols>
    <col min="1" max="1" width="35.625" customWidth="1"/>
    <col min="2" max="6" width="12.625" customWidth="1"/>
    <col min="7" max="7" width="7.375" bestFit="1" customWidth="1"/>
    <col min="8" max="8" width="5.875" customWidth="1"/>
    <col min="9" max="9" width="9" customWidth="1"/>
  </cols>
  <sheetData>
    <row r="1" spans="1:11" ht="15" customHeight="1" thickBot="1">
      <c r="A1" s="1236" t="s">
        <v>699</v>
      </c>
      <c r="C1" s="502" t="s">
        <v>727</v>
      </c>
      <c r="D1" s="2499" t="str">
        <f>'Sch 1- Rate Base '!E5</f>
        <v>Utility Name</v>
      </c>
      <c r="E1" s="2500"/>
    </row>
    <row r="2" spans="1:11" ht="12.75" customHeight="1">
      <c r="A2" s="502" t="s">
        <v>578</v>
      </c>
      <c r="B2" s="855">
        <f>DATE('Sch 1- Rate Base '!E6,12,31)</f>
        <v>45291</v>
      </c>
    </row>
    <row r="3" spans="1:11" ht="12.75" customHeight="1">
      <c r="A3" s="1231" t="s">
        <v>700</v>
      </c>
    </row>
    <row r="4" spans="1:11" ht="12.75" customHeight="1">
      <c r="A4" s="854" t="s">
        <v>585</v>
      </c>
      <c r="B4" s="853">
        <f>YEAR(B2)</f>
        <v>2023</v>
      </c>
      <c r="C4" s="853">
        <f>B4+1</f>
        <v>2024</v>
      </c>
      <c r="D4" s="853">
        <f>C4+1</f>
        <v>2025</v>
      </c>
      <c r="E4" s="853">
        <f>D4+1</f>
        <v>2026</v>
      </c>
      <c r="F4" s="853">
        <f>E4+1</f>
        <v>2027</v>
      </c>
      <c r="G4" s="853">
        <f>F4+1</f>
        <v>2028</v>
      </c>
      <c r="H4" s="853"/>
      <c r="I4" s="853"/>
    </row>
    <row r="5" spans="1:11" ht="12.75" customHeight="1" thickBot="1">
      <c r="B5" s="848"/>
      <c r="C5" s="848"/>
      <c r="D5" s="848"/>
      <c r="E5" s="848"/>
      <c r="F5" s="848"/>
      <c r="G5" s="848"/>
      <c r="H5" s="848"/>
      <c r="I5" s="848"/>
    </row>
    <row r="6" spans="1:11" ht="12.75" customHeight="1" thickBot="1">
      <c r="A6" s="858" t="s">
        <v>821</v>
      </c>
      <c r="B6" s="1557"/>
      <c r="C6" s="1557"/>
      <c r="D6" s="1558"/>
      <c r="E6" s="1559"/>
      <c r="F6" s="1567"/>
      <c r="G6" s="1560"/>
      <c r="I6" s="1657" t="s">
        <v>827</v>
      </c>
      <c r="J6" s="1919"/>
      <c r="K6" s="1917"/>
    </row>
    <row r="7" spans="1:11" ht="12.75" customHeight="1" thickBot="1">
      <c r="A7" s="1556" t="s">
        <v>762</v>
      </c>
      <c r="B7" s="1561"/>
      <c r="C7" s="1561"/>
      <c r="D7" s="1561"/>
      <c r="E7" s="1946">
        <f>E22*I7</f>
        <v>0</v>
      </c>
      <c r="F7" s="1562">
        <f>F22*J7</f>
        <v>0</v>
      </c>
      <c r="G7" s="1562">
        <f>G22*K7</f>
        <v>0</v>
      </c>
      <c r="H7" s="1562"/>
      <c r="I7" s="1658"/>
      <c r="J7" s="1920"/>
      <c r="K7" s="1918"/>
    </row>
    <row r="8" spans="1:11" ht="12.75" customHeight="1" thickBot="1">
      <c r="A8" s="858" t="s">
        <v>737</v>
      </c>
      <c r="B8" s="1557"/>
      <c r="C8" s="1557"/>
      <c r="D8" s="1558"/>
      <c r="E8" s="1559"/>
      <c r="F8" s="1567"/>
      <c r="G8" s="851"/>
    </row>
    <row r="9" spans="1:11" ht="12.75" customHeight="1" thickBot="1">
      <c r="A9" s="858"/>
      <c r="B9" s="1561"/>
      <c r="C9" s="1561"/>
      <c r="D9" s="1561"/>
      <c r="E9" s="1562"/>
      <c r="F9" s="1562"/>
    </row>
    <row r="10" spans="1:11" ht="12.75" customHeight="1" thickBot="1">
      <c r="A10" s="858" t="s">
        <v>738</v>
      </c>
      <c r="B10" s="1557"/>
      <c r="C10" s="1557">
        <v>0</v>
      </c>
      <c r="D10" s="1558">
        <v>0</v>
      </c>
      <c r="E10" s="1563">
        <v>0</v>
      </c>
      <c r="F10" s="1921">
        <v>0</v>
      </c>
      <c r="G10" s="1564">
        <v>0</v>
      </c>
    </row>
    <row r="11" spans="1:11" ht="12.75" customHeight="1" thickBot="1">
      <c r="A11" s="858"/>
      <c r="B11" s="1561"/>
      <c r="C11" s="1561"/>
      <c r="D11" s="1561"/>
      <c r="E11" s="1562"/>
      <c r="F11" s="1562"/>
    </row>
    <row r="12" spans="1:11" ht="12.75" customHeight="1" thickBot="1">
      <c r="A12" s="858" t="s">
        <v>739</v>
      </c>
      <c r="B12" s="1557"/>
      <c r="C12" s="1557">
        <v>0</v>
      </c>
      <c r="D12" s="1558">
        <v>0</v>
      </c>
      <c r="E12" s="1565">
        <v>0</v>
      </c>
      <c r="F12" s="1922">
        <v>0</v>
      </c>
      <c r="G12" s="1566">
        <v>0</v>
      </c>
    </row>
    <row r="13" spans="1:11" ht="12.75" customHeight="1" thickBot="1">
      <c r="A13" s="858"/>
      <c r="B13" s="1561"/>
      <c r="C13" s="1561"/>
      <c r="D13" s="1561"/>
      <c r="E13" s="1562"/>
      <c r="F13" s="1562"/>
    </row>
    <row r="14" spans="1:11" ht="12.75" customHeight="1" thickBot="1">
      <c r="A14" s="858" t="s">
        <v>740</v>
      </c>
      <c r="B14" s="1557"/>
      <c r="C14" s="1557"/>
      <c r="D14" s="1558"/>
      <c r="E14" s="1559"/>
      <c r="F14" s="1567"/>
      <c r="G14" s="1560"/>
    </row>
    <row r="15" spans="1:11" ht="12.75" customHeight="1" thickBot="1">
      <c r="A15" s="858"/>
      <c r="B15" s="860"/>
      <c r="C15" s="860"/>
    </row>
    <row r="16" spans="1:11" ht="12.75" customHeight="1" thickBot="1">
      <c r="A16" s="858" t="s">
        <v>412</v>
      </c>
      <c r="B16" s="861"/>
      <c r="C16" s="861">
        <v>0</v>
      </c>
      <c r="D16" s="851">
        <v>0</v>
      </c>
      <c r="E16" s="1947">
        <v>0</v>
      </c>
      <c r="F16" s="850">
        <v>0</v>
      </c>
      <c r="G16" s="851">
        <v>0</v>
      </c>
    </row>
    <row r="17" spans="1:7" ht="12.75" customHeight="1" thickBot="1">
      <c r="A17" s="858"/>
      <c r="B17" s="862"/>
      <c r="C17" s="862"/>
    </row>
    <row r="18" spans="1:7" ht="12.75" customHeight="1" thickBot="1">
      <c r="A18" s="858" t="s">
        <v>413</v>
      </c>
      <c r="B18" s="1568"/>
      <c r="C18" s="1569"/>
      <c r="D18" s="1570"/>
      <c r="E18" s="1571"/>
      <c r="F18" s="1923"/>
      <c r="G18" s="1572"/>
    </row>
    <row r="19" spans="1:7" ht="12.75" customHeight="1" thickBot="1">
      <c r="A19" s="858"/>
      <c r="B19" s="1573"/>
      <c r="C19" s="1574"/>
      <c r="D19" s="1574"/>
      <c r="E19" s="1575"/>
      <c r="F19" s="1575"/>
    </row>
    <row r="20" spans="1:7" ht="12.75" customHeight="1" thickBot="1">
      <c r="A20" s="858" t="s">
        <v>414</v>
      </c>
      <c r="B20" s="1568"/>
      <c r="C20" s="1569"/>
      <c r="D20" s="1570"/>
      <c r="E20" s="1571"/>
      <c r="F20" s="1923"/>
      <c r="G20" s="1572"/>
    </row>
    <row r="21" spans="1:7" ht="12.75" customHeight="1" thickBot="1">
      <c r="A21" s="858"/>
      <c r="B21" s="1573"/>
      <c r="C21" s="1574"/>
      <c r="D21" s="1574"/>
      <c r="E21" s="1576"/>
      <c r="F21" s="1576"/>
    </row>
    <row r="22" spans="1:7" ht="12.75" customHeight="1" thickBot="1">
      <c r="A22" s="858" t="s">
        <v>415</v>
      </c>
      <c r="B22" s="1568"/>
      <c r="C22" s="1569"/>
      <c r="D22" s="1570"/>
      <c r="E22" s="1571"/>
      <c r="F22" s="1923"/>
      <c r="G22" s="1572"/>
    </row>
    <row r="23" spans="1:7" ht="12.75" customHeight="1" thickBot="1">
      <c r="A23" s="858"/>
      <c r="B23" s="860"/>
      <c r="C23" s="860"/>
      <c r="D23" s="860"/>
      <c r="E23" s="860"/>
      <c r="F23" s="860"/>
    </row>
    <row r="24" spans="1:7" ht="12.75" customHeight="1" thickBot="1">
      <c r="A24" s="858" t="s">
        <v>416</v>
      </c>
      <c r="B24" s="859">
        <v>0</v>
      </c>
      <c r="C24" s="859">
        <v>0</v>
      </c>
      <c r="D24" s="1577">
        <v>0</v>
      </c>
      <c r="E24" s="859">
        <v>0</v>
      </c>
      <c r="F24" s="1924">
        <v>0</v>
      </c>
      <c r="G24" s="1577">
        <v>0</v>
      </c>
    </row>
    <row r="25" spans="1:7" ht="12.75" customHeight="1" thickBot="1">
      <c r="A25" s="849"/>
      <c r="B25" s="860"/>
      <c r="C25" s="860"/>
      <c r="D25" s="860"/>
      <c r="E25" s="860"/>
      <c r="F25" s="860"/>
    </row>
    <row r="26" spans="1:7" ht="12.75" customHeight="1" thickBot="1">
      <c r="A26" s="858" t="s">
        <v>735</v>
      </c>
      <c r="B26" s="1578"/>
      <c r="C26" s="1579"/>
      <c r="D26" s="1580"/>
      <c r="E26" s="1950"/>
      <c r="F26" s="1579"/>
      <c r="G26" s="1580"/>
    </row>
    <row r="27" spans="1:7" ht="12.75" customHeight="1" thickBot="1">
      <c r="A27" s="858" t="s">
        <v>736</v>
      </c>
      <c r="B27" s="1578"/>
      <c r="C27" s="1581"/>
      <c r="D27" s="1582"/>
      <c r="E27" s="1948"/>
      <c r="F27" s="1581"/>
      <c r="G27" s="1582"/>
    </row>
    <row r="28" spans="1:7" ht="12.75" customHeight="1" thickBot="1">
      <c r="B28" s="1583"/>
      <c r="C28" s="1579">
        <f>SUM(C26:C27)</f>
        <v>0</v>
      </c>
      <c r="D28" s="1580">
        <f>SUM(D26:D27)</f>
        <v>0</v>
      </c>
      <c r="E28" s="1925">
        <f>SUM(E26:E27)</f>
        <v>0</v>
      </c>
      <c r="F28" s="1925">
        <f>SUM(F26:F27)</f>
        <v>0</v>
      </c>
      <c r="G28" s="1925">
        <f>SUM(G26:G27)</f>
        <v>0</v>
      </c>
    </row>
    <row r="29" spans="1:7" ht="12.75" customHeight="1" thickBot="1">
      <c r="A29" s="858" t="s">
        <v>417</v>
      </c>
      <c r="B29" s="1584" t="e">
        <f t="shared" ref="B29:G29" si="0">(B6+B8)/B14</f>
        <v>#DIV/0!</v>
      </c>
      <c r="C29" s="1584" t="e">
        <f t="shared" si="0"/>
        <v>#DIV/0!</v>
      </c>
      <c r="D29" s="1584" t="e">
        <f t="shared" si="0"/>
        <v>#DIV/0!</v>
      </c>
      <c r="E29" s="1584" t="e">
        <f t="shared" si="0"/>
        <v>#DIV/0!</v>
      </c>
      <c r="F29" s="861" t="e">
        <f t="shared" si="0"/>
        <v>#DIV/0!</v>
      </c>
      <c r="G29" s="1949" t="e">
        <f t="shared" si="0"/>
        <v>#DIV/0!</v>
      </c>
    </row>
    <row r="30" spans="1:7" ht="12.75" customHeight="1">
      <c r="A30" s="849"/>
    </row>
    <row r="31" spans="1:7" ht="12.75" customHeight="1">
      <c r="A31" s="849" t="s">
        <v>418</v>
      </c>
    </row>
    <row r="32" spans="1:7" ht="12.75" customHeight="1">
      <c r="A32" s="849"/>
    </row>
    <row r="33" spans="1:7" ht="12.75" customHeight="1" thickBot="1">
      <c r="A33" s="849" t="s">
        <v>419</v>
      </c>
    </row>
    <row r="34" spans="1:7" ht="15.75" customHeight="1">
      <c r="A34" s="863" t="s">
        <v>420</v>
      </c>
      <c r="B34" s="1585"/>
      <c r="C34" s="1585"/>
      <c r="D34" s="1929"/>
      <c r="E34" s="1933"/>
      <c r="F34" s="1934"/>
      <c r="G34" s="1926"/>
    </row>
    <row r="35" spans="1:7" ht="15.75" customHeight="1">
      <c r="A35" s="863" t="s">
        <v>421</v>
      </c>
      <c r="B35" s="1586"/>
      <c r="C35" s="1586"/>
      <c r="D35" s="1930"/>
      <c r="E35" s="1935"/>
      <c r="F35" s="1932"/>
      <c r="G35" s="1927"/>
    </row>
    <row r="36" spans="1:7" ht="15.75" customHeight="1">
      <c r="A36" s="863" t="s">
        <v>422</v>
      </c>
      <c r="B36" s="1586"/>
      <c r="C36" s="1586"/>
      <c r="D36" s="1930"/>
      <c r="E36" s="1935"/>
      <c r="F36" s="1932"/>
      <c r="G36" s="1927"/>
    </row>
    <row r="37" spans="1:7" ht="15.75" customHeight="1">
      <c r="A37" s="863" t="s">
        <v>423</v>
      </c>
      <c r="B37" s="1586"/>
      <c r="C37" s="1586"/>
      <c r="D37" s="1930"/>
      <c r="E37" s="1935"/>
      <c r="F37" s="1932"/>
      <c r="G37" s="1927"/>
    </row>
    <row r="38" spans="1:7" ht="15.75" customHeight="1">
      <c r="A38" s="863" t="s">
        <v>424</v>
      </c>
      <c r="B38" s="1586"/>
      <c r="C38" s="1586"/>
      <c r="D38" s="1930"/>
      <c r="E38" s="1935"/>
      <c r="F38" s="1932"/>
      <c r="G38" s="1927"/>
    </row>
    <row r="39" spans="1:7" ht="15.75" customHeight="1">
      <c r="A39" s="863" t="s">
        <v>425</v>
      </c>
      <c r="B39" s="1586"/>
      <c r="C39" s="1586"/>
      <c r="D39" s="1930"/>
      <c r="E39" s="1935"/>
      <c r="F39" s="1932"/>
      <c r="G39" s="1927"/>
    </row>
    <row r="40" spans="1:7" ht="15.75" customHeight="1">
      <c r="A40" s="863" t="s">
        <v>426</v>
      </c>
      <c r="B40" s="1586"/>
      <c r="C40" s="1586"/>
      <c r="D40" s="1930"/>
      <c r="E40" s="1935"/>
      <c r="F40" s="1932"/>
      <c r="G40" s="1927"/>
    </row>
    <row r="41" spans="1:7" ht="15.75" customHeight="1">
      <c r="A41" s="863" t="s">
        <v>285</v>
      </c>
      <c r="B41" s="1586"/>
      <c r="C41" s="1586"/>
      <c r="D41" s="1930"/>
      <c r="E41" s="1935"/>
      <c r="F41" s="1932"/>
      <c r="G41" s="1927"/>
    </row>
    <row r="42" spans="1:7" ht="15.75" customHeight="1">
      <c r="A42" s="863" t="s">
        <v>427</v>
      </c>
      <c r="B42" s="1586"/>
      <c r="C42" s="1586"/>
      <c r="D42" s="1930"/>
      <c r="E42" s="1935"/>
      <c r="F42" s="1932"/>
      <c r="G42" s="1927"/>
    </row>
    <row r="43" spans="1:7" ht="15.75" customHeight="1">
      <c r="A43" s="863" t="s">
        <v>428</v>
      </c>
      <c r="B43" s="1586"/>
      <c r="C43" s="1586"/>
      <c r="D43" s="1930"/>
      <c r="E43" s="1935"/>
      <c r="F43" s="1932"/>
      <c r="G43" s="1927"/>
    </row>
    <row r="44" spans="1:7" ht="15.75" customHeight="1">
      <c r="A44" s="863" t="s">
        <v>429</v>
      </c>
      <c r="B44" s="1586"/>
      <c r="C44" s="1586"/>
      <c r="D44" s="1930"/>
      <c r="E44" s="1935"/>
      <c r="F44" s="1932"/>
      <c r="G44" s="1927"/>
    </row>
    <row r="45" spans="1:7" ht="15.75" customHeight="1" thickBot="1">
      <c r="A45" s="863" t="s">
        <v>430</v>
      </c>
      <c r="B45" s="1587"/>
      <c r="C45" s="1587"/>
      <c r="D45" s="1931"/>
      <c r="E45" s="1936"/>
      <c r="F45" s="1937"/>
      <c r="G45" s="1928"/>
    </row>
    <row r="46" spans="1:7" ht="12.75" customHeight="1">
      <c r="A46" s="849"/>
      <c r="E46" s="1588"/>
      <c r="F46" s="1588"/>
    </row>
    <row r="47" spans="1:7" ht="12.75" customHeight="1">
      <c r="A47" s="849"/>
      <c r="E47" s="1588"/>
      <c r="F47" s="1588"/>
    </row>
    <row r="48" spans="1:7" ht="12.75" customHeight="1" thickBot="1">
      <c r="A48" s="849" t="s">
        <v>431</v>
      </c>
      <c r="E48" s="1588"/>
      <c r="F48" s="1588"/>
    </row>
    <row r="49" spans="1:7" ht="15.75" customHeight="1">
      <c r="A49" s="863" t="s">
        <v>420</v>
      </c>
      <c r="B49" s="1585"/>
      <c r="C49" s="1585"/>
      <c r="D49" s="1929"/>
      <c r="E49" s="1933"/>
      <c r="F49" s="1934"/>
      <c r="G49" s="1926"/>
    </row>
    <row r="50" spans="1:7" ht="15.75" customHeight="1">
      <c r="A50" s="863" t="s">
        <v>421</v>
      </c>
      <c r="B50" s="1586"/>
      <c r="C50" s="1586"/>
      <c r="D50" s="1930"/>
      <c r="E50" s="1935"/>
      <c r="F50" s="1932"/>
      <c r="G50" s="1927"/>
    </row>
    <row r="51" spans="1:7" ht="15.75" customHeight="1">
      <c r="A51" s="863" t="s">
        <v>422</v>
      </c>
      <c r="B51" s="1586"/>
      <c r="C51" s="1586"/>
      <c r="D51" s="1930"/>
      <c r="E51" s="1935"/>
      <c r="F51" s="1932"/>
      <c r="G51" s="1927"/>
    </row>
    <row r="52" spans="1:7" ht="15.75" customHeight="1">
      <c r="A52" s="863" t="s">
        <v>423</v>
      </c>
      <c r="B52" s="1586"/>
      <c r="C52" s="1586"/>
      <c r="D52" s="1930"/>
      <c r="E52" s="1935"/>
      <c r="F52" s="1932"/>
      <c r="G52" s="1927"/>
    </row>
    <row r="53" spans="1:7" ht="15.75" customHeight="1">
      <c r="A53" s="863" t="s">
        <v>424</v>
      </c>
      <c r="B53" s="1586"/>
      <c r="C53" s="1586"/>
      <c r="D53" s="1930"/>
      <c r="E53" s="1935"/>
      <c r="F53" s="1932"/>
      <c r="G53" s="1927"/>
    </row>
    <row r="54" spans="1:7" ht="15.75" customHeight="1">
      <c r="A54" s="863" t="s">
        <v>425</v>
      </c>
      <c r="B54" s="1586"/>
      <c r="C54" s="1586"/>
      <c r="D54" s="1930"/>
      <c r="E54" s="1935"/>
      <c r="F54" s="1932"/>
      <c r="G54" s="1927"/>
    </row>
    <row r="55" spans="1:7" ht="15.75" customHeight="1">
      <c r="A55" s="863" t="s">
        <v>426</v>
      </c>
      <c r="B55" s="1586"/>
      <c r="C55" s="1586"/>
      <c r="D55" s="1930"/>
      <c r="E55" s="1935"/>
      <c r="F55" s="1932"/>
      <c r="G55" s="1927"/>
    </row>
    <row r="56" spans="1:7" ht="15.75" customHeight="1">
      <c r="A56" s="863" t="s">
        <v>285</v>
      </c>
      <c r="B56" s="1586"/>
      <c r="C56" s="1586"/>
      <c r="D56" s="1930"/>
      <c r="E56" s="1935"/>
      <c r="F56" s="1932"/>
      <c r="G56" s="1927"/>
    </row>
    <row r="57" spans="1:7" ht="15.75" customHeight="1">
      <c r="A57" s="863" t="s">
        <v>427</v>
      </c>
      <c r="B57" s="1586"/>
      <c r="C57" s="1586"/>
      <c r="D57" s="1930"/>
      <c r="E57" s="1935"/>
      <c r="F57" s="1932"/>
      <c r="G57" s="1927"/>
    </row>
    <row r="58" spans="1:7" ht="15.75" customHeight="1">
      <c r="A58" s="863" t="s">
        <v>428</v>
      </c>
      <c r="B58" s="1586"/>
      <c r="C58" s="1586"/>
      <c r="D58" s="1930"/>
      <c r="E58" s="1935"/>
      <c r="F58" s="1932"/>
      <c r="G58" s="1927"/>
    </row>
    <row r="59" spans="1:7" ht="15.75" customHeight="1">
      <c r="A59" s="863" t="s">
        <v>429</v>
      </c>
      <c r="B59" s="1586"/>
      <c r="C59" s="1586"/>
      <c r="D59" s="1930"/>
      <c r="E59" s="1935"/>
      <c r="F59" s="1932"/>
      <c r="G59" s="1927"/>
    </row>
    <row r="60" spans="1:7" ht="15.75" customHeight="1" thickBot="1">
      <c r="A60" s="863" t="s">
        <v>430</v>
      </c>
      <c r="B60" s="1587"/>
      <c r="C60" s="1587"/>
      <c r="D60" s="1931"/>
      <c r="E60" s="1936"/>
      <c r="F60" s="1937"/>
      <c r="G60" s="1928"/>
    </row>
    <row r="61" spans="1:7" ht="15.75" customHeight="1"/>
    <row r="62" spans="1:7" ht="15.75" customHeight="1"/>
    <row r="63" spans="1:7" ht="15.75" customHeight="1"/>
    <row r="64" spans="1:7" ht="15.75" customHeight="1">
      <c r="A64" s="852" t="s">
        <v>432</v>
      </c>
    </row>
    <row r="65" spans="1:7" ht="15.75" customHeight="1" thickBot="1"/>
    <row r="66" spans="1:7" ht="15.75" customHeight="1">
      <c r="A66" s="848" t="s">
        <v>420</v>
      </c>
      <c r="B66" s="1589"/>
      <c r="C66" s="1589"/>
      <c r="D66" s="1938"/>
      <c r="E66" s="1941"/>
      <c r="F66" s="1942"/>
      <c r="G66" s="1926"/>
    </row>
    <row r="67" spans="1:7" ht="15.75" customHeight="1">
      <c r="A67" s="848" t="s">
        <v>421</v>
      </c>
      <c r="B67" s="1590"/>
      <c r="C67" s="1590"/>
      <c r="D67" s="1939"/>
      <c r="E67" s="1943"/>
      <c r="G67" s="1927"/>
    </row>
    <row r="68" spans="1:7" ht="15.75" customHeight="1">
      <c r="A68" s="848" t="s">
        <v>422</v>
      </c>
      <c r="B68" s="1590"/>
      <c r="C68" s="1590"/>
      <c r="D68" s="1939"/>
      <c r="E68" s="1943"/>
      <c r="G68" s="1927"/>
    </row>
    <row r="69" spans="1:7" ht="15.75" customHeight="1">
      <c r="A69" s="848" t="s">
        <v>423</v>
      </c>
      <c r="B69" s="1590"/>
      <c r="C69" s="1590"/>
      <c r="D69" s="1939"/>
      <c r="E69" s="1943"/>
      <c r="G69" s="1927"/>
    </row>
    <row r="70" spans="1:7" ht="15.75" customHeight="1">
      <c r="A70" s="848" t="s">
        <v>424</v>
      </c>
      <c r="B70" s="1590"/>
      <c r="C70" s="1590"/>
      <c r="D70" s="1939"/>
      <c r="E70" s="1943"/>
      <c r="G70" s="1927"/>
    </row>
    <row r="71" spans="1:7" ht="15.75" customHeight="1">
      <c r="A71" s="848" t="s">
        <v>425</v>
      </c>
      <c r="B71" s="1590"/>
      <c r="C71" s="1590"/>
      <c r="D71" s="1939"/>
      <c r="E71" s="1943"/>
      <c r="G71" s="1927"/>
    </row>
    <row r="72" spans="1:7" ht="15.75" customHeight="1">
      <c r="A72" s="848" t="s">
        <v>426</v>
      </c>
      <c r="B72" s="1590"/>
      <c r="C72" s="1590"/>
      <c r="D72" s="1939"/>
      <c r="E72" s="1943"/>
      <c r="G72" s="1927"/>
    </row>
    <row r="73" spans="1:7" ht="15.75" customHeight="1">
      <c r="A73" s="848" t="s">
        <v>285</v>
      </c>
      <c r="B73" s="1590"/>
      <c r="C73" s="1590"/>
      <c r="D73" s="1939"/>
      <c r="E73" s="1943"/>
      <c r="G73" s="1927"/>
    </row>
    <row r="74" spans="1:7" ht="15.75" customHeight="1">
      <c r="A74" s="848" t="s">
        <v>427</v>
      </c>
      <c r="B74" s="1590"/>
      <c r="C74" s="1590"/>
      <c r="D74" s="1939"/>
      <c r="E74" s="1943"/>
      <c r="G74" s="1927"/>
    </row>
    <row r="75" spans="1:7" ht="15.75" customHeight="1">
      <c r="A75" s="848" t="s">
        <v>428</v>
      </c>
      <c r="B75" s="1590"/>
      <c r="C75" s="1590"/>
      <c r="D75" s="1939"/>
      <c r="E75" s="1943"/>
      <c r="G75" s="1927"/>
    </row>
    <row r="76" spans="1:7" ht="15.75" customHeight="1">
      <c r="A76" s="848" t="s">
        <v>429</v>
      </c>
      <c r="B76" s="1590"/>
      <c r="C76" s="1590"/>
      <c r="D76" s="1939"/>
      <c r="E76" s="1943"/>
      <c r="G76" s="1927"/>
    </row>
    <row r="77" spans="1:7" ht="15.75" customHeight="1" thickBot="1">
      <c r="A77" s="848" t="s">
        <v>430</v>
      </c>
      <c r="B77" s="1591"/>
      <c r="C77" s="1591"/>
      <c r="D77" s="1940"/>
      <c r="E77" s="1944"/>
      <c r="F77" s="1945"/>
      <c r="G77" s="1928"/>
    </row>
    <row r="78" spans="1:7" ht="15.75" customHeight="1"/>
  </sheetData>
  <mergeCells count="1">
    <mergeCell ref="D1:E1"/>
  </mergeCells>
  <phoneticPr fontId="0" type="noConversion"/>
  <hyperlinks>
    <hyperlink ref="A1" location="TOC!A1" display="TOC" xr:uid="{00000000-0004-0000-1600-000000000000}"/>
    <hyperlink ref="A3" location="'Tiered Rates'!A5" display="é" xr:uid="{00000000-0004-0000-16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0" max="16383" man="1"/>
    <brk id="62" max="16383" man="1"/>
  </rowBreaks>
  <customProperties>
    <customPr name="xxe4aPID" r:id="rId2"/>
  </customProperties>
  <legacyDrawing r:id="rId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DC2C-26AC-4BC3-A1B8-CC5B559FE23D}">
  <sheetPr codeName="Sheet44">
    <tabColor theme="6"/>
  </sheetPr>
  <dimension ref="A1:L86"/>
  <sheetViews>
    <sheetView topLeftCell="A6" workbookViewId="0">
      <selection activeCell="D400" sqref="D400"/>
    </sheetView>
  </sheetViews>
  <sheetFormatPr defaultRowHeight="12.75"/>
  <cols>
    <col min="1" max="1" width="14.125" style="1958" customWidth="1"/>
    <col min="2" max="2" width="6.125" style="1958" customWidth="1"/>
    <col min="3" max="3" width="7.25" style="1958" customWidth="1"/>
    <col min="4" max="4" width="8.125" style="1958" customWidth="1"/>
    <col min="5" max="5" width="9.625" style="1958" customWidth="1"/>
    <col min="6" max="6" width="10.625" style="1958" customWidth="1"/>
    <col min="7" max="7" width="54" style="1958" customWidth="1"/>
    <col min="8" max="8" width="9.75" style="1958" customWidth="1"/>
    <col min="9" max="10" width="6.5" style="1958" customWidth="1"/>
    <col min="11" max="12" width="11.875" style="1959" bestFit="1" customWidth="1"/>
    <col min="13" max="256" width="9" style="1958"/>
    <col min="257" max="257" width="14.125" style="1958" customWidth="1"/>
    <col min="258" max="258" width="6.125" style="1958" customWidth="1"/>
    <col min="259" max="259" width="7.25" style="1958" customWidth="1"/>
    <col min="260" max="260" width="8.125" style="1958" customWidth="1"/>
    <col min="261" max="261" width="9.625" style="1958" customWidth="1"/>
    <col min="262" max="262" width="10.625" style="1958" customWidth="1"/>
    <col min="263" max="263" width="54" style="1958" customWidth="1"/>
    <col min="264" max="264" width="9.75" style="1958" customWidth="1"/>
    <col min="265" max="266" width="6.5" style="1958" customWidth="1"/>
    <col min="267" max="267" width="9.625" style="1958" customWidth="1"/>
    <col min="268" max="268" width="10.5" style="1958" customWidth="1"/>
    <col min="269" max="512" width="9" style="1958"/>
    <col min="513" max="513" width="14.125" style="1958" customWidth="1"/>
    <col min="514" max="514" width="6.125" style="1958" customWidth="1"/>
    <col min="515" max="515" width="7.25" style="1958" customWidth="1"/>
    <col min="516" max="516" width="8.125" style="1958" customWidth="1"/>
    <col min="517" max="517" width="9.625" style="1958" customWidth="1"/>
    <col min="518" max="518" width="10.625" style="1958" customWidth="1"/>
    <col min="519" max="519" width="54" style="1958" customWidth="1"/>
    <col min="520" max="520" width="9.75" style="1958" customWidth="1"/>
    <col min="521" max="522" width="6.5" style="1958" customWidth="1"/>
    <col min="523" max="523" width="9.625" style="1958" customWidth="1"/>
    <col min="524" max="524" width="10.5" style="1958" customWidth="1"/>
    <col min="525" max="768" width="9" style="1958"/>
    <col min="769" max="769" width="14.125" style="1958" customWidth="1"/>
    <col min="770" max="770" width="6.125" style="1958" customWidth="1"/>
    <col min="771" max="771" width="7.25" style="1958" customWidth="1"/>
    <col min="772" max="772" width="8.125" style="1958" customWidth="1"/>
    <col min="773" max="773" width="9.625" style="1958" customWidth="1"/>
    <col min="774" max="774" width="10.625" style="1958" customWidth="1"/>
    <col min="775" max="775" width="54" style="1958" customWidth="1"/>
    <col min="776" max="776" width="9.75" style="1958" customWidth="1"/>
    <col min="777" max="778" width="6.5" style="1958" customWidth="1"/>
    <col min="779" max="779" width="9.625" style="1958" customWidth="1"/>
    <col min="780" max="780" width="10.5" style="1958" customWidth="1"/>
    <col min="781" max="1024" width="9" style="1958"/>
    <col min="1025" max="1025" width="14.125" style="1958" customWidth="1"/>
    <col min="1026" max="1026" width="6.125" style="1958" customWidth="1"/>
    <col min="1027" max="1027" width="7.25" style="1958" customWidth="1"/>
    <col min="1028" max="1028" width="8.125" style="1958" customWidth="1"/>
    <col min="1029" max="1029" width="9.625" style="1958" customWidth="1"/>
    <col min="1030" max="1030" width="10.625" style="1958" customWidth="1"/>
    <col min="1031" max="1031" width="54" style="1958" customWidth="1"/>
    <col min="1032" max="1032" width="9.75" style="1958" customWidth="1"/>
    <col min="1033" max="1034" width="6.5" style="1958" customWidth="1"/>
    <col min="1035" max="1035" width="9.625" style="1958" customWidth="1"/>
    <col min="1036" max="1036" width="10.5" style="1958" customWidth="1"/>
    <col min="1037" max="1280" width="9" style="1958"/>
    <col min="1281" max="1281" width="14.125" style="1958" customWidth="1"/>
    <col min="1282" max="1282" width="6.125" style="1958" customWidth="1"/>
    <col min="1283" max="1283" width="7.25" style="1958" customWidth="1"/>
    <col min="1284" max="1284" width="8.125" style="1958" customWidth="1"/>
    <col min="1285" max="1285" width="9.625" style="1958" customWidth="1"/>
    <col min="1286" max="1286" width="10.625" style="1958" customWidth="1"/>
    <col min="1287" max="1287" width="54" style="1958" customWidth="1"/>
    <col min="1288" max="1288" width="9.75" style="1958" customWidth="1"/>
    <col min="1289" max="1290" width="6.5" style="1958" customWidth="1"/>
    <col min="1291" max="1291" width="9.625" style="1958" customWidth="1"/>
    <col min="1292" max="1292" width="10.5" style="1958" customWidth="1"/>
    <col min="1293" max="1536" width="9" style="1958"/>
    <col min="1537" max="1537" width="14.125" style="1958" customWidth="1"/>
    <col min="1538" max="1538" width="6.125" style="1958" customWidth="1"/>
    <col min="1539" max="1539" width="7.25" style="1958" customWidth="1"/>
    <col min="1540" max="1540" width="8.125" style="1958" customWidth="1"/>
    <col min="1541" max="1541" width="9.625" style="1958" customWidth="1"/>
    <col min="1542" max="1542" width="10.625" style="1958" customWidth="1"/>
    <col min="1543" max="1543" width="54" style="1958" customWidth="1"/>
    <col min="1544" max="1544" width="9.75" style="1958" customWidth="1"/>
    <col min="1545" max="1546" width="6.5" style="1958" customWidth="1"/>
    <col min="1547" max="1547" width="9.625" style="1958" customWidth="1"/>
    <col min="1548" max="1548" width="10.5" style="1958" customWidth="1"/>
    <col min="1549" max="1792" width="9" style="1958"/>
    <col min="1793" max="1793" width="14.125" style="1958" customWidth="1"/>
    <col min="1794" max="1794" width="6.125" style="1958" customWidth="1"/>
    <col min="1795" max="1795" width="7.25" style="1958" customWidth="1"/>
    <col min="1796" max="1796" width="8.125" style="1958" customWidth="1"/>
    <col min="1797" max="1797" width="9.625" style="1958" customWidth="1"/>
    <col min="1798" max="1798" width="10.625" style="1958" customWidth="1"/>
    <col min="1799" max="1799" width="54" style="1958" customWidth="1"/>
    <col min="1800" max="1800" width="9.75" style="1958" customWidth="1"/>
    <col min="1801" max="1802" width="6.5" style="1958" customWidth="1"/>
    <col min="1803" max="1803" width="9.625" style="1958" customWidth="1"/>
    <col min="1804" max="1804" width="10.5" style="1958" customWidth="1"/>
    <col min="1805" max="2048" width="9" style="1958"/>
    <col min="2049" max="2049" width="14.125" style="1958" customWidth="1"/>
    <col min="2050" max="2050" width="6.125" style="1958" customWidth="1"/>
    <col min="2051" max="2051" width="7.25" style="1958" customWidth="1"/>
    <col min="2052" max="2052" width="8.125" style="1958" customWidth="1"/>
    <col min="2053" max="2053" width="9.625" style="1958" customWidth="1"/>
    <col min="2054" max="2054" width="10.625" style="1958" customWidth="1"/>
    <col min="2055" max="2055" width="54" style="1958" customWidth="1"/>
    <col min="2056" max="2056" width="9.75" style="1958" customWidth="1"/>
    <col min="2057" max="2058" width="6.5" style="1958" customWidth="1"/>
    <col min="2059" max="2059" width="9.625" style="1958" customWidth="1"/>
    <col min="2060" max="2060" width="10.5" style="1958" customWidth="1"/>
    <col min="2061" max="2304" width="9" style="1958"/>
    <col min="2305" max="2305" width="14.125" style="1958" customWidth="1"/>
    <col min="2306" max="2306" width="6.125" style="1958" customWidth="1"/>
    <col min="2307" max="2307" width="7.25" style="1958" customWidth="1"/>
    <col min="2308" max="2308" width="8.125" style="1958" customWidth="1"/>
    <col min="2309" max="2309" width="9.625" style="1958" customWidth="1"/>
    <col min="2310" max="2310" width="10.625" style="1958" customWidth="1"/>
    <col min="2311" max="2311" width="54" style="1958" customWidth="1"/>
    <col min="2312" max="2312" width="9.75" style="1958" customWidth="1"/>
    <col min="2313" max="2314" width="6.5" style="1958" customWidth="1"/>
    <col min="2315" max="2315" width="9.625" style="1958" customWidth="1"/>
    <col min="2316" max="2316" width="10.5" style="1958" customWidth="1"/>
    <col min="2317" max="2560" width="9" style="1958"/>
    <col min="2561" max="2561" width="14.125" style="1958" customWidth="1"/>
    <col min="2562" max="2562" width="6.125" style="1958" customWidth="1"/>
    <col min="2563" max="2563" width="7.25" style="1958" customWidth="1"/>
    <col min="2564" max="2564" width="8.125" style="1958" customWidth="1"/>
    <col min="2565" max="2565" width="9.625" style="1958" customWidth="1"/>
    <col min="2566" max="2566" width="10.625" style="1958" customWidth="1"/>
    <col min="2567" max="2567" width="54" style="1958" customWidth="1"/>
    <col min="2568" max="2568" width="9.75" style="1958" customWidth="1"/>
    <col min="2569" max="2570" width="6.5" style="1958" customWidth="1"/>
    <col min="2571" max="2571" width="9.625" style="1958" customWidth="1"/>
    <col min="2572" max="2572" width="10.5" style="1958" customWidth="1"/>
    <col min="2573" max="2816" width="9" style="1958"/>
    <col min="2817" max="2817" width="14.125" style="1958" customWidth="1"/>
    <col min="2818" max="2818" width="6.125" style="1958" customWidth="1"/>
    <col min="2819" max="2819" width="7.25" style="1958" customWidth="1"/>
    <col min="2820" max="2820" width="8.125" style="1958" customWidth="1"/>
    <col min="2821" max="2821" width="9.625" style="1958" customWidth="1"/>
    <col min="2822" max="2822" width="10.625" style="1958" customWidth="1"/>
    <col min="2823" max="2823" width="54" style="1958" customWidth="1"/>
    <col min="2824" max="2824" width="9.75" style="1958" customWidth="1"/>
    <col min="2825" max="2826" width="6.5" style="1958" customWidth="1"/>
    <col min="2827" max="2827" width="9.625" style="1958" customWidth="1"/>
    <col min="2828" max="2828" width="10.5" style="1958" customWidth="1"/>
    <col min="2829" max="3072" width="9" style="1958"/>
    <col min="3073" max="3073" width="14.125" style="1958" customWidth="1"/>
    <col min="3074" max="3074" width="6.125" style="1958" customWidth="1"/>
    <col min="3075" max="3075" width="7.25" style="1958" customWidth="1"/>
    <col min="3076" max="3076" width="8.125" style="1958" customWidth="1"/>
    <col min="3077" max="3077" width="9.625" style="1958" customWidth="1"/>
    <col min="3078" max="3078" width="10.625" style="1958" customWidth="1"/>
    <col min="3079" max="3079" width="54" style="1958" customWidth="1"/>
    <col min="3080" max="3080" width="9.75" style="1958" customWidth="1"/>
    <col min="3081" max="3082" width="6.5" style="1958" customWidth="1"/>
    <col min="3083" max="3083" width="9.625" style="1958" customWidth="1"/>
    <col min="3084" max="3084" width="10.5" style="1958" customWidth="1"/>
    <col min="3085" max="3328" width="9" style="1958"/>
    <col min="3329" max="3329" width="14.125" style="1958" customWidth="1"/>
    <col min="3330" max="3330" width="6.125" style="1958" customWidth="1"/>
    <col min="3331" max="3331" width="7.25" style="1958" customWidth="1"/>
    <col min="3332" max="3332" width="8.125" style="1958" customWidth="1"/>
    <col min="3333" max="3333" width="9.625" style="1958" customWidth="1"/>
    <col min="3334" max="3334" width="10.625" style="1958" customWidth="1"/>
    <col min="3335" max="3335" width="54" style="1958" customWidth="1"/>
    <col min="3336" max="3336" width="9.75" style="1958" customWidth="1"/>
    <col min="3337" max="3338" width="6.5" style="1958" customWidth="1"/>
    <col min="3339" max="3339" width="9.625" style="1958" customWidth="1"/>
    <col min="3340" max="3340" width="10.5" style="1958" customWidth="1"/>
    <col min="3341" max="3584" width="9" style="1958"/>
    <col min="3585" max="3585" width="14.125" style="1958" customWidth="1"/>
    <col min="3586" max="3586" width="6.125" style="1958" customWidth="1"/>
    <col min="3587" max="3587" width="7.25" style="1958" customWidth="1"/>
    <col min="3588" max="3588" width="8.125" style="1958" customWidth="1"/>
    <col min="3589" max="3589" width="9.625" style="1958" customWidth="1"/>
    <col min="3590" max="3590" width="10.625" style="1958" customWidth="1"/>
    <col min="3591" max="3591" width="54" style="1958" customWidth="1"/>
    <col min="3592" max="3592" width="9.75" style="1958" customWidth="1"/>
    <col min="3593" max="3594" width="6.5" style="1958" customWidth="1"/>
    <col min="3595" max="3595" width="9.625" style="1958" customWidth="1"/>
    <col min="3596" max="3596" width="10.5" style="1958" customWidth="1"/>
    <col min="3597" max="3840" width="9" style="1958"/>
    <col min="3841" max="3841" width="14.125" style="1958" customWidth="1"/>
    <col min="3842" max="3842" width="6.125" style="1958" customWidth="1"/>
    <col min="3843" max="3843" width="7.25" style="1958" customWidth="1"/>
    <col min="3844" max="3844" width="8.125" style="1958" customWidth="1"/>
    <col min="3845" max="3845" width="9.625" style="1958" customWidth="1"/>
    <col min="3846" max="3846" width="10.625" style="1958" customWidth="1"/>
    <col min="3847" max="3847" width="54" style="1958" customWidth="1"/>
    <col min="3848" max="3848" width="9.75" style="1958" customWidth="1"/>
    <col min="3849" max="3850" width="6.5" style="1958" customWidth="1"/>
    <col min="3851" max="3851" width="9.625" style="1958" customWidth="1"/>
    <col min="3852" max="3852" width="10.5" style="1958" customWidth="1"/>
    <col min="3853" max="4096" width="9" style="1958"/>
    <col min="4097" max="4097" width="14.125" style="1958" customWidth="1"/>
    <col min="4098" max="4098" width="6.125" style="1958" customWidth="1"/>
    <col min="4099" max="4099" width="7.25" style="1958" customWidth="1"/>
    <col min="4100" max="4100" width="8.125" style="1958" customWidth="1"/>
    <col min="4101" max="4101" width="9.625" style="1958" customWidth="1"/>
    <col min="4102" max="4102" width="10.625" style="1958" customWidth="1"/>
    <col min="4103" max="4103" width="54" style="1958" customWidth="1"/>
    <col min="4104" max="4104" width="9.75" style="1958" customWidth="1"/>
    <col min="4105" max="4106" width="6.5" style="1958" customWidth="1"/>
    <col min="4107" max="4107" width="9.625" style="1958" customWidth="1"/>
    <col min="4108" max="4108" width="10.5" style="1958" customWidth="1"/>
    <col min="4109" max="4352" width="9" style="1958"/>
    <col min="4353" max="4353" width="14.125" style="1958" customWidth="1"/>
    <col min="4354" max="4354" width="6.125" style="1958" customWidth="1"/>
    <col min="4355" max="4355" width="7.25" style="1958" customWidth="1"/>
    <col min="4356" max="4356" width="8.125" style="1958" customWidth="1"/>
    <col min="4357" max="4357" width="9.625" style="1958" customWidth="1"/>
    <col min="4358" max="4358" width="10.625" style="1958" customWidth="1"/>
    <col min="4359" max="4359" width="54" style="1958" customWidth="1"/>
    <col min="4360" max="4360" width="9.75" style="1958" customWidth="1"/>
    <col min="4361" max="4362" width="6.5" style="1958" customWidth="1"/>
    <col min="4363" max="4363" width="9.625" style="1958" customWidth="1"/>
    <col min="4364" max="4364" width="10.5" style="1958" customWidth="1"/>
    <col min="4365" max="4608" width="9" style="1958"/>
    <col min="4609" max="4609" width="14.125" style="1958" customWidth="1"/>
    <col min="4610" max="4610" width="6.125" style="1958" customWidth="1"/>
    <col min="4611" max="4611" width="7.25" style="1958" customWidth="1"/>
    <col min="4612" max="4612" width="8.125" style="1958" customWidth="1"/>
    <col min="4613" max="4613" width="9.625" style="1958" customWidth="1"/>
    <col min="4614" max="4614" width="10.625" style="1958" customWidth="1"/>
    <col min="4615" max="4615" width="54" style="1958" customWidth="1"/>
    <col min="4616" max="4616" width="9.75" style="1958" customWidth="1"/>
    <col min="4617" max="4618" width="6.5" style="1958" customWidth="1"/>
    <col min="4619" max="4619" width="9.625" style="1958" customWidth="1"/>
    <col min="4620" max="4620" width="10.5" style="1958" customWidth="1"/>
    <col min="4621" max="4864" width="9" style="1958"/>
    <col min="4865" max="4865" width="14.125" style="1958" customWidth="1"/>
    <col min="4866" max="4866" width="6.125" style="1958" customWidth="1"/>
    <col min="4867" max="4867" width="7.25" style="1958" customWidth="1"/>
    <col min="4868" max="4868" width="8.125" style="1958" customWidth="1"/>
    <col min="4869" max="4869" width="9.625" style="1958" customWidth="1"/>
    <col min="4870" max="4870" width="10.625" style="1958" customWidth="1"/>
    <col min="4871" max="4871" width="54" style="1958" customWidth="1"/>
    <col min="4872" max="4872" width="9.75" style="1958" customWidth="1"/>
    <col min="4873" max="4874" width="6.5" style="1958" customWidth="1"/>
    <col min="4875" max="4875" width="9.625" style="1958" customWidth="1"/>
    <col min="4876" max="4876" width="10.5" style="1958" customWidth="1"/>
    <col min="4877" max="5120" width="9" style="1958"/>
    <col min="5121" max="5121" width="14.125" style="1958" customWidth="1"/>
    <col min="5122" max="5122" width="6.125" style="1958" customWidth="1"/>
    <col min="5123" max="5123" width="7.25" style="1958" customWidth="1"/>
    <col min="5124" max="5124" width="8.125" style="1958" customWidth="1"/>
    <col min="5125" max="5125" width="9.625" style="1958" customWidth="1"/>
    <col min="5126" max="5126" width="10.625" style="1958" customWidth="1"/>
    <col min="5127" max="5127" width="54" style="1958" customWidth="1"/>
    <col min="5128" max="5128" width="9.75" style="1958" customWidth="1"/>
    <col min="5129" max="5130" width="6.5" style="1958" customWidth="1"/>
    <col min="5131" max="5131" width="9.625" style="1958" customWidth="1"/>
    <col min="5132" max="5132" width="10.5" style="1958" customWidth="1"/>
    <col min="5133" max="5376" width="9" style="1958"/>
    <col min="5377" max="5377" width="14.125" style="1958" customWidth="1"/>
    <col min="5378" max="5378" width="6.125" style="1958" customWidth="1"/>
    <col min="5379" max="5379" width="7.25" style="1958" customWidth="1"/>
    <col min="5380" max="5380" width="8.125" style="1958" customWidth="1"/>
    <col min="5381" max="5381" width="9.625" style="1958" customWidth="1"/>
    <col min="5382" max="5382" width="10.625" style="1958" customWidth="1"/>
    <col min="5383" max="5383" width="54" style="1958" customWidth="1"/>
    <col min="5384" max="5384" width="9.75" style="1958" customWidth="1"/>
    <col min="5385" max="5386" width="6.5" style="1958" customWidth="1"/>
    <col min="5387" max="5387" width="9.625" style="1958" customWidth="1"/>
    <col min="5388" max="5388" width="10.5" style="1958" customWidth="1"/>
    <col min="5389" max="5632" width="9" style="1958"/>
    <col min="5633" max="5633" width="14.125" style="1958" customWidth="1"/>
    <col min="5634" max="5634" width="6.125" style="1958" customWidth="1"/>
    <col min="5635" max="5635" width="7.25" style="1958" customWidth="1"/>
    <col min="5636" max="5636" width="8.125" style="1958" customWidth="1"/>
    <col min="5637" max="5637" width="9.625" style="1958" customWidth="1"/>
    <col min="5638" max="5638" width="10.625" style="1958" customWidth="1"/>
    <col min="5639" max="5639" width="54" style="1958" customWidth="1"/>
    <col min="5640" max="5640" width="9.75" style="1958" customWidth="1"/>
    <col min="5641" max="5642" width="6.5" style="1958" customWidth="1"/>
    <col min="5643" max="5643" width="9.625" style="1958" customWidth="1"/>
    <col min="5644" max="5644" width="10.5" style="1958" customWidth="1"/>
    <col min="5645" max="5888" width="9" style="1958"/>
    <col min="5889" max="5889" width="14.125" style="1958" customWidth="1"/>
    <col min="5890" max="5890" width="6.125" style="1958" customWidth="1"/>
    <col min="5891" max="5891" width="7.25" style="1958" customWidth="1"/>
    <col min="5892" max="5892" width="8.125" style="1958" customWidth="1"/>
    <col min="5893" max="5893" width="9.625" style="1958" customWidth="1"/>
    <col min="5894" max="5894" width="10.625" style="1958" customWidth="1"/>
    <col min="5895" max="5895" width="54" style="1958" customWidth="1"/>
    <col min="5896" max="5896" width="9.75" style="1958" customWidth="1"/>
    <col min="5897" max="5898" width="6.5" style="1958" customWidth="1"/>
    <col min="5899" max="5899" width="9.625" style="1958" customWidth="1"/>
    <col min="5900" max="5900" width="10.5" style="1958" customWidth="1"/>
    <col min="5901" max="6144" width="9" style="1958"/>
    <col min="6145" max="6145" width="14.125" style="1958" customWidth="1"/>
    <col min="6146" max="6146" width="6.125" style="1958" customWidth="1"/>
    <col min="6147" max="6147" width="7.25" style="1958" customWidth="1"/>
    <col min="6148" max="6148" width="8.125" style="1958" customWidth="1"/>
    <col min="6149" max="6149" width="9.625" style="1958" customWidth="1"/>
    <col min="6150" max="6150" width="10.625" style="1958" customWidth="1"/>
    <col min="6151" max="6151" width="54" style="1958" customWidth="1"/>
    <col min="6152" max="6152" width="9.75" style="1958" customWidth="1"/>
    <col min="6153" max="6154" width="6.5" style="1958" customWidth="1"/>
    <col min="6155" max="6155" width="9.625" style="1958" customWidth="1"/>
    <col min="6156" max="6156" width="10.5" style="1958" customWidth="1"/>
    <col min="6157" max="6400" width="9" style="1958"/>
    <col min="6401" max="6401" width="14.125" style="1958" customWidth="1"/>
    <col min="6402" max="6402" width="6.125" style="1958" customWidth="1"/>
    <col min="6403" max="6403" width="7.25" style="1958" customWidth="1"/>
    <col min="6404" max="6404" width="8.125" style="1958" customWidth="1"/>
    <col min="6405" max="6405" width="9.625" style="1958" customWidth="1"/>
    <col min="6406" max="6406" width="10.625" style="1958" customWidth="1"/>
    <col min="6407" max="6407" width="54" style="1958" customWidth="1"/>
    <col min="6408" max="6408" width="9.75" style="1958" customWidth="1"/>
    <col min="6409" max="6410" width="6.5" style="1958" customWidth="1"/>
    <col min="6411" max="6411" width="9.625" style="1958" customWidth="1"/>
    <col min="6412" max="6412" width="10.5" style="1958" customWidth="1"/>
    <col min="6413" max="6656" width="9" style="1958"/>
    <col min="6657" max="6657" width="14.125" style="1958" customWidth="1"/>
    <col min="6658" max="6658" width="6.125" style="1958" customWidth="1"/>
    <col min="6659" max="6659" width="7.25" style="1958" customWidth="1"/>
    <col min="6660" max="6660" width="8.125" style="1958" customWidth="1"/>
    <col min="6661" max="6661" width="9.625" style="1958" customWidth="1"/>
    <col min="6662" max="6662" width="10.625" style="1958" customWidth="1"/>
    <col min="6663" max="6663" width="54" style="1958" customWidth="1"/>
    <col min="6664" max="6664" width="9.75" style="1958" customWidth="1"/>
    <col min="6665" max="6666" width="6.5" style="1958" customWidth="1"/>
    <col min="6667" max="6667" width="9.625" style="1958" customWidth="1"/>
    <col min="6668" max="6668" width="10.5" style="1958" customWidth="1"/>
    <col min="6669" max="6912" width="9" style="1958"/>
    <col min="6913" max="6913" width="14.125" style="1958" customWidth="1"/>
    <col min="6914" max="6914" width="6.125" style="1958" customWidth="1"/>
    <col min="6915" max="6915" width="7.25" style="1958" customWidth="1"/>
    <col min="6916" max="6916" width="8.125" style="1958" customWidth="1"/>
    <col min="6917" max="6917" width="9.625" style="1958" customWidth="1"/>
    <col min="6918" max="6918" width="10.625" style="1958" customWidth="1"/>
    <col min="6919" max="6919" width="54" style="1958" customWidth="1"/>
    <col min="6920" max="6920" width="9.75" style="1958" customWidth="1"/>
    <col min="6921" max="6922" width="6.5" style="1958" customWidth="1"/>
    <col min="6923" max="6923" width="9.625" style="1958" customWidth="1"/>
    <col min="6924" max="6924" width="10.5" style="1958" customWidth="1"/>
    <col min="6925" max="7168" width="9" style="1958"/>
    <col min="7169" max="7169" width="14.125" style="1958" customWidth="1"/>
    <col min="7170" max="7170" width="6.125" style="1958" customWidth="1"/>
    <col min="7171" max="7171" width="7.25" style="1958" customWidth="1"/>
    <col min="7172" max="7172" width="8.125" style="1958" customWidth="1"/>
    <col min="7173" max="7173" width="9.625" style="1958" customWidth="1"/>
    <col min="7174" max="7174" width="10.625" style="1958" customWidth="1"/>
    <col min="7175" max="7175" width="54" style="1958" customWidth="1"/>
    <col min="7176" max="7176" width="9.75" style="1958" customWidth="1"/>
    <col min="7177" max="7178" width="6.5" style="1958" customWidth="1"/>
    <col min="7179" max="7179" width="9.625" style="1958" customWidth="1"/>
    <col min="7180" max="7180" width="10.5" style="1958" customWidth="1"/>
    <col min="7181" max="7424" width="9" style="1958"/>
    <col min="7425" max="7425" width="14.125" style="1958" customWidth="1"/>
    <col min="7426" max="7426" width="6.125" style="1958" customWidth="1"/>
    <col min="7427" max="7427" width="7.25" style="1958" customWidth="1"/>
    <col min="7428" max="7428" width="8.125" style="1958" customWidth="1"/>
    <col min="7429" max="7429" width="9.625" style="1958" customWidth="1"/>
    <col min="7430" max="7430" width="10.625" style="1958" customWidth="1"/>
    <col min="7431" max="7431" width="54" style="1958" customWidth="1"/>
    <col min="7432" max="7432" width="9.75" style="1958" customWidth="1"/>
    <col min="7433" max="7434" width="6.5" style="1958" customWidth="1"/>
    <col min="7435" max="7435" width="9.625" style="1958" customWidth="1"/>
    <col min="7436" max="7436" width="10.5" style="1958" customWidth="1"/>
    <col min="7437" max="7680" width="9" style="1958"/>
    <col min="7681" max="7681" width="14.125" style="1958" customWidth="1"/>
    <col min="7682" max="7682" width="6.125" style="1958" customWidth="1"/>
    <col min="7683" max="7683" width="7.25" style="1958" customWidth="1"/>
    <col min="7684" max="7684" width="8.125" style="1958" customWidth="1"/>
    <col min="7685" max="7685" width="9.625" style="1958" customWidth="1"/>
    <col min="7686" max="7686" width="10.625" style="1958" customWidth="1"/>
    <col min="7687" max="7687" width="54" style="1958" customWidth="1"/>
    <col min="7688" max="7688" width="9.75" style="1958" customWidth="1"/>
    <col min="7689" max="7690" width="6.5" style="1958" customWidth="1"/>
    <col min="7691" max="7691" width="9.625" style="1958" customWidth="1"/>
    <col min="7692" max="7692" width="10.5" style="1958" customWidth="1"/>
    <col min="7693" max="7936" width="9" style="1958"/>
    <col min="7937" max="7937" width="14.125" style="1958" customWidth="1"/>
    <col min="7938" max="7938" width="6.125" style="1958" customWidth="1"/>
    <col min="7939" max="7939" width="7.25" style="1958" customWidth="1"/>
    <col min="7940" max="7940" width="8.125" style="1958" customWidth="1"/>
    <col min="7941" max="7941" width="9.625" style="1958" customWidth="1"/>
    <col min="7942" max="7942" width="10.625" style="1958" customWidth="1"/>
    <col min="7943" max="7943" width="54" style="1958" customWidth="1"/>
    <col min="7944" max="7944" width="9.75" style="1958" customWidth="1"/>
    <col min="7945" max="7946" width="6.5" style="1958" customWidth="1"/>
    <col min="7947" max="7947" width="9.625" style="1958" customWidth="1"/>
    <col min="7948" max="7948" width="10.5" style="1958" customWidth="1"/>
    <col min="7949" max="8192" width="9" style="1958"/>
    <col min="8193" max="8193" width="14.125" style="1958" customWidth="1"/>
    <col min="8194" max="8194" width="6.125" style="1958" customWidth="1"/>
    <col min="8195" max="8195" width="7.25" style="1958" customWidth="1"/>
    <col min="8196" max="8196" width="8.125" style="1958" customWidth="1"/>
    <col min="8197" max="8197" width="9.625" style="1958" customWidth="1"/>
    <col min="8198" max="8198" width="10.625" style="1958" customWidth="1"/>
    <col min="8199" max="8199" width="54" style="1958" customWidth="1"/>
    <col min="8200" max="8200" width="9.75" style="1958" customWidth="1"/>
    <col min="8201" max="8202" width="6.5" style="1958" customWidth="1"/>
    <col min="8203" max="8203" width="9.625" style="1958" customWidth="1"/>
    <col min="8204" max="8204" width="10.5" style="1958" customWidth="1"/>
    <col min="8205" max="8448" width="9" style="1958"/>
    <col min="8449" max="8449" width="14.125" style="1958" customWidth="1"/>
    <col min="8450" max="8450" width="6.125" style="1958" customWidth="1"/>
    <col min="8451" max="8451" width="7.25" style="1958" customWidth="1"/>
    <col min="8452" max="8452" width="8.125" style="1958" customWidth="1"/>
    <col min="8453" max="8453" width="9.625" style="1958" customWidth="1"/>
    <col min="8454" max="8454" width="10.625" style="1958" customWidth="1"/>
    <col min="8455" max="8455" width="54" style="1958" customWidth="1"/>
    <col min="8456" max="8456" width="9.75" style="1958" customWidth="1"/>
    <col min="8457" max="8458" width="6.5" style="1958" customWidth="1"/>
    <col min="8459" max="8459" width="9.625" style="1958" customWidth="1"/>
    <col min="8460" max="8460" width="10.5" style="1958" customWidth="1"/>
    <col min="8461" max="8704" width="9" style="1958"/>
    <col min="8705" max="8705" width="14.125" style="1958" customWidth="1"/>
    <col min="8706" max="8706" width="6.125" style="1958" customWidth="1"/>
    <col min="8707" max="8707" width="7.25" style="1958" customWidth="1"/>
    <col min="8708" max="8708" width="8.125" style="1958" customWidth="1"/>
    <col min="8709" max="8709" width="9.625" style="1958" customWidth="1"/>
    <col min="8710" max="8710" width="10.625" style="1958" customWidth="1"/>
    <col min="8711" max="8711" width="54" style="1958" customWidth="1"/>
    <col min="8712" max="8712" width="9.75" style="1958" customWidth="1"/>
    <col min="8713" max="8714" width="6.5" style="1958" customWidth="1"/>
    <col min="8715" max="8715" width="9.625" style="1958" customWidth="1"/>
    <col min="8716" max="8716" width="10.5" style="1958" customWidth="1"/>
    <col min="8717" max="8960" width="9" style="1958"/>
    <col min="8961" max="8961" width="14.125" style="1958" customWidth="1"/>
    <col min="8962" max="8962" width="6.125" style="1958" customWidth="1"/>
    <col min="8963" max="8963" width="7.25" style="1958" customWidth="1"/>
    <col min="8964" max="8964" width="8.125" style="1958" customWidth="1"/>
    <col min="8965" max="8965" width="9.625" style="1958" customWidth="1"/>
    <col min="8966" max="8966" width="10.625" style="1958" customWidth="1"/>
    <col min="8967" max="8967" width="54" style="1958" customWidth="1"/>
    <col min="8968" max="8968" width="9.75" style="1958" customWidth="1"/>
    <col min="8969" max="8970" width="6.5" style="1958" customWidth="1"/>
    <col min="8971" max="8971" width="9.625" style="1958" customWidth="1"/>
    <col min="8972" max="8972" width="10.5" style="1958" customWidth="1"/>
    <col min="8973" max="9216" width="9" style="1958"/>
    <col min="9217" max="9217" width="14.125" style="1958" customWidth="1"/>
    <col min="9218" max="9218" width="6.125" style="1958" customWidth="1"/>
    <col min="9219" max="9219" width="7.25" style="1958" customWidth="1"/>
    <col min="9220" max="9220" width="8.125" style="1958" customWidth="1"/>
    <col min="9221" max="9221" width="9.625" style="1958" customWidth="1"/>
    <col min="9222" max="9222" width="10.625" style="1958" customWidth="1"/>
    <col min="9223" max="9223" width="54" style="1958" customWidth="1"/>
    <col min="9224" max="9224" width="9.75" style="1958" customWidth="1"/>
    <col min="9225" max="9226" width="6.5" style="1958" customWidth="1"/>
    <col min="9227" max="9227" width="9.625" style="1958" customWidth="1"/>
    <col min="9228" max="9228" width="10.5" style="1958" customWidth="1"/>
    <col min="9229" max="9472" width="9" style="1958"/>
    <col min="9473" max="9473" width="14.125" style="1958" customWidth="1"/>
    <col min="9474" max="9474" width="6.125" style="1958" customWidth="1"/>
    <col min="9475" max="9475" width="7.25" style="1958" customWidth="1"/>
    <col min="9476" max="9476" width="8.125" style="1958" customWidth="1"/>
    <col min="9477" max="9477" width="9.625" style="1958" customWidth="1"/>
    <col min="9478" max="9478" width="10.625" style="1958" customWidth="1"/>
    <col min="9479" max="9479" width="54" style="1958" customWidth="1"/>
    <col min="9480" max="9480" width="9.75" style="1958" customWidth="1"/>
    <col min="9481" max="9482" width="6.5" style="1958" customWidth="1"/>
    <col min="9483" max="9483" width="9.625" style="1958" customWidth="1"/>
    <col min="9484" max="9484" width="10.5" style="1958" customWidth="1"/>
    <col min="9485" max="9728" width="9" style="1958"/>
    <col min="9729" max="9729" width="14.125" style="1958" customWidth="1"/>
    <col min="9730" max="9730" width="6.125" style="1958" customWidth="1"/>
    <col min="9731" max="9731" width="7.25" style="1958" customWidth="1"/>
    <col min="9732" max="9732" width="8.125" style="1958" customWidth="1"/>
    <col min="9733" max="9733" width="9.625" style="1958" customWidth="1"/>
    <col min="9734" max="9734" width="10.625" style="1958" customWidth="1"/>
    <col min="9735" max="9735" width="54" style="1958" customWidth="1"/>
    <col min="9736" max="9736" width="9.75" style="1958" customWidth="1"/>
    <col min="9737" max="9738" width="6.5" style="1958" customWidth="1"/>
    <col min="9739" max="9739" width="9.625" style="1958" customWidth="1"/>
    <col min="9740" max="9740" width="10.5" style="1958" customWidth="1"/>
    <col min="9741" max="9984" width="9" style="1958"/>
    <col min="9985" max="9985" width="14.125" style="1958" customWidth="1"/>
    <col min="9986" max="9986" width="6.125" style="1958" customWidth="1"/>
    <col min="9987" max="9987" width="7.25" style="1958" customWidth="1"/>
    <col min="9988" max="9988" width="8.125" style="1958" customWidth="1"/>
    <col min="9989" max="9989" width="9.625" style="1958" customWidth="1"/>
    <col min="9990" max="9990" width="10.625" style="1958" customWidth="1"/>
    <col min="9991" max="9991" width="54" style="1958" customWidth="1"/>
    <col min="9992" max="9992" width="9.75" style="1958" customWidth="1"/>
    <col min="9993" max="9994" width="6.5" style="1958" customWidth="1"/>
    <col min="9995" max="9995" width="9.625" style="1958" customWidth="1"/>
    <col min="9996" max="9996" width="10.5" style="1958" customWidth="1"/>
    <col min="9997" max="10240" width="9" style="1958"/>
    <col min="10241" max="10241" width="14.125" style="1958" customWidth="1"/>
    <col min="10242" max="10242" width="6.125" style="1958" customWidth="1"/>
    <col min="10243" max="10243" width="7.25" style="1958" customWidth="1"/>
    <col min="10244" max="10244" width="8.125" style="1958" customWidth="1"/>
    <col min="10245" max="10245" width="9.625" style="1958" customWidth="1"/>
    <col min="10246" max="10246" width="10.625" style="1958" customWidth="1"/>
    <col min="10247" max="10247" width="54" style="1958" customWidth="1"/>
    <col min="10248" max="10248" width="9.75" style="1958" customWidth="1"/>
    <col min="10249" max="10250" width="6.5" style="1958" customWidth="1"/>
    <col min="10251" max="10251" width="9.625" style="1958" customWidth="1"/>
    <col min="10252" max="10252" width="10.5" style="1958" customWidth="1"/>
    <col min="10253" max="10496" width="9" style="1958"/>
    <col min="10497" max="10497" width="14.125" style="1958" customWidth="1"/>
    <col min="10498" max="10498" width="6.125" style="1958" customWidth="1"/>
    <col min="10499" max="10499" width="7.25" style="1958" customWidth="1"/>
    <col min="10500" max="10500" width="8.125" style="1958" customWidth="1"/>
    <col min="10501" max="10501" width="9.625" style="1958" customWidth="1"/>
    <col min="10502" max="10502" width="10.625" style="1958" customWidth="1"/>
    <col min="10503" max="10503" width="54" style="1958" customWidth="1"/>
    <col min="10504" max="10504" width="9.75" style="1958" customWidth="1"/>
    <col min="10505" max="10506" width="6.5" style="1958" customWidth="1"/>
    <col min="10507" max="10507" width="9.625" style="1958" customWidth="1"/>
    <col min="10508" max="10508" width="10.5" style="1958" customWidth="1"/>
    <col min="10509" max="10752" width="9" style="1958"/>
    <col min="10753" max="10753" width="14.125" style="1958" customWidth="1"/>
    <col min="10754" max="10754" width="6.125" style="1958" customWidth="1"/>
    <col min="10755" max="10755" width="7.25" style="1958" customWidth="1"/>
    <col min="10756" max="10756" width="8.125" style="1958" customWidth="1"/>
    <col min="10757" max="10757" width="9.625" style="1958" customWidth="1"/>
    <col min="10758" max="10758" width="10.625" style="1958" customWidth="1"/>
    <col min="10759" max="10759" width="54" style="1958" customWidth="1"/>
    <col min="10760" max="10760" width="9.75" style="1958" customWidth="1"/>
    <col min="10761" max="10762" width="6.5" style="1958" customWidth="1"/>
    <col min="10763" max="10763" width="9.625" style="1958" customWidth="1"/>
    <col min="10764" max="10764" width="10.5" style="1958" customWidth="1"/>
    <col min="10765" max="11008" width="9" style="1958"/>
    <col min="11009" max="11009" width="14.125" style="1958" customWidth="1"/>
    <col min="11010" max="11010" width="6.125" style="1958" customWidth="1"/>
    <col min="11011" max="11011" width="7.25" style="1958" customWidth="1"/>
    <col min="11012" max="11012" width="8.125" style="1958" customWidth="1"/>
    <col min="11013" max="11013" width="9.625" style="1958" customWidth="1"/>
    <col min="11014" max="11014" width="10.625" style="1958" customWidth="1"/>
    <col min="11015" max="11015" width="54" style="1958" customWidth="1"/>
    <col min="11016" max="11016" width="9.75" style="1958" customWidth="1"/>
    <col min="11017" max="11018" width="6.5" style="1958" customWidth="1"/>
    <col min="11019" max="11019" width="9.625" style="1958" customWidth="1"/>
    <col min="11020" max="11020" width="10.5" style="1958" customWidth="1"/>
    <col min="11021" max="11264" width="9" style="1958"/>
    <col min="11265" max="11265" width="14.125" style="1958" customWidth="1"/>
    <col min="11266" max="11266" width="6.125" style="1958" customWidth="1"/>
    <col min="11267" max="11267" width="7.25" style="1958" customWidth="1"/>
    <col min="11268" max="11268" width="8.125" style="1958" customWidth="1"/>
    <col min="11269" max="11269" width="9.625" style="1958" customWidth="1"/>
    <col min="11270" max="11270" width="10.625" style="1958" customWidth="1"/>
    <col min="11271" max="11271" width="54" style="1958" customWidth="1"/>
    <col min="11272" max="11272" width="9.75" style="1958" customWidth="1"/>
    <col min="11273" max="11274" width="6.5" style="1958" customWidth="1"/>
    <col min="11275" max="11275" width="9.625" style="1958" customWidth="1"/>
    <col min="11276" max="11276" width="10.5" style="1958" customWidth="1"/>
    <col min="11277" max="11520" width="9" style="1958"/>
    <col min="11521" max="11521" width="14.125" style="1958" customWidth="1"/>
    <col min="11522" max="11522" width="6.125" style="1958" customWidth="1"/>
    <col min="11523" max="11523" width="7.25" style="1958" customWidth="1"/>
    <col min="11524" max="11524" width="8.125" style="1958" customWidth="1"/>
    <col min="11525" max="11525" width="9.625" style="1958" customWidth="1"/>
    <col min="11526" max="11526" width="10.625" style="1958" customWidth="1"/>
    <col min="11527" max="11527" width="54" style="1958" customWidth="1"/>
    <col min="11528" max="11528" width="9.75" style="1958" customWidth="1"/>
    <col min="11529" max="11530" width="6.5" style="1958" customWidth="1"/>
    <col min="11531" max="11531" width="9.625" style="1958" customWidth="1"/>
    <col min="11532" max="11532" width="10.5" style="1958" customWidth="1"/>
    <col min="11533" max="11776" width="9" style="1958"/>
    <col min="11777" max="11777" width="14.125" style="1958" customWidth="1"/>
    <col min="11778" max="11778" width="6.125" style="1958" customWidth="1"/>
    <col min="11779" max="11779" width="7.25" style="1958" customWidth="1"/>
    <col min="11780" max="11780" width="8.125" style="1958" customWidth="1"/>
    <col min="11781" max="11781" width="9.625" style="1958" customWidth="1"/>
    <col min="11782" max="11782" width="10.625" style="1958" customWidth="1"/>
    <col min="11783" max="11783" width="54" style="1958" customWidth="1"/>
    <col min="11784" max="11784" width="9.75" style="1958" customWidth="1"/>
    <col min="11785" max="11786" width="6.5" style="1958" customWidth="1"/>
    <col min="11787" max="11787" width="9.625" style="1958" customWidth="1"/>
    <col min="11788" max="11788" width="10.5" style="1958" customWidth="1"/>
    <col min="11789" max="12032" width="9" style="1958"/>
    <col min="12033" max="12033" width="14.125" style="1958" customWidth="1"/>
    <col min="12034" max="12034" width="6.125" style="1958" customWidth="1"/>
    <col min="12035" max="12035" width="7.25" style="1958" customWidth="1"/>
    <col min="12036" max="12036" width="8.125" style="1958" customWidth="1"/>
    <col min="12037" max="12037" width="9.625" style="1958" customWidth="1"/>
    <col min="12038" max="12038" width="10.625" style="1958" customWidth="1"/>
    <col min="12039" max="12039" width="54" style="1958" customWidth="1"/>
    <col min="12040" max="12040" width="9.75" style="1958" customWidth="1"/>
    <col min="12041" max="12042" width="6.5" style="1958" customWidth="1"/>
    <col min="12043" max="12043" width="9.625" style="1958" customWidth="1"/>
    <col min="12044" max="12044" width="10.5" style="1958" customWidth="1"/>
    <col min="12045" max="12288" width="9" style="1958"/>
    <col min="12289" max="12289" width="14.125" style="1958" customWidth="1"/>
    <col min="12290" max="12290" width="6.125" style="1958" customWidth="1"/>
    <col min="12291" max="12291" width="7.25" style="1958" customWidth="1"/>
    <col min="12292" max="12292" width="8.125" style="1958" customWidth="1"/>
    <col min="12293" max="12293" width="9.625" style="1958" customWidth="1"/>
    <col min="12294" max="12294" width="10.625" style="1958" customWidth="1"/>
    <col min="12295" max="12295" width="54" style="1958" customWidth="1"/>
    <col min="12296" max="12296" width="9.75" style="1958" customWidth="1"/>
    <col min="12297" max="12298" width="6.5" style="1958" customWidth="1"/>
    <col min="12299" max="12299" width="9.625" style="1958" customWidth="1"/>
    <col min="12300" max="12300" width="10.5" style="1958" customWidth="1"/>
    <col min="12301" max="12544" width="9" style="1958"/>
    <col min="12545" max="12545" width="14.125" style="1958" customWidth="1"/>
    <col min="12546" max="12546" width="6.125" style="1958" customWidth="1"/>
    <col min="12547" max="12547" width="7.25" style="1958" customWidth="1"/>
    <col min="12548" max="12548" width="8.125" style="1958" customWidth="1"/>
    <col min="12549" max="12549" width="9.625" style="1958" customWidth="1"/>
    <col min="12550" max="12550" width="10.625" style="1958" customWidth="1"/>
    <col min="12551" max="12551" width="54" style="1958" customWidth="1"/>
    <col min="12552" max="12552" width="9.75" style="1958" customWidth="1"/>
    <col min="12553" max="12554" width="6.5" style="1958" customWidth="1"/>
    <col min="12555" max="12555" width="9.625" style="1958" customWidth="1"/>
    <col min="12556" max="12556" width="10.5" style="1958" customWidth="1"/>
    <col min="12557" max="12800" width="9" style="1958"/>
    <col min="12801" max="12801" width="14.125" style="1958" customWidth="1"/>
    <col min="12802" max="12802" width="6.125" style="1958" customWidth="1"/>
    <col min="12803" max="12803" width="7.25" style="1958" customWidth="1"/>
    <col min="12804" max="12804" width="8.125" style="1958" customWidth="1"/>
    <col min="12805" max="12805" width="9.625" style="1958" customWidth="1"/>
    <col min="12806" max="12806" width="10.625" style="1958" customWidth="1"/>
    <col min="12807" max="12807" width="54" style="1958" customWidth="1"/>
    <col min="12808" max="12808" width="9.75" style="1958" customWidth="1"/>
    <col min="12809" max="12810" width="6.5" style="1958" customWidth="1"/>
    <col min="12811" max="12811" width="9.625" style="1958" customWidth="1"/>
    <col min="12812" max="12812" width="10.5" style="1958" customWidth="1"/>
    <col min="12813" max="13056" width="9" style="1958"/>
    <col min="13057" max="13057" width="14.125" style="1958" customWidth="1"/>
    <col min="13058" max="13058" width="6.125" style="1958" customWidth="1"/>
    <col min="13059" max="13059" width="7.25" style="1958" customWidth="1"/>
    <col min="13060" max="13060" width="8.125" style="1958" customWidth="1"/>
    <col min="13061" max="13061" width="9.625" style="1958" customWidth="1"/>
    <col min="13062" max="13062" width="10.625" style="1958" customWidth="1"/>
    <col min="13063" max="13063" width="54" style="1958" customWidth="1"/>
    <col min="13064" max="13064" width="9.75" style="1958" customWidth="1"/>
    <col min="13065" max="13066" width="6.5" style="1958" customWidth="1"/>
    <col min="13067" max="13067" width="9.625" style="1958" customWidth="1"/>
    <col min="13068" max="13068" width="10.5" style="1958" customWidth="1"/>
    <col min="13069" max="13312" width="9" style="1958"/>
    <col min="13313" max="13313" width="14.125" style="1958" customWidth="1"/>
    <col min="13314" max="13314" width="6.125" style="1958" customWidth="1"/>
    <col min="13315" max="13315" width="7.25" style="1958" customWidth="1"/>
    <col min="13316" max="13316" width="8.125" style="1958" customWidth="1"/>
    <col min="13317" max="13317" width="9.625" style="1958" customWidth="1"/>
    <col min="13318" max="13318" width="10.625" style="1958" customWidth="1"/>
    <col min="13319" max="13319" width="54" style="1958" customWidth="1"/>
    <col min="13320" max="13320" width="9.75" style="1958" customWidth="1"/>
    <col min="13321" max="13322" width="6.5" style="1958" customWidth="1"/>
    <col min="13323" max="13323" width="9.625" style="1958" customWidth="1"/>
    <col min="13324" max="13324" width="10.5" style="1958" customWidth="1"/>
    <col min="13325" max="13568" width="9" style="1958"/>
    <col min="13569" max="13569" width="14.125" style="1958" customWidth="1"/>
    <col min="13570" max="13570" width="6.125" style="1958" customWidth="1"/>
    <col min="13571" max="13571" width="7.25" style="1958" customWidth="1"/>
    <col min="13572" max="13572" width="8.125" style="1958" customWidth="1"/>
    <col min="13573" max="13573" width="9.625" style="1958" customWidth="1"/>
    <col min="13574" max="13574" width="10.625" style="1958" customWidth="1"/>
    <col min="13575" max="13575" width="54" style="1958" customWidth="1"/>
    <col min="13576" max="13576" width="9.75" style="1958" customWidth="1"/>
    <col min="13577" max="13578" width="6.5" style="1958" customWidth="1"/>
    <col min="13579" max="13579" width="9.625" style="1958" customWidth="1"/>
    <col min="13580" max="13580" width="10.5" style="1958" customWidth="1"/>
    <col min="13581" max="13824" width="9" style="1958"/>
    <col min="13825" max="13825" width="14.125" style="1958" customWidth="1"/>
    <col min="13826" max="13826" width="6.125" style="1958" customWidth="1"/>
    <col min="13827" max="13827" width="7.25" style="1958" customWidth="1"/>
    <col min="13828" max="13828" width="8.125" style="1958" customWidth="1"/>
    <col min="13829" max="13829" width="9.625" style="1958" customWidth="1"/>
    <col min="13830" max="13830" width="10.625" style="1958" customWidth="1"/>
    <col min="13831" max="13831" width="54" style="1958" customWidth="1"/>
    <col min="13832" max="13832" width="9.75" style="1958" customWidth="1"/>
    <col min="13833" max="13834" width="6.5" style="1958" customWidth="1"/>
    <col min="13835" max="13835" width="9.625" style="1958" customWidth="1"/>
    <col min="13836" max="13836" width="10.5" style="1958" customWidth="1"/>
    <col min="13837" max="14080" width="9" style="1958"/>
    <col min="14081" max="14081" width="14.125" style="1958" customWidth="1"/>
    <col min="14082" max="14082" width="6.125" style="1958" customWidth="1"/>
    <col min="14083" max="14083" width="7.25" style="1958" customWidth="1"/>
    <col min="14084" max="14084" width="8.125" style="1958" customWidth="1"/>
    <col min="14085" max="14085" width="9.625" style="1958" customWidth="1"/>
    <col min="14086" max="14086" width="10.625" style="1958" customWidth="1"/>
    <col min="14087" max="14087" width="54" style="1958" customWidth="1"/>
    <col min="14088" max="14088" width="9.75" style="1958" customWidth="1"/>
    <col min="14089" max="14090" width="6.5" style="1958" customWidth="1"/>
    <col min="14091" max="14091" width="9.625" style="1958" customWidth="1"/>
    <col min="14092" max="14092" width="10.5" style="1958" customWidth="1"/>
    <col min="14093" max="14336" width="9" style="1958"/>
    <col min="14337" max="14337" width="14.125" style="1958" customWidth="1"/>
    <col min="14338" max="14338" width="6.125" style="1958" customWidth="1"/>
    <col min="14339" max="14339" width="7.25" style="1958" customWidth="1"/>
    <col min="14340" max="14340" width="8.125" style="1958" customWidth="1"/>
    <col min="14341" max="14341" width="9.625" style="1958" customWidth="1"/>
    <col min="14342" max="14342" width="10.625" style="1958" customWidth="1"/>
    <col min="14343" max="14343" width="54" style="1958" customWidth="1"/>
    <col min="14344" max="14344" width="9.75" style="1958" customWidth="1"/>
    <col min="14345" max="14346" width="6.5" style="1958" customWidth="1"/>
    <col min="14347" max="14347" width="9.625" style="1958" customWidth="1"/>
    <col min="14348" max="14348" width="10.5" style="1958" customWidth="1"/>
    <col min="14349" max="14592" width="9" style="1958"/>
    <col min="14593" max="14593" width="14.125" style="1958" customWidth="1"/>
    <col min="14594" max="14594" width="6.125" style="1958" customWidth="1"/>
    <col min="14595" max="14595" width="7.25" style="1958" customWidth="1"/>
    <col min="14596" max="14596" width="8.125" style="1958" customWidth="1"/>
    <col min="14597" max="14597" width="9.625" style="1958" customWidth="1"/>
    <col min="14598" max="14598" width="10.625" style="1958" customWidth="1"/>
    <col min="14599" max="14599" width="54" style="1958" customWidth="1"/>
    <col min="14600" max="14600" width="9.75" style="1958" customWidth="1"/>
    <col min="14601" max="14602" width="6.5" style="1958" customWidth="1"/>
    <col min="14603" max="14603" width="9.625" style="1958" customWidth="1"/>
    <col min="14604" max="14604" width="10.5" style="1958" customWidth="1"/>
    <col min="14605" max="14848" width="9" style="1958"/>
    <col min="14849" max="14849" width="14.125" style="1958" customWidth="1"/>
    <col min="14850" max="14850" width="6.125" style="1958" customWidth="1"/>
    <col min="14851" max="14851" width="7.25" style="1958" customWidth="1"/>
    <col min="14852" max="14852" width="8.125" style="1958" customWidth="1"/>
    <col min="14853" max="14853" width="9.625" style="1958" customWidth="1"/>
    <col min="14854" max="14854" width="10.625" style="1958" customWidth="1"/>
    <col min="14855" max="14855" width="54" style="1958" customWidth="1"/>
    <col min="14856" max="14856" width="9.75" style="1958" customWidth="1"/>
    <col min="14857" max="14858" width="6.5" style="1958" customWidth="1"/>
    <col min="14859" max="14859" width="9.625" style="1958" customWidth="1"/>
    <col min="14860" max="14860" width="10.5" style="1958" customWidth="1"/>
    <col min="14861" max="15104" width="9" style="1958"/>
    <col min="15105" max="15105" width="14.125" style="1958" customWidth="1"/>
    <col min="15106" max="15106" width="6.125" style="1958" customWidth="1"/>
    <col min="15107" max="15107" width="7.25" style="1958" customWidth="1"/>
    <col min="15108" max="15108" width="8.125" style="1958" customWidth="1"/>
    <col min="15109" max="15109" width="9.625" style="1958" customWidth="1"/>
    <col min="15110" max="15110" width="10.625" style="1958" customWidth="1"/>
    <col min="15111" max="15111" width="54" style="1958" customWidth="1"/>
    <col min="15112" max="15112" width="9.75" style="1958" customWidth="1"/>
    <col min="15113" max="15114" width="6.5" style="1958" customWidth="1"/>
    <col min="15115" max="15115" width="9.625" style="1958" customWidth="1"/>
    <col min="15116" max="15116" width="10.5" style="1958" customWidth="1"/>
    <col min="15117" max="15360" width="9" style="1958"/>
    <col min="15361" max="15361" width="14.125" style="1958" customWidth="1"/>
    <col min="15362" max="15362" width="6.125" style="1958" customWidth="1"/>
    <col min="15363" max="15363" width="7.25" style="1958" customWidth="1"/>
    <col min="15364" max="15364" width="8.125" style="1958" customWidth="1"/>
    <col min="15365" max="15365" width="9.625" style="1958" customWidth="1"/>
    <col min="15366" max="15366" width="10.625" style="1958" customWidth="1"/>
    <col min="15367" max="15367" width="54" style="1958" customWidth="1"/>
    <col min="15368" max="15368" width="9.75" style="1958" customWidth="1"/>
    <col min="15369" max="15370" width="6.5" style="1958" customWidth="1"/>
    <col min="15371" max="15371" width="9.625" style="1958" customWidth="1"/>
    <col min="15372" max="15372" width="10.5" style="1958" customWidth="1"/>
    <col min="15373" max="15616" width="9" style="1958"/>
    <col min="15617" max="15617" width="14.125" style="1958" customWidth="1"/>
    <col min="15618" max="15618" width="6.125" style="1958" customWidth="1"/>
    <col min="15619" max="15619" width="7.25" style="1958" customWidth="1"/>
    <col min="15620" max="15620" width="8.125" style="1958" customWidth="1"/>
    <col min="15621" max="15621" width="9.625" style="1958" customWidth="1"/>
    <col min="15622" max="15622" width="10.625" style="1958" customWidth="1"/>
    <col min="15623" max="15623" width="54" style="1958" customWidth="1"/>
    <col min="15624" max="15624" width="9.75" style="1958" customWidth="1"/>
    <col min="15625" max="15626" width="6.5" style="1958" customWidth="1"/>
    <col min="15627" max="15627" width="9.625" style="1958" customWidth="1"/>
    <col min="15628" max="15628" width="10.5" style="1958" customWidth="1"/>
    <col min="15629" max="15872" width="9" style="1958"/>
    <col min="15873" max="15873" width="14.125" style="1958" customWidth="1"/>
    <col min="15874" max="15874" width="6.125" style="1958" customWidth="1"/>
    <col min="15875" max="15875" width="7.25" style="1958" customWidth="1"/>
    <col min="15876" max="15876" width="8.125" style="1958" customWidth="1"/>
    <col min="15877" max="15877" width="9.625" style="1958" customWidth="1"/>
    <col min="15878" max="15878" width="10.625" style="1958" customWidth="1"/>
    <col min="15879" max="15879" width="54" style="1958" customWidth="1"/>
    <col min="15880" max="15880" width="9.75" style="1958" customWidth="1"/>
    <col min="15881" max="15882" width="6.5" style="1958" customWidth="1"/>
    <col min="15883" max="15883" width="9.625" style="1958" customWidth="1"/>
    <col min="15884" max="15884" width="10.5" style="1958" customWidth="1"/>
    <col min="15885" max="16128" width="9" style="1958"/>
    <col min="16129" max="16129" width="14.125" style="1958" customWidth="1"/>
    <col min="16130" max="16130" width="6.125" style="1958" customWidth="1"/>
    <col min="16131" max="16131" width="7.25" style="1958" customWidth="1"/>
    <col min="16132" max="16132" width="8.125" style="1958" customWidth="1"/>
    <col min="16133" max="16133" width="9.625" style="1958" customWidth="1"/>
    <col min="16134" max="16134" width="10.625" style="1958" customWidth="1"/>
    <col min="16135" max="16135" width="54" style="1958" customWidth="1"/>
    <col min="16136" max="16136" width="9.75" style="1958" customWidth="1"/>
    <col min="16137" max="16138" width="6.5" style="1958" customWidth="1"/>
    <col min="16139" max="16139" width="9.625" style="1958" customWidth="1"/>
    <col min="16140" max="16140" width="10.5" style="1958" customWidth="1"/>
    <col min="16141" max="16384" width="9" style="1958"/>
  </cols>
  <sheetData>
    <row r="1" spans="1:12">
      <c r="A1" s="1958" t="s">
        <v>984</v>
      </c>
      <c r="B1" s="1958" t="s">
        <v>983</v>
      </c>
      <c r="C1" s="1958" t="s">
        <v>982</v>
      </c>
      <c r="D1" s="1958" t="s">
        <v>981</v>
      </c>
      <c r="E1" s="1958" t="s">
        <v>980</v>
      </c>
      <c r="F1" s="1958" t="s">
        <v>979</v>
      </c>
      <c r="G1" s="1958" t="s">
        <v>978</v>
      </c>
      <c r="H1" s="1958" t="s">
        <v>977</v>
      </c>
      <c r="I1" s="1958" t="s">
        <v>976</v>
      </c>
      <c r="J1" s="1958" t="s">
        <v>975</v>
      </c>
      <c r="K1" s="1959" t="s">
        <v>974</v>
      </c>
      <c r="L1" s="1959" t="s">
        <v>973</v>
      </c>
    </row>
    <row r="2" spans="1:12">
      <c r="A2" s="1958" t="s">
        <v>877</v>
      </c>
      <c r="B2" s="1958">
        <v>187</v>
      </c>
      <c r="C2" s="1958">
        <v>2023</v>
      </c>
      <c r="D2" s="1958">
        <v>12</v>
      </c>
      <c r="E2" s="1958">
        <v>1</v>
      </c>
      <c r="F2" s="1958">
        <v>0</v>
      </c>
      <c r="G2" s="1958" t="s">
        <v>972</v>
      </c>
      <c r="H2" s="1958" t="s">
        <v>728</v>
      </c>
      <c r="I2" s="1958">
        <v>0</v>
      </c>
      <c r="J2" s="1958">
        <v>0</v>
      </c>
      <c r="K2" s="1959">
        <v>0</v>
      </c>
      <c r="L2" s="1959">
        <v>0</v>
      </c>
    </row>
    <row r="3" spans="1:12">
      <c r="A3" s="1958" t="s">
        <v>877</v>
      </c>
      <c r="B3" s="1958">
        <v>187</v>
      </c>
      <c r="C3" s="1958">
        <v>2023</v>
      </c>
      <c r="D3" s="1958">
        <v>12</v>
      </c>
      <c r="E3" s="1958">
        <v>2</v>
      </c>
      <c r="F3" s="1958">
        <v>0</v>
      </c>
      <c r="G3" s="1958" t="s">
        <v>971</v>
      </c>
      <c r="H3" s="1958" t="s">
        <v>69</v>
      </c>
      <c r="I3" s="1958">
        <v>0</v>
      </c>
      <c r="J3" s="1958">
        <v>0</v>
      </c>
      <c r="K3" s="1959">
        <v>7852959202.9899998</v>
      </c>
      <c r="L3" s="1959">
        <v>7477186308.3699999</v>
      </c>
    </row>
    <row r="4" spans="1:12">
      <c r="A4" s="1958" t="s">
        <v>877</v>
      </c>
      <c r="B4" s="1958">
        <v>187</v>
      </c>
      <c r="C4" s="1958">
        <v>2023</v>
      </c>
      <c r="D4" s="1958">
        <v>12</v>
      </c>
      <c r="E4" s="1958">
        <v>3</v>
      </c>
      <c r="F4" s="1958">
        <v>0</v>
      </c>
      <c r="G4" s="1958" t="s">
        <v>970</v>
      </c>
      <c r="H4" s="1958" t="s">
        <v>69</v>
      </c>
      <c r="I4" s="1958">
        <v>0</v>
      </c>
      <c r="J4" s="1958">
        <v>0</v>
      </c>
      <c r="K4" s="1959">
        <v>170812964.47999999</v>
      </c>
      <c r="L4" s="1959">
        <v>155475676.66999999</v>
      </c>
    </row>
    <row r="5" spans="1:12">
      <c r="A5" s="1958" t="s">
        <v>877</v>
      </c>
      <c r="B5" s="1958">
        <v>187</v>
      </c>
      <c r="C5" s="1958">
        <v>2023</v>
      </c>
      <c r="D5" s="1958">
        <v>12</v>
      </c>
      <c r="E5" s="1958">
        <v>4</v>
      </c>
      <c r="F5" s="1958">
        <v>0</v>
      </c>
      <c r="G5" s="1958" t="s">
        <v>969</v>
      </c>
      <c r="H5" s="1958" t="s">
        <v>728</v>
      </c>
      <c r="I5" s="1958">
        <v>0</v>
      </c>
      <c r="J5" s="1958">
        <v>0</v>
      </c>
      <c r="K5" s="1959">
        <v>8023772167.4699993</v>
      </c>
      <c r="L5" s="1959">
        <v>7632661985.04</v>
      </c>
    </row>
    <row r="6" spans="1:12">
      <c r="A6" s="1958" t="s">
        <v>877</v>
      </c>
      <c r="B6" s="1958">
        <v>187</v>
      </c>
      <c r="C6" s="1958">
        <v>2023</v>
      </c>
      <c r="D6" s="1958">
        <v>12</v>
      </c>
      <c r="E6" s="1958">
        <v>5</v>
      </c>
      <c r="F6" s="1958">
        <v>0</v>
      </c>
      <c r="G6" s="1958" t="s">
        <v>968</v>
      </c>
      <c r="H6" s="1958" t="s">
        <v>69</v>
      </c>
      <c r="I6" s="1958">
        <v>0</v>
      </c>
      <c r="J6" s="1958">
        <v>0</v>
      </c>
      <c r="K6" s="1959">
        <v>2796332033.9099998</v>
      </c>
      <c r="L6" s="1959">
        <v>2624302471.6700001</v>
      </c>
    </row>
    <row r="7" spans="1:12">
      <c r="A7" s="1958" t="s">
        <v>877</v>
      </c>
      <c r="B7" s="1958">
        <v>187</v>
      </c>
      <c r="C7" s="1958">
        <v>2023</v>
      </c>
      <c r="D7" s="1958">
        <v>12</v>
      </c>
      <c r="E7" s="1958">
        <v>6</v>
      </c>
      <c r="F7" s="1958">
        <v>0</v>
      </c>
      <c r="G7" s="1958" t="s">
        <v>967</v>
      </c>
      <c r="H7" s="1958" t="s">
        <v>728</v>
      </c>
      <c r="I7" s="1958">
        <v>0</v>
      </c>
      <c r="J7" s="1958">
        <v>0</v>
      </c>
      <c r="K7" s="1959">
        <v>5227440133.5599995</v>
      </c>
      <c r="L7" s="1959">
        <v>5008359513.3699999</v>
      </c>
    </row>
    <row r="8" spans="1:12">
      <c r="A8" s="1958" t="s">
        <v>877</v>
      </c>
      <c r="B8" s="1958">
        <v>187</v>
      </c>
      <c r="C8" s="1958">
        <v>2023</v>
      </c>
      <c r="D8" s="1958">
        <v>12</v>
      </c>
      <c r="E8" s="1958">
        <v>7</v>
      </c>
      <c r="F8" s="1958">
        <v>0</v>
      </c>
      <c r="G8" s="1958" t="s">
        <v>966</v>
      </c>
      <c r="H8" s="1958" t="s">
        <v>960</v>
      </c>
      <c r="I8" s="1958">
        <v>0</v>
      </c>
      <c r="J8" s="1958">
        <v>0</v>
      </c>
      <c r="K8" s="1959">
        <v>0</v>
      </c>
      <c r="L8" s="1959">
        <v>0</v>
      </c>
    </row>
    <row r="9" spans="1:12">
      <c r="A9" s="1958" t="s">
        <v>877</v>
      </c>
      <c r="B9" s="1958">
        <v>187</v>
      </c>
      <c r="C9" s="1958">
        <v>2023</v>
      </c>
      <c r="D9" s="1958">
        <v>12</v>
      </c>
      <c r="E9" s="1958">
        <v>8</v>
      </c>
      <c r="F9" s="1958">
        <v>0</v>
      </c>
      <c r="G9" s="1958" t="s">
        <v>965</v>
      </c>
      <c r="H9" s="1958" t="s">
        <v>728</v>
      </c>
      <c r="I9" s="1958">
        <v>0</v>
      </c>
      <c r="J9" s="1958">
        <v>0</v>
      </c>
      <c r="K9" s="1959">
        <v>0</v>
      </c>
      <c r="L9" s="1959">
        <v>0</v>
      </c>
    </row>
    <row r="10" spans="1:12">
      <c r="A10" s="1958" t="s">
        <v>877</v>
      </c>
      <c r="B10" s="1958">
        <v>187</v>
      </c>
      <c r="C10" s="1958">
        <v>2023</v>
      </c>
      <c r="D10" s="1958">
        <v>12</v>
      </c>
      <c r="E10" s="1958">
        <v>9</v>
      </c>
      <c r="F10" s="1958">
        <v>0</v>
      </c>
      <c r="G10" s="1958" t="s">
        <v>964</v>
      </c>
      <c r="H10" s="1958" t="s">
        <v>728</v>
      </c>
      <c r="I10" s="1958">
        <v>0</v>
      </c>
      <c r="J10" s="1958">
        <v>0</v>
      </c>
      <c r="K10" s="1959">
        <v>0</v>
      </c>
      <c r="L10" s="1959">
        <v>0</v>
      </c>
    </row>
    <row r="11" spans="1:12">
      <c r="A11" s="1958" t="s">
        <v>877</v>
      </c>
      <c r="B11" s="1958">
        <v>187</v>
      </c>
      <c r="C11" s="1958">
        <v>2023</v>
      </c>
      <c r="D11" s="1958">
        <v>12</v>
      </c>
      <c r="E11" s="1958">
        <v>10</v>
      </c>
      <c r="F11" s="1958">
        <v>0</v>
      </c>
      <c r="G11" s="1958" t="s">
        <v>963</v>
      </c>
      <c r="H11" s="1958" t="s">
        <v>728</v>
      </c>
      <c r="I11" s="1958">
        <v>0</v>
      </c>
      <c r="J11" s="1958">
        <v>0</v>
      </c>
      <c r="K11" s="1959">
        <v>0</v>
      </c>
      <c r="L11" s="1959">
        <v>0</v>
      </c>
    </row>
    <row r="12" spans="1:12">
      <c r="A12" s="1958" t="s">
        <v>877</v>
      </c>
      <c r="B12" s="1958">
        <v>187</v>
      </c>
      <c r="C12" s="1958">
        <v>2023</v>
      </c>
      <c r="D12" s="1958">
        <v>12</v>
      </c>
      <c r="E12" s="1958">
        <v>11</v>
      </c>
      <c r="F12" s="1958">
        <v>0</v>
      </c>
      <c r="G12" s="1958" t="s">
        <v>962</v>
      </c>
      <c r="H12" s="1958" t="s">
        <v>728</v>
      </c>
      <c r="I12" s="1958">
        <v>0</v>
      </c>
      <c r="J12" s="1958">
        <v>0</v>
      </c>
      <c r="K12" s="1959">
        <v>0</v>
      </c>
      <c r="L12" s="1959">
        <v>0</v>
      </c>
    </row>
    <row r="13" spans="1:12">
      <c r="A13" s="1958" t="s">
        <v>877</v>
      </c>
      <c r="B13" s="1958">
        <v>187</v>
      </c>
      <c r="C13" s="1958">
        <v>2023</v>
      </c>
      <c r="D13" s="1958">
        <v>12</v>
      </c>
      <c r="E13" s="1958">
        <v>12</v>
      </c>
      <c r="F13" s="1958">
        <v>0</v>
      </c>
      <c r="G13" s="1958" t="s">
        <v>961</v>
      </c>
      <c r="H13" s="1958" t="s">
        <v>960</v>
      </c>
      <c r="I13" s="1958">
        <v>0</v>
      </c>
      <c r="J13" s="1958">
        <v>0</v>
      </c>
      <c r="K13" s="1959">
        <v>0</v>
      </c>
      <c r="L13" s="1959">
        <v>0</v>
      </c>
    </row>
    <row r="14" spans="1:12">
      <c r="A14" s="1958" t="s">
        <v>877</v>
      </c>
      <c r="B14" s="1958">
        <v>187</v>
      </c>
      <c r="C14" s="1958">
        <v>2023</v>
      </c>
      <c r="D14" s="1958">
        <v>12</v>
      </c>
      <c r="E14" s="1958">
        <v>13</v>
      </c>
      <c r="F14" s="1958">
        <v>0</v>
      </c>
      <c r="G14" s="1958" t="s">
        <v>959</v>
      </c>
      <c r="H14" s="1958" t="s">
        <v>728</v>
      </c>
      <c r="I14" s="1958">
        <v>0</v>
      </c>
      <c r="J14" s="1958">
        <v>0</v>
      </c>
      <c r="K14" s="1959">
        <v>0</v>
      </c>
      <c r="L14" s="1959">
        <v>0</v>
      </c>
    </row>
    <row r="15" spans="1:12">
      <c r="A15" s="1958" t="s">
        <v>877</v>
      </c>
      <c r="B15" s="1958">
        <v>187</v>
      </c>
      <c r="C15" s="1958">
        <v>2023</v>
      </c>
      <c r="D15" s="1958">
        <v>12</v>
      </c>
      <c r="E15" s="1958">
        <v>14</v>
      </c>
      <c r="F15" s="1958">
        <v>0</v>
      </c>
      <c r="G15" s="1958" t="s">
        <v>958</v>
      </c>
      <c r="H15" s="1958" t="s">
        <v>728</v>
      </c>
      <c r="I15" s="1958">
        <v>0</v>
      </c>
      <c r="J15" s="1958">
        <v>0</v>
      </c>
      <c r="K15" s="1959">
        <v>5227440133.5599995</v>
      </c>
      <c r="L15" s="1959">
        <v>5008359513.3699999</v>
      </c>
    </row>
    <row r="16" spans="1:12">
      <c r="A16" s="1958" t="s">
        <v>877</v>
      </c>
      <c r="B16" s="1958">
        <v>187</v>
      </c>
      <c r="C16" s="1958">
        <v>2023</v>
      </c>
      <c r="D16" s="1958">
        <v>12</v>
      </c>
      <c r="E16" s="1958">
        <v>15</v>
      </c>
      <c r="F16" s="1958">
        <v>0</v>
      </c>
      <c r="G16" s="1958" t="s">
        <v>957</v>
      </c>
      <c r="H16" s="1958" t="s">
        <v>728</v>
      </c>
      <c r="I16" s="1958">
        <v>0</v>
      </c>
      <c r="J16" s="1958">
        <v>0</v>
      </c>
    </row>
    <row r="17" spans="1:12">
      <c r="A17" s="1958" t="s">
        <v>877</v>
      </c>
      <c r="B17" s="1958">
        <v>187</v>
      </c>
      <c r="C17" s="1958">
        <v>2023</v>
      </c>
      <c r="D17" s="1958">
        <v>12</v>
      </c>
      <c r="E17" s="1958">
        <v>16</v>
      </c>
      <c r="F17" s="1958">
        <v>0</v>
      </c>
      <c r="G17" s="1958" t="s">
        <v>956</v>
      </c>
      <c r="H17" s="1958" t="s">
        <v>728</v>
      </c>
      <c r="I17" s="1958">
        <v>0</v>
      </c>
      <c r="J17" s="1958">
        <v>0</v>
      </c>
      <c r="K17" s="1959">
        <v>6992075.9800000004</v>
      </c>
      <c r="L17" s="1959">
        <v>6992075.9800000004</v>
      </c>
    </row>
    <row r="18" spans="1:12">
      <c r="A18" s="1958" t="s">
        <v>877</v>
      </c>
      <c r="B18" s="1958">
        <v>187</v>
      </c>
      <c r="C18" s="1958">
        <v>2023</v>
      </c>
      <c r="D18" s="1958">
        <v>12</v>
      </c>
      <c r="E18" s="1958">
        <v>17</v>
      </c>
      <c r="F18" s="1958">
        <v>0</v>
      </c>
      <c r="G18" s="1958" t="s">
        <v>955</v>
      </c>
      <c r="H18" s="1958" t="s">
        <v>728</v>
      </c>
      <c r="I18" s="1958">
        <v>0</v>
      </c>
      <c r="J18" s="1958">
        <v>0</v>
      </c>
    </row>
    <row r="19" spans="1:12">
      <c r="A19" s="1958" t="s">
        <v>877</v>
      </c>
      <c r="B19" s="1958">
        <v>187</v>
      </c>
      <c r="C19" s="1958">
        <v>2023</v>
      </c>
      <c r="D19" s="1958">
        <v>12</v>
      </c>
      <c r="E19" s="1958">
        <v>18</v>
      </c>
      <c r="F19" s="1958">
        <v>0</v>
      </c>
      <c r="G19" s="1958" t="s">
        <v>954</v>
      </c>
      <c r="H19" s="1958" t="s">
        <v>728</v>
      </c>
      <c r="I19" s="1958">
        <v>0</v>
      </c>
      <c r="J19" s="1958">
        <v>0</v>
      </c>
      <c r="K19" s="1959">
        <v>22796933.25</v>
      </c>
      <c r="L19" s="1959">
        <v>11036947.24</v>
      </c>
    </row>
    <row r="20" spans="1:12">
      <c r="A20" s="1958" t="s">
        <v>877</v>
      </c>
      <c r="B20" s="1958">
        <v>187</v>
      </c>
      <c r="C20" s="1958">
        <v>2023</v>
      </c>
      <c r="D20" s="1958">
        <v>12</v>
      </c>
      <c r="E20" s="1958">
        <v>19</v>
      </c>
      <c r="F20" s="1958">
        <v>0</v>
      </c>
      <c r="G20" s="1958" t="s">
        <v>953</v>
      </c>
      <c r="H20" s="1958" t="s">
        <v>728</v>
      </c>
      <c r="I20" s="1958">
        <v>0</v>
      </c>
      <c r="J20" s="1958">
        <v>0</v>
      </c>
      <c r="K20" s="1959">
        <v>110345.39</v>
      </c>
      <c r="L20" s="1959">
        <v>103608.99</v>
      </c>
    </row>
    <row r="21" spans="1:12">
      <c r="A21" s="1958" t="s">
        <v>877</v>
      </c>
      <c r="B21" s="1958">
        <v>187</v>
      </c>
      <c r="C21" s="1958">
        <v>2023</v>
      </c>
      <c r="D21" s="1958">
        <v>12</v>
      </c>
      <c r="E21" s="1958">
        <v>20</v>
      </c>
      <c r="F21" s="1958">
        <v>0</v>
      </c>
      <c r="G21" s="1958" t="s">
        <v>952</v>
      </c>
      <c r="H21" s="1958" t="s">
        <v>728</v>
      </c>
      <c r="I21" s="1958">
        <v>0</v>
      </c>
      <c r="J21" s="1958">
        <v>0</v>
      </c>
      <c r="K21" s="1959">
        <v>11547000</v>
      </c>
      <c r="L21" s="1959">
        <v>11547000</v>
      </c>
    </row>
    <row r="22" spans="1:12">
      <c r="A22" s="1958" t="s">
        <v>877</v>
      </c>
      <c r="B22" s="1958">
        <v>187</v>
      </c>
      <c r="C22" s="1958">
        <v>2023</v>
      </c>
      <c r="D22" s="1958">
        <v>12</v>
      </c>
      <c r="E22" s="1958">
        <v>21</v>
      </c>
      <c r="F22" s="1958">
        <v>0</v>
      </c>
      <c r="G22" s="1958" t="s">
        <v>951</v>
      </c>
      <c r="H22" s="1958" t="s">
        <v>950</v>
      </c>
      <c r="I22" s="1958">
        <v>0</v>
      </c>
      <c r="J22" s="1958">
        <v>0</v>
      </c>
      <c r="K22" s="1959">
        <v>265210639.58000001</v>
      </c>
      <c r="L22" s="1959">
        <v>260760968.88999999</v>
      </c>
    </row>
    <row r="23" spans="1:12">
      <c r="A23" s="1958" t="s">
        <v>877</v>
      </c>
      <c r="B23" s="1958">
        <v>187</v>
      </c>
      <c r="C23" s="1958">
        <v>2023</v>
      </c>
      <c r="D23" s="1958">
        <v>12</v>
      </c>
      <c r="E23" s="1958">
        <v>22</v>
      </c>
      <c r="F23" s="1958">
        <v>0</v>
      </c>
      <c r="G23" s="1958" t="s">
        <v>949</v>
      </c>
      <c r="H23" s="1958" t="s">
        <v>728</v>
      </c>
      <c r="I23" s="1958">
        <v>0</v>
      </c>
      <c r="J23" s="1958">
        <v>0</v>
      </c>
      <c r="K23" s="1959">
        <v>0</v>
      </c>
      <c r="L23" s="1959">
        <v>0</v>
      </c>
    </row>
    <row r="24" spans="1:12">
      <c r="A24" s="1958" t="s">
        <v>877</v>
      </c>
      <c r="B24" s="1958">
        <v>187</v>
      </c>
      <c r="C24" s="1958">
        <v>2023</v>
      </c>
      <c r="D24" s="1958">
        <v>12</v>
      </c>
      <c r="E24" s="1958">
        <v>23</v>
      </c>
      <c r="F24" s="1958">
        <v>0</v>
      </c>
      <c r="G24" s="1958" t="s">
        <v>948</v>
      </c>
      <c r="H24" s="1958" t="s">
        <v>917</v>
      </c>
      <c r="I24" s="1958">
        <v>0</v>
      </c>
      <c r="J24" s="1958">
        <v>0</v>
      </c>
      <c r="K24" s="1959">
        <v>0</v>
      </c>
      <c r="L24" s="1959">
        <v>0</v>
      </c>
    </row>
    <row r="25" spans="1:12">
      <c r="A25" s="1958" t="s">
        <v>877</v>
      </c>
      <c r="B25" s="1958">
        <v>187</v>
      </c>
      <c r="C25" s="1958">
        <v>2023</v>
      </c>
      <c r="D25" s="1958">
        <v>12</v>
      </c>
      <c r="E25" s="1958">
        <v>24</v>
      </c>
      <c r="F25" s="1958">
        <v>0</v>
      </c>
      <c r="G25" s="1958" t="s">
        <v>947</v>
      </c>
      <c r="H25" s="1958" t="s">
        <v>728</v>
      </c>
      <c r="I25" s="1958">
        <v>0</v>
      </c>
      <c r="J25" s="1958">
        <v>0</v>
      </c>
      <c r="K25" s="1959">
        <v>14093.53</v>
      </c>
      <c r="L25" s="1959">
        <v>73448.7</v>
      </c>
    </row>
    <row r="26" spans="1:12">
      <c r="A26" s="1958" t="s">
        <v>877</v>
      </c>
      <c r="B26" s="1958">
        <v>187</v>
      </c>
      <c r="C26" s="1958">
        <v>2023</v>
      </c>
      <c r="D26" s="1958">
        <v>12</v>
      </c>
      <c r="E26" s="1958">
        <v>25</v>
      </c>
      <c r="F26" s="1958">
        <v>0</v>
      </c>
      <c r="G26" s="1958" t="s">
        <v>946</v>
      </c>
      <c r="H26" s="1958" t="s">
        <v>728</v>
      </c>
      <c r="I26" s="1958">
        <v>0</v>
      </c>
      <c r="J26" s="1958">
        <v>0</v>
      </c>
      <c r="K26" s="1959">
        <v>0</v>
      </c>
      <c r="L26" s="1959">
        <v>0</v>
      </c>
    </row>
    <row r="27" spans="1:12">
      <c r="A27" s="1958" t="s">
        <v>877</v>
      </c>
      <c r="B27" s="1958">
        <v>187</v>
      </c>
      <c r="C27" s="1958">
        <v>2023</v>
      </c>
      <c r="D27" s="1958">
        <v>12</v>
      </c>
      <c r="E27" s="1958">
        <v>26</v>
      </c>
      <c r="F27" s="1958">
        <v>0</v>
      </c>
      <c r="G27" s="1958" t="s">
        <v>945</v>
      </c>
      <c r="H27" s="1958" t="s">
        <v>728</v>
      </c>
      <c r="I27" s="1958">
        <v>0</v>
      </c>
      <c r="J27" s="1958">
        <v>0</v>
      </c>
      <c r="K27" s="1959">
        <v>0</v>
      </c>
      <c r="L27" s="1959">
        <v>0</v>
      </c>
    </row>
    <row r="28" spans="1:12">
      <c r="A28" s="1958" t="s">
        <v>877</v>
      </c>
      <c r="B28" s="1958">
        <v>187</v>
      </c>
      <c r="C28" s="1958">
        <v>2023</v>
      </c>
      <c r="D28" s="1958">
        <v>12</v>
      </c>
      <c r="E28" s="1958">
        <v>27</v>
      </c>
      <c r="F28" s="1958">
        <v>0</v>
      </c>
      <c r="G28" s="1958" t="s">
        <v>944</v>
      </c>
      <c r="H28" s="1958" t="s">
        <v>728</v>
      </c>
      <c r="I28" s="1958">
        <v>0</v>
      </c>
      <c r="J28" s="1958">
        <v>0</v>
      </c>
      <c r="K28" s="1959">
        <v>0</v>
      </c>
      <c r="L28" s="1959">
        <v>0</v>
      </c>
    </row>
    <row r="29" spans="1:12">
      <c r="A29" s="1958" t="s">
        <v>877</v>
      </c>
      <c r="B29" s="1958">
        <v>187</v>
      </c>
      <c r="C29" s="1958">
        <v>2023</v>
      </c>
      <c r="D29" s="1958">
        <v>12</v>
      </c>
      <c r="E29" s="1958">
        <v>28</v>
      </c>
      <c r="F29" s="1958">
        <v>0</v>
      </c>
      <c r="G29" s="1958" t="s">
        <v>943</v>
      </c>
      <c r="H29" s="1958" t="s">
        <v>728</v>
      </c>
      <c r="I29" s="1958">
        <v>0</v>
      </c>
      <c r="J29" s="1958">
        <v>0</v>
      </c>
      <c r="K29" s="1959">
        <v>15335490.75</v>
      </c>
      <c r="L29" s="1959">
        <v>11797053.539999999</v>
      </c>
    </row>
    <row r="30" spans="1:12">
      <c r="A30" s="1958" t="s">
        <v>877</v>
      </c>
      <c r="B30" s="1958">
        <v>187</v>
      </c>
      <c r="C30" s="1958">
        <v>2023</v>
      </c>
      <c r="D30" s="1958">
        <v>12</v>
      </c>
      <c r="E30" s="1958">
        <v>29</v>
      </c>
      <c r="F30" s="1958">
        <v>0</v>
      </c>
      <c r="G30" s="1958" t="s">
        <v>942</v>
      </c>
      <c r="H30" s="1958" t="s">
        <v>728</v>
      </c>
      <c r="I30" s="1958">
        <v>0</v>
      </c>
      <c r="J30" s="1958">
        <v>0</v>
      </c>
      <c r="K30" s="1959">
        <v>0</v>
      </c>
      <c r="L30" s="1959">
        <v>0</v>
      </c>
    </row>
    <row r="31" spans="1:12">
      <c r="A31" s="1958" t="s">
        <v>877</v>
      </c>
      <c r="B31" s="1958">
        <v>187</v>
      </c>
      <c r="C31" s="1958">
        <v>2023</v>
      </c>
      <c r="D31" s="1958">
        <v>12</v>
      </c>
      <c r="E31" s="1958">
        <v>30</v>
      </c>
      <c r="F31" s="1958">
        <v>0</v>
      </c>
      <c r="G31" s="1958" t="s">
        <v>941</v>
      </c>
      <c r="H31" s="1958" t="s">
        <v>728</v>
      </c>
      <c r="I31" s="1958">
        <v>0</v>
      </c>
      <c r="J31" s="1958">
        <v>0</v>
      </c>
      <c r="K31" s="1959">
        <v>0</v>
      </c>
      <c r="L31" s="1959">
        <v>2944915.2</v>
      </c>
    </row>
    <row r="32" spans="1:12">
      <c r="A32" s="1958" t="s">
        <v>877</v>
      </c>
      <c r="B32" s="1958">
        <v>187</v>
      </c>
      <c r="C32" s="1958">
        <v>2023</v>
      </c>
      <c r="D32" s="1958">
        <v>12</v>
      </c>
      <c r="E32" s="1958">
        <v>31</v>
      </c>
      <c r="F32" s="1958">
        <v>0</v>
      </c>
      <c r="G32" s="1958" t="s">
        <v>940</v>
      </c>
      <c r="H32" s="1958" t="s">
        <v>728</v>
      </c>
      <c r="I32" s="1958">
        <v>0</v>
      </c>
      <c r="J32" s="1958">
        <v>0</v>
      </c>
      <c r="K32" s="1959">
        <v>0</v>
      </c>
      <c r="L32" s="1959">
        <v>0</v>
      </c>
    </row>
    <row r="33" spans="1:12">
      <c r="A33" s="1958" t="s">
        <v>877</v>
      </c>
      <c r="B33" s="1958">
        <v>187</v>
      </c>
      <c r="C33" s="1958">
        <v>2023</v>
      </c>
      <c r="D33" s="1958">
        <v>12</v>
      </c>
      <c r="E33" s="1958">
        <v>32</v>
      </c>
      <c r="F33" s="1958">
        <v>0</v>
      </c>
      <c r="G33" s="1958" t="s">
        <v>939</v>
      </c>
      <c r="H33" s="1958" t="s">
        <v>728</v>
      </c>
      <c r="I33" s="1958">
        <v>0</v>
      </c>
      <c r="J33" s="1958">
        <v>0</v>
      </c>
      <c r="K33" s="1960">
        <v>314793811.72000003</v>
      </c>
      <c r="L33" s="1960">
        <v>298056724.57999998</v>
      </c>
    </row>
    <row r="34" spans="1:12">
      <c r="A34" s="1958" t="s">
        <v>877</v>
      </c>
      <c r="B34" s="1958">
        <v>187</v>
      </c>
      <c r="C34" s="1958">
        <v>2023</v>
      </c>
      <c r="D34" s="1958">
        <v>12</v>
      </c>
      <c r="E34" s="1958">
        <v>33</v>
      </c>
      <c r="F34" s="1958">
        <v>0</v>
      </c>
      <c r="G34" s="1958" t="s">
        <v>938</v>
      </c>
      <c r="H34" s="1958" t="s">
        <v>728</v>
      </c>
      <c r="I34" s="1958">
        <v>0</v>
      </c>
      <c r="J34" s="1958">
        <v>0</v>
      </c>
      <c r="K34" s="1959">
        <v>0</v>
      </c>
      <c r="L34" s="1959">
        <v>0</v>
      </c>
    </row>
    <row r="35" spans="1:12">
      <c r="A35" s="1958" t="s">
        <v>877</v>
      </c>
      <c r="B35" s="1958">
        <v>187</v>
      </c>
      <c r="C35" s="1958">
        <v>2023</v>
      </c>
      <c r="D35" s="1958">
        <v>12</v>
      </c>
      <c r="E35" s="1958">
        <v>34</v>
      </c>
      <c r="F35" s="1958">
        <v>0</v>
      </c>
      <c r="G35" s="1958" t="s">
        <v>937</v>
      </c>
      <c r="H35" s="1958" t="s">
        <v>728</v>
      </c>
      <c r="I35" s="1958">
        <v>0</v>
      </c>
      <c r="J35" s="1958">
        <v>0</v>
      </c>
      <c r="K35" s="1959">
        <v>0</v>
      </c>
      <c r="L35" s="1959">
        <v>0</v>
      </c>
    </row>
    <row r="36" spans="1:12">
      <c r="A36" s="1958" t="s">
        <v>877</v>
      </c>
      <c r="B36" s="1958">
        <v>187</v>
      </c>
      <c r="C36" s="1958">
        <v>2023</v>
      </c>
      <c r="D36" s="1958">
        <v>12</v>
      </c>
      <c r="E36" s="1958">
        <v>35</v>
      </c>
      <c r="F36" s="1958">
        <v>0</v>
      </c>
      <c r="G36" s="1958" t="s">
        <v>936</v>
      </c>
      <c r="H36" s="1958" t="s">
        <v>728</v>
      </c>
      <c r="I36" s="1958">
        <v>0</v>
      </c>
      <c r="J36" s="1958">
        <v>0</v>
      </c>
      <c r="K36" s="1959">
        <v>11843506.640000001</v>
      </c>
      <c r="L36" s="1959">
        <v>4465294.78</v>
      </c>
    </row>
    <row r="37" spans="1:12">
      <c r="A37" s="1958" t="s">
        <v>877</v>
      </c>
      <c r="B37" s="1958">
        <v>187</v>
      </c>
      <c r="C37" s="1958">
        <v>2023</v>
      </c>
      <c r="D37" s="1958">
        <v>12</v>
      </c>
      <c r="E37" s="1958">
        <v>36</v>
      </c>
      <c r="F37" s="1958">
        <v>0</v>
      </c>
      <c r="G37" s="1958" t="s">
        <v>935</v>
      </c>
      <c r="H37" s="1958" t="s">
        <v>728</v>
      </c>
      <c r="I37" s="1958">
        <v>0</v>
      </c>
      <c r="J37" s="1958">
        <v>0</v>
      </c>
      <c r="K37" s="1959">
        <v>0</v>
      </c>
      <c r="L37" s="1959">
        <v>66141689.159999996</v>
      </c>
    </row>
    <row r="38" spans="1:12">
      <c r="A38" s="1958" t="s">
        <v>877</v>
      </c>
      <c r="B38" s="1958">
        <v>187</v>
      </c>
      <c r="C38" s="1958">
        <v>2023</v>
      </c>
      <c r="D38" s="1958">
        <v>12</v>
      </c>
      <c r="E38" s="1958">
        <v>37</v>
      </c>
      <c r="F38" s="1958">
        <v>0</v>
      </c>
      <c r="G38" s="1958" t="s">
        <v>934</v>
      </c>
      <c r="H38" s="1958" t="s">
        <v>728</v>
      </c>
      <c r="I38" s="1958">
        <v>0</v>
      </c>
      <c r="J38" s="1958">
        <v>0</v>
      </c>
      <c r="K38" s="1959">
        <v>758362.4</v>
      </c>
      <c r="L38" s="1959">
        <v>776205.4</v>
      </c>
    </row>
    <row r="39" spans="1:12">
      <c r="A39" s="1958" t="s">
        <v>877</v>
      </c>
      <c r="B39" s="1958">
        <v>187</v>
      </c>
      <c r="C39" s="1958">
        <v>2023</v>
      </c>
      <c r="D39" s="1958">
        <v>12</v>
      </c>
      <c r="E39" s="1958">
        <v>38</v>
      </c>
      <c r="F39" s="1958">
        <v>0</v>
      </c>
      <c r="G39" s="1958" t="s">
        <v>933</v>
      </c>
      <c r="H39" s="1958" t="s">
        <v>728</v>
      </c>
      <c r="I39" s="1958">
        <v>0</v>
      </c>
      <c r="J39" s="1958">
        <v>0</v>
      </c>
      <c r="K39" s="1959">
        <v>15991035.51</v>
      </c>
      <c r="L39" s="1959">
        <v>496573.39</v>
      </c>
    </row>
    <row r="40" spans="1:12">
      <c r="A40" s="1958" t="s">
        <v>877</v>
      </c>
      <c r="B40" s="1958">
        <v>187</v>
      </c>
      <c r="C40" s="1958">
        <v>2023</v>
      </c>
      <c r="D40" s="1958">
        <v>12</v>
      </c>
      <c r="E40" s="1958">
        <v>39</v>
      </c>
      <c r="F40" s="1958">
        <v>0</v>
      </c>
      <c r="G40" s="1958" t="s">
        <v>932</v>
      </c>
      <c r="H40" s="1958" t="s">
        <v>728</v>
      </c>
      <c r="I40" s="1958">
        <v>0</v>
      </c>
      <c r="J40" s="1958">
        <v>0</v>
      </c>
      <c r="K40" s="1959">
        <v>0</v>
      </c>
      <c r="L40" s="1959">
        <v>0</v>
      </c>
    </row>
    <row r="41" spans="1:12">
      <c r="A41" s="1958" t="s">
        <v>877</v>
      </c>
      <c r="B41" s="1958">
        <v>187</v>
      </c>
      <c r="C41" s="1958">
        <v>2023</v>
      </c>
      <c r="D41" s="1958">
        <v>12</v>
      </c>
      <c r="E41" s="1958">
        <v>40</v>
      </c>
      <c r="F41" s="1958">
        <v>0</v>
      </c>
      <c r="G41" s="1958" t="s">
        <v>931</v>
      </c>
      <c r="H41" s="1958" t="s">
        <v>728</v>
      </c>
      <c r="I41" s="1958">
        <v>0</v>
      </c>
      <c r="J41" s="1958">
        <v>0</v>
      </c>
      <c r="K41" s="1959">
        <v>199763203.75999999</v>
      </c>
      <c r="L41" s="1959">
        <v>219394599.06999999</v>
      </c>
    </row>
    <row r="42" spans="1:12">
      <c r="A42" s="1958" t="s">
        <v>877</v>
      </c>
      <c r="B42" s="1958">
        <v>187</v>
      </c>
      <c r="C42" s="1958">
        <v>2023</v>
      </c>
      <c r="D42" s="1958">
        <v>12</v>
      </c>
      <c r="E42" s="1958">
        <v>41</v>
      </c>
      <c r="F42" s="1958">
        <v>0</v>
      </c>
      <c r="G42" s="1958" t="s">
        <v>930</v>
      </c>
      <c r="H42" s="1958" t="s">
        <v>728</v>
      </c>
      <c r="I42" s="1958">
        <v>0</v>
      </c>
      <c r="J42" s="1958">
        <v>0</v>
      </c>
      <c r="K42" s="1959">
        <v>38651095.259999998</v>
      </c>
      <c r="L42" s="1959">
        <v>67155969.090000004</v>
      </c>
    </row>
    <row r="43" spans="1:12">
      <c r="A43" s="1958" t="s">
        <v>877</v>
      </c>
      <c r="B43" s="1958">
        <v>187</v>
      </c>
      <c r="C43" s="1958">
        <v>2023</v>
      </c>
      <c r="D43" s="1958">
        <v>12</v>
      </c>
      <c r="E43" s="1958">
        <v>42</v>
      </c>
      <c r="F43" s="1958">
        <v>0</v>
      </c>
      <c r="G43" s="1958" t="s">
        <v>929</v>
      </c>
      <c r="H43" s="1958" t="s">
        <v>728</v>
      </c>
      <c r="I43" s="1958">
        <v>0</v>
      </c>
      <c r="J43" s="1958">
        <v>0</v>
      </c>
      <c r="K43" s="1959">
        <v>4905145.79</v>
      </c>
      <c r="L43" s="1959">
        <v>6345841.4800000004</v>
      </c>
    </row>
    <row r="44" spans="1:12">
      <c r="A44" s="1958" t="s">
        <v>877</v>
      </c>
      <c r="B44" s="1958">
        <v>187</v>
      </c>
      <c r="C44" s="1958">
        <v>2023</v>
      </c>
      <c r="D44" s="1958">
        <v>12</v>
      </c>
      <c r="E44" s="1958">
        <v>43</v>
      </c>
      <c r="F44" s="1958">
        <v>0</v>
      </c>
      <c r="G44" s="1958" t="s">
        <v>928</v>
      </c>
      <c r="H44" s="1958" t="s">
        <v>728</v>
      </c>
      <c r="I44" s="1958">
        <v>0</v>
      </c>
      <c r="J44" s="1958">
        <v>0</v>
      </c>
      <c r="K44" s="1959">
        <v>20584743.510000002</v>
      </c>
      <c r="L44" s="1959">
        <v>9364617.2100000009</v>
      </c>
    </row>
    <row r="45" spans="1:12">
      <c r="A45" s="1958" t="s">
        <v>877</v>
      </c>
      <c r="B45" s="1958">
        <v>187</v>
      </c>
      <c r="C45" s="1958">
        <v>2023</v>
      </c>
      <c r="D45" s="1958">
        <v>12</v>
      </c>
      <c r="E45" s="1958">
        <v>44</v>
      </c>
      <c r="F45" s="1958">
        <v>0</v>
      </c>
      <c r="G45" s="1958" t="s">
        <v>927</v>
      </c>
      <c r="H45" s="1958" t="s">
        <v>728</v>
      </c>
      <c r="I45" s="1958">
        <v>0</v>
      </c>
      <c r="J45" s="1958">
        <v>0</v>
      </c>
      <c r="K45" s="1959">
        <v>978859.29</v>
      </c>
      <c r="L45" s="1959">
        <v>787176.84</v>
      </c>
    </row>
    <row r="46" spans="1:12">
      <c r="A46" s="1958" t="s">
        <v>877</v>
      </c>
      <c r="B46" s="1958">
        <v>187</v>
      </c>
      <c r="C46" s="1958">
        <v>2023</v>
      </c>
      <c r="D46" s="1958">
        <v>12</v>
      </c>
      <c r="E46" s="1958">
        <v>45</v>
      </c>
      <c r="F46" s="1958">
        <v>0</v>
      </c>
      <c r="G46" s="1958" t="s">
        <v>926</v>
      </c>
      <c r="H46" s="1958" t="s">
        <v>914</v>
      </c>
      <c r="I46" s="1958">
        <v>0</v>
      </c>
      <c r="J46" s="1958">
        <v>0</v>
      </c>
      <c r="K46" s="1959">
        <v>4683150.17</v>
      </c>
      <c r="L46" s="1959">
        <v>4252606.99</v>
      </c>
    </row>
    <row r="47" spans="1:12">
      <c r="A47" s="1958" t="s">
        <v>877</v>
      </c>
      <c r="B47" s="1958">
        <v>187</v>
      </c>
      <c r="C47" s="1958">
        <v>2023</v>
      </c>
      <c r="D47" s="1958">
        <v>12</v>
      </c>
      <c r="E47" s="1958">
        <v>46</v>
      </c>
      <c r="F47" s="1958">
        <v>0</v>
      </c>
      <c r="G47" s="1958" t="s">
        <v>925</v>
      </c>
      <c r="H47" s="1958" t="s">
        <v>914</v>
      </c>
      <c r="I47" s="1958">
        <v>0</v>
      </c>
      <c r="J47" s="1958">
        <v>0</v>
      </c>
      <c r="K47" s="1959">
        <v>0</v>
      </c>
      <c r="L47" s="1959">
        <v>0</v>
      </c>
    </row>
    <row r="48" spans="1:12">
      <c r="A48" s="1958" t="s">
        <v>877</v>
      </c>
      <c r="B48" s="1958">
        <v>187</v>
      </c>
      <c r="C48" s="1958">
        <v>2023</v>
      </c>
      <c r="D48" s="1958">
        <v>12</v>
      </c>
      <c r="E48" s="1958">
        <v>47</v>
      </c>
      <c r="F48" s="1958">
        <v>0</v>
      </c>
      <c r="G48" s="1958" t="s">
        <v>924</v>
      </c>
      <c r="H48" s="1958" t="s">
        <v>914</v>
      </c>
      <c r="I48" s="1958">
        <v>0</v>
      </c>
      <c r="J48" s="1958">
        <v>0</v>
      </c>
      <c r="K48" s="1959">
        <v>0</v>
      </c>
      <c r="L48" s="1959">
        <v>0</v>
      </c>
    </row>
    <row r="49" spans="1:12">
      <c r="A49" s="1958" t="s">
        <v>877</v>
      </c>
      <c r="B49" s="1958">
        <v>187</v>
      </c>
      <c r="C49" s="1958">
        <v>2023</v>
      </c>
      <c r="D49" s="1958">
        <v>12</v>
      </c>
      <c r="E49" s="1958">
        <v>48</v>
      </c>
      <c r="F49" s="1958">
        <v>0</v>
      </c>
      <c r="G49" s="1958" t="s">
        <v>923</v>
      </c>
      <c r="H49" s="1958" t="s">
        <v>914</v>
      </c>
      <c r="I49" s="1958">
        <v>0</v>
      </c>
      <c r="J49" s="1958">
        <v>0</v>
      </c>
      <c r="K49" s="1959">
        <v>79492527.939999998</v>
      </c>
      <c r="L49" s="1959">
        <v>73453923.730000004</v>
      </c>
    </row>
    <row r="50" spans="1:12">
      <c r="A50" s="1958" t="s">
        <v>877</v>
      </c>
      <c r="B50" s="1958">
        <v>187</v>
      </c>
      <c r="C50" s="1958">
        <v>2023</v>
      </c>
      <c r="D50" s="1958">
        <v>12</v>
      </c>
      <c r="E50" s="1958">
        <v>49</v>
      </c>
      <c r="F50" s="1958">
        <v>0</v>
      </c>
      <c r="G50" s="1958" t="s">
        <v>922</v>
      </c>
      <c r="H50" s="1958" t="s">
        <v>914</v>
      </c>
      <c r="I50" s="1958">
        <v>0</v>
      </c>
      <c r="J50" s="1958">
        <v>0</v>
      </c>
      <c r="K50" s="1959">
        <v>0</v>
      </c>
      <c r="L50" s="1959">
        <v>0</v>
      </c>
    </row>
    <row r="51" spans="1:12">
      <c r="A51" s="1958" t="s">
        <v>877</v>
      </c>
      <c r="B51" s="1958">
        <v>187</v>
      </c>
      <c r="C51" s="1958">
        <v>2023</v>
      </c>
      <c r="D51" s="1958">
        <v>12</v>
      </c>
      <c r="E51" s="1958">
        <v>50</v>
      </c>
      <c r="F51" s="1958">
        <v>0</v>
      </c>
      <c r="G51" s="1958" t="s">
        <v>921</v>
      </c>
      <c r="H51" s="1958" t="s">
        <v>914</v>
      </c>
      <c r="I51" s="1958">
        <v>0</v>
      </c>
      <c r="J51" s="1958">
        <v>0</v>
      </c>
      <c r="K51" s="1959">
        <v>0</v>
      </c>
      <c r="L51" s="1959">
        <v>0</v>
      </c>
    </row>
    <row r="52" spans="1:12">
      <c r="A52" s="1958" t="s">
        <v>877</v>
      </c>
      <c r="B52" s="1958">
        <v>187</v>
      </c>
      <c r="C52" s="1958">
        <v>2023</v>
      </c>
      <c r="D52" s="1958">
        <v>12</v>
      </c>
      <c r="E52" s="1958">
        <v>51</v>
      </c>
      <c r="F52" s="1958">
        <v>0</v>
      </c>
      <c r="G52" s="1958" t="s">
        <v>920</v>
      </c>
      <c r="H52" s="1958" t="s">
        <v>919</v>
      </c>
      <c r="I52" s="1958">
        <v>0</v>
      </c>
      <c r="J52" s="1958">
        <v>0</v>
      </c>
      <c r="K52" s="1959">
        <v>0</v>
      </c>
      <c r="L52" s="1959">
        <v>0</v>
      </c>
    </row>
    <row r="53" spans="1:12">
      <c r="A53" s="1958" t="s">
        <v>877</v>
      </c>
      <c r="B53" s="1958">
        <v>187</v>
      </c>
      <c r="C53" s="1958">
        <v>2023</v>
      </c>
      <c r="D53" s="1958">
        <v>12</v>
      </c>
      <c r="E53" s="1958">
        <v>52</v>
      </c>
      <c r="F53" s="1958">
        <v>0</v>
      </c>
      <c r="G53" s="1958" t="s">
        <v>918</v>
      </c>
      <c r="H53" s="1958" t="s">
        <v>917</v>
      </c>
      <c r="I53" s="1958">
        <v>0</v>
      </c>
      <c r="J53" s="1958">
        <v>0</v>
      </c>
      <c r="K53" s="1959">
        <v>30071678.350000001</v>
      </c>
      <c r="L53" s="1959">
        <v>0</v>
      </c>
    </row>
    <row r="54" spans="1:12">
      <c r="A54" s="1958" t="s">
        <v>877</v>
      </c>
      <c r="B54" s="1958">
        <v>187</v>
      </c>
      <c r="C54" s="1958">
        <v>2023</v>
      </c>
      <c r="D54" s="1958">
        <v>12</v>
      </c>
      <c r="E54" s="1958">
        <v>53</v>
      </c>
      <c r="F54" s="1958">
        <v>0</v>
      </c>
      <c r="G54" s="1958" t="s">
        <v>916</v>
      </c>
      <c r="H54" s="1958" t="s">
        <v>728</v>
      </c>
      <c r="I54" s="1958">
        <v>0</v>
      </c>
      <c r="J54" s="1958">
        <v>0</v>
      </c>
      <c r="K54" s="1959">
        <v>0</v>
      </c>
      <c r="L54" s="1959">
        <v>0</v>
      </c>
    </row>
    <row r="55" spans="1:12">
      <c r="A55" s="1958" t="s">
        <v>877</v>
      </c>
      <c r="B55" s="1958">
        <v>187</v>
      </c>
      <c r="C55" s="1958">
        <v>2023</v>
      </c>
      <c r="D55" s="1958">
        <v>12</v>
      </c>
      <c r="E55" s="1958">
        <v>54</v>
      </c>
      <c r="F55" s="1958">
        <v>0</v>
      </c>
      <c r="G55" s="1958" t="s">
        <v>915</v>
      </c>
      <c r="H55" s="1958" t="s">
        <v>914</v>
      </c>
      <c r="I55" s="1958">
        <v>0</v>
      </c>
      <c r="J55" s="1958">
        <v>0</v>
      </c>
      <c r="K55" s="1959">
        <v>0</v>
      </c>
      <c r="L55" s="1959">
        <v>0</v>
      </c>
    </row>
    <row r="56" spans="1:12">
      <c r="A56" s="1958" t="s">
        <v>877</v>
      </c>
      <c r="B56" s="1958">
        <v>187</v>
      </c>
      <c r="C56" s="1958">
        <v>2023</v>
      </c>
      <c r="D56" s="1958">
        <v>12</v>
      </c>
      <c r="E56" s="1958">
        <v>55</v>
      </c>
      <c r="F56" s="1958">
        <v>0</v>
      </c>
      <c r="G56" s="1958" t="s">
        <v>913</v>
      </c>
      <c r="H56" s="1958" t="s">
        <v>728</v>
      </c>
      <c r="I56" s="1958">
        <v>0</v>
      </c>
      <c r="J56" s="1958">
        <v>0</v>
      </c>
      <c r="K56" s="1959">
        <v>16271619.85</v>
      </c>
      <c r="L56" s="1959">
        <v>26788027.09</v>
      </c>
    </row>
    <row r="57" spans="1:12">
      <c r="A57" s="1958" t="s">
        <v>877</v>
      </c>
      <c r="B57" s="1958">
        <v>187</v>
      </c>
      <c r="C57" s="1958">
        <v>2023</v>
      </c>
      <c r="D57" s="1958">
        <v>12</v>
      </c>
      <c r="E57" s="1958">
        <v>56</v>
      </c>
      <c r="F57" s="1958">
        <v>0</v>
      </c>
      <c r="G57" s="1958" t="s">
        <v>912</v>
      </c>
      <c r="H57" s="1958" t="s">
        <v>728</v>
      </c>
      <c r="I57" s="1958">
        <v>0</v>
      </c>
      <c r="J57" s="1958">
        <v>0</v>
      </c>
      <c r="K57" s="1959">
        <v>0</v>
      </c>
      <c r="L57" s="1959">
        <v>0</v>
      </c>
    </row>
    <row r="58" spans="1:12">
      <c r="A58" s="1958" t="s">
        <v>877</v>
      </c>
      <c r="B58" s="1958">
        <v>187</v>
      </c>
      <c r="C58" s="1958">
        <v>2023</v>
      </c>
      <c r="D58" s="1958">
        <v>12</v>
      </c>
      <c r="E58" s="1958">
        <v>57</v>
      </c>
      <c r="F58" s="1958">
        <v>0</v>
      </c>
      <c r="G58" s="1958" t="s">
        <v>911</v>
      </c>
      <c r="H58" s="1958" t="s">
        <v>728</v>
      </c>
      <c r="I58" s="1958">
        <v>0</v>
      </c>
      <c r="J58" s="1958">
        <v>0</v>
      </c>
      <c r="K58" s="1959">
        <v>50221551.920000002</v>
      </c>
      <c r="L58" s="1959">
        <v>28311482.41</v>
      </c>
    </row>
    <row r="59" spans="1:12">
      <c r="A59" s="1958" t="s">
        <v>877</v>
      </c>
      <c r="B59" s="1958">
        <v>187</v>
      </c>
      <c r="C59" s="1958">
        <v>2023</v>
      </c>
      <c r="D59" s="1958">
        <v>12</v>
      </c>
      <c r="E59" s="1958">
        <v>58</v>
      </c>
      <c r="F59" s="1958">
        <v>0</v>
      </c>
      <c r="G59" s="1958" t="s">
        <v>910</v>
      </c>
      <c r="H59" s="1958" t="s">
        <v>728</v>
      </c>
      <c r="I59" s="1958">
        <v>0</v>
      </c>
      <c r="J59" s="1958">
        <v>0</v>
      </c>
      <c r="K59" s="1959">
        <v>0</v>
      </c>
      <c r="L59" s="1959">
        <v>0</v>
      </c>
    </row>
    <row r="60" spans="1:12">
      <c r="A60" s="1958" t="s">
        <v>877</v>
      </c>
      <c r="B60" s="1958">
        <v>187</v>
      </c>
      <c r="C60" s="1958">
        <v>2023</v>
      </c>
      <c r="D60" s="1958">
        <v>12</v>
      </c>
      <c r="E60" s="1958">
        <v>59</v>
      </c>
      <c r="F60" s="1958">
        <v>0</v>
      </c>
      <c r="G60" s="1958" t="s">
        <v>909</v>
      </c>
      <c r="H60" s="1958" t="s">
        <v>728</v>
      </c>
      <c r="I60" s="1958">
        <v>0</v>
      </c>
      <c r="J60" s="1958">
        <v>0</v>
      </c>
      <c r="K60" s="1959">
        <v>2627341.31</v>
      </c>
      <c r="L60" s="1959">
        <v>621879.53</v>
      </c>
    </row>
    <row r="61" spans="1:12">
      <c r="A61" s="1958" t="s">
        <v>877</v>
      </c>
      <c r="B61" s="1958">
        <v>187</v>
      </c>
      <c r="C61" s="1958">
        <v>2023</v>
      </c>
      <c r="D61" s="1958">
        <v>12</v>
      </c>
      <c r="E61" s="1958">
        <v>60</v>
      </c>
      <c r="F61" s="1958">
        <v>0</v>
      </c>
      <c r="G61" s="1958" t="s">
        <v>908</v>
      </c>
      <c r="H61" s="1958" t="s">
        <v>728</v>
      </c>
      <c r="I61" s="1958">
        <v>0</v>
      </c>
      <c r="J61" s="1958">
        <v>0</v>
      </c>
      <c r="K61" s="1959">
        <v>7380742.2200000007</v>
      </c>
      <c r="L61" s="1959">
        <v>4556651.29</v>
      </c>
    </row>
    <row r="62" spans="1:12">
      <c r="A62" s="1958" t="s">
        <v>877</v>
      </c>
      <c r="B62" s="1958">
        <v>187</v>
      </c>
      <c r="C62" s="1958">
        <v>2023</v>
      </c>
      <c r="D62" s="1958">
        <v>12</v>
      </c>
      <c r="E62" s="1958">
        <v>61</v>
      </c>
      <c r="F62" s="1958">
        <v>0</v>
      </c>
      <c r="G62" s="1958" t="s">
        <v>907</v>
      </c>
      <c r="H62" s="1958" t="s">
        <v>728</v>
      </c>
      <c r="I62" s="1958">
        <v>0</v>
      </c>
      <c r="J62" s="1958">
        <v>0</v>
      </c>
      <c r="K62" s="1959">
        <v>0</v>
      </c>
      <c r="L62" s="1959">
        <v>0</v>
      </c>
    </row>
    <row r="63" spans="1:12">
      <c r="A63" s="1958" t="s">
        <v>877</v>
      </c>
      <c r="B63" s="1958">
        <v>187</v>
      </c>
      <c r="C63" s="1958">
        <v>2023</v>
      </c>
      <c r="D63" s="1958">
        <v>12</v>
      </c>
      <c r="E63" s="1958">
        <v>62</v>
      </c>
      <c r="F63" s="1958">
        <v>0</v>
      </c>
      <c r="G63" s="1958" t="s">
        <v>906</v>
      </c>
      <c r="H63" s="1958" t="s">
        <v>728</v>
      </c>
      <c r="I63" s="1958">
        <v>0</v>
      </c>
      <c r="J63" s="1958">
        <v>0</v>
      </c>
      <c r="K63" s="1959">
        <v>0</v>
      </c>
      <c r="L63" s="1959">
        <v>230226.22</v>
      </c>
    </row>
    <row r="64" spans="1:12">
      <c r="A64" s="1958" t="s">
        <v>877</v>
      </c>
      <c r="B64" s="1958">
        <v>187</v>
      </c>
      <c r="C64" s="1958">
        <v>2023</v>
      </c>
      <c r="D64" s="1958">
        <v>12</v>
      </c>
      <c r="E64" s="1958">
        <v>63</v>
      </c>
      <c r="F64" s="1958">
        <v>0</v>
      </c>
      <c r="G64" s="1958" t="s">
        <v>905</v>
      </c>
      <c r="H64" s="1958" t="s">
        <v>728</v>
      </c>
      <c r="I64" s="1958">
        <v>0</v>
      </c>
      <c r="J64" s="1958">
        <v>0</v>
      </c>
      <c r="K64" s="1959">
        <v>11821032.84</v>
      </c>
      <c r="L64" s="1959">
        <v>21142954.670000002</v>
      </c>
    </row>
    <row r="65" spans="1:12">
      <c r="A65" s="1958" t="s">
        <v>877</v>
      </c>
      <c r="B65" s="1958">
        <v>187</v>
      </c>
      <c r="C65" s="1958">
        <v>2023</v>
      </c>
      <c r="D65" s="1958">
        <v>12</v>
      </c>
      <c r="E65" s="1958">
        <v>64</v>
      </c>
      <c r="F65" s="1958">
        <v>0</v>
      </c>
      <c r="G65" s="1958" t="s">
        <v>904</v>
      </c>
      <c r="H65" s="1958" t="s">
        <v>728</v>
      </c>
      <c r="I65" s="1958">
        <v>0</v>
      </c>
      <c r="J65" s="1958">
        <v>0</v>
      </c>
      <c r="K65" s="1959">
        <v>0</v>
      </c>
      <c r="L65" s="1959">
        <v>2944915.2</v>
      </c>
    </row>
    <row r="66" spans="1:12">
      <c r="A66" s="1958" t="s">
        <v>877</v>
      </c>
      <c r="B66" s="1958">
        <v>187</v>
      </c>
      <c r="C66" s="1958">
        <v>2023</v>
      </c>
      <c r="D66" s="1958">
        <v>12</v>
      </c>
      <c r="E66" s="1958">
        <v>65</v>
      </c>
      <c r="F66" s="1958">
        <v>0</v>
      </c>
      <c r="G66" s="1958" t="s">
        <v>903</v>
      </c>
      <c r="H66" s="1958" t="s">
        <v>728</v>
      </c>
      <c r="I66" s="1958">
        <v>0</v>
      </c>
      <c r="J66" s="1958">
        <v>0</v>
      </c>
      <c r="K66" s="1959">
        <v>0</v>
      </c>
      <c r="L66" s="1959">
        <v>0</v>
      </c>
    </row>
    <row r="67" spans="1:12">
      <c r="A67" s="1958" t="s">
        <v>877</v>
      </c>
      <c r="B67" s="1958">
        <v>187</v>
      </c>
      <c r="C67" s="1958">
        <v>2023</v>
      </c>
      <c r="D67" s="1958">
        <v>12</v>
      </c>
      <c r="E67" s="1958">
        <v>66</v>
      </c>
      <c r="F67" s="1958">
        <v>0</v>
      </c>
      <c r="G67" s="1958" t="s">
        <v>902</v>
      </c>
      <c r="H67" s="1958" t="s">
        <v>728</v>
      </c>
      <c r="I67" s="1958">
        <v>0</v>
      </c>
      <c r="J67" s="1958">
        <v>0</v>
      </c>
      <c r="K67" s="1959">
        <v>0</v>
      </c>
      <c r="L67" s="1959">
        <v>0</v>
      </c>
    </row>
    <row r="68" spans="1:12">
      <c r="A68" s="1958" t="s">
        <v>877</v>
      </c>
      <c r="B68" s="1958">
        <v>187</v>
      </c>
      <c r="C68" s="1958">
        <v>2023</v>
      </c>
      <c r="D68" s="1958">
        <v>12</v>
      </c>
      <c r="E68" s="1958">
        <v>67</v>
      </c>
      <c r="F68" s="1958">
        <v>0</v>
      </c>
      <c r="G68" s="1958" t="s">
        <v>901</v>
      </c>
      <c r="H68" s="1958" t="s">
        <v>728</v>
      </c>
      <c r="I68" s="1958">
        <v>0</v>
      </c>
      <c r="J68" s="1958">
        <v>0</v>
      </c>
      <c r="K68" s="1959">
        <v>486235305.18000007</v>
      </c>
      <c r="L68" s="1959">
        <v>518649120.19</v>
      </c>
    </row>
    <row r="69" spans="1:12">
      <c r="A69" s="1958" t="s">
        <v>877</v>
      </c>
      <c r="B69" s="1958">
        <v>187</v>
      </c>
      <c r="C69" s="1958">
        <v>2023</v>
      </c>
      <c r="D69" s="1958">
        <v>12</v>
      </c>
      <c r="E69" s="1958">
        <v>68</v>
      </c>
      <c r="F69" s="1958">
        <v>0</v>
      </c>
      <c r="G69" s="1958" t="s">
        <v>900</v>
      </c>
      <c r="H69" s="1958" t="s">
        <v>728</v>
      </c>
      <c r="I69" s="1958">
        <v>0</v>
      </c>
      <c r="J69" s="1958">
        <v>0</v>
      </c>
      <c r="K69" s="1959">
        <v>0</v>
      </c>
      <c r="L69" s="1959">
        <v>0</v>
      </c>
    </row>
    <row r="70" spans="1:12">
      <c r="A70" s="1958" t="s">
        <v>877</v>
      </c>
      <c r="B70" s="1958">
        <v>187</v>
      </c>
      <c r="C70" s="1958">
        <v>2023</v>
      </c>
      <c r="D70" s="1958">
        <v>12</v>
      </c>
      <c r="E70" s="1958">
        <v>69</v>
      </c>
      <c r="F70" s="1958">
        <v>0</v>
      </c>
      <c r="G70" s="1958" t="s">
        <v>899</v>
      </c>
      <c r="H70" s="1958" t="s">
        <v>728</v>
      </c>
      <c r="I70" s="1958">
        <v>0</v>
      </c>
      <c r="J70" s="1958">
        <v>0</v>
      </c>
      <c r="K70" s="1959">
        <v>21586300.960000001</v>
      </c>
      <c r="L70" s="1959">
        <v>20719466.879999999</v>
      </c>
    </row>
    <row r="71" spans="1:12">
      <c r="A71" s="1958" t="s">
        <v>877</v>
      </c>
      <c r="B71" s="1958">
        <v>187</v>
      </c>
      <c r="C71" s="1958">
        <v>2023</v>
      </c>
      <c r="D71" s="1958">
        <v>12</v>
      </c>
      <c r="E71" s="1958">
        <v>70</v>
      </c>
      <c r="F71" s="1958">
        <v>0</v>
      </c>
      <c r="G71" s="1958" t="s">
        <v>898</v>
      </c>
      <c r="H71" s="1958" t="s">
        <v>897</v>
      </c>
      <c r="I71" s="1958">
        <v>0</v>
      </c>
      <c r="J71" s="1958">
        <v>0</v>
      </c>
      <c r="K71" s="1959">
        <v>0</v>
      </c>
      <c r="L71" s="1959">
        <v>0</v>
      </c>
    </row>
    <row r="72" spans="1:12">
      <c r="A72" s="1958" t="s">
        <v>877</v>
      </c>
      <c r="B72" s="1958">
        <v>187</v>
      </c>
      <c r="C72" s="1958">
        <v>2023</v>
      </c>
      <c r="D72" s="1958">
        <v>12</v>
      </c>
      <c r="E72" s="1958">
        <v>71</v>
      </c>
      <c r="F72" s="1958">
        <v>0</v>
      </c>
      <c r="G72" s="1958" t="s">
        <v>896</v>
      </c>
      <c r="H72" s="1958" t="s">
        <v>895</v>
      </c>
      <c r="I72" s="1958">
        <v>0</v>
      </c>
      <c r="J72" s="1958">
        <v>0</v>
      </c>
      <c r="K72" s="1959">
        <v>0</v>
      </c>
      <c r="L72" s="1959">
        <v>0</v>
      </c>
    </row>
    <row r="73" spans="1:12">
      <c r="A73" s="1958" t="s">
        <v>877</v>
      </c>
      <c r="B73" s="1958">
        <v>187</v>
      </c>
      <c r="C73" s="1958">
        <v>2023</v>
      </c>
      <c r="D73" s="1958">
        <v>12</v>
      </c>
      <c r="E73" s="1958">
        <v>72</v>
      </c>
      <c r="F73" s="1958">
        <v>0</v>
      </c>
      <c r="G73" s="1958" t="s">
        <v>894</v>
      </c>
      <c r="H73" s="1958" t="s">
        <v>893</v>
      </c>
      <c r="I73" s="1958">
        <v>0</v>
      </c>
      <c r="J73" s="1958">
        <v>0</v>
      </c>
      <c r="K73" s="1959">
        <v>898192106.79999995</v>
      </c>
      <c r="L73" s="1959">
        <v>912434228.23000002</v>
      </c>
    </row>
    <row r="74" spans="1:12">
      <c r="A74" s="1958" t="s">
        <v>877</v>
      </c>
      <c r="B74" s="1958">
        <v>187</v>
      </c>
      <c r="C74" s="1958">
        <v>2023</v>
      </c>
      <c r="D74" s="1958">
        <v>12</v>
      </c>
      <c r="E74" s="1958">
        <v>73</v>
      </c>
      <c r="F74" s="1958">
        <v>0</v>
      </c>
      <c r="G74" s="1958" t="s">
        <v>892</v>
      </c>
      <c r="H74" s="1958" t="s">
        <v>728</v>
      </c>
      <c r="I74" s="1958">
        <v>0</v>
      </c>
      <c r="J74" s="1958">
        <v>0</v>
      </c>
      <c r="K74" s="1959">
        <v>0</v>
      </c>
      <c r="L74" s="1959">
        <v>0</v>
      </c>
    </row>
    <row r="75" spans="1:12">
      <c r="A75" s="1958" t="s">
        <v>877</v>
      </c>
      <c r="B75" s="1958">
        <v>187</v>
      </c>
      <c r="C75" s="1958">
        <v>2023</v>
      </c>
      <c r="D75" s="1958">
        <v>12</v>
      </c>
      <c r="E75" s="1958">
        <v>74</v>
      </c>
      <c r="F75" s="1958">
        <v>0</v>
      </c>
      <c r="G75" s="1958" t="s">
        <v>891</v>
      </c>
      <c r="H75" s="1958" t="s">
        <v>728</v>
      </c>
      <c r="I75" s="1958">
        <v>0</v>
      </c>
      <c r="J75" s="1958">
        <v>0</v>
      </c>
      <c r="K75" s="1959">
        <v>0</v>
      </c>
      <c r="L75" s="1959">
        <v>0</v>
      </c>
    </row>
    <row r="76" spans="1:12">
      <c r="A76" s="1958" t="s">
        <v>877</v>
      </c>
      <c r="B76" s="1958">
        <v>187</v>
      </c>
      <c r="C76" s="1958">
        <v>2023</v>
      </c>
      <c r="D76" s="1958">
        <v>12</v>
      </c>
      <c r="E76" s="1958">
        <v>75</v>
      </c>
      <c r="F76" s="1958">
        <v>0</v>
      </c>
      <c r="G76" s="1958" t="s">
        <v>890</v>
      </c>
      <c r="H76" s="1958" t="s">
        <v>728</v>
      </c>
      <c r="I76" s="1958">
        <v>0</v>
      </c>
      <c r="J76" s="1958">
        <v>0</v>
      </c>
      <c r="K76" s="1959">
        <v>0</v>
      </c>
      <c r="L76" s="1959">
        <v>0</v>
      </c>
    </row>
    <row r="77" spans="1:12">
      <c r="A77" s="1958" t="s">
        <v>877</v>
      </c>
      <c r="B77" s="1958">
        <v>187</v>
      </c>
      <c r="C77" s="1958">
        <v>2023</v>
      </c>
      <c r="D77" s="1958">
        <v>12</v>
      </c>
      <c r="E77" s="1958">
        <v>76</v>
      </c>
      <c r="F77" s="1958">
        <v>0</v>
      </c>
      <c r="G77" s="1958" t="s">
        <v>889</v>
      </c>
      <c r="H77" s="1958" t="s">
        <v>728</v>
      </c>
      <c r="I77" s="1958">
        <v>0</v>
      </c>
      <c r="J77" s="1958">
        <v>0</v>
      </c>
      <c r="K77" s="1959">
        <v>858506.23</v>
      </c>
      <c r="L77" s="1959">
        <v>872806.3600000001</v>
      </c>
    </row>
    <row r="78" spans="1:12">
      <c r="A78" s="1958" t="s">
        <v>877</v>
      </c>
      <c r="B78" s="1958">
        <v>187</v>
      </c>
      <c r="C78" s="1958">
        <v>2023</v>
      </c>
      <c r="D78" s="1958">
        <v>12</v>
      </c>
      <c r="E78" s="1958">
        <v>77</v>
      </c>
      <c r="F78" s="1958">
        <v>0</v>
      </c>
      <c r="G78" s="1958" t="s">
        <v>888</v>
      </c>
      <c r="H78" s="1958" t="s">
        <v>728</v>
      </c>
      <c r="I78" s="1958">
        <v>0</v>
      </c>
      <c r="J78" s="1958">
        <v>0</v>
      </c>
      <c r="K78" s="1959">
        <v>0</v>
      </c>
      <c r="L78" s="1959">
        <v>0</v>
      </c>
    </row>
    <row r="79" spans="1:12">
      <c r="A79" s="1958" t="s">
        <v>877</v>
      </c>
      <c r="B79" s="1958">
        <v>187</v>
      </c>
      <c r="C79" s="1958">
        <v>2023</v>
      </c>
      <c r="D79" s="1958">
        <v>12</v>
      </c>
      <c r="E79" s="1958">
        <v>78</v>
      </c>
      <c r="F79" s="1958">
        <v>0</v>
      </c>
      <c r="G79" s="1958" t="s">
        <v>887</v>
      </c>
      <c r="H79" s="1958" t="s">
        <v>886</v>
      </c>
      <c r="I79" s="1958">
        <v>0</v>
      </c>
      <c r="J79" s="1958">
        <v>0</v>
      </c>
      <c r="K79" s="1959">
        <v>87517903.719999999</v>
      </c>
      <c r="L79" s="1959">
        <v>68920167.730000004</v>
      </c>
    </row>
    <row r="80" spans="1:12">
      <c r="A80" s="1958" t="s">
        <v>877</v>
      </c>
      <c r="B80" s="1958">
        <v>187</v>
      </c>
      <c r="C80" s="1958">
        <v>2023</v>
      </c>
      <c r="D80" s="1958">
        <v>12</v>
      </c>
      <c r="E80" s="1958">
        <v>79</v>
      </c>
      <c r="F80" s="1958">
        <v>0</v>
      </c>
      <c r="G80" s="1958" t="s">
        <v>885</v>
      </c>
      <c r="H80" s="1958" t="s">
        <v>728</v>
      </c>
      <c r="I80" s="1958">
        <v>0</v>
      </c>
      <c r="J80" s="1958">
        <v>0</v>
      </c>
      <c r="K80" s="1959">
        <v>0</v>
      </c>
      <c r="L80" s="1959">
        <v>0</v>
      </c>
    </row>
    <row r="81" spans="1:12">
      <c r="A81" s="1958" t="s">
        <v>877</v>
      </c>
      <c r="B81" s="1958">
        <v>187</v>
      </c>
      <c r="C81" s="1958">
        <v>2023</v>
      </c>
      <c r="D81" s="1958">
        <v>12</v>
      </c>
      <c r="E81" s="1958">
        <v>80</v>
      </c>
      <c r="F81" s="1958">
        <v>0</v>
      </c>
      <c r="G81" s="1958" t="s">
        <v>884</v>
      </c>
      <c r="H81" s="1958" t="s">
        <v>883</v>
      </c>
      <c r="I81" s="1958">
        <v>0</v>
      </c>
      <c r="J81" s="1958">
        <v>0</v>
      </c>
      <c r="K81" s="1959">
        <v>0</v>
      </c>
      <c r="L81" s="1959">
        <v>0</v>
      </c>
    </row>
    <row r="82" spans="1:12">
      <c r="A82" s="1958" t="s">
        <v>877</v>
      </c>
      <c r="B82" s="1958">
        <v>187</v>
      </c>
      <c r="C82" s="1958">
        <v>2023</v>
      </c>
      <c r="D82" s="1958">
        <v>12</v>
      </c>
      <c r="E82" s="1958">
        <v>81</v>
      </c>
      <c r="F82" s="1958">
        <v>0</v>
      </c>
      <c r="G82" s="1958" t="s">
        <v>882</v>
      </c>
      <c r="H82" s="1958" t="s">
        <v>728</v>
      </c>
      <c r="I82" s="1958">
        <v>0</v>
      </c>
      <c r="J82" s="1958">
        <v>0</v>
      </c>
      <c r="K82" s="1959">
        <v>5701050.9199999999</v>
      </c>
      <c r="L82" s="1959">
        <v>6177054.2999999998</v>
      </c>
    </row>
    <row r="83" spans="1:12">
      <c r="A83" s="1958" t="s">
        <v>877</v>
      </c>
      <c r="B83" s="1958">
        <v>187</v>
      </c>
      <c r="C83" s="1958">
        <v>2023</v>
      </c>
      <c r="D83" s="1958">
        <v>12</v>
      </c>
      <c r="E83" s="1958">
        <v>82</v>
      </c>
      <c r="F83" s="1958">
        <v>0</v>
      </c>
      <c r="G83" s="1958" t="s">
        <v>881</v>
      </c>
      <c r="H83" s="1958" t="s">
        <v>880</v>
      </c>
      <c r="I83" s="1958">
        <v>0</v>
      </c>
      <c r="J83" s="1958">
        <v>0</v>
      </c>
      <c r="K83" s="1959">
        <v>214152187.74000001</v>
      </c>
      <c r="L83" s="1959">
        <v>269470611.93000001</v>
      </c>
    </row>
    <row r="84" spans="1:12">
      <c r="A84" s="1958" t="s">
        <v>877</v>
      </c>
      <c r="B84" s="1958">
        <v>187</v>
      </c>
      <c r="C84" s="1958">
        <v>2023</v>
      </c>
      <c r="D84" s="1958">
        <v>12</v>
      </c>
      <c r="E84" s="1958">
        <v>83</v>
      </c>
      <c r="F84" s="1958">
        <v>0</v>
      </c>
      <c r="G84" s="1958" t="s">
        <v>879</v>
      </c>
      <c r="H84" s="1958" t="s">
        <v>728</v>
      </c>
      <c r="I84" s="1958">
        <v>0</v>
      </c>
      <c r="J84" s="1958">
        <v>0</v>
      </c>
      <c r="K84" s="1959">
        <v>51370536.200000003</v>
      </c>
      <c r="L84" s="1959">
        <v>52091144.840000004</v>
      </c>
    </row>
    <row r="85" spans="1:12">
      <c r="A85" s="1958" t="s">
        <v>877</v>
      </c>
      <c r="B85" s="1958">
        <v>187</v>
      </c>
      <c r="C85" s="1958">
        <v>2023</v>
      </c>
      <c r="D85" s="1958">
        <v>12</v>
      </c>
      <c r="E85" s="1958">
        <v>84</v>
      </c>
      <c r="F85" s="1958">
        <v>0</v>
      </c>
      <c r="G85" s="1958" t="s">
        <v>878</v>
      </c>
      <c r="H85" s="1958" t="s">
        <v>728</v>
      </c>
      <c r="I85" s="1958">
        <v>0</v>
      </c>
      <c r="J85" s="1958">
        <v>0</v>
      </c>
      <c r="K85" s="1959">
        <v>1279378592.5699999</v>
      </c>
      <c r="L85" s="1959">
        <v>1330685480.27</v>
      </c>
    </row>
    <row r="86" spans="1:12">
      <c r="A86" s="1958" t="s">
        <v>877</v>
      </c>
      <c r="B86" s="1958">
        <v>187</v>
      </c>
      <c r="C86" s="1958">
        <v>2023</v>
      </c>
      <c r="D86" s="1958">
        <v>12</v>
      </c>
      <c r="E86" s="1958">
        <v>85</v>
      </c>
      <c r="F86" s="1958">
        <v>0</v>
      </c>
      <c r="G86" s="1958" t="s">
        <v>876</v>
      </c>
      <c r="H86" s="1958" t="s">
        <v>728</v>
      </c>
      <c r="I86" s="1958">
        <v>0</v>
      </c>
      <c r="J86" s="1958">
        <v>0</v>
      </c>
      <c r="K86" s="1959">
        <f>SUM(K15:K17,K33,K68,K85)</f>
        <v>7314839919.0099993</v>
      </c>
      <c r="L86" s="1959">
        <f>SUM(L15:L17,L33,L68,L85)</f>
        <v>7162742914.3899994</v>
      </c>
    </row>
  </sheetData>
  <pageMargins left="0.75" right="0.75" top="1" bottom="1" header="0.5" footer="0.5"/>
  <pageSetup orientation="portrait" r:id="rId1"/>
  <headerFooter alignWithMargins="0"/>
  <customProperties>
    <customPr name="xxe4aPID" r:id="rId2"/>
  </customPropertie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6B1FD-F5FB-466D-A0AF-166CD812D9E5}">
  <sheetPr codeName="Sheet45">
    <tabColor rgb="FF92D050"/>
  </sheetPr>
  <dimension ref="A1:L67"/>
  <sheetViews>
    <sheetView topLeftCell="A16"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60.5" style="1958" bestFit="1" customWidth="1"/>
    <col min="8" max="8" width="7.375" style="1958" bestFit="1" customWidth="1"/>
    <col min="9" max="9" width="6.625" style="1958" bestFit="1" customWidth="1"/>
    <col min="10" max="10" width="10.125" style="1958" bestFit="1" customWidth="1"/>
    <col min="11" max="11" width="10.75" style="1958" bestFit="1" customWidth="1"/>
    <col min="12" max="12" width="6.625" style="1958" bestFit="1" customWidth="1"/>
    <col min="13" max="16384" width="9" style="1958"/>
  </cols>
  <sheetData>
    <row r="1" spans="1:12">
      <c r="A1" s="1958" t="s">
        <v>984</v>
      </c>
      <c r="B1" s="1958" t="s">
        <v>983</v>
      </c>
      <c r="C1" s="1958" t="s">
        <v>982</v>
      </c>
      <c r="D1" s="1958" t="s">
        <v>981</v>
      </c>
      <c r="E1" s="1958" t="s">
        <v>980</v>
      </c>
      <c r="F1" s="1958" t="s">
        <v>979</v>
      </c>
      <c r="G1" s="1958" t="s">
        <v>978</v>
      </c>
      <c r="H1" s="1958" t="s">
        <v>977</v>
      </c>
      <c r="I1" s="1958" t="s">
        <v>976</v>
      </c>
      <c r="J1" s="1958" t="s">
        <v>974</v>
      </c>
      <c r="K1" s="1958" t="s">
        <v>973</v>
      </c>
      <c r="L1" s="1958" t="s">
        <v>975</v>
      </c>
    </row>
    <row r="2" spans="1:12">
      <c r="A2" s="1958" t="s">
        <v>877</v>
      </c>
      <c r="B2" s="1958">
        <v>187</v>
      </c>
      <c r="C2" s="1958">
        <v>2023</v>
      </c>
      <c r="D2" s="1958">
        <v>12</v>
      </c>
      <c r="E2" s="1958">
        <v>1</v>
      </c>
      <c r="F2" s="1958">
        <v>0</v>
      </c>
      <c r="G2" s="1958" t="s">
        <v>1058</v>
      </c>
      <c r="H2" s="1958" t="s">
        <v>728</v>
      </c>
      <c r="I2" s="1958">
        <v>0</v>
      </c>
      <c r="J2" s="1958">
        <v>0</v>
      </c>
      <c r="K2" s="1958">
        <v>0</v>
      </c>
      <c r="L2" s="1958">
        <v>0</v>
      </c>
    </row>
    <row r="3" spans="1:12">
      <c r="A3" s="1958" t="s">
        <v>877</v>
      </c>
      <c r="B3" s="1958">
        <v>187</v>
      </c>
      <c r="C3" s="1958">
        <v>2023</v>
      </c>
      <c r="D3" s="1958">
        <v>12</v>
      </c>
      <c r="E3" s="1958">
        <v>2</v>
      </c>
      <c r="F3" s="1958">
        <v>0</v>
      </c>
      <c r="G3" s="1958" t="s">
        <v>1057</v>
      </c>
      <c r="H3" s="1958" t="s">
        <v>1040</v>
      </c>
      <c r="I3" s="1958">
        <v>0</v>
      </c>
      <c r="J3" s="1958">
        <v>1596986046.6800001</v>
      </c>
      <c r="K3" s="1958">
        <v>1481787168.28</v>
      </c>
      <c r="L3" s="1958">
        <v>0</v>
      </c>
    </row>
    <row r="4" spans="1:12">
      <c r="A4" s="1958" t="s">
        <v>877</v>
      </c>
      <c r="B4" s="1958">
        <v>187</v>
      </c>
      <c r="C4" s="1958">
        <v>2023</v>
      </c>
      <c r="D4" s="1958">
        <v>12</v>
      </c>
      <c r="E4" s="1958">
        <v>3</v>
      </c>
      <c r="F4" s="1958">
        <v>0</v>
      </c>
      <c r="G4" s="1958" t="s">
        <v>1056</v>
      </c>
      <c r="H4" s="1958" t="s">
        <v>1040</v>
      </c>
      <c r="I4" s="1958">
        <v>0</v>
      </c>
      <c r="J4" s="1958">
        <v>0</v>
      </c>
      <c r="K4" s="1958">
        <v>0</v>
      </c>
      <c r="L4" s="1958">
        <v>0</v>
      </c>
    </row>
    <row r="5" spans="1:12">
      <c r="A5" s="1958" t="s">
        <v>877</v>
      </c>
      <c r="B5" s="1958">
        <v>187</v>
      </c>
      <c r="C5" s="1958">
        <v>2023</v>
      </c>
      <c r="D5" s="1958">
        <v>12</v>
      </c>
      <c r="E5" s="1958">
        <v>4</v>
      </c>
      <c r="F5" s="1958">
        <v>0</v>
      </c>
      <c r="G5" s="1958" t="s">
        <v>1055</v>
      </c>
      <c r="H5" s="1958" t="s">
        <v>728</v>
      </c>
      <c r="I5" s="1958">
        <v>0</v>
      </c>
      <c r="J5" s="1958">
        <v>0</v>
      </c>
      <c r="K5" s="1958">
        <v>0</v>
      </c>
      <c r="L5" s="1958">
        <v>0</v>
      </c>
    </row>
    <row r="6" spans="1:12">
      <c r="A6" s="1958" t="s">
        <v>877</v>
      </c>
      <c r="B6" s="1958">
        <v>187</v>
      </c>
      <c r="C6" s="1958">
        <v>2023</v>
      </c>
      <c r="D6" s="1958">
        <v>12</v>
      </c>
      <c r="E6" s="1958">
        <v>5</v>
      </c>
      <c r="F6" s="1958">
        <v>0</v>
      </c>
      <c r="G6" s="1958" t="s">
        <v>1054</v>
      </c>
      <c r="H6" s="1958" t="s">
        <v>728</v>
      </c>
      <c r="I6" s="1958">
        <v>0</v>
      </c>
      <c r="J6" s="1958">
        <v>0</v>
      </c>
      <c r="K6" s="1958">
        <v>0</v>
      </c>
      <c r="L6" s="1958">
        <v>0</v>
      </c>
    </row>
    <row r="7" spans="1:12">
      <c r="A7" s="1958" t="s">
        <v>877</v>
      </c>
      <c r="B7" s="1958">
        <v>187</v>
      </c>
      <c r="C7" s="1958">
        <v>2023</v>
      </c>
      <c r="D7" s="1958">
        <v>12</v>
      </c>
      <c r="E7" s="1958">
        <v>6</v>
      </c>
      <c r="F7" s="1958">
        <v>0</v>
      </c>
      <c r="G7" s="1958" t="s">
        <v>1053</v>
      </c>
      <c r="H7" s="1958" t="s">
        <v>728</v>
      </c>
      <c r="I7" s="1958">
        <v>0</v>
      </c>
      <c r="J7" s="1958">
        <v>0</v>
      </c>
      <c r="K7" s="1958">
        <v>0</v>
      </c>
      <c r="L7" s="1958">
        <v>0</v>
      </c>
    </row>
    <row r="8" spans="1:12">
      <c r="A8" s="1958" t="s">
        <v>877</v>
      </c>
      <c r="B8" s="1958">
        <v>187</v>
      </c>
      <c r="C8" s="1958">
        <v>2023</v>
      </c>
      <c r="D8" s="1958">
        <v>12</v>
      </c>
      <c r="E8" s="1958">
        <v>7</v>
      </c>
      <c r="F8" s="1958">
        <v>0</v>
      </c>
      <c r="G8" s="1958" t="s">
        <v>1052</v>
      </c>
      <c r="H8" s="1958" t="s">
        <v>1051</v>
      </c>
      <c r="I8" s="1958">
        <v>0</v>
      </c>
      <c r="J8" s="1962">
        <v>-2732405.13</v>
      </c>
      <c r="K8" s="1962">
        <v>-10696711.220000001</v>
      </c>
      <c r="L8" s="1958">
        <v>0</v>
      </c>
    </row>
    <row r="9" spans="1:12">
      <c r="A9" s="1958" t="s">
        <v>877</v>
      </c>
      <c r="B9" s="1958">
        <v>187</v>
      </c>
      <c r="C9" s="1958">
        <v>2023</v>
      </c>
      <c r="D9" s="1958">
        <v>12</v>
      </c>
      <c r="E9" s="1958">
        <v>8</v>
      </c>
      <c r="F9" s="1958">
        <v>0</v>
      </c>
      <c r="G9" s="1958" t="s">
        <v>1050</v>
      </c>
      <c r="H9" s="1958" t="s">
        <v>1049</v>
      </c>
      <c r="I9" s="1958">
        <v>0</v>
      </c>
      <c r="J9" s="1958">
        <v>0</v>
      </c>
      <c r="K9" s="1958">
        <v>0</v>
      </c>
      <c r="L9" s="1958">
        <v>0</v>
      </c>
    </row>
    <row r="10" spans="1:12">
      <c r="A10" s="1958" t="s">
        <v>877</v>
      </c>
      <c r="B10" s="1958">
        <v>187</v>
      </c>
      <c r="C10" s="1958">
        <v>2023</v>
      </c>
      <c r="D10" s="1958">
        <v>12</v>
      </c>
      <c r="E10" s="1958">
        <v>9</v>
      </c>
      <c r="F10" s="1958">
        <v>0</v>
      </c>
      <c r="G10" s="1958" t="s">
        <v>1048</v>
      </c>
      <c r="H10" s="1958" t="s">
        <v>1047</v>
      </c>
      <c r="I10" s="1958">
        <v>0</v>
      </c>
      <c r="J10" s="1958">
        <v>0</v>
      </c>
      <c r="K10" s="1958">
        <v>0</v>
      </c>
      <c r="L10" s="1958">
        <v>0</v>
      </c>
    </row>
    <row r="11" spans="1:12">
      <c r="A11" s="1958" t="s">
        <v>877</v>
      </c>
      <c r="B11" s="1958">
        <v>187</v>
      </c>
      <c r="C11" s="1958">
        <v>2023</v>
      </c>
      <c r="D11" s="1958">
        <v>12</v>
      </c>
      <c r="E11" s="1958">
        <v>10</v>
      </c>
      <c r="F11" s="1958">
        <v>0</v>
      </c>
      <c r="G11" s="1958" t="s">
        <v>1046</v>
      </c>
      <c r="H11" s="1958" t="s">
        <v>1045</v>
      </c>
      <c r="I11" s="1958">
        <v>0</v>
      </c>
      <c r="J11" s="1962">
        <v>-50073294.009999998</v>
      </c>
      <c r="K11" s="1962">
        <v>-54094483.439999998</v>
      </c>
      <c r="L11" s="1958">
        <v>0</v>
      </c>
    </row>
    <row r="12" spans="1:12">
      <c r="A12" s="1958" t="s">
        <v>877</v>
      </c>
      <c r="B12" s="1958">
        <v>187</v>
      </c>
      <c r="C12" s="1958">
        <v>2023</v>
      </c>
      <c r="D12" s="1958">
        <v>12</v>
      </c>
      <c r="E12" s="1958">
        <v>11</v>
      </c>
      <c r="F12" s="1958">
        <v>0</v>
      </c>
      <c r="G12" s="1958" t="s">
        <v>1044</v>
      </c>
      <c r="H12" s="1958" t="s">
        <v>1042</v>
      </c>
      <c r="I12" s="1958">
        <v>0</v>
      </c>
      <c r="J12" s="1962">
        <v>798215179.39999998</v>
      </c>
      <c r="K12" s="1962">
        <v>772567764.72000003</v>
      </c>
      <c r="L12" s="1958">
        <v>0</v>
      </c>
    </row>
    <row r="13" spans="1:12">
      <c r="A13" s="1958" t="s">
        <v>877</v>
      </c>
      <c r="B13" s="1958">
        <v>187</v>
      </c>
      <c r="C13" s="1958">
        <v>2023</v>
      </c>
      <c r="D13" s="1958">
        <v>12</v>
      </c>
      <c r="E13" s="1958">
        <v>12</v>
      </c>
      <c r="F13" s="1958">
        <v>0</v>
      </c>
      <c r="G13" s="1958" t="s">
        <v>1043</v>
      </c>
      <c r="H13" s="1958" t="s">
        <v>1042</v>
      </c>
      <c r="I13" s="1958">
        <v>0</v>
      </c>
      <c r="J13" s="1962">
        <v>43138900.090000004</v>
      </c>
      <c r="K13" s="1962">
        <v>38974396.399999999</v>
      </c>
      <c r="L13" s="1958">
        <v>0</v>
      </c>
    </row>
    <row r="14" spans="1:12">
      <c r="A14" s="1958" t="s">
        <v>877</v>
      </c>
      <c r="B14" s="1958">
        <v>187</v>
      </c>
      <c r="C14" s="1958">
        <v>2023</v>
      </c>
      <c r="D14" s="1958">
        <v>12</v>
      </c>
      <c r="E14" s="1958">
        <v>13</v>
      </c>
      <c r="F14" s="1958">
        <v>0</v>
      </c>
      <c r="G14" s="1958" t="s">
        <v>1041</v>
      </c>
      <c r="H14" s="1958" t="s">
        <v>1040</v>
      </c>
      <c r="I14" s="1958">
        <v>0</v>
      </c>
      <c r="J14" s="1958">
        <v>0</v>
      </c>
      <c r="K14" s="1958">
        <v>0</v>
      </c>
      <c r="L14" s="1958">
        <v>0</v>
      </c>
    </row>
    <row r="15" spans="1:12">
      <c r="A15" s="1958" t="s">
        <v>877</v>
      </c>
      <c r="B15" s="1958">
        <v>187</v>
      </c>
      <c r="C15" s="1958">
        <v>2023</v>
      </c>
      <c r="D15" s="1958">
        <v>12</v>
      </c>
      <c r="E15" s="1958">
        <v>14</v>
      </c>
      <c r="F15" s="1958">
        <v>0</v>
      </c>
      <c r="G15" s="1958" t="s">
        <v>1039</v>
      </c>
      <c r="H15" s="1958" t="s">
        <v>728</v>
      </c>
      <c r="I15" s="1958">
        <v>0</v>
      </c>
      <c r="J15" s="1958">
        <v>0</v>
      </c>
      <c r="K15" s="1958">
        <v>0</v>
      </c>
      <c r="L15" s="1958">
        <v>0</v>
      </c>
    </row>
    <row r="16" spans="1:12">
      <c r="A16" s="1958" t="s">
        <v>877</v>
      </c>
      <c r="B16" s="1958">
        <v>187</v>
      </c>
      <c r="C16" s="1958">
        <v>2023</v>
      </c>
      <c r="D16" s="1958">
        <v>12</v>
      </c>
      <c r="E16" s="1958">
        <v>15</v>
      </c>
      <c r="F16" s="1958">
        <v>0</v>
      </c>
      <c r="G16" s="1958" t="s">
        <v>1038</v>
      </c>
      <c r="H16" s="1958" t="s">
        <v>1037</v>
      </c>
      <c r="I16" s="1958">
        <v>0</v>
      </c>
      <c r="J16" s="1958">
        <v>-357109</v>
      </c>
      <c r="K16" s="1958">
        <v>-2058225</v>
      </c>
      <c r="L16" s="1958">
        <v>0</v>
      </c>
    </row>
    <row r="17" spans="1:12">
      <c r="A17" s="1958" t="s">
        <v>877</v>
      </c>
      <c r="B17" s="1958">
        <v>187</v>
      </c>
      <c r="C17" s="1958">
        <v>2023</v>
      </c>
      <c r="D17" s="1958">
        <v>12</v>
      </c>
      <c r="E17" s="1958">
        <v>16</v>
      </c>
      <c r="F17" s="1958">
        <v>0</v>
      </c>
      <c r="G17" s="1958" t="s">
        <v>1036</v>
      </c>
      <c r="H17" s="1958" t="s">
        <v>728</v>
      </c>
      <c r="I17" s="1958">
        <v>0</v>
      </c>
      <c r="J17" s="1962">
        <f>SUM(J2:J10,J12:J16)-J11</f>
        <v>2485323906.0500002</v>
      </c>
      <c r="K17" s="1962">
        <f>SUM(K2:K10,K12:K16)-K11</f>
        <v>2334668876.6199999</v>
      </c>
      <c r="L17" s="1958">
        <v>0</v>
      </c>
    </row>
    <row r="18" spans="1:12">
      <c r="A18" s="1958" t="s">
        <v>877</v>
      </c>
      <c r="B18" s="1958">
        <v>187</v>
      </c>
      <c r="C18" s="1958">
        <v>2023</v>
      </c>
      <c r="D18" s="1958">
        <v>12</v>
      </c>
      <c r="E18" s="1958">
        <v>17</v>
      </c>
      <c r="F18" s="1958">
        <v>0</v>
      </c>
      <c r="G18" s="1958" t="s">
        <v>1035</v>
      </c>
      <c r="H18" s="1958" t="s">
        <v>728</v>
      </c>
      <c r="I18" s="1958">
        <v>0</v>
      </c>
      <c r="J18" s="1958">
        <v>0</v>
      </c>
      <c r="K18" s="1958">
        <v>0</v>
      </c>
      <c r="L18" s="1958">
        <v>0</v>
      </c>
    </row>
    <row r="19" spans="1:12">
      <c r="A19" s="1958" t="s">
        <v>877</v>
      </c>
      <c r="B19" s="1958">
        <v>187</v>
      </c>
      <c r="C19" s="1958">
        <v>2023</v>
      </c>
      <c r="D19" s="1958">
        <v>12</v>
      </c>
      <c r="E19" s="1958">
        <v>18</v>
      </c>
      <c r="F19" s="1958">
        <v>0</v>
      </c>
      <c r="G19" s="1958" t="s">
        <v>1034</v>
      </c>
      <c r="H19" s="1958" t="s">
        <v>1030</v>
      </c>
      <c r="I19" s="1958">
        <v>0</v>
      </c>
      <c r="J19" s="1958">
        <v>2543700000</v>
      </c>
      <c r="K19" s="1958">
        <v>2307200000</v>
      </c>
      <c r="L19" s="1958">
        <v>0</v>
      </c>
    </row>
    <row r="20" spans="1:12">
      <c r="A20" s="1958" t="s">
        <v>877</v>
      </c>
      <c r="B20" s="1958">
        <v>187</v>
      </c>
      <c r="C20" s="1958">
        <v>2023</v>
      </c>
      <c r="D20" s="1958">
        <v>12</v>
      </c>
      <c r="E20" s="1958">
        <v>19</v>
      </c>
      <c r="F20" s="1958">
        <v>0</v>
      </c>
      <c r="G20" s="1958" t="s">
        <v>1033</v>
      </c>
      <c r="H20" s="1958" t="s">
        <v>1030</v>
      </c>
      <c r="I20" s="1958">
        <v>0</v>
      </c>
      <c r="J20" s="1958">
        <v>83700000</v>
      </c>
      <c r="K20" s="1958">
        <v>83700000</v>
      </c>
      <c r="L20" s="1958">
        <v>0</v>
      </c>
    </row>
    <row r="21" spans="1:12">
      <c r="A21" s="1958" t="s">
        <v>877</v>
      </c>
      <c r="B21" s="1958">
        <v>187</v>
      </c>
      <c r="C21" s="1958">
        <v>2023</v>
      </c>
      <c r="D21" s="1958">
        <v>12</v>
      </c>
      <c r="E21" s="1958">
        <v>20</v>
      </c>
      <c r="F21" s="1958">
        <v>0</v>
      </c>
      <c r="G21" s="1958" t="s">
        <v>1032</v>
      </c>
      <c r="H21" s="1958" t="s">
        <v>1030</v>
      </c>
      <c r="I21" s="1958">
        <v>0</v>
      </c>
      <c r="J21" s="1958">
        <v>51547000</v>
      </c>
      <c r="K21" s="1958">
        <v>51547000</v>
      </c>
      <c r="L21" s="1958">
        <v>0</v>
      </c>
    </row>
    <row r="22" spans="1:12">
      <c r="A22" s="1958" t="s">
        <v>877</v>
      </c>
      <c r="B22" s="1958">
        <v>187</v>
      </c>
      <c r="C22" s="1958">
        <v>2023</v>
      </c>
      <c r="D22" s="1958">
        <v>12</v>
      </c>
      <c r="E22" s="1958">
        <v>21</v>
      </c>
      <c r="F22" s="1958">
        <v>0</v>
      </c>
      <c r="G22" s="1958" t="s">
        <v>1031</v>
      </c>
      <c r="H22" s="1958" t="s">
        <v>1030</v>
      </c>
      <c r="I22" s="1958">
        <v>0</v>
      </c>
      <c r="J22" s="1958">
        <v>0</v>
      </c>
      <c r="K22" s="1958">
        <v>0</v>
      </c>
      <c r="L22" s="1958">
        <v>0</v>
      </c>
    </row>
    <row r="23" spans="1:12">
      <c r="A23" s="1958" t="s">
        <v>877</v>
      </c>
      <c r="B23" s="1958">
        <v>187</v>
      </c>
      <c r="C23" s="1958">
        <v>2023</v>
      </c>
      <c r="D23" s="1958">
        <v>12</v>
      </c>
      <c r="E23" s="1958">
        <v>22</v>
      </c>
      <c r="F23" s="1958">
        <v>0</v>
      </c>
      <c r="G23" s="1958" t="s">
        <v>1029</v>
      </c>
      <c r="H23" s="1958" t="s">
        <v>728</v>
      </c>
      <c r="I23" s="1958">
        <v>0</v>
      </c>
      <c r="J23" s="1958">
        <v>106599.88</v>
      </c>
      <c r="K23" s="1958">
        <v>115483.24</v>
      </c>
      <c r="L23" s="1958">
        <v>0</v>
      </c>
    </row>
    <row r="24" spans="1:12">
      <c r="A24" s="1958" t="s">
        <v>877</v>
      </c>
      <c r="B24" s="1958">
        <v>187</v>
      </c>
      <c r="C24" s="1958">
        <v>2023</v>
      </c>
      <c r="D24" s="1958">
        <v>12</v>
      </c>
      <c r="E24" s="1958">
        <v>23</v>
      </c>
      <c r="F24" s="1958">
        <v>0</v>
      </c>
      <c r="G24" s="1958" t="s">
        <v>1028</v>
      </c>
      <c r="H24" s="1958" t="s">
        <v>728</v>
      </c>
      <c r="I24" s="1958">
        <v>0</v>
      </c>
      <c r="J24" s="1958">
        <v>795575.94</v>
      </c>
      <c r="K24" s="1958">
        <v>841286.34</v>
      </c>
      <c r="L24" s="1958">
        <v>0</v>
      </c>
    </row>
    <row r="25" spans="1:12">
      <c r="A25" s="1958" t="s">
        <v>877</v>
      </c>
      <c r="B25" s="1958">
        <v>187</v>
      </c>
      <c r="C25" s="1958">
        <v>2023</v>
      </c>
      <c r="D25" s="1958">
        <v>12</v>
      </c>
      <c r="E25" s="1958">
        <v>24</v>
      </c>
      <c r="F25" s="1958">
        <v>0</v>
      </c>
      <c r="G25" s="1958" t="s">
        <v>1027</v>
      </c>
      <c r="H25" s="1958" t="s">
        <v>728</v>
      </c>
      <c r="I25" s="1958">
        <v>0</v>
      </c>
      <c r="J25" s="1958">
        <f>SUM(J19,J21:J23)-J20-J24</f>
        <v>2510858023.9400001</v>
      </c>
      <c r="K25" s="1958">
        <f>SUM(K19,K21:K23)-K20-K24</f>
        <v>2274321196.8999996</v>
      </c>
      <c r="L25" s="1958">
        <v>0</v>
      </c>
    </row>
    <row r="26" spans="1:12">
      <c r="A26" s="1958" t="s">
        <v>877</v>
      </c>
      <c r="B26" s="1958">
        <v>187</v>
      </c>
      <c r="C26" s="1958">
        <v>2023</v>
      </c>
      <c r="D26" s="1958">
        <v>12</v>
      </c>
      <c r="E26" s="1958">
        <v>25</v>
      </c>
      <c r="F26" s="1958">
        <v>0</v>
      </c>
      <c r="G26" s="1958" t="s">
        <v>1026</v>
      </c>
      <c r="H26" s="1958" t="s">
        <v>728</v>
      </c>
      <c r="I26" s="1958">
        <v>0</v>
      </c>
      <c r="J26" s="1958">
        <v>0</v>
      </c>
      <c r="K26" s="1958">
        <v>0</v>
      </c>
      <c r="L26" s="1958">
        <v>0</v>
      </c>
    </row>
    <row r="27" spans="1:12">
      <c r="A27" s="1958" t="s">
        <v>877</v>
      </c>
      <c r="B27" s="1958">
        <v>187</v>
      </c>
      <c r="C27" s="1958">
        <v>2023</v>
      </c>
      <c r="D27" s="1958">
        <v>12</v>
      </c>
      <c r="E27" s="1958">
        <v>26</v>
      </c>
      <c r="F27" s="1958">
        <v>0</v>
      </c>
      <c r="G27" s="1958" t="s">
        <v>1025</v>
      </c>
      <c r="H27" s="1958" t="s">
        <v>728</v>
      </c>
      <c r="I27" s="1958">
        <v>0</v>
      </c>
      <c r="J27" s="1962">
        <v>63558660.740000002</v>
      </c>
      <c r="K27" s="1962">
        <v>64284097.229999997</v>
      </c>
      <c r="L27" s="1958">
        <v>0</v>
      </c>
    </row>
    <row r="28" spans="1:12">
      <c r="A28" s="1958" t="s">
        <v>877</v>
      </c>
      <c r="B28" s="1958">
        <v>187</v>
      </c>
      <c r="C28" s="1958">
        <v>2023</v>
      </c>
      <c r="D28" s="1958">
        <v>12</v>
      </c>
      <c r="E28" s="1958">
        <v>27</v>
      </c>
      <c r="F28" s="1958">
        <v>0</v>
      </c>
      <c r="G28" s="1958" t="s">
        <v>1024</v>
      </c>
      <c r="H28" s="1958" t="s">
        <v>728</v>
      </c>
      <c r="I28" s="1958">
        <v>0</v>
      </c>
      <c r="J28" s="1958">
        <v>0</v>
      </c>
      <c r="K28" s="1958">
        <v>0</v>
      </c>
      <c r="L28" s="1958">
        <v>0</v>
      </c>
    </row>
    <row r="29" spans="1:12">
      <c r="A29" s="1958" t="s">
        <v>877</v>
      </c>
      <c r="B29" s="1958">
        <v>187</v>
      </c>
      <c r="C29" s="1958">
        <v>2023</v>
      </c>
      <c r="D29" s="1958">
        <v>12</v>
      </c>
      <c r="E29" s="1958">
        <v>28</v>
      </c>
      <c r="F29" s="1958">
        <v>0</v>
      </c>
      <c r="G29" s="1958" t="s">
        <v>1023</v>
      </c>
      <c r="H29" s="1958" t="s">
        <v>728</v>
      </c>
      <c r="I29" s="1958">
        <v>0</v>
      </c>
      <c r="J29" s="1958">
        <v>995000</v>
      </c>
      <c r="K29" s="1958">
        <v>1320000</v>
      </c>
      <c r="L29" s="1958">
        <v>0</v>
      </c>
    </row>
    <row r="30" spans="1:12">
      <c r="A30" s="1958" t="s">
        <v>877</v>
      </c>
      <c r="B30" s="1958">
        <v>187</v>
      </c>
      <c r="C30" s="1958">
        <v>2023</v>
      </c>
      <c r="D30" s="1958">
        <v>12</v>
      </c>
      <c r="E30" s="1958">
        <v>29</v>
      </c>
      <c r="F30" s="1958">
        <v>0</v>
      </c>
      <c r="G30" s="1958" t="s">
        <v>1022</v>
      </c>
      <c r="H30" s="1958" t="s">
        <v>728</v>
      </c>
      <c r="I30" s="1958">
        <v>0</v>
      </c>
      <c r="J30" s="1962">
        <v>89829936.730000004</v>
      </c>
      <c r="K30" s="1962">
        <v>93900990.150000006</v>
      </c>
      <c r="L30" s="1958">
        <v>0</v>
      </c>
    </row>
    <row r="31" spans="1:12">
      <c r="A31" s="1958" t="s">
        <v>877</v>
      </c>
      <c r="B31" s="1958">
        <v>187</v>
      </c>
      <c r="C31" s="1958">
        <v>2023</v>
      </c>
      <c r="D31" s="1958">
        <v>12</v>
      </c>
      <c r="E31" s="1958">
        <v>30</v>
      </c>
      <c r="F31" s="1958">
        <v>0</v>
      </c>
      <c r="G31" s="1958" t="s">
        <v>1021</v>
      </c>
      <c r="H31" s="1958" t="s">
        <v>728</v>
      </c>
      <c r="I31" s="1958">
        <v>0</v>
      </c>
      <c r="J31" s="1958">
        <v>0</v>
      </c>
      <c r="K31" s="1958">
        <v>0</v>
      </c>
      <c r="L31" s="1958">
        <v>0</v>
      </c>
    </row>
    <row r="32" spans="1:12">
      <c r="A32" s="1958" t="s">
        <v>877</v>
      </c>
      <c r="B32" s="1958">
        <v>187</v>
      </c>
      <c r="C32" s="1958">
        <v>2023</v>
      </c>
      <c r="D32" s="1958">
        <v>12</v>
      </c>
      <c r="E32" s="1958">
        <v>31</v>
      </c>
      <c r="F32" s="1958">
        <v>0</v>
      </c>
      <c r="G32" s="1958" t="s">
        <v>1020</v>
      </c>
      <c r="H32" s="1958" t="s">
        <v>728</v>
      </c>
      <c r="I32" s="1958">
        <v>0</v>
      </c>
      <c r="J32" s="1962">
        <v>618328.57999999996</v>
      </c>
      <c r="K32" s="1962">
        <v>774805.18</v>
      </c>
      <c r="L32" s="1958">
        <v>0</v>
      </c>
    </row>
    <row r="33" spans="1:12">
      <c r="A33" s="1958" t="s">
        <v>877</v>
      </c>
      <c r="B33" s="1958">
        <v>187</v>
      </c>
      <c r="C33" s="1958">
        <v>2023</v>
      </c>
      <c r="D33" s="1958">
        <v>12</v>
      </c>
      <c r="E33" s="1958">
        <v>32</v>
      </c>
      <c r="F33" s="1958">
        <v>0</v>
      </c>
      <c r="G33" s="1958" t="s">
        <v>377</v>
      </c>
      <c r="H33" s="1958" t="s">
        <v>728</v>
      </c>
      <c r="I33" s="1958">
        <v>0</v>
      </c>
      <c r="J33" s="1958">
        <v>17902180</v>
      </c>
      <c r="K33" s="1958">
        <v>7891963</v>
      </c>
      <c r="L33" s="1958">
        <v>0</v>
      </c>
    </row>
    <row r="34" spans="1:12">
      <c r="A34" s="1958" t="s">
        <v>877</v>
      </c>
      <c r="B34" s="1958">
        <v>187</v>
      </c>
      <c r="C34" s="1958">
        <v>2023</v>
      </c>
      <c r="D34" s="1958">
        <v>12</v>
      </c>
      <c r="E34" s="1958">
        <v>33</v>
      </c>
      <c r="F34" s="1958">
        <v>0</v>
      </c>
      <c r="G34" s="1958" t="s">
        <v>378</v>
      </c>
      <c r="H34" s="1958" t="s">
        <v>728</v>
      </c>
      <c r="I34" s="1958">
        <v>0</v>
      </c>
      <c r="J34" s="1958">
        <v>0</v>
      </c>
      <c r="K34" s="1958">
        <v>0</v>
      </c>
      <c r="L34" s="1958">
        <v>0</v>
      </c>
    </row>
    <row r="35" spans="1:12">
      <c r="A35" s="1958" t="s">
        <v>877</v>
      </c>
      <c r="B35" s="1958">
        <v>187</v>
      </c>
      <c r="C35" s="1958">
        <v>2023</v>
      </c>
      <c r="D35" s="1958">
        <v>12</v>
      </c>
      <c r="E35" s="1958">
        <v>34</v>
      </c>
      <c r="F35" s="1958">
        <v>0</v>
      </c>
      <c r="G35" s="1958" t="s">
        <v>1019</v>
      </c>
      <c r="H35" s="1958" t="s">
        <v>728</v>
      </c>
      <c r="I35" s="1958">
        <v>0</v>
      </c>
      <c r="J35" s="1962">
        <v>18058399.140000001</v>
      </c>
      <c r="K35" s="1962">
        <v>15783066.060000001</v>
      </c>
      <c r="L35" s="1958">
        <v>0</v>
      </c>
    </row>
    <row r="36" spans="1:12">
      <c r="A36" s="1958" t="s">
        <v>877</v>
      </c>
      <c r="B36" s="1958">
        <v>187</v>
      </c>
      <c r="C36" s="1958">
        <v>2023</v>
      </c>
      <c r="D36" s="1958">
        <v>12</v>
      </c>
      <c r="E36" s="1958">
        <v>35</v>
      </c>
      <c r="F36" s="1958">
        <v>0</v>
      </c>
      <c r="G36" s="1958" t="s">
        <v>1018</v>
      </c>
      <c r="H36" s="1958" t="s">
        <v>728</v>
      </c>
      <c r="I36" s="1958">
        <v>0</v>
      </c>
      <c r="J36" s="1962">
        <f>SUM(J27:J35)</f>
        <v>190962505.19</v>
      </c>
      <c r="K36" s="1962">
        <f>SUM(K27:K35)</f>
        <v>183954921.62</v>
      </c>
      <c r="L36" s="1958">
        <v>0</v>
      </c>
    </row>
    <row r="37" spans="1:12">
      <c r="A37" s="1958" t="s">
        <v>877</v>
      </c>
      <c r="B37" s="1958">
        <v>187</v>
      </c>
      <c r="C37" s="1958">
        <v>2023</v>
      </c>
      <c r="D37" s="1958">
        <v>12</v>
      </c>
      <c r="E37" s="1958">
        <v>36</v>
      </c>
      <c r="F37" s="1958">
        <v>0</v>
      </c>
      <c r="G37" s="1958" t="s">
        <v>438</v>
      </c>
      <c r="H37" s="1958" t="s">
        <v>728</v>
      </c>
      <c r="I37" s="1958">
        <v>0</v>
      </c>
      <c r="J37" s="1958">
        <v>0</v>
      </c>
      <c r="K37" s="1958">
        <v>0</v>
      </c>
      <c r="L37" s="1958">
        <v>0</v>
      </c>
    </row>
    <row r="38" spans="1:12">
      <c r="A38" s="1958" t="s">
        <v>877</v>
      </c>
      <c r="B38" s="1958">
        <v>187</v>
      </c>
      <c r="C38" s="1958">
        <v>2023</v>
      </c>
      <c r="D38" s="1958">
        <v>12</v>
      </c>
      <c r="E38" s="1958">
        <v>37</v>
      </c>
      <c r="F38" s="1958">
        <v>0</v>
      </c>
      <c r="G38" s="1958" t="s">
        <v>1017</v>
      </c>
      <c r="H38" s="1958" t="s">
        <v>728</v>
      </c>
      <c r="I38" s="1958">
        <v>0</v>
      </c>
      <c r="J38" s="1958">
        <v>349000000</v>
      </c>
      <c r="K38" s="1958">
        <v>463000000</v>
      </c>
      <c r="L38" s="1958">
        <v>0</v>
      </c>
    </row>
    <row r="39" spans="1:12">
      <c r="A39" s="1958" t="s">
        <v>877</v>
      </c>
      <c r="B39" s="1958">
        <v>187</v>
      </c>
      <c r="C39" s="1958">
        <v>2023</v>
      </c>
      <c r="D39" s="1958">
        <v>12</v>
      </c>
      <c r="E39" s="1958">
        <v>38</v>
      </c>
      <c r="F39" s="1958">
        <v>0</v>
      </c>
      <c r="G39" s="1958" t="s">
        <v>1016</v>
      </c>
      <c r="H39" s="1958" t="s">
        <v>728</v>
      </c>
      <c r="I39" s="1958">
        <v>0</v>
      </c>
      <c r="J39" s="1958">
        <v>136101468.11000001</v>
      </c>
      <c r="K39" s="1958">
        <v>195759918.55000001</v>
      </c>
      <c r="L39" s="1958">
        <v>0</v>
      </c>
    </row>
    <row r="40" spans="1:12">
      <c r="A40" s="1958" t="s">
        <v>877</v>
      </c>
      <c r="B40" s="1958">
        <v>187</v>
      </c>
      <c r="C40" s="1958">
        <v>2023</v>
      </c>
      <c r="D40" s="1958">
        <v>12</v>
      </c>
      <c r="E40" s="1958">
        <v>39</v>
      </c>
      <c r="F40" s="1958">
        <v>0</v>
      </c>
      <c r="G40" s="1958" t="s">
        <v>1015</v>
      </c>
      <c r="H40" s="1958" t="s">
        <v>728</v>
      </c>
      <c r="I40" s="1958">
        <v>0</v>
      </c>
      <c r="J40" s="1958">
        <v>0</v>
      </c>
      <c r="K40" s="1958">
        <v>0</v>
      </c>
      <c r="L40" s="1958">
        <v>0</v>
      </c>
    </row>
    <row r="41" spans="1:12">
      <c r="A41" s="1958" t="s">
        <v>877</v>
      </c>
      <c r="B41" s="1958">
        <v>187</v>
      </c>
      <c r="C41" s="1958">
        <v>2023</v>
      </c>
      <c r="D41" s="1958">
        <v>12</v>
      </c>
      <c r="E41" s="1958">
        <v>40</v>
      </c>
      <c r="F41" s="1958">
        <v>0</v>
      </c>
      <c r="G41" s="1958" t="s">
        <v>1014</v>
      </c>
      <c r="H41" s="1958" t="s">
        <v>728</v>
      </c>
      <c r="I41" s="1958">
        <v>0</v>
      </c>
      <c r="J41" s="1958">
        <v>0</v>
      </c>
      <c r="K41" s="1958">
        <v>114</v>
      </c>
      <c r="L41" s="1958">
        <v>0</v>
      </c>
    </row>
    <row r="42" spans="1:12">
      <c r="A42" s="1958" t="s">
        <v>877</v>
      </c>
      <c r="B42" s="1958">
        <v>187</v>
      </c>
      <c r="C42" s="1958">
        <v>2023</v>
      </c>
      <c r="D42" s="1958">
        <v>12</v>
      </c>
      <c r="E42" s="1958">
        <v>41</v>
      </c>
      <c r="F42" s="1958">
        <v>0</v>
      </c>
      <c r="G42" s="1958" t="s">
        <v>1013</v>
      </c>
      <c r="H42" s="1958" t="s">
        <v>728</v>
      </c>
      <c r="I42" s="1958">
        <v>0</v>
      </c>
      <c r="J42" s="1962">
        <v>11208693.09</v>
      </c>
      <c r="K42" s="1962">
        <v>6929872.4100000001</v>
      </c>
      <c r="L42" s="1958">
        <v>0</v>
      </c>
    </row>
    <row r="43" spans="1:12">
      <c r="A43" s="1958" t="s">
        <v>877</v>
      </c>
      <c r="B43" s="1958">
        <v>187</v>
      </c>
      <c r="C43" s="1958">
        <v>2023</v>
      </c>
      <c r="D43" s="1958">
        <v>12</v>
      </c>
      <c r="E43" s="1958">
        <v>42</v>
      </c>
      <c r="F43" s="1958">
        <v>0</v>
      </c>
      <c r="G43" s="1958" t="s">
        <v>1012</v>
      </c>
      <c r="H43" s="1958" t="s">
        <v>836</v>
      </c>
      <c r="I43" s="1958">
        <v>0</v>
      </c>
      <c r="J43" s="1962">
        <v>31879207.07</v>
      </c>
      <c r="K43" s="1962">
        <v>38520486.530000001</v>
      </c>
      <c r="L43" s="1958">
        <v>0</v>
      </c>
    </row>
    <row r="44" spans="1:12">
      <c r="A44" s="1958" t="s">
        <v>877</v>
      </c>
      <c r="B44" s="1958">
        <v>187</v>
      </c>
      <c r="C44" s="1958">
        <v>2023</v>
      </c>
      <c r="D44" s="1958">
        <v>12</v>
      </c>
      <c r="E44" s="1958">
        <v>43</v>
      </c>
      <c r="F44" s="1958">
        <v>0</v>
      </c>
      <c r="G44" s="1958" t="s">
        <v>1011</v>
      </c>
      <c r="H44" s="1958" t="s">
        <v>728</v>
      </c>
      <c r="I44" s="1958">
        <v>0</v>
      </c>
      <c r="J44" s="1962">
        <v>22318891.52</v>
      </c>
      <c r="K44" s="1962">
        <v>19663016.66</v>
      </c>
      <c r="L44" s="1958">
        <v>0</v>
      </c>
    </row>
    <row r="45" spans="1:12">
      <c r="A45" s="1958" t="s">
        <v>877</v>
      </c>
      <c r="B45" s="1958">
        <v>187</v>
      </c>
      <c r="C45" s="1958">
        <v>2023</v>
      </c>
      <c r="D45" s="1958">
        <v>12</v>
      </c>
      <c r="E45" s="1958">
        <v>44</v>
      </c>
      <c r="F45" s="1958">
        <v>0</v>
      </c>
      <c r="G45" s="1958" t="s">
        <v>1010</v>
      </c>
      <c r="H45" s="1958" t="s">
        <v>728</v>
      </c>
      <c r="I45" s="1958">
        <v>0</v>
      </c>
      <c r="J45" s="1962">
        <v>-0.62</v>
      </c>
      <c r="K45" s="1962">
        <v>-0.25</v>
      </c>
      <c r="L45" s="1958">
        <v>0</v>
      </c>
    </row>
    <row r="46" spans="1:12">
      <c r="A46" s="1958" t="s">
        <v>877</v>
      </c>
      <c r="B46" s="1958">
        <v>187</v>
      </c>
      <c r="C46" s="1958">
        <v>2023</v>
      </c>
      <c r="D46" s="1958">
        <v>12</v>
      </c>
      <c r="E46" s="1958">
        <v>45</v>
      </c>
      <c r="F46" s="1958">
        <v>0</v>
      </c>
      <c r="G46" s="1958" t="s">
        <v>1009</v>
      </c>
      <c r="H46" s="1958" t="s">
        <v>728</v>
      </c>
      <c r="I46" s="1958">
        <v>0</v>
      </c>
      <c r="J46" s="1958">
        <v>0</v>
      </c>
      <c r="K46" s="1958">
        <v>0</v>
      </c>
      <c r="L46" s="1958">
        <v>0</v>
      </c>
    </row>
    <row r="47" spans="1:12">
      <c r="A47" s="1958" t="s">
        <v>877</v>
      </c>
      <c r="B47" s="1958">
        <v>187</v>
      </c>
      <c r="C47" s="1958">
        <v>2023</v>
      </c>
      <c r="D47" s="1958">
        <v>12</v>
      </c>
      <c r="E47" s="1958">
        <v>46</v>
      </c>
      <c r="F47" s="1958">
        <v>0</v>
      </c>
      <c r="G47" s="1958" t="s">
        <v>1008</v>
      </c>
      <c r="H47" s="1958" t="s">
        <v>728</v>
      </c>
      <c r="I47" s="1958">
        <v>0</v>
      </c>
      <c r="J47" s="1958">
        <v>0</v>
      </c>
      <c r="K47" s="1958">
        <v>0</v>
      </c>
      <c r="L47" s="1958">
        <v>0</v>
      </c>
    </row>
    <row r="48" spans="1:12">
      <c r="A48" s="1958" t="s">
        <v>877</v>
      </c>
      <c r="B48" s="1958">
        <v>187</v>
      </c>
      <c r="C48" s="1958">
        <v>2023</v>
      </c>
      <c r="D48" s="1958">
        <v>12</v>
      </c>
      <c r="E48" s="1958">
        <v>47</v>
      </c>
      <c r="F48" s="1958">
        <v>0</v>
      </c>
      <c r="G48" s="1958" t="s">
        <v>1007</v>
      </c>
      <c r="H48" s="1958" t="s">
        <v>728</v>
      </c>
      <c r="I48" s="1958">
        <v>0</v>
      </c>
      <c r="J48" s="1958">
        <v>40534.410000000003</v>
      </c>
      <c r="K48" s="1958">
        <v>202211.01</v>
      </c>
      <c r="L48" s="1958">
        <v>0</v>
      </c>
    </row>
    <row r="49" spans="1:12">
      <c r="A49" s="1958" t="s">
        <v>877</v>
      </c>
      <c r="B49" s="1958">
        <v>187</v>
      </c>
      <c r="C49" s="1958">
        <v>2023</v>
      </c>
      <c r="D49" s="1958">
        <v>12</v>
      </c>
      <c r="E49" s="1958">
        <v>48</v>
      </c>
      <c r="F49" s="1958">
        <v>0</v>
      </c>
      <c r="G49" s="1958" t="s">
        <v>1006</v>
      </c>
      <c r="H49" s="1958" t="s">
        <v>728</v>
      </c>
      <c r="I49" s="1958">
        <v>0</v>
      </c>
      <c r="J49" s="1958">
        <v>99744897.370000005</v>
      </c>
      <c r="K49" s="1958">
        <v>84650630.219999999</v>
      </c>
      <c r="L49" s="1958">
        <v>0</v>
      </c>
    </row>
    <row r="50" spans="1:12">
      <c r="A50" s="1958" t="s">
        <v>877</v>
      </c>
      <c r="B50" s="1958">
        <v>187</v>
      </c>
      <c r="C50" s="1958">
        <v>2023</v>
      </c>
      <c r="D50" s="1958">
        <v>12</v>
      </c>
      <c r="E50" s="1958">
        <v>49</v>
      </c>
      <c r="F50" s="1958">
        <v>0</v>
      </c>
      <c r="G50" s="1958" t="s">
        <v>1005</v>
      </c>
      <c r="H50" s="1958" t="s">
        <v>728</v>
      </c>
      <c r="I50" s="1958">
        <v>0</v>
      </c>
      <c r="J50" s="1958">
        <v>4490212.22</v>
      </c>
      <c r="K50" s="1958">
        <v>4348775.79</v>
      </c>
      <c r="L50" s="1958">
        <v>0</v>
      </c>
    </row>
    <row r="51" spans="1:12">
      <c r="A51" s="1958" t="s">
        <v>877</v>
      </c>
      <c r="B51" s="1958">
        <v>187</v>
      </c>
      <c r="C51" s="1958">
        <v>2023</v>
      </c>
      <c r="D51" s="1958">
        <v>12</v>
      </c>
      <c r="E51" s="1958">
        <v>50</v>
      </c>
      <c r="F51" s="1958">
        <v>0</v>
      </c>
      <c r="G51" s="1958" t="s">
        <v>1004</v>
      </c>
      <c r="H51" s="1958" t="s">
        <v>728</v>
      </c>
      <c r="I51" s="1958">
        <v>0</v>
      </c>
      <c r="J51" s="1958">
        <v>35118959.25</v>
      </c>
      <c r="K51" s="1958">
        <v>34802627.130000003</v>
      </c>
      <c r="L51" s="1958">
        <v>0</v>
      </c>
    </row>
    <row r="52" spans="1:12">
      <c r="A52" s="1958" t="s">
        <v>877</v>
      </c>
      <c r="B52" s="1958">
        <v>187</v>
      </c>
      <c r="C52" s="1958">
        <v>2023</v>
      </c>
      <c r="D52" s="1958">
        <v>12</v>
      </c>
      <c r="E52" s="1958">
        <v>51</v>
      </c>
      <c r="F52" s="1958">
        <v>0</v>
      </c>
      <c r="G52" s="1958" t="s">
        <v>1003</v>
      </c>
      <c r="H52" s="1958" t="s">
        <v>728</v>
      </c>
      <c r="I52" s="1958">
        <v>0</v>
      </c>
      <c r="J52" s="1958">
        <v>17902180</v>
      </c>
      <c r="K52" s="1958">
        <v>7891963</v>
      </c>
      <c r="L52" s="1958">
        <v>0</v>
      </c>
    </row>
    <row r="53" spans="1:12">
      <c r="A53" s="1958" t="s">
        <v>877</v>
      </c>
      <c r="B53" s="1958">
        <v>187</v>
      </c>
      <c r="C53" s="1958">
        <v>2023</v>
      </c>
      <c r="D53" s="1958">
        <v>12</v>
      </c>
      <c r="E53" s="1958">
        <v>52</v>
      </c>
      <c r="F53" s="1958">
        <v>0</v>
      </c>
      <c r="G53" s="1958" t="s">
        <v>1002</v>
      </c>
      <c r="H53" s="1958" t="s">
        <v>728</v>
      </c>
      <c r="I53" s="1958">
        <v>0</v>
      </c>
      <c r="J53" s="1958">
        <v>0</v>
      </c>
      <c r="K53" s="1958">
        <v>0</v>
      </c>
      <c r="L53" s="1958">
        <v>0</v>
      </c>
    </row>
    <row r="54" spans="1:12">
      <c r="A54" s="1958" t="s">
        <v>877</v>
      </c>
      <c r="B54" s="1958">
        <v>187</v>
      </c>
      <c r="C54" s="1958">
        <v>2023</v>
      </c>
      <c r="D54" s="1958">
        <v>12</v>
      </c>
      <c r="E54" s="1958">
        <v>53</v>
      </c>
      <c r="F54" s="1958">
        <v>0</v>
      </c>
      <c r="G54" s="1958" t="s">
        <v>1001</v>
      </c>
      <c r="H54" s="1958" t="s">
        <v>728</v>
      </c>
      <c r="I54" s="1958">
        <v>0</v>
      </c>
      <c r="J54" s="1958">
        <v>0</v>
      </c>
      <c r="K54" s="1958">
        <v>0</v>
      </c>
      <c r="L54" s="1958">
        <v>0</v>
      </c>
    </row>
    <row r="55" spans="1:12">
      <c r="A55" s="1958" t="s">
        <v>877</v>
      </c>
      <c r="B55" s="1958">
        <v>187</v>
      </c>
      <c r="C55" s="1958">
        <v>2023</v>
      </c>
      <c r="D55" s="1958">
        <v>12</v>
      </c>
      <c r="E55" s="1958">
        <v>54</v>
      </c>
      <c r="F55" s="1958">
        <v>0</v>
      </c>
      <c r="G55" s="1958" t="s">
        <v>1000</v>
      </c>
      <c r="H55" s="1958" t="s">
        <v>728</v>
      </c>
      <c r="I55" s="1958">
        <v>0</v>
      </c>
      <c r="J55" s="1962">
        <v>672000682.41999996</v>
      </c>
      <c r="K55" s="1962">
        <v>839985689.04999983</v>
      </c>
      <c r="L55" s="1958">
        <v>0</v>
      </c>
    </row>
    <row r="56" spans="1:12">
      <c r="A56" s="1958" t="s">
        <v>877</v>
      </c>
      <c r="B56" s="1958">
        <v>187</v>
      </c>
      <c r="C56" s="1958">
        <v>2023</v>
      </c>
      <c r="D56" s="1958">
        <v>12</v>
      </c>
      <c r="E56" s="1958">
        <v>55</v>
      </c>
      <c r="F56" s="1958">
        <v>0</v>
      </c>
      <c r="G56" s="1958" t="s">
        <v>439</v>
      </c>
      <c r="H56" s="1958" t="s">
        <v>728</v>
      </c>
      <c r="I56" s="1958">
        <v>0</v>
      </c>
      <c r="J56" s="1958">
        <v>0</v>
      </c>
      <c r="K56" s="1958">
        <v>0</v>
      </c>
      <c r="L56" s="1958">
        <v>0</v>
      </c>
    </row>
    <row r="57" spans="1:12">
      <c r="A57" s="1958" t="s">
        <v>877</v>
      </c>
      <c r="B57" s="1958">
        <v>187</v>
      </c>
      <c r="C57" s="1958">
        <v>2023</v>
      </c>
      <c r="D57" s="1958">
        <v>12</v>
      </c>
      <c r="E57" s="1958">
        <v>56</v>
      </c>
      <c r="F57" s="1958">
        <v>0</v>
      </c>
      <c r="G57" s="1958" t="s">
        <v>999</v>
      </c>
      <c r="H57" s="1958" t="s">
        <v>728</v>
      </c>
      <c r="I57" s="1958">
        <v>0</v>
      </c>
      <c r="J57" s="1958">
        <v>4436512.88</v>
      </c>
      <c r="K57" s="1958">
        <v>4211506.34</v>
      </c>
      <c r="L57" s="1958">
        <v>0</v>
      </c>
    </row>
    <row r="58" spans="1:12">
      <c r="A58" s="1958" t="s">
        <v>877</v>
      </c>
      <c r="B58" s="1958">
        <v>187</v>
      </c>
      <c r="C58" s="1958">
        <v>2023</v>
      </c>
      <c r="D58" s="1958">
        <v>12</v>
      </c>
      <c r="E58" s="1958">
        <v>57</v>
      </c>
      <c r="F58" s="1958">
        <v>0</v>
      </c>
      <c r="G58" s="1958" t="s">
        <v>998</v>
      </c>
      <c r="H58" s="1958" t="s">
        <v>997</v>
      </c>
      <c r="I58" s="1958">
        <v>0</v>
      </c>
      <c r="J58" s="1958">
        <v>28233162.039999999</v>
      </c>
      <c r="K58" s="1958">
        <v>28784445.039999999</v>
      </c>
      <c r="L58" s="1958">
        <v>0</v>
      </c>
    </row>
    <row r="59" spans="1:12">
      <c r="A59" s="1958" t="s">
        <v>877</v>
      </c>
      <c r="B59" s="1958">
        <v>187</v>
      </c>
      <c r="C59" s="1958">
        <v>2023</v>
      </c>
      <c r="D59" s="1958">
        <v>12</v>
      </c>
      <c r="E59" s="1958">
        <v>58</v>
      </c>
      <c r="F59" s="1958">
        <v>0</v>
      </c>
      <c r="G59" s="1958" t="s">
        <v>996</v>
      </c>
      <c r="H59" s="1958" t="s">
        <v>728</v>
      </c>
      <c r="I59" s="1958">
        <v>0</v>
      </c>
      <c r="J59" s="1958">
        <v>0</v>
      </c>
      <c r="K59" s="1958">
        <v>0</v>
      </c>
      <c r="L59" s="1958">
        <v>0</v>
      </c>
    </row>
    <row r="60" spans="1:12">
      <c r="A60" s="1958" t="s">
        <v>877</v>
      </c>
      <c r="B60" s="1958">
        <v>187</v>
      </c>
      <c r="C60" s="1958">
        <v>2023</v>
      </c>
      <c r="D60" s="1958">
        <v>12</v>
      </c>
      <c r="E60" s="1958">
        <v>59</v>
      </c>
      <c r="F60" s="1958">
        <v>0</v>
      </c>
      <c r="G60" s="1958" t="s">
        <v>995</v>
      </c>
      <c r="H60" s="1958" t="s">
        <v>994</v>
      </c>
      <c r="I60" s="1958">
        <v>0</v>
      </c>
      <c r="J60" s="1962">
        <v>32918242.530000001</v>
      </c>
      <c r="K60" s="1962">
        <v>48402601.980000004</v>
      </c>
      <c r="L60" s="1958">
        <v>0</v>
      </c>
    </row>
    <row r="61" spans="1:12">
      <c r="A61" s="1958" t="s">
        <v>877</v>
      </c>
      <c r="B61" s="1958">
        <v>187</v>
      </c>
      <c r="C61" s="1958">
        <v>2023</v>
      </c>
      <c r="D61" s="1958">
        <v>12</v>
      </c>
      <c r="E61" s="1958">
        <v>60</v>
      </c>
      <c r="F61" s="1958">
        <v>0</v>
      </c>
      <c r="G61" s="1958" t="s">
        <v>993</v>
      </c>
      <c r="H61" s="1958" t="s">
        <v>992</v>
      </c>
      <c r="I61" s="1958">
        <v>0</v>
      </c>
      <c r="J61" s="1962">
        <v>479233915.16999996</v>
      </c>
      <c r="K61" s="1962">
        <v>525409544.92000002</v>
      </c>
      <c r="L61" s="1958">
        <v>0</v>
      </c>
    </row>
    <row r="62" spans="1:12">
      <c r="A62" s="1958" t="s">
        <v>877</v>
      </c>
      <c r="B62" s="1958">
        <v>187</v>
      </c>
      <c r="C62" s="1958">
        <v>2023</v>
      </c>
      <c r="D62" s="1958">
        <v>12</v>
      </c>
      <c r="E62" s="1958">
        <v>61</v>
      </c>
      <c r="F62" s="1958">
        <v>0</v>
      </c>
      <c r="G62" s="1958" t="s">
        <v>991</v>
      </c>
      <c r="H62" s="1958" t="s">
        <v>728</v>
      </c>
      <c r="I62" s="1958">
        <v>0</v>
      </c>
      <c r="J62" s="1962">
        <v>942383.92</v>
      </c>
      <c r="K62" s="1962">
        <v>1059748.3400000001</v>
      </c>
      <c r="L62" s="1958">
        <v>0</v>
      </c>
    </row>
    <row r="63" spans="1:12">
      <c r="A63" s="1958" t="s">
        <v>877</v>
      </c>
      <c r="B63" s="1958">
        <v>187</v>
      </c>
      <c r="C63" s="1958">
        <v>2023</v>
      </c>
      <c r="D63" s="1958">
        <v>12</v>
      </c>
      <c r="E63" s="1958">
        <v>62</v>
      </c>
      <c r="F63" s="1958">
        <v>0</v>
      </c>
      <c r="G63" s="1958" t="s">
        <v>990</v>
      </c>
      <c r="H63" s="1958" t="s">
        <v>989</v>
      </c>
      <c r="I63" s="1958">
        <v>0</v>
      </c>
      <c r="J63" s="1958">
        <v>0</v>
      </c>
      <c r="K63" s="1958">
        <v>0</v>
      </c>
      <c r="L63" s="1958">
        <v>0</v>
      </c>
    </row>
    <row r="64" spans="1:12">
      <c r="A64" s="1961" t="s">
        <v>877</v>
      </c>
      <c r="B64" s="1961">
        <v>187</v>
      </c>
      <c r="C64" s="1958">
        <v>2023</v>
      </c>
      <c r="D64" s="1961">
        <v>12</v>
      </c>
      <c r="E64" s="1961">
        <v>63</v>
      </c>
      <c r="F64" s="1961">
        <v>0</v>
      </c>
      <c r="G64" s="1961" t="s">
        <v>988</v>
      </c>
      <c r="H64" s="1961" t="s">
        <v>728</v>
      </c>
      <c r="I64" s="1961">
        <v>0</v>
      </c>
      <c r="J64" s="1961">
        <v>653219869.71000004</v>
      </c>
      <c r="K64" s="1958">
        <v>636821684.71000004</v>
      </c>
      <c r="L64" s="1958">
        <v>0</v>
      </c>
    </row>
    <row r="65" spans="1:12">
      <c r="A65" s="1958" t="s">
        <v>877</v>
      </c>
      <c r="B65" s="1958">
        <v>187</v>
      </c>
      <c r="C65" s="1958">
        <v>2023</v>
      </c>
      <c r="D65" s="1958">
        <v>12</v>
      </c>
      <c r="E65" s="1958">
        <v>64</v>
      </c>
      <c r="F65" s="1958">
        <v>0</v>
      </c>
      <c r="G65" s="1958" t="s">
        <v>987</v>
      </c>
      <c r="H65" s="1958" t="s">
        <v>728</v>
      </c>
      <c r="I65" s="1958">
        <v>0</v>
      </c>
      <c r="J65" s="1958">
        <v>256710715.16</v>
      </c>
      <c r="K65" s="1958">
        <v>285122698.97000003</v>
      </c>
      <c r="L65" s="1958">
        <v>0</v>
      </c>
    </row>
    <row r="66" spans="1:12">
      <c r="A66" s="1958" t="s">
        <v>877</v>
      </c>
      <c r="B66" s="1958">
        <v>187</v>
      </c>
      <c r="C66" s="1958">
        <v>2023</v>
      </c>
      <c r="D66" s="1958">
        <v>12</v>
      </c>
      <c r="E66" s="1958">
        <v>65</v>
      </c>
      <c r="F66" s="1958">
        <v>0</v>
      </c>
      <c r="G66" s="1958" t="s">
        <v>986</v>
      </c>
      <c r="H66" s="1958" t="s">
        <v>728</v>
      </c>
      <c r="I66" s="1958">
        <v>0</v>
      </c>
      <c r="J66" s="1958">
        <v>1455694801.4100001</v>
      </c>
      <c r="K66" s="1958">
        <v>1529812230.3</v>
      </c>
      <c r="L66" s="1958">
        <v>0</v>
      </c>
    </row>
    <row r="67" spans="1:12">
      <c r="A67" s="1958" t="s">
        <v>877</v>
      </c>
      <c r="B67" s="1958">
        <v>187</v>
      </c>
      <c r="C67" s="1958">
        <v>2023</v>
      </c>
      <c r="D67" s="1958">
        <v>12</v>
      </c>
      <c r="E67" s="1958">
        <v>66</v>
      </c>
      <c r="F67" s="1958">
        <v>0</v>
      </c>
      <c r="G67" s="1958" t="s">
        <v>985</v>
      </c>
      <c r="H67" s="1958" t="s">
        <v>728</v>
      </c>
      <c r="I67" s="1958">
        <v>0</v>
      </c>
      <c r="J67" s="1958">
        <v>7314839919.0100002</v>
      </c>
      <c r="K67" s="1958">
        <v>7162742914.4899988</v>
      </c>
      <c r="L67" s="1958">
        <v>0</v>
      </c>
    </row>
  </sheetData>
  <pageMargins left="0.75" right="0.75" top="1" bottom="1" header="0.5" footer="0.5"/>
  <pageSetup orientation="landscape" horizontalDpi="1200" verticalDpi="1200" r:id="rId1"/>
  <customProperties>
    <customPr name="xxe4aPID" r:id="rId2"/>
  </customPropertie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EDE62-3A18-43B2-A23A-A588763A2457}">
  <sheetPr codeName="Sheet46">
    <tabColor rgb="FF92D050"/>
  </sheetPr>
  <dimension ref="A1:X79"/>
  <sheetViews>
    <sheetView topLeftCell="A2" workbookViewId="0">
      <selection activeCell="D400" sqref="D400"/>
    </sheetView>
  </sheetViews>
  <sheetFormatPr defaultColWidth="9" defaultRowHeight="12.75"/>
  <cols>
    <col min="1" max="1" width="14.125" style="1958" bestFit="1" customWidth="1"/>
    <col min="2" max="2" width="6.125" style="1958" bestFit="1" customWidth="1"/>
    <col min="3" max="3" width="7.25" style="1958" bestFit="1" customWidth="1"/>
    <col min="4" max="4" width="8.125" style="1958" bestFit="1" customWidth="1"/>
    <col min="5" max="5" width="9.625" style="1958" bestFit="1" customWidth="1"/>
    <col min="6" max="6" width="10.625" style="1958" bestFit="1" customWidth="1"/>
    <col min="7" max="7" width="55.5" style="1958" bestFit="1" customWidth="1"/>
    <col min="8" max="9" width="14.625" style="1963" bestFit="1" customWidth="1"/>
    <col min="10" max="10" width="9.375" style="1963" bestFit="1" customWidth="1"/>
    <col min="11" max="11" width="9.75" style="1963" bestFit="1" customWidth="1"/>
    <col min="12" max="12" width="13.25" style="1963" bestFit="1" customWidth="1"/>
    <col min="13" max="13" width="11.75" style="1958" bestFit="1" customWidth="1"/>
    <col min="14" max="14" width="10.125" style="1958" bestFit="1" customWidth="1"/>
    <col min="15" max="15" width="12.25" style="1958" bestFit="1" customWidth="1"/>
    <col min="16" max="16" width="13" style="1958" bestFit="1" customWidth="1"/>
    <col min="17" max="17" width="12.25" style="1958" bestFit="1" customWidth="1"/>
    <col min="18" max="18" width="13" style="1958" bestFit="1" customWidth="1"/>
    <col min="19" max="19" width="12.25" style="1958" bestFit="1" customWidth="1"/>
    <col min="20" max="20" width="13" style="1958" bestFit="1" customWidth="1"/>
    <col min="21" max="21" width="12.25" style="1958" bestFit="1" customWidth="1"/>
    <col min="22" max="22" width="13" style="1958" bestFit="1" customWidth="1"/>
    <col min="23" max="23" width="12.25" style="1958" bestFit="1" customWidth="1"/>
    <col min="24" max="24" width="10.25" style="1958" bestFit="1" customWidth="1"/>
    <col min="25" max="16384" width="9" style="1958"/>
  </cols>
  <sheetData>
    <row r="1" spans="1:24">
      <c r="A1" s="1958" t="s">
        <v>984</v>
      </c>
      <c r="B1" s="1958" t="s">
        <v>983</v>
      </c>
      <c r="C1" s="1958" t="s">
        <v>982</v>
      </c>
      <c r="D1" s="1958" t="s">
        <v>981</v>
      </c>
      <c r="E1" s="1958" t="s">
        <v>980</v>
      </c>
      <c r="F1" s="1958" t="s">
        <v>979</v>
      </c>
      <c r="G1" s="1958" t="s">
        <v>1159</v>
      </c>
      <c r="H1" s="1963" t="s">
        <v>1158</v>
      </c>
      <c r="I1" s="1963" t="s">
        <v>1157</v>
      </c>
      <c r="J1" s="1963" t="s">
        <v>1156</v>
      </c>
      <c r="K1" s="1963" t="s">
        <v>1155</v>
      </c>
      <c r="L1" s="1963" t="s">
        <v>1154</v>
      </c>
      <c r="M1" s="1958" t="s">
        <v>1153</v>
      </c>
      <c r="N1" s="1958" t="s">
        <v>1152</v>
      </c>
      <c r="O1" s="1958" t="s">
        <v>1151</v>
      </c>
      <c r="P1" s="1958" t="s">
        <v>1150</v>
      </c>
      <c r="Q1" s="1958" t="s">
        <v>1149</v>
      </c>
      <c r="R1" s="1958" t="s">
        <v>1148</v>
      </c>
      <c r="S1" s="1958" t="s">
        <v>1147</v>
      </c>
      <c r="T1" s="1958" t="s">
        <v>1146</v>
      </c>
      <c r="U1" s="1958" t="s">
        <v>1145</v>
      </c>
      <c r="V1" s="1958" t="s">
        <v>1144</v>
      </c>
      <c r="W1" s="1958" t="s">
        <v>1143</v>
      </c>
      <c r="X1" s="1958" t="s">
        <v>1142</v>
      </c>
    </row>
    <row r="2" spans="1:24">
      <c r="A2" s="1958" t="s">
        <v>877</v>
      </c>
      <c r="B2" s="1958">
        <v>187</v>
      </c>
      <c r="C2" s="1958">
        <v>2023</v>
      </c>
      <c r="D2" s="1958">
        <v>12</v>
      </c>
      <c r="E2" s="1958">
        <v>1</v>
      </c>
      <c r="F2" s="1958">
        <v>0</v>
      </c>
      <c r="G2" s="1958" t="s">
        <v>1141</v>
      </c>
      <c r="H2" s="1963">
        <v>0</v>
      </c>
      <c r="I2" s="1963">
        <v>0</v>
      </c>
      <c r="J2" s="1963">
        <v>0</v>
      </c>
      <c r="K2" s="1963">
        <v>0</v>
      </c>
      <c r="L2" s="1963">
        <v>0</v>
      </c>
      <c r="M2" s="1958">
        <v>0</v>
      </c>
      <c r="N2" s="1958">
        <v>0</v>
      </c>
      <c r="O2" s="1958">
        <v>0</v>
      </c>
      <c r="P2" s="1958">
        <v>0</v>
      </c>
      <c r="Q2" s="1958">
        <v>0</v>
      </c>
      <c r="R2" s="1958">
        <v>0</v>
      </c>
      <c r="S2" s="1958">
        <v>0</v>
      </c>
      <c r="T2" s="1958">
        <v>0</v>
      </c>
      <c r="U2" s="1958">
        <v>0</v>
      </c>
      <c r="V2" s="1958">
        <v>0</v>
      </c>
      <c r="W2" s="1958">
        <v>0</v>
      </c>
      <c r="X2" s="1958" t="s">
        <v>728</v>
      </c>
    </row>
    <row r="3" spans="1:24">
      <c r="A3" s="1958" t="s">
        <v>877</v>
      </c>
      <c r="B3" s="1958">
        <v>187</v>
      </c>
      <c r="C3" s="1958">
        <v>2023</v>
      </c>
      <c r="D3" s="1958">
        <v>12</v>
      </c>
      <c r="E3" s="1958">
        <v>2</v>
      </c>
      <c r="F3" s="1958">
        <v>0</v>
      </c>
      <c r="G3" s="1958" t="s">
        <v>1140</v>
      </c>
      <c r="H3" s="1963">
        <v>1813140866.76</v>
      </c>
      <c r="I3" s="1963">
        <v>1753175600.71</v>
      </c>
      <c r="J3" s="1963">
        <v>0</v>
      </c>
      <c r="K3" s="1963">
        <v>0</v>
      </c>
      <c r="L3" s="1963">
        <v>1193674364.6300001</v>
      </c>
      <c r="M3" s="1958">
        <v>1167462735.29</v>
      </c>
      <c r="N3" s="1958">
        <v>619466502.13</v>
      </c>
      <c r="O3" s="1958">
        <v>585712865.41999996</v>
      </c>
      <c r="P3" s="1958">
        <v>0</v>
      </c>
      <c r="Q3" s="1958">
        <v>0</v>
      </c>
      <c r="R3" s="1958">
        <v>0</v>
      </c>
      <c r="S3" s="1958">
        <v>0</v>
      </c>
      <c r="T3" s="1958">
        <v>0</v>
      </c>
      <c r="U3" s="1958">
        <v>0</v>
      </c>
      <c r="V3" s="1958">
        <v>0</v>
      </c>
      <c r="W3" s="1958">
        <v>0</v>
      </c>
      <c r="X3" s="1958" t="s">
        <v>1139</v>
      </c>
    </row>
    <row r="4" spans="1:24">
      <c r="A4" s="1958" t="s">
        <v>877</v>
      </c>
      <c r="B4" s="1958">
        <v>187</v>
      </c>
      <c r="C4" s="1958">
        <v>2023</v>
      </c>
      <c r="D4" s="1958">
        <v>12</v>
      </c>
      <c r="E4" s="1958">
        <v>3</v>
      </c>
      <c r="F4" s="1958">
        <v>0</v>
      </c>
      <c r="G4" s="1958" t="s">
        <v>1138</v>
      </c>
      <c r="J4" s="1963">
        <v>0</v>
      </c>
      <c r="K4" s="1963">
        <v>0</v>
      </c>
      <c r="P4" s="1958">
        <v>0</v>
      </c>
      <c r="Q4" s="1958">
        <v>0</v>
      </c>
      <c r="R4" s="1958">
        <v>0</v>
      </c>
      <c r="S4" s="1958">
        <v>0</v>
      </c>
      <c r="T4" s="1958">
        <v>0</v>
      </c>
      <c r="U4" s="1958">
        <v>0</v>
      </c>
      <c r="V4" s="1958">
        <v>0</v>
      </c>
      <c r="W4" s="1958">
        <v>0</v>
      </c>
      <c r="X4" s="1958" t="s">
        <v>728</v>
      </c>
    </row>
    <row r="5" spans="1:24">
      <c r="A5" s="1958" t="s">
        <v>877</v>
      </c>
      <c r="B5" s="1958">
        <v>187</v>
      </c>
      <c r="C5" s="1958">
        <v>2023</v>
      </c>
      <c r="D5" s="1958">
        <v>12</v>
      </c>
      <c r="E5" s="1958">
        <v>4</v>
      </c>
      <c r="F5" s="1958">
        <v>0</v>
      </c>
      <c r="G5" s="1958" t="s">
        <v>1137</v>
      </c>
      <c r="H5" s="1963">
        <v>1129074477.8800001</v>
      </c>
      <c r="I5" s="1963">
        <v>1115606857.72</v>
      </c>
      <c r="J5" s="1963">
        <v>0</v>
      </c>
      <c r="K5" s="1963">
        <v>0</v>
      </c>
      <c r="L5" s="1963">
        <v>674026748.11000001</v>
      </c>
      <c r="M5" s="1962">
        <v>702986084.62</v>
      </c>
      <c r="N5" s="1962">
        <v>455047729.83999997</v>
      </c>
      <c r="O5" s="1962">
        <v>412620773.13</v>
      </c>
      <c r="P5" s="1958">
        <v>0</v>
      </c>
      <c r="Q5" s="1958">
        <v>0</v>
      </c>
      <c r="R5" s="1958">
        <v>0</v>
      </c>
      <c r="S5" s="1958">
        <v>0</v>
      </c>
      <c r="T5" s="1958">
        <v>0</v>
      </c>
      <c r="U5" s="1958">
        <v>0</v>
      </c>
      <c r="V5" s="1958">
        <v>0</v>
      </c>
      <c r="W5" s="1958">
        <v>0</v>
      </c>
      <c r="X5" s="1958" t="s">
        <v>72</v>
      </c>
    </row>
    <row r="6" spans="1:24">
      <c r="A6" s="1958" t="s">
        <v>877</v>
      </c>
      <c r="B6" s="1958">
        <v>187</v>
      </c>
      <c r="C6" s="1958">
        <v>2023</v>
      </c>
      <c r="D6" s="1958">
        <v>12</v>
      </c>
      <c r="E6" s="1958">
        <v>5</v>
      </c>
      <c r="F6" s="1958">
        <v>0</v>
      </c>
      <c r="G6" s="1958" t="s">
        <v>1136</v>
      </c>
      <c r="H6" s="1963">
        <v>86720954.840000004</v>
      </c>
      <c r="I6" s="1963">
        <v>90443526.379999995</v>
      </c>
      <c r="J6" s="1963">
        <v>0</v>
      </c>
      <c r="K6" s="1963">
        <v>0</v>
      </c>
      <c r="L6" s="1963">
        <v>71447477.079999998</v>
      </c>
      <c r="M6" s="1962">
        <v>73669736.920000002</v>
      </c>
      <c r="N6" s="1962">
        <v>15273477.76</v>
      </c>
      <c r="O6" s="1962">
        <v>16773789.460000001</v>
      </c>
      <c r="P6" s="1958">
        <v>0</v>
      </c>
      <c r="Q6" s="1958">
        <v>0</v>
      </c>
      <c r="R6" s="1958">
        <v>0</v>
      </c>
      <c r="S6" s="1958">
        <v>0</v>
      </c>
      <c r="T6" s="1958">
        <v>0</v>
      </c>
      <c r="U6" s="1958">
        <v>0</v>
      </c>
      <c r="V6" s="1958">
        <v>0</v>
      </c>
      <c r="W6" s="1958">
        <v>0</v>
      </c>
      <c r="X6" s="1958" t="s">
        <v>72</v>
      </c>
    </row>
    <row r="7" spans="1:24">
      <c r="A7" s="1958" t="s">
        <v>877</v>
      </c>
      <c r="B7" s="1958">
        <v>187</v>
      </c>
      <c r="C7" s="1958">
        <v>2023</v>
      </c>
      <c r="D7" s="1958">
        <v>12</v>
      </c>
      <c r="E7" s="1958">
        <v>6</v>
      </c>
      <c r="F7" s="1958">
        <v>0</v>
      </c>
      <c r="G7" s="1958" t="s">
        <v>1135</v>
      </c>
      <c r="H7" s="1963">
        <v>194611958.84999999</v>
      </c>
      <c r="I7" s="1963">
        <v>185002791.84999999</v>
      </c>
      <c r="J7" s="1963">
        <v>0</v>
      </c>
      <c r="K7" s="1963">
        <v>0</v>
      </c>
      <c r="L7" s="1963">
        <v>149272689.18000001</v>
      </c>
      <c r="M7" s="1962">
        <v>142463452.21000001</v>
      </c>
      <c r="N7" s="1962">
        <v>45339269.670000002</v>
      </c>
      <c r="O7" s="1962">
        <v>42539339.640000001</v>
      </c>
      <c r="P7" s="1958">
        <v>0</v>
      </c>
      <c r="Q7" s="1958">
        <v>0</v>
      </c>
      <c r="R7" s="1958">
        <v>0</v>
      </c>
      <c r="S7" s="1958">
        <v>0</v>
      </c>
      <c r="T7" s="1958">
        <v>0</v>
      </c>
      <c r="U7" s="1958">
        <v>0</v>
      </c>
      <c r="V7" s="1958">
        <v>0</v>
      </c>
      <c r="W7" s="1958">
        <v>0</v>
      </c>
      <c r="X7" s="1958" t="s">
        <v>1131</v>
      </c>
    </row>
    <row r="8" spans="1:24">
      <c r="A8" s="1958" t="s">
        <v>877</v>
      </c>
      <c r="B8" s="1958">
        <v>187</v>
      </c>
      <c r="C8" s="1958">
        <v>2023</v>
      </c>
      <c r="D8" s="1958">
        <v>12</v>
      </c>
      <c r="E8" s="1958">
        <v>7</v>
      </c>
      <c r="F8" s="1958">
        <v>0</v>
      </c>
      <c r="G8" s="1958" t="s">
        <v>1134</v>
      </c>
      <c r="H8" s="1963">
        <v>0</v>
      </c>
      <c r="I8" s="1963">
        <v>0</v>
      </c>
      <c r="J8" s="1963">
        <v>0</v>
      </c>
      <c r="K8" s="1963">
        <v>0</v>
      </c>
      <c r="L8" s="1963">
        <v>0</v>
      </c>
      <c r="M8" s="1958">
        <v>0</v>
      </c>
      <c r="N8" s="1958">
        <v>0</v>
      </c>
      <c r="O8" s="1958">
        <v>0</v>
      </c>
      <c r="P8" s="1958">
        <v>0</v>
      </c>
      <c r="Q8" s="1958">
        <v>0</v>
      </c>
      <c r="R8" s="1958">
        <v>0</v>
      </c>
      <c r="S8" s="1958">
        <v>0</v>
      </c>
      <c r="T8" s="1958">
        <v>0</v>
      </c>
      <c r="U8" s="1958">
        <v>0</v>
      </c>
      <c r="V8" s="1958">
        <v>0</v>
      </c>
      <c r="W8" s="1958">
        <v>0</v>
      </c>
      <c r="X8" s="1958" t="s">
        <v>1131</v>
      </c>
    </row>
    <row r="9" spans="1:24">
      <c r="A9" s="1958" t="s">
        <v>877</v>
      </c>
      <c r="B9" s="1958">
        <v>187</v>
      </c>
      <c r="C9" s="1958">
        <v>2023</v>
      </c>
      <c r="D9" s="1958">
        <v>12</v>
      </c>
      <c r="E9" s="1958">
        <v>8</v>
      </c>
      <c r="F9" s="1958">
        <v>0</v>
      </c>
      <c r="G9" s="1958" t="s">
        <v>1133</v>
      </c>
      <c r="H9" s="1963">
        <v>62239993.18</v>
      </c>
      <c r="I9" s="1963">
        <v>56467916.719999999</v>
      </c>
      <c r="J9" s="1963">
        <v>0</v>
      </c>
      <c r="K9" s="1963">
        <v>0</v>
      </c>
      <c r="L9" s="1963">
        <v>46738640.710000001</v>
      </c>
      <c r="M9" s="1962">
        <v>42661543.140000001</v>
      </c>
      <c r="N9" s="1962">
        <v>15501352.449999999</v>
      </c>
      <c r="O9" s="1962">
        <v>13806373.57</v>
      </c>
      <c r="P9" s="1958">
        <v>0</v>
      </c>
      <c r="Q9" s="1958">
        <v>0</v>
      </c>
      <c r="R9" s="1958">
        <v>0</v>
      </c>
      <c r="S9" s="1958">
        <v>0</v>
      </c>
      <c r="T9" s="1958">
        <v>0</v>
      </c>
      <c r="U9" s="1958">
        <v>0</v>
      </c>
      <c r="V9" s="1958">
        <v>0</v>
      </c>
      <c r="W9" s="1958">
        <v>0</v>
      </c>
      <c r="X9" s="1958" t="s">
        <v>1131</v>
      </c>
    </row>
    <row r="10" spans="1:24">
      <c r="A10" s="1958" t="s">
        <v>877</v>
      </c>
      <c r="B10" s="1958">
        <v>187</v>
      </c>
      <c r="C10" s="1958">
        <v>2023</v>
      </c>
      <c r="D10" s="1958">
        <v>12</v>
      </c>
      <c r="E10" s="1958">
        <v>9</v>
      </c>
      <c r="F10" s="1958">
        <v>0</v>
      </c>
      <c r="G10" s="1958" t="s">
        <v>1132</v>
      </c>
      <c r="H10" s="1963">
        <v>0</v>
      </c>
      <c r="I10" s="1963">
        <v>0.21</v>
      </c>
      <c r="J10" s="1963">
        <v>0</v>
      </c>
      <c r="K10" s="1963">
        <v>0</v>
      </c>
      <c r="L10" s="1963">
        <v>0</v>
      </c>
      <c r="M10" s="1958">
        <v>0.21</v>
      </c>
      <c r="N10" s="1958">
        <v>0</v>
      </c>
      <c r="O10" s="1958">
        <v>0</v>
      </c>
      <c r="P10" s="1958">
        <v>0</v>
      </c>
      <c r="Q10" s="1958">
        <v>0</v>
      </c>
      <c r="R10" s="1958">
        <v>0</v>
      </c>
      <c r="S10" s="1958">
        <v>0</v>
      </c>
      <c r="T10" s="1958">
        <v>0</v>
      </c>
      <c r="U10" s="1958">
        <v>0</v>
      </c>
      <c r="V10" s="1958">
        <v>0</v>
      </c>
      <c r="W10" s="1958">
        <v>0</v>
      </c>
      <c r="X10" s="1958" t="s">
        <v>1131</v>
      </c>
    </row>
    <row r="11" spans="1:24">
      <c r="A11" s="1958" t="s">
        <v>877</v>
      </c>
      <c r="B11" s="1958">
        <v>187</v>
      </c>
      <c r="C11" s="1958">
        <v>2023</v>
      </c>
      <c r="D11" s="1958">
        <v>12</v>
      </c>
      <c r="E11" s="1958">
        <v>10</v>
      </c>
      <c r="F11" s="1958">
        <v>0</v>
      </c>
      <c r="G11" s="1958" t="s">
        <v>1130</v>
      </c>
      <c r="H11" s="1963">
        <v>0</v>
      </c>
      <c r="I11" s="1963">
        <v>0</v>
      </c>
      <c r="J11" s="1963">
        <v>0</v>
      </c>
      <c r="K11" s="1963">
        <v>0</v>
      </c>
      <c r="L11" s="1963">
        <v>0</v>
      </c>
      <c r="M11" s="1958">
        <v>0</v>
      </c>
      <c r="N11" s="1958">
        <v>0</v>
      </c>
      <c r="O11" s="1958">
        <v>0</v>
      </c>
      <c r="P11" s="1958">
        <v>0</v>
      </c>
      <c r="Q11" s="1958">
        <v>0</v>
      </c>
      <c r="R11" s="1958">
        <v>0</v>
      </c>
      <c r="S11" s="1958">
        <v>0</v>
      </c>
      <c r="T11" s="1958">
        <v>0</v>
      </c>
      <c r="U11" s="1958">
        <v>0</v>
      </c>
      <c r="V11" s="1958">
        <v>0</v>
      </c>
      <c r="W11" s="1958">
        <v>0</v>
      </c>
      <c r="X11" s="1958" t="s">
        <v>728</v>
      </c>
    </row>
    <row r="12" spans="1:24">
      <c r="A12" s="1958" t="s">
        <v>877</v>
      </c>
      <c r="B12" s="1958">
        <v>187</v>
      </c>
      <c r="C12" s="1958">
        <v>2023</v>
      </c>
      <c r="D12" s="1958">
        <v>12</v>
      </c>
      <c r="E12" s="1958">
        <v>11</v>
      </c>
      <c r="F12" s="1958">
        <v>0</v>
      </c>
      <c r="G12" s="1958" t="s">
        <v>1129</v>
      </c>
      <c r="H12" s="1963">
        <v>0</v>
      </c>
      <c r="I12" s="1963">
        <v>0</v>
      </c>
      <c r="J12" s="1963">
        <v>0</v>
      </c>
      <c r="K12" s="1963">
        <v>0</v>
      </c>
      <c r="L12" s="1963">
        <v>0</v>
      </c>
      <c r="M12" s="1958">
        <v>0</v>
      </c>
      <c r="N12" s="1958">
        <v>0</v>
      </c>
      <c r="O12" s="1958">
        <v>0</v>
      </c>
      <c r="P12" s="1958">
        <v>0</v>
      </c>
      <c r="Q12" s="1958">
        <v>0</v>
      </c>
      <c r="R12" s="1958">
        <v>0</v>
      </c>
      <c r="S12" s="1958">
        <v>0</v>
      </c>
      <c r="T12" s="1958">
        <v>0</v>
      </c>
      <c r="U12" s="1958">
        <v>0</v>
      </c>
      <c r="V12" s="1958">
        <v>0</v>
      </c>
      <c r="W12" s="1958">
        <v>0</v>
      </c>
      <c r="X12" s="1958" t="s">
        <v>728</v>
      </c>
    </row>
    <row r="13" spans="1:24">
      <c r="A13" s="1958" t="s">
        <v>877</v>
      </c>
      <c r="B13" s="1958">
        <v>187</v>
      </c>
      <c r="C13" s="1958">
        <v>2023</v>
      </c>
      <c r="D13" s="1958">
        <v>12</v>
      </c>
      <c r="E13" s="1958">
        <v>12</v>
      </c>
      <c r="F13" s="1958">
        <v>0</v>
      </c>
      <c r="G13" s="1965" t="s">
        <v>1128</v>
      </c>
      <c r="H13" s="1964">
        <v>64155411.329999998</v>
      </c>
      <c r="I13" s="1964">
        <v>18495695.41</v>
      </c>
      <c r="J13" s="1964">
        <v>0</v>
      </c>
      <c r="K13" s="1964">
        <v>0</v>
      </c>
      <c r="L13" s="1964">
        <v>21751021.41</v>
      </c>
      <c r="M13" s="1962">
        <v>12678284.5</v>
      </c>
      <c r="N13" s="1958">
        <v>42404389.960000001</v>
      </c>
      <c r="O13" s="1962">
        <v>5817410.9199999999</v>
      </c>
      <c r="P13" s="1958">
        <v>0</v>
      </c>
      <c r="Q13" s="1958">
        <v>0</v>
      </c>
      <c r="R13" s="1958">
        <v>0</v>
      </c>
      <c r="S13" s="1958">
        <v>0</v>
      </c>
      <c r="T13" s="1958">
        <v>0</v>
      </c>
      <c r="U13" s="1958">
        <v>0</v>
      </c>
      <c r="V13" s="1958">
        <v>0</v>
      </c>
      <c r="W13" s="1958">
        <v>0</v>
      </c>
      <c r="X13" s="1958" t="s">
        <v>728</v>
      </c>
    </row>
    <row r="14" spans="1:24">
      <c r="A14" s="1958" t="s">
        <v>877</v>
      </c>
      <c r="B14" s="1958">
        <v>187</v>
      </c>
      <c r="C14" s="1958">
        <v>2023</v>
      </c>
      <c r="D14" s="1958">
        <v>12</v>
      </c>
      <c r="E14" s="1958">
        <v>13</v>
      </c>
      <c r="F14" s="1958">
        <v>0</v>
      </c>
      <c r="G14" s="1965" t="s">
        <v>1127</v>
      </c>
      <c r="H14" s="1964">
        <v>102019225.42</v>
      </c>
      <c r="I14" s="1964">
        <v>49733467.789999999</v>
      </c>
      <c r="J14" s="1964">
        <v>0</v>
      </c>
      <c r="K14" s="1964">
        <v>0</v>
      </c>
      <c r="L14" s="1964">
        <v>43048247.780000001</v>
      </c>
      <c r="M14" s="1962">
        <v>44548411.119999997</v>
      </c>
      <c r="N14" s="1962">
        <v>58970977.619999997</v>
      </c>
      <c r="O14" s="1962">
        <v>5185056.6500000004</v>
      </c>
      <c r="P14" s="1958">
        <v>0</v>
      </c>
      <c r="Q14" s="1958">
        <v>0</v>
      </c>
      <c r="R14" s="1958">
        <v>0</v>
      </c>
      <c r="S14" s="1958">
        <v>0</v>
      </c>
      <c r="T14" s="1958">
        <v>0</v>
      </c>
      <c r="U14" s="1958">
        <v>0</v>
      </c>
      <c r="V14" s="1958">
        <v>0</v>
      </c>
      <c r="W14" s="1958">
        <v>0</v>
      </c>
      <c r="X14" s="1958" t="s">
        <v>728</v>
      </c>
    </row>
    <row r="15" spans="1:24">
      <c r="A15" s="1958" t="s">
        <v>877</v>
      </c>
      <c r="B15" s="1958">
        <v>187</v>
      </c>
      <c r="C15" s="1958">
        <v>2023</v>
      </c>
      <c r="D15" s="1958">
        <v>12</v>
      </c>
      <c r="E15" s="1958">
        <v>14</v>
      </c>
      <c r="F15" s="1958">
        <v>0</v>
      </c>
      <c r="G15" s="1958" t="s">
        <v>1126</v>
      </c>
      <c r="H15" s="1963">
        <v>118141438.87</v>
      </c>
      <c r="I15" s="1963">
        <v>121401780.08</v>
      </c>
      <c r="J15" s="1963">
        <v>0</v>
      </c>
      <c r="K15" s="1963">
        <v>0</v>
      </c>
      <c r="L15" s="1963">
        <v>79882774.989999995</v>
      </c>
      <c r="M15" s="1962">
        <v>86410191.579999998</v>
      </c>
      <c r="N15" s="1962">
        <v>38258663.890000001</v>
      </c>
      <c r="O15" s="1962">
        <v>34991588.490000002</v>
      </c>
      <c r="P15" s="1958">
        <v>0</v>
      </c>
      <c r="Q15" s="1958">
        <v>0</v>
      </c>
      <c r="R15" s="1958">
        <v>0</v>
      </c>
      <c r="S15" s="1958">
        <v>0</v>
      </c>
      <c r="T15" s="1958">
        <v>0</v>
      </c>
      <c r="U15" s="1958">
        <v>0</v>
      </c>
      <c r="V15" s="1958">
        <v>0</v>
      </c>
      <c r="W15" s="1958">
        <v>0</v>
      </c>
      <c r="X15" s="1958" t="s">
        <v>836</v>
      </c>
    </row>
    <row r="16" spans="1:24">
      <c r="A16" s="1958" t="s">
        <v>877</v>
      </c>
      <c r="B16" s="1958">
        <v>187</v>
      </c>
      <c r="C16" s="1958">
        <v>2023</v>
      </c>
      <c r="D16" s="1958">
        <v>12</v>
      </c>
      <c r="E16" s="1958">
        <v>15</v>
      </c>
      <c r="F16" s="1958">
        <v>0</v>
      </c>
      <c r="G16" s="1958" t="s">
        <v>1125</v>
      </c>
      <c r="H16" s="1963">
        <v>2419168.54</v>
      </c>
      <c r="I16" s="1963">
        <v>-1018866</v>
      </c>
      <c r="J16" s="1963">
        <v>0</v>
      </c>
      <c r="K16" s="1963">
        <v>0</v>
      </c>
      <c r="L16" s="1963">
        <v>-7715051.9100000001</v>
      </c>
      <c r="M16" s="1958">
        <v>-3578734</v>
      </c>
      <c r="N16" s="1962">
        <v>10134220.449999999</v>
      </c>
      <c r="O16" s="1958">
        <v>2559868</v>
      </c>
      <c r="P16" s="1958">
        <v>0</v>
      </c>
      <c r="Q16" s="1958">
        <v>0</v>
      </c>
      <c r="R16" s="1958">
        <v>0</v>
      </c>
      <c r="S16" s="1958">
        <v>0</v>
      </c>
      <c r="T16" s="1958">
        <v>0</v>
      </c>
      <c r="U16" s="1958">
        <v>0</v>
      </c>
      <c r="V16" s="1958">
        <v>0</v>
      </c>
      <c r="W16" s="1958">
        <v>0</v>
      </c>
      <c r="X16" s="1958" t="s">
        <v>836</v>
      </c>
    </row>
    <row r="17" spans="1:24">
      <c r="A17" s="1958" t="s">
        <v>877</v>
      </c>
      <c r="B17" s="1958">
        <v>187</v>
      </c>
      <c r="C17" s="1958">
        <v>2023</v>
      </c>
      <c r="D17" s="1958">
        <v>12</v>
      </c>
      <c r="E17" s="1958">
        <v>16</v>
      </c>
      <c r="F17" s="1958">
        <v>0</v>
      </c>
      <c r="G17" s="1958" t="s">
        <v>1124</v>
      </c>
      <c r="H17" s="1963">
        <v>895264</v>
      </c>
      <c r="I17" s="1963">
        <v>789848</v>
      </c>
      <c r="J17" s="1963">
        <v>0</v>
      </c>
      <c r="K17" s="1963">
        <v>0</v>
      </c>
      <c r="L17" s="1963">
        <v>20224</v>
      </c>
      <c r="M17" s="1958">
        <v>-43263</v>
      </c>
      <c r="N17" s="1958">
        <v>875040</v>
      </c>
      <c r="O17" s="1958">
        <v>833111</v>
      </c>
      <c r="P17" s="1958">
        <v>0</v>
      </c>
      <c r="Q17" s="1958">
        <v>0</v>
      </c>
      <c r="R17" s="1958">
        <v>0</v>
      </c>
      <c r="S17" s="1958">
        <v>0</v>
      </c>
      <c r="T17" s="1958">
        <v>0</v>
      </c>
      <c r="U17" s="1958">
        <v>0</v>
      </c>
      <c r="V17" s="1958">
        <v>0</v>
      </c>
      <c r="W17" s="1958">
        <v>0</v>
      </c>
      <c r="X17" s="1958" t="s">
        <v>836</v>
      </c>
    </row>
    <row r="18" spans="1:24">
      <c r="A18" s="1958" t="s">
        <v>877</v>
      </c>
      <c r="B18" s="1958">
        <v>187</v>
      </c>
      <c r="C18" s="1958">
        <v>2023</v>
      </c>
      <c r="D18" s="1958">
        <v>12</v>
      </c>
      <c r="E18" s="1958">
        <v>17</v>
      </c>
      <c r="F18" s="1958">
        <v>0</v>
      </c>
      <c r="G18" s="1958" t="s">
        <v>1123</v>
      </c>
      <c r="H18" s="1963">
        <v>36404931.289999999</v>
      </c>
      <c r="I18" s="1963">
        <v>40312733.229999997</v>
      </c>
      <c r="J18" s="1963">
        <v>0</v>
      </c>
      <c r="K18" s="1963">
        <v>0</v>
      </c>
      <c r="L18" s="1963">
        <v>29355257.32</v>
      </c>
      <c r="M18" s="1962">
        <v>29270294.309999999</v>
      </c>
      <c r="N18" s="1962">
        <v>7049673.96</v>
      </c>
      <c r="O18" s="1962">
        <v>11042438.939999999</v>
      </c>
      <c r="P18" s="1958">
        <v>0</v>
      </c>
      <c r="Q18" s="1958">
        <v>0</v>
      </c>
      <c r="R18" s="1958">
        <v>0</v>
      </c>
      <c r="S18" s="1958">
        <v>0</v>
      </c>
      <c r="T18" s="1958">
        <v>0</v>
      </c>
      <c r="U18" s="1958">
        <v>0</v>
      </c>
      <c r="V18" s="1958">
        <v>0</v>
      </c>
      <c r="W18" s="1958">
        <v>0</v>
      </c>
      <c r="X18" s="1958" t="s">
        <v>1081</v>
      </c>
    </row>
    <row r="19" spans="1:24">
      <c r="A19" s="1958" t="s">
        <v>877</v>
      </c>
      <c r="B19" s="1958">
        <v>187</v>
      </c>
      <c r="C19" s="1958">
        <v>2023</v>
      </c>
      <c r="D19" s="1958">
        <v>12</v>
      </c>
      <c r="E19" s="1958">
        <v>18</v>
      </c>
      <c r="F19" s="1958">
        <v>0</v>
      </c>
      <c r="G19" s="1958" t="s">
        <v>1122</v>
      </c>
      <c r="H19" s="1963">
        <v>74741597.290000007</v>
      </c>
      <c r="I19" s="1963">
        <v>64172848.289999999</v>
      </c>
      <c r="J19" s="1963">
        <v>0</v>
      </c>
      <c r="K19" s="1963">
        <v>0</v>
      </c>
      <c r="L19" s="1963">
        <v>47088944.890000001</v>
      </c>
      <c r="M19" s="1962">
        <v>46062768.75</v>
      </c>
      <c r="N19" s="1962">
        <v>27652652.399999999</v>
      </c>
      <c r="O19" s="1962">
        <v>18110079.57</v>
      </c>
      <c r="P19" s="1958">
        <v>0</v>
      </c>
      <c r="Q19" s="1958">
        <v>0</v>
      </c>
      <c r="R19" s="1958">
        <v>0</v>
      </c>
      <c r="S19" s="1958">
        <v>0</v>
      </c>
      <c r="T19" s="1958">
        <v>0</v>
      </c>
      <c r="U19" s="1958">
        <v>0</v>
      </c>
      <c r="V19" s="1958">
        <v>0</v>
      </c>
      <c r="W19" s="1958">
        <v>0</v>
      </c>
      <c r="X19" s="1958" t="s">
        <v>1081</v>
      </c>
    </row>
    <row r="20" spans="1:24">
      <c r="A20" s="1958" t="s">
        <v>877</v>
      </c>
      <c r="B20" s="1958">
        <v>187</v>
      </c>
      <c r="C20" s="1958">
        <v>2023</v>
      </c>
      <c r="D20" s="1958">
        <v>12</v>
      </c>
      <c r="E20" s="1958">
        <v>19</v>
      </c>
      <c r="F20" s="1958">
        <v>0</v>
      </c>
      <c r="G20" s="1958" t="s">
        <v>1121</v>
      </c>
      <c r="H20" s="1963">
        <v>-551283</v>
      </c>
      <c r="I20" s="1963">
        <v>-528730</v>
      </c>
      <c r="J20" s="1963">
        <v>0</v>
      </c>
      <c r="K20" s="1963">
        <v>0</v>
      </c>
      <c r="L20" s="1963">
        <v>-546563</v>
      </c>
      <c r="M20" s="1958">
        <v>-528748</v>
      </c>
      <c r="N20" s="1958">
        <v>-4720</v>
      </c>
      <c r="O20" s="1958">
        <v>18</v>
      </c>
      <c r="P20" s="1958">
        <v>0</v>
      </c>
      <c r="Q20" s="1958">
        <v>0</v>
      </c>
      <c r="R20" s="1958">
        <v>0</v>
      </c>
      <c r="S20" s="1958">
        <v>0</v>
      </c>
      <c r="T20" s="1958">
        <v>0</v>
      </c>
      <c r="U20" s="1958">
        <v>0</v>
      </c>
      <c r="V20" s="1958">
        <v>0</v>
      </c>
      <c r="W20" s="1958">
        <v>0</v>
      </c>
      <c r="X20" s="1958" t="s">
        <v>1120</v>
      </c>
    </row>
    <row r="21" spans="1:24">
      <c r="A21" s="1958" t="s">
        <v>877</v>
      </c>
      <c r="B21" s="1958">
        <v>187</v>
      </c>
      <c r="C21" s="1958">
        <v>2023</v>
      </c>
      <c r="D21" s="1958">
        <v>12</v>
      </c>
      <c r="E21" s="1958">
        <v>20</v>
      </c>
      <c r="F21" s="1958">
        <v>0</v>
      </c>
      <c r="G21" s="1965" t="s">
        <v>1119</v>
      </c>
      <c r="H21" s="1964">
        <v>0</v>
      </c>
      <c r="I21" s="1964">
        <v>0</v>
      </c>
      <c r="J21" s="1964">
        <v>0</v>
      </c>
      <c r="K21" s="1964">
        <v>0</v>
      </c>
      <c r="L21" s="1964">
        <v>0</v>
      </c>
      <c r="M21" s="1958">
        <v>0</v>
      </c>
      <c r="N21" s="1958">
        <v>0</v>
      </c>
      <c r="O21" s="1958">
        <v>0</v>
      </c>
      <c r="P21" s="1958">
        <v>0</v>
      </c>
      <c r="Q21" s="1958">
        <v>0</v>
      </c>
      <c r="R21" s="1958">
        <v>0</v>
      </c>
      <c r="S21" s="1958">
        <v>0</v>
      </c>
      <c r="T21" s="1958">
        <v>0</v>
      </c>
      <c r="U21" s="1958">
        <v>0</v>
      </c>
      <c r="V21" s="1958">
        <v>0</v>
      </c>
      <c r="W21" s="1958">
        <v>0</v>
      </c>
      <c r="X21" s="1958" t="s">
        <v>728</v>
      </c>
    </row>
    <row r="22" spans="1:24">
      <c r="A22" s="1958" t="s">
        <v>877</v>
      </c>
      <c r="B22" s="1958">
        <v>187</v>
      </c>
      <c r="C22" s="1958">
        <v>2023</v>
      </c>
      <c r="D22" s="1958">
        <v>12</v>
      </c>
      <c r="E22" s="1958">
        <v>21</v>
      </c>
      <c r="F22" s="1958">
        <v>0</v>
      </c>
      <c r="G22" s="1965" t="s">
        <v>1118</v>
      </c>
      <c r="H22" s="1964">
        <v>0</v>
      </c>
      <c r="I22" s="1964">
        <v>0</v>
      </c>
      <c r="J22" s="1964">
        <v>0</v>
      </c>
      <c r="K22" s="1964">
        <v>0</v>
      </c>
      <c r="L22" s="1964">
        <v>0</v>
      </c>
      <c r="M22" s="1958">
        <v>0</v>
      </c>
      <c r="N22" s="1958">
        <v>0</v>
      </c>
      <c r="O22" s="1958">
        <v>0</v>
      </c>
      <c r="P22" s="1958">
        <v>0</v>
      </c>
      <c r="Q22" s="1958">
        <v>0</v>
      </c>
      <c r="R22" s="1958">
        <v>0</v>
      </c>
      <c r="S22" s="1958">
        <v>0</v>
      </c>
      <c r="T22" s="1958">
        <v>0</v>
      </c>
      <c r="U22" s="1958">
        <v>0</v>
      </c>
      <c r="V22" s="1958">
        <v>0</v>
      </c>
      <c r="W22" s="1958">
        <v>0</v>
      </c>
      <c r="X22" s="1958" t="s">
        <v>728</v>
      </c>
    </row>
    <row r="23" spans="1:24">
      <c r="A23" s="1958" t="s">
        <v>877</v>
      </c>
      <c r="B23" s="1958">
        <v>187</v>
      </c>
      <c r="C23" s="1958">
        <v>2023</v>
      </c>
      <c r="D23" s="1958">
        <v>12</v>
      </c>
      <c r="E23" s="1958">
        <v>22</v>
      </c>
      <c r="F23" s="1958">
        <v>0</v>
      </c>
      <c r="G23" s="1965" t="s">
        <v>1117</v>
      </c>
      <c r="H23" s="1964">
        <v>0</v>
      </c>
      <c r="I23" s="1964">
        <v>0</v>
      </c>
      <c r="J23" s="1964">
        <v>0</v>
      </c>
      <c r="K23" s="1964">
        <v>0</v>
      </c>
      <c r="L23" s="1964">
        <v>0</v>
      </c>
      <c r="M23" s="1958">
        <v>0</v>
      </c>
      <c r="N23" s="1958">
        <v>0</v>
      </c>
      <c r="O23" s="1958">
        <v>0</v>
      </c>
      <c r="P23" s="1958">
        <v>0</v>
      </c>
      <c r="Q23" s="1958">
        <v>0</v>
      </c>
      <c r="R23" s="1958">
        <v>0</v>
      </c>
      <c r="S23" s="1958">
        <v>0</v>
      </c>
      <c r="T23" s="1958">
        <v>0</v>
      </c>
      <c r="U23" s="1958">
        <v>0</v>
      </c>
      <c r="V23" s="1958">
        <v>0</v>
      </c>
      <c r="W23" s="1958">
        <v>0</v>
      </c>
      <c r="X23" s="1958" t="s">
        <v>728</v>
      </c>
    </row>
    <row r="24" spans="1:24">
      <c r="A24" s="1958" t="s">
        <v>877</v>
      </c>
      <c r="B24" s="1958">
        <v>187</v>
      </c>
      <c r="C24" s="1958">
        <v>2023</v>
      </c>
      <c r="D24" s="1958">
        <v>12</v>
      </c>
      <c r="E24" s="1958">
        <v>23</v>
      </c>
      <c r="F24" s="1958">
        <v>0</v>
      </c>
      <c r="G24" s="1965" t="s">
        <v>1116</v>
      </c>
      <c r="H24" s="1964">
        <v>0</v>
      </c>
      <c r="I24" s="1964">
        <v>0</v>
      </c>
      <c r="J24" s="1964">
        <v>0</v>
      </c>
      <c r="K24" s="1964">
        <v>0</v>
      </c>
      <c r="L24" s="1964">
        <v>0</v>
      </c>
      <c r="M24" s="1958">
        <v>0</v>
      </c>
      <c r="N24" s="1958">
        <v>0</v>
      </c>
      <c r="O24" s="1958">
        <v>0</v>
      </c>
      <c r="P24" s="1958">
        <v>0</v>
      </c>
      <c r="Q24" s="1958">
        <v>0</v>
      </c>
      <c r="R24" s="1958">
        <v>0</v>
      </c>
      <c r="S24" s="1958">
        <v>0</v>
      </c>
      <c r="T24" s="1958">
        <v>0</v>
      </c>
      <c r="U24" s="1958">
        <v>0</v>
      </c>
      <c r="V24" s="1958">
        <v>0</v>
      </c>
      <c r="W24" s="1958">
        <v>0</v>
      </c>
      <c r="X24" s="1958" t="s">
        <v>728</v>
      </c>
    </row>
    <row r="25" spans="1:24">
      <c r="A25" s="1958" t="s">
        <v>877</v>
      </c>
      <c r="B25" s="1958">
        <v>187</v>
      </c>
      <c r="C25" s="1958">
        <v>2023</v>
      </c>
      <c r="D25" s="1958">
        <v>12</v>
      </c>
      <c r="E25" s="1958">
        <v>24</v>
      </c>
      <c r="F25" s="1958">
        <v>0</v>
      </c>
      <c r="G25" s="1958" t="s">
        <v>1115</v>
      </c>
      <c r="H25" s="1963">
        <v>0</v>
      </c>
      <c r="I25" s="1963">
        <v>0</v>
      </c>
      <c r="J25" s="1963">
        <v>0</v>
      </c>
      <c r="K25" s="1963">
        <v>0</v>
      </c>
      <c r="L25" s="1963">
        <v>0</v>
      </c>
      <c r="M25" s="1958">
        <v>850233</v>
      </c>
      <c r="N25" s="1958">
        <v>0</v>
      </c>
      <c r="O25" s="1958">
        <v>0</v>
      </c>
      <c r="P25" s="1958">
        <v>0</v>
      </c>
      <c r="Q25" s="1958">
        <v>0</v>
      </c>
      <c r="R25" s="1958">
        <v>0</v>
      </c>
      <c r="S25" s="1958">
        <v>0</v>
      </c>
      <c r="T25" s="1958">
        <v>0</v>
      </c>
      <c r="U25" s="1958">
        <v>0</v>
      </c>
      <c r="V25" s="1958">
        <v>0</v>
      </c>
      <c r="W25" s="1958">
        <v>0</v>
      </c>
      <c r="X25" s="1958" t="s">
        <v>728</v>
      </c>
    </row>
    <row r="26" spans="1:24">
      <c r="A26" s="1958" t="s">
        <v>877</v>
      </c>
      <c r="B26" s="1958">
        <v>187</v>
      </c>
      <c r="C26" s="1958">
        <v>2023</v>
      </c>
      <c r="D26" s="1958">
        <v>12</v>
      </c>
      <c r="E26" s="1958">
        <v>25</v>
      </c>
      <c r="F26" s="1958">
        <v>0</v>
      </c>
      <c r="G26" s="1958" t="s">
        <v>1114</v>
      </c>
      <c r="H26" s="1963">
        <v>1517351493.0699997</v>
      </c>
      <c r="I26" s="1963">
        <v>1513067237.52</v>
      </c>
      <c r="J26" s="1963">
        <v>0</v>
      </c>
      <c r="K26" s="1963">
        <v>0</v>
      </c>
      <c r="L26" s="1963">
        <v>801601623</v>
      </c>
      <c r="M26" s="1958">
        <v>806109403</v>
      </c>
      <c r="N26" s="1958">
        <v>392102194</v>
      </c>
      <c r="O26" s="1958">
        <v>376514649</v>
      </c>
      <c r="P26" s="1958">
        <v>0</v>
      </c>
      <c r="Q26" s="1958">
        <v>0</v>
      </c>
      <c r="R26" s="1958">
        <v>0</v>
      </c>
      <c r="S26" s="1958">
        <v>0</v>
      </c>
      <c r="T26" s="1958">
        <v>0</v>
      </c>
      <c r="U26" s="1958">
        <v>0</v>
      </c>
      <c r="V26" s="1958">
        <v>0</v>
      </c>
      <c r="W26" s="1958">
        <v>0</v>
      </c>
      <c r="X26" s="1958" t="s">
        <v>728</v>
      </c>
    </row>
    <row r="27" spans="1:24">
      <c r="A27" s="1958" t="s">
        <v>877</v>
      </c>
      <c r="B27" s="1958">
        <v>187</v>
      </c>
      <c r="C27" s="1958">
        <v>2023</v>
      </c>
      <c r="D27" s="1958">
        <v>12</v>
      </c>
      <c r="E27" s="1958">
        <v>26</v>
      </c>
      <c r="F27" s="1958">
        <v>0</v>
      </c>
      <c r="G27" s="1958" t="s">
        <v>1113</v>
      </c>
      <c r="H27" s="1963">
        <v>295789373.6900003</v>
      </c>
      <c r="I27" s="1963">
        <v>240108363.19000006</v>
      </c>
      <c r="J27" s="1963">
        <v>0</v>
      </c>
      <c r="K27" s="1963">
        <v>0</v>
      </c>
      <c r="L27" s="1963">
        <v>181882121</v>
      </c>
      <c r="M27" s="1958">
        <v>180295919</v>
      </c>
      <c r="N27" s="1958">
        <v>52513128</v>
      </c>
      <c r="O27" s="1958">
        <v>53878070</v>
      </c>
      <c r="P27" s="1958">
        <v>0</v>
      </c>
      <c r="Q27" s="1958">
        <v>0</v>
      </c>
      <c r="R27" s="1958">
        <v>0</v>
      </c>
      <c r="S27" s="1958">
        <v>0</v>
      </c>
      <c r="T27" s="1958">
        <v>0</v>
      </c>
      <c r="U27" s="1958">
        <v>0</v>
      </c>
      <c r="V27" s="1958">
        <v>0</v>
      </c>
      <c r="W27" s="1958">
        <v>0</v>
      </c>
      <c r="X27" s="1958" t="s">
        <v>728</v>
      </c>
    </row>
    <row r="28" spans="1:24">
      <c r="A28" s="1958" t="s">
        <v>877</v>
      </c>
      <c r="B28" s="1958">
        <v>187</v>
      </c>
      <c r="C28" s="1958">
        <v>2023</v>
      </c>
      <c r="D28" s="1958">
        <v>12</v>
      </c>
      <c r="E28" s="1958">
        <v>27</v>
      </c>
      <c r="F28" s="1958">
        <v>0</v>
      </c>
      <c r="G28" s="1958" t="s">
        <v>1112</v>
      </c>
      <c r="H28" s="1963">
        <v>0</v>
      </c>
      <c r="I28" s="1963">
        <v>0</v>
      </c>
      <c r="J28" s="1963">
        <v>0</v>
      </c>
      <c r="K28" s="1963">
        <v>0</v>
      </c>
      <c r="L28" s="1963">
        <v>0</v>
      </c>
      <c r="M28" s="1958">
        <v>0</v>
      </c>
      <c r="N28" s="1958">
        <v>0</v>
      </c>
      <c r="O28" s="1958">
        <v>0</v>
      </c>
      <c r="P28" s="1958">
        <v>0</v>
      </c>
      <c r="Q28" s="1958">
        <v>0</v>
      </c>
      <c r="R28" s="1958">
        <v>0</v>
      </c>
      <c r="S28" s="1958">
        <v>0</v>
      </c>
      <c r="T28" s="1958">
        <v>0</v>
      </c>
      <c r="U28" s="1958">
        <v>0</v>
      </c>
      <c r="V28" s="1958">
        <v>0</v>
      </c>
      <c r="W28" s="1958">
        <v>0</v>
      </c>
      <c r="X28" s="1958" t="s">
        <v>728</v>
      </c>
    </row>
    <row r="29" spans="1:24">
      <c r="A29" s="1958" t="s">
        <v>877</v>
      </c>
      <c r="B29" s="1958">
        <v>187</v>
      </c>
      <c r="C29" s="1958">
        <v>2023</v>
      </c>
      <c r="D29" s="1958">
        <v>12</v>
      </c>
      <c r="E29" s="1958">
        <v>28</v>
      </c>
      <c r="F29" s="1958">
        <v>0</v>
      </c>
      <c r="G29" s="1958" t="s">
        <v>1111</v>
      </c>
      <c r="H29" s="1963">
        <v>0</v>
      </c>
      <c r="I29" s="1963">
        <v>0</v>
      </c>
      <c r="J29" s="1963">
        <v>0</v>
      </c>
      <c r="K29" s="1963">
        <v>0</v>
      </c>
      <c r="L29" s="1963">
        <v>0</v>
      </c>
      <c r="M29" s="1958">
        <v>0</v>
      </c>
      <c r="N29" s="1958">
        <v>0</v>
      </c>
      <c r="O29" s="1958">
        <v>0</v>
      </c>
      <c r="P29" s="1958">
        <v>0</v>
      </c>
      <c r="Q29" s="1958">
        <v>0</v>
      </c>
      <c r="R29" s="1958">
        <v>0</v>
      </c>
      <c r="S29" s="1958">
        <v>0</v>
      </c>
      <c r="T29" s="1958">
        <v>0</v>
      </c>
      <c r="U29" s="1958">
        <v>0</v>
      </c>
      <c r="V29" s="1958">
        <v>0</v>
      </c>
      <c r="W29" s="1958">
        <v>0</v>
      </c>
      <c r="X29" s="1958" t="s">
        <v>728</v>
      </c>
    </row>
    <row r="30" spans="1:24">
      <c r="A30" s="1958" t="s">
        <v>877</v>
      </c>
      <c r="B30" s="1958">
        <v>187</v>
      </c>
      <c r="C30" s="1958">
        <v>2023</v>
      </c>
      <c r="D30" s="1958">
        <v>12</v>
      </c>
      <c r="E30" s="1958">
        <v>29</v>
      </c>
      <c r="F30" s="1958">
        <v>0</v>
      </c>
      <c r="G30" s="1958" t="s">
        <v>1110</v>
      </c>
      <c r="H30" s="1963">
        <v>0</v>
      </c>
      <c r="I30" s="1963">
        <v>0</v>
      </c>
      <c r="J30" s="1963">
        <v>0</v>
      </c>
      <c r="K30" s="1963">
        <v>0</v>
      </c>
      <c r="L30" s="1963">
        <v>0</v>
      </c>
      <c r="M30" s="1958">
        <v>0</v>
      </c>
      <c r="N30" s="1958">
        <v>0</v>
      </c>
      <c r="O30" s="1958">
        <v>0</v>
      </c>
      <c r="P30" s="1958">
        <v>0</v>
      </c>
      <c r="Q30" s="1958">
        <v>0</v>
      </c>
      <c r="R30" s="1958">
        <v>0</v>
      </c>
      <c r="S30" s="1958">
        <v>0</v>
      </c>
      <c r="T30" s="1958">
        <v>0</v>
      </c>
      <c r="U30" s="1958">
        <v>0</v>
      </c>
      <c r="V30" s="1958">
        <v>0</v>
      </c>
      <c r="W30" s="1958">
        <v>0</v>
      </c>
      <c r="X30" s="1958" t="s">
        <v>728</v>
      </c>
    </row>
    <row r="31" spans="1:24">
      <c r="A31" s="1958" t="s">
        <v>877</v>
      </c>
      <c r="B31" s="1958">
        <v>187</v>
      </c>
      <c r="C31" s="1958">
        <v>2023</v>
      </c>
      <c r="D31" s="1958">
        <v>12</v>
      </c>
      <c r="E31" s="1958">
        <v>30</v>
      </c>
      <c r="F31" s="1958">
        <v>0</v>
      </c>
      <c r="G31" s="1958" t="s">
        <v>1109</v>
      </c>
      <c r="H31" s="1963">
        <v>0</v>
      </c>
      <c r="I31" s="1963">
        <v>0</v>
      </c>
      <c r="J31" s="1963">
        <v>0</v>
      </c>
      <c r="K31" s="1963">
        <v>0</v>
      </c>
      <c r="L31" s="1963">
        <v>0</v>
      </c>
      <c r="M31" s="1958">
        <v>0</v>
      </c>
      <c r="N31" s="1958">
        <v>0</v>
      </c>
      <c r="O31" s="1958">
        <v>0</v>
      </c>
      <c r="P31" s="1958">
        <v>0</v>
      </c>
      <c r="Q31" s="1958">
        <v>0</v>
      </c>
      <c r="R31" s="1958">
        <v>0</v>
      </c>
      <c r="S31" s="1958">
        <v>0</v>
      </c>
      <c r="T31" s="1958">
        <v>0</v>
      </c>
      <c r="U31" s="1958">
        <v>0</v>
      </c>
      <c r="V31" s="1958">
        <v>0</v>
      </c>
      <c r="W31" s="1958">
        <v>0</v>
      </c>
      <c r="X31" s="1958" t="s">
        <v>728</v>
      </c>
    </row>
    <row r="32" spans="1:24">
      <c r="A32" s="1958" t="s">
        <v>877</v>
      </c>
      <c r="B32" s="1958">
        <v>187</v>
      </c>
      <c r="C32" s="1958">
        <v>2023</v>
      </c>
      <c r="D32" s="1958">
        <v>12</v>
      </c>
      <c r="E32" s="1958">
        <v>31</v>
      </c>
      <c r="F32" s="1958">
        <v>0</v>
      </c>
      <c r="G32" s="1958" t="s">
        <v>1108</v>
      </c>
      <c r="H32" s="1963">
        <v>0</v>
      </c>
      <c r="I32" s="1963">
        <v>0</v>
      </c>
      <c r="J32" s="1963">
        <v>0</v>
      </c>
      <c r="K32" s="1963">
        <v>0</v>
      </c>
      <c r="L32" s="1963">
        <v>0</v>
      </c>
      <c r="M32" s="1958">
        <v>0</v>
      </c>
      <c r="N32" s="1958">
        <v>0</v>
      </c>
      <c r="O32" s="1958">
        <v>0</v>
      </c>
      <c r="P32" s="1958">
        <v>0</v>
      </c>
      <c r="Q32" s="1958">
        <v>0</v>
      </c>
      <c r="R32" s="1958">
        <v>0</v>
      </c>
      <c r="S32" s="1958">
        <v>0</v>
      </c>
      <c r="T32" s="1958">
        <v>0</v>
      </c>
      <c r="U32" s="1958">
        <v>0</v>
      </c>
      <c r="V32" s="1958">
        <v>0</v>
      </c>
      <c r="W32" s="1958">
        <v>0</v>
      </c>
      <c r="X32" s="1958" t="s">
        <v>728</v>
      </c>
    </row>
    <row r="33" spans="1:24">
      <c r="A33" s="1958" t="s">
        <v>877</v>
      </c>
      <c r="B33" s="1958">
        <v>187</v>
      </c>
      <c r="C33" s="1958">
        <v>2023</v>
      </c>
      <c r="D33" s="1958">
        <v>12</v>
      </c>
      <c r="E33" s="1958">
        <v>32</v>
      </c>
      <c r="F33" s="1958">
        <v>0</v>
      </c>
      <c r="G33" s="1958" t="s">
        <v>1107</v>
      </c>
      <c r="H33" s="1963">
        <v>0</v>
      </c>
      <c r="I33" s="1963">
        <v>0</v>
      </c>
      <c r="J33" s="1963">
        <v>0</v>
      </c>
      <c r="K33" s="1963">
        <v>0</v>
      </c>
      <c r="L33" s="1963">
        <v>0</v>
      </c>
      <c r="M33" s="1958">
        <v>0</v>
      </c>
      <c r="N33" s="1958">
        <v>0</v>
      </c>
      <c r="O33" s="1958">
        <v>0</v>
      </c>
      <c r="P33" s="1958">
        <v>0</v>
      </c>
      <c r="Q33" s="1958">
        <v>0</v>
      </c>
      <c r="R33" s="1958">
        <v>0</v>
      </c>
      <c r="S33" s="1958">
        <v>0</v>
      </c>
      <c r="T33" s="1958">
        <v>0</v>
      </c>
      <c r="U33" s="1958">
        <v>0</v>
      </c>
      <c r="V33" s="1958">
        <v>0</v>
      </c>
      <c r="W33" s="1958">
        <v>0</v>
      </c>
      <c r="X33" s="1958" t="s">
        <v>728</v>
      </c>
    </row>
    <row r="34" spans="1:24">
      <c r="A34" s="1958" t="s">
        <v>877</v>
      </c>
      <c r="B34" s="1958">
        <v>187</v>
      </c>
      <c r="C34" s="1958">
        <v>2023</v>
      </c>
      <c r="D34" s="1958">
        <v>12</v>
      </c>
      <c r="E34" s="1958">
        <v>33</v>
      </c>
      <c r="F34" s="1958">
        <v>0</v>
      </c>
      <c r="G34" s="1958" t="s">
        <v>1106</v>
      </c>
      <c r="H34" s="1963">
        <v>0</v>
      </c>
      <c r="I34" s="1963">
        <v>75755.039999999994</v>
      </c>
      <c r="J34" s="1963">
        <v>0</v>
      </c>
      <c r="K34" s="1963">
        <v>0</v>
      </c>
      <c r="L34" s="1963">
        <v>0</v>
      </c>
      <c r="M34" s="1958">
        <v>0</v>
      </c>
      <c r="N34" s="1958">
        <v>0</v>
      </c>
      <c r="O34" s="1958">
        <v>0</v>
      </c>
      <c r="P34" s="1958">
        <v>0</v>
      </c>
      <c r="Q34" s="1958">
        <v>0</v>
      </c>
      <c r="R34" s="1958">
        <v>0</v>
      </c>
      <c r="S34" s="1958">
        <v>0</v>
      </c>
      <c r="T34" s="1958">
        <v>0</v>
      </c>
      <c r="U34" s="1958">
        <v>0</v>
      </c>
      <c r="V34" s="1958">
        <v>0</v>
      </c>
      <c r="W34" s="1958">
        <v>0</v>
      </c>
      <c r="X34" s="1958" t="s">
        <v>728</v>
      </c>
    </row>
    <row r="35" spans="1:24">
      <c r="A35" s="1958" t="s">
        <v>877</v>
      </c>
      <c r="B35" s="1958">
        <v>187</v>
      </c>
      <c r="C35" s="1958">
        <v>2023</v>
      </c>
      <c r="D35" s="1958">
        <v>12</v>
      </c>
      <c r="E35" s="1958">
        <v>34</v>
      </c>
      <c r="F35" s="1958">
        <v>0</v>
      </c>
      <c r="G35" s="1958" t="s">
        <v>1105</v>
      </c>
      <c r="H35" s="1963">
        <v>7891783.9000000004</v>
      </c>
      <c r="I35" s="1963">
        <v>11488060.02</v>
      </c>
      <c r="J35" s="1963">
        <v>0</v>
      </c>
      <c r="K35" s="1963">
        <v>0</v>
      </c>
      <c r="L35" s="1963">
        <v>0</v>
      </c>
      <c r="M35" s="1958">
        <v>0</v>
      </c>
      <c r="N35" s="1958">
        <v>0</v>
      </c>
      <c r="O35" s="1958">
        <v>0</v>
      </c>
      <c r="P35" s="1958">
        <v>0</v>
      </c>
      <c r="Q35" s="1958">
        <v>0</v>
      </c>
      <c r="R35" s="1958">
        <v>0</v>
      </c>
      <c r="S35" s="1958">
        <v>0</v>
      </c>
      <c r="T35" s="1958">
        <v>0</v>
      </c>
      <c r="U35" s="1958">
        <v>0</v>
      </c>
      <c r="V35" s="1958">
        <v>0</v>
      </c>
      <c r="W35" s="1958">
        <v>0</v>
      </c>
      <c r="X35" s="1958" t="s">
        <v>728</v>
      </c>
    </row>
    <row r="36" spans="1:24">
      <c r="A36" s="1958" t="s">
        <v>877</v>
      </c>
      <c r="B36" s="1958">
        <v>187</v>
      </c>
      <c r="C36" s="1958">
        <v>2023</v>
      </c>
      <c r="D36" s="1958">
        <v>12</v>
      </c>
      <c r="E36" s="1958">
        <v>35</v>
      </c>
      <c r="F36" s="1958">
        <v>0</v>
      </c>
      <c r="G36" s="1958" t="s">
        <v>1104</v>
      </c>
      <c r="H36" s="1963">
        <v>-1034.44</v>
      </c>
      <c r="I36" s="1963">
        <v>-6088.63</v>
      </c>
      <c r="J36" s="1963">
        <v>0</v>
      </c>
      <c r="K36" s="1963">
        <v>0</v>
      </c>
      <c r="L36" s="1963">
        <v>0</v>
      </c>
      <c r="M36" s="1958">
        <v>0</v>
      </c>
      <c r="N36" s="1958">
        <v>0</v>
      </c>
      <c r="O36" s="1958">
        <v>0</v>
      </c>
      <c r="P36" s="1958">
        <v>0</v>
      </c>
      <c r="Q36" s="1958">
        <v>0</v>
      </c>
      <c r="R36" s="1958">
        <v>0</v>
      </c>
      <c r="S36" s="1958">
        <v>0</v>
      </c>
      <c r="T36" s="1958">
        <v>0</v>
      </c>
      <c r="U36" s="1958">
        <v>0</v>
      </c>
      <c r="V36" s="1958">
        <v>0</v>
      </c>
      <c r="W36" s="1958">
        <v>0</v>
      </c>
      <c r="X36" s="1958" t="s">
        <v>728</v>
      </c>
    </row>
    <row r="37" spans="1:24">
      <c r="A37" s="1958" t="s">
        <v>877</v>
      </c>
      <c r="B37" s="1958">
        <v>187</v>
      </c>
      <c r="C37" s="1958">
        <v>2023</v>
      </c>
      <c r="D37" s="1958">
        <v>12</v>
      </c>
      <c r="E37" s="1958">
        <v>36</v>
      </c>
      <c r="F37" s="1958">
        <v>0</v>
      </c>
      <c r="G37" s="1958" t="s">
        <v>1103</v>
      </c>
      <c r="H37" s="1963">
        <v>4449670.6900000004</v>
      </c>
      <c r="I37" s="1963">
        <v>39795256.789999999</v>
      </c>
      <c r="J37" s="1963">
        <v>0</v>
      </c>
      <c r="K37" s="1963">
        <v>0</v>
      </c>
      <c r="L37" s="1963">
        <v>0</v>
      </c>
      <c r="M37" s="1958">
        <v>0</v>
      </c>
      <c r="N37" s="1958">
        <v>0</v>
      </c>
      <c r="O37" s="1958">
        <v>0</v>
      </c>
      <c r="P37" s="1958">
        <v>0</v>
      </c>
      <c r="Q37" s="1958">
        <v>0</v>
      </c>
      <c r="R37" s="1958">
        <v>0</v>
      </c>
      <c r="S37" s="1958">
        <v>0</v>
      </c>
      <c r="T37" s="1958">
        <v>0</v>
      </c>
      <c r="U37" s="1958">
        <v>0</v>
      </c>
      <c r="V37" s="1958">
        <v>0</v>
      </c>
      <c r="W37" s="1958">
        <v>0</v>
      </c>
      <c r="X37" s="1958" t="s">
        <v>1102</v>
      </c>
    </row>
    <row r="38" spans="1:24">
      <c r="A38" s="1958" t="s">
        <v>877</v>
      </c>
      <c r="B38" s="1958">
        <v>187</v>
      </c>
      <c r="C38" s="1958">
        <v>2023</v>
      </c>
      <c r="D38" s="1958">
        <v>12</v>
      </c>
      <c r="E38" s="1958">
        <v>37</v>
      </c>
      <c r="F38" s="1958">
        <v>0</v>
      </c>
      <c r="G38" s="1958" t="s">
        <v>1101</v>
      </c>
      <c r="H38" s="1963">
        <v>15537184.720000001</v>
      </c>
      <c r="I38" s="1963">
        <v>2112086.66</v>
      </c>
      <c r="J38" s="1963">
        <v>0</v>
      </c>
      <c r="K38" s="1963">
        <v>0</v>
      </c>
      <c r="L38" s="1963">
        <v>0</v>
      </c>
      <c r="M38" s="1958">
        <v>0</v>
      </c>
      <c r="N38" s="1958">
        <v>0</v>
      </c>
      <c r="O38" s="1958">
        <v>0</v>
      </c>
      <c r="P38" s="1958">
        <v>0</v>
      </c>
      <c r="Q38" s="1958">
        <v>0</v>
      </c>
      <c r="R38" s="1958">
        <v>0</v>
      </c>
      <c r="S38" s="1958">
        <v>0</v>
      </c>
      <c r="T38" s="1958">
        <v>0</v>
      </c>
      <c r="U38" s="1958">
        <v>0</v>
      </c>
      <c r="V38" s="1958">
        <v>0</v>
      </c>
      <c r="W38" s="1958">
        <v>0</v>
      </c>
      <c r="X38" s="1958" t="s">
        <v>728</v>
      </c>
    </row>
    <row r="39" spans="1:24">
      <c r="A39" s="1958" t="s">
        <v>877</v>
      </c>
      <c r="B39" s="1958">
        <v>187</v>
      </c>
      <c r="C39" s="1958">
        <v>2023</v>
      </c>
      <c r="D39" s="1958">
        <v>12</v>
      </c>
      <c r="E39" s="1958">
        <v>38</v>
      </c>
      <c r="F39" s="1958">
        <v>0</v>
      </c>
      <c r="G39" s="1958" t="s">
        <v>1100</v>
      </c>
      <c r="H39" s="1963">
        <v>-39010.74</v>
      </c>
      <c r="I39" s="1963">
        <v>804750.9</v>
      </c>
      <c r="J39" s="1963">
        <v>0</v>
      </c>
      <c r="K39" s="1963">
        <v>0</v>
      </c>
      <c r="L39" s="1963">
        <v>0</v>
      </c>
      <c r="M39" s="1958">
        <v>0</v>
      </c>
      <c r="N39" s="1958">
        <v>0</v>
      </c>
      <c r="O39" s="1958">
        <v>0</v>
      </c>
      <c r="P39" s="1958">
        <v>0</v>
      </c>
      <c r="Q39" s="1958">
        <v>0</v>
      </c>
      <c r="R39" s="1958">
        <v>0</v>
      </c>
      <c r="S39" s="1958">
        <v>0</v>
      </c>
      <c r="T39" s="1958">
        <v>0</v>
      </c>
      <c r="U39" s="1958">
        <v>0</v>
      </c>
      <c r="V39" s="1958">
        <v>0</v>
      </c>
      <c r="W39" s="1958">
        <v>0</v>
      </c>
      <c r="X39" s="1958" t="s">
        <v>728</v>
      </c>
    </row>
    <row r="40" spans="1:24">
      <c r="A40" s="1958" t="s">
        <v>877</v>
      </c>
      <c r="B40" s="1958">
        <v>187</v>
      </c>
      <c r="C40" s="1958">
        <v>2023</v>
      </c>
      <c r="D40" s="1958">
        <v>12</v>
      </c>
      <c r="E40" s="1958">
        <v>39</v>
      </c>
      <c r="F40" s="1958">
        <v>0</v>
      </c>
      <c r="G40" s="1965" t="s">
        <v>1099</v>
      </c>
      <c r="H40" s="1964">
        <v>16772.689999999999</v>
      </c>
      <c r="I40" s="1964">
        <v>0</v>
      </c>
      <c r="J40" s="1964">
        <v>0</v>
      </c>
      <c r="K40" s="1964">
        <v>0</v>
      </c>
      <c r="L40" s="1964">
        <v>0</v>
      </c>
      <c r="M40" s="1958">
        <v>0</v>
      </c>
      <c r="N40" s="1958">
        <v>0</v>
      </c>
      <c r="O40" s="1958">
        <v>0</v>
      </c>
      <c r="P40" s="1958">
        <v>0</v>
      </c>
      <c r="Q40" s="1958">
        <v>0</v>
      </c>
      <c r="R40" s="1958">
        <v>0</v>
      </c>
      <c r="S40" s="1958">
        <v>0</v>
      </c>
      <c r="T40" s="1958">
        <v>0</v>
      </c>
      <c r="U40" s="1958">
        <v>0</v>
      </c>
      <c r="V40" s="1958">
        <v>0</v>
      </c>
      <c r="W40" s="1958">
        <v>0</v>
      </c>
      <c r="X40" s="1958" t="s">
        <v>728</v>
      </c>
    </row>
    <row r="41" spans="1:24">
      <c r="A41" s="1958" t="s">
        <v>877</v>
      </c>
      <c r="B41" s="1958">
        <v>187</v>
      </c>
      <c r="C41" s="1958">
        <v>2023</v>
      </c>
      <c r="D41" s="1958">
        <v>12</v>
      </c>
      <c r="E41" s="1958">
        <v>40</v>
      </c>
      <c r="F41" s="1958">
        <v>0</v>
      </c>
      <c r="G41" s="1958" t="s">
        <v>1098</v>
      </c>
      <c r="H41" s="1963">
        <v>-40896.120000000003</v>
      </c>
      <c r="I41" s="1963">
        <v>1747857.69</v>
      </c>
      <c r="J41" s="1963">
        <v>0</v>
      </c>
      <c r="K41" s="1963">
        <v>0</v>
      </c>
      <c r="L41" s="1963">
        <v>0</v>
      </c>
      <c r="M41" s="1958">
        <v>0</v>
      </c>
      <c r="N41" s="1958">
        <v>0</v>
      </c>
      <c r="O41" s="1958">
        <v>0</v>
      </c>
      <c r="P41" s="1958">
        <v>0</v>
      </c>
      <c r="Q41" s="1958">
        <v>0</v>
      </c>
      <c r="R41" s="1958">
        <v>0</v>
      </c>
      <c r="S41" s="1958">
        <v>0</v>
      </c>
      <c r="T41" s="1958">
        <v>0</v>
      </c>
      <c r="U41" s="1958">
        <v>0</v>
      </c>
      <c r="V41" s="1958">
        <v>0</v>
      </c>
      <c r="W41" s="1958">
        <v>0</v>
      </c>
      <c r="X41" s="1958" t="s">
        <v>728</v>
      </c>
    </row>
    <row r="42" spans="1:24">
      <c r="A42" s="1958" t="s">
        <v>877</v>
      </c>
      <c r="B42" s="1958">
        <v>187</v>
      </c>
      <c r="C42" s="1958">
        <v>2023</v>
      </c>
      <c r="D42" s="1958">
        <v>12</v>
      </c>
      <c r="E42" s="1958">
        <v>41</v>
      </c>
      <c r="F42" s="1958">
        <v>0</v>
      </c>
      <c r="G42" s="1958" t="s">
        <v>1097</v>
      </c>
      <c r="H42" s="1963">
        <v>12030902.9</v>
      </c>
      <c r="I42" s="1963">
        <v>33041558.429999989</v>
      </c>
      <c r="J42" s="1963">
        <v>0</v>
      </c>
      <c r="K42" s="1963">
        <v>0</v>
      </c>
      <c r="L42" s="1963">
        <v>0</v>
      </c>
      <c r="M42" s="1958">
        <v>0</v>
      </c>
      <c r="N42" s="1958">
        <v>0</v>
      </c>
      <c r="O42" s="1958">
        <v>0</v>
      </c>
      <c r="P42" s="1958">
        <v>0</v>
      </c>
      <c r="Q42" s="1958">
        <v>0</v>
      </c>
      <c r="R42" s="1958">
        <v>0</v>
      </c>
      <c r="S42" s="1958">
        <v>0</v>
      </c>
      <c r="T42" s="1958">
        <v>0</v>
      </c>
      <c r="U42" s="1958">
        <v>0</v>
      </c>
      <c r="V42" s="1958">
        <v>0</v>
      </c>
      <c r="W42" s="1958">
        <v>0</v>
      </c>
      <c r="X42" s="1958" t="s">
        <v>728</v>
      </c>
    </row>
    <row r="43" spans="1:24">
      <c r="A43" s="1958" t="s">
        <v>877</v>
      </c>
      <c r="B43" s="1958">
        <v>187</v>
      </c>
      <c r="C43" s="1958">
        <v>2023</v>
      </c>
      <c r="D43" s="1958">
        <v>12</v>
      </c>
      <c r="E43" s="1958">
        <v>42</v>
      </c>
      <c r="F43" s="1958">
        <v>0</v>
      </c>
      <c r="G43" s="1958" t="s">
        <v>1096</v>
      </c>
      <c r="H43" s="1963">
        <v>0</v>
      </c>
      <c r="I43" s="1963">
        <v>0</v>
      </c>
      <c r="J43" s="1963">
        <v>0</v>
      </c>
      <c r="K43" s="1963">
        <v>0</v>
      </c>
      <c r="L43" s="1963">
        <v>0</v>
      </c>
      <c r="M43" s="1958">
        <v>0</v>
      </c>
      <c r="N43" s="1958">
        <v>0</v>
      </c>
      <c r="O43" s="1958">
        <v>0</v>
      </c>
      <c r="P43" s="1958">
        <v>0</v>
      </c>
      <c r="Q43" s="1958">
        <v>0</v>
      </c>
      <c r="R43" s="1958">
        <v>0</v>
      </c>
      <c r="S43" s="1958">
        <v>0</v>
      </c>
      <c r="T43" s="1958">
        <v>0</v>
      </c>
      <c r="U43" s="1958">
        <v>0</v>
      </c>
      <c r="V43" s="1958">
        <v>0</v>
      </c>
      <c r="W43" s="1958">
        <v>0</v>
      </c>
      <c r="X43" s="1958" t="s">
        <v>728</v>
      </c>
    </row>
    <row r="44" spans="1:24">
      <c r="A44" s="1958" t="s">
        <v>877</v>
      </c>
      <c r="B44" s="1958">
        <v>187</v>
      </c>
      <c r="C44" s="1958">
        <v>2023</v>
      </c>
      <c r="D44" s="1958">
        <v>12</v>
      </c>
      <c r="E44" s="1958">
        <v>43</v>
      </c>
      <c r="F44" s="1958">
        <v>0</v>
      </c>
      <c r="G44" s="1958" t="s">
        <v>1095</v>
      </c>
      <c r="H44" s="1963">
        <v>0</v>
      </c>
      <c r="I44" s="1963">
        <v>13251</v>
      </c>
      <c r="J44" s="1963">
        <v>0</v>
      </c>
      <c r="K44" s="1963">
        <v>0</v>
      </c>
      <c r="L44" s="1963">
        <v>0</v>
      </c>
      <c r="M44" s="1958">
        <v>0</v>
      </c>
      <c r="N44" s="1958">
        <v>0</v>
      </c>
      <c r="O44" s="1958">
        <v>0</v>
      </c>
      <c r="P44" s="1958">
        <v>0</v>
      </c>
      <c r="Q44" s="1958">
        <v>0</v>
      </c>
      <c r="R44" s="1958">
        <v>0</v>
      </c>
      <c r="S44" s="1958">
        <v>0</v>
      </c>
      <c r="T44" s="1958">
        <v>0</v>
      </c>
      <c r="U44" s="1958">
        <v>0</v>
      </c>
      <c r="V44" s="1958">
        <v>0</v>
      </c>
      <c r="W44" s="1958">
        <v>0</v>
      </c>
      <c r="X44" s="1958" t="s">
        <v>728</v>
      </c>
    </row>
    <row r="45" spans="1:24">
      <c r="A45" s="1958" t="s">
        <v>877</v>
      </c>
      <c r="B45" s="1958">
        <v>187</v>
      </c>
      <c r="C45" s="1958">
        <v>2023</v>
      </c>
      <c r="D45" s="1958">
        <v>12</v>
      </c>
      <c r="E45" s="1958">
        <v>44</v>
      </c>
      <c r="F45" s="1958">
        <v>0</v>
      </c>
      <c r="G45" s="1958" t="s">
        <v>1094</v>
      </c>
      <c r="H45" s="1963">
        <v>5616</v>
      </c>
      <c r="I45" s="1963">
        <v>5616</v>
      </c>
      <c r="J45" s="1963">
        <v>0</v>
      </c>
      <c r="K45" s="1963">
        <v>0</v>
      </c>
      <c r="L45" s="1963">
        <v>0</v>
      </c>
      <c r="M45" s="1958">
        <v>0</v>
      </c>
      <c r="N45" s="1958">
        <v>0</v>
      </c>
      <c r="O45" s="1958">
        <v>0</v>
      </c>
      <c r="P45" s="1958">
        <v>0</v>
      </c>
      <c r="Q45" s="1958">
        <v>0</v>
      </c>
      <c r="R45" s="1958">
        <v>0</v>
      </c>
      <c r="S45" s="1958">
        <v>0</v>
      </c>
      <c r="T45" s="1958">
        <v>0</v>
      </c>
      <c r="U45" s="1958">
        <v>0</v>
      </c>
      <c r="V45" s="1958">
        <v>0</v>
      </c>
      <c r="W45" s="1958">
        <v>0</v>
      </c>
      <c r="X45" s="1958" t="s">
        <v>728</v>
      </c>
    </row>
    <row r="46" spans="1:24">
      <c r="A46" s="1958" t="s">
        <v>877</v>
      </c>
      <c r="B46" s="1958">
        <v>187</v>
      </c>
      <c r="C46" s="1958">
        <v>2023</v>
      </c>
      <c r="D46" s="1958">
        <v>12</v>
      </c>
      <c r="E46" s="1958">
        <v>45</v>
      </c>
      <c r="F46" s="1958">
        <v>0</v>
      </c>
      <c r="G46" s="1958" t="s">
        <v>1093</v>
      </c>
      <c r="H46" s="1963">
        <v>2755475.66</v>
      </c>
      <c r="I46" s="1963">
        <v>2832366.94</v>
      </c>
      <c r="J46" s="1963">
        <v>0</v>
      </c>
      <c r="K46" s="1963">
        <v>0</v>
      </c>
      <c r="L46" s="1963">
        <v>0</v>
      </c>
      <c r="M46" s="1958">
        <v>0</v>
      </c>
      <c r="N46" s="1958">
        <v>0</v>
      </c>
      <c r="O46" s="1958">
        <v>0</v>
      </c>
      <c r="P46" s="1958">
        <v>0</v>
      </c>
      <c r="Q46" s="1958">
        <v>0</v>
      </c>
      <c r="R46" s="1958">
        <v>0</v>
      </c>
      <c r="S46" s="1958">
        <v>0</v>
      </c>
      <c r="T46" s="1958">
        <v>0</v>
      </c>
      <c r="U46" s="1958">
        <v>0</v>
      </c>
      <c r="V46" s="1958">
        <v>0</v>
      </c>
      <c r="W46" s="1958">
        <v>0</v>
      </c>
      <c r="X46" s="1958" t="s">
        <v>728</v>
      </c>
    </row>
    <row r="47" spans="1:24">
      <c r="A47" s="1958" t="s">
        <v>877</v>
      </c>
      <c r="B47" s="1958">
        <v>187</v>
      </c>
      <c r="C47" s="1958">
        <v>2023</v>
      </c>
      <c r="D47" s="1958">
        <v>12</v>
      </c>
      <c r="E47" s="1958">
        <v>46</v>
      </c>
      <c r="F47" s="1958">
        <v>0</v>
      </c>
      <c r="G47" s="1958" t="s">
        <v>1092</v>
      </c>
      <c r="H47" s="1963">
        <v>2661064.36</v>
      </c>
      <c r="I47" s="1963">
        <v>3588359.76</v>
      </c>
      <c r="J47" s="1963">
        <v>0</v>
      </c>
      <c r="K47" s="1963">
        <v>0</v>
      </c>
      <c r="L47" s="1963">
        <v>0</v>
      </c>
      <c r="M47" s="1958">
        <v>0</v>
      </c>
      <c r="N47" s="1958">
        <v>0</v>
      </c>
      <c r="O47" s="1958">
        <v>0</v>
      </c>
      <c r="P47" s="1958">
        <v>0</v>
      </c>
      <c r="Q47" s="1958">
        <v>0</v>
      </c>
      <c r="R47" s="1958">
        <v>0</v>
      </c>
      <c r="S47" s="1958">
        <v>0</v>
      </c>
      <c r="T47" s="1958">
        <v>0</v>
      </c>
      <c r="U47" s="1958">
        <v>0</v>
      </c>
      <c r="V47" s="1958">
        <v>0</v>
      </c>
      <c r="W47" s="1958">
        <v>0</v>
      </c>
      <c r="X47" s="1958" t="s">
        <v>728</v>
      </c>
    </row>
    <row r="48" spans="1:24">
      <c r="A48" s="1958" t="s">
        <v>877</v>
      </c>
      <c r="B48" s="1958">
        <v>187</v>
      </c>
      <c r="C48" s="1958">
        <v>2023</v>
      </c>
      <c r="D48" s="1958">
        <v>12</v>
      </c>
      <c r="E48" s="1958">
        <v>47</v>
      </c>
      <c r="F48" s="1958">
        <v>0</v>
      </c>
      <c r="G48" s="1958" t="s">
        <v>1091</v>
      </c>
      <c r="H48" s="1963">
        <v>25449.99</v>
      </c>
      <c r="I48" s="1963">
        <v>24038.59</v>
      </c>
      <c r="J48" s="1963">
        <v>0</v>
      </c>
      <c r="K48" s="1963">
        <v>0</v>
      </c>
      <c r="L48" s="1963">
        <v>0</v>
      </c>
      <c r="M48" s="1958">
        <v>0</v>
      </c>
      <c r="N48" s="1958">
        <v>0</v>
      </c>
      <c r="O48" s="1958">
        <v>0</v>
      </c>
      <c r="P48" s="1958">
        <v>0</v>
      </c>
      <c r="Q48" s="1958">
        <v>0</v>
      </c>
      <c r="R48" s="1958">
        <v>0</v>
      </c>
      <c r="S48" s="1958">
        <v>0</v>
      </c>
      <c r="T48" s="1958">
        <v>0</v>
      </c>
      <c r="U48" s="1958">
        <v>0</v>
      </c>
      <c r="V48" s="1958">
        <v>0</v>
      </c>
      <c r="W48" s="1958">
        <v>0</v>
      </c>
      <c r="X48" s="1958" t="s">
        <v>728</v>
      </c>
    </row>
    <row r="49" spans="1:24">
      <c r="A49" s="1958" t="s">
        <v>877</v>
      </c>
      <c r="B49" s="1958">
        <v>187</v>
      </c>
      <c r="C49" s="1958">
        <v>2023</v>
      </c>
      <c r="D49" s="1958">
        <v>12</v>
      </c>
      <c r="E49" s="1958">
        <v>48</v>
      </c>
      <c r="F49" s="1958">
        <v>0</v>
      </c>
      <c r="G49" s="1958" t="s">
        <v>1090</v>
      </c>
      <c r="H49" s="1963">
        <v>1775517.59</v>
      </c>
      <c r="I49" s="1963">
        <v>1731972.37</v>
      </c>
      <c r="J49" s="1963">
        <v>0</v>
      </c>
      <c r="K49" s="1963">
        <v>0</v>
      </c>
      <c r="L49" s="1963">
        <v>0</v>
      </c>
      <c r="M49" s="1958">
        <v>0</v>
      </c>
      <c r="N49" s="1958">
        <v>0</v>
      </c>
      <c r="O49" s="1958">
        <v>0</v>
      </c>
      <c r="P49" s="1958">
        <v>0</v>
      </c>
      <c r="Q49" s="1958">
        <v>0</v>
      </c>
      <c r="R49" s="1958">
        <v>0</v>
      </c>
      <c r="S49" s="1958">
        <v>0</v>
      </c>
      <c r="T49" s="1958">
        <v>0</v>
      </c>
      <c r="U49" s="1958">
        <v>0</v>
      </c>
      <c r="V49" s="1958">
        <v>0</v>
      </c>
      <c r="W49" s="1958">
        <v>0</v>
      </c>
      <c r="X49" s="1958" t="s">
        <v>728</v>
      </c>
    </row>
    <row r="50" spans="1:24">
      <c r="A50" s="1958" t="s">
        <v>877</v>
      </c>
      <c r="B50" s="1958">
        <v>187</v>
      </c>
      <c r="C50" s="1958">
        <v>2023</v>
      </c>
      <c r="D50" s="1958">
        <v>12</v>
      </c>
      <c r="E50" s="1958">
        <v>49</v>
      </c>
      <c r="F50" s="1958">
        <v>0</v>
      </c>
      <c r="G50" s="1958" t="s">
        <v>1089</v>
      </c>
      <c r="H50" s="1963">
        <v>1410301.22</v>
      </c>
      <c r="I50" s="1963">
        <v>4469119.45</v>
      </c>
      <c r="J50" s="1963">
        <v>0</v>
      </c>
      <c r="K50" s="1963">
        <v>0</v>
      </c>
      <c r="L50" s="1963">
        <v>0</v>
      </c>
      <c r="M50" s="1958">
        <v>0</v>
      </c>
      <c r="N50" s="1958">
        <v>0</v>
      </c>
      <c r="O50" s="1958">
        <v>0</v>
      </c>
      <c r="P50" s="1958">
        <v>0</v>
      </c>
      <c r="Q50" s="1958">
        <v>0</v>
      </c>
      <c r="R50" s="1958">
        <v>0</v>
      </c>
      <c r="S50" s="1958">
        <v>0</v>
      </c>
      <c r="T50" s="1958">
        <v>0</v>
      </c>
      <c r="U50" s="1958">
        <v>0</v>
      </c>
      <c r="V50" s="1958">
        <v>0</v>
      </c>
      <c r="W50" s="1958">
        <v>0</v>
      </c>
      <c r="X50" s="1958" t="s">
        <v>728</v>
      </c>
    </row>
    <row r="51" spans="1:24">
      <c r="A51" s="1958" t="s">
        <v>877</v>
      </c>
      <c r="B51" s="1958">
        <v>187</v>
      </c>
      <c r="C51" s="1958">
        <v>2023</v>
      </c>
      <c r="D51" s="1958">
        <v>12</v>
      </c>
      <c r="E51" s="1958">
        <v>50</v>
      </c>
      <c r="F51" s="1958">
        <v>0</v>
      </c>
      <c r="G51" s="1958" t="s">
        <v>1088</v>
      </c>
      <c r="H51" s="1963">
        <v>8633424.8200000003</v>
      </c>
      <c r="I51" s="1963">
        <v>12651473.109999999</v>
      </c>
      <c r="J51" s="1963">
        <v>0</v>
      </c>
      <c r="K51" s="1963">
        <v>0</v>
      </c>
      <c r="L51" s="1963">
        <v>0</v>
      </c>
      <c r="M51" s="1958">
        <v>0</v>
      </c>
      <c r="N51" s="1958">
        <v>0</v>
      </c>
      <c r="O51" s="1958">
        <v>0</v>
      </c>
      <c r="P51" s="1958">
        <v>0</v>
      </c>
      <c r="Q51" s="1958">
        <v>0</v>
      </c>
      <c r="R51" s="1958">
        <v>0</v>
      </c>
      <c r="S51" s="1958">
        <v>0</v>
      </c>
      <c r="T51" s="1958">
        <v>0</v>
      </c>
      <c r="U51" s="1958">
        <v>0</v>
      </c>
      <c r="V51" s="1958">
        <v>0</v>
      </c>
      <c r="W51" s="1958">
        <v>0</v>
      </c>
      <c r="X51" s="1958" t="s">
        <v>728</v>
      </c>
    </row>
    <row r="52" spans="1:24">
      <c r="A52" s="1958" t="s">
        <v>877</v>
      </c>
      <c r="B52" s="1958">
        <v>187</v>
      </c>
      <c r="C52" s="1958">
        <v>2023</v>
      </c>
      <c r="D52" s="1958">
        <v>12</v>
      </c>
      <c r="E52" s="1958">
        <v>51</v>
      </c>
      <c r="F52" s="1958">
        <v>0</v>
      </c>
      <c r="G52" s="1958" t="s">
        <v>1087</v>
      </c>
      <c r="H52" s="1963">
        <v>0</v>
      </c>
      <c r="I52" s="1963">
        <v>0</v>
      </c>
      <c r="J52" s="1963">
        <v>0</v>
      </c>
      <c r="K52" s="1963">
        <v>0</v>
      </c>
      <c r="L52" s="1963">
        <v>0</v>
      </c>
      <c r="M52" s="1958">
        <v>0</v>
      </c>
      <c r="N52" s="1958">
        <v>0</v>
      </c>
      <c r="O52" s="1958">
        <v>0</v>
      </c>
      <c r="P52" s="1958">
        <v>0</v>
      </c>
      <c r="Q52" s="1958">
        <v>0</v>
      </c>
      <c r="R52" s="1958">
        <v>0</v>
      </c>
      <c r="S52" s="1958">
        <v>0</v>
      </c>
      <c r="T52" s="1958">
        <v>0</v>
      </c>
      <c r="U52" s="1958">
        <v>0</v>
      </c>
      <c r="V52" s="1958">
        <v>0</v>
      </c>
      <c r="W52" s="1958">
        <v>0</v>
      </c>
      <c r="X52" s="1958" t="s">
        <v>728</v>
      </c>
    </row>
    <row r="53" spans="1:24">
      <c r="A53" s="1958" t="s">
        <v>877</v>
      </c>
      <c r="B53" s="1958">
        <v>187</v>
      </c>
      <c r="C53" s="1958">
        <v>2023</v>
      </c>
      <c r="D53" s="1958">
        <v>12</v>
      </c>
      <c r="E53" s="1958">
        <v>52</v>
      </c>
      <c r="F53" s="1958">
        <v>0</v>
      </c>
      <c r="G53" s="1958" t="s">
        <v>1086</v>
      </c>
      <c r="H53" s="1963">
        <v>462271.12</v>
      </c>
      <c r="I53" s="1963">
        <v>670496.1</v>
      </c>
      <c r="J53" s="1963">
        <v>0</v>
      </c>
      <c r="K53" s="1963">
        <v>0</v>
      </c>
      <c r="L53" s="1963">
        <v>0</v>
      </c>
      <c r="M53" s="1958">
        <v>0</v>
      </c>
      <c r="N53" s="1958">
        <v>0</v>
      </c>
      <c r="O53" s="1958">
        <v>0</v>
      </c>
      <c r="P53" s="1958">
        <v>0</v>
      </c>
      <c r="Q53" s="1958">
        <v>0</v>
      </c>
      <c r="R53" s="1958">
        <v>0</v>
      </c>
      <c r="S53" s="1958">
        <v>0</v>
      </c>
      <c r="T53" s="1958">
        <v>0</v>
      </c>
      <c r="U53" s="1958">
        <v>0</v>
      </c>
      <c r="V53" s="1958">
        <v>0</v>
      </c>
      <c r="W53" s="1958">
        <v>0</v>
      </c>
      <c r="X53" s="1958" t="s">
        <v>836</v>
      </c>
    </row>
    <row r="54" spans="1:24">
      <c r="A54" s="1958" t="s">
        <v>877</v>
      </c>
      <c r="B54" s="1958">
        <v>187</v>
      </c>
      <c r="C54" s="1958">
        <v>2023</v>
      </c>
      <c r="D54" s="1958">
        <v>12</v>
      </c>
      <c r="E54" s="1958">
        <v>53</v>
      </c>
      <c r="F54" s="1958">
        <v>0</v>
      </c>
      <c r="G54" s="1958" t="s">
        <v>1085</v>
      </c>
      <c r="H54" s="1963">
        <v>-2079651</v>
      </c>
      <c r="I54" s="1963">
        <v>-478794.89</v>
      </c>
      <c r="J54" s="1963">
        <v>0</v>
      </c>
      <c r="K54" s="1963">
        <v>0</v>
      </c>
      <c r="L54" s="1963">
        <v>0</v>
      </c>
      <c r="M54" s="1958">
        <v>0</v>
      </c>
      <c r="N54" s="1958">
        <v>0</v>
      </c>
      <c r="O54" s="1958">
        <v>0</v>
      </c>
      <c r="P54" s="1958">
        <v>0</v>
      </c>
      <c r="Q54" s="1958">
        <v>0</v>
      </c>
      <c r="R54" s="1958">
        <v>0</v>
      </c>
      <c r="S54" s="1958">
        <v>0</v>
      </c>
      <c r="T54" s="1958">
        <v>0</v>
      </c>
      <c r="U54" s="1958">
        <v>0</v>
      </c>
      <c r="V54" s="1958">
        <v>0</v>
      </c>
      <c r="W54" s="1958">
        <v>0</v>
      </c>
      <c r="X54" s="1958" t="s">
        <v>836</v>
      </c>
    </row>
    <row r="55" spans="1:24">
      <c r="A55" s="1958" t="s">
        <v>877</v>
      </c>
      <c r="B55" s="1958">
        <v>187</v>
      </c>
      <c r="C55" s="1958">
        <v>2023</v>
      </c>
      <c r="D55" s="1958">
        <v>12</v>
      </c>
      <c r="E55" s="1958">
        <v>54</v>
      </c>
      <c r="F55" s="1958">
        <v>0</v>
      </c>
      <c r="G55" s="1958" t="s">
        <v>1084</v>
      </c>
      <c r="H55" s="1963">
        <v>-75004</v>
      </c>
      <c r="I55" s="1963">
        <v>-668969.53</v>
      </c>
      <c r="J55" s="1963">
        <v>0</v>
      </c>
      <c r="K55" s="1963">
        <v>0</v>
      </c>
      <c r="L55" s="1963">
        <v>0</v>
      </c>
      <c r="M55" s="1958">
        <v>0</v>
      </c>
      <c r="N55" s="1958">
        <v>0</v>
      </c>
      <c r="O55" s="1958">
        <v>0</v>
      </c>
      <c r="P55" s="1958">
        <v>0</v>
      </c>
      <c r="Q55" s="1958">
        <v>0</v>
      </c>
      <c r="R55" s="1958">
        <v>0</v>
      </c>
      <c r="S55" s="1958">
        <v>0</v>
      </c>
      <c r="T55" s="1958">
        <v>0</v>
      </c>
      <c r="U55" s="1958">
        <v>0</v>
      </c>
      <c r="V55" s="1958">
        <v>0</v>
      </c>
      <c r="W55" s="1958">
        <v>0</v>
      </c>
      <c r="X55" s="1958" t="s">
        <v>836</v>
      </c>
    </row>
    <row r="56" spans="1:24">
      <c r="A56" s="1958" t="s">
        <v>877</v>
      </c>
      <c r="B56" s="1958">
        <v>187</v>
      </c>
      <c r="C56" s="1958">
        <v>2023</v>
      </c>
      <c r="D56" s="1958">
        <v>12</v>
      </c>
      <c r="E56" s="1958">
        <v>55</v>
      </c>
      <c r="F56" s="1958">
        <v>0</v>
      </c>
      <c r="G56" s="1958" t="s">
        <v>1083</v>
      </c>
      <c r="H56" s="1963">
        <v>3954988.36</v>
      </c>
      <c r="I56" s="1963">
        <v>1568706.95</v>
      </c>
      <c r="J56" s="1963">
        <v>0</v>
      </c>
      <c r="K56" s="1963">
        <v>0</v>
      </c>
      <c r="L56" s="1963">
        <v>0</v>
      </c>
      <c r="M56" s="1958">
        <v>0</v>
      </c>
      <c r="N56" s="1958">
        <v>0</v>
      </c>
      <c r="O56" s="1958">
        <v>0</v>
      </c>
      <c r="P56" s="1958">
        <v>0</v>
      </c>
      <c r="Q56" s="1958">
        <v>0</v>
      </c>
      <c r="R56" s="1958">
        <v>0</v>
      </c>
      <c r="S56" s="1958">
        <v>0</v>
      </c>
      <c r="T56" s="1958">
        <v>0</v>
      </c>
      <c r="U56" s="1958">
        <v>0</v>
      </c>
      <c r="V56" s="1958">
        <v>0</v>
      </c>
      <c r="W56" s="1958">
        <v>0</v>
      </c>
      <c r="X56" s="1958" t="s">
        <v>1081</v>
      </c>
    </row>
    <row r="57" spans="1:24">
      <c r="A57" s="1958" t="s">
        <v>877</v>
      </c>
      <c r="B57" s="1958">
        <v>187</v>
      </c>
      <c r="C57" s="1958">
        <v>2023</v>
      </c>
      <c r="D57" s="1958">
        <v>12</v>
      </c>
      <c r="E57" s="1958">
        <v>56</v>
      </c>
      <c r="F57" s="1958">
        <v>0</v>
      </c>
      <c r="G57" s="1958" t="s">
        <v>1082</v>
      </c>
      <c r="H57" s="1963">
        <v>2286595.21</v>
      </c>
      <c r="I57" s="1963">
        <v>4155913.13</v>
      </c>
      <c r="J57" s="1963">
        <v>0</v>
      </c>
      <c r="K57" s="1963">
        <v>0</v>
      </c>
      <c r="L57" s="1963">
        <v>0</v>
      </c>
      <c r="M57" s="1958">
        <v>0</v>
      </c>
      <c r="N57" s="1958">
        <v>0</v>
      </c>
      <c r="O57" s="1958">
        <v>0</v>
      </c>
      <c r="P57" s="1958">
        <v>0</v>
      </c>
      <c r="Q57" s="1958">
        <v>0</v>
      </c>
      <c r="R57" s="1958">
        <v>0</v>
      </c>
      <c r="S57" s="1958">
        <v>0</v>
      </c>
      <c r="T57" s="1958">
        <v>0</v>
      </c>
      <c r="U57" s="1958">
        <v>0</v>
      </c>
      <c r="V57" s="1958">
        <v>0</v>
      </c>
      <c r="W57" s="1958">
        <v>0</v>
      </c>
      <c r="X57" s="1958" t="s">
        <v>1081</v>
      </c>
    </row>
    <row r="58" spans="1:24">
      <c r="A58" s="1958" t="s">
        <v>877</v>
      </c>
      <c r="B58" s="1958">
        <v>187</v>
      </c>
      <c r="C58" s="1958">
        <v>2023</v>
      </c>
      <c r="D58" s="1958">
        <v>12</v>
      </c>
      <c r="E58" s="1958">
        <v>57</v>
      </c>
      <c r="F58" s="1958">
        <v>0</v>
      </c>
      <c r="G58" s="1958" t="s">
        <v>1080</v>
      </c>
      <c r="H58" s="1963">
        <v>0</v>
      </c>
      <c r="I58" s="1963">
        <v>0</v>
      </c>
      <c r="J58" s="1963">
        <v>0</v>
      </c>
      <c r="K58" s="1963">
        <v>0</v>
      </c>
      <c r="L58" s="1963">
        <v>0</v>
      </c>
      <c r="M58" s="1958">
        <v>0</v>
      </c>
      <c r="N58" s="1958">
        <v>0</v>
      </c>
      <c r="O58" s="1958">
        <v>0</v>
      </c>
      <c r="P58" s="1958">
        <v>0</v>
      </c>
      <c r="Q58" s="1958">
        <v>0</v>
      </c>
      <c r="R58" s="1958">
        <v>0</v>
      </c>
      <c r="S58" s="1958">
        <v>0</v>
      </c>
      <c r="T58" s="1958">
        <v>0</v>
      </c>
      <c r="U58" s="1958">
        <v>0</v>
      </c>
      <c r="V58" s="1958">
        <v>0</v>
      </c>
      <c r="W58" s="1958">
        <v>0</v>
      </c>
      <c r="X58" s="1958" t="s">
        <v>728</v>
      </c>
    </row>
    <row r="59" spans="1:24">
      <c r="A59" s="1958" t="s">
        <v>877</v>
      </c>
      <c r="B59" s="1958">
        <v>187</v>
      </c>
      <c r="C59" s="1958">
        <v>2023</v>
      </c>
      <c r="D59" s="1958">
        <v>12</v>
      </c>
      <c r="E59" s="1958">
        <v>58</v>
      </c>
      <c r="F59" s="1958">
        <v>0</v>
      </c>
      <c r="G59" s="1958" t="s">
        <v>1079</v>
      </c>
      <c r="H59" s="1963">
        <v>0</v>
      </c>
      <c r="I59" s="1963">
        <v>0</v>
      </c>
      <c r="J59" s="1963">
        <v>0</v>
      </c>
      <c r="K59" s="1963">
        <v>0</v>
      </c>
      <c r="L59" s="1963">
        <v>0</v>
      </c>
      <c r="M59" s="1958">
        <v>0</v>
      </c>
      <c r="N59" s="1958">
        <v>0</v>
      </c>
      <c r="O59" s="1958">
        <v>0</v>
      </c>
      <c r="P59" s="1958">
        <v>0</v>
      </c>
      <c r="Q59" s="1958">
        <v>0</v>
      </c>
      <c r="R59" s="1958">
        <v>0</v>
      </c>
      <c r="S59" s="1958">
        <v>0</v>
      </c>
      <c r="T59" s="1958">
        <v>0</v>
      </c>
      <c r="U59" s="1958">
        <v>0</v>
      </c>
      <c r="V59" s="1958">
        <v>0</v>
      </c>
      <c r="W59" s="1958">
        <v>0</v>
      </c>
      <c r="X59" s="1958" t="s">
        <v>728</v>
      </c>
    </row>
    <row r="60" spans="1:24">
      <c r="A60" s="1958" t="s">
        <v>877</v>
      </c>
      <c r="B60" s="1958">
        <v>187</v>
      </c>
      <c r="C60" s="1958">
        <v>2023</v>
      </c>
      <c r="D60" s="1958">
        <v>12</v>
      </c>
      <c r="E60" s="1958">
        <v>59</v>
      </c>
      <c r="F60" s="1958">
        <v>0</v>
      </c>
      <c r="G60" s="1958" t="s">
        <v>1078</v>
      </c>
      <c r="H60" s="1963">
        <v>-23990.729999999981</v>
      </c>
      <c r="I60" s="1963">
        <v>-3064474.5</v>
      </c>
      <c r="J60" s="1963">
        <v>0</v>
      </c>
      <c r="K60" s="1963">
        <v>0</v>
      </c>
      <c r="L60" s="1963">
        <v>0</v>
      </c>
      <c r="M60" s="1958">
        <v>0</v>
      </c>
      <c r="N60" s="1958">
        <v>0</v>
      </c>
      <c r="O60" s="1958">
        <v>0</v>
      </c>
      <c r="P60" s="1958">
        <v>0</v>
      </c>
      <c r="Q60" s="1958">
        <v>0</v>
      </c>
      <c r="R60" s="1958">
        <v>0</v>
      </c>
      <c r="S60" s="1958">
        <v>0</v>
      </c>
      <c r="T60" s="1958">
        <v>0</v>
      </c>
      <c r="U60" s="1958">
        <v>0</v>
      </c>
      <c r="V60" s="1958">
        <v>0</v>
      </c>
      <c r="W60" s="1958">
        <v>0</v>
      </c>
      <c r="X60" s="1958" t="s">
        <v>728</v>
      </c>
    </row>
    <row r="61" spans="1:24">
      <c r="A61" s="1958" t="s">
        <v>877</v>
      </c>
      <c r="B61" s="1958">
        <v>187</v>
      </c>
      <c r="C61" s="1958">
        <v>2023</v>
      </c>
      <c r="D61" s="1958">
        <v>12</v>
      </c>
      <c r="E61" s="1958">
        <v>60</v>
      </c>
      <c r="F61" s="1958">
        <v>0</v>
      </c>
      <c r="G61" s="1958" t="s">
        <v>1077</v>
      </c>
      <c r="H61" s="1963">
        <v>3421468.81</v>
      </c>
      <c r="I61" s="1963">
        <v>23454559.819999989</v>
      </c>
      <c r="J61" s="1963">
        <v>0</v>
      </c>
      <c r="K61" s="1963">
        <v>0</v>
      </c>
      <c r="L61" s="1963">
        <v>0</v>
      </c>
      <c r="M61" s="1958">
        <v>0</v>
      </c>
      <c r="N61" s="1958">
        <v>0</v>
      </c>
      <c r="O61" s="1958">
        <v>0</v>
      </c>
      <c r="P61" s="1958">
        <v>0</v>
      </c>
      <c r="Q61" s="1958">
        <v>0</v>
      </c>
      <c r="R61" s="1958">
        <v>0</v>
      </c>
      <c r="S61" s="1958">
        <v>0</v>
      </c>
      <c r="T61" s="1958">
        <v>0</v>
      </c>
      <c r="U61" s="1958">
        <v>0</v>
      </c>
      <c r="V61" s="1958">
        <v>0</v>
      </c>
      <c r="W61" s="1958">
        <v>0</v>
      </c>
      <c r="X61" s="1958" t="s">
        <v>728</v>
      </c>
    </row>
    <row r="62" spans="1:24">
      <c r="A62" s="1958" t="s">
        <v>877</v>
      </c>
      <c r="B62" s="1958">
        <v>187</v>
      </c>
      <c r="C62" s="1958">
        <v>2023</v>
      </c>
      <c r="D62" s="1958">
        <v>12</v>
      </c>
      <c r="E62" s="1958">
        <v>61</v>
      </c>
      <c r="F62" s="1958">
        <v>0</v>
      </c>
      <c r="G62" s="1958" t="s">
        <v>1076</v>
      </c>
      <c r="H62" s="1963">
        <v>0</v>
      </c>
      <c r="I62" s="1963">
        <v>0</v>
      </c>
      <c r="J62" s="1963">
        <v>0</v>
      </c>
      <c r="K62" s="1963">
        <v>0</v>
      </c>
      <c r="L62" s="1963">
        <v>0</v>
      </c>
      <c r="M62" s="1958">
        <v>0</v>
      </c>
      <c r="N62" s="1958">
        <v>0</v>
      </c>
      <c r="O62" s="1958">
        <v>0</v>
      </c>
      <c r="P62" s="1958">
        <v>0</v>
      </c>
      <c r="Q62" s="1958">
        <v>0</v>
      </c>
      <c r="R62" s="1958">
        <v>0</v>
      </c>
      <c r="S62" s="1958">
        <v>0</v>
      </c>
      <c r="T62" s="1958">
        <v>0</v>
      </c>
      <c r="U62" s="1958">
        <v>0</v>
      </c>
      <c r="V62" s="1958">
        <v>0</v>
      </c>
      <c r="W62" s="1958">
        <v>0</v>
      </c>
      <c r="X62" s="1958" t="s">
        <v>728</v>
      </c>
    </row>
    <row r="63" spans="1:24">
      <c r="A63" s="1958" t="s">
        <v>877</v>
      </c>
      <c r="B63" s="1958">
        <v>187</v>
      </c>
      <c r="C63" s="1958">
        <v>2023</v>
      </c>
      <c r="D63" s="1958">
        <v>12</v>
      </c>
      <c r="E63" s="1958">
        <v>62</v>
      </c>
      <c r="F63" s="1958">
        <v>0</v>
      </c>
      <c r="G63" s="1958" t="s">
        <v>1075</v>
      </c>
      <c r="H63" s="1963">
        <v>110131468.34</v>
      </c>
      <c r="I63" s="1963">
        <v>99558755.329999998</v>
      </c>
      <c r="J63" s="1963">
        <v>0</v>
      </c>
      <c r="K63" s="1963">
        <v>0</v>
      </c>
      <c r="L63" s="1963">
        <v>0</v>
      </c>
      <c r="M63" s="1958">
        <v>0</v>
      </c>
      <c r="N63" s="1958">
        <v>0</v>
      </c>
      <c r="O63" s="1958">
        <v>0</v>
      </c>
      <c r="P63" s="1958">
        <v>0</v>
      </c>
      <c r="Q63" s="1958">
        <v>0</v>
      </c>
      <c r="R63" s="1958">
        <v>0</v>
      </c>
      <c r="S63" s="1958">
        <v>0</v>
      </c>
      <c r="T63" s="1958">
        <v>0</v>
      </c>
      <c r="U63" s="1958">
        <v>0</v>
      </c>
      <c r="V63" s="1958">
        <v>0</v>
      </c>
      <c r="W63" s="1958">
        <v>0</v>
      </c>
      <c r="X63" s="1958" t="s">
        <v>728</v>
      </c>
    </row>
    <row r="64" spans="1:24">
      <c r="A64" s="1958" t="s">
        <v>877</v>
      </c>
      <c r="B64" s="1958">
        <v>187</v>
      </c>
      <c r="C64" s="1958">
        <v>2023</v>
      </c>
      <c r="D64" s="1958">
        <v>12</v>
      </c>
      <c r="E64" s="1958">
        <v>63</v>
      </c>
      <c r="F64" s="1958">
        <v>0</v>
      </c>
      <c r="G64" s="1958" t="s">
        <v>1074</v>
      </c>
      <c r="H64" s="1963">
        <v>1544188.33</v>
      </c>
      <c r="I64" s="1963">
        <v>470608.15</v>
      </c>
      <c r="J64" s="1963">
        <v>0</v>
      </c>
      <c r="K64" s="1963">
        <v>0</v>
      </c>
      <c r="L64" s="1963">
        <v>0</v>
      </c>
      <c r="M64" s="1958">
        <v>0</v>
      </c>
      <c r="N64" s="1958">
        <v>0</v>
      </c>
      <c r="O64" s="1958">
        <v>0</v>
      </c>
      <c r="P64" s="1958">
        <v>0</v>
      </c>
      <c r="Q64" s="1958">
        <v>0</v>
      </c>
      <c r="R64" s="1958">
        <v>0</v>
      </c>
      <c r="S64" s="1958">
        <v>0</v>
      </c>
      <c r="T64" s="1958">
        <v>0</v>
      </c>
      <c r="U64" s="1958">
        <v>0</v>
      </c>
      <c r="V64" s="1958">
        <v>0</v>
      </c>
      <c r="W64" s="1958">
        <v>0</v>
      </c>
      <c r="X64" s="1958" t="s">
        <v>728</v>
      </c>
    </row>
    <row r="65" spans="1:24">
      <c r="A65" s="1958" t="s">
        <v>877</v>
      </c>
      <c r="B65" s="1958">
        <v>187</v>
      </c>
      <c r="C65" s="1958">
        <v>2023</v>
      </c>
      <c r="D65" s="1958">
        <v>12</v>
      </c>
      <c r="E65" s="1958">
        <v>64</v>
      </c>
      <c r="F65" s="1958">
        <v>0</v>
      </c>
      <c r="G65" s="1958" t="s">
        <v>1073</v>
      </c>
      <c r="H65" s="1963">
        <v>1317066.76</v>
      </c>
      <c r="I65" s="1963">
        <v>1433639.96</v>
      </c>
      <c r="J65" s="1963">
        <v>0</v>
      </c>
      <c r="K65" s="1963">
        <v>0</v>
      </c>
      <c r="L65" s="1963">
        <v>0</v>
      </c>
      <c r="M65" s="1958">
        <v>0</v>
      </c>
      <c r="N65" s="1958">
        <v>0</v>
      </c>
      <c r="O65" s="1958">
        <v>0</v>
      </c>
      <c r="P65" s="1958">
        <v>0</v>
      </c>
      <c r="Q65" s="1958">
        <v>0</v>
      </c>
      <c r="R65" s="1958">
        <v>0</v>
      </c>
      <c r="S65" s="1958">
        <v>0</v>
      </c>
      <c r="T65" s="1958">
        <v>0</v>
      </c>
      <c r="U65" s="1958">
        <v>0</v>
      </c>
      <c r="V65" s="1958">
        <v>0</v>
      </c>
      <c r="W65" s="1958">
        <v>0</v>
      </c>
      <c r="X65" s="1958" t="s">
        <v>728</v>
      </c>
    </row>
    <row r="66" spans="1:24">
      <c r="A66" s="1958" t="s">
        <v>877</v>
      </c>
      <c r="B66" s="1958">
        <v>187</v>
      </c>
      <c r="C66" s="1958">
        <v>2023</v>
      </c>
      <c r="D66" s="1958">
        <v>12</v>
      </c>
      <c r="E66" s="1958">
        <v>65</v>
      </c>
      <c r="F66" s="1958">
        <v>0</v>
      </c>
      <c r="G66" s="1958" t="s">
        <v>1072</v>
      </c>
      <c r="H66" s="1963">
        <v>8883.36</v>
      </c>
      <c r="I66" s="1963">
        <v>8883.36</v>
      </c>
      <c r="J66" s="1963">
        <v>0</v>
      </c>
      <c r="K66" s="1963">
        <v>0</v>
      </c>
      <c r="L66" s="1963">
        <v>0</v>
      </c>
      <c r="M66" s="1958">
        <v>0</v>
      </c>
      <c r="N66" s="1958">
        <v>0</v>
      </c>
      <c r="O66" s="1958">
        <v>0</v>
      </c>
      <c r="P66" s="1958">
        <v>0</v>
      </c>
      <c r="Q66" s="1958">
        <v>0</v>
      </c>
      <c r="R66" s="1958">
        <v>0</v>
      </c>
      <c r="S66" s="1958">
        <v>0</v>
      </c>
      <c r="T66" s="1958">
        <v>0</v>
      </c>
      <c r="U66" s="1958">
        <v>0</v>
      </c>
      <c r="V66" s="1958">
        <v>0</v>
      </c>
      <c r="W66" s="1958">
        <v>0</v>
      </c>
      <c r="X66" s="1958" t="s">
        <v>728</v>
      </c>
    </row>
    <row r="67" spans="1:24">
      <c r="A67" s="1958" t="s">
        <v>877</v>
      </c>
      <c r="B67" s="1958">
        <v>187</v>
      </c>
      <c r="C67" s="1958">
        <v>2023</v>
      </c>
      <c r="D67" s="1958">
        <v>12</v>
      </c>
      <c r="E67" s="1958">
        <v>66</v>
      </c>
      <c r="F67" s="1958">
        <v>0</v>
      </c>
      <c r="G67" s="1958" t="s">
        <v>1071</v>
      </c>
      <c r="I67" s="1963">
        <v>0</v>
      </c>
      <c r="J67" s="1963">
        <v>0</v>
      </c>
      <c r="K67" s="1963">
        <v>0</v>
      </c>
      <c r="L67" s="1963">
        <v>0</v>
      </c>
      <c r="M67" s="1958">
        <v>0</v>
      </c>
      <c r="N67" s="1958">
        <v>0</v>
      </c>
      <c r="O67" s="1958">
        <v>0</v>
      </c>
      <c r="P67" s="1958">
        <v>0</v>
      </c>
      <c r="Q67" s="1958">
        <v>0</v>
      </c>
      <c r="R67" s="1958">
        <v>0</v>
      </c>
      <c r="S67" s="1958">
        <v>0</v>
      </c>
      <c r="T67" s="1958">
        <v>0</v>
      </c>
      <c r="U67" s="1958">
        <v>0</v>
      </c>
      <c r="V67" s="1958">
        <v>0</v>
      </c>
      <c r="W67" s="1958">
        <v>0</v>
      </c>
      <c r="X67" s="1958" t="s">
        <v>728</v>
      </c>
    </row>
    <row r="68" spans="1:24">
      <c r="A68" s="1958" t="s">
        <v>877</v>
      </c>
      <c r="B68" s="1958">
        <v>187</v>
      </c>
      <c r="C68" s="1958">
        <v>2023</v>
      </c>
      <c r="D68" s="1958">
        <v>12</v>
      </c>
      <c r="E68" s="1958">
        <v>67</v>
      </c>
      <c r="F68" s="1958">
        <v>0</v>
      </c>
      <c r="G68" s="1958" t="s">
        <v>1070</v>
      </c>
      <c r="H68" s="1963">
        <v>2503671.1</v>
      </c>
      <c r="I68" s="1963">
        <v>1062531.32</v>
      </c>
      <c r="J68" s="1963">
        <v>0</v>
      </c>
      <c r="K68" s="1963">
        <v>0</v>
      </c>
      <c r="L68" s="1963">
        <v>0</v>
      </c>
      <c r="M68" s="1958">
        <v>0</v>
      </c>
      <c r="N68" s="1958">
        <v>0</v>
      </c>
      <c r="O68" s="1958">
        <v>0</v>
      </c>
      <c r="P68" s="1958">
        <v>0</v>
      </c>
      <c r="Q68" s="1958">
        <v>0</v>
      </c>
      <c r="R68" s="1958">
        <v>0</v>
      </c>
      <c r="S68" s="1958">
        <v>0</v>
      </c>
      <c r="T68" s="1958">
        <v>0</v>
      </c>
      <c r="U68" s="1958">
        <v>0</v>
      </c>
      <c r="V68" s="1958">
        <v>0</v>
      </c>
      <c r="W68" s="1958">
        <v>0</v>
      </c>
      <c r="X68" s="1958" t="s">
        <v>728</v>
      </c>
    </row>
    <row r="69" spans="1:24">
      <c r="A69" s="1958" t="s">
        <v>877</v>
      </c>
      <c r="B69" s="1958">
        <v>187</v>
      </c>
      <c r="C69" s="1958">
        <v>2023</v>
      </c>
      <c r="D69" s="1958">
        <v>12</v>
      </c>
      <c r="E69" s="1958">
        <v>68</v>
      </c>
      <c r="F69" s="1958">
        <v>0</v>
      </c>
      <c r="G69" s="1958" t="s">
        <v>1069</v>
      </c>
      <c r="H69" s="1963">
        <v>21435606.710000001</v>
      </c>
      <c r="I69" s="1963">
        <v>9696572.5399999991</v>
      </c>
      <c r="J69" s="1963">
        <v>0</v>
      </c>
      <c r="K69" s="1963">
        <v>0</v>
      </c>
      <c r="L69" s="1963">
        <v>0</v>
      </c>
      <c r="M69" s="1958">
        <v>0</v>
      </c>
      <c r="N69" s="1958">
        <v>0</v>
      </c>
      <c r="O69" s="1958">
        <v>0</v>
      </c>
      <c r="P69" s="1958">
        <v>0</v>
      </c>
      <c r="Q69" s="1958">
        <v>0</v>
      </c>
      <c r="R69" s="1958">
        <v>0</v>
      </c>
      <c r="S69" s="1958">
        <v>0</v>
      </c>
      <c r="T69" s="1958">
        <v>0</v>
      </c>
      <c r="U69" s="1958">
        <v>0</v>
      </c>
      <c r="V69" s="1958">
        <v>0</v>
      </c>
      <c r="W69" s="1958">
        <v>0</v>
      </c>
      <c r="X69" s="1958" t="s">
        <v>728</v>
      </c>
    </row>
    <row r="70" spans="1:24">
      <c r="A70" s="1958" t="s">
        <v>877</v>
      </c>
      <c r="B70" s="1958">
        <v>187</v>
      </c>
      <c r="C70" s="1958">
        <v>2023</v>
      </c>
      <c r="D70" s="1958">
        <v>12</v>
      </c>
      <c r="E70" s="1958">
        <v>69</v>
      </c>
      <c r="F70" s="1958">
        <v>0</v>
      </c>
      <c r="G70" s="1958" t="s">
        <v>1068</v>
      </c>
      <c r="H70" s="1963">
        <v>8892488.9299999997</v>
      </c>
      <c r="I70" s="1963">
        <v>3826332.53</v>
      </c>
      <c r="J70" s="1963">
        <v>0</v>
      </c>
      <c r="K70" s="1963">
        <v>0</v>
      </c>
      <c r="L70" s="1963">
        <v>0</v>
      </c>
      <c r="M70" s="1958">
        <v>0</v>
      </c>
      <c r="N70" s="1958">
        <v>0</v>
      </c>
      <c r="O70" s="1958">
        <v>0</v>
      </c>
      <c r="P70" s="1958">
        <v>0</v>
      </c>
      <c r="Q70" s="1958">
        <v>0</v>
      </c>
      <c r="R70" s="1958">
        <v>0</v>
      </c>
      <c r="S70" s="1958">
        <v>0</v>
      </c>
      <c r="T70" s="1958">
        <v>0</v>
      </c>
      <c r="U70" s="1958">
        <v>0</v>
      </c>
      <c r="V70" s="1958">
        <v>0</v>
      </c>
      <c r="W70" s="1958">
        <v>0</v>
      </c>
      <c r="X70" s="1958" t="s">
        <v>728</v>
      </c>
    </row>
    <row r="71" spans="1:24">
      <c r="A71" s="1958" t="s">
        <v>877</v>
      </c>
      <c r="B71" s="1958">
        <v>187</v>
      </c>
      <c r="C71" s="1958">
        <v>2023</v>
      </c>
      <c r="D71" s="1958">
        <v>12</v>
      </c>
      <c r="E71" s="1958">
        <v>70</v>
      </c>
      <c r="F71" s="1958">
        <v>0</v>
      </c>
      <c r="G71" s="1958" t="s">
        <v>1067</v>
      </c>
      <c r="H71" s="1963">
        <v>128030628.95000002</v>
      </c>
      <c r="I71" s="1963">
        <v>108386891.40999998</v>
      </c>
      <c r="J71" s="1963">
        <v>0</v>
      </c>
      <c r="K71" s="1963">
        <v>0</v>
      </c>
      <c r="L71" s="1963">
        <v>0</v>
      </c>
      <c r="M71" s="1958">
        <v>0</v>
      </c>
      <c r="N71" s="1958">
        <v>0</v>
      </c>
      <c r="O71" s="1958">
        <v>0</v>
      </c>
      <c r="P71" s="1958">
        <v>0</v>
      </c>
      <c r="Q71" s="1958">
        <v>0</v>
      </c>
      <c r="R71" s="1958">
        <v>0</v>
      </c>
      <c r="S71" s="1958">
        <v>0</v>
      </c>
      <c r="T71" s="1958">
        <v>0</v>
      </c>
      <c r="U71" s="1958">
        <v>0</v>
      </c>
      <c r="V71" s="1958">
        <v>0</v>
      </c>
      <c r="W71" s="1958">
        <v>0</v>
      </c>
      <c r="X71" s="1958" t="s">
        <v>728</v>
      </c>
    </row>
    <row r="72" spans="1:24">
      <c r="A72" s="1958" t="s">
        <v>877</v>
      </c>
      <c r="B72" s="1958">
        <v>187</v>
      </c>
      <c r="C72" s="1958">
        <v>2023</v>
      </c>
      <c r="D72" s="1958">
        <v>12</v>
      </c>
      <c r="E72" s="1958">
        <v>71</v>
      </c>
      <c r="F72" s="1958">
        <v>0</v>
      </c>
      <c r="G72" s="1958" t="s">
        <v>1066</v>
      </c>
      <c r="H72" s="1963">
        <v>171180213.55000028</v>
      </c>
      <c r="I72" s="1963">
        <v>155176031.60000008</v>
      </c>
      <c r="J72" s="1963">
        <v>0</v>
      </c>
      <c r="K72" s="1963">
        <v>0</v>
      </c>
      <c r="L72" s="1963">
        <v>0</v>
      </c>
      <c r="M72" s="1958">
        <v>0</v>
      </c>
      <c r="N72" s="1958">
        <v>0</v>
      </c>
      <c r="O72" s="1958">
        <v>0</v>
      </c>
      <c r="P72" s="1958">
        <v>0</v>
      </c>
      <c r="Q72" s="1958">
        <v>0</v>
      </c>
      <c r="R72" s="1958">
        <v>0</v>
      </c>
      <c r="S72" s="1958">
        <v>0</v>
      </c>
      <c r="T72" s="1958">
        <v>0</v>
      </c>
      <c r="U72" s="1958">
        <v>0</v>
      </c>
      <c r="V72" s="1958">
        <v>0</v>
      </c>
      <c r="W72" s="1958">
        <v>0</v>
      </c>
      <c r="X72" s="1958" t="s">
        <v>728</v>
      </c>
    </row>
    <row r="73" spans="1:24">
      <c r="A73" s="1958" t="s">
        <v>877</v>
      </c>
      <c r="B73" s="1958">
        <v>187</v>
      </c>
      <c r="C73" s="1958">
        <v>2023</v>
      </c>
      <c r="D73" s="1958">
        <v>12</v>
      </c>
      <c r="E73" s="1958">
        <v>72</v>
      </c>
      <c r="F73" s="1958">
        <v>0</v>
      </c>
      <c r="G73" s="1958" t="s">
        <v>1065</v>
      </c>
      <c r="H73" s="1963">
        <v>0</v>
      </c>
      <c r="I73" s="1963">
        <v>0</v>
      </c>
      <c r="J73" s="1963">
        <v>0</v>
      </c>
      <c r="K73" s="1963">
        <v>0</v>
      </c>
      <c r="L73" s="1963">
        <v>0</v>
      </c>
      <c r="M73" s="1958">
        <v>0</v>
      </c>
      <c r="N73" s="1958">
        <v>0</v>
      </c>
      <c r="O73" s="1958">
        <v>0</v>
      </c>
      <c r="P73" s="1958">
        <v>0</v>
      </c>
      <c r="Q73" s="1958">
        <v>0</v>
      </c>
      <c r="R73" s="1958">
        <v>0</v>
      </c>
      <c r="S73" s="1958">
        <v>0</v>
      </c>
      <c r="T73" s="1958">
        <v>0</v>
      </c>
      <c r="U73" s="1958">
        <v>0</v>
      </c>
      <c r="V73" s="1958">
        <v>0</v>
      </c>
      <c r="W73" s="1958">
        <v>0</v>
      </c>
      <c r="X73" s="1958" t="s">
        <v>728</v>
      </c>
    </row>
    <row r="74" spans="1:24">
      <c r="A74" s="1958" t="s">
        <v>877</v>
      </c>
      <c r="B74" s="1958">
        <v>187</v>
      </c>
      <c r="C74" s="1958">
        <v>2023</v>
      </c>
      <c r="D74" s="1958">
        <v>12</v>
      </c>
      <c r="E74" s="1958">
        <v>73</v>
      </c>
      <c r="F74" s="1958">
        <v>0</v>
      </c>
      <c r="G74" s="1958" t="s">
        <v>1064</v>
      </c>
      <c r="H74" s="1963">
        <v>0</v>
      </c>
      <c r="I74" s="1963">
        <v>0</v>
      </c>
      <c r="J74" s="1963">
        <v>0</v>
      </c>
      <c r="K74" s="1963">
        <v>0</v>
      </c>
      <c r="L74" s="1963">
        <v>0</v>
      </c>
      <c r="M74" s="1958">
        <v>0</v>
      </c>
      <c r="N74" s="1958">
        <v>0</v>
      </c>
      <c r="O74" s="1958">
        <v>0</v>
      </c>
      <c r="P74" s="1958">
        <v>0</v>
      </c>
      <c r="Q74" s="1958">
        <v>0</v>
      </c>
      <c r="R74" s="1958">
        <v>0</v>
      </c>
      <c r="S74" s="1958">
        <v>0</v>
      </c>
      <c r="T74" s="1958">
        <v>0</v>
      </c>
      <c r="U74" s="1958">
        <v>0</v>
      </c>
      <c r="V74" s="1958">
        <v>0</v>
      </c>
      <c r="W74" s="1958">
        <v>0</v>
      </c>
      <c r="X74" s="1958" t="s">
        <v>728</v>
      </c>
    </row>
    <row r="75" spans="1:24">
      <c r="A75" s="1958" t="s">
        <v>877</v>
      </c>
      <c r="B75" s="1958">
        <v>187</v>
      </c>
      <c r="C75" s="1958">
        <v>2023</v>
      </c>
      <c r="D75" s="1958">
        <v>12</v>
      </c>
      <c r="E75" s="1958">
        <v>74</v>
      </c>
      <c r="F75" s="1958">
        <v>0</v>
      </c>
      <c r="G75" s="1958" t="s">
        <v>1063</v>
      </c>
      <c r="H75" s="1963">
        <v>0</v>
      </c>
      <c r="I75" s="1963">
        <v>0</v>
      </c>
      <c r="J75" s="1963">
        <v>0</v>
      </c>
      <c r="K75" s="1963">
        <v>0</v>
      </c>
      <c r="L75" s="1963">
        <v>0</v>
      </c>
      <c r="M75" s="1958">
        <v>0</v>
      </c>
      <c r="N75" s="1958">
        <v>0</v>
      </c>
      <c r="O75" s="1958">
        <v>0</v>
      </c>
      <c r="P75" s="1958">
        <v>0</v>
      </c>
      <c r="Q75" s="1958">
        <v>0</v>
      </c>
      <c r="R75" s="1958">
        <v>0</v>
      </c>
      <c r="S75" s="1958">
        <v>0</v>
      </c>
      <c r="T75" s="1958">
        <v>0</v>
      </c>
      <c r="U75" s="1958">
        <v>0</v>
      </c>
      <c r="V75" s="1958">
        <v>0</v>
      </c>
      <c r="W75" s="1958">
        <v>0</v>
      </c>
      <c r="X75" s="1958" t="s">
        <v>728</v>
      </c>
    </row>
    <row r="76" spans="1:24">
      <c r="A76" s="1958" t="s">
        <v>877</v>
      </c>
      <c r="B76" s="1958">
        <v>187</v>
      </c>
      <c r="C76" s="1958">
        <v>2023</v>
      </c>
      <c r="D76" s="1958">
        <v>12</v>
      </c>
      <c r="E76" s="1958">
        <v>75</v>
      </c>
      <c r="F76" s="1958">
        <v>0</v>
      </c>
      <c r="G76" s="1958" t="s">
        <v>1062</v>
      </c>
      <c r="H76" s="1963">
        <v>0</v>
      </c>
      <c r="I76" s="1963">
        <v>0</v>
      </c>
      <c r="J76" s="1963">
        <v>0</v>
      </c>
      <c r="K76" s="1963">
        <v>0</v>
      </c>
      <c r="L76" s="1963">
        <v>0</v>
      </c>
      <c r="M76" s="1958">
        <v>0</v>
      </c>
      <c r="N76" s="1958">
        <v>0</v>
      </c>
      <c r="O76" s="1958">
        <v>0</v>
      </c>
      <c r="P76" s="1958">
        <v>0</v>
      </c>
      <c r="Q76" s="1958">
        <v>0</v>
      </c>
      <c r="R76" s="1958">
        <v>0</v>
      </c>
      <c r="S76" s="1958">
        <v>0</v>
      </c>
      <c r="T76" s="1958">
        <v>0</v>
      </c>
      <c r="U76" s="1958">
        <v>0</v>
      </c>
      <c r="V76" s="1958">
        <v>0</v>
      </c>
      <c r="W76" s="1958">
        <v>0</v>
      </c>
      <c r="X76" s="1958" t="s">
        <v>728</v>
      </c>
    </row>
    <row r="77" spans="1:24">
      <c r="A77" s="1958" t="s">
        <v>877</v>
      </c>
      <c r="B77" s="1958">
        <v>187</v>
      </c>
      <c r="C77" s="1958">
        <v>2023</v>
      </c>
      <c r="D77" s="1958">
        <v>12</v>
      </c>
      <c r="E77" s="1958">
        <v>76</v>
      </c>
      <c r="F77" s="1958">
        <v>0</v>
      </c>
      <c r="G77" s="1958" t="s">
        <v>1061</v>
      </c>
      <c r="H77" s="1963">
        <v>0</v>
      </c>
      <c r="I77" s="1963">
        <v>0</v>
      </c>
      <c r="J77" s="1963">
        <v>0</v>
      </c>
      <c r="K77" s="1963">
        <v>0</v>
      </c>
      <c r="L77" s="1963">
        <v>0</v>
      </c>
      <c r="M77" s="1958">
        <v>0</v>
      </c>
      <c r="N77" s="1958">
        <v>0</v>
      </c>
      <c r="O77" s="1958">
        <v>0</v>
      </c>
      <c r="P77" s="1958">
        <v>0</v>
      </c>
      <c r="Q77" s="1958">
        <v>0</v>
      </c>
      <c r="R77" s="1958">
        <v>0</v>
      </c>
      <c r="S77" s="1958">
        <v>0</v>
      </c>
      <c r="T77" s="1958">
        <v>0</v>
      </c>
      <c r="U77" s="1958">
        <v>0</v>
      </c>
      <c r="V77" s="1958">
        <v>0</v>
      </c>
      <c r="W77" s="1958">
        <v>0</v>
      </c>
      <c r="X77" s="1958" t="s">
        <v>836</v>
      </c>
    </row>
    <row r="78" spans="1:24">
      <c r="A78" s="1958" t="s">
        <v>877</v>
      </c>
      <c r="B78" s="1958">
        <v>187</v>
      </c>
      <c r="C78" s="1958">
        <v>2023</v>
      </c>
      <c r="D78" s="1958">
        <v>12</v>
      </c>
      <c r="E78" s="1958">
        <v>77</v>
      </c>
      <c r="F78" s="1958">
        <v>0</v>
      </c>
      <c r="G78" s="1958" t="s">
        <v>1060</v>
      </c>
      <c r="H78" s="1963">
        <v>0</v>
      </c>
      <c r="I78" s="1963">
        <v>0</v>
      </c>
      <c r="J78" s="1963">
        <v>0</v>
      </c>
      <c r="K78" s="1963">
        <v>0</v>
      </c>
      <c r="L78" s="1963">
        <v>0</v>
      </c>
      <c r="M78" s="1958">
        <v>0</v>
      </c>
      <c r="N78" s="1958">
        <v>0</v>
      </c>
      <c r="O78" s="1958">
        <v>0</v>
      </c>
      <c r="P78" s="1958">
        <v>0</v>
      </c>
      <c r="Q78" s="1958">
        <v>0</v>
      </c>
      <c r="R78" s="1958">
        <v>0</v>
      </c>
      <c r="S78" s="1958">
        <v>0</v>
      </c>
      <c r="T78" s="1958">
        <v>0</v>
      </c>
      <c r="U78" s="1958">
        <v>0</v>
      </c>
      <c r="V78" s="1958">
        <v>0</v>
      </c>
      <c r="W78" s="1958">
        <v>0</v>
      </c>
      <c r="X78" s="1958" t="s">
        <v>728</v>
      </c>
    </row>
    <row r="79" spans="1:24">
      <c r="A79" s="1958" t="s">
        <v>877</v>
      </c>
      <c r="B79" s="1958">
        <v>187</v>
      </c>
      <c r="C79" s="1958">
        <v>2023</v>
      </c>
      <c r="D79" s="1958">
        <v>12</v>
      </c>
      <c r="E79" s="1958">
        <v>78</v>
      </c>
      <c r="F79" s="1958">
        <v>0</v>
      </c>
      <c r="G79" s="1958" t="s">
        <v>1059</v>
      </c>
      <c r="H79" s="1963">
        <v>171180213.55000028</v>
      </c>
      <c r="I79" s="1963">
        <v>155176031.60000008</v>
      </c>
      <c r="J79" s="1963">
        <v>0</v>
      </c>
      <c r="K79" s="1963">
        <v>0</v>
      </c>
      <c r="L79" s="1963">
        <v>0</v>
      </c>
      <c r="M79" s="1958">
        <v>0</v>
      </c>
      <c r="N79" s="1958">
        <v>0</v>
      </c>
      <c r="O79" s="1958">
        <v>0</v>
      </c>
      <c r="P79" s="1958">
        <v>0</v>
      </c>
      <c r="Q79" s="1958">
        <v>0</v>
      </c>
      <c r="R79" s="1958">
        <v>0</v>
      </c>
      <c r="S79" s="1958">
        <v>0</v>
      </c>
      <c r="T79" s="1958">
        <v>0</v>
      </c>
      <c r="U79" s="1958">
        <v>0</v>
      </c>
      <c r="V79" s="1958">
        <v>0</v>
      </c>
      <c r="W79" s="1958">
        <v>0</v>
      </c>
      <c r="X79" s="1958" t="s">
        <v>728</v>
      </c>
    </row>
  </sheetData>
  <pageMargins left="0.75" right="0.75" top="1" bottom="1" header="0.5" footer="0.5"/>
  <pageSetup orientation="portrait" r:id="rId1"/>
  <customProperties>
    <customPr name="xxe4aPID" r:id="rId2"/>
  </customPropertie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1CE73-602C-4D12-9D76-8BF1828C43A9}">
  <sheetPr codeName="Sheet47">
    <tabColor rgb="FF92D050"/>
  </sheetPr>
  <dimension ref="A1:S34"/>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11.125" style="1958" bestFit="1" customWidth="1"/>
    <col min="6" max="6" width="9.75" style="1958" bestFit="1" customWidth="1"/>
    <col min="7" max="7" width="10.75" style="1958" bestFit="1" customWidth="1"/>
    <col min="8" max="8" width="40.625" style="1958" bestFit="1" customWidth="1"/>
    <col min="9" max="11" width="9.75" style="1958" bestFit="1" customWidth="1"/>
    <col min="12" max="12" width="5.5" style="1958" bestFit="1" customWidth="1"/>
    <col min="13" max="13" width="4.625" style="1958" bestFit="1" customWidth="1"/>
    <col min="14" max="14" width="5.5" style="1958" bestFit="1" customWidth="1"/>
    <col min="15" max="15" width="4.625" style="1958" bestFit="1" customWidth="1"/>
    <col min="16" max="16" width="5.5" style="1958" bestFit="1" customWidth="1"/>
    <col min="17" max="17" width="4.625" style="1958" bestFit="1" customWidth="1"/>
    <col min="18" max="18" width="8.875" style="1958" bestFit="1" customWidth="1"/>
    <col min="19" max="16384" width="9" style="1958"/>
  </cols>
  <sheetData>
    <row r="1" spans="1:19">
      <c r="A1" s="1958" t="s">
        <v>984</v>
      </c>
      <c r="B1" s="1958" t="s">
        <v>983</v>
      </c>
      <c r="C1" s="1958" t="s">
        <v>982</v>
      </c>
      <c r="D1" s="1958" t="s">
        <v>981</v>
      </c>
      <c r="E1" s="1958" t="s">
        <v>1199</v>
      </c>
      <c r="F1" s="1958" t="s">
        <v>980</v>
      </c>
      <c r="G1" s="1958" t="s">
        <v>979</v>
      </c>
      <c r="H1" s="1958" t="s">
        <v>1159</v>
      </c>
      <c r="I1" s="1958" t="s">
        <v>1198</v>
      </c>
      <c r="J1" s="1958" t="s">
        <v>1197</v>
      </c>
      <c r="K1" s="1958" t="s">
        <v>1196</v>
      </c>
      <c r="L1" s="1958" t="s">
        <v>1195</v>
      </c>
      <c r="M1" s="1958" t="s">
        <v>1194</v>
      </c>
      <c r="N1" s="1958" t="s">
        <v>1193</v>
      </c>
      <c r="O1" s="1958" t="s">
        <v>1192</v>
      </c>
      <c r="P1" s="1958" t="s">
        <v>1191</v>
      </c>
      <c r="Q1" s="1958" t="s">
        <v>1190</v>
      </c>
      <c r="R1" s="1958" t="s">
        <v>1189</v>
      </c>
    </row>
    <row r="2" spans="1:19">
      <c r="A2" s="1958" t="s">
        <v>877</v>
      </c>
      <c r="B2" s="1958">
        <v>187</v>
      </c>
      <c r="C2" s="1958">
        <v>2023</v>
      </c>
      <c r="D2" s="1958">
        <v>12</v>
      </c>
      <c r="E2" s="1958">
        <v>0</v>
      </c>
      <c r="F2" s="1958">
        <v>1</v>
      </c>
      <c r="G2" s="1958">
        <v>0</v>
      </c>
      <c r="H2" s="1958" t="s">
        <v>274</v>
      </c>
      <c r="I2" s="1958">
        <v>0</v>
      </c>
      <c r="J2" s="1958">
        <v>0</v>
      </c>
      <c r="K2" s="1958">
        <v>0</v>
      </c>
      <c r="L2" s="1958" t="s">
        <v>728</v>
      </c>
      <c r="M2" s="1958">
        <v>0</v>
      </c>
      <c r="N2" s="1958" t="s">
        <v>728</v>
      </c>
      <c r="O2" s="1958">
        <v>0</v>
      </c>
      <c r="P2" s="1958" t="s">
        <v>728</v>
      </c>
      <c r="Q2" s="1958">
        <v>0</v>
      </c>
      <c r="R2" s="1958">
        <v>0</v>
      </c>
    </row>
    <row r="3" spans="1:19">
      <c r="A3" s="1958" t="s">
        <v>877</v>
      </c>
      <c r="B3" s="1958">
        <v>187</v>
      </c>
      <c r="C3" s="1958">
        <v>2023</v>
      </c>
      <c r="D3" s="1958">
        <v>12</v>
      </c>
      <c r="E3" s="1958">
        <v>0</v>
      </c>
      <c r="F3" s="1958">
        <v>2</v>
      </c>
      <c r="G3" s="1958">
        <v>0</v>
      </c>
      <c r="H3" s="1958" t="s">
        <v>1188</v>
      </c>
      <c r="I3" s="1958">
        <v>0</v>
      </c>
      <c r="J3" s="1958">
        <v>0</v>
      </c>
      <c r="K3" s="1958">
        <v>0</v>
      </c>
      <c r="L3" s="1958" t="s">
        <v>728</v>
      </c>
      <c r="M3" s="1958">
        <v>0</v>
      </c>
      <c r="N3" s="1958" t="s">
        <v>728</v>
      </c>
      <c r="O3" s="1958">
        <v>0</v>
      </c>
      <c r="P3" s="1958" t="s">
        <v>728</v>
      </c>
      <c r="Q3" s="1958">
        <v>0</v>
      </c>
      <c r="R3" s="1958">
        <v>0</v>
      </c>
    </row>
    <row r="4" spans="1:19">
      <c r="A4" s="1958" t="s">
        <v>877</v>
      </c>
      <c r="B4" s="1958">
        <v>187</v>
      </c>
      <c r="C4" s="1958">
        <v>2023</v>
      </c>
      <c r="D4" s="1958">
        <v>12</v>
      </c>
      <c r="E4" s="1958">
        <v>0</v>
      </c>
      <c r="F4" s="1958">
        <v>3</v>
      </c>
      <c r="G4" s="1958">
        <v>0</v>
      </c>
      <c r="H4" s="1958" t="s">
        <v>1187</v>
      </c>
      <c r="I4" s="1958">
        <v>7781458219</v>
      </c>
      <c r="J4" s="1958">
        <v>5352763952</v>
      </c>
      <c r="K4" s="1958">
        <v>1683865098</v>
      </c>
      <c r="L4" s="1958" t="s">
        <v>728</v>
      </c>
      <c r="M4" s="1958">
        <v>0</v>
      </c>
      <c r="N4" s="1958" t="s">
        <v>728</v>
      </c>
      <c r="O4" s="1958">
        <v>0</v>
      </c>
      <c r="P4" s="1958" t="s">
        <v>728</v>
      </c>
      <c r="Q4" s="1958">
        <v>0</v>
      </c>
      <c r="R4" s="1966">
        <v>744829169</v>
      </c>
      <c r="S4" s="1958" t="s">
        <v>1186</v>
      </c>
    </row>
    <row r="5" spans="1:19">
      <c r="A5" s="1958" t="s">
        <v>877</v>
      </c>
      <c r="B5" s="1958">
        <v>187</v>
      </c>
      <c r="C5" s="1958">
        <v>2023</v>
      </c>
      <c r="D5" s="1958">
        <v>12</v>
      </c>
      <c r="E5" s="1958">
        <v>0</v>
      </c>
      <c r="F5" s="1958">
        <v>4</v>
      </c>
      <c r="G5" s="1958">
        <v>0</v>
      </c>
      <c r="H5" s="1958" t="s">
        <v>1185</v>
      </c>
      <c r="I5" s="1958">
        <v>67585264</v>
      </c>
      <c r="J5" s="1958">
        <v>0</v>
      </c>
      <c r="K5" s="1958">
        <v>0</v>
      </c>
      <c r="L5" s="1958" t="s">
        <v>728</v>
      </c>
      <c r="M5" s="1958">
        <v>0</v>
      </c>
      <c r="N5" s="1958" t="s">
        <v>728</v>
      </c>
      <c r="O5" s="1958">
        <v>0</v>
      </c>
      <c r="P5" s="1958" t="s">
        <v>728</v>
      </c>
      <c r="Q5" s="1958">
        <v>0</v>
      </c>
      <c r="R5" s="1958">
        <v>67585264</v>
      </c>
    </row>
    <row r="6" spans="1:19">
      <c r="A6" s="1958" t="s">
        <v>877</v>
      </c>
      <c r="B6" s="1958">
        <v>187</v>
      </c>
      <c r="C6" s="1958">
        <v>2023</v>
      </c>
      <c r="D6" s="1958">
        <v>12</v>
      </c>
      <c r="E6" s="1958">
        <v>0</v>
      </c>
      <c r="F6" s="1958">
        <v>5</v>
      </c>
      <c r="G6" s="1958">
        <v>0</v>
      </c>
      <c r="H6" s="1958" t="s">
        <v>1184</v>
      </c>
      <c r="I6" s="1958">
        <v>0</v>
      </c>
      <c r="J6" s="1958">
        <v>0</v>
      </c>
      <c r="K6" s="1958">
        <v>0</v>
      </c>
      <c r="L6" s="1958" t="s">
        <v>728</v>
      </c>
      <c r="M6" s="1958">
        <v>0</v>
      </c>
      <c r="N6" s="1958" t="s">
        <v>728</v>
      </c>
      <c r="O6" s="1958">
        <v>0</v>
      </c>
      <c r="P6" s="1958" t="s">
        <v>728</v>
      </c>
      <c r="Q6" s="1958">
        <v>0</v>
      </c>
      <c r="R6" s="1958">
        <v>0</v>
      </c>
    </row>
    <row r="7" spans="1:19">
      <c r="A7" s="1958" t="s">
        <v>877</v>
      </c>
      <c r="B7" s="1958">
        <v>187</v>
      </c>
      <c r="C7" s="1958">
        <v>2023</v>
      </c>
      <c r="D7" s="1958">
        <v>12</v>
      </c>
      <c r="E7" s="1958">
        <v>0</v>
      </c>
      <c r="F7" s="1958">
        <v>6</v>
      </c>
      <c r="G7" s="1958">
        <v>0</v>
      </c>
      <c r="H7" s="1958" t="s">
        <v>1183</v>
      </c>
      <c r="I7" s="1958">
        <v>0</v>
      </c>
      <c r="J7" s="1958">
        <v>0</v>
      </c>
      <c r="K7" s="1958">
        <v>0</v>
      </c>
      <c r="L7" s="1958" t="s">
        <v>728</v>
      </c>
      <c r="M7" s="1958">
        <v>0</v>
      </c>
      <c r="N7" s="1958" t="s">
        <v>728</v>
      </c>
      <c r="O7" s="1958">
        <v>0</v>
      </c>
      <c r="P7" s="1958" t="s">
        <v>728</v>
      </c>
      <c r="Q7" s="1958">
        <v>0</v>
      </c>
      <c r="R7" s="1958">
        <v>0</v>
      </c>
    </row>
    <row r="8" spans="1:19">
      <c r="A8" s="1958" t="s">
        <v>877</v>
      </c>
      <c r="B8" s="1958">
        <v>187</v>
      </c>
      <c r="C8" s="1958">
        <v>2023</v>
      </c>
      <c r="D8" s="1958">
        <v>12</v>
      </c>
      <c r="E8" s="1958">
        <v>0</v>
      </c>
      <c r="F8" s="1958">
        <v>7</v>
      </c>
      <c r="G8" s="1958">
        <v>0</v>
      </c>
      <c r="H8" s="1958" t="s">
        <v>1182</v>
      </c>
      <c r="I8" s="1958">
        <v>0</v>
      </c>
      <c r="J8" s="1958">
        <v>0</v>
      </c>
      <c r="K8" s="1958">
        <v>0</v>
      </c>
      <c r="L8" s="1958" t="s">
        <v>728</v>
      </c>
      <c r="M8" s="1958">
        <v>0</v>
      </c>
      <c r="N8" s="1958" t="s">
        <v>728</v>
      </c>
      <c r="O8" s="1958">
        <v>0</v>
      </c>
      <c r="P8" s="1958" t="s">
        <v>728</v>
      </c>
      <c r="Q8" s="1958">
        <v>0</v>
      </c>
      <c r="R8" s="1958">
        <v>0</v>
      </c>
    </row>
    <row r="9" spans="1:19">
      <c r="A9" s="1958" t="s">
        <v>877</v>
      </c>
      <c r="B9" s="1958">
        <v>187</v>
      </c>
      <c r="C9" s="1958">
        <v>2023</v>
      </c>
      <c r="D9" s="1958">
        <v>12</v>
      </c>
      <c r="E9" s="1958">
        <v>0</v>
      </c>
      <c r="F9" s="1958">
        <v>8</v>
      </c>
      <c r="G9" s="1958">
        <v>0</v>
      </c>
      <c r="H9" s="1958" t="s">
        <v>1181</v>
      </c>
      <c r="I9" s="1958">
        <f>SUM(I4:I8)</f>
        <v>7849043483</v>
      </c>
      <c r="J9" s="1958">
        <f>SUM(J4:J8)</f>
        <v>5352763952</v>
      </c>
      <c r="K9" s="1958">
        <f>SUM(K4:K8)</f>
        <v>1683865098</v>
      </c>
      <c r="L9" s="1958" t="s">
        <v>728</v>
      </c>
      <c r="M9" s="1958">
        <v>0</v>
      </c>
      <c r="N9" s="1958" t="s">
        <v>728</v>
      </c>
      <c r="O9" s="1958">
        <v>0</v>
      </c>
      <c r="P9" s="1958" t="s">
        <v>728</v>
      </c>
      <c r="Q9" s="1958">
        <v>0</v>
      </c>
      <c r="R9" s="1958">
        <f>SUM(R4:R8)</f>
        <v>812414433</v>
      </c>
    </row>
    <row r="10" spans="1:19">
      <c r="A10" s="1958" t="s">
        <v>877</v>
      </c>
      <c r="B10" s="1958">
        <v>187</v>
      </c>
      <c r="C10" s="1958">
        <v>2023</v>
      </c>
      <c r="D10" s="1958">
        <v>12</v>
      </c>
      <c r="E10" s="1958">
        <v>0</v>
      </c>
      <c r="F10" s="1958">
        <v>9</v>
      </c>
      <c r="G10" s="1958">
        <v>0</v>
      </c>
      <c r="H10" s="1958" t="s">
        <v>1169</v>
      </c>
      <c r="I10" s="1958">
        <v>0</v>
      </c>
      <c r="J10" s="1958">
        <v>0</v>
      </c>
      <c r="K10" s="1958">
        <v>0</v>
      </c>
      <c r="L10" s="1958" t="s">
        <v>728</v>
      </c>
      <c r="M10" s="1958">
        <v>0</v>
      </c>
      <c r="N10" s="1958" t="s">
        <v>728</v>
      </c>
      <c r="O10" s="1958">
        <v>0</v>
      </c>
      <c r="P10" s="1958" t="s">
        <v>728</v>
      </c>
      <c r="Q10" s="1958">
        <v>0</v>
      </c>
      <c r="R10" s="1958">
        <v>0</v>
      </c>
    </row>
    <row r="11" spans="1:19">
      <c r="A11" s="1958" t="s">
        <v>877</v>
      </c>
      <c r="B11" s="1958">
        <v>187</v>
      </c>
      <c r="C11" s="1958">
        <v>2023</v>
      </c>
      <c r="D11" s="1958">
        <v>12</v>
      </c>
      <c r="E11" s="1958">
        <v>0</v>
      </c>
      <c r="F11" s="1958">
        <v>10</v>
      </c>
      <c r="G11" s="1958">
        <v>0</v>
      </c>
      <c r="H11" s="1958" t="s">
        <v>1166</v>
      </c>
      <c r="I11" s="1958">
        <v>3658920</v>
      </c>
      <c r="J11" s="1958">
        <v>2928319</v>
      </c>
      <c r="K11" s="1958">
        <v>180896</v>
      </c>
      <c r="L11" s="1958" t="s">
        <v>728</v>
      </c>
      <c r="M11" s="1958">
        <v>0</v>
      </c>
      <c r="N11" s="1958" t="s">
        <v>728</v>
      </c>
      <c r="O11" s="1958">
        <v>0</v>
      </c>
      <c r="P11" s="1958" t="s">
        <v>728</v>
      </c>
      <c r="Q11" s="1958">
        <v>0</v>
      </c>
      <c r="R11" s="1958">
        <v>549705</v>
      </c>
    </row>
    <row r="12" spans="1:19">
      <c r="A12" s="1958" t="s">
        <v>877</v>
      </c>
      <c r="B12" s="1958">
        <v>187</v>
      </c>
      <c r="C12" s="1958">
        <v>2023</v>
      </c>
      <c r="D12" s="1958">
        <v>12</v>
      </c>
      <c r="E12" s="1958">
        <v>0</v>
      </c>
      <c r="F12" s="1958">
        <v>11</v>
      </c>
      <c r="G12" s="1958">
        <v>0</v>
      </c>
      <c r="H12" s="1958" t="s">
        <v>1180</v>
      </c>
      <c r="I12" s="1958">
        <v>170812964</v>
      </c>
      <c r="J12" s="1958">
        <v>132548007</v>
      </c>
      <c r="K12" s="1958">
        <v>7682114</v>
      </c>
      <c r="L12" s="1958" t="s">
        <v>728</v>
      </c>
      <c r="M12" s="1958">
        <v>0</v>
      </c>
      <c r="N12" s="1958" t="s">
        <v>728</v>
      </c>
      <c r="O12" s="1958">
        <v>0</v>
      </c>
      <c r="P12" s="1958" t="s">
        <v>728</v>
      </c>
      <c r="Q12" s="1958">
        <v>0</v>
      </c>
      <c r="R12" s="1966">
        <v>30582843</v>
      </c>
    </row>
    <row r="13" spans="1:19">
      <c r="A13" s="1958" t="s">
        <v>877</v>
      </c>
      <c r="B13" s="1958">
        <v>187</v>
      </c>
      <c r="C13" s="1958">
        <v>2023</v>
      </c>
      <c r="D13" s="1958">
        <v>12</v>
      </c>
      <c r="E13" s="1958">
        <v>0</v>
      </c>
      <c r="F13" s="1958">
        <v>12</v>
      </c>
      <c r="G13" s="1958">
        <v>0</v>
      </c>
      <c r="H13" s="1965" t="s">
        <v>1179</v>
      </c>
      <c r="I13" s="1965">
        <v>256800</v>
      </c>
      <c r="J13" s="1965">
        <v>256800</v>
      </c>
      <c r="K13" s="1958">
        <v>0</v>
      </c>
      <c r="L13" s="1958" t="s">
        <v>728</v>
      </c>
      <c r="M13" s="1958">
        <v>0</v>
      </c>
      <c r="N13" s="1958" t="s">
        <v>728</v>
      </c>
      <c r="O13" s="1958">
        <v>0</v>
      </c>
      <c r="P13" s="1958" t="s">
        <v>728</v>
      </c>
      <c r="Q13" s="1958">
        <v>0</v>
      </c>
      <c r="R13" s="1958">
        <v>0</v>
      </c>
    </row>
    <row r="14" spans="1:19">
      <c r="A14" s="1958" t="s">
        <v>877</v>
      </c>
      <c r="B14" s="1958">
        <v>187</v>
      </c>
      <c r="C14" s="1958">
        <v>2023</v>
      </c>
      <c r="D14" s="1958">
        <v>12</v>
      </c>
      <c r="E14" s="1958">
        <v>0</v>
      </c>
      <c r="F14" s="1958">
        <v>13</v>
      </c>
      <c r="G14" s="1958">
        <v>0</v>
      </c>
      <c r="H14" s="1958" t="s">
        <v>1178</v>
      </c>
      <c r="I14" s="1958">
        <f>SUM(I9:I13)</f>
        <v>8023772167</v>
      </c>
      <c r="J14" s="1958">
        <f>SUM(J9:J13)</f>
        <v>5488497078</v>
      </c>
      <c r="K14" s="1958">
        <f>SUM(K9:K13)</f>
        <v>1691728108</v>
      </c>
      <c r="M14" s="1958">
        <v>0</v>
      </c>
      <c r="O14" s="1958">
        <v>0</v>
      </c>
      <c r="Q14" s="1958">
        <v>0</v>
      </c>
      <c r="R14" s="1958">
        <f>SUM(R9:R13)</f>
        <v>843546981</v>
      </c>
    </row>
    <row r="15" spans="1:19">
      <c r="A15" s="1958" t="s">
        <v>877</v>
      </c>
      <c r="B15" s="1958">
        <v>187</v>
      </c>
      <c r="C15" s="1958">
        <v>2023</v>
      </c>
      <c r="D15" s="1958">
        <v>12</v>
      </c>
      <c r="E15" s="1958">
        <v>0</v>
      </c>
      <c r="F15" s="1958">
        <v>14</v>
      </c>
      <c r="G15" s="1958">
        <v>0</v>
      </c>
      <c r="H15" s="1958" t="s">
        <v>1177</v>
      </c>
      <c r="I15" s="1958">
        <v>2796332034</v>
      </c>
      <c r="J15" s="1958">
        <v>1969142630</v>
      </c>
      <c r="K15" s="1958">
        <v>513678701</v>
      </c>
      <c r="L15" s="1958" t="s">
        <v>728</v>
      </c>
      <c r="M15" s="1958">
        <v>0</v>
      </c>
      <c r="N15" s="1958" t="s">
        <v>728</v>
      </c>
      <c r="O15" s="1958">
        <v>0</v>
      </c>
      <c r="P15" s="1958" t="s">
        <v>728</v>
      </c>
      <c r="Q15" s="1958">
        <v>0</v>
      </c>
      <c r="R15" s="1966">
        <v>313510703</v>
      </c>
    </row>
    <row r="16" spans="1:19">
      <c r="A16" s="1958" t="s">
        <v>877</v>
      </c>
      <c r="B16" s="1958">
        <v>187</v>
      </c>
      <c r="C16" s="1958">
        <v>2023</v>
      </c>
      <c r="D16" s="1958">
        <v>12</v>
      </c>
      <c r="E16" s="1958">
        <v>0</v>
      </c>
      <c r="F16" s="1958">
        <v>15</v>
      </c>
      <c r="G16" s="1958">
        <v>0</v>
      </c>
      <c r="H16" s="1958" t="s">
        <v>1176</v>
      </c>
      <c r="I16" s="1958">
        <v>5227440133</v>
      </c>
      <c r="J16" s="1958">
        <v>3519354448</v>
      </c>
      <c r="K16" s="1958">
        <v>1178049407</v>
      </c>
      <c r="L16" s="1958" t="s">
        <v>728</v>
      </c>
      <c r="M16" s="1958">
        <v>0</v>
      </c>
      <c r="N16" s="1958" t="s">
        <v>728</v>
      </c>
      <c r="O16" s="1958">
        <v>0</v>
      </c>
      <c r="P16" s="1958" t="s">
        <v>728</v>
      </c>
      <c r="Q16" s="1958">
        <v>0</v>
      </c>
      <c r="R16" s="1958">
        <v>530036278</v>
      </c>
    </row>
    <row r="17" spans="1:18">
      <c r="A17" s="1958" t="s">
        <v>877</v>
      </c>
      <c r="B17" s="1958">
        <v>187</v>
      </c>
      <c r="C17" s="1958">
        <v>2023</v>
      </c>
      <c r="D17" s="1958">
        <v>12</v>
      </c>
      <c r="E17" s="1958">
        <v>0</v>
      </c>
      <c r="F17" s="1958">
        <v>16</v>
      </c>
      <c r="G17" s="1958">
        <v>0</v>
      </c>
      <c r="H17" s="1958" t="s">
        <v>1175</v>
      </c>
      <c r="I17" s="1958">
        <v>0</v>
      </c>
      <c r="J17" s="1958">
        <v>0</v>
      </c>
      <c r="K17" s="1958">
        <v>0</v>
      </c>
      <c r="L17" s="1958" t="s">
        <v>728</v>
      </c>
      <c r="M17" s="1958">
        <v>0</v>
      </c>
      <c r="N17" s="1958" t="s">
        <v>728</v>
      </c>
      <c r="O17" s="1958">
        <v>0</v>
      </c>
      <c r="P17" s="1958" t="s">
        <v>728</v>
      </c>
      <c r="Q17" s="1958">
        <v>0</v>
      </c>
      <c r="R17" s="1958">
        <v>0</v>
      </c>
    </row>
    <row r="18" spans="1:18">
      <c r="A18" s="1958" t="s">
        <v>877</v>
      </c>
      <c r="B18" s="1958">
        <v>187</v>
      </c>
      <c r="C18" s="1958">
        <v>2023</v>
      </c>
      <c r="D18" s="1958">
        <v>12</v>
      </c>
      <c r="E18" s="1958">
        <v>0</v>
      </c>
      <c r="F18" s="1958">
        <v>17</v>
      </c>
      <c r="G18" s="1958">
        <v>0</v>
      </c>
      <c r="H18" s="1958" t="s">
        <v>1174</v>
      </c>
      <c r="I18" s="1958">
        <v>0</v>
      </c>
      <c r="J18" s="1958">
        <v>0</v>
      </c>
      <c r="K18" s="1958">
        <v>0</v>
      </c>
      <c r="L18" s="1958" t="s">
        <v>728</v>
      </c>
      <c r="M18" s="1958">
        <v>0</v>
      </c>
      <c r="N18" s="1958" t="s">
        <v>728</v>
      </c>
      <c r="O18" s="1958">
        <v>0</v>
      </c>
      <c r="P18" s="1958" t="s">
        <v>728</v>
      </c>
      <c r="Q18" s="1958">
        <v>0</v>
      </c>
      <c r="R18" s="1958">
        <v>0</v>
      </c>
    </row>
    <row r="19" spans="1:18">
      <c r="A19" s="1958" t="s">
        <v>877</v>
      </c>
      <c r="B19" s="1958">
        <v>187</v>
      </c>
      <c r="C19" s="1958">
        <v>2023</v>
      </c>
      <c r="D19" s="1958">
        <v>12</v>
      </c>
      <c r="E19" s="1958">
        <v>0</v>
      </c>
      <c r="F19" s="1958">
        <v>18</v>
      </c>
      <c r="G19" s="1958">
        <v>0</v>
      </c>
      <c r="H19" s="1958" t="s">
        <v>1165</v>
      </c>
      <c r="I19" s="1958">
        <v>2573168761</v>
      </c>
      <c r="J19" s="1958">
        <v>1928168400</v>
      </c>
      <c r="K19" s="1958">
        <v>512558995</v>
      </c>
      <c r="L19" s="1958" t="s">
        <v>728</v>
      </c>
      <c r="M19" s="1958">
        <v>0</v>
      </c>
      <c r="N19" s="1958" t="s">
        <v>728</v>
      </c>
      <c r="O19" s="1958">
        <v>0</v>
      </c>
      <c r="P19" s="1958" t="s">
        <v>728</v>
      </c>
      <c r="Q19" s="1958">
        <v>0</v>
      </c>
      <c r="R19" s="1958">
        <v>132441336</v>
      </c>
    </row>
    <row r="20" spans="1:18">
      <c r="A20" s="1958" t="s">
        <v>877</v>
      </c>
      <c r="B20" s="1958">
        <v>187</v>
      </c>
      <c r="C20" s="1958">
        <v>2023</v>
      </c>
      <c r="D20" s="1958">
        <v>12</v>
      </c>
      <c r="E20" s="1958">
        <v>0</v>
      </c>
      <c r="F20" s="1958">
        <v>19</v>
      </c>
      <c r="G20" s="1958">
        <v>0</v>
      </c>
      <c r="H20" s="1958" t="s">
        <v>1173</v>
      </c>
      <c r="I20" s="1958">
        <v>0</v>
      </c>
      <c r="J20" s="1958">
        <v>0</v>
      </c>
      <c r="K20" s="1958">
        <v>0</v>
      </c>
      <c r="L20" s="1958" t="s">
        <v>728</v>
      </c>
      <c r="M20" s="1958">
        <v>0</v>
      </c>
      <c r="N20" s="1958" t="s">
        <v>728</v>
      </c>
      <c r="O20" s="1958">
        <v>0</v>
      </c>
      <c r="P20" s="1958" t="s">
        <v>728</v>
      </c>
      <c r="Q20" s="1958">
        <v>0</v>
      </c>
      <c r="R20" s="1958">
        <v>0</v>
      </c>
    </row>
    <row r="21" spans="1:18">
      <c r="A21" s="1958" t="s">
        <v>877</v>
      </c>
      <c r="B21" s="1958">
        <v>187</v>
      </c>
      <c r="C21" s="1958">
        <v>2023</v>
      </c>
      <c r="D21" s="1958">
        <v>12</v>
      </c>
      <c r="E21" s="1958">
        <v>0</v>
      </c>
      <c r="F21" s="1958">
        <v>20</v>
      </c>
      <c r="G21" s="1958">
        <v>0</v>
      </c>
      <c r="H21" s="1958" t="s">
        <v>1172</v>
      </c>
      <c r="I21" s="1958">
        <v>0</v>
      </c>
      <c r="J21" s="1958">
        <v>0</v>
      </c>
      <c r="K21" s="1958">
        <v>0</v>
      </c>
      <c r="L21" s="1958" t="s">
        <v>728</v>
      </c>
      <c r="M21" s="1958">
        <v>0</v>
      </c>
      <c r="N21" s="1958" t="s">
        <v>728</v>
      </c>
      <c r="O21" s="1958">
        <v>0</v>
      </c>
      <c r="P21" s="1958" t="s">
        <v>728</v>
      </c>
      <c r="Q21" s="1958">
        <v>0</v>
      </c>
      <c r="R21" s="1958">
        <v>0</v>
      </c>
    </row>
    <row r="22" spans="1:18">
      <c r="A22" s="1958" t="s">
        <v>877</v>
      </c>
      <c r="B22" s="1958">
        <v>187</v>
      </c>
      <c r="C22" s="1958">
        <v>2023</v>
      </c>
      <c r="D22" s="1958">
        <v>12</v>
      </c>
      <c r="E22" s="1958">
        <v>0</v>
      </c>
      <c r="F22" s="1958">
        <v>21</v>
      </c>
      <c r="G22" s="1958">
        <v>0</v>
      </c>
      <c r="H22" s="1958" t="s">
        <v>1171</v>
      </c>
      <c r="I22" s="1958">
        <v>223163273</v>
      </c>
      <c r="J22" s="1958">
        <v>40974230</v>
      </c>
      <c r="K22" s="1958">
        <v>1119706</v>
      </c>
      <c r="L22" s="1958" t="s">
        <v>728</v>
      </c>
      <c r="M22" s="1958">
        <v>0</v>
      </c>
      <c r="N22" s="1958" t="s">
        <v>728</v>
      </c>
      <c r="O22" s="1958">
        <v>0</v>
      </c>
      <c r="P22" s="1958" t="s">
        <v>728</v>
      </c>
      <c r="Q22" s="1958">
        <v>0</v>
      </c>
      <c r="R22" s="1958">
        <v>181069337</v>
      </c>
    </row>
    <row r="23" spans="1:18">
      <c r="A23" s="1958" t="s">
        <v>877</v>
      </c>
      <c r="B23" s="1958">
        <v>187</v>
      </c>
      <c r="C23" s="1958">
        <v>2023</v>
      </c>
      <c r="D23" s="1958">
        <v>12</v>
      </c>
      <c r="E23" s="1958">
        <v>0</v>
      </c>
      <c r="F23" s="1958">
        <v>22</v>
      </c>
      <c r="G23" s="1958">
        <v>0</v>
      </c>
      <c r="H23" s="1958" t="s">
        <v>1170</v>
      </c>
      <c r="I23" s="1958">
        <f>SUM(I19:I22)</f>
        <v>2796332034</v>
      </c>
      <c r="J23" s="1958">
        <f>SUM(J19:J22)</f>
        <v>1969142630</v>
      </c>
      <c r="K23" s="1958">
        <f>SUM(K19:K22)</f>
        <v>513678701</v>
      </c>
      <c r="L23" s="1958" t="s">
        <v>728</v>
      </c>
      <c r="M23" s="1958">
        <v>0</v>
      </c>
      <c r="N23" s="1958" t="s">
        <v>728</v>
      </c>
      <c r="O23" s="1958">
        <v>0</v>
      </c>
      <c r="P23" s="1958" t="s">
        <v>728</v>
      </c>
      <c r="Q23" s="1958">
        <v>0</v>
      </c>
      <c r="R23" s="1966">
        <f>SUM(R19:R22)</f>
        <v>313510673</v>
      </c>
    </row>
    <row r="24" spans="1:18">
      <c r="A24" s="1958" t="s">
        <v>877</v>
      </c>
      <c r="B24" s="1958">
        <v>187</v>
      </c>
      <c r="C24" s="1958">
        <v>2023</v>
      </c>
      <c r="D24" s="1958">
        <v>12</v>
      </c>
      <c r="E24" s="1958">
        <v>0</v>
      </c>
      <c r="F24" s="1958">
        <v>23</v>
      </c>
      <c r="G24" s="1958">
        <v>0</v>
      </c>
      <c r="H24" s="1958" t="s">
        <v>1169</v>
      </c>
      <c r="I24" s="1958">
        <v>0</v>
      </c>
      <c r="J24" s="1958">
        <v>0</v>
      </c>
      <c r="K24" s="1958">
        <v>0</v>
      </c>
      <c r="L24" s="1958" t="s">
        <v>728</v>
      </c>
      <c r="M24" s="1958">
        <v>0</v>
      </c>
      <c r="N24" s="1958" t="s">
        <v>728</v>
      </c>
      <c r="O24" s="1958">
        <v>0</v>
      </c>
      <c r="P24" s="1958" t="s">
        <v>728</v>
      </c>
      <c r="Q24" s="1958">
        <v>0</v>
      </c>
      <c r="R24" s="1958">
        <v>0</v>
      </c>
    </row>
    <row r="25" spans="1:18">
      <c r="A25" s="1958" t="s">
        <v>877</v>
      </c>
      <c r="B25" s="1958">
        <v>187</v>
      </c>
      <c r="C25" s="1958">
        <v>2023</v>
      </c>
      <c r="D25" s="1958">
        <v>12</v>
      </c>
      <c r="E25" s="1958">
        <v>0</v>
      </c>
      <c r="F25" s="1958">
        <v>24</v>
      </c>
      <c r="G25" s="1958">
        <v>0</v>
      </c>
      <c r="H25" s="1958" t="s">
        <v>1165</v>
      </c>
      <c r="I25" s="1958">
        <v>0</v>
      </c>
      <c r="J25" s="1958">
        <v>0</v>
      </c>
      <c r="K25" s="1958">
        <v>0</v>
      </c>
      <c r="L25" s="1958" t="s">
        <v>728</v>
      </c>
      <c r="M25" s="1958">
        <v>0</v>
      </c>
      <c r="N25" s="1958" t="s">
        <v>728</v>
      </c>
      <c r="O25" s="1958">
        <v>0</v>
      </c>
      <c r="P25" s="1958" t="s">
        <v>728</v>
      </c>
      <c r="Q25" s="1958">
        <v>0</v>
      </c>
      <c r="R25" s="1958">
        <v>0</v>
      </c>
    </row>
    <row r="26" spans="1:18">
      <c r="A26" s="1958" t="s">
        <v>877</v>
      </c>
      <c r="B26" s="1958">
        <v>187</v>
      </c>
      <c r="C26" s="1958">
        <v>2023</v>
      </c>
      <c r="D26" s="1958">
        <v>12</v>
      </c>
      <c r="E26" s="1958">
        <v>0</v>
      </c>
      <c r="F26" s="1958">
        <v>25</v>
      </c>
      <c r="G26" s="1958">
        <v>0</v>
      </c>
      <c r="H26" s="1958" t="s">
        <v>1168</v>
      </c>
      <c r="I26" s="1958">
        <v>0</v>
      </c>
      <c r="J26" s="1958">
        <v>0</v>
      </c>
      <c r="K26" s="1958">
        <v>0</v>
      </c>
      <c r="L26" s="1958" t="s">
        <v>728</v>
      </c>
      <c r="M26" s="1958">
        <v>0</v>
      </c>
      <c r="N26" s="1958" t="s">
        <v>728</v>
      </c>
      <c r="O26" s="1958">
        <v>0</v>
      </c>
      <c r="P26" s="1958" t="s">
        <v>728</v>
      </c>
      <c r="Q26" s="1958">
        <v>0</v>
      </c>
      <c r="R26" s="1958">
        <v>0</v>
      </c>
    </row>
    <row r="27" spans="1:18">
      <c r="A27" s="1958" t="s">
        <v>877</v>
      </c>
      <c r="B27" s="1958">
        <v>187</v>
      </c>
      <c r="C27" s="1958">
        <v>2023</v>
      </c>
      <c r="D27" s="1958">
        <v>12</v>
      </c>
      <c r="E27" s="1958">
        <v>0</v>
      </c>
      <c r="F27" s="1958">
        <v>26</v>
      </c>
      <c r="G27" s="1958">
        <v>0</v>
      </c>
      <c r="H27" s="1958" t="s">
        <v>1167</v>
      </c>
      <c r="I27" s="1958">
        <v>0</v>
      </c>
      <c r="J27" s="1958">
        <v>0</v>
      </c>
      <c r="K27" s="1958">
        <v>0</v>
      </c>
      <c r="L27" s="1958" t="s">
        <v>728</v>
      </c>
      <c r="M27" s="1958">
        <v>0</v>
      </c>
      <c r="N27" s="1958" t="s">
        <v>728</v>
      </c>
      <c r="O27" s="1958">
        <v>0</v>
      </c>
      <c r="P27" s="1958" t="s">
        <v>728</v>
      </c>
      <c r="Q27" s="1958">
        <v>0</v>
      </c>
      <c r="R27" s="1958">
        <v>0</v>
      </c>
    </row>
    <row r="28" spans="1:18">
      <c r="A28" s="1958" t="s">
        <v>877</v>
      </c>
      <c r="B28" s="1958">
        <v>187</v>
      </c>
      <c r="C28" s="1958">
        <v>2023</v>
      </c>
      <c r="D28" s="1958">
        <v>12</v>
      </c>
      <c r="E28" s="1958">
        <v>0</v>
      </c>
      <c r="F28" s="1958">
        <v>27</v>
      </c>
      <c r="G28" s="1958">
        <v>0</v>
      </c>
      <c r="H28" s="1958" t="s">
        <v>1166</v>
      </c>
      <c r="I28" s="1958">
        <v>0</v>
      </c>
      <c r="J28" s="1958">
        <v>0</v>
      </c>
      <c r="K28" s="1958">
        <v>0</v>
      </c>
      <c r="L28" s="1958" t="s">
        <v>728</v>
      </c>
      <c r="M28" s="1958">
        <v>0</v>
      </c>
      <c r="N28" s="1958" t="s">
        <v>728</v>
      </c>
      <c r="O28" s="1958">
        <v>0</v>
      </c>
      <c r="P28" s="1958" t="s">
        <v>728</v>
      </c>
      <c r="Q28" s="1958">
        <v>0</v>
      </c>
      <c r="R28" s="1958">
        <v>0</v>
      </c>
    </row>
    <row r="29" spans="1:18">
      <c r="A29" s="1958" t="s">
        <v>877</v>
      </c>
      <c r="B29" s="1958">
        <v>187</v>
      </c>
      <c r="C29" s="1958">
        <v>2023</v>
      </c>
      <c r="D29" s="1958">
        <v>12</v>
      </c>
      <c r="E29" s="1958">
        <v>0</v>
      </c>
      <c r="F29" s="1958">
        <v>28</v>
      </c>
      <c r="G29" s="1958">
        <v>0</v>
      </c>
      <c r="H29" s="1958" t="s">
        <v>1165</v>
      </c>
      <c r="I29" s="1958">
        <v>0</v>
      </c>
      <c r="J29" s="1958">
        <v>0</v>
      </c>
      <c r="K29" s="1958">
        <v>0</v>
      </c>
      <c r="L29" s="1958" t="s">
        <v>728</v>
      </c>
      <c r="M29" s="1958">
        <v>0</v>
      </c>
      <c r="N29" s="1958" t="s">
        <v>728</v>
      </c>
      <c r="O29" s="1958">
        <v>0</v>
      </c>
      <c r="P29" s="1958" t="s">
        <v>728</v>
      </c>
      <c r="Q29" s="1958">
        <v>0</v>
      </c>
      <c r="R29" s="1958">
        <v>0</v>
      </c>
    </row>
    <row r="30" spans="1:18">
      <c r="A30" s="1958" t="s">
        <v>877</v>
      </c>
      <c r="B30" s="1958">
        <v>187</v>
      </c>
      <c r="C30" s="1958">
        <v>2023</v>
      </c>
      <c r="D30" s="1958">
        <v>12</v>
      </c>
      <c r="E30" s="1958">
        <v>0</v>
      </c>
      <c r="F30" s="1958">
        <v>29</v>
      </c>
      <c r="G30" s="1958">
        <v>0</v>
      </c>
      <c r="H30" s="1958" t="s">
        <v>1164</v>
      </c>
      <c r="I30" s="1958">
        <v>0</v>
      </c>
      <c r="J30" s="1958">
        <v>0</v>
      </c>
      <c r="K30" s="1958">
        <v>0</v>
      </c>
      <c r="L30" s="1958" t="s">
        <v>728</v>
      </c>
      <c r="M30" s="1958">
        <v>0</v>
      </c>
      <c r="N30" s="1958" t="s">
        <v>728</v>
      </c>
      <c r="O30" s="1958">
        <v>0</v>
      </c>
      <c r="P30" s="1958" t="s">
        <v>728</v>
      </c>
      <c r="Q30" s="1958">
        <v>0</v>
      </c>
      <c r="R30" s="1958">
        <v>0</v>
      </c>
    </row>
    <row r="31" spans="1:18">
      <c r="A31" s="1958" t="s">
        <v>877</v>
      </c>
      <c r="B31" s="1958">
        <v>187</v>
      </c>
      <c r="C31" s="1958">
        <v>2023</v>
      </c>
      <c r="D31" s="1958">
        <v>12</v>
      </c>
      <c r="E31" s="1958">
        <v>0</v>
      </c>
      <c r="F31" s="1958">
        <v>30</v>
      </c>
      <c r="G31" s="1958">
        <v>0</v>
      </c>
      <c r="H31" s="1958" t="s">
        <v>1163</v>
      </c>
      <c r="I31" s="1958">
        <v>0</v>
      </c>
      <c r="J31" s="1958">
        <v>0</v>
      </c>
      <c r="K31" s="1958">
        <v>0</v>
      </c>
      <c r="L31" s="1958" t="s">
        <v>728</v>
      </c>
      <c r="M31" s="1958">
        <v>0</v>
      </c>
      <c r="N31" s="1958" t="s">
        <v>728</v>
      </c>
      <c r="O31" s="1958">
        <v>0</v>
      </c>
      <c r="P31" s="1958" t="s">
        <v>728</v>
      </c>
      <c r="Q31" s="1958">
        <v>0</v>
      </c>
      <c r="R31" s="1958">
        <v>0</v>
      </c>
    </row>
    <row r="32" spans="1:18">
      <c r="A32" s="1958" t="s">
        <v>877</v>
      </c>
      <c r="B32" s="1958">
        <v>187</v>
      </c>
      <c r="C32" s="1958">
        <v>2023</v>
      </c>
      <c r="D32" s="1958">
        <v>12</v>
      </c>
      <c r="E32" s="1958">
        <v>0</v>
      </c>
      <c r="F32" s="1958">
        <v>31</v>
      </c>
      <c r="G32" s="1958">
        <v>0</v>
      </c>
      <c r="H32" s="1958" t="s">
        <v>1162</v>
      </c>
      <c r="I32" s="1958">
        <v>0</v>
      </c>
      <c r="J32" s="1958">
        <v>0</v>
      </c>
      <c r="K32" s="1958">
        <v>0</v>
      </c>
      <c r="L32" s="1958" t="s">
        <v>728</v>
      </c>
      <c r="M32" s="1958">
        <v>0</v>
      </c>
      <c r="N32" s="1958" t="s">
        <v>728</v>
      </c>
      <c r="O32" s="1958">
        <v>0</v>
      </c>
      <c r="P32" s="1958" t="s">
        <v>728</v>
      </c>
      <c r="Q32" s="1958">
        <v>0</v>
      </c>
      <c r="R32" s="1958">
        <v>0</v>
      </c>
    </row>
    <row r="33" spans="1:18">
      <c r="A33" s="1958" t="s">
        <v>877</v>
      </c>
      <c r="B33" s="1958">
        <v>187</v>
      </c>
      <c r="C33" s="1958">
        <v>2023</v>
      </c>
      <c r="D33" s="1958">
        <v>12</v>
      </c>
      <c r="E33" s="1958">
        <v>0</v>
      </c>
      <c r="F33" s="1958">
        <v>32</v>
      </c>
      <c r="G33" s="1958">
        <v>0</v>
      </c>
      <c r="H33" s="1958" t="s">
        <v>1161</v>
      </c>
      <c r="I33" s="1958">
        <v>0</v>
      </c>
      <c r="J33" s="1958">
        <v>0</v>
      </c>
      <c r="K33" s="1958">
        <v>0</v>
      </c>
      <c r="L33" s="1958" t="s">
        <v>728</v>
      </c>
      <c r="M33" s="1958">
        <v>0</v>
      </c>
      <c r="N33" s="1958" t="s">
        <v>728</v>
      </c>
      <c r="O33" s="1958">
        <v>0</v>
      </c>
      <c r="P33" s="1958" t="s">
        <v>728</v>
      </c>
      <c r="Q33" s="1958">
        <v>0</v>
      </c>
      <c r="R33" s="1958">
        <v>0</v>
      </c>
    </row>
    <row r="34" spans="1:18">
      <c r="A34" s="1958" t="s">
        <v>877</v>
      </c>
      <c r="B34" s="1958">
        <v>187</v>
      </c>
      <c r="C34" s="1958">
        <v>2023</v>
      </c>
      <c r="D34" s="1958">
        <v>12</v>
      </c>
      <c r="E34" s="1958">
        <v>0</v>
      </c>
      <c r="F34" s="1958">
        <v>33</v>
      </c>
      <c r="G34" s="1958">
        <v>0</v>
      </c>
      <c r="H34" s="1958" t="s">
        <v>1160</v>
      </c>
      <c r="I34" s="1958">
        <f>SUM(I23,I27,I31,I32,I33)</f>
        <v>2796332034</v>
      </c>
      <c r="J34" s="1958">
        <f>SUM(J23,J27,J31,J32,J33)</f>
        <v>1969142630</v>
      </c>
      <c r="K34" s="1958">
        <f>SUM(K23,K27,K31,K32,K33)</f>
        <v>513678701</v>
      </c>
      <c r="M34" s="1958">
        <f>SUM(M23,M27,M31,M32,M33)</f>
        <v>0</v>
      </c>
      <c r="O34" s="1958">
        <f>SUM(O23,O27,O31,O32,O33)</f>
        <v>0</v>
      </c>
      <c r="Q34" s="1958">
        <f>SUM(Q23,Q27,Q31,Q32,Q33)</f>
        <v>0</v>
      </c>
      <c r="R34" s="1966">
        <f>SUM(R23,R27,R31,R32,R33)</f>
        <v>313510673</v>
      </c>
    </row>
  </sheetData>
  <pageMargins left="0.75" right="0.75" top="1" bottom="1" header="0.5" footer="0.5"/>
  <pageSetup orientation="portrait" r:id="rId1"/>
  <customProperties>
    <customPr name="xxe4aPID" r:id="rId2"/>
  </customPropertie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7226A-AB4C-4A2C-9BA3-1F6913488B47}">
  <sheetPr codeName="Sheet48">
    <tabColor theme="6"/>
  </sheetPr>
  <dimension ref="A1:L23"/>
  <sheetViews>
    <sheetView workbookViewId="0">
      <selection activeCell="D400" sqref="D400"/>
    </sheetView>
  </sheetViews>
  <sheetFormatPr defaultColWidth="9" defaultRowHeight="12.75"/>
  <cols>
    <col min="1" max="16384" width="9" style="1958"/>
  </cols>
  <sheetData>
    <row r="1" spans="1:12">
      <c r="A1" s="1958" t="s">
        <v>984</v>
      </c>
      <c r="B1" s="1958" t="s">
        <v>983</v>
      </c>
      <c r="C1" s="1958" t="s">
        <v>982</v>
      </c>
      <c r="D1" s="1958" t="s">
        <v>981</v>
      </c>
      <c r="E1" s="1958" t="s">
        <v>980</v>
      </c>
      <c r="F1" s="1958" t="s">
        <v>979</v>
      </c>
      <c r="G1" s="1958" t="s">
        <v>1159</v>
      </c>
      <c r="H1" s="1958" t="s">
        <v>1224</v>
      </c>
      <c r="I1" s="1958" t="s">
        <v>1223</v>
      </c>
      <c r="J1" s="1958" t="s">
        <v>1222</v>
      </c>
      <c r="K1" s="1958" t="s">
        <v>1221</v>
      </c>
      <c r="L1" s="1958" t="s">
        <v>1220</v>
      </c>
    </row>
    <row r="2" spans="1:12">
      <c r="A2" s="1958" t="s">
        <v>877</v>
      </c>
      <c r="B2" s="1958">
        <v>187</v>
      </c>
      <c r="C2" s="1958">
        <v>2023</v>
      </c>
      <c r="D2" s="1958">
        <v>12</v>
      </c>
      <c r="E2" s="1958">
        <v>1</v>
      </c>
      <c r="F2" s="1958">
        <v>0</v>
      </c>
      <c r="G2" s="1958" t="s">
        <v>1219</v>
      </c>
      <c r="H2" s="1958">
        <v>0</v>
      </c>
      <c r="I2" s="1958">
        <v>0</v>
      </c>
      <c r="J2" s="1958">
        <v>0</v>
      </c>
      <c r="K2" s="1958">
        <v>0</v>
      </c>
      <c r="L2" s="1958">
        <v>0</v>
      </c>
    </row>
    <row r="3" spans="1:12">
      <c r="A3" s="1958" t="s">
        <v>877</v>
      </c>
      <c r="B3" s="1958">
        <v>187</v>
      </c>
      <c r="C3" s="1958">
        <v>2023</v>
      </c>
      <c r="D3" s="1958">
        <v>12</v>
      </c>
      <c r="E3" s="1958">
        <v>2</v>
      </c>
      <c r="F3" s="1958">
        <v>0</v>
      </c>
      <c r="G3" s="1958" t="s">
        <v>1218</v>
      </c>
      <c r="H3" s="1958">
        <v>0</v>
      </c>
      <c r="I3" s="1958">
        <v>0</v>
      </c>
      <c r="J3" s="1958">
        <v>0</v>
      </c>
      <c r="K3" s="1958">
        <v>0</v>
      </c>
      <c r="L3" s="1958">
        <v>0</v>
      </c>
    </row>
    <row r="4" spans="1:12">
      <c r="A4" s="1958" t="s">
        <v>877</v>
      </c>
      <c r="B4" s="1958">
        <v>187</v>
      </c>
      <c r="C4" s="1958">
        <v>2023</v>
      </c>
      <c r="D4" s="1958">
        <v>12</v>
      </c>
      <c r="E4" s="1958">
        <v>3</v>
      </c>
      <c r="F4" s="1958">
        <v>0</v>
      </c>
      <c r="G4" s="1958" t="s">
        <v>1217</v>
      </c>
      <c r="H4" s="1958">
        <v>0</v>
      </c>
      <c r="I4" s="1958">
        <v>0</v>
      </c>
      <c r="J4" s="1958">
        <v>0</v>
      </c>
      <c r="K4" s="1958">
        <v>0</v>
      </c>
      <c r="L4" s="1958">
        <v>0</v>
      </c>
    </row>
    <row r="5" spans="1:12">
      <c r="A5" s="1958" t="s">
        <v>877</v>
      </c>
      <c r="B5" s="1958">
        <v>187</v>
      </c>
      <c r="C5" s="1958">
        <v>2023</v>
      </c>
      <c r="D5" s="1958">
        <v>12</v>
      </c>
      <c r="E5" s="1958">
        <v>4</v>
      </c>
      <c r="F5" s="1958">
        <v>0</v>
      </c>
      <c r="G5" s="1958" t="s">
        <v>1216</v>
      </c>
      <c r="H5" s="1958">
        <v>0</v>
      </c>
      <c r="I5" s="1958">
        <v>0</v>
      </c>
      <c r="J5" s="1958">
        <v>0</v>
      </c>
      <c r="K5" s="1958">
        <v>0</v>
      </c>
      <c r="L5" s="1958">
        <v>0</v>
      </c>
    </row>
    <row r="6" spans="1:12">
      <c r="A6" s="1958" t="s">
        <v>877</v>
      </c>
      <c r="B6" s="1958">
        <v>187</v>
      </c>
      <c r="C6" s="1958">
        <v>2023</v>
      </c>
      <c r="D6" s="1958">
        <v>12</v>
      </c>
      <c r="E6" s="1958">
        <v>5</v>
      </c>
      <c r="F6" s="1958">
        <v>0</v>
      </c>
      <c r="G6" s="1958" t="s">
        <v>1215</v>
      </c>
      <c r="H6" s="1958">
        <v>0</v>
      </c>
      <c r="I6" s="1958">
        <v>0</v>
      </c>
      <c r="J6" s="1958">
        <v>0</v>
      </c>
      <c r="K6" s="1958">
        <v>0</v>
      </c>
      <c r="L6" s="1958">
        <v>0</v>
      </c>
    </row>
    <row r="7" spans="1:12">
      <c r="A7" s="1958" t="s">
        <v>877</v>
      </c>
      <c r="B7" s="1958">
        <v>187</v>
      </c>
      <c r="C7" s="1958">
        <v>2023</v>
      </c>
      <c r="D7" s="1958">
        <v>12</v>
      </c>
      <c r="E7" s="1958">
        <v>6</v>
      </c>
      <c r="F7" s="1958">
        <v>0</v>
      </c>
      <c r="G7" s="1958" t="s">
        <v>1214</v>
      </c>
      <c r="H7" s="1958">
        <v>0</v>
      </c>
      <c r="I7" s="1958">
        <v>0</v>
      </c>
      <c r="J7" s="1958">
        <v>0</v>
      </c>
      <c r="K7" s="1958">
        <v>0</v>
      </c>
      <c r="L7" s="1958">
        <v>0</v>
      </c>
    </row>
    <row r="8" spans="1:12">
      <c r="A8" s="1958" t="s">
        <v>877</v>
      </c>
      <c r="B8" s="1958">
        <v>187</v>
      </c>
      <c r="C8" s="1958">
        <v>2023</v>
      </c>
      <c r="D8" s="1958">
        <v>12</v>
      </c>
      <c r="E8" s="1958">
        <v>7</v>
      </c>
      <c r="F8" s="1958">
        <v>0</v>
      </c>
      <c r="G8" s="1958" t="s">
        <v>1213</v>
      </c>
      <c r="H8" s="1958">
        <v>0</v>
      </c>
      <c r="I8" s="1958">
        <v>0</v>
      </c>
      <c r="J8" s="1958">
        <v>0</v>
      </c>
      <c r="K8" s="1958">
        <v>0</v>
      </c>
      <c r="L8" s="1958">
        <v>0</v>
      </c>
    </row>
    <row r="9" spans="1:12">
      <c r="A9" s="1958" t="s">
        <v>877</v>
      </c>
      <c r="B9" s="1958">
        <v>187</v>
      </c>
      <c r="C9" s="1958">
        <v>2023</v>
      </c>
      <c r="D9" s="1958">
        <v>12</v>
      </c>
      <c r="E9" s="1958">
        <v>8</v>
      </c>
      <c r="F9" s="1958">
        <v>0</v>
      </c>
      <c r="G9" s="1958" t="s">
        <v>1212</v>
      </c>
      <c r="H9" s="1958">
        <v>0</v>
      </c>
      <c r="I9" s="1958">
        <v>0</v>
      </c>
      <c r="J9" s="1958">
        <v>0</v>
      </c>
      <c r="K9" s="1958">
        <v>0</v>
      </c>
      <c r="L9" s="1958">
        <v>0</v>
      </c>
    </row>
    <row r="10" spans="1:12">
      <c r="A10" s="1958" t="s">
        <v>877</v>
      </c>
      <c r="B10" s="1958">
        <v>187</v>
      </c>
      <c r="C10" s="1958">
        <v>2023</v>
      </c>
      <c r="D10" s="1958">
        <v>12</v>
      </c>
      <c r="E10" s="1958">
        <v>9</v>
      </c>
      <c r="F10" s="1958">
        <v>0</v>
      </c>
      <c r="G10" s="1958" t="s">
        <v>1211</v>
      </c>
      <c r="H10" s="1958">
        <v>0</v>
      </c>
      <c r="I10" s="1958">
        <v>0</v>
      </c>
      <c r="J10" s="1958">
        <v>0</v>
      </c>
      <c r="K10" s="1958">
        <v>0</v>
      </c>
      <c r="L10" s="1958">
        <v>0</v>
      </c>
    </row>
    <row r="11" spans="1:12">
      <c r="A11" s="1958" t="s">
        <v>877</v>
      </c>
      <c r="B11" s="1958">
        <v>187</v>
      </c>
      <c r="C11" s="1958">
        <v>2023</v>
      </c>
      <c r="D11" s="1958">
        <v>12</v>
      </c>
      <c r="E11" s="1958">
        <v>10</v>
      </c>
      <c r="F11" s="1958">
        <v>0</v>
      </c>
      <c r="G11" s="1958" t="s">
        <v>1210</v>
      </c>
      <c r="H11" s="1958">
        <v>0</v>
      </c>
      <c r="I11" s="1958">
        <v>0</v>
      </c>
      <c r="J11" s="1958">
        <v>0</v>
      </c>
      <c r="K11" s="1958">
        <v>0</v>
      </c>
      <c r="L11" s="1958">
        <v>0</v>
      </c>
    </row>
    <row r="12" spans="1:12">
      <c r="A12" s="1958" t="s">
        <v>877</v>
      </c>
      <c r="B12" s="1958">
        <v>187</v>
      </c>
      <c r="C12" s="1958">
        <v>2023</v>
      </c>
      <c r="D12" s="1958">
        <v>12</v>
      </c>
      <c r="E12" s="1958">
        <v>11</v>
      </c>
      <c r="F12" s="1958">
        <v>0</v>
      </c>
      <c r="G12" s="1958" t="s">
        <v>963</v>
      </c>
      <c r="H12" s="1958">
        <v>0</v>
      </c>
      <c r="I12" s="1958">
        <v>0</v>
      </c>
      <c r="J12" s="1958">
        <v>0</v>
      </c>
      <c r="K12" s="1958">
        <v>0</v>
      </c>
      <c r="L12" s="1958">
        <v>0</v>
      </c>
    </row>
    <row r="13" spans="1:12">
      <c r="A13" s="1958" t="s">
        <v>877</v>
      </c>
      <c r="B13" s="1958">
        <v>187</v>
      </c>
      <c r="C13" s="1958">
        <v>2023</v>
      </c>
      <c r="D13" s="1958">
        <v>12</v>
      </c>
      <c r="E13" s="1958">
        <v>12</v>
      </c>
      <c r="F13" s="1958">
        <v>0</v>
      </c>
      <c r="G13" s="1958" t="s">
        <v>962</v>
      </c>
      <c r="H13" s="1958">
        <v>0</v>
      </c>
      <c r="I13" s="1958">
        <v>0</v>
      </c>
      <c r="J13" s="1958">
        <v>0</v>
      </c>
      <c r="K13" s="1958">
        <v>0</v>
      </c>
      <c r="L13" s="1958">
        <v>0</v>
      </c>
    </row>
    <row r="14" spans="1:12">
      <c r="A14" s="1958" t="s">
        <v>877</v>
      </c>
      <c r="B14" s="1958">
        <v>187</v>
      </c>
      <c r="C14" s="1958">
        <v>2023</v>
      </c>
      <c r="D14" s="1958">
        <v>12</v>
      </c>
      <c r="E14" s="1958">
        <v>13</v>
      </c>
      <c r="F14" s="1958">
        <v>0</v>
      </c>
      <c r="G14" s="1958" t="s">
        <v>1209</v>
      </c>
      <c r="H14" s="1958">
        <v>0</v>
      </c>
      <c r="I14" s="1958">
        <v>0</v>
      </c>
      <c r="J14" s="1958">
        <v>0</v>
      </c>
      <c r="K14" s="1958">
        <v>0</v>
      </c>
      <c r="L14" s="1958">
        <v>0</v>
      </c>
    </row>
    <row r="15" spans="1:12">
      <c r="A15" s="1958" t="s">
        <v>877</v>
      </c>
      <c r="B15" s="1958">
        <v>187</v>
      </c>
      <c r="C15" s="1958">
        <v>2023</v>
      </c>
      <c r="D15" s="1958">
        <v>12</v>
      </c>
      <c r="E15" s="1958">
        <v>14</v>
      </c>
      <c r="F15" s="1958">
        <v>0</v>
      </c>
      <c r="G15" s="1958" t="s">
        <v>1208</v>
      </c>
      <c r="H15" s="1958">
        <v>0</v>
      </c>
      <c r="I15" s="1958">
        <v>0</v>
      </c>
      <c r="J15" s="1958">
        <v>0</v>
      </c>
      <c r="K15" s="1958">
        <v>0</v>
      </c>
      <c r="L15" s="1958">
        <v>0</v>
      </c>
    </row>
    <row r="16" spans="1:12">
      <c r="A16" s="1958" t="s">
        <v>877</v>
      </c>
      <c r="B16" s="1958">
        <v>187</v>
      </c>
      <c r="C16" s="1958">
        <v>2023</v>
      </c>
      <c r="D16" s="1958">
        <v>12</v>
      </c>
      <c r="E16" s="1958">
        <v>15</v>
      </c>
      <c r="F16" s="1958">
        <v>0</v>
      </c>
      <c r="G16" s="1958" t="s">
        <v>1207</v>
      </c>
      <c r="H16" s="1958">
        <v>0</v>
      </c>
      <c r="I16" s="1958">
        <v>0</v>
      </c>
      <c r="J16" s="1958">
        <v>0</v>
      </c>
      <c r="K16" s="1958">
        <v>0</v>
      </c>
      <c r="L16" s="1958">
        <v>0</v>
      </c>
    </row>
    <row r="17" spans="1:12">
      <c r="A17" s="1958" t="s">
        <v>877</v>
      </c>
      <c r="B17" s="1958">
        <v>187</v>
      </c>
      <c r="C17" s="1958">
        <v>2023</v>
      </c>
      <c r="D17" s="1958">
        <v>12</v>
      </c>
      <c r="E17" s="1958">
        <v>16</v>
      </c>
      <c r="F17" s="1958">
        <v>0</v>
      </c>
      <c r="G17" s="1958" t="s">
        <v>1206</v>
      </c>
      <c r="H17" s="1958">
        <v>0</v>
      </c>
      <c r="I17" s="1958">
        <v>0</v>
      </c>
      <c r="J17" s="1958">
        <v>0</v>
      </c>
      <c r="K17" s="1958">
        <v>0</v>
      </c>
      <c r="L17" s="1958">
        <v>0</v>
      </c>
    </row>
    <row r="18" spans="1:12">
      <c r="A18" s="1958" t="s">
        <v>877</v>
      </c>
      <c r="B18" s="1958">
        <v>187</v>
      </c>
      <c r="C18" s="1958">
        <v>2023</v>
      </c>
      <c r="D18" s="1958">
        <v>12</v>
      </c>
      <c r="E18" s="1958">
        <v>17</v>
      </c>
      <c r="F18" s="1958">
        <v>0</v>
      </c>
      <c r="G18" s="1958" t="s">
        <v>1205</v>
      </c>
      <c r="H18" s="1958">
        <v>0</v>
      </c>
      <c r="I18" s="1958">
        <v>0</v>
      </c>
      <c r="J18" s="1958">
        <v>0</v>
      </c>
      <c r="K18" s="1958">
        <v>0</v>
      </c>
      <c r="L18" s="1958">
        <v>0</v>
      </c>
    </row>
    <row r="19" spans="1:12">
      <c r="A19" s="1958" t="s">
        <v>877</v>
      </c>
      <c r="B19" s="1958">
        <v>187</v>
      </c>
      <c r="C19" s="1958">
        <v>2023</v>
      </c>
      <c r="D19" s="1958">
        <v>12</v>
      </c>
      <c r="E19" s="1958">
        <v>18</v>
      </c>
      <c r="F19" s="1958">
        <v>0</v>
      </c>
      <c r="G19" s="1958" t="s">
        <v>1204</v>
      </c>
      <c r="H19" s="1958">
        <v>0</v>
      </c>
      <c r="I19" s="1958">
        <v>0</v>
      </c>
      <c r="J19" s="1958">
        <v>0</v>
      </c>
      <c r="K19" s="1958">
        <v>0</v>
      </c>
      <c r="L19" s="1958">
        <v>0</v>
      </c>
    </row>
    <row r="20" spans="1:12">
      <c r="A20" s="1958" t="s">
        <v>877</v>
      </c>
      <c r="B20" s="1958">
        <v>187</v>
      </c>
      <c r="C20" s="1958">
        <v>2023</v>
      </c>
      <c r="D20" s="1958">
        <v>12</v>
      </c>
      <c r="E20" s="1958">
        <v>19</v>
      </c>
      <c r="F20" s="1958">
        <v>0</v>
      </c>
      <c r="G20" s="1958" t="s">
        <v>1203</v>
      </c>
      <c r="H20" s="1958">
        <v>0</v>
      </c>
      <c r="I20" s="1958">
        <v>0</v>
      </c>
      <c r="J20" s="1958">
        <v>0</v>
      </c>
      <c r="K20" s="1958">
        <v>0</v>
      </c>
      <c r="L20" s="1958">
        <v>0</v>
      </c>
    </row>
    <row r="21" spans="1:12">
      <c r="A21" s="1958" t="s">
        <v>877</v>
      </c>
      <c r="B21" s="1958">
        <v>187</v>
      </c>
      <c r="C21" s="1958">
        <v>2023</v>
      </c>
      <c r="D21" s="1958">
        <v>12</v>
      </c>
      <c r="E21" s="1958">
        <v>20</v>
      </c>
      <c r="F21" s="1958">
        <v>0</v>
      </c>
      <c r="G21" s="1958" t="s">
        <v>1202</v>
      </c>
      <c r="H21" s="1958">
        <v>0</v>
      </c>
      <c r="I21" s="1958">
        <v>0</v>
      </c>
      <c r="J21" s="1958">
        <v>0</v>
      </c>
      <c r="K21" s="1958">
        <v>0</v>
      </c>
      <c r="L21" s="1958">
        <v>0</v>
      </c>
    </row>
    <row r="22" spans="1:12">
      <c r="A22" s="1958" t="s">
        <v>877</v>
      </c>
      <c r="B22" s="1958">
        <v>187</v>
      </c>
      <c r="C22" s="1958">
        <v>2023</v>
      </c>
      <c r="D22" s="1958">
        <v>12</v>
      </c>
      <c r="E22" s="1958">
        <v>21</v>
      </c>
      <c r="F22" s="1958">
        <v>0</v>
      </c>
      <c r="G22" s="1958" t="s">
        <v>1201</v>
      </c>
      <c r="H22" s="1958">
        <v>0</v>
      </c>
      <c r="I22" s="1958">
        <v>0</v>
      </c>
      <c r="J22" s="1958">
        <v>0</v>
      </c>
      <c r="K22" s="1958">
        <v>0</v>
      </c>
      <c r="L22" s="1958">
        <v>0</v>
      </c>
    </row>
    <row r="23" spans="1:12">
      <c r="A23" s="1958" t="s">
        <v>877</v>
      </c>
      <c r="B23" s="1958">
        <v>187</v>
      </c>
      <c r="C23" s="1958">
        <v>2023</v>
      </c>
      <c r="D23" s="1958">
        <v>12</v>
      </c>
      <c r="E23" s="1958">
        <v>22</v>
      </c>
      <c r="F23" s="1958">
        <v>0</v>
      </c>
      <c r="G23" s="1958" t="s">
        <v>1200</v>
      </c>
      <c r="H23" s="1958">
        <v>0</v>
      </c>
      <c r="I23" s="1958">
        <v>0</v>
      </c>
      <c r="J23" s="1958">
        <v>0</v>
      </c>
      <c r="K23" s="1958">
        <v>0</v>
      </c>
      <c r="L23" s="1958">
        <v>0</v>
      </c>
    </row>
  </sheetData>
  <pageMargins left="0.75" right="0.75" top="1" bottom="1" header="0.5" footer="0.5"/>
  <pageSetup orientation="portrait" r:id="rId1"/>
  <customProperties>
    <customPr name="xxe4aPID" r:id="rId2"/>
  </customPropertie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06F6C-748B-4644-BFCD-CDB65B7D7AD3}">
  <sheetPr codeName="Sheet49">
    <tabColor rgb="FF92D050"/>
  </sheetPr>
  <dimension ref="A1:M105"/>
  <sheetViews>
    <sheetView topLeftCell="E21" workbookViewId="0">
      <selection activeCell="D400" sqref="D400"/>
    </sheetView>
  </sheetViews>
  <sheetFormatPr defaultColWidth="9" defaultRowHeight="12.75"/>
  <cols>
    <col min="1" max="1" width="14.25" style="1958" hidden="1" customWidth="1"/>
    <col min="2" max="2" width="6.25" style="1958" hidden="1" customWidth="1"/>
    <col min="3" max="3" width="7.375" style="1958" hidden="1" customWidth="1"/>
    <col min="4" max="4" width="8.25" style="1958" hidden="1" customWidth="1"/>
    <col min="5" max="5" width="9.75" style="1958" bestFit="1" customWidth="1"/>
    <col min="6" max="6" width="10.75" style="1958" hidden="1" customWidth="1"/>
    <col min="7" max="7" width="62" style="1958" bestFit="1" customWidth="1"/>
    <col min="8" max="8" width="10" style="1958" hidden="1" customWidth="1"/>
    <col min="9" max="9" width="8.75" style="1958" hidden="1" customWidth="1"/>
    <col min="10" max="10" width="9" style="1958" hidden="1" customWidth="1"/>
    <col min="11" max="11" width="9.75" style="1958" hidden="1" customWidth="1"/>
    <col min="12" max="12" width="7.5" style="1958" hidden="1" customWidth="1"/>
    <col min="13" max="13" width="9.75" style="1958" bestFit="1" customWidth="1"/>
    <col min="14" max="16384" width="9" style="1958"/>
  </cols>
  <sheetData>
    <row r="1" spans="1:13">
      <c r="A1" s="1958" t="s">
        <v>984</v>
      </c>
      <c r="B1" s="1958" t="s">
        <v>983</v>
      </c>
      <c r="C1" s="1958" t="s">
        <v>982</v>
      </c>
      <c r="D1" s="1958" t="s">
        <v>981</v>
      </c>
      <c r="E1" s="1958" t="s">
        <v>980</v>
      </c>
      <c r="F1" s="1958" t="s">
        <v>979</v>
      </c>
      <c r="G1" s="1958" t="s">
        <v>1159</v>
      </c>
      <c r="H1" s="1958" t="s">
        <v>1224</v>
      </c>
      <c r="I1" s="1958" t="s">
        <v>1332</v>
      </c>
      <c r="J1" s="1958" t="s">
        <v>1331</v>
      </c>
      <c r="K1" s="1958" t="s">
        <v>1330</v>
      </c>
      <c r="L1" s="1958" t="s">
        <v>1329</v>
      </c>
      <c r="M1" s="1958" t="s">
        <v>1220</v>
      </c>
    </row>
    <row r="2" spans="1:13" ht="15.75">
      <c r="A2" s="1958" t="s">
        <v>877</v>
      </c>
      <c r="B2" s="1958">
        <v>187</v>
      </c>
      <c r="C2" s="1958">
        <v>2023</v>
      </c>
      <c r="D2" s="1958">
        <v>12</v>
      </c>
      <c r="E2" s="1958">
        <v>1</v>
      </c>
      <c r="F2" s="1958">
        <v>0</v>
      </c>
      <c r="G2" s="2115" t="s">
        <v>1328</v>
      </c>
      <c r="H2" s="1958">
        <v>0</v>
      </c>
      <c r="I2" s="1958">
        <v>0</v>
      </c>
      <c r="J2" s="1958">
        <v>0</v>
      </c>
      <c r="K2" s="1958">
        <v>0</v>
      </c>
      <c r="L2" s="1958">
        <v>0</v>
      </c>
      <c r="M2" s="1958">
        <v>0</v>
      </c>
    </row>
    <row r="3" spans="1:13" ht="15.75">
      <c r="A3" s="1958" t="s">
        <v>877</v>
      </c>
      <c r="B3" s="1958">
        <v>187</v>
      </c>
      <c r="C3" s="1958">
        <v>2023</v>
      </c>
      <c r="D3" s="1958">
        <v>12</v>
      </c>
      <c r="E3" s="1958">
        <v>2</v>
      </c>
      <c r="F3" s="1958">
        <v>0</v>
      </c>
      <c r="G3" s="2115" t="s">
        <v>1327</v>
      </c>
      <c r="H3" s="1958">
        <v>0</v>
      </c>
      <c r="I3" s="1958">
        <v>0</v>
      </c>
      <c r="J3" s="1958">
        <v>0</v>
      </c>
      <c r="K3" s="1958">
        <v>0</v>
      </c>
      <c r="L3" s="1958">
        <v>0</v>
      </c>
      <c r="M3" s="1958">
        <v>0</v>
      </c>
    </row>
    <row r="4" spans="1:13" ht="15.75">
      <c r="A4" s="1958" t="s">
        <v>877</v>
      </c>
      <c r="B4" s="1958">
        <v>187</v>
      </c>
      <c r="C4" s="1958">
        <v>2023</v>
      </c>
      <c r="D4" s="1958">
        <v>12</v>
      </c>
      <c r="E4" s="1958">
        <v>3</v>
      </c>
      <c r="F4" s="1958">
        <v>0</v>
      </c>
      <c r="G4" s="2115" t="s">
        <v>1326</v>
      </c>
      <c r="H4" s="1958">
        <v>46795649</v>
      </c>
      <c r="I4" s="1958">
        <v>42494</v>
      </c>
      <c r="J4" s="1958">
        <v>0</v>
      </c>
      <c r="K4" s="1958">
        <v>0</v>
      </c>
      <c r="L4" s="1958">
        <v>-33872</v>
      </c>
      <c r="M4" s="1958">
        <f>SUM(H4:L4)</f>
        <v>46804271</v>
      </c>
    </row>
    <row r="5" spans="1:13" ht="15.75">
      <c r="A5" s="1958" t="s">
        <v>877</v>
      </c>
      <c r="B5" s="1958">
        <v>187</v>
      </c>
      <c r="C5" s="1958">
        <v>2023</v>
      </c>
      <c r="D5" s="1958">
        <v>12</v>
      </c>
      <c r="E5" s="1958">
        <v>4</v>
      </c>
      <c r="F5" s="1958">
        <v>0</v>
      </c>
      <c r="G5" s="2115" t="s">
        <v>1325</v>
      </c>
      <c r="H5" s="1958">
        <v>52229864</v>
      </c>
      <c r="I5" s="1958">
        <v>9157151</v>
      </c>
      <c r="J5" s="1958">
        <v>3579985</v>
      </c>
      <c r="K5" s="1958">
        <v>0</v>
      </c>
      <c r="L5" s="1958">
        <v>33872</v>
      </c>
      <c r="M5" s="1958">
        <f>SUM(H5+I5-J5+K5+L5)</f>
        <v>57840902</v>
      </c>
    </row>
    <row r="6" spans="1:13" ht="15.75">
      <c r="A6" s="1958" t="s">
        <v>877</v>
      </c>
      <c r="B6" s="1958">
        <v>187</v>
      </c>
      <c r="C6" s="1958">
        <v>2023</v>
      </c>
      <c r="D6" s="1958">
        <v>12</v>
      </c>
      <c r="E6" s="1958">
        <v>5</v>
      </c>
      <c r="F6" s="1958">
        <v>0</v>
      </c>
      <c r="G6" s="2115" t="s">
        <v>1324</v>
      </c>
      <c r="H6" s="1958">
        <f>SUM(H4:H5)</f>
        <v>99025513</v>
      </c>
      <c r="I6" s="1958">
        <f>SUM(I4:I5)</f>
        <v>9199645</v>
      </c>
      <c r="J6" s="1958">
        <f>SUM(J4:J5)</f>
        <v>3579985</v>
      </c>
      <c r="K6" s="1958">
        <v>0</v>
      </c>
      <c r="L6" s="1958">
        <f>SUM(L4:L5)</f>
        <v>0</v>
      </c>
      <c r="M6" s="1958">
        <f>SUM(H6+I6-J6+K6+L6)</f>
        <v>104645173</v>
      </c>
    </row>
    <row r="7" spans="1:13" ht="15.75">
      <c r="A7" s="1958" t="s">
        <v>877</v>
      </c>
      <c r="B7" s="1958">
        <v>187</v>
      </c>
      <c r="C7" s="1958">
        <v>2023</v>
      </c>
      <c r="D7" s="1958">
        <v>12</v>
      </c>
      <c r="E7" s="1958">
        <v>6</v>
      </c>
      <c r="F7" s="1958">
        <v>0</v>
      </c>
      <c r="G7" s="2115" t="s">
        <v>1323</v>
      </c>
      <c r="H7" s="1958">
        <v>0</v>
      </c>
      <c r="I7" s="1958">
        <v>0</v>
      </c>
      <c r="J7" s="1958">
        <v>0</v>
      </c>
      <c r="K7" s="1958">
        <v>0</v>
      </c>
      <c r="L7" s="1958">
        <v>0</v>
      </c>
      <c r="M7" s="1958">
        <v>0</v>
      </c>
    </row>
    <row r="8" spans="1:13" ht="15.75">
      <c r="A8" s="1958" t="s">
        <v>877</v>
      </c>
      <c r="B8" s="1958">
        <v>187</v>
      </c>
      <c r="C8" s="1958">
        <v>2023</v>
      </c>
      <c r="D8" s="1958">
        <v>12</v>
      </c>
      <c r="E8" s="1958">
        <v>7</v>
      </c>
      <c r="F8" s="1958">
        <v>0</v>
      </c>
      <c r="G8" s="2115" t="s">
        <v>1322</v>
      </c>
      <c r="H8" s="1958">
        <v>0</v>
      </c>
      <c r="I8" s="1958">
        <v>0</v>
      </c>
      <c r="J8" s="1958">
        <v>0</v>
      </c>
      <c r="K8" s="1958">
        <v>0</v>
      </c>
      <c r="L8" s="1958">
        <v>0</v>
      </c>
      <c r="M8" s="1958">
        <v>0</v>
      </c>
    </row>
    <row r="9" spans="1:13" ht="15.75">
      <c r="A9" s="1958" t="s">
        <v>877</v>
      </c>
      <c r="B9" s="1958">
        <v>187</v>
      </c>
      <c r="C9" s="1958">
        <v>2023</v>
      </c>
      <c r="D9" s="1958">
        <v>12</v>
      </c>
      <c r="E9" s="1958">
        <v>8</v>
      </c>
      <c r="F9" s="1958">
        <v>0</v>
      </c>
      <c r="G9" s="2115" t="s">
        <v>1321</v>
      </c>
      <c r="H9" s="1958">
        <v>3857583</v>
      </c>
      <c r="I9" s="1958">
        <v>0</v>
      </c>
      <c r="J9" s="1958">
        <v>0</v>
      </c>
      <c r="K9" s="1958">
        <v>0</v>
      </c>
      <c r="L9" s="1958">
        <v>0</v>
      </c>
      <c r="M9" s="1958">
        <f>SUM(H9:L9)</f>
        <v>3857583</v>
      </c>
    </row>
    <row r="10" spans="1:13" ht="15.75">
      <c r="A10" s="1958" t="s">
        <v>877</v>
      </c>
      <c r="B10" s="1958">
        <v>187</v>
      </c>
      <c r="C10" s="1958">
        <v>2023</v>
      </c>
      <c r="D10" s="1958">
        <v>12</v>
      </c>
      <c r="E10" s="1958">
        <v>9</v>
      </c>
      <c r="F10" s="1958">
        <v>0</v>
      </c>
      <c r="G10" s="2115" t="s">
        <v>1320</v>
      </c>
      <c r="H10" s="1958">
        <v>140868863</v>
      </c>
      <c r="I10" s="1958">
        <v>534075</v>
      </c>
      <c r="J10" s="1958">
        <v>11568</v>
      </c>
      <c r="K10" s="1958">
        <v>0</v>
      </c>
      <c r="L10" s="1958">
        <v>0</v>
      </c>
      <c r="M10" s="1958">
        <f t="shared" ref="M10:M17" si="0">SUM(H10+I10-J10+K10+L10)</f>
        <v>141391370</v>
      </c>
    </row>
    <row r="11" spans="1:13" ht="15.75">
      <c r="A11" s="1958" t="s">
        <v>877</v>
      </c>
      <c r="B11" s="1958">
        <v>187</v>
      </c>
      <c r="C11" s="1958">
        <v>2023</v>
      </c>
      <c r="D11" s="1958">
        <v>12</v>
      </c>
      <c r="E11" s="1958">
        <v>10</v>
      </c>
      <c r="F11" s="1958">
        <v>0</v>
      </c>
      <c r="G11" s="2115" t="s">
        <v>1319</v>
      </c>
      <c r="H11" s="1958">
        <v>223993081</v>
      </c>
      <c r="I11" s="1958">
        <v>1626995</v>
      </c>
      <c r="J11" s="1958">
        <v>369020</v>
      </c>
      <c r="K11" s="1958">
        <v>0</v>
      </c>
      <c r="L11" s="1958">
        <v>0</v>
      </c>
      <c r="M11" s="1958">
        <f t="shared" si="0"/>
        <v>225251056</v>
      </c>
    </row>
    <row r="12" spans="1:13" ht="15.75">
      <c r="A12" s="1958" t="s">
        <v>877</v>
      </c>
      <c r="B12" s="1958">
        <v>187</v>
      </c>
      <c r="C12" s="1958">
        <v>2023</v>
      </c>
      <c r="D12" s="1958">
        <v>12</v>
      </c>
      <c r="E12" s="1958">
        <v>11</v>
      </c>
      <c r="F12" s="1958">
        <v>0</v>
      </c>
      <c r="G12" s="2115" t="s">
        <v>1318</v>
      </c>
      <c r="H12" s="1958">
        <v>-5008</v>
      </c>
      <c r="I12" s="1958">
        <v>236879</v>
      </c>
      <c r="J12" s="1958">
        <v>0</v>
      </c>
      <c r="K12" s="1958">
        <v>0</v>
      </c>
      <c r="L12" s="1958">
        <v>0</v>
      </c>
      <c r="M12" s="1958">
        <f t="shared" si="0"/>
        <v>231871</v>
      </c>
    </row>
    <row r="13" spans="1:13" ht="15.75">
      <c r="A13" s="1958" t="s">
        <v>877</v>
      </c>
      <c r="B13" s="1958">
        <v>187</v>
      </c>
      <c r="C13" s="1958">
        <v>2023</v>
      </c>
      <c r="D13" s="1958">
        <v>12</v>
      </c>
      <c r="E13" s="1958">
        <v>12</v>
      </c>
      <c r="F13" s="1958">
        <v>0</v>
      </c>
      <c r="G13" s="2115" t="s">
        <v>1317</v>
      </c>
      <c r="H13" s="1958">
        <v>57991911</v>
      </c>
      <c r="I13" s="1958">
        <v>324774</v>
      </c>
      <c r="J13" s="1958">
        <v>17328</v>
      </c>
      <c r="K13" s="1958">
        <v>0</v>
      </c>
      <c r="L13" s="1958">
        <v>0</v>
      </c>
      <c r="M13" s="1958">
        <f t="shared" si="0"/>
        <v>58299357</v>
      </c>
    </row>
    <row r="14" spans="1:13" ht="15.75">
      <c r="A14" s="1958" t="s">
        <v>877</v>
      </c>
      <c r="B14" s="1958">
        <v>187</v>
      </c>
      <c r="C14" s="1958">
        <v>2023</v>
      </c>
      <c r="D14" s="1958">
        <v>12</v>
      </c>
      <c r="E14" s="1958">
        <v>13</v>
      </c>
      <c r="F14" s="1958">
        <v>0</v>
      </c>
      <c r="G14" s="2115" t="s">
        <v>1316</v>
      </c>
      <c r="H14" s="1958">
        <v>30595041</v>
      </c>
      <c r="I14" s="1958">
        <v>236877</v>
      </c>
      <c r="J14" s="1958">
        <v>0</v>
      </c>
      <c r="K14" s="1958">
        <v>0</v>
      </c>
      <c r="L14" s="1958">
        <v>0</v>
      </c>
      <c r="M14" s="1958">
        <f t="shared" si="0"/>
        <v>30831918</v>
      </c>
    </row>
    <row r="15" spans="1:13" ht="15.75">
      <c r="A15" s="1958" t="s">
        <v>877</v>
      </c>
      <c r="B15" s="1958">
        <v>187</v>
      </c>
      <c r="C15" s="1958">
        <v>2023</v>
      </c>
      <c r="D15" s="1958">
        <v>12</v>
      </c>
      <c r="E15" s="1958">
        <v>14</v>
      </c>
      <c r="F15" s="1958">
        <v>0</v>
      </c>
      <c r="G15" s="2115" t="s">
        <v>1315</v>
      </c>
      <c r="H15" s="1958">
        <v>17129513</v>
      </c>
      <c r="I15" s="1958">
        <v>236878</v>
      </c>
      <c r="J15" s="1958">
        <v>0</v>
      </c>
      <c r="K15" s="1958">
        <v>0</v>
      </c>
      <c r="L15" s="1958">
        <v>0</v>
      </c>
      <c r="M15" s="1958">
        <f t="shared" si="0"/>
        <v>17366391</v>
      </c>
    </row>
    <row r="16" spans="1:13" ht="15.75">
      <c r="A16" s="1958" t="s">
        <v>877</v>
      </c>
      <c r="B16" s="1958">
        <v>187</v>
      </c>
      <c r="C16" s="1958">
        <v>2023</v>
      </c>
      <c r="D16" s="1958">
        <v>12</v>
      </c>
      <c r="E16" s="1958">
        <v>15</v>
      </c>
      <c r="F16" s="1958">
        <v>0</v>
      </c>
      <c r="G16" s="2115" t="s">
        <v>1314</v>
      </c>
      <c r="H16" s="1958">
        <v>15536251</v>
      </c>
      <c r="I16" s="1958">
        <v>1927245</v>
      </c>
      <c r="J16" s="1958">
        <v>0</v>
      </c>
      <c r="K16" s="1958">
        <v>0</v>
      </c>
      <c r="L16" s="1958">
        <v>0</v>
      </c>
      <c r="M16" s="1958">
        <f t="shared" si="0"/>
        <v>17463496</v>
      </c>
    </row>
    <row r="17" spans="1:13" ht="15.75">
      <c r="A17" s="1958" t="s">
        <v>877</v>
      </c>
      <c r="B17" s="1958">
        <v>187</v>
      </c>
      <c r="C17" s="1958">
        <v>2023</v>
      </c>
      <c r="D17" s="1958">
        <v>12</v>
      </c>
      <c r="E17" s="1958">
        <v>16</v>
      </c>
      <c r="F17" s="1958">
        <v>0</v>
      </c>
      <c r="G17" s="2115" t="s">
        <v>1313</v>
      </c>
      <c r="H17" s="1958">
        <f>SUM(H9:H16)</f>
        <v>489967235</v>
      </c>
      <c r="I17" s="1958">
        <f>SUM(I9:I16)</f>
        <v>5123723</v>
      </c>
      <c r="J17" s="1958">
        <f>SUM(J9:J16)</f>
        <v>397916</v>
      </c>
      <c r="K17" s="1958">
        <f>SUM(K9:K16)</f>
        <v>0</v>
      </c>
      <c r="L17" s="1958">
        <f>SUM(L9:L16)</f>
        <v>0</v>
      </c>
      <c r="M17" s="1958">
        <f t="shared" si="0"/>
        <v>494693042</v>
      </c>
    </row>
    <row r="18" spans="1:13" ht="15.75">
      <c r="A18" s="1958" t="s">
        <v>877</v>
      </c>
      <c r="B18" s="1958">
        <v>187</v>
      </c>
      <c r="C18" s="1958">
        <v>2023</v>
      </c>
      <c r="D18" s="1958">
        <v>12</v>
      </c>
      <c r="E18" s="1958">
        <v>17</v>
      </c>
      <c r="F18" s="1958">
        <v>0</v>
      </c>
      <c r="G18" s="2115" t="s">
        <v>1312</v>
      </c>
      <c r="H18" s="1958">
        <v>0</v>
      </c>
      <c r="I18" s="1958">
        <v>0</v>
      </c>
      <c r="J18" s="1958">
        <v>0</v>
      </c>
      <c r="K18" s="1958">
        <v>0</v>
      </c>
      <c r="L18" s="1958">
        <v>0</v>
      </c>
      <c r="M18" s="1958">
        <v>0</v>
      </c>
    </row>
    <row r="19" spans="1:13" ht="15.75">
      <c r="A19" s="1958" t="s">
        <v>877</v>
      </c>
      <c r="B19" s="1958">
        <v>187</v>
      </c>
      <c r="C19" s="1958">
        <v>2023</v>
      </c>
      <c r="D19" s="1958">
        <v>12</v>
      </c>
      <c r="E19" s="1958">
        <v>18</v>
      </c>
      <c r="F19" s="1958">
        <v>0</v>
      </c>
      <c r="G19" s="2115" t="s">
        <v>1311</v>
      </c>
      <c r="H19" s="1958">
        <v>0</v>
      </c>
      <c r="I19" s="1958">
        <v>0</v>
      </c>
      <c r="J19" s="1958">
        <v>0</v>
      </c>
      <c r="K19" s="1958">
        <v>0</v>
      </c>
      <c r="L19" s="1958">
        <v>0</v>
      </c>
      <c r="M19" s="1958">
        <v>0</v>
      </c>
    </row>
    <row r="20" spans="1:13" ht="15.75">
      <c r="A20" s="1958" t="s">
        <v>877</v>
      </c>
      <c r="B20" s="1958">
        <v>187</v>
      </c>
      <c r="C20" s="1958">
        <v>2023</v>
      </c>
      <c r="D20" s="1958">
        <v>12</v>
      </c>
      <c r="E20" s="1958">
        <v>19</v>
      </c>
      <c r="F20" s="1958">
        <v>0</v>
      </c>
      <c r="G20" s="2115" t="s">
        <v>1310</v>
      </c>
      <c r="H20" s="1958">
        <v>0</v>
      </c>
      <c r="I20" s="1958">
        <v>0</v>
      </c>
      <c r="J20" s="1958">
        <v>0</v>
      </c>
      <c r="K20" s="1958">
        <v>0</v>
      </c>
      <c r="L20" s="1958">
        <v>0</v>
      </c>
      <c r="M20" s="1958">
        <v>0</v>
      </c>
    </row>
    <row r="21" spans="1:13" ht="15.75">
      <c r="A21" s="1958" t="s">
        <v>877</v>
      </c>
      <c r="B21" s="1958">
        <v>187</v>
      </c>
      <c r="C21" s="1958">
        <v>2023</v>
      </c>
      <c r="D21" s="1958">
        <v>12</v>
      </c>
      <c r="E21" s="1958">
        <v>20</v>
      </c>
      <c r="F21" s="1958">
        <v>0</v>
      </c>
      <c r="G21" s="2115" t="s">
        <v>1309</v>
      </c>
      <c r="H21" s="1958">
        <v>0</v>
      </c>
      <c r="I21" s="1958">
        <v>0</v>
      </c>
      <c r="J21" s="1958">
        <v>0</v>
      </c>
      <c r="K21" s="1958">
        <v>0</v>
      </c>
      <c r="L21" s="1958">
        <v>0</v>
      </c>
      <c r="M21" s="1958">
        <v>0</v>
      </c>
    </row>
    <row r="22" spans="1:13" ht="15.75">
      <c r="A22" s="1958" t="s">
        <v>877</v>
      </c>
      <c r="B22" s="1958">
        <v>187</v>
      </c>
      <c r="C22" s="1958">
        <v>2023</v>
      </c>
      <c r="D22" s="1958">
        <v>12</v>
      </c>
      <c r="E22" s="1958">
        <v>21</v>
      </c>
      <c r="F22" s="1958">
        <v>0</v>
      </c>
      <c r="G22" s="2115" t="s">
        <v>1308</v>
      </c>
      <c r="H22" s="1958">
        <v>0</v>
      </c>
      <c r="I22" s="1958">
        <v>0</v>
      </c>
      <c r="J22" s="1958">
        <v>0</v>
      </c>
      <c r="K22" s="1958">
        <v>0</v>
      </c>
      <c r="L22" s="1958">
        <v>0</v>
      </c>
      <c r="M22" s="1958">
        <v>0</v>
      </c>
    </row>
    <row r="23" spans="1:13" ht="15.75">
      <c r="A23" s="1958" t="s">
        <v>877</v>
      </c>
      <c r="B23" s="1958">
        <v>187</v>
      </c>
      <c r="C23" s="1958">
        <v>2023</v>
      </c>
      <c r="D23" s="1958">
        <v>12</v>
      </c>
      <c r="E23" s="1958">
        <v>22</v>
      </c>
      <c r="F23" s="1958">
        <v>0</v>
      </c>
      <c r="G23" s="2115" t="s">
        <v>1307</v>
      </c>
      <c r="H23" s="1958">
        <v>0</v>
      </c>
      <c r="I23" s="1958">
        <v>0</v>
      </c>
      <c r="J23" s="1958">
        <v>0</v>
      </c>
      <c r="K23" s="1958">
        <v>0</v>
      </c>
      <c r="L23" s="1958">
        <v>0</v>
      </c>
      <c r="M23" s="1958">
        <v>0</v>
      </c>
    </row>
    <row r="24" spans="1:13" ht="15.75">
      <c r="A24" s="1958" t="s">
        <v>877</v>
      </c>
      <c r="B24" s="1958">
        <v>187</v>
      </c>
      <c r="C24" s="1958">
        <v>2023</v>
      </c>
      <c r="D24" s="1958">
        <v>12</v>
      </c>
      <c r="E24" s="1958">
        <v>23</v>
      </c>
      <c r="F24" s="1958">
        <v>0</v>
      </c>
      <c r="G24" s="2115" t="s">
        <v>1306</v>
      </c>
      <c r="H24" s="1958">
        <v>0</v>
      </c>
      <c r="I24" s="1958">
        <v>0</v>
      </c>
      <c r="J24" s="1958">
        <v>0</v>
      </c>
      <c r="K24" s="1958">
        <v>0</v>
      </c>
      <c r="L24" s="1958">
        <v>0</v>
      </c>
      <c r="M24" s="1958">
        <v>0</v>
      </c>
    </row>
    <row r="25" spans="1:13" ht="15.75">
      <c r="A25" s="1958" t="s">
        <v>877</v>
      </c>
      <c r="B25" s="1958">
        <v>187</v>
      </c>
      <c r="C25" s="1958">
        <v>2023</v>
      </c>
      <c r="D25" s="1958">
        <v>12</v>
      </c>
      <c r="E25" s="1958">
        <v>24</v>
      </c>
      <c r="F25" s="1958">
        <v>0</v>
      </c>
      <c r="G25" s="2115" t="s">
        <v>1305</v>
      </c>
      <c r="H25" s="1958">
        <v>0</v>
      </c>
      <c r="I25" s="1958">
        <v>0</v>
      </c>
      <c r="J25" s="1958">
        <v>0</v>
      </c>
      <c r="K25" s="1958">
        <v>0</v>
      </c>
      <c r="L25" s="1958">
        <v>0</v>
      </c>
      <c r="M25" s="1958">
        <v>0</v>
      </c>
    </row>
    <row r="26" spans="1:13" ht="15.75">
      <c r="A26" s="1958" t="s">
        <v>877</v>
      </c>
      <c r="B26" s="1958">
        <v>187</v>
      </c>
      <c r="C26" s="1958">
        <v>2023</v>
      </c>
      <c r="D26" s="1958">
        <v>12</v>
      </c>
      <c r="E26" s="1958">
        <v>25</v>
      </c>
      <c r="F26" s="1958">
        <v>0</v>
      </c>
      <c r="G26" s="2115" t="s">
        <v>1304</v>
      </c>
      <c r="H26" s="1958">
        <v>0</v>
      </c>
      <c r="I26" s="1958">
        <v>0</v>
      </c>
      <c r="J26" s="1958">
        <v>0</v>
      </c>
      <c r="K26" s="1958">
        <v>0</v>
      </c>
      <c r="L26" s="1958">
        <v>0</v>
      </c>
      <c r="M26" s="1958">
        <v>0</v>
      </c>
    </row>
    <row r="27" spans="1:13" ht="15.75">
      <c r="A27" s="1958" t="s">
        <v>877</v>
      </c>
      <c r="B27" s="1958">
        <v>187</v>
      </c>
      <c r="C27" s="1958">
        <v>2023</v>
      </c>
      <c r="D27" s="1958">
        <v>12</v>
      </c>
      <c r="E27" s="1958">
        <v>26</v>
      </c>
      <c r="F27" s="1958">
        <v>0</v>
      </c>
      <c r="G27" s="2115" t="s">
        <v>1303</v>
      </c>
      <c r="H27" s="1958">
        <v>0</v>
      </c>
      <c r="I27" s="1958">
        <v>0</v>
      </c>
      <c r="J27" s="1958">
        <v>0</v>
      </c>
      <c r="K27" s="1958">
        <v>0</v>
      </c>
      <c r="L27" s="1958">
        <v>0</v>
      </c>
      <c r="M27" s="1958">
        <v>0</v>
      </c>
    </row>
    <row r="28" spans="1:13" ht="15.75">
      <c r="A28" s="1958" t="s">
        <v>877</v>
      </c>
      <c r="B28" s="1958">
        <v>187</v>
      </c>
      <c r="C28" s="1958">
        <v>2023</v>
      </c>
      <c r="D28" s="1958">
        <v>12</v>
      </c>
      <c r="E28" s="1958">
        <v>27</v>
      </c>
      <c r="F28" s="1958">
        <v>0</v>
      </c>
      <c r="G28" s="2115" t="s">
        <v>1302</v>
      </c>
      <c r="H28" s="1958">
        <v>65888976</v>
      </c>
      <c r="I28" s="1958">
        <v>2520485</v>
      </c>
      <c r="J28" s="1958">
        <v>0</v>
      </c>
      <c r="K28" s="1958">
        <v>0</v>
      </c>
      <c r="M28" s="1958">
        <f t="shared" ref="M28:M36" si="1">H28+I28-J28+K28+L28</f>
        <v>68409461</v>
      </c>
    </row>
    <row r="29" spans="1:13" ht="15.75">
      <c r="A29" s="1958" t="s">
        <v>877</v>
      </c>
      <c r="B29" s="1958">
        <v>187</v>
      </c>
      <c r="C29" s="1958">
        <v>2023</v>
      </c>
      <c r="D29" s="1958">
        <v>12</v>
      </c>
      <c r="E29" s="1958">
        <v>28</v>
      </c>
      <c r="F29" s="1958">
        <v>0</v>
      </c>
      <c r="G29" s="2115" t="s">
        <v>1301</v>
      </c>
      <c r="H29" s="1958">
        <v>111713114</v>
      </c>
      <c r="I29" s="1958">
        <v>5885120</v>
      </c>
      <c r="J29" s="1958">
        <v>797307</v>
      </c>
      <c r="K29" s="1958">
        <v>0</v>
      </c>
      <c r="M29" s="1958">
        <f t="shared" si="1"/>
        <v>116800927</v>
      </c>
    </row>
    <row r="30" spans="1:13" ht="15.75">
      <c r="A30" s="1958" t="s">
        <v>877</v>
      </c>
      <c r="B30" s="1958">
        <v>187</v>
      </c>
      <c r="C30" s="1958">
        <v>2023</v>
      </c>
      <c r="D30" s="1958">
        <v>12</v>
      </c>
      <c r="E30" s="1958">
        <v>29</v>
      </c>
      <c r="F30" s="1958">
        <v>0</v>
      </c>
      <c r="G30" s="2115" t="s">
        <v>1300</v>
      </c>
      <c r="H30" s="1958">
        <v>256473521</v>
      </c>
      <c r="I30" s="1958">
        <v>9805966</v>
      </c>
      <c r="J30" s="1958">
        <v>410</v>
      </c>
      <c r="K30" s="1958">
        <v>0</v>
      </c>
      <c r="M30" s="1958">
        <f t="shared" si="1"/>
        <v>266279077</v>
      </c>
    </row>
    <row r="31" spans="1:13" ht="15.75">
      <c r="A31" s="1958" t="s">
        <v>877</v>
      </c>
      <c r="B31" s="1958">
        <v>187</v>
      </c>
      <c r="C31" s="1958">
        <v>2023</v>
      </c>
      <c r="D31" s="1958">
        <v>12</v>
      </c>
      <c r="E31" s="1958">
        <v>30</v>
      </c>
      <c r="F31" s="1958">
        <v>0</v>
      </c>
      <c r="G31" s="2115" t="s">
        <v>1299</v>
      </c>
      <c r="H31" s="1958">
        <v>235789409</v>
      </c>
      <c r="I31" s="1958">
        <v>848353</v>
      </c>
      <c r="J31" s="1958">
        <v>605126</v>
      </c>
      <c r="K31" s="1958">
        <v>0</v>
      </c>
      <c r="M31" s="1958">
        <f t="shared" si="1"/>
        <v>236032636</v>
      </c>
    </row>
    <row r="32" spans="1:13" ht="15.75">
      <c r="A32" s="1958" t="s">
        <v>877</v>
      </c>
      <c r="B32" s="1958">
        <v>187</v>
      </c>
      <c r="C32" s="1958">
        <v>2023</v>
      </c>
      <c r="D32" s="1958">
        <v>12</v>
      </c>
      <c r="E32" s="1958">
        <v>31</v>
      </c>
      <c r="F32" s="1958">
        <v>0</v>
      </c>
      <c r="G32" s="2115" t="s">
        <v>1298</v>
      </c>
      <c r="H32" s="1958">
        <v>84873187</v>
      </c>
      <c r="I32" s="1958">
        <v>1261390</v>
      </c>
      <c r="J32" s="1958">
        <v>261085</v>
      </c>
      <c r="K32" s="1958">
        <v>0</v>
      </c>
      <c r="M32" s="1958">
        <f t="shared" si="1"/>
        <v>85873492</v>
      </c>
    </row>
    <row r="33" spans="1:13" ht="15.75">
      <c r="A33" s="1958" t="s">
        <v>877</v>
      </c>
      <c r="B33" s="1958">
        <v>187</v>
      </c>
      <c r="C33" s="1958">
        <v>2023</v>
      </c>
      <c r="D33" s="1958">
        <v>12</v>
      </c>
      <c r="E33" s="1958">
        <v>32</v>
      </c>
      <c r="F33" s="1958">
        <v>0</v>
      </c>
      <c r="G33" s="2115" t="s">
        <v>1297</v>
      </c>
      <c r="H33" s="1958">
        <v>13734934</v>
      </c>
      <c r="I33" s="1958">
        <v>646716</v>
      </c>
      <c r="J33" s="1958">
        <v>8715</v>
      </c>
      <c r="K33" s="1958">
        <v>0</v>
      </c>
      <c r="M33" s="1958">
        <f t="shared" si="1"/>
        <v>14372935</v>
      </c>
    </row>
    <row r="34" spans="1:13" ht="15.75">
      <c r="A34" s="1958" t="s">
        <v>877</v>
      </c>
      <c r="B34" s="1958">
        <v>187</v>
      </c>
      <c r="C34" s="1958">
        <v>2023</v>
      </c>
      <c r="D34" s="1958">
        <v>12</v>
      </c>
      <c r="E34" s="1958">
        <v>33</v>
      </c>
      <c r="F34" s="1958">
        <v>0</v>
      </c>
      <c r="G34" s="2115" t="s">
        <v>1296</v>
      </c>
      <c r="H34" s="1958">
        <v>3648611</v>
      </c>
      <c r="I34" s="1958">
        <v>249648</v>
      </c>
      <c r="J34" s="1958">
        <v>10101</v>
      </c>
      <c r="K34" s="1958">
        <v>0</v>
      </c>
      <c r="M34" s="1958">
        <f t="shared" si="1"/>
        <v>3888158</v>
      </c>
    </row>
    <row r="35" spans="1:13" ht="15.75">
      <c r="A35" s="1958" t="s">
        <v>877</v>
      </c>
      <c r="B35" s="1958">
        <v>187</v>
      </c>
      <c r="C35" s="1958">
        <v>2023</v>
      </c>
      <c r="D35" s="1958">
        <v>12</v>
      </c>
      <c r="E35" s="1958">
        <v>34</v>
      </c>
      <c r="F35" s="1958">
        <v>0</v>
      </c>
      <c r="G35" s="2115" t="s">
        <v>1295</v>
      </c>
      <c r="H35" s="1958">
        <v>0</v>
      </c>
      <c r="I35" s="1958">
        <v>0</v>
      </c>
      <c r="J35" s="1958">
        <v>0</v>
      </c>
      <c r="K35" s="1958">
        <v>0</v>
      </c>
      <c r="M35" s="1958">
        <f t="shared" si="1"/>
        <v>0</v>
      </c>
    </row>
    <row r="36" spans="1:13" ht="15.75">
      <c r="A36" s="1958" t="s">
        <v>877</v>
      </c>
      <c r="B36" s="1958">
        <v>187</v>
      </c>
      <c r="C36" s="1958">
        <v>2023</v>
      </c>
      <c r="D36" s="1958">
        <v>12</v>
      </c>
      <c r="E36" s="1958">
        <v>35</v>
      </c>
      <c r="F36" s="1958">
        <v>0</v>
      </c>
      <c r="G36" s="2115" t="s">
        <v>1294</v>
      </c>
      <c r="H36" s="1958">
        <f>SUM(H28:H35)</f>
        <v>772121752</v>
      </c>
      <c r="I36" s="1958">
        <f>SUM(I28:I35)</f>
        <v>21217678</v>
      </c>
      <c r="J36" s="1958">
        <f>SUM(J28:J35)</f>
        <v>1682744</v>
      </c>
      <c r="K36" s="1958">
        <f>SUM(K28:K35)</f>
        <v>0</v>
      </c>
      <c r="L36" s="1958">
        <f>SUM(L28:L35)</f>
        <v>0</v>
      </c>
      <c r="M36" s="1958">
        <f t="shared" si="1"/>
        <v>791656686</v>
      </c>
    </row>
    <row r="37" spans="1:13" ht="15.75">
      <c r="A37" s="1958" t="s">
        <v>877</v>
      </c>
      <c r="B37" s="1958">
        <v>187</v>
      </c>
      <c r="C37" s="1958">
        <v>2023</v>
      </c>
      <c r="D37" s="1958">
        <v>12</v>
      </c>
      <c r="E37" s="1958">
        <v>36</v>
      </c>
      <c r="F37" s="1958">
        <v>0</v>
      </c>
      <c r="G37" s="2115" t="s">
        <v>1293</v>
      </c>
      <c r="H37" s="1958">
        <v>0</v>
      </c>
      <c r="I37" s="1958">
        <v>0</v>
      </c>
      <c r="J37" s="1958">
        <v>0</v>
      </c>
      <c r="K37" s="1958">
        <v>0</v>
      </c>
      <c r="L37" s="1958">
        <v>0</v>
      </c>
      <c r="M37" s="1958">
        <v>0</v>
      </c>
    </row>
    <row r="38" spans="1:13" ht="15.75">
      <c r="A38" s="1958" t="s">
        <v>877</v>
      </c>
      <c r="B38" s="1958">
        <v>187</v>
      </c>
      <c r="C38" s="1958">
        <v>2023</v>
      </c>
      <c r="D38" s="1958">
        <v>12</v>
      </c>
      <c r="E38" s="1958">
        <v>37</v>
      </c>
      <c r="F38" s="1958">
        <v>0</v>
      </c>
      <c r="G38" s="2115" t="s">
        <v>1292</v>
      </c>
      <c r="H38" s="1958">
        <v>905167</v>
      </c>
      <c r="I38" s="1958">
        <v>0</v>
      </c>
      <c r="J38" s="1958">
        <v>0</v>
      </c>
      <c r="K38" s="1958">
        <v>0</v>
      </c>
      <c r="L38" s="1958">
        <v>0</v>
      </c>
      <c r="M38" s="1958">
        <f t="shared" ref="M38:M46" si="2">SUM(H38+I38-J38+K38+L38)</f>
        <v>905167</v>
      </c>
    </row>
    <row r="39" spans="1:13" ht="15.75">
      <c r="A39" s="1958" t="s">
        <v>877</v>
      </c>
      <c r="B39" s="1958">
        <v>187</v>
      </c>
      <c r="C39" s="1958">
        <v>2023</v>
      </c>
      <c r="D39" s="1958">
        <v>12</v>
      </c>
      <c r="E39" s="1958">
        <v>38</v>
      </c>
      <c r="F39" s="1958">
        <v>0</v>
      </c>
      <c r="G39" s="2115" t="s">
        <v>1291</v>
      </c>
      <c r="H39" s="1958">
        <v>17613988</v>
      </c>
      <c r="I39" s="1958">
        <v>23181</v>
      </c>
      <c r="J39" s="1958">
        <v>37331</v>
      </c>
      <c r="K39" s="1958">
        <v>0</v>
      </c>
      <c r="L39" s="1958">
        <v>0</v>
      </c>
      <c r="M39" s="1958">
        <f t="shared" si="2"/>
        <v>17599838</v>
      </c>
    </row>
    <row r="40" spans="1:13" ht="15.75">
      <c r="A40" s="1958" t="s">
        <v>877</v>
      </c>
      <c r="B40" s="1958">
        <v>187</v>
      </c>
      <c r="C40" s="1958">
        <v>2023</v>
      </c>
      <c r="D40" s="1958">
        <v>12</v>
      </c>
      <c r="E40" s="1958">
        <v>39</v>
      </c>
      <c r="F40" s="1958">
        <v>0</v>
      </c>
      <c r="G40" s="2115" t="s">
        <v>1290</v>
      </c>
      <c r="H40" s="1958">
        <v>21070907</v>
      </c>
      <c r="I40" s="1958">
        <v>116</v>
      </c>
      <c r="J40" s="1958">
        <v>0</v>
      </c>
      <c r="K40" s="1958">
        <v>0</v>
      </c>
      <c r="L40" s="1958">
        <v>0</v>
      </c>
      <c r="M40" s="1958">
        <f t="shared" si="2"/>
        <v>21071023</v>
      </c>
    </row>
    <row r="41" spans="1:13" ht="15.75">
      <c r="A41" s="1958" t="s">
        <v>877</v>
      </c>
      <c r="B41" s="1958">
        <v>187</v>
      </c>
      <c r="C41" s="1958">
        <v>2023</v>
      </c>
      <c r="D41" s="1958">
        <v>12</v>
      </c>
      <c r="E41" s="1958">
        <v>40</v>
      </c>
      <c r="F41" s="1958">
        <v>0</v>
      </c>
      <c r="G41" s="2115" t="s">
        <v>1289</v>
      </c>
      <c r="H41" s="1958">
        <v>21443903</v>
      </c>
      <c r="I41" s="1958">
        <v>0</v>
      </c>
      <c r="J41" s="1958">
        <v>14110</v>
      </c>
      <c r="K41" s="1958">
        <v>0</v>
      </c>
      <c r="L41" s="1958">
        <v>0</v>
      </c>
      <c r="M41" s="1958">
        <f t="shared" si="2"/>
        <v>21429793</v>
      </c>
    </row>
    <row r="42" spans="1:13" ht="15.75">
      <c r="A42" s="1958" t="s">
        <v>877</v>
      </c>
      <c r="B42" s="1958">
        <v>187</v>
      </c>
      <c r="C42" s="1958">
        <v>2023</v>
      </c>
      <c r="D42" s="1958">
        <v>12</v>
      </c>
      <c r="E42" s="1958">
        <v>41</v>
      </c>
      <c r="F42" s="1958">
        <v>0</v>
      </c>
      <c r="G42" s="2115" t="s">
        <v>1288</v>
      </c>
      <c r="H42" s="1958">
        <v>237686875</v>
      </c>
      <c r="I42" s="1958">
        <v>718872</v>
      </c>
      <c r="J42" s="1958">
        <v>423966</v>
      </c>
      <c r="K42" s="1958">
        <v>0</v>
      </c>
      <c r="L42" s="1958">
        <v>0</v>
      </c>
      <c r="M42" s="1958">
        <f t="shared" si="2"/>
        <v>237981781</v>
      </c>
    </row>
    <row r="43" spans="1:13" ht="15.75">
      <c r="A43" s="1958" t="s">
        <v>877</v>
      </c>
      <c r="B43" s="1958">
        <v>187</v>
      </c>
      <c r="C43" s="1958">
        <v>2023</v>
      </c>
      <c r="D43" s="1958">
        <v>12</v>
      </c>
      <c r="E43" s="1958">
        <v>42</v>
      </c>
      <c r="F43" s="1958">
        <v>0</v>
      </c>
      <c r="G43" s="2115" t="s">
        <v>1287</v>
      </c>
      <c r="H43" s="1958">
        <v>25712405</v>
      </c>
      <c r="I43" s="1958">
        <v>920937</v>
      </c>
      <c r="J43" s="1958">
        <v>73075</v>
      </c>
      <c r="K43" s="1958">
        <v>0</v>
      </c>
      <c r="L43" s="1958">
        <v>0</v>
      </c>
      <c r="M43" s="1958">
        <f t="shared" si="2"/>
        <v>26560267</v>
      </c>
    </row>
    <row r="44" spans="1:13" ht="15.75">
      <c r="A44" s="1958" t="s">
        <v>877</v>
      </c>
      <c r="B44" s="1958">
        <v>187</v>
      </c>
      <c r="C44" s="1958">
        <v>2023</v>
      </c>
      <c r="D44" s="1958">
        <v>12</v>
      </c>
      <c r="E44" s="1958">
        <v>43</v>
      </c>
      <c r="F44" s="1958">
        <v>0</v>
      </c>
      <c r="G44" s="2115" t="s">
        <v>1286</v>
      </c>
      <c r="H44" s="1958">
        <v>1642746</v>
      </c>
      <c r="I44" s="1958">
        <v>58</v>
      </c>
      <c r="J44" s="1958">
        <v>16146</v>
      </c>
      <c r="K44" s="1958">
        <v>0</v>
      </c>
      <c r="L44" s="1958">
        <v>0</v>
      </c>
      <c r="M44" s="1958">
        <f t="shared" si="2"/>
        <v>1626658</v>
      </c>
    </row>
    <row r="45" spans="1:13" ht="15.75">
      <c r="A45" s="1958" t="s">
        <v>877</v>
      </c>
      <c r="B45" s="1958">
        <v>187</v>
      </c>
      <c r="C45" s="1958">
        <v>2023</v>
      </c>
      <c r="D45" s="1958">
        <v>12</v>
      </c>
      <c r="E45" s="1958">
        <v>44</v>
      </c>
      <c r="F45" s="1958">
        <v>0</v>
      </c>
      <c r="G45" s="2115" t="s">
        <v>1285</v>
      </c>
      <c r="H45" s="1958">
        <v>351683</v>
      </c>
      <c r="I45" s="1958">
        <v>0</v>
      </c>
      <c r="J45" s="1958">
        <v>0</v>
      </c>
      <c r="K45" s="1958">
        <v>0</v>
      </c>
      <c r="L45" s="1958">
        <v>0</v>
      </c>
      <c r="M45" s="1958">
        <f t="shared" si="2"/>
        <v>351683</v>
      </c>
    </row>
    <row r="46" spans="1:13" ht="15.75">
      <c r="A46" s="1958" t="s">
        <v>877</v>
      </c>
      <c r="B46" s="1958">
        <v>187</v>
      </c>
      <c r="C46" s="1958">
        <v>2023</v>
      </c>
      <c r="D46" s="1958">
        <v>12</v>
      </c>
      <c r="E46" s="1958">
        <v>45</v>
      </c>
      <c r="F46" s="1958">
        <v>0</v>
      </c>
      <c r="G46" s="2115" t="s">
        <v>1284</v>
      </c>
      <c r="H46" s="1958">
        <f>SUM(H38:H45)</f>
        <v>326427674</v>
      </c>
      <c r="I46" s="1958">
        <f>SUM(I38:I45)</f>
        <v>1663164</v>
      </c>
      <c r="J46" s="1958">
        <f>SUM(J38:J45)</f>
        <v>564628</v>
      </c>
      <c r="K46" s="1958">
        <f>SUM(K38:K45)</f>
        <v>0</v>
      </c>
      <c r="L46" s="1958">
        <f>SUM(L38:L45)</f>
        <v>0</v>
      </c>
      <c r="M46" s="1958">
        <f t="shared" si="2"/>
        <v>327526210</v>
      </c>
    </row>
    <row r="47" spans="1:13" ht="15.75">
      <c r="A47" s="1958" t="s">
        <v>877</v>
      </c>
      <c r="B47" s="1958">
        <v>187</v>
      </c>
      <c r="C47" s="1958">
        <v>2023</v>
      </c>
      <c r="D47" s="1958">
        <v>12</v>
      </c>
      <c r="E47" s="1958">
        <v>46</v>
      </c>
      <c r="F47" s="1958">
        <v>0</v>
      </c>
      <c r="G47" s="2115" t="s">
        <v>1283</v>
      </c>
      <c r="H47" s="1961">
        <f t="shared" ref="H47:M47" si="3">SUM(H17,H26,H36,H46)</f>
        <v>1588516661</v>
      </c>
      <c r="I47" s="1961">
        <f t="shared" si="3"/>
        <v>28004565</v>
      </c>
      <c r="J47" s="1961">
        <f t="shared" si="3"/>
        <v>2645288</v>
      </c>
      <c r="K47" s="1961">
        <f t="shared" si="3"/>
        <v>0</v>
      </c>
      <c r="L47" s="1961">
        <f t="shared" si="3"/>
        <v>0</v>
      </c>
      <c r="M47" s="1961">
        <f t="shared" si="3"/>
        <v>1613875938</v>
      </c>
    </row>
    <row r="48" spans="1:13" ht="15.75">
      <c r="A48" s="1958" t="s">
        <v>877</v>
      </c>
      <c r="B48" s="1958">
        <v>187</v>
      </c>
      <c r="C48" s="1958">
        <v>2023</v>
      </c>
      <c r="D48" s="1958">
        <v>12</v>
      </c>
      <c r="E48" s="1958">
        <v>47</v>
      </c>
      <c r="F48" s="1958">
        <v>0</v>
      </c>
      <c r="G48" s="2115" t="s">
        <v>1282</v>
      </c>
      <c r="H48" s="1958">
        <v>0</v>
      </c>
      <c r="I48" s="1958">
        <v>0</v>
      </c>
      <c r="J48" s="1958">
        <v>0</v>
      </c>
      <c r="K48" s="1958">
        <v>0</v>
      </c>
      <c r="L48" s="1958">
        <v>0</v>
      </c>
      <c r="M48" s="1958">
        <v>0</v>
      </c>
    </row>
    <row r="49" spans="1:13" ht="15.75">
      <c r="A49" s="1958" t="s">
        <v>877</v>
      </c>
      <c r="B49" s="1958">
        <v>187</v>
      </c>
      <c r="C49" s="1958">
        <v>2023</v>
      </c>
      <c r="D49" s="1958">
        <v>12</v>
      </c>
      <c r="E49" s="1958">
        <v>48</v>
      </c>
      <c r="F49" s="1958">
        <v>0</v>
      </c>
      <c r="G49" s="2115" t="s">
        <v>1281</v>
      </c>
      <c r="H49" s="1958">
        <v>30092047</v>
      </c>
      <c r="I49" s="1958">
        <v>168213</v>
      </c>
      <c r="J49" s="1958">
        <v>2024</v>
      </c>
      <c r="K49" s="1958">
        <v>0</v>
      </c>
      <c r="L49" s="1958">
        <v>0</v>
      </c>
      <c r="M49" s="1958">
        <f t="shared" ref="M49:M58" si="4">SUM(H49+I49-J49+K49+L49)</f>
        <v>30258236</v>
      </c>
    </row>
    <row r="50" spans="1:13" ht="15.75">
      <c r="A50" s="1958" t="s">
        <v>877</v>
      </c>
      <c r="B50" s="1958">
        <v>187</v>
      </c>
      <c r="C50" s="1958">
        <v>2023</v>
      </c>
      <c r="D50" s="1958">
        <v>12</v>
      </c>
      <c r="E50" s="1958">
        <v>49</v>
      </c>
      <c r="F50" s="1958">
        <v>0</v>
      </c>
      <c r="G50" s="2115" t="s">
        <v>1280</v>
      </c>
      <c r="H50" s="1958">
        <v>30634477</v>
      </c>
      <c r="I50" s="1958">
        <v>6880190</v>
      </c>
      <c r="J50" s="1958">
        <v>133952</v>
      </c>
      <c r="K50" s="1958">
        <v>0</v>
      </c>
      <c r="L50" s="1958">
        <v>0</v>
      </c>
      <c r="M50" s="1958">
        <f t="shared" si="4"/>
        <v>37380715</v>
      </c>
    </row>
    <row r="51" spans="1:13" ht="15.75">
      <c r="A51" s="1958" t="s">
        <v>877</v>
      </c>
      <c r="B51" s="1958">
        <v>187</v>
      </c>
      <c r="C51" s="1958">
        <v>2023</v>
      </c>
      <c r="D51" s="1958">
        <v>12</v>
      </c>
      <c r="E51" s="1958">
        <v>50</v>
      </c>
      <c r="F51" s="1958">
        <v>0</v>
      </c>
      <c r="G51" s="2115" t="s">
        <v>1279</v>
      </c>
      <c r="H51" s="1958">
        <v>365127492</v>
      </c>
      <c r="I51" s="1958">
        <v>25527973</v>
      </c>
      <c r="J51" s="1958">
        <v>2398123</v>
      </c>
      <c r="K51" s="1958">
        <v>0</v>
      </c>
      <c r="L51" s="1958">
        <v>0</v>
      </c>
      <c r="M51" s="1958">
        <f t="shared" si="4"/>
        <v>388257342</v>
      </c>
    </row>
    <row r="52" spans="1:13" ht="15.75">
      <c r="A52" s="1958" t="s">
        <v>877</v>
      </c>
      <c r="B52" s="1958">
        <v>187</v>
      </c>
      <c r="C52" s="1958">
        <v>2023</v>
      </c>
      <c r="D52" s="1958">
        <v>12</v>
      </c>
      <c r="E52" s="1958">
        <v>51</v>
      </c>
      <c r="F52" s="1958">
        <v>0</v>
      </c>
      <c r="G52" s="2115" t="s">
        <v>1278</v>
      </c>
      <c r="H52" s="1958">
        <v>17217152</v>
      </c>
      <c r="I52" s="1958">
        <v>-53118</v>
      </c>
      <c r="J52" s="1958">
        <v>24566</v>
      </c>
      <c r="K52" s="1958">
        <v>0</v>
      </c>
      <c r="L52" s="1958">
        <v>0</v>
      </c>
      <c r="M52" s="1958">
        <f t="shared" si="4"/>
        <v>17139468</v>
      </c>
    </row>
    <row r="53" spans="1:13" ht="15.75">
      <c r="A53" s="1958" t="s">
        <v>877</v>
      </c>
      <c r="B53" s="1958">
        <v>187</v>
      </c>
      <c r="C53" s="1958">
        <v>2023</v>
      </c>
      <c r="D53" s="1958">
        <v>12</v>
      </c>
      <c r="E53" s="1958">
        <v>52</v>
      </c>
      <c r="F53" s="1958">
        <v>0</v>
      </c>
      <c r="G53" s="2115" t="s">
        <v>1277</v>
      </c>
      <c r="H53" s="1958">
        <v>353099994</v>
      </c>
      <c r="I53" s="1958">
        <v>28936574</v>
      </c>
      <c r="J53" s="1958">
        <v>700974</v>
      </c>
      <c r="K53" s="1958">
        <v>0</v>
      </c>
      <c r="L53" s="1958">
        <v>0</v>
      </c>
      <c r="M53" s="1958">
        <f t="shared" si="4"/>
        <v>381335594</v>
      </c>
    </row>
    <row r="54" spans="1:13" ht="15.75">
      <c r="A54" s="1958" t="s">
        <v>877</v>
      </c>
      <c r="B54" s="1958">
        <v>187</v>
      </c>
      <c r="C54" s="1958">
        <v>2023</v>
      </c>
      <c r="D54" s="1958">
        <v>12</v>
      </c>
      <c r="E54" s="1958">
        <v>53</v>
      </c>
      <c r="F54" s="1958">
        <v>0</v>
      </c>
      <c r="G54" s="2115" t="s">
        <v>1276</v>
      </c>
      <c r="H54" s="1958">
        <v>182973690</v>
      </c>
      <c r="I54" s="1958">
        <v>8224033</v>
      </c>
      <c r="J54" s="1958">
        <v>363594</v>
      </c>
      <c r="K54" s="1958">
        <v>0</v>
      </c>
      <c r="L54" s="1958">
        <v>0</v>
      </c>
      <c r="M54" s="1958">
        <f t="shared" si="4"/>
        <v>190834129</v>
      </c>
    </row>
    <row r="55" spans="1:13" ht="15.75">
      <c r="A55" s="1958" t="s">
        <v>877</v>
      </c>
      <c r="B55" s="1958">
        <v>187</v>
      </c>
      <c r="C55" s="1958">
        <v>2023</v>
      </c>
      <c r="D55" s="1958">
        <v>12</v>
      </c>
      <c r="E55" s="1958">
        <v>54</v>
      </c>
      <c r="F55" s="1958">
        <v>0</v>
      </c>
      <c r="G55" s="2115" t="s">
        <v>1275</v>
      </c>
      <c r="H55" s="1958">
        <v>3577440</v>
      </c>
      <c r="I55" s="1958">
        <v>-363503</v>
      </c>
      <c r="J55" s="1958">
        <v>0</v>
      </c>
      <c r="K55" s="1958">
        <v>0</v>
      </c>
      <c r="L55" s="1958">
        <v>0</v>
      </c>
      <c r="M55" s="1958">
        <f t="shared" si="4"/>
        <v>3213937</v>
      </c>
    </row>
    <row r="56" spans="1:13" ht="15.75">
      <c r="A56" s="1958" t="s">
        <v>877</v>
      </c>
      <c r="B56" s="1958">
        <v>187</v>
      </c>
      <c r="C56" s="1958">
        <v>2023</v>
      </c>
      <c r="D56" s="1958">
        <v>12</v>
      </c>
      <c r="E56" s="1958">
        <v>55</v>
      </c>
      <c r="F56" s="1958">
        <v>0</v>
      </c>
      <c r="G56" s="2115" t="s">
        <v>1274</v>
      </c>
      <c r="H56" s="1958">
        <v>7054975</v>
      </c>
      <c r="I56" s="1958">
        <v>-363502</v>
      </c>
      <c r="J56" s="1958">
        <v>0</v>
      </c>
      <c r="K56" s="1958">
        <v>0</v>
      </c>
      <c r="L56" s="1958">
        <v>0</v>
      </c>
      <c r="M56" s="1958">
        <f t="shared" si="4"/>
        <v>6691473</v>
      </c>
    </row>
    <row r="57" spans="1:13" ht="15.75">
      <c r="A57" s="1958" t="s">
        <v>877</v>
      </c>
      <c r="B57" s="1958">
        <v>187</v>
      </c>
      <c r="C57" s="1958">
        <v>2023</v>
      </c>
      <c r="D57" s="1958">
        <v>12</v>
      </c>
      <c r="E57" s="1958">
        <v>56</v>
      </c>
      <c r="F57" s="1958">
        <v>0</v>
      </c>
      <c r="G57" s="2115" t="s">
        <v>1273</v>
      </c>
      <c r="H57" s="1958">
        <v>2608136</v>
      </c>
      <c r="I57" s="1958">
        <v>0</v>
      </c>
      <c r="J57" s="1958">
        <v>0</v>
      </c>
      <c r="K57" s="1958">
        <v>0</v>
      </c>
      <c r="L57" s="1958">
        <v>0</v>
      </c>
      <c r="M57" s="1958">
        <f t="shared" si="4"/>
        <v>2608136</v>
      </c>
    </row>
    <row r="58" spans="1:13" ht="15.75">
      <c r="A58" s="1958" t="s">
        <v>877</v>
      </c>
      <c r="B58" s="1958">
        <v>187</v>
      </c>
      <c r="C58" s="1958">
        <v>2023</v>
      </c>
      <c r="D58" s="1958">
        <v>12</v>
      </c>
      <c r="E58" s="1958">
        <v>57</v>
      </c>
      <c r="F58" s="1958">
        <v>0</v>
      </c>
      <c r="G58" s="2115" t="s">
        <v>1272</v>
      </c>
      <c r="H58" s="1958">
        <v>0</v>
      </c>
      <c r="I58" s="1958">
        <v>0</v>
      </c>
      <c r="J58" s="1958">
        <v>0</v>
      </c>
      <c r="K58" s="1958">
        <v>0</v>
      </c>
      <c r="L58" s="1958">
        <v>0</v>
      </c>
      <c r="M58" s="1958">
        <f t="shared" si="4"/>
        <v>0</v>
      </c>
    </row>
    <row r="59" spans="1:13" ht="15.75">
      <c r="A59" s="1958" t="s">
        <v>877</v>
      </c>
      <c r="B59" s="1958">
        <v>187</v>
      </c>
      <c r="C59" s="1958">
        <v>2023</v>
      </c>
      <c r="D59" s="1958">
        <v>12</v>
      </c>
      <c r="E59" s="1958">
        <v>58</v>
      </c>
      <c r="F59" s="1958">
        <v>0</v>
      </c>
      <c r="G59" s="2115" t="s">
        <v>1271</v>
      </c>
      <c r="H59" s="1958">
        <f t="shared" ref="H59:M59" si="5">SUM(H49:H58)</f>
        <v>992385403</v>
      </c>
      <c r="I59" s="1958">
        <f t="shared" si="5"/>
        <v>68956860</v>
      </c>
      <c r="J59" s="1958">
        <f t="shared" si="5"/>
        <v>3623233</v>
      </c>
      <c r="K59" s="1958">
        <f t="shared" si="5"/>
        <v>0</v>
      </c>
      <c r="L59" s="1958">
        <f t="shared" si="5"/>
        <v>0</v>
      </c>
      <c r="M59" s="1958">
        <f t="shared" si="5"/>
        <v>1057719030</v>
      </c>
    </row>
    <row r="60" spans="1:13" ht="15.75">
      <c r="A60" s="1958" t="s">
        <v>877</v>
      </c>
      <c r="B60" s="1958">
        <v>187</v>
      </c>
      <c r="C60" s="1958">
        <v>2023</v>
      </c>
      <c r="D60" s="1958">
        <v>12</v>
      </c>
      <c r="E60" s="1958">
        <v>59</v>
      </c>
      <c r="F60" s="1958">
        <v>0</v>
      </c>
      <c r="G60" s="2115" t="s">
        <v>1270</v>
      </c>
      <c r="H60" s="1958">
        <v>0</v>
      </c>
      <c r="I60" s="1958">
        <v>0</v>
      </c>
      <c r="J60" s="1958">
        <v>0</v>
      </c>
      <c r="K60" s="1958">
        <v>0</v>
      </c>
      <c r="L60" s="1958">
        <v>0</v>
      </c>
      <c r="M60" s="1958">
        <v>0</v>
      </c>
    </row>
    <row r="61" spans="1:13" ht="15.75">
      <c r="A61" s="1958" t="s">
        <v>877</v>
      </c>
      <c r="B61" s="1958">
        <v>187</v>
      </c>
      <c r="C61" s="1958">
        <v>2023</v>
      </c>
      <c r="D61" s="1958">
        <v>12</v>
      </c>
      <c r="E61" s="1958">
        <v>60</v>
      </c>
      <c r="F61" s="1958">
        <v>0</v>
      </c>
      <c r="G61" s="2115" t="s">
        <v>1269</v>
      </c>
      <c r="H61" s="1958">
        <v>16392078</v>
      </c>
      <c r="I61" s="1958">
        <v>2097982</v>
      </c>
      <c r="J61" s="1958">
        <v>0</v>
      </c>
      <c r="K61" s="1958">
        <v>0</v>
      </c>
      <c r="L61" s="1958">
        <v>-2068423</v>
      </c>
      <c r="M61" s="1958">
        <f t="shared" ref="M61:M75" si="6">SUM(H61+I61-J61+K61+L61)</f>
        <v>16421637</v>
      </c>
    </row>
    <row r="62" spans="1:13" ht="15.75">
      <c r="A62" s="1958" t="s">
        <v>877</v>
      </c>
      <c r="B62" s="1958">
        <v>187</v>
      </c>
      <c r="C62" s="1958">
        <v>2023</v>
      </c>
      <c r="D62" s="1958">
        <v>12</v>
      </c>
      <c r="E62" s="1958">
        <v>61</v>
      </c>
      <c r="F62" s="1958">
        <v>0</v>
      </c>
      <c r="G62" s="2115" t="s">
        <v>1268</v>
      </c>
      <c r="H62" s="1958">
        <v>28488284</v>
      </c>
      <c r="I62" s="1958">
        <v>2547182</v>
      </c>
      <c r="J62" s="1958">
        <v>50943</v>
      </c>
      <c r="K62" s="1958">
        <v>0</v>
      </c>
      <c r="L62" s="1958">
        <v>0</v>
      </c>
      <c r="M62" s="1958">
        <f t="shared" si="6"/>
        <v>30984523</v>
      </c>
    </row>
    <row r="63" spans="1:13" ht="15.75">
      <c r="A63" s="1958" t="s">
        <v>877</v>
      </c>
      <c r="B63" s="1958">
        <v>187</v>
      </c>
      <c r="C63" s="1958">
        <v>2023</v>
      </c>
      <c r="D63" s="1958">
        <v>12</v>
      </c>
      <c r="E63" s="1958">
        <v>62</v>
      </c>
      <c r="F63" s="1958">
        <v>0</v>
      </c>
      <c r="G63" s="2115" t="s">
        <v>1267</v>
      </c>
      <c r="H63" s="1958">
        <v>164195204</v>
      </c>
      <c r="I63" s="1958">
        <v>10461576</v>
      </c>
      <c r="J63" s="1958">
        <v>1484822</v>
      </c>
      <c r="K63" s="1958">
        <v>0</v>
      </c>
      <c r="L63" s="1958">
        <v>0</v>
      </c>
      <c r="M63" s="1958">
        <f t="shared" si="6"/>
        <v>173171958</v>
      </c>
    </row>
    <row r="64" spans="1:13" ht="15.75">
      <c r="A64" s="1958" t="s">
        <v>877</v>
      </c>
      <c r="B64" s="1958">
        <v>187</v>
      </c>
      <c r="C64" s="1958">
        <v>2023</v>
      </c>
      <c r="D64" s="1958">
        <v>12</v>
      </c>
      <c r="E64" s="1958">
        <v>63</v>
      </c>
      <c r="F64" s="1958">
        <v>0</v>
      </c>
      <c r="G64" s="2115" t="s">
        <v>1266</v>
      </c>
      <c r="H64" s="1958">
        <v>0</v>
      </c>
      <c r="I64" s="1958">
        <v>0</v>
      </c>
      <c r="J64" s="1958">
        <v>0</v>
      </c>
      <c r="K64" s="1958">
        <v>0</v>
      </c>
      <c r="L64" s="1958">
        <v>0</v>
      </c>
      <c r="M64" s="1958">
        <f t="shared" si="6"/>
        <v>0</v>
      </c>
    </row>
    <row r="65" spans="1:13" ht="15.75">
      <c r="A65" s="1958" t="s">
        <v>877</v>
      </c>
      <c r="B65" s="1958">
        <v>187</v>
      </c>
      <c r="C65" s="1958">
        <v>2023</v>
      </c>
      <c r="D65" s="1958">
        <v>12</v>
      </c>
      <c r="E65" s="1958">
        <v>64</v>
      </c>
      <c r="F65" s="1958">
        <v>0</v>
      </c>
      <c r="G65" s="2115" t="s">
        <v>1265</v>
      </c>
      <c r="H65" s="1958">
        <v>538890192</v>
      </c>
      <c r="I65" s="1958">
        <v>48170081</v>
      </c>
      <c r="J65" s="1958">
        <v>1315943</v>
      </c>
      <c r="K65" s="1958">
        <v>0</v>
      </c>
      <c r="L65" s="1958">
        <v>0</v>
      </c>
      <c r="M65" s="1958">
        <f t="shared" si="6"/>
        <v>585744330</v>
      </c>
    </row>
    <row r="66" spans="1:13" ht="15.75">
      <c r="A66" s="1958" t="s">
        <v>877</v>
      </c>
      <c r="B66" s="1958">
        <v>187</v>
      </c>
      <c r="C66" s="1958">
        <v>2023</v>
      </c>
      <c r="D66" s="1958">
        <v>12</v>
      </c>
      <c r="E66" s="1958">
        <v>65</v>
      </c>
      <c r="F66" s="1958">
        <v>0</v>
      </c>
      <c r="G66" s="2115" t="s">
        <v>1264</v>
      </c>
      <c r="H66" s="1958">
        <v>342545005</v>
      </c>
      <c r="I66" s="1958">
        <v>23934559</v>
      </c>
      <c r="J66" s="1958">
        <v>101045</v>
      </c>
      <c r="K66" s="1958">
        <v>0</v>
      </c>
      <c r="L66" s="1958">
        <v>0</v>
      </c>
      <c r="M66" s="1958">
        <f t="shared" si="6"/>
        <v>366378519</v>
      </c>
    </row>
    <row r="67" spans="1:13" ht="15.75">
      <c r="A67" s="1958" t="s">
        <v>877</v>
      </c>
      <c r="B67" s="1958">
        <v>187</v>
      </c>
      <c r="C67" s="1958">
        <v>2023</v>
      </c>
      <c r="D67" s="1958">
        <v>12</v>
      </c>
      <c r="E67" s="1958">
        <v>66</v>
      </c>
      <c r="F67" s="1958">
        <v>0</v>
      </c>
      <c r="G67" s="2115" t="s">
        <v>1263</v>
      </c>
      <c r="H67" s="1958">
        <v>156935860</v>
      </c>
      <c r="I67" s="1958">
        <v>18822448</v>
      </c>
      <c r="J67" s="1958">
        <v>32037</v>
      </c>
      <c r="K67" s="1958">
        <v>0</v>
      </c>
      <c r="L67" s="1958">
        <v>0</v>
      </c>
      <c r="M67" s="1958">
        <f t="shared" si="6"/>
        <v>175726271</v>
      </c>
    </row>
    <row r="68" spans="1:13" ht="15.75">
      <c r="A68" s="1958" t="s">
        <v>877</v>
      </c>
      <c r="B68" s="1958">
        <v>187</v>
      </c>
      <c r="C68" s="1958">
        <v>2023</v>
      </c>
      <c r="D68" s="1958">
        <v>12</v>
      </c>
      <c r="E68" s="1958">
        <v>67</v>
      </c>
      <c r="F68" s="1958">
        <v>0</v>
      </c>
      <c r="G68" s="2115" t="s">
        <v>1262</v>
      </c>
      <c r="H68" s="1958">
        <v>274250687</v>
      </c>
      <c r="I68" s="1958">
        <v>18050349</v>
      </c>
      <c r="J68" s="1958">
        <v>192176</v>
      </c>
      <c r="K68" s="1958">
        <v>0</v>
      </c>
      <c r="L68" s="1958">
        <v>0</v>
      </c>
      <c r="M68" s="1958">
        <f t="shared" si="6"/>
        <v>292108860</v>
      </c>
    </row>
    <row r="69" spans="1:13" ht="15.75">
      <c r="A69" s="1958" t="s">
        <v>877</v>
      </c>
      <c r="B69" s="1958">
        <v>187</v>
      </c>
      <c r="C69" s="1958">
        <v>2023</v>
      </c>
      <c r="D69" s="1958">
        <v>12</v>
      </c>
      <c r="E69" s="1958">
        <v>68</v>
      </c>
      <c r="F69" s="1958">
        <v>0</v>
      </c>
      <c r="G69" s="2115" t="s">
        <v>1261</v>
      </c>
      <c r="H69" s="1958">
        <v>327782685</v>
      </c>
      <c r="I69" s="1958">
        <v>30649538</v>
      </c>
      <c r="J69" s="1958">
        <v>83759</v>
      </c>
      <c r="K69" s="1958">
        <v>0</v>
      </c>
      <c r="L69" s="1958">
        <v>0</v>
      </c>
      <c r="M69" s="1958">
        <f t="shared" si="6"/>
        <v>358348464</v>
      </c>
    </row>
    <row r="70" spans="1:13" ht="15.75">
      <c r="A70" s="1958" t="s">
        <v>877</v>
      </c>
      <c r="B70" s="1958">
        <v>187</v>
      </c>
      <c r="C70" s="1958">
        <v>2023</v>
      </c>
      <c r="D70" s="1958">
        <v>12</v>
      </c>
      <c r="E70" s="1958">
        <v>69</v>
      </c>
      <c r="F70" s="1958">
        <v>0</v>
      </c>
      <c r="G70" s="2115" t="s">
        <v>1260</v>
      </c>
      <c r="H70" s="1958">
        <v>214871264</v>
      </c>
      <c r="I70" s="1958">
        <v>11146575</v>
      </c>
      <c r="J70" s="1958">
        <v>38168</v>
      </c>
      <c r="K70" s="1958">
        <v>0</v>
      </c>
      <c r="L70" s="1958">
        <v>0</v>
      </c>
      <c r="M70" s="1958">
        <f t="shared" si="6"/>
        <v>225979671</v>
      </c>
    </row>
    <row r="71" spans="1:13" ht="15.75">
      <c r="A71" s="1958" t="s">
        <v>877</v>
      </c>
      <c r="B71" s="1958">
        <v>187</v>
      </c>
      <c r="C71" s="1958">
        <v>2023</v>
      </c>
      <c r="D71" s="1958">
        <v>12</v>
      </c>
      <c r="E71" s="1958">
        <v>70</v>
      </c>
      <c r="F71" s="1958">
        <v>0</v>
      </c>
      <c r="G71" s="2115" t="s">
        <v>1259</v>
      </c>
      <c r="H71" s="1958">
        <v>86339367</v>
      </c>
      <c r="I71" s="1958">
        <v>1322659</v>
      </c>
      <c r="J71" s="1958">
        <v>105626</v>
      </c>
      <c r="K71" s="1958">
        <v>0</v>
      </c>
      <c r="L71" s="1958">
        <v>0</v>
      </c>
      <c r="M71" s="1958">
        <f t="shared" si="6"/>
        <v>87556400</v>
      </c>
    </row>
    <row r="72" spans="1:13" ht="15.75">
      <c r="A72" s="1958" t="s">
        <v>877</v>
      </c>
      <c r="B72" s="1958">
        <v>187</v>
      </c>
      <c r="C72" s="1958">
        <v>2023</v>
      </c>
      <c r="D72" s="1958">
        <v>12</v>
      </c>
      <c r="E72" s="1958">
        <v>71</v>
      </c>
      <c r="F72" s="1958">
        <v>0</v>
      </c>
      <c r="G72" s="2115" t="s">
        <v>1258</v>
      </c>
      <c r="H72" s="1958">
        <v>6679677</v>
      </c>
      <c r="I72" s="1958">
        <v>4085651</v>
      </c>
      <c r="J72" s="1958">
        <v>132384</v>
      </c>
      <c r="K72" s="1958">
        <v>0</v>
      </c>
      <c r="L72" s="1958">
        <v>0</v>
      </c>
      <c r="M72" s="1958">
        <f t="shared" si="6"/>
        <v>10632944</v>
      </c>
    </row>
    <row r="73" spans="1:13" ht="15.75">
      <c r="A73" s="1958" t="s">
        <v>877</v>
      </c>
      <c r="B73" s="1958">
        <v>187</v>
      </c>
      <c r="C73" s="1958">
        <v>2023</v>
      </c>
      <c r="D73" s="1958">
        <v>12</v>
      </c>
      <c r="E73" s="1958">
        <v>72</v>
      </c>
      <c r="F73" s="1958">
        <v>0</v>
      </c>
      <c r="G73" s="2115" t="s">
        <v>1257</v>
      </c>
      <c r="H73" s="1958">
        <v>0</v>
      </c>
      <c r="I73" s="1958">
        <v>0</v>
      </c>
      <c r="J73" s="1958">
        <v>0</v>
      </c>
      <c r="K73" s="1958">
        <v>0</v>
      </c>
      <c r="L73" s="1958">
        <v>0</v>
      </c>
      <c r="M73" s="1958">
        <f t="shared" si="6"/>
        <v>0</v>
      </c>
    </row>
    <row r="74" spans="1:13" ht="15.75">
      <c r="A74" s="1958" t="s">
        <v>877</v>
      </c>
      <c r="B74" s="1958">
        <v>187</v>
      </c>
      <c r="C74" s="1958">
        <v>2023</v>
      </c>
      <c r="D74" s="1958">
        <v>12</v>
      </c>
      <c r="E74" s="1958">
        <v>73</v>
      </c>
      <c r="F74" s="1958">
        <v>0</v>
      </c>
      <c r="G74" s="2115" t="s">
        <v>1256</v>
      </c>
      <c r="H74" s="1958">
        <v>78377324</v>
      </c>
      <c r="I74" s="1958">
        <v>6208672</v>
      </c>
      <c r="J74" s="1958">
        <v>332915</v>
      </c>
      <c r="K74" s="1958">
        <v>0</v>
      </c>
      <c r="L74" s="1958">
        <v>0</v>
      </c>
      <c r="M74" s="1958">
        <f t="shared" si="6"/>
        <v>84253081</v>
      </c>
    </row>
    <row r="75" spans="1:13" ht="15.75">
      <c r="A75" s="1958" t="s">
        <v>877</v>
      </c>
      <c r="B75" s="1958">
        <v>187</v>
      </c>
      <c r="C75" s="1958">
        <v>2023</v>
      </c>
      <c r="D75" s="1958">
        <v>12</v>
      </c>
      <c r="E75" s="1958">
        <v>74</v>
      </c>
      <c r="F75" s="1958">
        <v>0</v>
      </c>
      <c r="G75" s="2115" t="s">
        <v>1255</v>
      </c>
      <c r="H75" s="1958">
        <v>0</v>
      </c>
      <c r="I75" s="1958">
        <v>0</v>
      </c>
      <c r="J75" s="1958">
        <v>0</v>
      </c>
      <c r="K75" s="1958">
        <v>0</v>
      </c>
      <c r="L75" s="1958">
        <v>0</v>
      </c>
      <c r="M75" s="1958">
        <f t="shared" si="6"/>
        <v>0</v>
      </c>
    </row>
    <row r="76" spans="1:13" ht="15.75">
      <c r="A76" s="1958" t="s">
        <v>877</v>
      </c>
      <c r="B76" s="1958">
        <v>187</v>
      </c>
      <c r="C76" s="1958">
        <v>2023</v>
      </c>
      <c r="D76" s="1958">
        <v>12</v>
      </c>
      <c r="E76" s="1958">
        <v>75</v>
      </c>
      <c r="F76" s="1958">
        <v>0</v>
      </c>
      <c r="G76" s="2115" t="s">
        <v>1254</v>
      </c>
      <c r="H76" s="1958">
        <f t="shared" ref="H76:M76" si="7">SUM(H61:H75)</f>
        <v>2235747627</v>
      </c>
      <c r="I76" s="1958">
        <f t="shared" si="7"/>
        <v>177497272</v>
      </c>
      <c r="J76" s="1958">
        <f t="shared" si="7"/>
        <v>3869818</v>
      </c>
      <c r="K76" s="1958">
        <f t="shared" si="7"/>
        <v>0</v>
      </c>
      <c r="L76" s="1958">
        <f t="shared" si="7"/>
        <v>-2068423</v>
      </c>
      <c r="M76" s="1958">
        <f t="shared" si="7"/>
        <v>2407306658</v>
      </c>
    </row>
    <row r="77" spans="1:13" ht="15.75">
      <c r="A77" s="1958" t="s">
        <v>877</v>
      </c>
      <c r="B77" s="1958">
        <v>187</v>
      </c>
      <c r="C77" s="1958">
        <v>2023</v>
      </c>
      <c r="D77" s="1958">
        <v>12</v>
      </c>
      <c r="E77" s="1958">
        <v>76</v>
      </c>
      <c r="F77" s="1958">
        <v>0</v>
      </c>
      <c r="G77" s="2115" t="s">
        <v>1253</v>
      </c>
      <c r="H77" s="1958">
        <v>0</v>
      </c>
      <c r="I77" s="1958">
        <v>0</v>
      </c>
      <c r="J77" s="1958">
        <v>0</v>
      </c>
      <c r="K77" s="1958">
        <v>0</v>
      </c>
      <c r="L77" s="1958">
        <v>0</v>
      </c>
      <c r="M77" s="1958">
        <v>0</v>
      </c>
    </row>
    <row r="78" spans="1:13" ht="15.75">
      <c r="A78" s="1958" t="s">
        <v>877</v>
      </c>
      <c r="B78" s="1958">
        <v>187</v>
      </c>
      <c r="C78" s="1958">
        <v>2023</v>
      </c>
      <c r="D78" s="1958">
        <v>12</v>
      </c>
      <c r="E78" s="1958">
        <v>77</v>
      </c>
      <c r="F78" s="1958">
        <v>0</v>
      </c>
      <c r="G78" s="2115" t="s">
        <v>1252</v>
      </c>
      <c r="H78" s="1958">
        <v>0</v>
      </c>
      <c r="I78" s="1958">
        <v>0</v>
      </c>
      <c r="J78" s="1958">
        <v>0</v>
      </c>
      <c r="K78" s="1958">
        <v>0</v>
      </c>
      <c r="L78" s="1958">
        <v>0</v>
      </c>
      <c r="M78" s="1958">
        <v>0</v>
      </c>
    </row>
    <row r="79" spans="1:13" ht="15.75">
      <c r="A79" s="1958" t="s">
        <v>877</v>
      </c>
      <c r="B79" s="1958">
        <v>187</v>
      </c>
      <c r="C79" s="1958">
        <v>2023</v>
      </c>
      <c r="D79" s="1958">
        <v>12</v>
      </c>
      <c r="E79" s="1958">
        <v>78</v>
      </c>
      <c r="F79" s="1958">
        <v>0</v>
      </c>
      <c r="G79" s="2115" t="s">
        <v>1251</v>
      </c>
      <c r="H79" s="1958">
        <v>0</v>
      </c>
      <c r="I79" s="1958">
        <v>0</v>
      </c>
      <c r="J79" s="1958">
        <v>0</v>
      </c>
      <c r="K79" s="1958">
        <v>0</v>
      </c>
      <c r="L79" s="1958">
        <v>0</v>
      </c>
      <c r="M79" s="1958">
        <v>0</v>
      </c>
    </row>
    <row r="80" spans="1:13" ht="15.75">
      <c r="A80" s="1958" t="s">
        <v>877</v>
      </c>
      <c r="B80" s="1958">
        <v>187</v>
      </c>
      <c r="C80" s="1958">
        <v>2023</v>
      </c>
      <c r="D80" s="1958">
        <v>12</v>
      </c>
      <c r="E80" s="1958">
        <v>79</v>
      </c>
      <c r="F80" s="1958">
        <v>0</v>
      </c>
      <c r="G80" s="2115" t="s">
        <v>1250</v>
      </c>
      <c r="H80" s="1958">
        <v>0</v>
      </c>
      <c r="I80" s="1958">
        <v>0</v>
      </c>
      <c r="J80" s="1958">
        <v>0</v>
      </c>
      <c r="K80" s="1958">
        <v>0</v>
      </c>
      <c r="L80" s="1958">
        <v>0</v>
      </c>
      <c r="M80" s="1958">
        <v>0</v>
      </c>
    </row>
    <row r="81" spans="1:13" ht="15.75">
      <c r="A81" s="1958" t="s">
        <v>877</v>
      </c>
      <c r="B81" s="1958">
        <v>187</v>
      </c>
      <c r="C81" s="1958">
        <v>2023</v>
      </c>
      <c r="D81" s="1958">
        <v>12</v>
      </c>
      <c r="E81" s="1958">
        <v>80</v>
      </c>
      <c r="F81" s="1958">
        <v>0</v>
      </c>
      <c r="G81" s="2115" t="s">
        <v>1249</v>
      </c>
      <c r="H81" s="1958">
        <v>0</v>
      </c>
      <c r="I81" s="1958">
        <v>0</v>
      </c>
      <c r="J81" s="1958">
        <v>0</v>
      </c>
      <c r="K81" s="1958">
        <v>0</v>
      </c>
      <c r="L81" s="1958">
        <v>0</v>
      </c>
      <c r="M81" s="1958">
        <v>0</v>
      </c>
    </row>
    <row r="82" spans="1:13" ht="15.75">
      <c r="A82" s="1958" t="s">
        <v>877</v>
      </c>
      <c r="B82" s="1958">
        <v>187</v>
      </c>
      <c r="C82" s="1958">
        <v>2023</v>
      </c>
      <c r="D82" s="1958">
        <v>12</v>
      </c>
      <c r="E82" s="1958">
        <v>81</v>
      </c>
      <c r="F82" s="1958">
        <v>0</v>
      </c>
      <c r="G82" s="2115" t="s">
        <v>1248</v>
      </c>
      <c r="H82" s="1958">
        <v>0</v>
      </c>
      <c r="I82" s="1958">
        <v>0</v>
      </c>
      <c r="J82" s="1958">
        <v>0</v>
      </c>
      <c r="K82" s="1958">
        <v>0</v>
      </c>
      <c r="L82" s="1958">
        <v>0</v>
      </c>
      <c r="M82" s="1958">
        <v>0</v>
      </c>
    </row>
    <row r="83" spans="1:13" ht="15.75">
      <c r="A83" s="1958" t="s">
        <v>877</v>
      </c>
      <c r="B83" s="1958">
        <v>187</v>
      </c>
      <c r="C83" s="1958">
        <v>2023</v>
      </c>
      <c r="D83" s="1958">
        <v>12</v>
      </c>
      <c r="E83" s="1958">
        <v>82</v>
      </c>
      <c r="F83" s="1958">
        <v>0</v>
      </c>
      <c r="G83" s="2115" t="s">
        <v>1247</v>
      </c>
      <c r="H83" s="1958">
        <v>0</v>
      </c>
      <c r="I83" s="1958">
        <v>0</v>
      </c>
      <c r="J83" s="1958">
        <v>0</v>
      </c>
      <c r="K83" s="1958">
        <v>0</v>
      </c>
      <c r="L83" s="1958">
        <v>0</v>
      </c>
      <c r="M83" s="1958">
        <v>0</v>
      </c>
    </row>
    <row r="84" spans="1:13" ht="15.75">
      <c r="A84" s="1958" t="s">
        <v>877</v>
      </c>
      <c r="B84" s="1958">
        <v>187</v>
      </c>
      <c r="C84" s="1958">
        <v>2023</v>
      </c>
      <c r="D84" s="1958">
        <v>12</v>
      </c>
      <c r="E84" s="1958">
        <v>83</v>
      </c>
      <c r="F84" s="1958">
        <v>0</v>
      </c>
      <c r="G84" s="2115" t="s">
        <v>1246</v>
      </c>
      <c r="H84" s="1958">
        <v>0</v>
      </c>
      <c r="I84" s="1958">
        <v>0</v>
      </c>
      <c r="J84" s="1958">
        <v>0</v>
      </c>
      <c r="K84" s="1958">
        <v>0</v>
      </c>
      <c r="L84" s="1958">
        <v>0</v>
      </c>
      <c r="M84" s="1958">
        <v>0</v>
      </c>
    </row>
    <row r="85" spans="1:13" ht="15.75">
      <c r="A85" s="1958" t="s">
        <v>877</v>
      </c>
      <c r="B85" s="1958">
        <v>187</v>
      </c>
      <c r="C85" s="1958">
        <v>2023</v>
      </c>
      <c r="D85" s="1958">
        <v>12</v>
      </c>
      <c r="E85" s="1958">
        <v>84</v>
      </c>
      <c r="F85" s="1958">
        <v>0</v>
      </c>
      <c r="G85" s="2115" t="s">
        <v>1245</v>
      </c>
      <c r="H85" s="1958">
        <v>0</v>
      </c>
      <c r="I85" s="1958">
        <v>0</v>
      </c>
      <c r="J85" s="1958">
        <v>0</v>
      </c>
      <c r="K85" s="1958">
        <v>0</v>
      </c>
      <c r="L85" s="1958">
        <v>0</v>
      </c>
      <c r="M85" s="1958">
        <v>0</v>
      </c>
    </row>
    <row r="86" spans="1:13" ht="15.75">
      <c r="A86" s="1958" t="s">
        <v>877</v>
      </c>
      <c r="B86" s="1958">
        <v>187</v>
      </c>
      <c r="C86" s="1958">
        <v>2023</v>
      </c>
      <c r="D86" s="1958">
        <v>12</v>
      </c>
      <c r="E86" s="1958">
        <v>85</v>
      </c>
      <c r="F86" s="1958">
        <v>0</v>
      </c>
      <c r="G86" s="2115" t="s">
        <v>1244</v>
      </c>
      <c r="H86" s="1958">
        <v>0</v>
      </c>
      <c r="I86" s="1958">
        <v>0</v>
      </c>
      <c r="J86" s="1958">
        <v>0</v>
      </c>
      <c r="K86" s="1958">
        <v>0</v>
      </c>
      <c r="L86" s="1958">
        <v>0</v>
      </c>
      <c r="M86" s="1958">
        <v>0</v>
      </c>
    </row>
    <row r="87" spans="1:13" ht="15.75">
      <c r="A87" s="1958" t="s">
        <v>877</v>
      </c>
      <c r="B87" s="1958">
        <v>187</v>
      </c>
      <c r="C87" s="1958">
        <v>2023</v>
      </c>
      <c r="D87" s="1958">
        <v>12</v>
      </c>
      <c r="E87" s="1958">
        <v>86</v>
      </c>
      <c r="F87" s="1958">
        <v>0</v>
      </c>
      <c r="G87" s="2115" t="s">
        <v>1243</v>
      </c>
      <c r="H87" s="1958">
        <v>885665</v>
      </c>
      <c r="I87" s="1958">
        <v>0</v>
      </c>
      <c r="J87" s="1958">
        <v>0</v>
      </c>
      <c r="K87" s="1958">
        <v>0</v>
      </c>
      <c r="L87" s="1958">
        <v>197341</v>
      </c>
      <c r="M87" s="1958">
        <f t="shared" ref="M87:M96" si="8">SUM(H87+I87-J87+K87+L87)</f>
        <v>1083006</v>
      </c>
    </row>
    <row r="88" spans="1:13" ht="15.75">
      <c r="A88" s="1958" t="s">
        <v>877</v>
      </c>
      <c r="B88" s="1958">
        <v>187</v>
      </c>
      <c r="C88" s="1958">
        <v>2023</v>
      </c>
      <c r="D88" s="1958">
        <v>12</v>
      </c>
      <c r="E88" s="1958">
        <v>87</v>
      </c>
      <c r="F88" s="1958">
        <v>0</v>
      </c>
      <c r="G88" s="2115" t="s">
        <v>1242</v>
      </c>
      <c r="H88" s="1958">
        <v>20705705</v>
      </c>
      <c r="I88" s="1958">
        <v>561785</v>
      </c>
      <c r="J88" s="1958">
        <v>221982</v>
      </c>
      <c r="K88" s="1958">
        <v>0</v>
      </c>
      <c r="L88" s="1958">
        <v>0</v>
      </c>
      <c r="M88" s="1958">
        <f t="shared" si="8"/>
        <v>21045508</v>
      </c>
    </row>
    <row r="89" spans="1:13" ht="15.75">
      <c r="A89" s="1958" t="s">
        <v>877</v>
      </c>
      <c r="B89" s="1958">
        <v>187</v>
      </c>
      <c r="C89" s="1958">
        <v>2023</v>
      </c>
      <c r="D89" s="1958">
        <v>12</v>
      </c>
      <c r="E89" s="1958">
        <v>88</v>
      </c>
      <c r="F89" s="1958">
        <v>0</v>
      </c>
      <c r="G89" s="2115" t="s">
        <v>1241</v>
      </c>
      <c r="H89" s="1958">
        <v>3316124</v>
      </c>
      <c r="I89" s="1958">
        <v>834587</v>
      </c>
      <c r="J89" s="1958">
        <v>174089</v>
      </c>
      <c r="K89" s="1958">
        <v>0</v>
      </c>
      <c r="L89" s="1958">
        <v>0</v>
      </c>
      <c r="M89" s="1958">
        <f t="shared" si="8"/>
        <v>3976622</v>
      </c>
    </row>
    <row r="90" spans="1:13" ht="15.75">
      <c r="A90" s="1958" t="s">
        <v>877</v>
      </c>
      <c r="B90" s="1958">
        <v>187</v>
      </c>
      <c r="C90" s="1958">
        <v>2023</v>
      </c>
      <c r="D90" s="1958">
        <v>12</v>
      </c>
      <c r="E90" s="1958">
        <v>89</v>
      </c>
      <c r="F90" s="1958">
        <v>0</v>
      </c>
      <c r="G90" s="2115" t="s">
        <v>1240</v>
      </c>
      <c r="H90" s="1958">
        <v>59454054</v>
      </c>
      <c r="I90" s="1958">
        <v>4943929</v>
      </c>
      <c r="J90" s="1958">
        <v>2118366</v>
      </c>
      <c r="K90" s="1958">
        <v>0</v>
      </c>
      <c r="L90" s="1958">
        <v>78214</v>
      </c>
      <c r="M90" s="1958">
        <f t="shared" si="8"/>
        <v>62357831</v>
      </c>
    </row>
    <row r="91" spans="1:13" ht="15.75">
      <c r="A91" s="1958" t="s">
        <v>877</v>
      </c>
      <c r="B91" s="1958">
        <v>187</v>
      </c>
      <c r="C91" s="1958">
        <v>2023</v>
      </c>
      <c r="D91" s="1958">
        <v>12</v>
      </c>
      <c r="E91" s="1958">
        <v>90</v>
      </c>
      <c r="F91" s="1958">
        <v>0</v>
      </c>
      <c r="G91" s="2115" t="s">
        <v>1239</v>
      </c>
      <c r="H91" s="1958">
        <v>472784</v>
      </c>
      <c r="I91" s="1958">
        <v>0</v>
      </c>
      <c r="J91" s="1958">
        <v>0</v>
      </c>
      <c r="K91" s="1958">
        <v>0</v>
      </c>
      <c r="L91" s="1958">
        <v>0</v>
      </c>
      <c r="M91" s="1958">
        <f t="shared" si="8"/>
        <v>472784</v>
      </c>
    </row>
    <row r="92" spans="1:13" ht="15.75">
      <c r="A92" s="1958" t="s">
        <v>877</v>
      </c>
      <c r="B92" s="1958">
        <v>187</v>
      </c>
      <c r="C92" s="1958">
        <v>2023</v>
      </c>
      <c r="D92" s="1958">
        <v>12</v>
      </c>
      <c r="E92" s="1958">
        <v>91</v>
      </c>
      <c r="F92" s="1958">
        <v>0</v>
      </c>
      <c r="G92" s="2115" t="s">
        <v>1238</v>
      </c>
      <c r="H92" s="1958">
        <v>8187992</v>
      </c>
      <c r="I92" s="1958">
        <v>1000962</v>
      </c>
      <c r="J92" s="1958">
        <v>183415</v>
      </c>
      <c r="K92" s="1958">
        <v>0</v>
      </c>
      <c r="L92" s="1958">
        <v>0</v>
      </c>
      <c r="M92" s="1958">
        <f t="shared" si="8"/>
        <v>9005539</v>
      </c>
    </row>
    <row r="93" spans="1:13" ht="15.75">
      <c r="A93" s="1958" t="s">
        <v>877</v>
      </c>
      <c r="B93" s="1958">
        <v>187</v>
      </c>
      <c r="C93" s="1958">
        <v>2023</v>
      </c>
      <c r="D93" s="1958">
        <v>12</v>
      </c>
      <c r="E93" s="1958">
        <v>92</v>
      </c>
      <c r="F93" s="1958">
        <v>0</v>
      </c>
      <c r="G93" s="2115" t="s">
        <v>1237</v>
      </c>
      <c r="H93" s="1958">
        <v>3228953</v>
      </c>
      <c r="I93" s="1958">
        <v>90866</v>
      </c>
      <c r="J93" s="1958">
        <v>14532</v>
      </c>
      <c r="K93" s="1958">
        <v>0</v>
      </c>
      <c r="L93" s="1958">
        <v>0</v>
      </c>
      <c r="M93" s="1958">
        <f t="shared" si="8"/>
        <v>3305287</v>
      </c>
    </row>
    <row r="94" spans="1:13" ht="15.75">
      <c r="A94" s="1958" t="s">
        <v>877</v>
      </c>
      <c r="B94" s="1958">
        <v>187</v>
      </c>
      <c r="C94" s="1958">
        <v>2023</v>
      </c>
      <c r="D94" s="1958">
        <v>12</v>
      </c>
      <c r="E94" s="1958">
        <v>93</v>
      </c>
      <c r="F94" s="1958">
        <v>0</v>
      </c>
      <c r="G94" s="2115" t="s">
        <v>1236</v>
      </c>
      <c r="H94" s="1958">
        <v>28073572</v>
      </c>
      <c r="I94" s="1958">
        <v>142813</v>
      </c>
      <c r="J94" s="1958">
        <v>2783853</v>
      </c>
      <c r="K94" s="1958">
        <v>0</v>
      </c>
      <c r="L94" s="1958">
        <v>0</v>
      </c>
      <c r="M94" s="1958">
        <f t="shared" si="8"/>
        <v>25432532</v>
      </c>
    </row>
    <row r="95" spans="1:13" ht="15.75">
      <c r="A95" s="1958" t="s">
        <v>877</v>
      </c>
      <c r="B95" s="1958">
        <v>187</v>
      </c>
      <c r="C95" s="1958">
        <v>2023</v>
      </c>
      <c r="D95" s="1958">
        <v>12</v>
      </c>
      <c r="E95" s="1958">
        <v>94</v>
      </c>
      <c r="F95" s="1958">
        <v>0</v>
      </c>
      <c r="G95" s="2115" t="s">
        <v>1235</v>
      </c>
      <c r="H95" s="1958">
        <v>44938649</v>
      </c>
      <c r="I95" s="1958">
        <v>1462865</v>
      </c>
      <c r="J95" s="1958">
        <v>4122243</v>
      </c>
      <c r="K95" s="1958">
        <v>0</v>
      </c>
      <c r="L95" s="1958">
        <v>0</v>
      </c>
      <c r="M95" s="1958">
        <f t="shared" si="8"/>
        <v>42279271</v>
      </c>
    </row>
    <row r="96" spans="1:13" ht="15.75">
      <c r="A96" s="1958" t="s">
        <v>877</v>
      </c>
      <c r="B96" s="1958">
        <v>187</v>
      </c>
      <c r="C96" s="1958">
        <v>2023</v>
      </c>
      <c r="D96" s="1958">
        <v>12</v>
      </c>
      <c r="E96" s="1958">
        <v>95</v>
      </c>
      <c r="F96" s="1958">
        <v>0</v>
      </c>
      <c r="G96" s="2115" t="s">
        <v>1234</v>
      </c>
      <c r="H96" s="1958">
        <v>280797</v>
      </c>
      <c r="I96" s="1958">
        <v>41703</v>
      </c>
      <c r="J96" s="1958">
        <v>63727</v>
      </c>
      <c r="K96" s="1958">
        <v>0</v>
      </c>
      <c r="L96" s="1958">
        <v>0</v>
      </c>
      <c r="M96" s="1958">
        <f t="shared" si="8"/>
        <v>258773</v>
      </c>
    </row>
    <row r="97" spans="1:13" ht="15.75">
      <c r="A97" s="1958" t="s">
        <v>877</v>
      </c>
      <c r="B97" s="1958">
        <v>187</v>
      </c>
      <c r="C97" s="1958">
        <v>2023</v>
      </c>
      <c r="D97" s="1958">
        <v>12</v>
      </c>
      <c r="E97" s="1958">
        <v>96</v>
      </c>
      <c r="F97" s="1958">
        <v>0</v>
      </c>
      <c r="G97" s="2115" t="s">
        <v>1233</v>
      </c>
      <c r="H97" s="1958">
        <f t="shared" ref="H97:M97" si="9">SUM(H87:H96)</f>
        <v>169544295</v>
      </c>
      <c r="I97" s="1958">
        <f t="shared" si="9"/>
        <v>9079510</v>
      </c>
      <c r="J97" s="1958">
        <f t="shared" si="9"/>
        <v>9682207</v>
      </c>
      <c r="K97" s="1958">
        <f t="shared" si="9"/>
        <v>0</v>
      </c>
      <c r="L97" s="1958">
        <f t="shared" si="9"/>
        <v>275555</v>
      </c>
      <c r="M97" s="1958">
        <f t="shared" si="9"/>
        <v>169217153</v>
      </c>
    </row>
    <row r="98" spans="1:13" ht="15.75">
      <c r="A98" s="1958" t="s">
        <v>877</v>
      </c>
      <c r="B98" s="1958">
        <v>187</v>
      </c>
      <c r="C98" s="1958">
        <v>2023</v>
      </c>
      <c r="D98" s="1958">
        <v>12</v>
      </c>
      <c r="E98" s="1958">
        <v>97</v>
      </c>
      <c r="F98" s="1958">
        <v>0</v>
      </c>
      <c r="G98" s="2115" t="s">
        <v>1232</v>
      </c>
      <c r="H98" s="1958">
        <v>0</v>
      </c>
      <c r="I98" s="1958">
        <v>0</v>
      </c>
      <c r="J98" s="1958">
        <v>0</v>
      </c>
      <c r="K98" s="1958">
        <v>0</v>
      </c>
      <c r="L98" s="1958">
        <v>0</v>
      </c>
      <c r="M98" s="1958">
        <v>0</v>
      </c>
    </row>
    <row r="99" spans="1:13" ht="15.75">
      <c r="A99" s="1958" t="s">
        <v>877</v>
      </c>
      <c r="B99" s="1958">
        <v>187</v>
      </c>
      <c r="C99" s="1958">
        <v>2023</v>
      </c>
      <c r="D99" s="1958">
        <v>12</v>
      </c>
      <c r="E99" s="1958">
        <v>98</v>
      </c>
      <c r="F99" s="1958">
        <v>0</v>
      </c>
      <c r="G99" s="2115" t="s">
        <v>1231</v>
      </c>
      <c r="H99" s="1958">
        <v>0</v>
      </c>
      <c r="I99" s="1958">
        <v>0</v>
      </c>
      <c r="J99" s="1958">
        <v>0</v>
      </c>
      <c r="K99" s="1958">
        <v>0</v>
      </c>
      <c r="L99" s="1958">
        <v>0</v>
      </c>
      <c r="M99" s="1958">
        <v>0</v>
      </c>
    </row>
    <row r="100" spans="1:13" ht="15.75">
      <c r="A100" s="1958" t="s">
        <v>877</v>
      </c>
      <c r="B100" s="1958">
        <v>187</v>
      </c>
      <c r="C100" s="1958">
        <v>2023</v>
      </c>
      <c r="D100" s="1958">
        <v>12</v>
      </c>
      <c r="E100" s="1958">
        <v>99</v>
      </c>
      <c r="F100" s="1958">
        <v>0</v>
      </c>
      <c r="G100" s="2115" t="s">
        <v>1230</v>
      </c>
      <c r="H100" s="1958">
        <f t="shared" ref="H100:M100" si="10">SUM(H97,H98,H99)</f>
        <v>169544295</v>
      </c>
      <c r="I100" s="1958">
        <f t="shared" si="10"/>
        <v>9079510</v>
      </c>
      <c r="J100" s="1958">
        <f t="shared" si="10"/>
        <v>9682207</v>
      </c>
      <c r="K100" s="1958">
        <f t="shared" si="10"/>
        <v>0</v>
      </c>
      <c r="L100" s="1958">
        <f t="shared" si="10"/>
        <v>275555</v>
      </c>
      <c r="M100" s="1958">
        <f t="shared" si="10"/>
        <v>169217153</v>
      </c>
    </row>
    <row r="101" spans="1:13" ht="15.75">
      <c r="A101" s="1958" t="s">
        <v>877</v>
      </c>
      <c r="B101" s="1958">
        <v>187</v>
      </c>
      <c r="C101" s="1958">
        <v>2023</v>
      </c>
      <c r="D101" s="1958">
        <v>12</v>
      </c>
      <c r="E101" s="1958">
        <v>100</v>
      </c>
      <c r="F101" s="1958">
        <v>0</v>
      </c>
      <c r="G101" s="2115" t="s">
        <v>1229</v>
      </c>
      <c r="H101" s="1958">
        <v>5085219499</v>
      </c>
      <c r="I101" s="1958">
        <v>292737852</v>
      </c>
      <c r="J101" s="1958">
        <v>23400531</v>
      </c>
      <c r="K101" s="1958">
        <v>0</v>
      </c>
      <c r="L101" s="1958">
        <v>-1792868</v>
      </c>
      <c r="M101" s="1958">
        <v>5352763952</v>
      </c>
    </row>
    <row r="102" spans="1:13" ht="15.75">
      <c r="A102" s="1958" t="s">
        <v>877</v>
      </c>
      <c r="B102" s="1958">
        <v>187</v>
      </c>
      <c r="C102" s="1958">
        <v>2023</v>
      </c>
      <c r="D102" s="1958">
        <v>12</v>
      </c>
      <c r="E102" s="1958">
        <v>101</v>
      </c>
      <c r="F102" s="1958">
        <v>0</v>
      </c>
      <c r="G102" s="2115" t="s">
        <v>1228</v>
      </c>
      <c r="H102" s="1958">
        <v>0</v>
      </c>
      <c r="I102" s="1958">
        <v>0</v>
      </c>
      <c r="J102" s="1958">
        <v>0</v>
      </c>
      <c r="K102" s="1958">
        <v>0</v>
      </c>
      <c r="L102" s="1958">
        <v>0</v>
      </c>
      <c r="M102" s="1958">
        <v>0</v>
      </c>
    </row>
    <row r="103" spans="1:13" ht="15.75">
      <c r="A103" s="1958" t="s">
        <v>877</v>
      </c>
      <c r="B103" s="1958">
        <v>187</v>
      </c>
      <c r="C103" s="1958">
        <v>2023</v>
      </c>
      <c r="D103" s="1958">
        <v>12</v>
      </c>
      <c r="E103" s="1958">
        <v>102</v>
      </c>
      <c r="F103" s="1958">
        <v>0</v>
      </c>
      <c r="G103" s="2115" t="s">
        <v>1227</v>
      </c>
      <c r="H103" s="1958">
        <v>0</v>
      </c>
      <c r="I103" s="1958">
        <v>0</v>
      </c>
      <c r="J103" s="1958">
        <v>0</v>
      </c>
      <c r="K103" s="1958">
        <v>0</v>
      </c>
      <c r="L103" s="1958">
        <v>0</v>
      </c>
      <c r="M103" s="1958">
        <v>0</v>
      </c>
    </row>
    <row r="104" spans="1:13" ht="15.75">
      <c r="A104" s="1958" t="s">
        <v>877</v>
      </c>
      <c r="B104" s="1958">
        <v>187</v>
      </c>
      <c r="C104" s="1958">
        <v>2023</v>
      </c>
      <c r="D104" s="1958">
        <v>12</v>
      </c>
      <c r="E104" s="1958">
        <v>103</v>
      </c>
      <c r="F104" s="1958">
        <v>0</v>
      </c>
      <c r="G104" s="2115" t="s">
        <v>1226</v>
      </c>
      <c r="H104" s="1958">
        <v>0</v>
      </c>
      <c r="I104" s="1958">
        <v>0</v>
      </c>
      <c r="J104" s="1958">
        <v>0</v>
      </c>
      <c r="K104" s="1958">
        <v>0</v>
      </c>
      <c r="L104" s="1958">
        <v>0</v>
      </c>
      <c r="M104" s="1958">
        <v>0</v>
      </c>
    </row>
    <row r="105" spans="1:13" ht="15.75">
      <c r="A105" s="1958" t="s">
        <v>877</v>
      </c>
      <c r="B105" s="1958">
        <v>187</v>
      </c>
      <c r="C105" s="1958">
        <v>2023</v>
      </c>
      <c r="D105" s="1958">
        <v>12</v>
      </c>
      <c r="E105" s="1958">
        <v>104</v>
      </c>
      <c r="F105" s="1958">
        <v>0</v>
      </c>
      <c r="G105" s="2115" t="s">
        <v>1225</v>
      </c>
      <c r="H105" s="1958">
        <v>5085219499</v>
      </c>
      <c r="I105" s="1958">
        <v>292737852</v>
      </c>
      <c r="J105" s="1958">
        <v>23400531</v>
      </c>
      <c r="K105" s="1958">
        <v>0</v>
      </c>
      <c r="L105" s="1958">
        <v>-1792868</v>
      </c>
      <c r="M105" s="1958">
        <v>5352763952</v>
      </c>
    </row>
  </sheetData>
  <pageMargins left="0.75" right="0.75" top="1" bottom="1" header="0.5" footer="0.5"/>
  <pageSetup orientation="portrait" r:id="rId1"/>
  <customProperties>
    <customPr name="xxe4aPID" r:id="rId2"/>
  </customPropertie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906FA-FA41-4E8A-81F9-30DBA0B1C2A3}">
  <sheetPr codeName="Sheet50">
    <tabColor rgb="FF92D050"/>
  </sheetPr>
  <dimension ref="A1:L30"/>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48.625" style="1958" bestFit="1" customWidth="1"/>
    <col min="8" max="8" width="4.125" style="1958" bestFit="1" customWidth="1"/>
    <col min="9" max="9" width="9.75" style="1958" bestFit="1" customWidth="1"/>
    <col min="10" max="10" width="10.625" style="1958" bestFit="1" customWidth="1"/>
    <col min="11" max="11" width="9.375" style="1958" bestFit="1" customWidth="1"/>
    <col min="12" max="12" width="10.125" style="1958" bestFit="1" customWidth="1"/>
    <col min="13" max="16384" width="9" style="1958"/>
  </cols>
  <sheetData>
    <row r="1" spans="1:12">
      <c r="A1" s="1958" t="s">
        <v>984</v>
      </c>
      <c r="B1" s="1958" t="s">
        <v>983</v>
      </c>
      <c r="C1" s="1958" t="s">
        <v>982</v>
      </c>
      <c r="D1" s="1958" t="s">
        <v>981</v>
      </c>
      <c r="E1" s="1958" t="s">
        <v>980</v>
      </c>
      <c r="F1" s="1958" t="s">
        <v>979</v>
      </c>
      <c r="G1" s="1958" t="s">
        <v>1159</v>
      </c>
      <c r="H1" s="1958" t="s">
        <v>1360</v>
      </c>
      <c r="I1" s="1958" t="s">
        <v>1359</v>
      </c>
      <c r="J1" s="1958" t="s">
        <v>1358</v>
      </c>
      <c r="K1" s="1958" t="s">
        <v>1357</v>
      </c>
      <c r="L1" s="1958" t="s">
        <v>1356</v>
      </c>
    </row>
    <row r="2" spans="1:12">
      <c r="A2" s="1958" t="s">
        <v>877</v>
      </c>
      <c r="B2" s="1958">
        <v>187</v>
      </c>
      <c r="C2" s="1958">
        <v>2023</v>
      </c>
      <c r="D2" s="1958">
        <v>12</v>
      </c>
      <c r="E2" s="1958">
        <v>1</v>
      </c>
      <c r="F2" s="1958">
        <v>0</v>
      </c>
      <c r="G2" s="1958" t="s">
        <v>1355</v>
      </c>
      <c r="H2" s="1958" t="s">
        <v>728</v>
      </c>
      <c r="I2" s="1958">
        <v>1814695451</v>
      </c>
      <c r="J2" s="1958">
        <v>1814695451</v>
      </c>
      <c r="K2" s="1958">
        <v>0</v>
      </c>
      <c r="L2" s="1958">
        <v>0</v>
      </c>
    </row>
    <row r="3" spans="1:12">
      <c r="A3" s="1958" t="s">
        <v>877</v>
      </c>
      <c r="B3" s="1958">
        <v>187</v>
      </c>
      <c r="C3" s="1958">
        <v>2023</v>
      </c>
      <c r="D3" s="1958">
        <v>12</v>
      </c>
      <c r="E3" s="1958">
        <v>2</v>
      </c>
      <c r="F3" s="1958">
        <v>0</v>
      </c>
      <c r="G3" s="1958" t="s">
        <v>1354</v>
      </c>
      <c r="H3" s="1958" t="s">
        <v>728</v>
      </c>
      <c r="I3" s="1958">
        <v>0</v>
      </c>
      <c r="J3" s="1958">
        <v>0</v>
      </c>
      <c r="K3" s="1958">
        <v>0</v>
      </c>
      <c r="L3" s="1958">
        <v>0</v>
      </c>
    </row>
    <row r="4" spans="1:12">
      <c r="A4" s="1958" t="s">
        <v>877</v>
      </c>
      <c r="B4" s="1958">
        <v>187</v>
      </c>
      <c r="C4" s="1958">
        <v>2023</v>
      </c>
      <c r="D4" s="1958">
        <v>12</v>
      </c>
      <c r="E4" s="1958">
        <v>3</v>
      </c>
      <c r="F4" s="1958">
        <v>0</v>
      </c>
      <c r="G4" s="1958" t="s">
        <v>1353</v>
      </c>
      <c r="H4" s="1958" t="s">
        <v>728</v>
      </c>
      <c r="I4" s="1958">
        <v>149272689</v>
      </c>
      <c r="J4" s="1958">
        <v>149272689</v>
      </c>
      <c r="K4" s="1958">
        <v>0</v>
      </c>
      <c r="L4" s="1958">
        <v>0</v>
      </c>
    </row>
    <row r="5" spans="1:12">
      <c r="A5" s="1958" t="s">
        <v>877</v>
      </c>
      <c r="B5" s="1958">
        <v>187</v>
      </c>
      <c r="C5" s="1958">
        <v>2023</v>
      </c>
      <c r="D5" s="1958">
        <v>12</v>
      </c>
      <c r="E5" s="1958">
        <v>4</v>
      </c>
      <c r="F5" s="1958">
        <v>0</v>
      </c>
      <c r="G5" s="1958" t="s">
        <v>1352</v>
      </c>
      <c r="H5" s="1958" t="s">
        <v>728</v>
      </c>
      <c r="I5" s="1958">
        <v>0</v>
      </c>
      <c r="J5" s="1958">
        <v>0</v>
      </c>
      <c r="K5" s="1958">
        <v>0</v>
      </c>
      <c r="L5" s="1958">
        <v>0</v>
      </c>
    </row>
    <row r="6" spans="1:12">
      <c r="A6" s="1958" t="s">
        <v>877</v>
      </c>
      <c r="B6" s="1958">
        <v>187</v>
      </c>
      <c r="C6" s="1958">
        <v>2023</v>
      </c>
      <c r="D6" s="1958">
        <v>12</v>
      </c>
      <c r="E6" s="1958">
        <v>5</v>
      </c>
      <c r="F6" s="1958">
        <v>0</v>
      </c>
      <c r="G6" s="1958" t="s">
        <v>1351</v>
      </c>
      <c r="H6" s="1958" t="s">
        <v>728</v>
      </c>
      <c r="I6" s="1958">
        <v>0</v>
      </c>
      <c r="J6" s="1958">
        <v>0</v>
      </c>
      <c r="K6" s="1958">
        <v>0</v>
      </c>
      <c r="L6" s="1958">
        <v>0</v>
      </c>
    </row>
    <row r="7" spans="1:12">
      <c r="A7" s="1958" t="s">
        <v>877</v>
      </c>
      <c r="B7" s="1958">
        <v>187</v>
      </c>
      <c r="C7" s="1958">
        <v>2023</v>
      </c>
      <c r="D7" s="1958">
        <v>12</v>
      </c>
      <c r="E7" s="1958">
        <v>6</v>
      </c>
      <c r="F7" s="1958">
        <v>0</v>
      </c>
      <c r="G7" s="1958" t="s">
        <v>1350</v>
      </c>
      <c r="H7" s="1958" t="s">
        <v>728</v>
      </c>
      <c r="I7" s="1958">
        <v>4926093</v>
      </c>
      <c r="J7" s="1958">
        <v>4926093</v>
      </c>
      <c r="K7" s="1958">
        <v>0</v>
      </c>
      <c r="L7" s="1958">
        <v>0</v>
      </c>
    </row>
    <row r="8" spans="1:12">
      <c r="A8" s="1958" t="s">
        <v>877</v>
      </c>
      <c r="B8" s="1958">
        <v>187</v>
      </c>
      <c r="C8" s="1958">
        <v>2023</v>
      </c>
      <c r="D8" s="1958">
        <v>12</v>
      </c>
      <c r="E8" s="1958">
        <v>7</v>
      </c>
      <c r="F8" s="1958">
        <v>0</v>
      </c>
      <c r="G8" s="1958" t="s">
        <v>1349</v>
      </c>
      <c r="H8" s="1958" t="s">
        <v>728</v>
      </c>
      <c r="I8" s="1958">
        <v>0</v>
      </c>
      <c r="J8" s="1958">
        <v>0</v>
      </c>
      <c r="K8" s="1958">
        <v>0</v>
      </c>
      <c r="L8" s="1958">
        <v>0</v>
      </c>
    </row>
    <row r="9" spans="1:12">
      <c r="A9" s="1958" t="s">
        <v>877</v>
      </c>
      <c r="B9" s="1958">
        <v>187</v>
      </c>
      <c r="C9" s="1958">
        <v>2023</v>
      </c>
      <c r="D9" s="1958">
        <v>12</v>
      </c>
      <c r="E9" s="1958">
        <v>8</v>
      </c>
      <c r="F9" s="1958">
        <v>0</v>
      </c>
      <c r="G9" s="1958" t="s">
        <v>1348</v>
      </c>
      <c r="H9" s="1958" t="s">
        <v>728</v>
      </c>
      <c r="I9" s="1958">
        <v>0</v>
      </c>
      <c r="J9" s="1958">
        <v>0</v>
      </c>
      <c r="K9" s="1958">
        <v>0</v>
      </c>
      <c r="L9" s="1958">
        <v>0</v>
      </c>
    </row>
    <row r="10" spans="1:12">
      <c r="A10" s="1958" t="s">
        <v>877</v>
      </c>
      <c r="B10" s="1958">
        <v>187</v>
      </c>
      <c r="C10" s="1958">
        <v>2023</v>
      </c>
      <c r="D10" s="1958">
        <v>12</v>
      </c>
      <c r="E10" s="1958">
        <v>9</v>
      </c>
      <c r="F10" s="1958">
        <v>0</v>
      </c>
      <c r="G10" s="1958" t="s">
        <v>728</v>
      </c>
      <c r="H10" s="1958" t="s">
        <v>728</v>
      </c>
      <c r="I10" s="1958">
        <v>0</v>
      </c>
      <c r="J10" s="1958">
        <v>0</v>
      </c>
      <c r="K10" s="1958">
        <v>0</v>
      </c>
      <c r="L10" s="1958">
        <v>0</v>
      </c>
    </row>
    <row r="11" spans="1:12">
      <c r="A11" s="1958" t="s">
        <v>877</v>
      </c>
      <c r="B11" s="1958">
        <v>187</v>
      </c>
      <c r="C11" s="1958">
        <v>2023</v>
      </c>
      <c r="D11" s="1958">
        <v>12</v>
      </c>
      <c r="E11" s="1958">
        <v>10</v>
      </c>
      <c r="F11" s="1958">
        <v>0</v>
      </c>
      <c r="G11" s="1958" t="s">
        <v>1347</v>
      </c>
      <c r="H11" s="1958" t="s">
        <v>728</v>
      </c>
      <c r="I11" s="1958">
        <f>SUM(I3:I10)</f>
        <v>154198782</v>
      </c>
      <c r="J11" s="1958">
        <f>SUM(J3:J10)</f>
        <v>154198782</v>
      </c>
      <c r="K11" s="1958">
        <v>0</v>
      </c>
      <c r="L11" s="1958">
        <v>0</v>
      </c>
    </row>
    <row r="12" spans="1:12">
      <c r="A12" s="1958" t="s">
        <v>877</v>
      </c>
      <c r="B12" s="1958">
        <v>187</v>
      </c>
      <c r="C12" s="1958">
        <v>2023</v>
      </c>
      <c r="D12" s="1958">
        <v>12</v>
      </c>
      <c r="E12" s="1958">
        <v>11</v>
      </c>
      <c r="F12" s="1958">
        <v>0</v>
      </c>
      <c r="G12" s="1958" t="s">
        <v>1346</v>
      </c>
      <c r="H12" s="1958" t="s">
        <v>728</v>
      </c>
      <c r="I12" s="1958">
        <v>0</v>
      </c>
      <c r="J12" s="1958">
        <v>0</v>
      </c>
      <c r="K12" s="1958">
        <v>0</v>
      </c>
      <c r="L12" s="1958">
        <v>0</v>
      </c>
    </row>
    <row r="13" spans="1:12">
      <c r="A13" s="1958" t="s">
        <v>877</v>
      </c>
      <c r="B13" s="1958">
        <v>187</v>
      </c>
      <c r="C13" s="1958">
        <v>2023</v>
      </c>
      <c r="D13" s="1958">
        <v>12</v>
      </c>
      <c r="E13" s="1958">
        <v>12</v>
      </c>
      <c r="F13" s="1958">
        <v>0</v>
      </c>
      <c r="G13" s="1958" t="s">
        <v>1345</v>
      </c>
      <c r="H13" s="1958" t="s">
        <v>728</v>
      </c>
      <c r="I13" s="1958">
        <v>19822225</v>
      </c>
      <c r="J13" s="1958">
        <v>19822225</v>
      </c>
      <c r="K13" s="1958">
        <v>0</v>
      </c>
      <c r="L13" s="1958">
        <v>0</v>
      </c>
    </row>
    <row r="14" spans="1:12">
      <c r="A14" s="1958" t="s">
        <v>877</v>
      </c>
      <c r="B14" s="1958">
        <v>187</v>
      </c>
      <c r="C14" s="1958">
        <v>2023</v>
      </c>
      <c r="D14" s="1958">
        <v>12</v>
      </c>
      <c r="E14" s="1958">
        <v>13</v>
      </c>
      <c r="F14" s="1958">
        <v>0</v>
      </c>
      <c r="G14" s="1958" t="s">
        <v>1344</v>
      </c>
      <c r="H14" s="1958" t="s">
        <v>728</v>
      </c>
      <c r="I14" s="1958">
        <v>1305366</v>
      </c>
      <c r="J14" s="1958">
        <v>1305366</v>
      </c>
      <c r="K14" s="1958">
        <v>0</v>
      </c>
      <c r="L14" s="1958">
        <v>0</v>
      </c>
    </row>
    <row r="15" spans="1:12">
      <c r="A15" s="1958" t="s">
        <v>877</v>
      </c>
      <c r="B15" s="1958">
        <v>187</v>
      </c>
      <c r="C15" s="1958">
        <v>2023</v>
      </c>
      <c r="D15" s="1958">
        <v>12</v>
      </c>
      <c r="E15" s="1958">
        <v>14</v>
      </c>
      <c r="F15" s="1958">
        <v>0</v>
      </c>
      <c r="G15" s="1958" t="s">
        <v>1343</v>
      </c>
      <c r="H15" s="1958" t="s">
        <v>728</v>
      </c>
      <c r="I15" s="1958">
        <v>6963</v>
      </c>
      <c r="J15" s="1958">
        <v>6963</v>
      </c>
      <c r="K15" s="1958">
        <v>0</v>
      </c>
      <c r="L15" s="1958">
        <v>0</v>
      </c>
    </row>
    <row r="16" spans="1:12">
      <c r="A16" s="1958" t="s">
        <v>877</v>
      </c>
      <c r="B16" s="1958">
        <v>187</v>
      </c>
      <c r="C16" s="1958">
        <v>2023</v>
      </c>
      <c r="D16" s="1958">
        <v>12</v>
      </c>
      <c r="E16" s="1958">
        <v>15</v>
      </c>
      <c r="F16" s="1958">
        <v>0</v>
      </c>
      <c r="G16" s="1958" t="s">
        <v>1342</v>
      </c>
      <c r="H16" s="1958" t="s">
        <v>728</v>
      </c>
      <c r="I16" s="1958">
        <f>SUM(I13+I14-I15)</f>
        <v>21120628</v>
      </c>
      <c r="J16" s="1958">
        <f>SUM(J13+J14-J15)</f>
        <v>21120628</v>
      </c>
      <c r="K16" s="1958">
        <v>0</v>
      </c>
      <c r="L16" s="1958">
        <v>0</v>
      </c>
    </row>
    <row r="17" spans="1:12">
      <c r="A17" s="1958" t="s">
        <v>877</v>
      </c>
      <c r="B17" s="1958">
        <v>187</v>
      </c>
      <c r="C17" s="1958">
        <v>2023</v>
      </c>
      <c r="D17" s="1958">
        <v>12</v>
      </c>
      <c r="E17" s="1958">
        <v>16</v>
      </c>
      <c r="F17" s="1958">
        <v>0</v>
      </c>
      <c r="G17" s="1958" t="s">
        <v>1341</v>
      </c>
      <c r="H17" s="1958" t="s">
        <v>728</v>
      </c>
      <c r="I17" s="1958">
        <v>19605205</v>
      </c>
      <c r="J17" s="1958">
        <v>19605205</v>
      </c>
      <c r="K17" s="1958">
        <v>0</v>
      </c>
      <c r="L17" s="1958">
        <v>0</v>
      </c>
    </row>
    <row r="18" spans="1:12">
      <c r="A18" s="1958" t="s">
        <v>877</v>
      </c>
      <c r="B18" s="1958">
        <v>187</v>
      </c>
      <c r="C18" s="1958">
        <v>2023</v>
      </c>
      <c r="D18" s="1958">
        <v>12</v>
      </c>
      <c r="E18" s="1958">
        <v>17</v>
      </c>
      <c r="F18" s="1958">
        <v>0</v>
      </c>
      <c r="G18" s="1958" t="s">
        <v>728</v>
      </c>
      <c r="H18" s="1958" t="s">
        <v>728</v>
      </c>
      <c r="I18" s="1958">
        <v>0</v>
      </c>
      <c r="J18" s="1958">
        <v>0</v>
      </c>
      <c r="K18" s="1958">
        <v>0</v>
      </c>
      <c r="L18" s="1958">
        <v>0</v>
      </c>
    </row>
    <row r="19" spans="1:12">
      <c r="A19" s="1958" t="s">
        <v>877</v>
      </c>
      <c r="B19" s="1958">
        <v>187</v>
      </c>
      <c r="C19" s="1958">
        <v>2023</v>
      </c>
      <c r="D19" s="1958">
        <v>12</v>
      </c>
      <c r="E19" s="1958">
        <v>18</v>
      </c>
      <c r="F19" s="1958">
        <v>0</v>
      </c>
      <c r="G19" s="1958" t="s">
        <v>1340</v>
      </c>
      <c r="H19" s="1958" t="s">
        <v>728</v>
      </c>
      <c r="I19" s="1958">
        <v>0</v>
      </c>
      <c r="J19" s="1958">
        <v>0</v>
      </c>
      <c r="K19" s="1958">
        <v>0</v>
      </c>
      <c r="L19" s="1958">
        <v>0</v>
      </c>
    </row>
    <row r="20" spans="1:12">
      <c r="A20" s="1958" t="s">
        <v>877</v>
      </c>
      <c r="B20" s="1958">
        <v>187</v>
      </c>
      <c r="C20" s="1958">
        <v>2023</v>
      </c>
      <c r="D20" s="1958">
        <v>12</v>
      </c>
      <c r="E20" s="1958">
        <v>19</v>
      </c>
      <c r="F20" s="1958">
        <v>0</v>
      </c>
      <c r="G20" s="1958" t="s">
        <v>1339</v>
      </c>
      <c r="H20" s="1958" t="s">
        <v>728</v>
      </c>
      <c r="I20" s="1958">
        <v>1928168400</v>
      </c>
      <c r="J20" s="1958">
        <v>1928168400</v>
      </c>
      <c r="K20" s="1958">
        <v>0</v>
      </c>
      <c r="L20" s="1958">
        <v>0</v>
      </c>
    </row>
    <row r="21" spans="1:12">
      <c r="A21" s="1958" t="s">
        <v>877</v>
      </c>
      <c r="B21" s="1958">
        <v>187</v>
      </c>
      <c r="C21" s="1958">
        <v>2023</v>
      </c>
      <c r="D21" s="1958">
        <v>12</v>
      </c>
      <c r="E21" s="1958">
        <v>20</v>
      </c>
      <c r="F21" s="1958">
        <v>0</v>
      </c>
      <c r="G21" s="1958" t="s">
        <v>111</v>
      </c>
      <c r="H21" s="1958" t="s">
        <v>728</v>
      </c>
      <c r="I21" s="1958">
        <v>394650809</v>
      </c>
      <c r="J21" s="1958">
        <v>394650809</v>
      </c>
      <c r="K21" s="1958">
        <v>0</v>
      </c>
      <c r="L21" s="1958">
        <v>0</v>
      </c>
    </row>
    <row r="22" spans="1:12">
      <c r="A22" s="1958" t="s">
        <v>877</v>
      </c>
      <c r="B22" s="1958">
        <v>187</v>
      </c>
      <c r="C22" s="1958">
        <v>2023</v>
      </c>
      <c r="D22" s="1958">
        <v>12</v>
      </c>
      <c r="E22" s="1958">
        <v>21</v>
      </c>
      <c r="F22" s="1958">
        <v>0</v>
      </c>
      <c r="G22" s="1958" t="s">
        <v>1338</v>
      </c>
      <c r="H22" s="1958" t="s">
        <v>728</v>
      </c>
      <c r="I22" s="1958">
        <v>0</v>
      </c>
      <c r="J22" s="1958">
        <v>0</v>
      </c>
      <c r="K22" s="1958">
        <v>0</v>
      </c>
      <c r="L22" s="1958">
        <v>0</v>
      </c>
    </row>
    <row r="23" spans="1:12">
      <c r="A23" s="1958" t="s">
        <v>877</v>
      </c>
      <c r="B23" s="1958">
        <v>187</v>
      </c>
      <c r="C23" s="1958">
        <v>2023</v>
      </c>
      <c r="D23" s="1958">
        <v>12</v>
      </c>
      <c r="E23" s="1958">
        <v>22</v>
      </c>
      <c r="F23" s="1958">
        <v>0</v>
      </c>
      <c r="G23" s="1958" t="s">
        <v>1337</v>
      </c>
      <c r="H23" s="1958" t="s">
        <v>728</v>
      </c>
      <c r="I23" s="1958">
        <v>202979974</v>
      </c>
      <c r="J23" s="1958">
        <v>202979974</v>
      </c>
      <c r="K23" s="1958">
        <v>0</v>
      </c>
      <c r="L23" s="1958">
        <v>0</v>
      </c>
    </row>
    <row r="24" spans="1:12">
      <c r="A24" s="1958" t="s">
        <v>877</v>
      </c>
      <c r="B24" s="1958">
        <v>187</v>
      </c>
      <c r="C24" s="1958">
        <v>2023</v>
      </c>
      <c r="D24" s="1958">
        <v>12</v>
      </c>
      <c r="E24" s="1958">
        <v>23</v>
      </c>
      <c r="F24" s="1958">
        <v>0</v>
      </c>
      <c r="G24" s="1958" t="s">
        <v>1336</v>
      </c>
      <c r="H24" s="1958" t="s">
        <v>728</v>
      </c>
      <c r="I24" s="1958">
        <v>0</v>
      </c>
      <c r="J24" s="1958">
        <v>0</v>
      </c>
      <c r="K24" s="1958">
        <v>0</v>
      </c>
      <c r="L24" s="1958">
        <v>0</v>
      </c>
    </row>
    <row r="25" spans="1:12">
      <c r="A25" s="1958" t="s">
        <v>877</v>
      </c>
      <c r="B25" s="1958">
        <v>187</v>
      </c>
      <c r="C25" s="1958">
        <v>2023</v>
      </c>
      <c r="D25" s="1958">
        <v>12</v>
      </c>
      <c r="E25" s="1958">
        <v>24</v>
      </c>
      <c r="F25" s="1958">
        <v>0</v>
      </c>
      <c r="G25" s="1958" t="s">
        <v>117</v>
      </c>
      <c r="H25" s="1958" t="s">
        <v>728</v>
      </c>
      <c r="I25" s="1958">
        <v>177969738</v>
      </c>
      <c r="J25" s="1958">
        <v>177969738</v>
      </c>
      <c r="K25" s="1958">
        <v>0</v>
      </c>
      <c r="L25" s="1958">
        <v>0</v>
      </c>
    </row>
    <row r="26" spans="1:12">
      <c r="A26" s="1958" t="s">
        <v>877</v>
      </c>
      <c r="B26" s="1958">
        <v>187</v>
      </c>
      <c r="C26" s="1958">
        <v>2023</v>
      </c>
      <c r="D26" s="1958">
        <v>12</v>
      </c>
      <c r="E26" s="1958">
        <v>25</v>
      </c>
      <c r="F26" s="1958">
        <v>0</v>
      </c>
      <c r="G26" s="1958" t="s">
        <v>106</v>
      </c>
      <c r="H26" s="1958" t="s">
        <v>728</v>
      </c>
      <c r="I26" s="1958">
        <v>285851148</v>
      </c>
      <c r="J26" s="1958">
        <v>285851148</v>
      </c>
      <c r="K26" s="1958">
        <v>0</v>
      </c>
      <c r="L26" s="1958">
        <v>0</v>
      </c>
    </row>
    <row r="27" spans="1:12">
      <c r="A27" s="1958" t="s">
        <v>877</v>
      </c>
      <c r="B27" s="1958">
        <v>187</v>
      </c>
      <c r="C27" s="1958">
        <v>2023</v>
      </c>
      <c r="D27" s="1958">
        <v>12</v>
      </c>
      <c r="E27" s="1958">
        <v>26</v>
      </c>
      <c r="F27" s="1958">
        <v>0</v>
      </c>
      <c r="G27" s="1958" t="s">
        <v>516</v>
      </c>
      <c r="H27" s="1958" t="s">
        <v>728</v>
      </c>
      <c r="I27" s="1958">
        <v>788670773</v>
      </c>
      <c r="J27" s="1958">
        <v>788670773</v>
      </c>
      <c r="K27" s="1958">
        <v>0</v>
      </c>
      <c r="L27" s="1958">
        <v>0</v>
      </c>
    </row>
    <row r="28" spans="1:12">
      <c r="A28" s="1958" t="s">
        <v>877</v>
      </c>
      <c r="B28" s="1958">
        <v>187</v>
      </c>
      <c r="C28" s="1958">
        <v>2023</v>
      </c>
      <c r="D28" s="1958">
        <v>12</v>
      </c>
      <c r="E28" s="1958">
        <v>27</v>
      </c>
      <c r="F28" s="1958">
        <v>0</v>
      </c>
      <c r="G28" s="1958" t="s">
        <v>1335</v>
      </c>
      <c r="H28" s="1958" t="s">
        <v>728</v>
      </c>
      <c r="I28" s="1958">
        <v>0</v>
      </c>
      <c r="J28" s="1958">
        <v>0</v>
      </c>
      <c r="K28" s="1958">
        <v>0</v>
      </c>
      <c r="L28" s="1958">
        <v>0</v>
      </c>
    </row>
    <row r="29" spans="1:12">
      <c r="A29" s="1958" t="s">
        <v>877</v>
      </c>
      <c r="B29" s="1958">
        <v>187</v>
      </c>
      <c r="C29" s="1958">
        <v>2023</v>
      </c>
      <c r="D29" s="1958">
        <v>12</v>
      </c>
      <c r="E29" s="1958">
        <v>28</v>
      </c>
      <c r="F29" s="1958">
        <v>0</v>
      </c>
      <c r="G29" s="1958" t="s">
        <v>1334</v>
      </c>
      <c r="H29" s="1958" t="s">
        <v>728</v>
      </c>
      <c r="I29" s="1958">
        <v>78045959</v>
      </c>
      <c r="J29" s="1958">
        <v>78045959</v>
      </c>
      <c r="K29" s="1958">
        <v>0</v>
      </c>
      <c r="L29" s="1958">
        <v>0</v>
      </c>
    </row>
    <row r="30" spans="1:12">
      <c r="A30" s="1958" t="s">
        <v>877</v>
      </c>
      <c r="B30" s="1958">
        <v>187</v>
      </c>
      <c r="C30" s="1958">
        <v>2023</v>
      </c>
      <c r="D30" s="1958">
        <v>12</v>
      </c>
      <c r="E30" s="1958">
        <v>29</v>
      </c>
      <c r="F30" s="1958">
        <v>0</v>
      </c>
      <c r="G30" s="1958" t="s">
        <v>1333</v>
      </c>
      <c r="H30" s="1958" t="s">
        <v>728</v>
      </c>
      <c r="I30" s="1958">
        <f>SUM(I21:I29)-1</f>
        <v>1928168400</v>
      </c>
      <c r="J30" s="1958">
        <f>SUM(J21:J29)-1</f>
        <v>1928168400</v>
      </c>
      <c r="K30" s="1958">
        <v>0</v>
      </c>
      <c r="L30" s="1958">
        <v>0</v>
      </c>
    </row>
  </sheetData>
  <pageMargins left="0.75" right="0.75" top="1" bottom="1" header="0.5" footer="0.5"/>
  <pageSetup orientation="portrait" r:id="rId1"/>
  <customProperties>
    <customPr name="xxe4aPID" r:id="rId2"/>
  </customPropertie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E1EE8-A2A7-4C36-B751-F41B78B78506}">
  <sheetPr codeName="Sheet51">
    <tabColor theme="6"/>
  </sheetPr>
  <dimension ref="A1:L34"/>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48.625" style="1958" bestFit="1" customWidth="1"/>
    <col min="8" max="8" width="4.125" style="1958" bestFit="1" customWidth="1"/>
    <col min="9" max="9" width="9.75" style="1958" bestFit="1" customWidth="1"/>
    <col min="10" max="10" width="10.625" style="1958" bestFit="1" customWidth="1"/>
    <col min="11" max="11" width="9.375" style="1958" bestFit="1" customWidth="1"/>
    <col min="12" max="12" width="10.125" style="1958" bestFit="1" customWidth="1"/>
    <col min="13" max="16384" width="9" style="1958"/>
  </cols>
  <sheetData>
    <row r="1" spans="1:12">
      <c r="A1" s="1958" t="s">
        <v>984</v>
      </c>
      <c r="B1" s="1958" t="s">
        <v>983</v>
      </c>
      <c r="C1" s="1958" t="s">
        <v>982</v>
      </c>
      <c r="D1" s="1958" t="s">
        <v>981</v>
      </c>
      <c r="E1" s="1958" t="s">
        <v>980</v>
      </c>
      <c r="F1" s="1958" t="s">
        <v>979</v>
      </c>
      <c r="G1" s="1958" t="s">
        <v>1159</v>
      </c>
      <c r="H1" s="1958" t="s">
        <v>1360</v>
      </c>
      <c r="I1" s="1958" t="s">
        <v>1359</v>
      </c>
      <c r="J1" s="1958" t="s">
        <v>1358</v>
      </c>
      <c r="K1" s="1958" t="s">
        <v>1357</v>
      </c>
      <c r="L1" s="1958" t="s">
        <v>1356</v>
      </c>
    </row>
    <row r="2" spans="1:12">
      <c r="A2" s="1958" t="s">
        <v>877</v>
      </c>
      <c r="B2" s="1958">
        <v>187</v>
      </c>
      <c r="C2" s="1958">
        <v>2023</v>
      </c>
      <c r="D2" s="1958">
        <v>12</v>
      </c>
      <c r="E2" s="1958">
        <v>1</v>
      </c>
      <c r="F2" s="1958">
        <v>0</v>
      </c>
      <c r="G2" s="1958" t="s">
        <v>1355</v>
      </c>
      <c r="H2" s="1958" t="s">
        <v>728</v>
      </c>
      <c r="I2" s="1958">
        <v>1814695451</v>
      </c>
      <c r="J2" s="1958">
        <v>1814695451</v>
      </c>
      <c r="K2" s="1958">
        <v>0</v>
      </c>
      <c r="L2" s="1958">
        <v>0</v>
      </c>
    </row>
    <row r="3" spans="1:12">
      <c r="A3" s="1958" t="s">
        <v>877</v>
      </c>
      <c r="B3" s="1958">
        <v>187</v>
      </c>
      <c r="C3" s="1958">
        <v>2023</v>
      </c>
      <c r="D3" s="1958">
        <v>12</v>
      </c>
      <c r="E3" s="1958">
        <v>2</v>
      </c>
      <c r="F3" s="1958">
        <v>0</v>
      </c>
      <c r="G3" s="1958" t="s">
        <v>1354</v>
      </c>
      <c r="H3" s="1958" t="s">
        <v>728</v>
      </c>
      <c r="I3" s="1958">
        <v>0</v>
      </c>
      <c r="J3" s="1958">
        <v>0</v>
      </c>
      <c r="K3" s="1958">
        <v>0</v>
      </c>
      <c r="L3" s="1958">
        <v>0</v>
      </c>
    </row>
    <row r="4" spans="1:12">
      <c r="A4" s="1958" t="s">
        <v>877</v>
      </c>
      <c r="B4" s="1958">
        <v>187</v>
      </c>
      <c r="C4" s="1958">
        <v>2023</v>
      </c>
      <c r="D4" s="1958">
        <v>12</v>
      </c>
      <c r="E4" s="1958">
        <v>3</v>
      </c>
      <c r="F4" s="1958">
        <v>0</v>
      </c>
      <c r="G4" s="1958" t="s">
        <v>1353</v>
      </c>
      <c r="H4" s="1958" t="s">
        <v>728</v>
      </c>
      <c r="I4" s="1958">
        <v>149272689</v>
      </c>
      <c r="J4" s="1958">
        <v>149272689</v>
      </c>
      <c r="K4" s="1958">
        <v>0</v>
      </c>
      <c r="L4" s="1958">
        <v>0</v>
      </c>
    </row>
    <row r="5" spans="1:12">
      <c r="A5" s="1958" t="s">
        <v>877</v>
      </c>
      <c r="B5" s="1958">
        <v>187</v>
      </c>
      <c r="C5" s="1958">
        <v>2023</v>
      </c>
      <c r="D5" s="1958">
        <v>12</v>
      </c>
      <c r="E5" s="1958">
        <v>4</v>
      </c>
      <c r="F5" s="1958">
        <v>0</v>
      </c>
      <c r="G5" s="1958" t="s">
        <v>1352</v>
      </c>
      <c r="H5" s="1958" t="s">
        <v>728</v>
      </c>
      <c r="I5" s="1958">
        <v>0</v>
      </c>
      <c r="J5" s="1958">
        <v>0</v>
      </c>
      <c r="K5" s="1958">
        <v>0</v>
      </c>
      <c r="L5" s="1958">
        <v>0</v>
      </c>
    </row>
    <row r="6" spans="1:12">
      <c r="A6" s="1958" t="s">
        <v>877</v>
      </c>
      <c r="B6" s="1958">
        <v>187</v>
      </c>
      <c r="C6" s="1958">
        <v>2023</v>
      </c>
      <c r="D6" s="1958">
        <v>12</v>
      </c>
      <c r="E6" s="1958">
        <v>5</v>
      </c>
      <c r="F6" s="1958">
        <v>0</v>
      </c>
      <c r="G6" s="1958" t="s">
        <v>1351</v>
      </c>
      <c r="H6" s="1958" t="s">
        <v>728</v>
      </c>
      <c r="I6" s="1958">
        <v>0</v>
      </c>
      <c r="J6" s="1958">
        <v>0</v>
      </c>
      <c r="K6" s="1958">
        <v>0</v>
      </c>
      <c r="L6" s="1958">
        <v>0</v>
      </c>
    </row>
    <row r="7" spans="1:12">
      <c r="A7" s="1958" t="s">
        <v>877</v>
      </c>
      <c r="B7" s="1958">
        <v>187</v>
      </c>
      <c r="C7" s="1958">
        <v>2023</v>
      </c>
      <c r="D7" s="1958">
        <v>12</v>
      </c>
      <c r="E7" s="1958">
        <v>6</v>
      </c>
      <c r="F7" s="1958">
        <v>0</v>
      </c>
      <c r="G7" s="1958" t="s">
        <v>1350</v>
      </c>
      <c r="H7" s="1958" t="s">
        <v>728</v>
      </c>
      <c r="I7" s="1958">
        <v>4926093</v>
      </c>
      <c r="J7" s="1958">
        <v>4926093</v>
      </c>
      <c r="K7" s="1958">
        <v>0</v>
      </c>
      <c r="L7" s="1958">
        <v>0</v>
      </c>
    </row>
    <row r="8" spans="1:12">
      <c r="A8" s="1958" t="s">
        <v>877</v>
      </c>
      <c r="B8" s="1958">
        <v>187</v>
      </c>
      <c r="C8" s="1958">
        <v>2023</v>
      </c>
      <c r="D8" s="1958">
        <v>12</v>
      </c>
      <c r="E8" s="1958">
        <v>7</v>
      </c>
      <c r="F8" s="1958">
        <v>0</v>
      </c>
      <c r="G8" s="1958" t="s">
        <v>1349</v>
      </c>
      <c r="H8" s="1958" t="s">
        <v>728</v>
      </c>
      <c r="K8" s="1958">
        <v>0</v>
      </c>
      <c r="L8" s="1958">
        <v>0</v>
      </c>
    </row>
    <row r="9" spans="1:12">
      <c r="A9" s="1958" t="s">
        <v>877</v>
      </c>
      <c r="B9" s="1958">
        <v>187</v>
      </c>
      <c r="C9" s="1958">
        <v>2023</v>
      </c>
      <c r="D9" s="1958">
        <v>12</v>
      </c>
      <c r="E9" s="1958">
        <v>8</v>
      </c>
      <c r="F9" s="1958">
        <v>0</v>
      </c>
      <c r="G9" s="1958" t="s">
        <v>1348</v>
      </c>
      <c r="H9" s="1958" t="s">
        <v>728</v>
      </c>
      <c r="K9" s="1958">
        <v>0</v>
      </c>
      <c r="L9" s="1958">
        <v>0</v>
      </c>
    </row>
    <row r="10" spans="1:12">
      <c r="A10" s="1958" t="s">
        <v>877</v>
      </c>
      <c r="B10" s="1958">
        <v>187</v>
      </c>
      <c r="C10" s="1958">
        <v>2023</v>
      </c>
      <c r="D10" s="1958">
        <v>12</v>
      </c>
      <c r="E10" s="1958">
        <v>9</v>
      </c>
      <c r="F10" s="1958">
        <v>0</v>
      </c>
      <c r="G10" s="1958" t="s">
        <v>728</v>
      </c>
      <c r="H10" s="1958" t="s">
        <v>728</v>
      </c>
      <c r="K10" s="1958">
        <v>0</v>
      </c>
      <c r="L10" s="1958">
        <v>0</v>
      </c>
    </row>
    <row r="11" spans="1:12">
      <c r="A11" s="1958" t="s">
        <v>877</v>
      </c>
      <c r="B11" s="1958">
        <v>187</v>
      </c>
      <c r="C11" s="1958">
        <v>2023</v>
      </c>
      <c r="D11" s="1958">
        <v>12</v>
      </c>
      <c r="E11" s="1958">
        <v>10</v>
      </c>
      <c r="F11" s="1958">
        <v>0</v>
      </c>
      <c r="G11" s="1958" t="s">
        <v>1347</v>
      </c>
      <c r="H11" s="1958" t="s">
        <v>728</v>
      </c>
      <c r="I11" s="1958">
        <v>154198782</v>
      </c>
      <c r="J11" s="1958">
        <v>154198782</v>
      </c>
      <c r="K11" s="1958">
        <v>0</v>
      </c>
      <c r="L11" s="1958">
        <v>0</v>
      </c>
    </row>
    <row r="12" spans="1:12">
      <c r="A12" s="1958" t="s">
        <v>877</v>
      </c>
      <c r="B12" s="1958">
        <v>187</v>
      </c>
      <c r="C12" s="1958">
        <v>2023</v>
      </c>
      <c r="D12" s="1958">
        <v>12</v>
      </c>
      <c r="E12" s="1958">
        <v>11</v>
      </c>
      <c r="F12" s="1958">
        <v>0</v>
      </c>
      <c r="G12" s="1958" t="s">
        <v>1346</v>
      </c>
      <c r="H12" s="1958" t="s">
        <v>728</v>
      </c>
      <c r="I12" s="1958">
        <v>0</v>
      </c>
      <c r="J12" s="1958">
        <v>0</v>
      </c>
      <c r="K12" s="1958">
        <v>0</v>
      </c>
      <c r="L12" s="1958">
        <v>0</v>
      </c>
    </row>
    <row r="13" spans="1:12">
      <c r="A13" s="1958" t="s">
        <v>877</v>
      </c>
      <c r="B13" s="1958">
        <v>187</v>
      </c>
      <c r="C13" s="1958">
        <v>2023</v>
      </c>
      <c r="D13" s="1958">
        <v>12</v>
      </c>
      <c r="E13" s="1958">
        <v>12</v>
      </c>
      <c r="F13" s="1958">
        <v>0</v>
      </c>
      <c r="G13" s="1958" t="s">
        <v>1345</v>
      </c>
      <c r="H13" s="1958" t="s">
        <v>728</v>
      </c>
      <c r="I13" s="1958">
        <v>19822225</v>
      </c>
      <c r="J13" s="1958">
        <v>19822225</v>
      </c>
      <c r="K13" s="1958">
        <v>0</v>
      </c>
      <c r="L13" s="1958">
        <v>0</v>
      </c>
    </row>
    <row r="14" spans="1:12">
      <c r="A14" s="1958" t="s">
        <v>877</v>
      </c>
      <c r="B14" s="1958">
        <v>187</v>
      </c>
      <c r="C14" s="1958">
        <v>2023</v>
      </c>
      <c r="D14" s="1958">
        <v>12</v>
      </c>
      <c r="E14" s="1958">
        <v>13</v>
      </c>
      <c r="F14" s="1958">
        <v>0</v>
      </c>
      <c r="G14" s="1958" t="s">
        <v>1344</v>
      </c>
      <c r="H14" s="1958" t="s">
        <v>728</v>
      </c>
      <c r="I14" s="1958">
        <v>1305366</v>
      </c>
      <c r="J14" s="1958">
        <v>1305366</v>
      </c>
      <c r="K14" s="1958">
        <v>0</v>
      </c>
      <c r="L14" s="1958">
        <v>0</v>
      </c>
    </row>
    <row r="15" spans="1:12">
      <c r="A15" s="1958" t="s">
        <v>877</v>
      </c>
      <c r="B15" s="1958">
        <v>187</v>
      </c>
      <c r="C15" s="1958">
        <v>2023</v>
      </c>
      <c r="D15" s="1958">
        <v>12</v>
      </c>
      <c r="E15" s="1958">
        <v>14</v>
      </c>
      <c r="F15" s="1958">
        <v>0</v>
      </c>
      <c r="G15" s="1958" t="s">
        <v>1343</v>
      </c>
      <c r="H15" s="1958" t="s">
        <v>728</v>
      </c>
      <c r="I15" s="1958">
        <v>6963</v>
      </c>
      <c r="J15" s="1958">
        <v>6963</v>
      </c>
      <c r="K15" s="1958">
        <v>0</v>
      </c>
      <c r="L15" s="1958">
        <v>0</v>
      </c>
    </row>
    <row r="16" spans="1:12">
      <c r="A16" s="1958" t="s">
        <v>877</v>
      </c>
      <c r="B16" s="1958">
        <v>187</v>
      </c>
      <c r="C16" s="1958">
        <v>2023</v>
      </c>
      <c r="D16" s="1958">
        <v>12</v>
      </c>
      <c r="E16" s="1958">
        <v>15</v>
      </c>
      <c r="F16" s="1958">
        <v>0</v>
      </c>
      <c r="G16" s="1958" t="s">
        <v>1342</v>
      </c>
      <c r="H16" s="1958" t="s">
        <v>728</v>
      </c>
      <c r="I16" s="1958">
        <f>SUM(I13+I14-I15)</f>
        <v>21120628</v>
      </c>
      <c r="J16" s="1958">
        <f>SUM(J13+J14-J15)</f>
        <v>21120628</v>
      </c>
      <c r="K16" s="1958">
        <v>0</v>
      </c>
      <c r="L16" s="1958">
        <v>0</v>
      </c>
    </row>
    <row r="17" spans="1:12">
      <c r="A17" s="1958" t="s">
        <v>877</v>
      </c>
      <c r="B17" s="1958">
        <v>187</v>
      </c>
      <c r="C17" s="1958">
        <v>2023</v>
      </c>
      <c r="D17" s="1958">
        <v>12</v>
      </c>
      <c r="E17" s="1958">
        <v>16</v>
      </c>
      <c r="F17" s="1958">
        <v>0</v>
      </c>
      <c r="G17" s="1958" t="s">
        <v>1341</v>
      </c>
      <c r="H17" s="1958" t="s">
        <v>728</v>
      </c>
      <c r="I17" s="1958">
        <v>19605205</v>
      </c>
      <c r="J17" s="1958">
        <v>19605205</v>
      </c>
      <c r="K17" s="1958">
        <v>0</v>
      </c>
      <c r="L17" s="1958">
        <v>0</v>
      </c>
    </row>
    <row r="18" spans="1:12">
      <c r="A18" s="1958" t="s">
        <v>877</v>
      </c>
      <c r="B18" s="1958">
        <v>187</v>
      </c>
      <c r="C18" s="1958">
        <v>2023</v>
      </c>
      <c r="D18" s="1958">
        <v>12</v>
      </c>
      <c r="E18" s="1958">
        <v>17</v>
      </c>
      <c r="F18" s="1958">
        <v>0</v>
      </c>
      <c r="G18" s="1958" t="s">
        <v>728</v>
      </c>
      <c r="H18" s="1958" t="s">
        <v>728</v>
      </c>
      <c r="I18" s="1958">
        <v>0</v>
      </c>
      <c r="J18" s="1958">
        <v>0</v>
      </c>
      <c r="K18" s="1958">
        <v>0</v>
      </c>
      <c r="L18" s="1958">
        <v>0</v>
      </c>
    </row>
    <row r="19" spans="1:12">
      <c r="A19" s="1958" t="s">
        <v>877</v>
      </c>
      <c r="B19" s="1958">
        <v>187</v>
      </c>
      <c r="C19" s="1958">
        <v>2023</v>
      </c>
      <c r="D19" s="1958">
        <v>12</v>
      </c>
      <c r="E19" s="1958">
        <v>18</v>
      </c>
      <c r="F19" s="1958">
        <v>0</v>
      </c>
      <c r="G19" s="1958" t="s">
        <v>1340</v>
      </c>
      <c r="H19" s="1958" t="s">
        <v>728</v>
      </c>
      <c r="I19" s="1958">
        <v>0</v>
      </c>
      <c r="J19" s="1958">
        <v>0</v>
      </c>
      <c r="K19" s="1958">
        <v>0</v>
      </c>
      <c r="L19" s="1958">
        <v>0</v>
      </c>
    </row>
    <row r="20" spans="1:12">
      <c r="A20" s="1958" t="s">
        <v>877</v>
      </c>
      <c r="B20" s="1958">
        <v>187</v>
      </c>
      <c r="C20" s="1958">
        <v>2023</v>
      </c>
      <c r="D20" s="1958">
        <v>12</v>
      </c>
      <c r="E20" s="1958">
        <v>19</v>
      </c>
      <c r="F20" s="1958">
        <v>0</v>
      </c>
      <c r="G20" s="1958" t="s">
        <v>1339</v>
      </c>
      <c r="H20" s="1958" t="s">
        <v>728</v>
      </c>
      <c r="I20" s="1958">
        <v>1928168400</v>
      </c>
      <c r="J20" s="1958">
        <v>1928168400</v>
      </c>
      <c r="K20" s="1958">
        <v>0</v>
      </c>
      <c r="L20" s="1958">
        <v>0</v>
      </c>
    </row>
    <row r="24" spans="1:12">
      <c r="A24" s="1958" t="s">
        <v>984</v>
      </c>
      <c r="B24" s="1958" t="s">
        <v>983</v>
      </c>
      <c r="C24" s="1958" t="s">
        <v>982</v>
      </c>
      <c r="D24" s="1958" t="s">
        <v>981</v>
      </c>
      <c r="E24" s="1958" t="s">
        <v>980</v>
      </c>
      <c r="F24" s="1958" t="s">
        <v>979</v>
      </c>
      <c r="G24" s="1958" t="s">
        <v>1159</v>
      </c>
      <c r="H24" s="1958" t="s">
        <v>1360</v>
      </c>
      <c r="I24" s="1958" t="s">
        <v>1359</v>
      </c>
      <c r="J24" s="1958" t="s">
        <v>1358</v>
      </c>
      <c r="K24" s="1958" t="s">
        <v>1357</v>
      </c>
      <c r="L24" s="1958" t="s">
        <v>1356</v>
      </c>
    </row>
    <row r="25" spans="1:12">
      <c r="A25" s="1958" t="s">
        <v>877</v>
      </c>
      <c r="B25" s="1958">
        <v>187</v>
      </c>
      <c r="C25" s="1958">
        <v>2023</v>
      </c>
      <c r="D25" s="1958">
        <v>12</v>
      </c>
      <c r="E25" s="1958">
        <v>20</v>
      </c>
      <c r="F25" s="1958">
        <v>0</v>
      </c>
      <c r="G25" s="1958" t="s">
        <v>111</v>
      </c>
      <c r="H25" s="1958" t="s">
        <v>728</v>
      </c>
      <c r="I25" s="1958">
        <v>394650809</v>
      </c>
      <c r="J25" s="1958">
        <v>394650809</v>
      </c>
      <c r="K25" s="1958">
        <v>0</v>
      </c>
      <c r="L25" s="1958">
        <v>0</v>
      </c>
    </row>
    <row r="26" spans="1:12">
      <c r="A26" s="1958" t="s">
        <v>877</v>
      </c>
      <c r="B26" s="1958">
        <v>187</v>
      </c>
      <c r="C26" s="1958">
        <v>2023</v>
      </c>
      <c r="D26" s="1958">
        <v>12</v>
      </c>
      <c r="E26" s="1958">
        <v>21</v>
      </c>
      <c r="F26" s="1958">
        <v>0</v>
      </c>
      <c r="G26" s="1958" t="s">
        <v>1338</v>
      </c>
      <c r="H26" s="1958" t="s">
        <v>728</v>
      </c>
      <c r="I26" s="1958">
        <v>0</v>
      </c>
      <c r="J26" s="1958">
        <v>0</v>
      </c>
      <c r="K26" s="1958">
        <v>0</v>
      </c>
      <c r="L26" s="1958">
        <v>0</v>
      </c>
    </row>
    <row r="27" spans="1:12">
      <c r="A27" s="1958" t="s">
        <v>877</v>
      </c>
      <c r="B27" s="1958">
        <v>187</v>
      </c>
      <c r="C27" s="1958">
        <v>2023</v>
      </c>
      <c r="D27" s="1958">
        <v>12</v>
      </c>
      <c r="E27" s="1958">
        <v>22</v>
      </c>
      <c r="F27" s="1958">
        <v>0</v>
      </c>
      <c r="G27" s="1958" t="s">
        <v>1337</v>
      </c>
      <c r="H27" s="1958" t="s">
        <v>728</v>
      </c>
      <c r="I27" s="1958">
        <v>202979974</v>
      </c>
      <c r="J27" s="1958">
        <v>202979974</v>
      </c>
      <c r="K27" s="1958">
        <v>0</v>
      </c>
      <c r="L27" s="1958">
        <v>0</v>
      </c>
    </row>
    <row r="28" spans="1:12">
      <c r="A28" s="1958" t="s">
        <v>877</v>
      </c>
      <c r="B28" s="1958">
        <v>187</v>
      </c>
      <c r="C28" s="1958">
        <v>2023</v>
      </c>
      <c r="D28" s="1958">
        <v>12</v>
      </c>
      <c r="E28" s="1958">
        <v>23</v>
      </c>
      <c r="F28" s="1958">
        <v>0</v>
      </c>
      <c r="G28" s="1958" t="s">
        <v>1336</v>
      </c>
      <c r="H28" s="1958" t="s">
        <v>728</v>
      </c>
      <c r="I28" s="1958">
        <v>0</v>
      </c>
      <c r="J28" s="1958">
        <v>0</v>
      </c>
      <c r="K28" s="1958">
        <v>0</v>
      </c>
      <c r="L28" s="1958">
        <v>0</v>
      </c>
    </row>
    <row r="29" spans="1:12">
      <c r="A29" s="1958" t="s">
        <v>877</v>
      </c>
      <c r="B29" s="1958">
        <v>187</v>
      </c>
      <c r="C29" s="1958">
        <v>2023</v>
      </c>
      <c r="D29" s="1958">
        <v>12</v>
      </c>
      <c r="E29" s="1958">
        <v>24</v>
      </c>
      <c r="F29" s="1958">
        <v>0</v>
      </c>
      <c r="G29" s="1958" t="s">
        <v>117</v>
      </c>
      <c r="H29" s="1958" t="s">
        <v>728</v>
      </c>
      <c r="I29" s="1958">
        <v>177969738</v>
      </c>
      <c r="J29" s="1958">
        <v>177969738</v>
      </c>
      <c r="K29" s="1958">
        <v>0</v>
      </c>
      <c r="L29" s="1958">
        <v>0</v>
      </c>
    </row>
    <row r="30" spans="1:12">
      <c r="A30" s="1958" t="s">
        <v>877</v>
      </c>
      <c r="B30" s="1958">
        <v>187</v>
      </c>
      <c r="C30" s="1958">
        <v>2023</v>
      </c>
      <c r="D30" s="1958">
        <v>12</v>
      </c>
      <c r="E30" s="1958">
        <v>25</v>
      </c>
      <c r="F30" s="1958">
        <v>0</v>
      </c>
      <c r="G30" s="1958" t="s">
        <v>106</v>
      </c>
      <c r="H30" s="1958" t="s">
        <v>728</v>
      </c>
      <c r="I30" s="1958">
        <v>285851148</v>
      </c>
      <c r="J30" s="1958">
        <v>285851148</v>
      </c>
      <c r="K30" s="1958">
        <v>0</v>
      </c>
      <c r="L30" s="1958">
        <v>0</v>
      </c>
    </row>
    <row r="31" spans="1:12">
      <c r="A31" s="1958" t="s">
        <v>877</v>
      </c>
      <c r="B31" s="1958">
        <v>187</v>
      </c>
      <c r="C31" s="1958">
        <v>2023</v>
      </c>
      <c r="D31" s="1958">
        <v>12</v>
      </c>
      <c r="E31" s="1958">
        <v>26</v>
      </c>
      <c r="F31" s="1958">
        <v>0</v>
      </c>
      <c r="G31" s="1958" t="s">
        <v>516</v>
      </c>
      <c r="H31" s="1958" t="s">
        <v>728</v>
      </c>
      <c r="I31" s="1958">
        <v>788670773</v>
      </c>
      <c r="J31" s="1958">
        <v>788670773</v>
      </c>
      <c r="K31" s="1958">
        <v>0</v>
      </c>
      <c r="L31" s="1958">
        <v>0</v>
      </c>
    </row>
    <row r="32" spans="1:12">
      <c r="A32" s="1958" t="s">
        <v>877</v>
      </c>
      <c r="B32" s="1958">
        <v>187</v>
      </c>
      <c r="C32" s="1958">
        <v>2023</v>
      </c>
      <c r="D32" s="1958">
        <v>12</v>
      </c>
      <c r="E32" s="1958">
        <v>27</v>
      </c>
      <c r="F32" s="1958">
        <v>0</v>
      </c>
      <c r="G32" s="1958" t="s">
        <v>1335</v>
      </c>
      <c r="H32" s="1958" t="s">
        <v>728</v>
      </c>
      <c r="I32" s="1958">
        <v>0</v>
      </c>
      <c r="J32" s="1958">
        <v>0</v>
      </c>
      <c r="K32" s="1958">
        <v>0</v>
      </c>
      <c r="L32" s="1958">
        <v>0</v>
      </c>
    </row>
    <row r="33" spans="1:12">
      <c r="A33" s="1958" t="s">
        <v>877</v>
      </c>
      <c r="B33" s="1958">
        <v>187</v>
      </c>
      <c r="C33" s="1958">
        <v>2023</v>
      </c>
      <c r="D33" s="1958">
        <v>12</v>
      </c>
      <c r="E33" s="1958">
        <v>28</v>
      </c>
      <c r="F33" s="1958">
        <v>0</v>
      </c>
      <c r="G33" s="1958" t="s">
        <v>1334</v>
      </c>
      <c r="H33" s="1958" t="s">
        <v>728</v>
      </c>
      <c r="I33" s="1958">
        <v>78045959</v>
      </c>
      <c r="J33" s="1958">
        <v>78045959</v>
      </c>
      <c r="K33" s="1958">
        <v>0</v>
      </c>
      <c r="L33" s="1958">
        <v>0</v>
      </c>
    </row>
    <row r="34" spans="1:12">
      <c r="A34" s="1958" t="s">
        <v>877</v>
      </c>
      <c r="B34" s="1958">
        <v>187</v>
      </c>
      <c r="C34" s="1958">
        <v>2023</v>
      </c>
      <c r="D34" s="1958">
        <v>12</v>
      </c>
      <c r="E34" s="1958">
        <v>29</v>
      </c>
      <c r="F34" s="1958">
        <v>0</v>
      </c>
      <c r="G34" s="1958" t="s">
        <v>1333</v>
      </c>
      <c r="H34" s="1958" t="s">
        <v>728</v>
      </c>
      <c r="I34" s="1958">
        <f>SUM(I25:I33)-1</f>
        <v>1928168400</v>
      </c>
      <c r="J34" s="1958">
        <f>SUM(J25:J33)-1</f>
        <v>1928168400</v>
      </c>
      <c r="K34" s="1958">
        <v>0</v>
      </c>
      <c r="L34" s="1958">
        <v>0</v>
      </c>
    </row>
  </sheetData>
  <pageMargins left="0.75" right="0.75" top="1" bottom="1" header="0.5" footer="0.5"/>
  <pageSetup orientation="portrait" r:id="rId1"/>
  <customProperties>
    <customPr name="xxe4aPID" r:id="rId2"/>
  </customPropertie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576AE-A7E3-49A6-9F10-6E755C7F13F4}">
  <sheetPr codeName="Sheet52">
    <tabColor rgb="FF92D050"/>
  </sheetPr>
  <dimension ref="A1:N46"/>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41.875" style="1958" bestFit="1" customWidth="1"/>
    <col min="8" max="9" width="9.25" style="1958" bestFit="1" customWidth="1"/>
    <col min="10" max="10" width="10.375" style="1967" bestFit="1" customWidth="1"/>
    <col min="11" max="11" width="9.25" style="1958" bestFit="1" customWidth="1"/>
    <col min="12" max="12" width="10.375" style="1958" bestFit="1" customWidth="1"/>
    <col min="13" max="13" width="9.25" style="1958" bestFit="1" customWidth="1"/>
    <col min="14" max="14" width="10.25" style="1958" bestFit="1" customWidth="1"/>
    <col min="15" max="16384" width="9" style="1958"/>
  </cols>
  <sheetData>
    <row r="1" spans="1:14">
      <c r="A1" s="1958" t="s">
        <v>984</v>
      </c>
      <c r="B1" s="1958" t="s">
        <v>983</v>
      </c>
      <c r="C1" s="1958" t="s">
        <v>982</v>
      </c>
      <c r="D1" s="1958" t="s">
        <v>981</v>
      </c>
      <c r="E1" s="1958" t="s">
        <v>980</v>
      </c>
      <c r="F1" s="1958" t="s">
        <v>979</v>
      </c>
      <c r="G1" s="1958" t="s">
        <v>1421</v>
      </c>
      <c r="H1" s="1958" t="s">
        <v>1420</v>
      </c>
      <c r="I1" s="1958" t="s">
        <v>1419</v>
      </c>
      <c r="J1" s="1967" t="s">
        <v>1418</v>
      </c>
      <c r="K1" s="1958" t="s">
        <v>1417</v>
      </c>
      <c r="L1" s="1968" t="s">
        <v>1220</v>
      </c>
    </row>
    <row r="2" spans="1:14">
      <c r="A2" s="1958" t="s">
        <v>877</v>
      </c>
      <c r="B2" s="1958">
        <v>187</v>
      </c>
      <c r="C2" s="1958">
        <v>2023</v>
      </c>
      <c r="D2" s="1958">
        <v>12</v>
      </c>
      <c r="E2" s="1958">
        <v>1</v>
      </c>
      <c r="F2" s="1958">
        <v>0</v>
      </c>
      <c r="G2" s="1958" t="s">
        <v>1416</v>
      </c>
      <c r="H2" s="1958">
        <v>4328385</v>
      </c>
      <c r="I2" s="1958">
        <v>0</v>
      </c>
      <c r="J2" s="1967" t="s">
        <v>1407</v>
      </c>
      <c r="K2" s="1958">
        <v>1745141</v>
      </c>
      <c r="L2" s="1968">
        <f t="shared" ref="L2:L44" si="0">SUM(H2+I2-K2)</f>
        <v>2583244</v>
      </c>
      <c r="N2" s="1959"/>
    </row>
    <row r="3" spans="1:14">
      <c r="A3" s="1958" t="s">
        <v>877</v>
      </c>
      <c r="B3" s="1958">
        <v>187</v>
      </c>
      <c r="C3" s="1958">
        <v>2023</v>
      </c>
      <c r="D3" s="1958">
        <v>12</v>
      </c>
      <c r="E3" s="1958">
        <v>2</v>
      </c>
      <c r="F3" s="1958">
        <v>0</v>
      </c>
      <c r="G3" s="1958" t="s">
        <v>1415</v>
      </c>
      <c r="H3" s="1958">
        <v>128847130</v>
      </c>
      <c r="I3" s="1958">
        <v>1796907</v>
      </c>
      <c r="J3" s="1967" t="s">
        <v>1414</v>
      </c>
      <c r="K3" s="1958">
        <v>18181644</v>
      </c>
      <c r="L3" s="1968">
        <f t="shared" si="0"/>
        <v>112462393</v>
      </c>
      <c r="N3" s="1959"/>
    </row>
    <row r="4" spans="1:14">
      <c r="A4" s="1958" t="s">
        <v>877</v>
      </c>
      <c r="B4" s="1958">
        <v>187</v>
      </c>
      <c r="C4" s="1958">
        <v>2023</v>
      </c>
      <c r="D4" s="1958">
        <v>12</v>
      </c>
      <c r="E4" s="1958">
        <v>3</v>
      </c>
      <c r="F4" s="1958">
        <v>0</v>
      </c>
      <c r="G4" s="1958" t="s">
        <v>1413</v>
      </c>
      <c r="H4" s="1958">
        <v>80549288</v>
      </c>
      <c r="I4" s="1958">
        <v>1556488</v>
      </c>
      <c r="J4" s="1967" t="s">
        <v>1411</v>
      </c>
      <c r="K4" s="1958">
        <v>3933322</v>
      </c>
      <c r="L4" s="1968">
        <f t="shared" si="0"/>
        <v>78172454</v>
      </c>
      <c r="N4" s="1959"/>
    </row>
    <row r="5" spans="1:14">
      <c r="A5" s="1958" t="s">
        <v>877</v>
      </c>
      <c r="B5" s="1958">
        <v>187</v>
      </c>
      <c r="C5" s="1958">
        <v>2023</v>
      </c>
      <c r="D5" s="1958">
        <v>12</v>
      </c>
      <c r="E5" s="1958">
        <v>4</v>
      </c>
      <c r="F5" s="1958">
        <v>0</v>
      </c>
      <c r="G5" s="1958" t="s">
        <v>1412</v>
      </c>
      <c r="H5" s="1958">
        <v>4442326</v>
      </c>
      <c r="I5" s="1958">
        <v>593287</v>
      </c>
      <c r="J5" s="1967" t="s">
        <v>1411</v>
      </c>
      <c r="K5" s="1958">
        <v>2353940</v>
      </c>
      <c r="L5" s="1968">
        <f t="shared" si="0"/>
        <v>2681673</v>
      </c>
      <c r="N5" s="1959"/>
    </row>
    <row r="6" spans="1:14">
      <c r="A6" s="1958" t="s">
        <v>877</v>
      </c>
      <c r="B6" s="1958">
        <v>187</v>
      </c>
      <c r="C6" s="1958">
        <v>2023</v>
      </c>
      <c r="D6" s="1958">
        <v>12</v>
      </c>
      <c r="E6" s="1958">
        <v>5</v>
      </c>
      <c r="F6" s="1958">
        <v>0</v>
      </c>
      <c r="G6" s="1958" t="s">
        <v>1410</v>
      </c>
      <c r="H6" s="1958">
        <v>0</v>
      </c>
      <c r="I6" s="1958">
        <v>0</v>
      </c>
      <c r="J6" s="1967">
        <v>0</v>
      </c>
      <c r="K6" s="1958">
        <v>0</v>
      </c>
      <c r="L6" s="1968">
        <f t="shared" si="0"/>
        <v>0</v>
      </c>
      <c r="N6" s="1959"/>
    </row>
    <row r="7" spans="1:14">
      <c r="A7" s="1958" t="s">
        <v>877</v>
      </c>
      <c r="B7" s="1958">
        <v>187</v>
      </c>
      <c r="C7" s="1958">
        <v>2023</v>
      </c>
      <c r="D7" s="1958">
        <v>12</v>
      </c>
      <c r="E7" s="1958">
        <v>6</v>
      </c>
      <c r="F7" s="1958">
        <v>0</v>
      </c>
      <c r="G7" s="1958" t="s">
        <v>1409</v>
      </c>
      <c r="H7" s="1958">
        <v>0</v>
      </c>
      <c r="I7" s="1958">
        <v>0</v>
      </c>
      <c r="J7" s="1967">
        <v>0</v>
      </c>
      <c r="K7" s="1958">
        <v>0</v>
      </c>
      <c r="L7" s="1968">
        <f t="shared" si="0"/>
        <v>0</v>
      </c>
      <c r="N7" s="1959"/>
    </row>
    <row r="8" spans="1:14">
      <c r="A8" s="1958" t="s">
        <v>877</v>
      </c>
      <c r="B8" s="1958">
        <v>187</v>
      </c>
      <c r="C8" s="1958">
        <v>2023</v>
      </c>
      <c r="D8" s="1958">
        <v>12</v>
      </c>
      <c r="E8" s="1958">
        <v>7</v>
      </c>
      <c r="F8" s="1958">
        <v>0</v>
      </c>
      <c r="G8" s="1958" t="s">
        <v>1408</v>
      </c>
      <c r="H8" s="1958">
        <v>37809157</v>
      </c>
      <c r="I8" s="1958">
        <v>0</v>
      </c>
      <c r="J8" s="1967" t="s">
        <v>1407</v>
      </c>
      <c r="K8" s="1958">
        <v>1116805</v>
      </c>
      <c r="L8" s="1968">
        <f t="shared" si="0"/>
        <v>36692352</v>
      </c>
      <c r="N8" s="1959"/>
    </row>
    <row r="9" spans="1:14">
      <c r="A9" s="1958" t="s">
        <v>877</v>
      </c>
      <c r="B9" s="1958">
        <v>187</v>
      </c>
      <c r="C9" s="1958">
        <v>2023</v>
      </c>
      <c r="D9" s="1958">
        <v>12</v>
      </c>
      <c r="E9" s="1958">
        <v>8</v>
      </c>
      <c r="F9" s="1958">
        <v>0</v>
      </c>
      <c r="G9" s="1958" t="s">
        <v>1406</v>
      </c>
      <c r="H9" s="1958">
        <v>9089302</v>
      </c>
      <c r="I9" s="1958">
        <v>36741461</v>
      </c>
      <c r="J9" s="1967" t="s">
        <v>1405</v>
      </c>
      <c r="K9" s="1958">
        <v>43395041</v>
      </c>
      <c r="L9" s="1968">
        <f t="shared" si="0"/>
        <v>2435722</v>
      </c>
      <c r="N9" s="1959"/>
    </row>
    <row r="10" spans="1:14">
      <c r="A10" s="1970" t="s">
        <v>877</v>
      </c>
      <c r="B10" s="1970">
        <v>187</v>
      </c>
      <c r="C10" s="1958">
        <v>2023</v>
      </c>
      <c r="D10" s="1970">
        <v>12</v>
      </c>
      <c r="E10" s="1970">
        <v>9</v>
      </c>
      <c r="F10" s="1970">
        <v>0</v>
      </c>
      <c r="G10" s="1970" t="s">
        <v>1404</v>
      </c>
      <c r="H10" s="1970">
        <v>14976471</v>
      </c>
      <c r="I10" s="1970">
        <v>6165968</v>
      </c>
      <c r="J10" s="1971">
        <v>407</v>
      </c>
      <c r="K10" s="1970">
        <v>1713471</v>
      </c>
      <c r="L10" s="1968">
        <f t="shared" si="0"/>
        <v>19428968</v>
      </c>
      <c r="N10" s="1959"/>
    </row>
    <row r="11" spans="1:14">
      <c r="A11" s="1958" t="s">
        <v>877</v>
      </c>
      <c r="B11" s="1958">
        <v>187</v>
      </c>
      <c r="C11" s="1958">
        <v>2023</v>
      </c>
      <c r="D11" s="1958">
        <v>12</v>
      </c>
      <c r="E11" s="1958">
        <v>10</v>
      </c>
      <c r="F11" s="1958">
        <v>0</v>
      </c>
      <c r="G11" s="1958" t="s">
        <v>1403</v>
      </c>
      <c r="K11" s="1958">
        <v>0</v>
      </c>
      <c r="L11" s="1968">
        <f t="shared" si="0"/>
        <v>0</v>
      </c>
      <c r="N11" s="1959"/>
    </row>
    <row r="12" spans="1:14">
      <c r="A12" s="1958" t="s">
        <v>877</v>
      </c>
      <c r="B12" s="1958">
        <v>187</v>
      </c>
      <c r="C12" s="1958">
        <v>2023</v>
      </c>
      <c r="D12" s="1958">
        <v>12</v>
      </c>
      <c r="E12" s="1958">
        <v>11</v>
      </c>
      <c r="F12" s="1958">
        <v>0</v>
      </c>
      <c r="G12" s="1958" t="s">
        <v>1402</v>
      </c>
      <c r="H12" s="1958">
        <v>2165181</v>
      </c>
      <c r="I12" s="1958">
        <v>133388</v>
      </c>
      <c r="K12" s="1958">
        <v>0</v>
      </c>
      <c r="L12" s="1968">
        <f t="shared" si="0"/>
        <v>2298569</v>
      </c>
      <c r="N12" s="1959"/>
    </row>
    <row r="13" spans="1:14">
      <c r="A13" s="1958" t="s">
        <v>877</v>
      </c>
      <c r="B13" s="1958">
        <v>187</v>
      </c>
      <c r="C13" s="1958">
        <v>2023</v>
      </c>
      <c r="D13" s="1958">
        <v>12</v>
      </c>
      <c r="E13" s="1958">
        <v>12</v>
      </c>
      <c r="F13" s="1958">
        <v>0</v>
      </c>
      <c r="G13" s="1958" t="s">
        <v>1401</v>
      </c>
      <c r="H13" s="1958">
        <v>989028</v>
      </c>
      <c r="I13" s="1958">
        <v>956123</v>
      </c>
      <c r="J13" s="1967" t="s">
        <v>1400</v>
      </c>
      <c r="K13" s="1958">
        <v>14986</v>
      </c>
      <c r="L13" s="1968">
        <f t="shared" si="0"/>
        <v>1930165</v>
      </c>
      <c r="N13" s="1959"/>
    </row>
    <row r="14" spans="1:14">
      <c r="A14" s="1958" t="s">
        <v>877</v>
      </c>
      <c r="B14" s="1958">
        <v>187</v>
      </c>
      <c r="C14" s="1958">
        <v>2023</v>
      </c>
      <c r="D14" s="1958">
        <v>12</v>
      </c>
      <c r="E14" s="1958">
        <v>13</v>
      </c>
      <c r="F14" s="1958">
        <v>0</v>
      </c>
      <c r="G14" s="1958" t="s">
        <v>1399</v>
      </c>
      <c r="H14" s="1958">
        <v>185919054</v>
      </c>
      <c r="I14" s="1958">
        <v>1417272</v>
      </c>
      <c r="J14" s="1967" t="s">
        <v>1391</v>
      </c>
      <c r="K14" s="1958">
        <v>7847927</v>
      </c>
      <c r="L14" s="1968">
        <f t="shared" si="0"/>
        <v>179488399</v>
      </c>
      <c r="N14" s="1959"/>
    </row>
    <row r="15" spans="1:14">
      <c r="A15" s="1958" t="s">
        <v>877</v>
      </c>
      <c r="B15" s="1958">
        <v>187</v>
      </c>
      <c r="C15" s="1958">
        <v>2023</v>
      </c>
      <c r="D15" s="1958">
        <v>12</v>
      </c>
      <c r="E15" s="1958">
        <v>14</v>
      </c>
      <c r="F15" s="1958">
        <v>0</v>
      </c>
      <c r="G15" s="1958" t="s">
        <v>1398</v>
      </c>
      <c r="H15" s="1958">
        <v>3683352</v>
      </c>
      <c r="I15" s="1958">
        <v>8398035</v>
      </c>
      <c r="J15" s="1967" t="s">
        <v>1391</v>
      </c>
      <c r="K15" s="1958">
        <v>1823901</v>
      </c>
      <c r="L15" s="1968">
        <f t="shared" si="0"/>
        <v>10257486</v>
      </c>
      <c r="N15" s="1959"/>
    </row>
    <row r="16" spans="1:14">
      <c r="A16" s="1958" t="s">
        <v>877</v>
      </c>
      <c r="B16" s="1958">
        <v>187</v>
      </c>
      <c r="C16" s="1958">
        <v>2023</v>
      </c>
      <c r="D16" s="1958">
        <v>12</v>
      </c>
      <c r="E16" s="1958">
        <v>15</v>
      </c>
      <c r="F16" s="1958">
        <v>0</v>
      </c>
      <c r="G16" s="1958" t="s">
        <v>1397</v>
      </c>
      <c r="H16" s="1958">
        <v>3769051</v>
      </c>
      <c r="I16" s="1958">
        <v>0</v>
      </c>
      <c r="J16" s="1967" t="s">
        <v>1396</v>
      </c>
      <c r="K16" s="1958">
        <v>166945</v>
      </c>
      <c r="L16" s="1968">
        <f t="shared" si="0"/>
        <v>3602106</v>
      </c>
      <c r="N16" s="1959"/>
    </row>
    <row r="17" spans="1:14">
      <c r="A17" s="1958" t="s">
        <v>877</v>
      </c>
      <c r="B17" s="1958">
        <v>187</v>
      </c>
      <c r="C17" s="1958">
        <v>2023</v>
      </c>
      <c r="D17" s="1958">
        <v>12</v>
      </c>
      <c r="E17" s="1958">
        <v>16</v>
      </c>
      <c r="F17" s="1958">
        <v>0</v>
      </c>
      <c r="G17" s="1958" t="s">
        <v>1395</v>
      </c>
      <c r="H17" s="1958">
        <v>32380865</v>
      </c>
      <c r="I17" s="1958">
        <v>0</v>
      </c>
      <c r="J17" s="1967" t="s">
        <v>1370</v>
      </c>
      <c r="K17" s="1958">
        <v>3035706</v>
      </c>
      <c r="L17" s="1968">
        <f t="shared" si="0"/>
        <v>29345159</v>
      </c>
      <c r="N17" s="1959"/>
    </row>
    <row r="18" spans="1:14">
      <c r="A18" s="1958" t="s">
        <v>877</v>
      </c>
      <c r="B18" s="1958">
        <v>187</v>
      </c>
      <c r="C18" s="1958">
        <v>2023</v>
      </c>
      <c r="D18" s="1958">
        <v>12</v>
      </c>
      <c r="E18" s="1958">
        <v>17</v>
      </c>
      <c r="F18" s="1958">
        <v>0</v>
      </c>
      <c r="G18" s="1958" t="s">
        <v>1394</v>
      </c>
      <c r="H18" s="1958">
        <v>1298948</v>
      </c>
      <c r="I18" s="1958">
        <v>1861113</v>
      </c>
      <c r="J18" s="1967">
        <v>407</v>
      </c>
      <c r="K18" s="1958">
        <v>1609846</v>
      </c>
      <c r="L18" s="1968">
        <f t="shared" si="0"/>
        <v>1550215</v>
      </c>
      <c r="N18" s="1959"/>
    </row>
    <row r="19" spans="1:14">
      <c r="A19" s="1958" t="s">
        <v>877</v>
      </c>
      <c r="B19" s="1958">
        <v>187</v>
      </c>
      <c r="C19" s="1958">
        <v>2023</v>
      </c>
      <c r="D19" s="1958">
        <v>12</v>
      </c>
      <c r="E19" s="1958">
        <v>18</v>
      </c>
      <c r="F19" s="1958">
        <v>0</v>
      </c>
      <c r="G19" s="1958" t="s">
        <v>1393</v>
      </c>
      <c r="H19" s="1958">
        <v>406443</v>
      </c>
      <c r="I19" s="1958">
        <v>117683</v>
      </c>
      <c r="J19" s="1967" t="s">
        <v>1370</v>
      </c>
      <c r="K19" s="1958">
        <v>353815</v>
      </c>
      <c r="L19" s="1968">
        <f t="shared" si="0"/>
        <v>170311</v>
      </c>
      <c r="N19" s="1959"/>
    </row>
    <row r="20" spans="1:14">
      <c r="A20" s="1958" t="s">
        <v>877</v>
      </c>
      <c r="B20" s="1958">
        <v>187</v>
      </c>
      <c r="C20" s="1958">
        <v>2023</v>
      </c>
      <c r="D20" s="1958">
        <v>12</v>
      </c>
      <c r="E20" s="1958">
        <v>19</v>
      </c>
      <c r="F20" s="1958">
        <v>0</v>
      </c>
      <c r="G20" s="1958" t="s">
        <v>1392</v>
      </c>
      <c r="H20" s="1958">
        <v>59662251</v>
      </c>
      <c r="I20" s="1958">
        <v>30423065</v>
      </c>
      <c r="J20" s="1967" t="s">
        <v>1391</v>
      </c>
      <c r="K20" s="1958">
        <v>31019224</v>
      </c>
      <c r="L20" s="1968">
        <f t="shared" si="0"/>
        <v>59066092</v>
      </c>
      <c r="N20" s="1959"/>
    </row>
    <row r="21" spans="1:14">
      <c r="A21" s="1970" t="s">
        <v>877</v>
      </c>
      <c r="B21" s="1970">
        <v>187</v>
      </c>
      <c r="C21" s="1958">
        <v>2023</v>
      </c>
      <c r="D21" s="1970">
        <v>12</v>
      </c>
      <c r="E21" s="1970">
        <v>20</v>
      </c>
      <c r="F21" s="1970">
        <v>0</v>
      </c>
      <c r="G21" s="1970" t="s">
        <v>1390</v>
      </c>
      <c r="H21" s="1970">
        <v>16341994</v>
      </c>
      <c r="I21" s="1970">
        <v>15169526</v>
      </c>
      <c r="J21" s="1971" t="s">
        <v>1389</v>
      </c>
      <c r="K21" s="1970">
        <v>23884029</v>
      </c>
      <c r="L21" s="1968">
        <f t="shared" si="0"/>
        <v>7627491</v>
      </c>
      <c r="N21" s="1959"/>
    </row>
    <row r="22" spans="1:14">
      <c r="A22" s="1970" t="s">
        <v>877</v>
      </c>
      <c r="B22" s="1970">
        <v>187</v>
      </c>
      <c r="C22" s="1958">
        <v>2023</v>
      </c>
      <c r="D22" s="1970">
        <v>12</v>
      </c>
      <c r="E22" s="1970">
        <v>21</v>
      </c>
      <c r="F22" s="1970">
        <v>0</v>
      </c>
      <c r="G22" s="1970" t="s">
        <v>1388</v>
      </c>
      <c r="H22" s="1970">
        <v>19459498</v>
      </c>
      <c r="I22" s="1970">
        <v>0</v>
      </c>
      <c r="J22" s="1971" t="s">
        <v>1387</v>
      </c>
      <c r="K22" s="1970">
        <v>1824328</v>
      </c>
      <c r="L22" s="1968">
        <f t="shared" si="0"/>
        <v>17635170</v>
      </c>
      <c r="N22" s="1959"/>
    </row>
    <row r="23" spans="1:14">
      <c r="A23" s="1958" t="s">
        <v>877</v>
      </c>
      <c r="B23" s="1958">
        <v>187</v>
      </c>
      <c r="C23" s="1958">
        <v>2023</v>
      </c>
      <c r="D23" s="1958">
        <v>12</v>
      </c>
      <c r="E23" s="1958">
        <v>22</v>
      </c>
      <c r="F23" s="1958">
        <v>0</v>
      </c>
      <c r="G23" s="1958" t="s">
        <v>1386</v>
      </c>
      <c r="H23" s="1958">
        <v>1500000</v>
      </c>
      <c r="I23" s="1958">
        <v>562500</v>
      </c>
      <c r="J23" s="1967" t="s">
        <v>1368</v>
      </c>
      <c r="K23" s="1958">
        <v>1312500</v>
      </c>
      <c r="L23" s="1968">
        <f t="shared" si="0"/>
        <v>750000</v>
      </c>
      <c r="N23" s="1959"/>
    </row>
    <row r="24" spans="1:14">
      <c r="A24" s="1958" t="s">
        <v>877</v>
      </c>
      <c r="B24" s="1958">
        <v>187</v>
      </c>
      <c r="C24" s="1958">
        <v>2023</v>
      </c>
      <c r="D24" s="1958">
        <v>12</v>
      </c>
      <c r="E24" s="1958">
        <v>23</v>
      </c>
      <c r="F24" s="1958">
        <v>0</v>
      </c>
      <c r="G24" s="1958" t="s">
        <v>1385</v>
      </c>
      <c r="H24" s="1958">
        <v>1241772</v>
      </c>
      <c r="I24" s="1958">
        <v>1977642</v>
      </c>
      <c r="J24" s="1969">
        <v>186407</v>
      </c>
      <c r="K24" s="1958">
        <v>2561625</v>
      </c>
      <c r="L24" s="1968">
        <f t="shared" si="0"/>
        <v>657789</v>
      </c>
      <c r="N24" s="1959"/>
    </row>
    <row r="25" spans="1:14">
      <c r="A25" s="1958" t="s">
        <v>877</v>
      </c>
      <c r="B25" s="1958">
        <v>187</v>
      </c>
      <c r="C25" s="1958">
        <v>2023</v>
      </c>
      <c r="D25" s="1958">
        <v>12</v>
      </c>
      <c r="E25" s="1958">
        <v>24</v>
      </c>
      <c r="F25" s="1958">
        <v>0</v>
      </c>
      <c r="G25" s="1958" t="s">
        <v>1384</v>
      </c>
      <c r="H25" s="1958">
        <v>699119</v>
      </c>
      <c r="I25" s="1958">
        <v>0</v>
      </c>
      <c r="J25" s="1967" t="s">
        <v>1368</v>
      </c>
      <c r="K25" s="1958">
        <v>116520</v>
      </c>
      <c r="L25" s="1968">
        <f t="shared" si="0"/>
        <v>582599</v>
      </c>
      <c r="N25" s="1959"/>
    </row>
    <row r="26" spans="1:14">
      <c r="A26" s="1958" t="s">
        <v>877</v>
      </c>
      <c r="B26" s="1958">
        <v>187</v>
      </c>
      <c r="C26" s="1958">
        <v>2023</v>
      </c>
      <c r="D26" s="1958">
        <v>12</v>
      </c>
      <c r="E26" s="1958">
        <v>25</v>
      </c>
      <c r="F26" s="1958">
        <v>0</v>
      </c>
      <c r="G26" s="1958" t="s">
        <v>1383</v>
      </c>
      <c r="H26" s="1958">
        <v>628249</v>
      </c>
      <c r="I26" s="1958">
        <v>12664</v>
      </c>
      <c r="J26" s="1967" t="s">
        <v>1370</v>
      </c>
      <c r="K26" s="1958">
        <v>630849</v>
      </c>
      <c r="L26" s="1968">
        <f t="shared" si="0"/>
        <v>10064</v>
      </c>
      <c r="N26" s="1959"/>
    </row>
    <row r="27" spans="1:14">
      <c r="A27" s="1958" t="s">
        <v>877</v>
      </c>
      <c r="B27" s="1958">
        <v>187</v>
      </c>
      <c r="C27" s="1958">
        <v>2023</v>
      </c>
      <c r="D27" s="1958">
        <v>12</v>
      </c>
      <c r="E27" s="1958">
        <v>26</v>
      </c>
      <c r="F27" s="1958">
        <v>0</v>
      </c>
      <c r="G27" s="1958" t="s">
        <v>1382</v>
      </c>
      <c r="H27" s="1958">
        <v>18186521</v>
      </c>
      <c r="I27" s="1958">
        <v>11788958</v>
      </c>
      <c r="J27" s="1967">
        <v>182</v>
      </c>
      <c r="K27" s="1958">
        <v>6238024</v>
      </c>
      <c r="L27" s="1968">
        <f t="shared" si="0"/>
        <v>23737455</v>
      </c>
      <c r="N27" s="1959"/>
    </row>
    <row r="28" spans="1:14">
      <c r="A28" s="1958" t="s">
        <v>877</v>
      </c>
      <c r="B28" s="1958">
        <v>187</v>
      </c>
      <c r="C28" s="1958">
        <v>2023</v>
      </c>
      <c r="D28" s="1958">
        <v>12</v>
      </c>
      <c r="E28" s="1958">
        <v>27</v>
      </c>
      <c r="F28" s="1958">
        <v>0</v>
      </c>
      <c r="G28" s="1958" t="s">
        <v>1381</v>
      </c>
      <c r="H28" s="1958">
        <v>1874781</v>
      </c>
      <c r="I28" s="1958">
        <v>2238354</v>
      </c>
      <c r="J28" s="1967" t="s">
        <v>1368</v>
      </c>
      <c r="K28" s="1958">
        <v>2094878</v>
      </c>
      <c r="L28" s="1968">
        <f t="shared" si="0"/>
        <v>2018257</v>
      </c>
      <c r="N28" s="1959"/>
    </row>
    <row r="29" spans="1:14">
      <c r="A29" s="1958" t="s">
        <v>877</v>
      </c>
      <c r="B29" s="1958">
        <v>187</v>
      </c>
      <c r="C29" s="1958">
        <v>2023</v>
      </c>
      <c r="D29" s="1958">
        <v>12</v>
      </c>
      <c r="E29" s="1958">
        <v>28</v>
      </c>
      <c r="F29" s="1958">
        <v>0</v>
      </c>
      <c r="G29" s="1958" t="s">
        <v>1380</v>
      </c>
      <c r="H29" s="1958">
        <v>138273552</v>
      </c>
      <c r="I29" s="1958">
        <v>9853657</v>
      </c>
      <c r="J29" s="1967" t="s">
        <v>1379</v>
      </c>
      <c r="K29" s="1958">
        <v>2958003</v>
      </c>
      <c r="L29" s="1968">
        <f t="shared" si="0"/>
        <v>145169206</v>
      </c>
      <c r="N29" s="1959"/>
    </row>
    <row r="30" spans="1:14">
      <c r="A30" s="1958" t="s">
        <v>877</v>
      </c>
      <c r="B30" s="1958">
        <v>187</v>
      </c>
      <c r="C30" s="1958">
        <v>2023</v>
      </c>
      <c r="D30" s="1958">
        <v>12</v>
      </c>
      <c r="E30" s="1958">
        <v>29</v>
      </c>
      <c r="F30" s="1958">
        <v>0</v>
      </c>
      <c r="G30" s="1958" t="s">
        <v>1378</v>
      </c>
      <c r="H30" s="1958">
        <v>0</v>
      </c>
      <c r="I30" s="1958">
        <v>307699</v>
      </c>
      <c r="J30" s="1967">
        <v>182</v>
      </c>
      <c r="K30" s="1958">
        <v>201760</v>
      </c>
      <c r="L30" s="1968">
        <f t="shared" si="0"/>
        <v>105939</v>
      </c>
      <c r="N30" s="1959"/>
    </row>
    <row r="31" spans="1:14">
      <c r="A31" s="1958" t="s">
        <v>877</v>
      </c>
      <c r="B31" s="1958">
        <v>187</v>
      </c>
      <c r="C31" s="1958">
        <v>2023</v>
      </c>
      <c r="D31" s="1958">
        <v>12</v>
      </c>
      <c r="E31" s="1958">
        <v>30</v>
      </c>
      <c r="F31" s="1958">
        <v>0</v>
      </c>
      <c r="G31" s="1958" t="s">
        <v>1377</v>
      </c>
      <c r="H31" s="1958">
        <v>1492610</v>
      </c>
      <c r="I31" s="1958">
        <v>0</v>
      </c>
      <c r="J31" s="1967">
        <v>143</v>
      </c>
      <c r="K31" s="1958">
        <v>1492610</v>
      </c>
      <c r="L31" s="1968">
        <f t="shared" si="0"/>
        <v>0</v>
      </c>
      <c r="N31" s="1959"/>
    </row>
    <row r="32" spans="1:14">
      <c r="A32" s="1958" t="s">
        <v>877</v>
      </c>
      <c r="B32" s="1958">
        <v>187</v>
      </c>
      <c r="C32" s="1958">
        <v>2023</v>
      </c>
      <c r="D32" s="1958">
        <v>12</v>
      </c>
      <c r="E32" s="1958">
        <v>31</v>
      </c>
      <c r="F32" s="1958">
        <v>0</v>
      </c>
      <c r="G32" s="1958" t="s">
        <v>1376</v>
      </c>
      <c r="H32" s="1958">
        <v>130274212</v>
      </c>
      <c r="I32" s="1958">
        <v>272303368</v>
      </c>
      <c r="J32" s="1967" t="s">
        <v>1375</v>
      </c>
      <c r="K32" s="1958">
        <v>333438131</v>
      </c>
      <c r="L32" s="1968">
        <f t="shared" si="0"/>
        <v>69139449</v>
      </c>
      <c r="N32" s="1959"/>
    </row>
    <row r="33" spans="1:14">
      <c r="A33" s="1958" t="s">
        <v>877</v>
      </c>
      <c r="B33" s="1958">
        <v>187</v>
      </c>
      <c r="C33" s="1958">
        <v>2023</v>
      </c>
      <c r="D33" s="1958">
        <v>12</v>
      </c>
      <c r="E33" s="1958">
        <v>32</v>
      </c>
      <c r="F33" s="1958">
        <v>0</v>
      </c>
      <c r="G33" s="1958" t="s">
        <v>1374</v>
      </c>
      <c r="H33" s="1958">
        <v>219732</v>
      </c>
      <c r="I33" s="1958">
        <v>1817222</v>
      </c>
      <c r="J33" s="1969">
        <v>182908</v>
      </c>
      <c r="K33" s="1958">
        <v>735954</v>
      </c>
      <c r="L33" s="1968">
        <f t="shared" si="0"/>
        <v>1301000</v>
      </c>
      <c r="N33" s="1959"/>
    </row>
    <row r="34" spans="1:14">
      <c r="A34" s="1958" t="s">
        <v>877</v>
      </c>
      <c r="B34" s="1958">
        <v>187</v>
      </c>
      <c r="C34" s="1958">
        <v>2023</v>
      </c>
      <c r="D34" s="1958">
        <v>12</v>
      </c>
      <c r="E34" s="1958">
        <v>33</v>
      </c>
      <c r="F34" s="1958">
        <v>0</v>
      </c>
      <c r="G34" s="1958" t="s">
        <v>1373</v>
      </c>
      <c r="H34" s="1958">
        <v>0</v>
      </c>
      <c r="I34" s="1958">
        <v>411192</v>
      </c>
      <c r="J34" s="1967" t="s">
        <v>1368</v>
      </c>
      <c r="K34" s="1958">
        <v>122403</v>
      </c>
      <c r="L34" s="1968">
        <f t="shared" si="0"/>
        <v>288789</v>
      </c>
      <c r="N34" s="1959"/>
    </row>
    <row r="35" spans="1:14">
      <c r="A35" s="1958" t="s">
        <v>877</v>
      </c>
      <c r="B35" s="1958">
        <v>187</v>
      </c>
      <c r="C35" s="1958">
        <v>2023</v>
      </c>
      <c r="D35" s="1958">
        <v>12</v>
      </c>
      <c r="E35" s="1958">
        <v>34</v>
      </c>
      <c r="F35" s="1958">
        <v>0</v>
      </c>
      <c r="G35" s="1958" t="s">
        <v>1372</v>
      </c>
      <c r="H35" s="1958">
        <v>0</v>
      </c>
      <c r="I35" s="1958">
        <v>594833</v>
      </c>
      <c r="J35" s="1967" t="s">
        <v>728</v>
      </c>
      <c r="K35" s="1958">
        <v>0</v>
      </c>
      <c r="L35" s="1968">
        <f t="shared" si="0"/>
        <v>594833</v>
      </c>
      <c r="N35" s="1959"/>
    </row>
    <row r="36" spans="1:14">
      <c r="A36" s="1958" t="s">
        <v>877</v>
      </c>
      <c r="B36" s="1958">
        <v>187</v>
      </c>
      <c r="C36" s="1958">
        <v>2023</v>
      </c>
      <c r="D36" s="1958">
        <v>12</v>
      </c>
      <c r="E36" s="1958">
        <v>35</v>
      </c>
      <c r="F36" s="1958">
        <v>0</v>
      </c>
      <c r="G36" s="1958" t="s">
        <v>1371</v>
      </c>
      <c r="H36" s="1958">
        <v>98368</v>
      </c>
      <c r="I36" s="1958">
        <v>2471646</v>
      </c>
      <c r="J36" s="1967" t="s">
        <v>1370</v>
      </c>
      <c r="K36" s="1958">
        <v>654598</v>
      </c>
      <c r="L36" s="1968">
        <f t="shared" si="0"/>
        <v>1915416</v>
      </c>
      <c r="N36" s="1959"/>
    </row>
    <row r="37" spans="1:14">
      <c r="A37" s="1958" t="s">
        <v>877</v>
      </c>
      <c r="B37" s="1958">
        <v>187</v>
      </c>
      <c r="C37" s="1958">
        <v>2023</v>
      </c>
      <c r="D37" s="1958">
        <v>12</v>
      </c>
      <c r="E37" s="1958">
        <v>36</v>
      </c>
      <c r="F37" s="1958">
        <v>0</v>
      </c>
      <c r="G37" s="1958" t="s">
        <v>1369</v>
      </c>
      <c r="H37" s="1958">
        <v>11827588</v>
      </c>
      <c r="I37" s="1958">
        <v>0</v>
      </c>
      <c r="J37" s="1967" t="s">
        <v>1368</v>
      </c>
      <c r="K37" s="1958">
        <v>985632</v>
      </c>
      <c r="L37" s="1968">
        <f t="shared" si="0"/>
        <v>10841956</v>
      </c>
      <c r="N37" s="1959"/>
    </row>
    <row r="38" spans="1:14">
      <c r="A38" s="1958" t="s">
        <v>877</v>
      </c>
      <c r="B38" s="1958">
        <v>187</v>
      </c>
      <c r="C38" s="1958">
        <v>2023</v>
      </c>
      <c r="D38" s="1958">
        <v>12</v>
      </c>
      <c r="E38" s="1958">
        <v>37</v>
      </c>
      <c r="F38" s="1958">
        <v>0</v>
      </c>
      <c r="G38" s="1958" t="s">
        <v>1367</v>
      </c>
      <c r="H38" s="1958">
        <v>0</v>
      </c>
      <c r="I38" s="1958">
        <v>46022329</v>
      </c>
      <c r="J38" s="1967">
        <v>407</v>
      </c>
      <c r="K38" s="1958">
        <v>0</v>
      </c>
      <c r="L38" s="1968">
        <f t="shared" si="0"/>
        <v>46022329</v>
      </c>
      <c r="N38" s="1959"/>
    </row>
    <row r="39" spans="1:14">
      <c r="A39" s="1958" t="s">
        <v>877</v>
      </c>
      <c r="B39" s="1958">
        <v>187</v>
      </c>
      <c r="C39" s="1958">
        <v>2023</v>
      </c>
      <c r="D39" s="1958">
        <v>12</v>
      </c>
      <c r="E39" s="1958">
        <v>38</v>
      </c>
      <c r="F39" s="1958">
        <v>0</v>
      </c>
      <c r="G39" s="1958" t="s">
        <v>1366</v>
      </c>
      <c r="H39" s="1958">
        <v>0</v>
      </c>
      <c r="I39" s="1958">
        <v>38639584</v>
      </c>
      <c r="J39" s="1967" t="s">
        <v>1365</v>
      </c>
      <c r="K39" s="1958">
        <v>13161287</v>
      </c>
      <c r="L39" s="1968">
        <f t="shared" si="0"/>
        <v>25478297</v>
      </c>
      <c r="N39" s="1959"/>
    </row>
    <row r="40" spans="1:14">
      <c r="A40" s="1958" t="s">
        <v>877</v>
      </c>
      <c r="B40" s="1958">
        <v>187</v>
      </c>
      <c r="C40" s="1958">
        <v>2023</v>
      </c>
      <c r="D40" s="1958">
        <v>12</v>
      </c>
      <c r="E40" s="1958">
        <v>39</v>
      </c>
      <c r="F40" s="1958">
        <v>0</v>
      </c>
      <c r="G40" s="1958" t="s">
        <v>1364</v>
      </c>
      <c r="H40" s="1958">
        <v>0</v>
      </c>
      <c r="I40" s="1958">
        <v>1613960</v>
      </c>
      <c r="K40" s="1958">
        <v>0</v>
      </c>
      <c r="L40" s="1968">
        <f t="shared" si="0"/>
        <v>1613960</v>
      </c>
      <c r="N40" s="1959"/>
    </row>
    <row r="41" spans="1:14">
      <c r="A41" s="1958" t="s">
        <v>877</v>
      </c>
      <c r="B41" s="1958">
        <v>187</v>
      </c>
      <c r="C41" s="1958">
        <v>2023</v>
      </c>
      <c r="D41" s="1958">
        <v>12</v>
      </c>
      <c r="E41" s="1958">
        <v>40</v>
      </c>
      <c r="F41" s="1958">
        <v>0</v>
      </c>
      <c r="G41" s="1958" t="s">
        <v>1363</v>
      </c>
      <c r="H41" s="1958">
        <v>0</v>
      </c>
      <c r="I41" s="1958">
        <v>511800</v>
      </c>
      <c r="J41" s="1967" t="s">
        <v>728</v>
      </c>
      <c r="K41" s="1958">
        <v>0</v>
      </c>
      <c r="L41" s="1968">
        <f t="shared" si="0"/>
        <v>511800</v>
      </c>
      <c r="N41" s="1959"/>
    </row>
    <row r="42" spans="1:14">
      <c r="A42" s="1958" t="s">
        <v>877</v>
      </c>
      <c r="B42" s="1958">
        <v>187</v>
      </c>
      <c r="C42" s="1958">
        <v>2023</v>
      </c>
      <c r="D42" s="1958">
        <v>12</v>
      </c>
      <c r="E42" s="1958">
        <v>41</v>
      </c>
      <c r="F42" s="1958">
        <v>0</v>
      </c>
      <c r="G42" s="1958" t="s">
        <v>1362</v>
      </c>
      <c r="H42" s="1958">
        <v>0</v>
      </c>
      <c r="I42" s="1958">
        <v>25000</v>
      </c>
      <c r="J42" s="1967" t="s">
        <v>728</v>
      </c>
      <c r="K42" s="1958">
        <v>0</v>
      </c>
      <c r="L42" s="1968">
        <f t="shared" si="0"/>
        <v>25000</v>
      </c>
      <c r="N42" s="1959"/>
    </row>
    <row r="43" spans="1:14">
      <c r="A43" s="1958" t="s">
        <v>877</v>
      </c>
      <c r="B43" s="1958">
        <v>187</v>
      </c>
      <c r="C43" s="1958">
        <v>2023</v>
      </c>
      <c r="D43" s="1958">
        <v>12</v>
      </c>
      <c r="E43" s="1958">
        <v>42</v>
      </c>
      <c r="F43" s="1958">
        <v>0</v>
      </c>
      <c r="G43" s="1958" t="s">
        <v>728</v>
      </c>
      <c r="H43" s="1958">
        <v>0</v>
      </c>
      <c r="I43" s="1958">
        <v>0</v>
      </c>
      <c r="J43" s="1967" t="s">
        <v>728</v>
      </c>
      <c r="K43" s="1958">
        <v>0</v>
      </c>
      <c r="L43" s="1968">
        <f t="shared" si="0"/>
        <v>0</v>
      </c>
      <c r="N43" s="1959"/>
    </row>
    <row r="44" spans="1:14">
      <c r="A44" s="1958" t="s">
        <v>877</v>
      </c>
      <c r="B44" s="1958">
        <v>187</v>
      </c>
      <c r="C44" s="1958">
        <v>2023</v>
      </c>
      <c r="D44" s="1958">
        <v>12</v>
      </c>
      <c r="E44" s="1958">
        <v>43</v>
      </c>
      <c r="F44" s="1958">
        <v>0</v>
      </c>
      <c r="G44" s="1958" t="s">
        <v>728</v>
      </c>
      <c r="H44" s="1958">
        <v>0</v>
      </c>
      <c r="I44" s="1958">
        <v>0</v>
      </c>
      <c r="J44" s="1967" t="s">
        <v>728</v>
      </c>
      <c r="K44" s="1958">
        <v>0</v>
      </c>
      <c r="L44" s="1968">
        <f t="shared" si="0"/>
        <v>0</v>
      </c>
      <c r="N44" s="1959"/>
    </row>
    <row r="45" spans="1:14">
      <c r="G45" s="1958" t="s">
        <v>1361</v>
      </c>
      <c r="H45" s="1958">
        <f>SUM(H2:H44)</f>
        <v>912434228</v>
      </c>
      <c r="I45" s="1958">
        <f>SUM(I2:I44)</f>
        <v>496482724</v>
      </c>
      <c r="K45" s="1958">
        <f>SUM(K2:K44)</f>
        <v>510724845</v>
      </c>
      <c r="L45" s="1959">
        <f>SUM(L2:L44)</f>
        <v>898192107</v>
      </c>
      <c r="N45" s="1959"/>
    </row>
    <row r="46" spans="1:14">
      <c r="H46" s="1958">
        <v>-912434228</v>
      </c>
      <c r="I46" s="1958">
        <v>-496482724</v>
      </c>
      <c r="K46" s="1958">
        <v>-510724845</v>
      </c>
      <c r="L46" s="1958">
        <v>-898192107</v>
      </c>
    </row>
  </sheetData>
  <pageMargins left="0.75" right="0.75" top="1" bottom="1" header="0.5" footer="0.5"/>
  <pageSetup orientation="portrait" r:id="rId1"/>
  <customProperties>
    <customPr name="xxe4aPID" r:id="rId2"/>
  </customPropertie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F75DE-FB0D-4B74-A5AC-F3F13A22A229}">
  <sheetPr codeName="Sheet53">
    <tabColor rgb="FF92D050"/>
  </sheetPr>
  <dimension ref="A1:Q47"/>
  <sheetViews>
    <sheetView workbookViewId="0">
      <selection activeCell="D400" sqref="D400"/>
    </sheetView>
  </sheetViews>
  <sheetFormatPr defaultColWidth="9" defaultRowHeight="12.75"/>
  <cols>
    <col min="1" max="7" width="9" style="1958"/>
    <col min="8" max="8" width="26.25" style="1958" bestFit="1" customWidth="1"/>
    <col min="9" max="9" width="11.875" style="1962" bestFit="1" customWidth="1"/>
    <col min="10" max="10" width="26.25" style="1958" bestFit="1" customWidth="1"/>
    <col min="11" max="11" width="9.25" style="1962" bestFit="1" customWidth="1"/>
    <col min="12" max="12" width="9.125" style="1962" bestFit="1" customWidth="1"/>
    <col min="13" max="13" width="10.125" style="1962" bestFit="1" customWidth="1"/>
    <col min="14" max="14" width="8.75" style="1958" bestFit="1" customWidth="1"/>
    <col min="15" max="16384" width="9" style="1958"/>
  </cols>
  <sheetData>
    <row r="1" spans="1:17">
      <c r="A1" s="1958" t="s">
        <v>984</v>
      </c>
      <c r="B1" s="1958" t="s">
        <v>983</v>
      </c>
      <c r="C1" s="1958" t="s">
        <v>982</v>
      </c>
      <c r="D1" s="1958" t="s">
        <v>981</v>
      </c>
      <c r="E1" s="1958" t="s">
        <v>980</v>
      </c>
      <c r="F1" s="1958" t="s">
        <v>979</v>
      </c>
      <c r="G1" s="1958" t="s">
        <v>1159</v>
      </c>
      <c r="H1" s="1958" t="s">
        <v>1484</v>
      </c>
      <c r="I1" s="1962" t="s">
        <v>1224</v>
      </c>
      <c r="K1" s="1962" t="s">
        <v>1419</v>
      </c>
      <c r="L1" s="1962" t="s">
        <v>1418</v>
      </c>
      <c r="M1" s="1962" t="s">
        <v>1417</v>
      </c>
      <c r="N1" s="1958" t="s">
        <v>1220</v>
      </c>
    </row>
    <row r="2" spans="1:17">
      <c r="A2" s="1958" t="s">
        <v>877</v>
      </c>
      <c r="B2" s="1958">
        <v>187</v>
      </c>
      <c r="C2" s="1958">
        <v>2019</v>
      </c>
      <c r="D2" s="1958">
        <v>12</v>
      </c>
      <c r="E2" s="1958">
        <v>1</v>
      </c>
      <c r="F2" s="1958">
        <v>0</v>
      </c>
      <c r="G2" s="1958" t="s">
        <v>1483</v>
      </c>
      <c r="H2" s="1958" t="s">
        <v>1482</v>
      </c>
      <c r="I2" s="1962">
        <v>3422093</v>
      </c>
      <c r="J2" s="1958" t="str">
        <f t="shared" ref="J2:J16" si="0">H2</f>
        <v>Reg Asset - Battery Storage</v>
      </c>
      <c r="K2" s="1962">
        <v>0</v>
      </c>
      <c r="L2" s="1962">
        <v>0</v>
      </c>
      <c r="M2" s="1962">
        <v>0</v>
      </c>
      <c r="N2" s="1958">
        <f>SUM(I2+K2+L2-M2)</f>
        <v>3422093</v>
      </c>
      <c r="P2" s="1958">
        <v>3422093</v>
      </c>
      <c r="Q2" s="1958">
        <f t="shared" ref="Q2:Q14" si="1">N2-P2</f>
        <v>0</v>
      </c>
    </row>
    <row r="3" spans="1:17">
      <c r="A3" s="1958" t="s">
        <v>877</v>
      </c>
      <c r="B3" s="1958">
        <v>187</v>
      </c>
      <c r="C3" s="1958">
        <v>2019</v>
      </c>
      <c r="D3" s="1958">
        <v>12</v>
      </c>
      <c r="E3" s="1958">
        <v>2</v>
      </c>
      <c r="F3" s="1958">
        <v>0</v>
      </c>
      <c r="G3" s="1958" t="s">
        <v>1481</v>
      </c>
      <c r="H3" s="1958" t="s">
        <v>1480</v>
      </c>
      <c r="I3" s="1962">
        <v>2344921</v>
      </c>
      <c r="J3" s="1958" t="str">
        <f t="shared" si="0"/>
        <v>Plant Alloc of Clearing Journal</v>
      </c>
      <c r="K3" s="1962">
        <v>3863077</v>
      </c>
      <c r="L3" s="1962">
        <v>0</v>
      </c>
      <c r="M3" s="1962">
        <v>0</v>
      </c>
      <c r="N3" s="1958">
        <f>SUM(I3+K3+L3-M3)</f>
        <v>6207998</v>
      </c>
      <c r="P3" s="1958">
        <v>6207998</v>
      </c>
      <c r="Q3" s="1958">
        <f t="shared" si="1"/>
        <v>0</v>
      </c>
    </row>
    <row r="4" spans="1:17">
      <c r="A4" s="1958" t="s">
        <v>877</v>
      </c>
      <c r="B4" s="1958">
        <v>187</v>
      </c>
      <c r="C4" s="1958">
        <v>2019</v>
      </c>
      <c r="D4" s="1958">
        <v>12</v>
      </c>
      <c r="E4" s="1958">
        <v>3</v>
      </c>
      <c r="F4" s="1958">
        <v>0</v>
      </c>
      <c r="G4" s="1958" t="s">
        <v>1479</v>
      </c>
      <c r="H4" s="1958" t="s">
        <v>1478</v>
      </c>
      <c r="I4" s="1962">
        <v>35799197</v>
      </c>
      <c r="J4" s="1958" t="str">
        <f t="shared" si="0"/>
        <v>Reg Asset - ERM</v>
      </c>
      <c r="K4" s="1962">
        <v>0</v>
      </c>
      <c r="L4" s="1962" t="s">
        <v>1455</v>
      </c>
      <c r="M4" s="1962">
        <v>23638534</v>
      </c>
      <c r="N4" s="1958">
        <v>12160663</v>
      </c>
      <c r="P4" s="1958">
        <v>12160663</v>
      </c>
      <c r="Q4" s="1958">
        <f t="shared" si="1"/>
        <v>0</v>
      </c>
    </row>
    <row r="5" spans="1:17">
      <c r="A5" s="1958" t="s">
        <v>877</v>
      </c>
      <c r="B5" s="1958">
        <v>187</v>
      </c>
      <c r="C5" s="1958">
        <v>2019</v>
      </c>
      <c r="D5" s="1958">
        <v>12</v>
      </c>
      <c r="E5" s="1958">
        <v>4</v>
      </c>
      <c r="F5" s="1958">
        <v>0</v>
      </c>
      <c r="G5" s="1958" t="s">
        <v>1477</v>
      </c>
      <c r="H5" s="1958" t="s">
        <v>1476</v>
      </c>
      <c r="I5" s="1962">
        <v>0</v>
      </c>
      <c r="J5" s="1958" t="str">
        <f t="shared" si="0"/>
        <v>WA REC Deferral</v>
      </c>
      <c r="K5" s="1962">
        <v>412639</v>
      </c>
      <c r="L5" s="1962" t="s">
        <v>728</v>
      </c>
      <c r="M5" s="1962">
        <v>0</v>
      </c>
      <c r="N5" s="1962">
        <v>412639</v>
      </c>
      <c r="P5" s="1958">
        <v>412639</v>
      </c>
      <c r="Q5" s="1958">
        <f t="shared" si="1"/>
        <v>0</v>
      </c>
    </row>
    <row r="6" spans="1:17">
      <c r="A6" s="1958" t="s">
        <v>877</v>
      </c>
      <c r="B6" s="1958">
        <v>187</v>
      </c>
      <c r="C6" s="1958">
        <v>2019</v>
      </c>
      <c r="D6" s="1958">
        <v>12</v>
      </c>
      <c r="E6" s="1958">
        <v>5</v>
      </c>
      <c r="F6" s="1958">
        <v>0</v>
      </c>
      <c r="G6" s="1958" t="s">
        <v>1475</v>
      </c>
      <c r="H6" s="1958" t="s">
        <v>1474</v>
      </c>
      <c r="I6" s="1962">
        <v>4458589</v>
      </c>
      <c r="J6" s="1958" t="str">
        <f t="shared" si="0"/>
        <v>Reg Asset - Decoupling Deferred</v>
      </c>
      <c r="K6" s="1962">
        <v>4653520</v>
      </c>
      <c r="L6" s="1962" t="s">
        <v>728</v>
      </c>
      <c r="M6" s="1962">
        <v>0</v>
      </c>
      <c r="N6" s="1962">
        <v>9112109</v>
      </c>
      <c r="P6" s="1958">
        <v>9112109</v>
      </c>
      <c r="Q6" s="1958">
        <f t="shared" si="1"/>
        <v>0</v>
      </c>
    </row>
    <row r="7" spans="1:17">
      <c r="A7" s="1958" t="s">
        <v>877</v>
      </c>
      <c r="B7" s="1958">
        <v>187</v>
      </c>
      <c r="C7" s="1958">
        <v>2019</v>
      </c>
      <c r="D7" s="1958">
        <v>12</v>
      </c>
      <c r="E7" s="1958">
        <v>6</v>
      </c>
      <c r="F7" s="1958">
        <v>0</v>
      </c>
      <c r="G7" s="1958" t="s">
        <v>1473</v>
      </c>
      <c r="H7" s="1958" t="s">
        <v>1472</v>
      </c>
      <c r="I7" s="1962">
        <v>8551568</v>
      </c>
      <c r="J7" s="1958" t="str">
        <f t="shared" si="0"/>
        <v>Reg Asset - COVID 19 Deferral</v>
      </c>
      <c r="K7" s="1962">
        <v>2932987</v>
      </c>
      <c r="L7" s="1962" t="s">
        <v>728</v>
      </c>
      <c r="M7" s="1962">
        <v>0</v>
      </c>
      <c r="N7" s="1962">
        <f>SUM(K7,I7)</f>
        <v>11484555</v>
      </c>
      <c r="P7" s="1958">
        <v>11484555</v>
      </c>
      <c r="Q7" s="1958">
        <f t="shared" si="1"/>
        <v>0</v>
      </c>
    </row>
    <row r="8" spans="1:17">
      <c r="A8" s="1958" t="s">
        <v>877</v>
      </c>
      <c r="B8" s="1958">
        <v>187</v>
      </c>
      <c r="C8" s="1958">
        <v>2019</v>
      </c>
      <c r="D8" s="1958">
        <v>12</v>
      </c>
      <c r="E8" s="1958">
        <v>7</v>
      </c>
      <c r="F8" s="1958">
        <v>0</v>
      </c>
      <c r="G8" s="1958" t="s">
        <v>1471</v>
      </c>
      <c r="H8" s="1958" t="s">
        <v>1470</v>
      </c>
      <c r="I8" s="1962">
        <v>67334</v>
      </c>
      <c r="J8" s="1958" t="str">
        <f t="shared" si="0"/>
        <v>Reg Asset - CEIP</v>
      </c>
      <c r="K8" s="1962">
        <v>965873</v>
      </c>
      <c r="L8" s="1962" t="s">
        <v>728</v>
      </c>
      <c r="M8" s="1962">
        <v>0</v>
      </c>
      <c r="N8" s="1958">
        <v>1033207</v>
      </c>
      <c r="P8" s="1958">
        <v>1033207</v>
      </c>
      <c r="Q8" s="1958">
        <f t="shared" si="1"/>
        <v>0</v>
      </c>
    </row>
    <row r="9" spans="1:17">
      <c r="A9" s="1958" t="s">
        <v>877</v>
      </c>
      <c r="B9" s="1958">
        <v>187</v>
      </c>
      <c r="C9" s="1958">
        <v>2019</v>
      </c>
      <c r="D9" s="1958">
        <v>12</v>
      </c>
      <c r="E9" s="1958">
        <v>8</v>
      </c>
      <c r="F9" s="1958">
        <v>0</v>
      </c>
      <c r="G9" s="1958" t="s">
        <v>1469</v>
      </c>
      <c r="H9" s="1958" t="s">
        <v>1468</v>
      </c>
      <c r="I9" s="1962">
        <v>0</v>
      </c>
      <c r="J9" s="1958" t="str">
        <f t="shared" si="0"/>
        <v>Reg Asset - Williams Outage</v>
      </c>
      <c r="K9" s="1962">
        <v>10297716</v>
      </c>
      <c r="M9" s="1962">
        <v>0</v>
      </c>
      <c r="N9" s="1958">
        <f>SUM(I9+K9+L9-M9)</f>
        <v>10297716</v>
      </c>
      <c r="P9" s="1958">
        <v>10297716</v>
      </c>
      <c r="Q9" s="1958">
        <f t="shared" si="1"/>
        <v>0</v>
      </c>
    </row>
    <row r="10" spans="1:17">
      <c r="A10" s="1958" t="s">
        <v>877</v>
      </c>
      <c r="B10" s="1958">
        <v>187</v>
      </c>
      <c r="C10" s="1958">
        <v>2019</v>
      </c>
      <c r="D10" s="1958">
        <v>12</v>
      </c>
      <c r="E10" s="1958">
        <v>9</v>
      </c>
      <c r="F10" s="1958">
        <v>0</v>
      </c>
      <c r="G10" s="1958" t="s">
        <v>1467</v>
      </c>
      <c r="H10" s="1958" t="s">
        <v>1466</v>
      </c>
      <c r="I10" s="1962">
        <v>13381750</v>
      </c>
      <c r="J10" s="1958" t="str">
        <f t="shared" si="0"/>
        <v>Misc Deferred Debits - Pension</v>
      </c>
      <c r="K10" s="1962">
        <v>19622239</v>
      </c>
      <c r="L10" s="1962">
        <v>0</v>
      </c>
      <c r="M10" s="1962">
        <v>0</v>
      </c>
      <c r="N10" s="1958">
        <f>SUM(I10+K10+L10-M10)</f>
        <v>33003989</v>
      </c>
      <c r="P10" s="1958">
        <v>33003989</v>
      </c>
      <c r="Q10" s="1958">
        <f t="shared" si="1"/>
        <v>0</v>
      </c>
    </row>
    <row r="11" spans="1:17">
      <c r="A11" s="1958" t="s">
        <v>877</v>
      </c>
      <c r="B11" s="1958">
        <v>187</v>
      </c>
      <c r="C11" s="1958">
        <v>2019</v>
      </c>
      <c r="D11" s="1958">
        <v>12</v>
      </c>
      <c r="E11" s="1958">
        <v>10</v>
      </c>
      <c r="F11" s="1958">
        <v>0</v>
      </c>
      <c r="G11" s="1958" t="s">
        <v>1465</v>
      </c>
      <c r="H11" s="1958" t="s">
        <v>1464</v>
      </c>
      <c r="I11" s="1962">
        <v>108749</v>
      </c>
      <c r="J11" s="1958" t="str">
        <f t="shared" si="0"/>
        <v>Nez Perce Settlement</v>
      </c>
      <c r="K11" s="1962">
        <v>0</v>
      </c>
      <c r="L11" s="1962">
        <v>557</v>
      </c>
      <c r="M11" s="1962">
        <v>5188</v>
      </c>
      <c r="N11" s="1962">
        <f t="shared" ref="N11:N23" si="2">SUM(I11+K11-M11)</f>
        <v>103561</v>
      </c>
      <c r="P11" s="1958">
        <v>103561</v>
      </c>
      <c r="Q11" s="1958">
        <f t="shared" si="1"/>
        <v>0</v>
      </c>
    </row>
    <row r="12" spans="1:17">
      <c r="A12" s="1958" t="s">
        <v>877</v>
      </c>
      <c r="B12" s="1958">
        <v>187</v>
      </c>
      <c r="C12" s="1958">
        <v>2019</v>
      </c>
      <c r="D12" s="1958">
        <v>12</v>
      </c>
      <c r="E12" s="1958">
        <v>11</v>
      </c>
      <c r="F12" s="1958">
        <v>0</v>
      </c>
      <c r="G12" s="1958" t="s">
        <v>1463</v>
      </c>
      <c r="H12" s="1958" t="s">
        <v>1462</v>
      </c>
      <c r="I12" s="1962">
        <v>0</v>
      </c>
      <c r="J12" s="1958" t="str">
        <f t="shared" si="0"/>
        <v>City of Post Falls Lease Pay</v>
      </c>
      <c r="K12" s="1962">
        <v>126851</v>
      </c>
      <c r="L12" s="1962" t="s">
        <v>728</v>
      </c>
      <c r="M12" s="1962">
        <v>0</v>
      </c>
      <c r="N12" s="1962">
        <f t="shared" si="2"/>
        <v>126851</v>
      </c>
      <c r="P12" s="1958">
        <v>126851</v>
      </c>
      <c r="Q12" s="1958">
        <f t="shared" si="1"/>
        <v>0</v>
      </c>
    </row>
    <row r="13" spans="1:17">
      <c r="A13" s="1958" t="s">
        <v>877</v>
      </c>
      <c r="B13" s="1958">
        <v>187</v>
      </c>
      <c r="C13" s="1958">
        <v>2019</v>
      </c>
      <c r="D13" s="1958">
        <v>12</v>
      </c>
      <c r="E13" s="1958">
        <v>12</v>
      </c>
      <c r="F13" s="1958">
        <v>0</v>
      </c>
      <c r="G13" s="1958" t="s">
        <v>1461</v>
      </c>
      <c r="H13" s="1958" t="s">
        <v>1460</v>
      </c>
      <c r="I13" s="1962">
        <v>99929</v>
      </c>
      <c r="J13" s="1958" t="str">
        <f t="shared" si="0"/>
        <v>Post Falls HED Project 63</v>
      </c>
      <c r="K13" s="1962">
        <v>1192</v>
      </c>
      <c r="L13" s="1962">
        <v>0</v>
      </c>
      <c r="M13" s="1962">
        <v>0</v>
      </c>
      <c r="N13" s="1962">
        <f t="shared" si="2"/>
        <v>101121</v>
      </c>
      <c r="P13" s="1958">
        <v>101121</v>
      </c>
      <c r="Q13" s="1958">
        <f t="shared" si="1"/>
        <v>0</v>
      </c>
    </row>
    <row r="14" spans="1:17">
      <c r="A14" s="1958" t="s">
        <v>877</v>
      </c>
      <c r="B14" s="1958">
        <v>187</v>
      </c>
      <c r="C14" s="1958">
        <v>2019</v>
      </c>
      <c r="D14" s="1958">
        <v>12</v>
      </c>
      <c r="E14" s="1958">
        <v>13</v>
      </c>
      <c r="F14" s="1958">
        <v>0</v>
      </c>
      <c r="G14" s="1958" t="s">
        <v>1459</v>
      </c>
      <c r="H14" s="1958" t="s">
        <v>1458</v>
      </c>
      <c r="I14" s="1962">
        <v>686038</v>
      </c>
      <c r="J14" s="1958" t="str">
        <f t="shared" si="0"/>
        <v>Misc. Work Orders &lt;$100,000</v>
      </c>
      <c r="K14" s="1962">
        <v>0</v>
      </c>
      <c r="L14" s="1962" t="s">
        <v>1455</v>
      </c>
      <c r="M14" s="1962">
        <v>634636</v>
      </c>
      <c r="N14" s="1962">
        <f t="shared" si="2"/>
        <v>51402</v>
      </c>
      <c r="P14" s="1958">
        <v>51402</v>
      </c>
      <c r="Q14" s="1958">
        <f t="shared" si="1"/>
        <v>0</v>
      </c>
    </row>
    <row r="15" spans="1:17">
      <c r="A15" s="1958" t="s">
        <v>877</v>
      </c>
      <c r="B15" s="1958">
        <v>187</v>
      </c>
      <c r="C15" s="1958">
        <v>2019</v>
      </c>
      <c r="D15" s="1958">
        <v>12</v>
      </c>
      <c r="E15" s="1958">
        <v>14</v>
      </c>
      <c r="F15" s="1958">
        <v>0</v>
      </c>
      <c r="G15" s="1958" t="s">
        <v>1457</v>
      </c>
      <c r="H15" s="1958" t="s">
        <v>1456</v>
      </c>
      <c r="I15" s="1962">
        <v>0</v>
      </c>
      <c r="J15" s="1958" t="str">
        <f t="shared" si="0"/>
        <v>Misceallaneous Work in Progess</v>
      </c>
      <c r="K15" s="1962">
        <v>0</v>
      </c>
      <c r="L15" s="1962" t="s">
        <v>1455</v>
      </c>
      <c r="M15" s="1962">
        <v>0</v>
      </c>
      <c r="N15" s="1962">
        <f t="shared" si="2"/>
        <v>0</v>
      </c>
    </row>
    <row r="16" spans="1:17">
      <c r="A16" s="1958" t="s">
        <v>877</v>
      </c>
      <c r="B16" s="1958">
        <v>187</v>
      </c>
      <c r="C16" s="1958">
        <v>2019</v>
      </c>
      <c r="D16" s="1958">
        <v>12</v>
      </c>
      <c r="E16" s="1958">
        <v>15</v>
      </c>
      <c r="F16" s="1958">
        <v>0</v>
      </c>
      <c r="G16" s="1958" t="s">
        <v>1454</v>
      </c>
      <c r="H16" s="1958" t="s">
        <v>1453</v>
      </c>
      <c r="I16" s="1962">
        <v>0</v>
      </c>
      <c r="J16" s="1958" t="str">
        <f t="shared" si="0"/>
        <v>Deferred Regulatory Comm. Expenses</v>
      </c>
      <c r="K16" s="1962">
        <v>0</v>
      </c>
      <c r="L16" s="1962" t="s">
        <v>728</v>
      </c>
      <c r="M16" s="1962">
        <v>0</v>
      </c>
      <c r="N16" s="1962">
        <f t="shared" si="2"/>
        <v>0</v>
      </c>
    </row>
    <row r="17" spans="1:14">
      <c r="A17" s="1958" t="s">
        <v>877</v>
      </c>
      <c r="B17" s="1958">
        <v>187</v>
      </c>
      <c r="C17" s="1958">
        <v>2019</v>
      </c>
      <c r="D17" s="1958">
        <v>12</v>
      </c>
      <c r="E17" s="1958">
        <v>16</v>
      </c>
      <c r="F17" s="1958">
        <v>0</v>
      </c>
      <c r="G17" s="1958" t="s">
        <v>1452</v>
      </c>
      <c r="I17" s="1962">
        <v>0</v>
      </c>
      <c r="K17" s="1962">
        <v>0</v>
      </c>
      <c r="L17" s="1962" t="s">
        <v>728</v>
      </c>
      <c r="M17" s="1962">
        <v>0</v>
      </c>
      <c r="N17" s="1962">
        <f t="shared" si="2"/>
        <v>0</v>
      </c>
    </row>
    <row r="18" spans="1:14">
      <c r="A18" s="1958" t="s">
        <v>877</v>
      </c>
      <c r="B18" s="1958">
        <v>187</v>
      </c>
      <c r="C18" s="1958">
        <v>2019</v>
      </c>
      <c r="D18" s="1958">
        <v>12</v>
      </c>
      <c r="E18" s="1958">
        <v>17</v>
      </c>
      <c r="F18" s="1958">
        <v>0</v>
      </c>
      <c r="G18" s="1958" t="s">
        <v>1451</v>
      </c>
      <c r="I18" s="1962">
        <v>0</v>
      </c>
      <c r="K18" s="1962">
        <v>0</v>
      </c>
      <c r="L18" s="1962" t="s">
        <v>728</v>
      </c>
      <c r="M18" s="1962">
        <v>0</v>
      </c>
      <c r="N18" s="1962">
        <f t="shared" si="2"/>
        <v>0</v>
      </c>
    </row>
    <row r="19" spans="1:14">
      <c r="A19" s="1958" t="s">
        <v>877</v>
      </c>
      <c r="B19" s="1958">
        <v>187</v>
      </c>
      <c r="C19" s="1958">
        <v>2019</v>
      </c>
      <c r="D19" s="1958">
        <v>12</v>
      </c>
      <c r="E19" s="1958">
        <v>18</v>
      </c>
      <c r="F19" s="1958">
        <v>0</v>
      </c>
      <c r="G19" s="1958" t="s">
        <v>1450</v>
      </c>
      <c r="I19" s="1962">
        <v>0</v>
      </c>
      <c r="K19" s="1962">
        <v>0</v>
      </c>
      <c r="L19" s="1962" t="s">
        <v>728</v>
      </c>
      <c r="M19" s="1962">
        <v>0</v>
      </c>
      <c r="N19" s="1962">
        <f t="shared" si="2"/>
        <v>0</v>
      </c>
    </row>
    <row r="20" spans="1:14">
      <c r="A20" s="1958" t="s">
        <v>877</v>
      </c>
      <c r="B20" s="1958">
        <v>187</v>
      </c>
      <c r="C20" s="1958">
        <v>2019</v>
      </c>
      <c r="D20" s="1958">
        <v>12</v>
      </c>
      <c r="E20" s="1958">
        <v>19</v>
      </c>
      <c r="F20" s="1958">
        <v>0</v>
      </c>
      <c r="G20" s="1958" t="s">
        <v>1449</v>
      </c>
      <c r="I20" s="1962">
        <v>0</v>
      </c>
      <c r="K20" s="1962">
        <v>0</v>
      </c>
      <c r="L20" s="1962" t="s">
        <v>728</v>
      </c>
      <c r="M20" s="1962">
        <v>0</v>
      </c>
      <c r="N20" s="1962">
        <f t="shared" si="2"/>
        <v>0</v>
      </c>
    </row>
    <row r="21" spans="1:14">
      <c r="A21" s="1958" t="s">
        <v>877</v>
      </c>
      <c r="B21" s="1958">
        <v>187</v>
      </c>
      <c r="C21" s="1958">
        <v>2019</v>
      </c>
      <c r="D21" s="1958">
        <v>12</v>
      </c>
      <c r="E21" s="1958">
        <v>20</v>
      </c>
      <c r="F21" s="1958">
        <v>0</v>
      </c>
      <c r="G21" s="1958" t="s">
        <v>1448</v>
      </c>
      <c r="I21" s="1962">
        <v>0</v>
      </c>
      <c r="K21" s="1962">
        <v>0</v>
      </c>
      <c r="L21" s="1962" t="s">
        <v>728</v>
      </c>
      <c r="M21" s="1962">
        <v>0</v>
      </c>
      <c r="N21" s="1962">
        <f t="shared" si="2"/>
        <v>0</v>
      </c>
    </row>
    <row r="22" spans="1:14">
      <c r="A22" s="1958" t="s">
        <v>877</v>
      </c>
      <c r="B22" s="1958">
        <v>187</v>
      </c>
      <c r="C22" s="1958">
        <v>2019</v>
      </c>
      <c r="D22" s="1958">
        <v>12</v>
      </c>
      <c r="E22" s="1958">
        <v>21</v>
      </c>
      <c r="F22" s="1958">
        <v>0</v>
      </c>
      <c r="G22" s="1958" t="s">
        <v>1447</v>
      </c>
      <c r="I22" s="1962">
        <v>0</v>
      </c>
      <c r="K22" s="1962">
        <v>0</v>
      </c>
      <c r="L22" s="1962" t="s">
        <v>728</v>
      </c>
      <c r="M22" s="1962">
        <v>0</v>
      </c>
      <c r="N22" s="1962">
        <f t="shared" si="2"/>
        <v>0</v>
      </c>
    </row>
    <row r="23" spans="1:14">
      <c r="A23" s="1958" t="s">
        <v>877</v>
      </c>
      <c r="B23" s="1958">
        <v>187</v>
      </c>
      <c r="C23" s="1958">
        <v>2019</v>
      </c>
      <c r="D23" s="1958">
        <v>12</v>
      </c>
      <c r="E23" s="1958">
        <v>22</v>
      </c>
      <c r="F23" s="1958">
        <v>0</v>
      </c>
      <c r="G23" s="1958" t="s">
        <v>1446</v>
      </c>
      <c r="H23" s="1958" t="s">
        <v>728</v>
      </c>
      <c r="I23" s="1962">
        <v>0</v>
      </c>
      <c r="K23" s="1962">
        <v>0</v>
      </c>
      <c r="L23" s="1962" t="s">
        <v>728</v>
      </c>
      <c r="M23" s="1962">
        <v>0</v>
      </c>
      <c r="N23" s="1962">
        <f t="shared" si="2"/>
        <v>0</v>
      </c>
    </row>
    <row r="24" spans="1:14">
      <c r="A24" s="1958" t="s">
        <v>877</v>
      </c>
      <c r="B24" s="1958">
        <v>187</v>
      </c>
      <c r="C24" s="1958">
        <v>2019</v>
      </c>
      <c r="D24" s="1958">
        <v>12</v>
      </c>
      <c r="E24" s="1958">
        <v>23</v>
      </c>
      <c r="F24" s="1958">
        <v>0</v>
      </c>
      <c r="G24" s="1958" t="s">
        <v>1445</v>
      </c>
      <c r="H24" s="1958" t="s">
        <v>728</v>
      </c>
      <c r="I24" s="1962">
        <v>0</v>
      </c>
      <c r="K24" s="1962">
        <v>0</v>
      </c>
      <c r="L24" s="1962" t="s">
        <v>728</v>
      </c>
      <c r="M24" s="1962">
        <v>0</v>
      </c>
      <c r="N24" s="1958">
        <v>0</v>
      </c>
    </row>
    <row r="25" spans="1:14">
      <c r="A25" s="1958" t="s">
        <v>877</v>
      </c>
      <c r="B25" s="1958">
        <v>187</v>
      </c>
      <c r="C25" s="1958">
        <v>2019</v>
      </c>
      <c r="D25" s="1958">
        <v>12</v>
      </c>
      <c r="E25" s="1958">
        <v>24</v>
      </c>
      <c r="F25" s="1958">
        <v>0</v>
      </c>
      <c r="G25" s="1958" t="s">
        <v>1444</v>
      </c>
      <c r="H25" s="1958" t="s">
        <v>728</v>
      </c>
      <c r="I25" s="1962">
        <v>0</v>
      </c>
      <c r="K25" s="1962">
        <v>0</v>
      </c>
      <c r="L25" s="1962" t="s">
        <v>728</v>
      </c>
      <c r="M25" s="1962">
        <v>0</v>
      </c>
      <c r="N25" s="1958">
        <v>0</v>
      </c>
    </row>
    <row r="26" spans="1:14">
      <c r="A26" s="1958" t="s">
        <v>877</v>
      </c>
      <c r="B26" s="1958">
        <v>187</v>
      </c>
      <c r="C26" s="1958">
        <v>2019</v>
      </c>
      <c r="D26" s="1958">
        <v>12</v>
      </c>
      <c r="E26" s="1958">
        <v>25</v>
      </c>
      <c r="F26" s="1958">
        <v>0</v>
      </c>
      <c r="G26" s="1958" t="s">
        <v>1443</v>
      </c>
      <c r="H26" s="1958" t="s">
        <v>728</v>
      </c>
      <c r="I26" s="1962">
        <v>0</v>
      </c>
      <c r="K26" s="1962">
        <v>0</v>
      </c>
      <c r="L26" s="1962" t="s">
        <v>728</v>
      </c>
      <c r="M26" s="1962">
        <v>0</v>
      </c>
      <c r="N26" s="1958">
        <v>0</v>
      </c>
    </row>
    <row r="27" spans="1:14">
      <c r="A27" s="1958" t="s">
        <v>877</v>
      </c>
      <c r="B27" s="1958">
        <v>187</v>
      </c>
      <c r="C27" s="1958">
        <v>2019</v>
      </c>
      <c r="D27" s="1958">
        <v>12</v>
      </c>
      <c r="E27" s="1958">
        <v>26</v>
      </c>
      <c r="F27" s="1958">
        <v>0</v>
      </c>
      <c r="G27" s="1958" t="s">
        <v>1442</v>
      </c>
      <c r="H27" s="1958" t="s">
        <v>728</v>
      </c>
      <c r="I27" s="1962">
        <v>0</v>
      </c>
      <c r="K27" s="1962">
        <v>0</v>
      </c>
      <c r="L27" s="1962" t="s">
        <v>728</v>
      </c>
      <c r="M27" s="1962">
        <v>0</v>
      </c>
      <c r="N27" s="1958">
        <v>0</v>
      </c>
    </row>
    <row r="28" spans="1:14">
      <c r="A28" s="1958" t="s">
        <v>877</v>
      </c>
      <c r="B28" s="1958">
        <v>187</v>
      </c>
      <c r="C28" s="1958">
        <v>2019</v>
      </c>
      <c r="D28" s="1958">
        <v>12</v>
      </c>
      <c r="E28" s="1958">
        <v>27</v>
      </c>
      <c r="F28" s="1958">
        <v>0</v>
      </c>
      <c r="G28" s="1958" t="s">
        <v>1441</v>
      </c>
      <c r="H28" s="1958" t="s">
        <v>728</v>
      </c>
      <c r="I28" s="1962">
        <v>0</v>
      </c>
      <c r="K28" s="1962">
        <v>0</v>
      </c>
      <c r="L28" s="1962" t="s">
        <v>728</v>
      </c>
      <c r="M28" s="1962">
        <v>0</v>
      </c>
      <c r="N28" s="1958">
        <v>0</v>
      </c>
    </row>
    <row r="29" spans="1:14">
      <c r="A29" s="1958" t="s">
        <v>877</v>
      </c>
      <c r="B29" s="1958">
        <v>187</v>
      </c>
      <c r="C29" s="1958">
        <v>2019</v>
      </c>
      <c r="D29" s="1958">
        <v>12</v>
      </c>
      <c r="E29" s="1958">
        <v>28</v>
      </c>
      <c r="F29" s="1958">
        <v>0</v>
      </c>
      <c r="G29" s="1958" t="s">
        <v>1440</v>
      </c>
      <c r="H29" s="1958" t="s">
        <v>728</v>
      </c>
      <c r="I29" s="1962">
        <v>0</v>
      </c>
      <c r="K29" s="1962">
        <v>0</v>
      </c>
      <c r="L29" s="1962" t="s">
        <v>728</v>
      </c>
      <c r="M29" s="1962">
        <v>0</v>
      </c>
      <c r="N29" s="1958">
        <v>0</v>
      </c>
    </row>
    <row r="30" spans="1:14">
      <c r="A30" s="1958" t="s">
        <v>877</v>
      </c>
      <c r="B30" s="1958">
        <v>187</v>
      </c>
      <c r="C30" s="1958">
        <v>2019</v>
      </c>
      <c r="D30" s="1958">
        <v>12</v>
      </c>
      <c r="E30" s="1958">
        <v>29</v>
      </c>
      <c r="F30" s="1958">
        <v>0</v>
      </c>
      <c r="G30" s="1958" t="s">
        <v>1439</v>
      </c>
      <c r="H30" s="1958" t="s">
        <v>728</v>
      </c>
      <c r="I30" s="1962">
        <v>0</v>
      </c>
      <c r="K30" s="1962">
        <v>0</v>
      </c>
      <c r="L30" s="1962" t="s">
        <v>728</v>
      </c>
      <c r="M30" s="1962">
        <v>0</v>
      </c>
      <c r="N30" s="1958">
        <v>0</v>
      </c>
    </row>
    <row r="31" spans="1:14">
      <c r="A31" s="1958" t="s">
        <v>877</v>
      </c>
      <c r="B31" s="1958">
        <v>187</v>
      </c>
      <c r="C31" s="1958">
        <v>2019</v>
      </c>
      <c r="D31" s="1958">
        <v>12</v>
      </c>
      <c r="E31" s="1958">
        <v>30</v>
      </c>
      <c r="F31" s="1958">
        <v>0</v>
      </c>
      <c r="G31" s="1958" t="s">
        <v>1438</v>
      </c>
      <c r="H31" s="1958" t="s">
        <v>728</v>
      </c>
      <c r="I31" s="1962">
        <v>0</v>
      </c>
      <c r="K31" s="1962">
        <v>0</v>
      </c>
      <c r="L31" s="1962" t="s">
        <v>728</v>
      </c>
      <c r="M31" s="1962">
        <v>0</v>
      </c>
      <c r="N31" s="1958">
        <v>0</v>
      </c>
    </row>
    <row r="32" spans="1:14">
      <c r="A32" s="1958" t="s">
        <v>877</v>
      </c>
      <c r="B32" s="1958">
        <v>187</v>
      </c>
      <c r="C32" s="1958">
        <v>2019</v>
      </c>
      <c r="D32" s="1958">
        <v>12</v>
      </c>
      <c r="E32" s="1958">
        <v>31</v>
      </c>
      <c r="F32" s="1958">
        <v>0</v>
      </c>
      <c r="G32" s="1958" t="s">
        <v>1437</v>
      </c>
      <c r="H32" s="1958" t="s">
        <v>728</v>
      </c>
      <c r="I32" s="1962">
        <v>0</v>
      </c>
      <c r="K32" s="1962">
        <v>0</v>
      </c>
      <c r="L32" s="1962" t="s">
        <v>728</v>
      </c>
      <c r="M32" s="1962">
        <v>0</v>
      </c>
      <c r="N32" s="1958">
        <v>0</v>
      </c>
    </row>
    <row r="33" spans="1:14">
      <c r="A33" s="1958" t="s">
        <v>877</v>
      </c>
      <c r="B33" s="1958">
        <v>187</v>
      </c>
      <c r="C33" s="1958">
        <v>2019</v>
      </c>
      <c r="D33" s="1958">
        <v>12</v>
      </c>
      <c r="E33" s="1958">
        <v>32</v>
      </c>
      <c r="F33" s="1958">
        <v>0</v>
      </c>
      <c r="G33" s="1958" t="s">
        <v>1436</v>
      </c>
      <c r="H33" s="1958" t="s">
        <v>728</v>
      </c>
      <c r="I33" s="1962">
        <v>0</v>
      </c>
      <c r="K33" s="1962">
        <v>0</v>
      </c>
      <c r="L33" s="1962" t="s">
        <v>728</v>
      </c>
      <c r="M33" s="1962">
        <v>0</v>
      </c>
      <c r="N33" s="1958">
        <v>0</v>
      </c>
    </row>
    <row r="34" spans="1:14">
      <c r="A34" s="1958" t="s">
        <v>877</v>
      </c>
      <c r="B34" s="1958">
        <v>187</v>
      </c>
      <c r="C34" s="1958">
        <v>2019</v>
      </c>
      <c r="D34" s="1958">
        <v>12</v>
      </c>
      <c r="E34" s="1958">
        <v>33</v>
      </c>
      <c r="F34" s="1958">
        <v>0</v>
      </c>
      <c r="G34" s="1958" t="s">
        <v>1435</v>
      </c>
      <c r="H34" s="1958" t="s">
        <v>728</v>
      </c>
      <c r="I34" s="1962">
        <v>0</v>
      </c>
      <c r="K34" s="1962">
        <v>0</v>
      </c>
      <c r="L34" s="1962" t="s">
        <v>728</v>
      </c>
      <c r="M34" s="1962">
        <v>0</v>
      </c>
      <c r="N34" s="1958">
        <v>0</v>
      </c>
    </row>
    <row r="35" spans="1:14">
      <c r="A35" s="1958" t="s">
        <v>877</v>
      </c>
      <c r="B35" s="1958">
        <v>187</v>
      </c>
      <c r="C35" s="1958">
        <v>2019</v>
      </c>
      <c r="D35" s="1958">
        <v>12</v>
      </c>
      <c r="E35" s="1958">
        <v>34</v>
      </c>
      <c r="F35" s="1958">
        <v>0</v>
      </c>
      <c r="G35" s="1958" t="s">
        <v>1434</v>
      </c>
      <c r="H35" s="1958" t="s">
        <v>728</v>
      </c>
      <c r="I35" s="1962">
        <v>0</v>
      </c>
      <c r="K35" s="1962">
        <v>0</v>
      </c>
      <c r="L35" s="1962" t="s">
        <v>728</v>
      </c>
      <c r="M35" s="1962">
        <v>0</v>
      </c>
      <c r="N35" s="1958">
        <v>0</v>
      </c>
    </row>
    <row r="36" spans="1:14">
      <c r="A36" s="1958" t="s">
        <v>877</v>
      </c>
      <c r="B36" s="1958">
        <v>187</v>
      </c>
      <c r="C36" s="1958">
        <v>2019</v>
      </c>
      <c r="D36" s="1958">
        <v>12</v>
      </c>
      <c r="E36" s="1958">
        <v>35</v>
      </c>
      <c r="F36" s="1958">
        <v>0</v>
      </c>
      <c r="G36" s="1958" t="s">
        <v>1433</v>
      </c>
      <c r="H36" s="1958" t="s">
        <v>728</v>
      </c>
      <c r="I36" s="1962">
        <v>0</v>
      </c>
      <c r="K36" s="1962">
        <v>0</v>
      </c>
      <c r="L36" s="1962" t="s">
        <v>728</v>
      </c>
      <c r="M36" s="1962">
        <v>0</v>
      </c>
      <c r="N36" s="1958">
        <v>0</v>
      </c>
    </row>
    <row r="37" spans="1:14">
      <c r="A37" s="1958" t="s">
        <v>877</v>
      </c>
      <c r="B37" s="1958">
        <v>187</v>
      </c>
      <c r="C37" s="1958">
        <v>2019</v>
      </c>
      <c r="D37" s="1958">
        <v>12</v>
      </c>
      <c r="E37" s="1958">
        <v>36</v>
      </c>
      <c r="F37" s="1958">
        <v>0</v>
      </c>
      <c r="G37" s="1958" t="s">
        <v>1432</v>
      </c>
      <c r="H37" s="1958" t="s">
        <v>728</v>
      </c>
      <c r="I37" s="1962">
        <v>0</v>
      </c>
      <c r="K37" s="1962">
        <v>0</v>
      </c>
      <c r="L37" s="1962" t="s">
        <v>728</v>
      </c>
      <c r="M37" s="1962">
        <v>0</v>
      </c>
      <c r="N37" s="1958">
        <v>0</v>
      </c>
    </row>
    <row r="38" spans="1:14">
      <c r="A38" s="1958" t="s">
        <v>877</v>
      </c>
      <c r="B38" s="1958">
        <v>187</v>
      </c>
      <c r="C38" s="1958">
        <v>2019</v>
      </c>
      <c r="D38" s="1958">
        <v>12</v>
      </c>
      <c r="E38" s="1958">
        <v>37</v>
      </c>
      <c r="F38" s="1958">
        <v>0</v>
      </c>
      <c r="G38" s="1958" t="s">
        <v>1431</v>
      </c>
      <c r="H38" s="1958" t="s">
        <v>728</v>
      </c>
      <c r="I38" s="1962">
        <v>0</v>
      </c>
      <c r="K38" s="1962">
        <v>0</v>
      </c>
      <c r="L38" s="1962" t="s">
        <v>728</v>
      </c>
      <c r="M38" s="1962">
        <v>0</v>
      </c>
      <c r="N38" s="1958">
        <v>0</v>
      </c>
    </row>
    <row r="39" spans="1:14">
      <c r="A39" s="1958" t="s">
        <v>877</v>
      </c>
      <c r="B39" s="1958">
        <v>187</v>
      </c>
      <c r="C39" s="1958">
        <v>2019</v>
      </c>
      <c r="D39" s="1958">
        <v>12</v>
      </c>
      <c r="E39" s="1958">
        <v>38</v>
      </c>
      <c r="F39" s="1958">
        <v>0</v>
      </c>
      <c r="G39" s="1958" t="s">
        <v>1430</v>
      </c>
      <c r="H39" s="1958" t="s">
        <v>728</v>
      </c>
      <c r="I39" s="1962">
        <v>0</v>
      </c>
      <c r="K39" s="1962">
        <v>0</v>
      </c>
      <c r="L39" s="1962" t="s">
        <v>728</v>
      </c>
      <c r="M39" s="1962">
        <v>0</v>
      </c>
      <c r="N39" s="1958">
        <v>0</v>
      </c>
    </row>
    <row r="40" spans="1:14">
      <c r="A40" s="1958" t="s">
        <v>877</v>
      </c>
      <c r="B40" s="1958">
        <v>187</v>
      </c>
      <c r="C40" s="1958">
        <v>2019</v>
      </c>
      <c r="D40" s="1958">
        <v>12</v>
      </c>
      <c r="E40" s="1958">
        <v>39</v>
      </c>
      <c r="F40" s="1958">
        <v>0</v>
      </c>
      <c r="G40" s="1958" t="s">
        <v>1429</v>
      </c>
      <c r="H40" s="1958" t="s">
        <v>728</v>
      </c>
      <c r="I40" s="1962">
        <v>0</v>
      </c>
      <c r="K40" s="1962">
        <v>0</v>
      </c>
      <c r="L40" s="1962" t="s">
        <v>728</v>
      </c>
      <c r="M40" s="1962">
        <v>0</v>
      </c>
      <c r="N40" s="1958">
        <v>0</v>
      </c>
    </row>
    <row r="41" spans="1:14">
      <c r="A41" s="1958" t="s">
        <v>877</v>
      </c>
      <c r="B41" s="1958">
        <v>187</v>
      </c>
      <c r="C41" s="1958">
        <v>2019</v>
      </c>
      <c r="D41" s="1958">
        <v>12</v>
      </c>
      <c r="E41" s="1958">
        <v>40</v>
      </c>
      <c r="F41" s="1958">
        <v>0</v>
      </c>
      <c r="G41" s="1958" t="s">
        <v>1428</v>
      </c>
      <c r="H41" s="1958" t="s">
        <v>728</v>
      </c>
      <c r="I41" s="1962">
        <v>0</v>
      </c>
      <c r="K41" s="1962">
        <v>0</v>
      </c>
      <c r="L41" s="1962" t="s">
        <v>728</v>
      </c>
      <c r="M41" s="1962">
        <v>0</v>
      </c>
      <c r="N41" s="1958">
        <v>0</v>
      </c>
    </row>
    <row r="42" spans="1:14">
      <c r="A42" s="1958" t="s">
        <v>877</v>
      </c>
      <c r="B42" s="1958">
        <v>187</v>
      </c>
      <c r="C42" s="1958">
        <v>2019</v>
      </c>
      <c r="D42" s="1958">
        <v>12</v>
      </c>
      <c r="E42" s="1958">
        <v>41</v>
      </c>
      <c r="F42" s="1958">
        <v>0</v>
      </c>
      <c r="G42" s="1958" t="s">
        <v>1427</v>
      </c>
      <c r="H42" s="1958" t="s">
        <v>728</v>
      </c>
      <c r="I42" s="1962">
        <v>0</v>
      </c>
      <c r="K42" s="1962">
        <v>0</v>
      </c>
      <c r="L42" s="1962" t="s">
        <v>728</v>
      </c>
      <c r="M42" s="1962">
        <v>0</v>
      </c>
      <c r="N42" s="1958">
        <v>0</v>
      </c>
    </row>
    <row r="43" spans="1:14">
      <c r="A43" s="1958" t="s">
        <v>877</v>
      </c>
      <c r="B43" s="1958">
        <v>187</v>
      </c>
      <c r="C43" s="1958">
        <v>2019</v>
      </c>
      <c r="D43" s="1958">
        <v>12</v>
      </c>
      <c r="E43" s="1958">
        <v>42</v>
      </c>
      <c r="F43" s="1958">
        <v>0</v>
      </c>
      <c r="G43" s="1958" t="s">
        <v>1426</v>
      </c>
      <c r="H43" s="1958" t="s">
        <v>728</v>
      </c>
      <c r="I43" s="1962">
        <v>0</v>
      </c>
      <c r="K43" s="1962">
        <v>0</v>
      </c>
      <c r="L43" s="1962" t="s">
        <v>728</v>
      </c>
      <c r="M43" s="1962">
        <v>0</v>
      </c>
      <c r="N43" s="1958">
        <v>0</v>
      </c>
    </row>
    <row r="44" spans="1:14">
      <c r="A44" s="1958" t="s">
        <v>877</v>
      </c>
      <c r="B44" s="1958">
        <v>187</v>
      </c>
      <c r="C44" s="1958">
        <v>2019</v>
      </c>
      <c r="D44" s="1958">
        <v>12</v>
      </c>
      <c r="E44" s="1958">
        <v>43</v>
      </c>
      <c r="F44" s="1958">
        <v>0</v>
      </c>
      <c r="G44" s="1958" t="s">
        <v>1425</v>
      </c>
      <c r="H44" s="1958" t="s">
        <v>728</v>
      </c>
      <c r="I44" s="1962">
        <v>0</v>
      </c>
      <c r="K44" s="1962">
        <v>0</v>
      </c>
      <c r="L44" s="1962" t="s">
        <v>728</v>
      </c>
      <c r="M44" s="1962">
        <v>0</v>
      </c>
      <c r="N44" s="1958">
        <v>0</v>
      </c>
    </row>
    <row r="45" spans="1:14">
      <c r="A45" s="1958" t="s">
        <v>877</v>
      </c>
      <c r="B45" s="1958">
        <v>187</v>
      </c>
      <c r="C45" s="1958">
        <v>2019</v>
      </c>
      <c r="D45" s="1958">
        <v>12</v>
      </c>
      <c r="E45" s="1958">
        <v>44</v>
      </c>
      <c r="F45" s="1958">
        <v>0</v>
      </c>
      <c r="G45" s="1958" t="s">
        <v>1424</v>
      </c>
      <c r="H45" s="1958" t="s">
        <v>728</v>
      </c>
      <c r="I45" s="1962">
        <v>0</v>
      </c>
      <c r="K45" s="1962">
        <v>0</v>
      </c>
      <c r="L45" s="1962" t="s">
        <v>728</v>
      </c>
      <c r="M45" s="1962">
        <v>0</v>
      </c>
      <c r="N45" s="1958">
        <v>0</v>
      </c>
    </row>
    <row r="46" spans="1:14">
      <c r="A46" s="1958" t="s">
        <v>877</v>
      </c>
      <c r="B46" s="1958">
        <v>187</v>
      </c>
      <c r="C46" s="1958">
        <v>2019</v>
      </c>
      <c r="D46" s="1958">
        <v>12</v>
      </c>
      <c r="E46" s="1958">
        <v>45</v>
      </c>
      <c r="F46" s="1958">
        <v>0</v>
      </c>
      <c r="G46" s="1958" t="s">
        <v>1423</v>
      </c>
      <c r="H46" s="1958" t="s">
        <v>728</v>
      </c>
      <c r="I46" s="1962">
        <v>0</v>
      </c>
      <c r="K46" s="1962">
        <v>0</v>
      </c>
      <c r="L46" s="1962" t="s">
        <v>728</v>
      </c>
      <c r="M46" s="1962">
        <v>0</v>
      </c>
      <c r="N46" s="1958">
        <v>0</v>
      </c>
    </row>
    <row r="47" spans="1:14">
      <c r="A47" s="1958" t="s">
        <v>877</v>
      </c>
      <c r="B47" s="1958">
        <v>187</v>
      </c>
      <c r="C47" s="1958">
        <v>2019</v>
      </c>
      <c r="D47" s="1958">
        <v>12</v>
      </c>
      <c r="E47" s="1958">
        <v>46</v>
      </c>
      <c r="F47" s="1958">
        <v>0</v>
      </c>
      <c r="G47" s="1958" t="s">
        <v>1422</v>
      </c>
      <c r="H47" s="1958" t="s">
        <v>728</v>
      </c>
      <c r="I47" s="1962">
        <v>0</v>
      </c>
      <c r="K47" s="1962">
        <v>0</v>
      </c>
      <c r="L47" s="1962" t="s">
        <v>728</v>
      </c>
      <c r="M47" s="1962">
        <v>0</v>
      </c>
      <c r="N47" s="1958">
        <v>0</v>
      </c>
    </row>
  </sheetData>
  <pageMargins left="0.75" right="0.75" top="1" bottom="1" header="0.5" footer="0.5"/>
  <pageSetup orientation="portrait" r:id="rId1"/>
  <customProperties>
    <customPr name="xxe4aPID" r:id="rId2"/>
  </customPropertie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B2ABF-A47A-4339-973F-B344A7B29783}">
  <sheetPr codeName="Sheet54">
    <tabColor rgb="FF92D050"/>
  </sheetPr>
  <dimension ref="A1:M4"/>
  <sheetViews>
    <sheetView workbookViewId="0">
      <selection activeCell="D400" sqref="D400"/>
    </sheetView>
  </sheetViews>
  <sheetFormatPr defaultColWidth="9" defaultRowHeight="12.75"/>
  <cols>
    <col min="1" max="6" width="9" style="1958"/>
    <col min="7" max="7" width="53.375" style="1958" bestFit="1" customWidth="1"/>
    <col min="8" max="16384" width="9" style="1958"/>
  </cols>
  <sheetData>
    <row r="1" spans="1:13">
      <c r="A1" s="1958" t="s">
        <v>984</v>
      </c>
      <c r="B1" s="1958" t="s">
        <v>983</v>
      </c>
      <c r="C1" s="1958" t="s">
        <v>982</v>
      </c>
      <c r="D1" s="1958" t="s">
        <v>981</v>
      </c>
      <c r="E1" s="1958" t="s">
        <v>980</v>
      </c>
      <c r="F1" s="1958" t="s">
        <v>979</v>
      </c>
      <c r="G1" s="1958" t="s">
        <v>1159</v>
      </c>
      <c r="H1" s="1958" t="s">
        <v>1484</v>
      </c>
      <c r="I1" s="1958" t="s">
        <v>1224</v>
      </c>
      <c r="J1" s="1958" t="s">
        <v>1419</v>
      </c>
      <c r="K1" s="1958" t="s">
        <v>1418</v>
      </c>
      <c r="L1" s="1958" t="s">
        <v>1417</v>
      </c>
      <c r="M1" s="1958" t="s">
        <v>1220</v>
      </c>
    </row>
    <row r="2" spans="1:13">
      <c r="A2" s="1958" t="s">
        <v>877</v>
      </c>
      <c r="B2" s="1958">
        <v>187</v>
      </c>
      <c r="C2" s="1958">
        <v>2019</v>
      </c>
      <c r="D2" s="1958">
        <v>12</v>
      </c>
      <c r="E2" s="1958">
        <v>47</v>
      </c>
      <c r="F2" s="1958">
        <v>0</v>
      </c>
      <c r="G2" s="1958" t="s">
        <v>1486</v>
      </c>
      <c r="H2" s="1958" t="s">
        <v>728</v>
      </c>
      <c r="I2" s="1958">
        <v>0</v>
      </c>
      <c r="J2" s="1958">
        <v>0</v>
      </c>
      <c r="K2" s="1958" t="s">
        <v>728</v>
      </c>
      <c r="L2" s="1958">
        <v>0</v>
      </c>
      <c r="M2" s="1958">
        <v>0</v>
      </c>
    </row>
    <row r="3" spans="1:13">
      <c r="A3" s="1958" t="s">
        <v>877</v>
      </c>
      <c r="B3" s="1958">
        <v>187</v>
      </c>
      <c r="C3" s="1958">
        <v>2019</v>
      </c>
      <c r="D3" s="1958">
        <v>12</v>
      </c>
      <c r="E3" s="1958">
        <v>48</v>
      </c>
      <c r="F3" s="1958">
        <v>0</v>
      </c>
      <c r="G3" s="1958" t="s">
        <v>1485</v>
      </c>
      <c r="H3" s="1958" t="s">
        <v>728</v>
      </c>
      <c r="I3" s="1958">
        <v>0</v>
      </c>
      <c r="J3" s="1958">
        <v>0</v>
      </c>
      <c r="K3" s="1958" t="s">
        <v>728</v>
      </c>
      <c r="L3" s="1958">
        <v>0</v>
      </c>
      <c r="M3" s="1958">
        <v>0</v>
      </c>
    </row>
    <row r="4" spans="1:13">
      <c r="A4" s="1958" t="s">
        <v>877</v>
      </c>
      <c r="B4" s="1958">
        <v>187</v>
      </c>
      <c r="C4" s="1958">
        <v>2019</v>
      </c>
      <c r="D4" s="1958">
        <v>12</v>
      </c>
      <c r="E4" s="1958">
        <v>49</v>
      </c>
      <c r="F4" s="1958">
        <v>0</v>
      </c>
      <c r="G4" s="1958" t="s">
        <v>197</v>
      </c>
      <c r="H4" s="1958" t="s">
        <v>728</v>
      </c>
      <c r="I4" s="1962">
        <f>SUM('233'!I2:I16)</f>
        <v>68920168</v>
      </c>
      <c r="J4" s="1958">
        <v>0</v>
      </c>
      <c r="K4" s="1958" t="s">
        <v>728</v>
      </c>
      <c r="L4" s="1958">
        <v>0</v>
      </c>
      <c r="M4" s="1958">
        <f>SUM('233'!N2:N16)</f>
        <v>87517904</v>
      </c>
    </row>
  </sheetData>
  <pageMargins left="0.75" right="0.75" top="1" bottom="1" header="0.5" footer="0.5"/>
  <pageSetup orientation="portrait" r:id="rId1"/>
  <customProperties>
    <customPr name="xxe4aPID" r:id="rId2"/>
  </customPropertie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E0FCA-27D4-4CFD-B9D8-DE5085146B6D}">
  <sheetPr codeName="Sheet55">
    <tabColor rgb="FF92D050"/>
  </sheetPr>
  <dimension ref="A1:Q27"/>
  <sheetViews>
    <sheetView workbookViewId="0">
      <selection activeCell="D400" sqref="D400"/>
    </sheetView>
  </sheetViews>
  <sheetFormatPr defaultColWidth="9" defaultRowHeight="12.75"/>
  <cols>
    <col min="1" max="7" width="9" style="1958"/>
    <col min="8" max="8" width="41.875" style="1958" bestFit="1" customWidth="1"/>
    <col min="9" max="9" width="13" style="1958" bestFit="1" customWidth="1"/>
    <col min="10" max="11" width="9" style="1958"/>
    <col min="12" max="12" width="11.75" style="1958" bestFit="1" customWidth="1"/>
    <col min="13" max="13" width="10.75" style="1958" bestFit="1" customWidth="1"/>
    <col min="14" max="14" width="13.625" style="1958" bestFit="1" customWidth="1"/>
    <col min="15" max="15" width="12.625" style="1958" bestFit="1" customWidth="1"/>
    <col min="16" max="16" width="9.625" style="1958" bestFit="1" customWidth="1"/>
    <col min="17" max="17" width="10.375" style="1958" bestFit="1" customWidth="1"/>
    <col min="18" max="16384" width="9" style="1958"/>
  </cols>
  <sheetData>
    <row r="1" spans="1:17">
      <c r="A1" s="1958" t="s">
        <v>984</v>
      </c>
      <c r="B1" s="1958" t="s">
        <v>983</v>
      </c>
      <c r="C1" s="1958" t="s">
        <v>982</v>
      </c>
      <c r="D1" s="1958" t="s">
        <v>981</v>
      </c>
      <c r="E1" s="1958" t="s">
        <v>980</v>
      </c>
      <c r="F1" s="1958" t="s">
        <v>979</v>
      </c>
      <c r="G1" s="1958" t="s">
        <v>1159</v>
      </c>
      <c r="H1" s="1958" t="s">
        <v>1518</v>
      </c>
      <c r="I1" s="1958" t="s">
        <v>1517</v>
      </c>
      <c r="J1" s="1958" t="s">
        <v>1516</v>
      </c>
      <c r="K1" s="1958" t="s">
        <v>1515</v>
      </c>
      <c r="L1" s="1958" t="s">
        <v>1514</v>
      </c>
      <c r="M1" s="1958" t="s">
        <v>1513</v>
      </c>
      <c r="N1" s="1958" t="s">
        <v>1512</v>
      </c>
      <c r="O1" s="1958" t="s">
        <v>1511</v>
      </c>
      <c r="P1" s="1958" t="s">
        <v>1510</v>
      </c>
      <c r="Q1" s="1958" t="s">
        <v>1509</v>
      </c>
    </row>
    <row r="2" spans="1:17">
      <c r="A2" s="1958" t="s">
        <v>877</v>
      </c>
      <c r="B2" s="1958">
        <v>187</v>
      </c>
      <c r="C2" s="1958">
        <v>2023</v>
      </c>
      <c r="D2" s="1958">
        <v>12</v>
      </c>
      <c r="E2" s="1958">
        <v>1</v>
      </c>
      <c r="F2" s="1958">
        <v>0</v>
      </c>
      <c r="G2" s="1958" t="s">
        <v>1483</v>
      </c>
      <c r="H2" s="1958" t="s">
        <v>1508</v>
      </c>
      <c r="I2" s="1958">
        <v>25000000</v>
      </c>
      <c r="J2" s="1958">
        <v>158304</v>
      </c>
      <c r="K2" s="1958" t="s">
        <v>728</v>
      </c>
      <c r="L2" s="1972">
        <v>35965</v>
      </c>
      <c r="M2" s="1972">
        <v>46923</v>
      </c>
      <c r="N2" s="1972">
        <v>35965</v>
      </c>
      <c r="O2" s="1972">
        <v>46923</v>
      </c>
      <c r="P2" s="1958">
        <v>25000000</v>
      </c>
      <c r="Q2" s="1958">
        <v>1592500</v>
      </c>
    </row>
    <row r="3" spans="1:17">
      <c r="A3" s="1958" t="s">
        <v>877</v>
      </c>
      <c r="B3" s="1958">
        <v>187</v>
      </c>
      <c r="C3" s="1958">
        <v>2023</v>
      </c>
      <c r="D3" s="1958">
        <v>12</v>
      </c>
      <c r="E3" s="1958">
        <v>2</v>
      </c>
      <c r="F3" s="1958">
        <v>0</v>
      </c>
      <c r="G3" s="1958" t="s">
        <v>1481</v>
      </c>
      <c r="H3" s="1958" t="s">
        <v>1507</v>
      </c>
      <c r="I3" s="1958">
        <v>66700000</v>
      </c>
      <c r="K3" s="1958" t="s">
        <v>728</v>
      </c>
      <c r="L3" s="1972">
        <v>40527</v>
      </c>
      <c r="M3" s="1972">
        <v>48488</v>
      </c>
      <c r="N3" s="1972">
        <v>40527</v>
      </c>
      <c r="O3" s="1972">
        <v>48488</v>
      </c>
      <c r="P3" s="1958">
        <v>66700000</v>
      </c>
    </row>
    <row r="4" spans="1:17">
      <c r="A4" s="1958" t="s">
        <v>877</v>
      </c>
      <c r="B4" s="1958">
        <v>187</v>
      </c>
      <c r="C4" s="1958">
        <v>2023</v>
      </c>
      <c r="D4" s="1958">
        <v>12</v>
      </c>
      <c r="E4" s="1958">
        <v>3</v>
      </c>
      <c r="F4" s="1958">
        <v>0</v>
      </c>
      <c r="G4" s="1958" t="s">
        <v>1479</v>
      </c>
      <c r="H4" s="1958" t="s">
        <v>1506</v>
      </c>
      <c r="I4" s="1958">
        <v>17000000</v>
      </c>
      <c r="K4" s="1958" t="s">
        <v>728</v>
      </c>
      <c r="L4" s="1972">
        <v>40527</v>
      </c>
      <c r="M4" s="1972">
        <v>49004</v>
      </c>
      <c r="N4" s="1972">
        <v>40527</v>
      </c>
      <c r="O4" s="1972">
        <v>49004</v>
      </c>
      <c r="P4" s="1958">
        <v>17000000</v>
      </c>
    </row>
    <row r="5" spans="1:17">
      <c r="A5" s="1958" t="s">
        <v>877</v>
      </c>
      <c r="B5" s="1958">
        <v>187</v>
      </c>
      <c r="C5" s="1958">
        <v>2023</v>
      </c>
      <c r="D5" s="1958">
        <v>12</v>
      </c>
      <c r="E5" s="1958">
        <v>4</v>
      </c>
      <c r="F5" s="1958">
        <v>0</v>
      </c>
      <c r="G5" s="1958" t="s">
        <v>1477</v>
      </c>
      <c r="H5" s="1958" t="s">
        <v>1505</v>
      </c>
      <c r="I5" s="1958">
        <v>150000000</v>
      </c>
      <c r="J5" s="1958">
        <v>1812935</v>
      </c>
      <c r="K5" s="1958" t="s">
        <v>728</v>
      </c>
      <c r="L5" s="1972">
        <v>38673</v>
      </c>
      <c r="M5" s="1972">
        <v>49644</v>
      </c>
      <c r="N5" s="1972">
        <v>38673</v>
      </c>
      <c r="O5" s="1972">
        <v>49644</v>
      </c>
      <c r="P5" s="1958">
        <v>150000000</v>
      </c>
      <c r="Q5" s="1958">
        <v>9375000</v>
      </c>
    </row>
    <row r="6" spans="1:17">
      <c r="A6" s="1958" t="s">
        <v>877</v>
      </c>
      <c r="B6" s="1958">
        <v>187</v>
      </c>
      <c r="C6" s="1958">
        <v>2023</v>
      </c>
      <c r="D6" s="1958">
        <v>12</v>
      </c>
      <c r="E6" s="1958">
        <v>5</v>
      </c>
      <c r="F6" s="1958">
        <v>0</v>
      </c>
      <c r="G6" s="1958" t="s">
        <v>1475</v>
      </c>
      <c r="H6" s="1958" t="s">
        <v>1504</v>
      </c>
      <c r="I6" s="1958">
        <v>150000000</v>
      </c>
      <c r="J6" s="1958">
        <v>4702304</v>
      </c>
      <c r="K6" s="1958" t="s">
        <v>728</v>
      </c>
      <c r="L6" s="1972">
        <v>39066</v>
      </c>
      <c r="M6" s="1972">
        <v>50222</v>
      </c>
      <c r="N6" s="1972">
        <v>39066</v>
      </c>
      <c r="O6" s="1972">
        <v>50222</v>
      </c>
      <c r="P6" s="1958">
        <v>150000000</v>
      </c>
      <c r="Q6" s="1958">
        <v>8550000</v>
      </c>
    </row>
    <row r="7" spans="1:17">
      <c r="A7" s="1958" t="s">
        <v>877</v>
      </c>
      <c r="B7" s="1958">
        <v>187</v>
      </c>
      <c r="C7" s="1958">
        <v>2023</v>
      </c>
      <c r="D7" s="1958">
        <v>12</v>
      </c>
      <c r="E7" s="1958">
        <v>6</v>
      </c>
      <c r="F7" s="1958">
        <v>0</v>
      </c>
      <c r="G7" s="1958" t="s">
        <v>1473</v>
      </c>
      <c r="H7" s="1958" t="s">
        <v>1503</v>
      </c>
      <c r="I7" s="1958">
        <v>35000000</v>
      </c>
      <c r="J7" s="1958">
        <v>258834</v>
      </c>
      <c r="K7" s="1958" t="s">
        <v>728</v>
      </c>
      <c r="L7" s="1972">
        <v>40532</v>
      </c>
      <c r="M7" s="1972">
        <v>51490</v>
      </c>
      <c r="N7" s="1972">
        <v>40532</v>
      </c>
      <c r="O7" s="1972">
        <v>51490</v>
      </c>
      <c r="P7" s="1958">
        <v>35000000</v>
      </c>
      <c r="Q7" s="1958">
        <v>1942500</v>
      </c>
    </row>
    <row r="8" spans="1:17">
      <c r="A8" s="1958" t="s">
        <v>877</v>
      </c>
      <c r="B8" s="1958">
        <v>187</v>
      </c>
      <c r="C8" s="1958">
        <v>2023</v>
      </c>
      <c r="D8" s="1958">
        <v>12</v>
      </c>
      <c r="E8" s="1958">
        <v>7</v>
      </c>
      <c r="F8" s="1958">
        <v>0</v>
      </c>
      <c r="G8" s="1958" t="s">
        <v>1471</v>
      </c>
      <c r="H8" s="1958" t="s">
        <v>1502</v>
      </c>
      <c r="I8" s="1958">
        <v>85000000</v>
      </c>
      <c r="J8" s="1958">
        <v>692833</v>
      </c>
      <c r="K8" s="1958" t="s">
        <v>728</v>
      </c>
      <c r="L8" s="1972">
        <v>40891</v>
      </c>
      <c r="M8" s="1972">
        <v>51849</v>
      </c>
      <c r="N8" s="1972">
        <v>40891</v>
      </c>
      <c r="O8" s="1972">
        <v>51849</v>
      </c>
      <c r="P8" s="1958">
        <v>85000000</v>
      </c>
      <c r="Q8" s="1958">
        <v>3782500</v>
      </c>
    </row>
    <row r="9" spans="1:17">
      <c r="A9" s="1958" t="s">
        <v>877</v>
      </c>
      <c r="B9" s="1958">
        <v>187</v>
      </c>
      <c r="C9" s="1958">
        <v>2023</v>
      </c>
      <c r="D9" s="1958">
        <v>12</v>
      </c>
      <c r="E9" s="1958">
        <v>8</v>
      </c>
      <c r="F9" s="1958">
        <v>0</v>
      </c>
      <c r="G9" s="1958" t="s">
        <v>1469</v>
      </c>
      <c r="H9" s="1958" t="s">
        <v>1501</v>
      </c>
      <c r="I9" s="1958">
        <v>60000000</v>
      </c>
      <c r="J9" s="1958">
        <v>428205</v>
      </c>
      <c r="K9" s="1958" t="s">
        <v>728</v>
      </c>
      <c r="L9" s="1972">
        <v>41991</v>
      </c>
      <c r="M9" s="1972">
        <v>52932</v>
      </c>
      <c r="N9" s="1972">
        <v>41991</v>
      </c>
      <c r="O9" s="1972">
        <v>52932</v>
      </c>
      <c r="P9" s="1958">
        <v>60000000</v>
      </c>
      <c r="Q9" s="1958">
        <v>2466000</v>
      </c>
    </row>
    <row r="10" spans="1:17">
      <c r="A10" s="1958" t="s">
        <v>877</v>
      </c>
      <c r="B10" s="1958">
        <v>187</v>
      </c>
      <c r="C10" s="1958">
        <v>2023</v>
      </c>
      <c r="D10" s="1958">
        <v>12</v>
      </c>
      <c r="E10" s="1958">
        <v>9</v>
      </c>
      <c r="F10" s="1958">
        <v>0</v>
      </c>
      <c r="G10" s="1958" t="s">
        <v>1467</v>
      </c>
      <c r="H10" s="1958" t="s">
        <v>1500</v>
      </c>
      <c r="I10" s="1958">
        <v>100000000</v>
      </c>
      <c r="J10" s="1958">
        <v>590761</v>
      </c>
      <c r="K10" s="1958" t="s">
        <v>728</v>
      </c>
      <c r="L10" s="1972">
        <v>42354</v>
      </c>
      <c r="M10" s="1972">
        <v>53297</v>
      </c>
      <c r="N10" s="1972">
        <v>42354</v>
      </c>
      <c r="O10" s="1972">
        <v>53297</v>
      </c>
      <c r="P10" s="1958">
        <v>100000000</v>
      </c>
      <c r="Q10" s="1958">
        <v>4370000</v>
      </c>
    </row>
    <row r="11" spans="1:17">
      <c r="A11" s="1958" t="s">
        <v>877</v>
      </c>
      <c r="B11" s="1958">
        <v>187</v>
      </c>
      <c r="C11" s="1958">
        <v>2023</v>
      </c>
      <c r="D11" s="1958">
        <v>12</v>
      </c>
      <c r="E11" s="1958">
        <v>10</v>
      </c>
      <c r="F11" s="1958">
        <v>0</v>
      </c>
      <c r="G11" s="1958" t="s">
        <v>1465</v>
      </c>
      <c r="H11" s="1958" t="s">
        <v>1499</v>
      </c>
      <c r="I11" s="1958">
        <v>80000000</v>
      </c>
      <c r="J11" s="1958">
        <v>730832</v>
      </c>
      <c r="K11" s="1958" t="s">
        <v>728</v>
      </c>
      <c r="L11" s="1972">
        <v>41243</v>
      </c>
      <c r="M11" s="1972">
        <v>54025</v>
      </c>
      <c r="N11" s="1972">
        <v>41243</v>
      </c>
      <c r="O11" s="1972">
        <v>54025</v>
      </c>
      <c r="P11" s="1958">
        <v>80000000</v>
      </c>
      <c r="Q11" s="1958">
        <v>3384000</v>
      </c>
    </row>
    <row r="12" spans="1:17">
      <c r="A12" s="1958" t="s">
        <v>877</v>
      </c>
      <c r="B12" s="1958">
        <v>187</v>
      </c>
      <c r="C12" s="1958">
        <v>2023</v>
      </c>
      <c r="D12" s="1958">
        <v>12</v>
      </c>
      <c r="E12" s="1958">
        <v>11</v>
      </c>
      <c r="F12" s="1958">
        <v>0</v>
      </c>
      <c r="G12" s="1958" t="s">
        <v>1463</v>
      </c>
      <c r="H12" s="1958" t="s">
        <v>1498</v>
      </c>
      <c r="I12" s="1958">
        <v>90000000</v>
      </c>
      <c r="J12" s="1958">
        <v>552539</v>
      </c>
      <c r="K12" s="1958" t="s">
        <v>728</v>
      </c>
      <c r="L12" s="1972">
        <v>43083</v>
      </c>
      <c r="M12" s="1972">
        <v>54027</v>
      </c>
      <c r="N12" s="1972">
        <v>43083</v>
      </c>
      <c r="O12" s="1972">
        <v>54027</v>
      </c>
      <c r="P12" s="1958">
        <v>90000000</v>
      </c>
      <c r="Q12" s="1958">
        <v>3519000</v>
      </c>
    </row>
    <row r="13" spans="1:17">
      <c r="A13" s="1958" t="s">
        <v>877</v>
      </c>
      <c r="B13" s="1958">
        <v>187</v>
      </c>
      <c r="C13" s="1958">
        <v>2023</v>
      </c>
      <c r="D13" s="1958">
        <v>12</v>
      </c>
      <c r="E13" s="1958">
        <v>12</v>
      </c>
      <c r="F13" s="1958">
        <v>0</v>
      </c>
      <c r="G13" s="1958" t="s">
        <v>1461</v>
      </c>
      <c r="H13" s="1958" t="s">
        <v>1497</v>
      </c>
      <c r="I13" s="1958">
        <v>375000000</v>
      </c>
      <c r="J13" s="1958">
        <v>4246448</v>
      </c>
      <c r="K13" s="1958" t="s">
        <v>728</v>
      </c>
      <c r="L13" s="1972">
        <v>43242</v>
      </c>
      <c r="M13" s="1972">
        <v>54210</v>
      </c>
      <c r="N13" s="1972">
        <v>43242</v>
      </c>
      <c r="O13" s="1972">
        <v>54210</v>
      </c>
      <c r="P13" s="1958">
        <v>375000000</v>
      </c>
      <c r="Q13" s="1958">
        <v>16312500</v>
      </c>
    </row>
    <row r="14" spans="1:17">
      <c r="A14" s="1958" t="s">
        <v>877</v>
      </c>
      <c r="B14" s="1958">
        <v>187</v>
      </c>
      <c r="C14" s="1958">
        <v>2023</v>
      </c>
      <c r="D14" s="1958">
        <v>12</v>
      </c>
      <c r="E14" s="1958">
        <v>13</v>
      </c>
      <c r="F14" s="1958">
        <v>0</v>
      </c>
      <c r="G14" s="1958" t="s">
        <v>1459</v>
      </c>
      <c r="H14" s="1958" t="s">
        <v>1496</v>
      </c>
      <c r="I14" s="1958">
        <v>180000000</v>
      </c>
      <c r="J14" s="1958">
        <v>1108340</v>
      </c>
      <c r="K14" s="1958" t="s">
        <v>728</v>
      </c>
      <c r="L14" s="1972">
        <v>43795</v>
      </c>
      <c r="M14" s="1972">
        <v>54758</v>
      </c>
      <c r="N14" s="1972">
        <v>43795</v>
      </c>
      <c r="O14" s="1972">
        <v>54758</v>
      </c>
      <c r="P14" s="1958">
        <v>180000000</v>
      </c>
      <c r="Q14" s="1958">
        <v>6174000</v>
      </c>
    </row>
    <row r="15" spans="1:17">
      <c r="A15" s="1958" t="s">
        <v>877</v>
      </c>
      <c r="B15" s="1958">
        <v>187</v>
      </c>
      <c r="C15" s="1958">
        <v>2023</v>
      </c>
      <c r="D15" s="1958">
        <v>12</v>
      </c>
      <c r="E15" s="1958">
        <v>14</v>
      </c>
      <c r="F15" s="1958">
        <v>0</v>
      </c>
      <c r="G15" s="1958" t="s">
        <v>1457</v>
      </c>
      <c r="H15" s="1958" t="s">
        <v>1495</v>
      </c>
      <c r="I15" s="1958">
        <v>165000000</v>
      </c>
      <c r="J15" s="1958">
        <v>1074990</v>
      </c>
      <c r="K15" s="1958" t="s">
        <v>728</v>
      </c>
      <c r="L15" s="1972">
        <v>44104</v>
      </c>
      <c r="M15" s="1972">
        <v>55061</v>
      </c>
      <c r="N15" s="1972">
        <v>44104</v>
      </c>
      <c r="O15" s="1972">
        <v>55061</v>
      </c>
      <c r="P15" s="1958">
        <v>165000000</v>
      </c>
      <c r="Q15" s="1958">
        <v>5065500</v>
      </c>
    </row>
    <row r="16" spans="1:17">
      <c r="A16" s="1958" t="s">
        <v>877</v>
      </c>
      <c r="B16" s="1958">
        <v>187</v>
      </c>
      <c r="C16" s="1958">
        <v>2023</v>
      </c>
      <c r="D16" s="1958">
        <v>12</v>
      </c>
      <c r="E16" s="1958">
        <v>15</v>
      </c>
      <c r="F16" s="1958">
        <v>0</v>
      </c>
      <c r="G16" s="1958" t="s">
        <v>1454</v>
      </c>
      <c r="H16" s="1958" t="s">
        <v>1494</v>
      </c>
      <c r="I16" s="1958">
        <v>140000000</v>
      </c>
      <c r="J16" s="1958">
        <v>1083452</v>
      </c>
      <c r="K16" s="1958" t="s">
        <v>728</v>
      </c>
      <c r="L16" s="1972">
        <v>44467</v>
      </c>
      <c r="M16" s="1972">
        <v>55427</v>
      </c>
      <c r="N16" s="1972">
        <v>44467</v>
      </c>
      <c r="O16" s="1972">
        <v>55427</v>
      </c>
      <c r="P16" s="1958">
        <v>140000000</v>
      </c>
      <c r="Q16" s="1958">
        <v>4060000</v>
      </c>
    </row>
    <row r="17" spans="1:17">
      <c r="A17" s="1958" t="s">
        <v>877</v>
      </c>
      <c r="B17" s="1958">
        <v>187</v>
      </c>
      <c r="C17" s="1958">
        <v>2023</v>
      </c>
      <c r="D17" s="1958">
        <v>12</v>
      </c>
      <c r="E17" s="1958">
        <v>16</v>
      </c>
      <c r="F17" s="1958">
        <v>0</v>
      </c>
      <c r="G17" s="1958" t="s">
        <v>1452</v>
      </c>
      <c r="H17" s="1958" t="s">
        <v>1493</v>
      </c>
      <c r="I17" s="1958">
        <v>175000000</v>
      </c>
      <c r="J17" s="1958">
        <v>1042569</v>
      </c>
      <c r="K17" s="1958" t="s">
        <v>728</v>
      </c>
      <c r="L17" s="1972">
        <v>42719</v>
      </c>
      <c r="M17" s="1972">
        <v>55488</v>
      </c>
      <c r="N17" s="1972">
        <v>42719</v>
      </c>
      <c r="O17" s="1972">
        <v>55488</v>
      </c>
      <c r="P17" s="1958">
        <v>175000000</v>
      </c>
      <c r="Q17" s="1958">
        <v>6195000</v>
      </c>
    </row>
    <row r="18" spans="1:17">
      <c r="A18" s="1958" t="s">
        <v>877</v>
      </c>
      <c r="B18" s="1958">
        <v>187</v>
      </c>
      <c r="C18" s="1958">
        <v>2023</v>
      </c>
      <c r="D18" s="1958">
        <v>12</v>
      </c>
      <c r="E18" s="1958">
        <v>17</v>
      </c>
      <c r="F18" s="1958">
        <v>0</v>
      </c>
      <c r="G18" s="1958" t="s">
        <v>1451</v>
      </c>
      <c r="H18" s="1958" t="s">
        <v>1492</v>
      </c>
      <c r="I18" s="1958">
        <v>400000000</v>
      </c>
      <c r="J18" s="1958">
        <v>4579993</v>
      </c>
      <c r="K18" s="1958" t="s">
        <v>728</v>
      </c>
      <c r="L18" s="1972">
        <v>44637</v>
      </c>
      <c r="M18" s="1972">
        <v>55610</v>
      </c>
      <c r="N18" s="1972">
        <v>44637</v>
      </c>
      <c r="O18" s="1972">
        <v>55610</v>
      </c>
      <c r="P18" s="1958">
        <v>400000000</v>
      </c>
      <c r="Q18" s="1958">
        <v>16000000</v>
      </c>
    </row>
    <row r="19" spans="1:17">
      <c r="A19" s="1958" t="s">
        <v>877</v>
      </c>
      <c r="B19" s="1958">
        <v>187</v>
      </c>
      <c r="C19" s="1958">
        <v>2023</v>
      </c>
      <c r="D19" s="1958">
        <v>12</v>
      </c>
      <c r="E19" s="1958">
        <v>18</v>
      </c>
      <c r="F19" s="1958">
        <v>0</v>
      </c>
      <c r="G19" s="1958" t="s">
        <v>1450</v>
      </c>
      <c r="H19" s="1958" t="s">
        <v>1491</v>
      </c>
      <c r="I19" s="1958">
        <v>250000000</v>
      </c>
      <c r="J19" s="1958">
        <v>1444302</v>
      </c>
      <c r="K19" s="1958" t="s">
        <v>728</v>
      </c>
      <c r="L19" s="1972">
        <v>45014</v>
      </c>
      <c r="M19" s="1972">
        <v>55975</v>
      </c>
      <c r="N19" s="1972">
        <v>45014</v>
      </c>
      <c r="O19" s="1972">
        <v>55975</v>
      </c>
      <c r="P19" s="1958">
        <v>250000000</v>
      </c>
      <c r="Q19" s="1958">
        <v>10726613</v>
      </c>
    </row>
    <row r="20" spans="1:17">
      <c r="A20" s="1958" t="s">
        <v>877</v>
      </c>
      <c r="B20" s="1958">
        <v>187</v>
      </c>
      <c r="C20" s="1958">
        <v>2023</v>
      </c>
      <c r="D20" s="1958">
        <v>12</v>
      </c>
      <c r="E20" s="1958">
        <v>19</v>
      </c>
      <c r="F20" s="1958">
        <v>0</v>
      </c>
      <c r="G20" s="1958" t="s">
        <v>1449</v>
      </c>
      <c r="H20" s="1958" t="s">
        <v>1487</v>
      </c>
      <c r="I20" s="1958">
        <v>2543700000</v>
      </c>
      <c r="J20" s="1958">
        <v>24507641</v>
      </c>
      <c r="K20" s="1958" t="s">
        <v>728</v>
      </c>
      <c r="L20" s="1972" t="s">
        <v>728</v>
      </c>
      <c r="M20" s="1972" t="s">
        <v>728</v>
      </c>
      <c r="N20" s="1972" t="s">
        <v>728</v>
      </c>
      <c r="O20" s="1972" t="s">
        <v>728</v>
      </c>
      <c r="P20" s="1958">
        <v>2543700000</v>
      </c>
      <c r="Q20" s="1958">
        <v>103515113</v>
      </c>
    </row>
    <row r="21" spans="1:17">
      <c r="A21" s="1958" t="s">
        <v>877</v>
      </c>
      <c r="B21" s="1958">
        <v>187</v>
      </c>
      <c r="C21" s="1958">
        <v>2023</v>
      </c>
      <c r="D21" s="1958">
        <v>12</v>
      </c>
      <c r="E21" s="1958">
        <v>20</v>
      </c>
      <c r="F21" s="1958">
        <v>0</v>
      </c>
      <c r="G21" s="1958" t="s">
        <v>1448</v>
      </c>
      <c r="H21" s="1958" t="s">
        <v>1490</v>
      </c>
      <c r="I21" s="1958">
        <v>66700000</v>
      </c>
      <c r="K21" s="1958" t="s">
        <v>728</v>
      </c>
      <c r="L21" s="1972">
        <v>40527</v>
      </c>
      <c r="M21" s="1972">
        <v>48488</v>
      </c>
      <c r="N21" s="1972">
        <v>40527</v>
      </c>
      <c r="O21" s="1972">
        <v>48488</v>
      </c>
      <c r="P21" s="1958">
        <v>66700000</v>
      </c>
      <c r="Q21" s="1958">
        <v>2272812</v>
      </c>
    </row>
    <row r="22" spans="1:17">
      <c r="A22" s="1958" t="s">
        <v>877</v>
      </c>
      <c r="B22" s="1958">
        <v>187</v>
      </c>
      <c r="C22" s="1958">
        <v>2023</v>
      </c>
      <c r="D22" s="1958">
        <v>12</v>
      </c>
      <c r="E22" s="1958">
        <v>21</v>
      </c>
      <c r="F22" s="1958">
        <v>0</v>
      </c>
      <c r="G22" s="1958" t="s">
        <v>1447</v>
      </c>
      <c r="H22" s="1958" t="s">
        <v>1489</v>
      </c>
      <c r="I22" s="1958">
        <v>17000000</v>
      </c>
      <c r="K22" s="1958" t="s">
        <v>728</v>
      </c>
      <c r="L22" s="1972">
        <v>40527</v>
      </c>
      <c r="M22" s="1972">
        <v>49004</v>
      </c>
      <c r="N22" s="1972">
        <v>40527</v>
      </c>
      <c r="O22" s="1972">
        <v>49004</v>
      </c>
      <c r="P22" s="1958">
        <v>17000000</v>
      </c>
      <c r="Q22" s="1958">
        <v>579277</v>
      </c>
    </row>
    <row r="23" spans="1:17">
      <c r="A23" s="1958" t="s">
        <v>877</v>
      </c>
      <c r="B23" s="1958">
        <v>187</v>
      </c>
      <c r="C23" s="1958">
        <v>2023</v>
      </c>
      <c r="D23" s="1958">
        <v>12</v>
      </c>
      <c r="E23" s="1958">
        <v>22</v>
      </c>
      <c r="F23" s="1958">
        <v>0</v>
      </c>
      <c r="G23" s="1958" t="s">
        <v>1446</v>
      </c>
      <c r="H23" s="1958" t="s">
        <v>1487</v>
      </c>
      <c r="I23" s="1958">
        <v>83700000</v>
      </c>
      <c r="K23" s="1958" t="s">
        <v>728</v>
      </c>
      <c r="L23" s="1972" t="s">
        <v>728</v>
      </c>
      <c r="M23" s="1972" t="s">
        <v>728</v>
      </c>
      <c r="N23" s="1972" t="s">
        <v>728</v>
      </c>
      <c r="O23" s="1972" t="s">
        <v>728</v>
      </c>
      <c r="P23" s="1958">
        <v>83700000</v>
      </c>
      <c r="Q23" s="1958">
        <v>2852089</v>
      </c>
    </row>
    <row r="24" spans="1:17">
      <c r="A24" s="1958" t="s">
        <v>877</v>
      </c>
      <c r="B24" s="1958">
        <v>187</v>
      </c>
      <c r="C24" s="1958">
        <v>2023</v>
      </c>
      <c r="D24" s="1958">
        <v>12</v>
      </c>
      <c r="E24" s="1958">
        <v>23</v>
      </c>
      <c r="F24" s="1958">
        <v>0</v>
      </c>
      <c r="G24" s="1958" t="s">
        <v>1445</v>
      </c>
      <c r="H24" s="1958" t="s">
        <v>1488</v>
      </c>
      <c r="I24" s="1958">
        <v>51547000</v>
      </c>
      <c r="J24" s="1958">
        <v>1296086</v>
      </c>
      <c r="K24" s="1958" t="s">
        <v>728</v>
      </c>
      <c r="L24" s="1972">
        <v>35584</v>
      </c>
      <c r="M24" s="1972">
        <v>50192</v>
      </c>
      <c r="N24" s="1972">
        <v>35584</v>
      </c>
      <c r="O24" s="1972">
        <v>50192</v>
      </c>
      <c r="P24" s="1958">
        <v>51547000</v>
      </c>
      <c r="Q24" s="1958">
        <v>2503671</v>
      </c>
    </row>
    <row r="25" spans="1:17">
      <c r="A25" s="1958" t="s">
        <v>877</v>
      </c>
      <c r="B25" s="1958">
        <v>187</v>
      </c>
      <c r="C25" s="1958">
        <v>2023</v>
      </c>
      <c r="D25" s="1958">
        <v>12</v>
      </c>
      <c r="E25" s="1958">
        <v>24</v>
      </c>
      <c r="F25" s="1958">
        <v>0</v>
      </c>
      <c r="G25" s="1958" t="s">
        <v>1444</v>
      </c>
      <c r="H25" s="1958" t="s">
        <v>1487</v>
      </c>
      <c r="I25" s="1958">
        <v>51547000</v>
      </c>
      <c r="J25" s="1958">
        <v>1296086</v>
      </c>
      <c r="K25" s="1958" t="s">
        <v>728</v>
      </c>
      <c r="L25" s="1972"/>
      <c r="M25" s="1972"/>
      <c r="P25" s="1958">
        <v>51547000</v>
      </c>
      <c r="Q25" s="1958">
        <v>2503671</v>
      </c>
    </row>
    <row r="26" spans="1:17">
      <c r="A26" s="1958" t="s">
        <v>877</v>
      </c>
      <c r="B26" s="1958">
        <v>187</v>
      </c>
      <c r="C26" s="1958">
        <v>2023</v>
      </c>
      <c r="D26" s="1958">
        <v>12</v>
      </c>
      <c r="E26" s="1958">
        <v>25</v>
      </c>
      <c r="F26" s="1958">
        <v>0</v>
      </c>
      <c r="G26" s="1958" t="s">
        <v>1443</v>
      </c>
      <c r="H26" s="1958" t="s">
        <v>1487</v>
      </c>
      <c r="K26" s="1958" t="s">
        <v>728</v>
      </c>
      <c r="L26" s="1972"/>
      <c r="M26" s="1972"/>
      <c r="P26" s="1958">
        <v>0</v>
      </c>
    </row>
    <row r="27" spans="1:17">
      <c r="A27" s="1958" t="s">
        <v>877</v>
      </c>
      <c r="B27" s="1958">
        <v>187</v>
      </c>
      <c r="C27" s="1958">
        <v>2023</v>
      </c>
      <c r="D27" s="1958">
        <v>12</v>
      </c>
      <c r="E27" s="1958">
        <v>26</v>
      </c>
      <c r="F27" s="1958">
        <v>0</v>
      </c>
      <c r="G27" s="1958" t="s">
        <v>1442</v>
      </c>
      <c r="H27" s="1958" t="s">
        <v>197</v>
      </c>
      <c r="I27" s="1958">
        <v>2678947000</v>
      </c>
      <c r="J27" s="1958" t="s">
        <v>728</v>
      </c>
      <c r="K27" s="1958" t="s">
        <v>728</v>
      </c>
      <c r="L27" s="1972"/>
      <c r="M27" s="1972"/>
      <c r="P27" s="1958">
        <v>2511547000</v>
      </c>
      <c r="Q27" s="1958">
        <v>108870873</v>
      </c>
    </row>
  </sheetData>
  <pageMargins left="0.75" right="0.75" top="1" bottom="1" header="0.5" footer="0.5"/>
  <pageSetup orientation="portrait" r:id="rId1"/>
  <customProperties>
    <customPr name="xxe4aPID" r:id="rId2"/>
  </customPropertie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CABEE-31CC-4000-BB6F-6AB1E89A4700}">
  <sheetPr codeName="Sheet56">
    <tabColor rgb="FF92D050"/>
  </sheetPr>
  <dimension ref="A1:W104"/>
  <sheetViews>
    <sheetView topLeftCell="G1" workbookViewId="0">
      <selection activeCell="D400" sqref="D400"/>
    </sheetView>
  </sheetViews>
  <sheetFormatPr defaultColWidth="9" defaultRowHeight="12.75"/>
  <cols>
    <col min="1" max="1" width="14.25" style="1958" hidden="1" customWidth="1"/>
    <col min="2" max="2" width="6.25" style="1958" hidden="1" customWidth="1"/>
    <col min="3" max="3" width="7.375" style="1958" hidden="1" customWidth="1"/>
    <col min="4" max="4" width="8.25" style="1958" hidden="1" customWidth="1"/>
    <col min="5" max="5" width="9.75" style="1958" hidden="1" customWidth="1"/>
    <col min="6" max="6" width="10.75" style="1958" hidden="1" customWidth="1"/>
    <col min="7" max="7" width="8.25" style="1958" bestFit="1" customWidth="1"/>
    <col min="8" max="8" width="23.875" style="1958" bestFit="1" customWidth="1"/>
    <col min="9" max="9" width="14" style="1958" hidden="1" customWidth="1"/>
    <col min="10" max="10" width="13.125" style="1958" hidden="1" customWidth="1"/>
    <col min="11" max="11" width="13.625" style="1958" hidden="1" customWidth="1"/>
    <col min="12" max="12" width="13.5" style="1958" bestFit="1" customWidth="1"/>
    <col min="13" max="13" width="9.875" style="1958" hidden="1" customWidth="1"/>
    <col min="14" max="14" width="14" style="1958" hidden="1" customWidth="1"/>
    <col min="15" max="15" width="13.125" style="1958" hidden="1" customWidth="1"/>
    <col min="16" max="16" width="8" style="1958" hidden="1" customWidth="1"/>
    <col min="17" max="18" width="13.25" style="1958" hidden="1" customWidth="1"/>
    <col min="19" max="19" width="8.5" style="1958" hidden="1" customWidth="1"/>
    <col min="20" max="16384" width="9" style="1958"/>
  </cols>
  <sheetData>
    <row r="1" spans="1:20">
      <c r="A1" s="1958" t="s">
        <v>984</v>
      </c>
      <c r="B1" s="1958" t="s">
        <v>983</v>
      </c>
      <c r="C1" s="1958" t="s">
        <v>982</v>
      </c>
      <c r="D1" s="1958" t="s">
        <v>981</v>
      </c>
      <c r="E1" s="1958" t="s">
        <v>980</v>
      </c>
      <c r="F1" s="1958" t="s">
        <v>979</v>
      </c>
      <c r="G1" s="1958" t="s">
        <v>1159</v>
      </c>
      <c r="H1" s="1958" t="s">
        <v>1610</v>
      </c>
      <c r="I1" s="1958" t="s">
        <v>1609</v>
      </c>
      <c r="J1" s="1958" t="s">
        <v>1608</v>
      </c>
      <c r="K1" s="1958" t="s">
        <v>1607</v>
      </c>
      <c r="L1" s="1970" t="s">
        <v>1606</v>
      </c>
      <c r="M1" s="1958" t="s">
        <v>1330</v>
      </c>
      <c r="N1" s="1958" t="s">
        <v>1605</v>
      </c>
      <c r="O1" s="1958" t="s">
        <v>1604</v>
      </c>
      <c r="P1" s="1958" t="s">
        <v>1603</v>
      </c>
      <c r="Q1" s="1958" t="s">
        <v>1602</v>
      </c>
      <c r="R1" s="1958" t="s">
        <v>1601</v>
      </c>
      <c r="S1" s="1958" t="s">
        <v>1600</v>
      </c>
    </row>
    <row r="2" spans="1:20">
      <c r="A2" s="1958" t="s">
        <v>877</v>
      </c>
      <c r="B2" s="1958">
        <v>187</v>
      </c>
      <c r="C2" s="1958">
        <v>2023</v>
      </c>
      <c r="D2" s="1958">
        <v>12</v>
      </c>
      <c r="E2" s="1958">
        <v>1</v>
      </c>
      <c r="F2" s="1958">
        <v>0</v>
      </c>
      <c r="G2" s="1958" t="s">
        <v>1483</v>
      </c>
      <c r="H2" s="1958" t="s">
        <v>1599</v>
      </c>
      <c r="I2" s="1958">
        <v>0</v>
      </c>
      <c r="J2" s="1958">
        <v>0</v>
      </c>
      <c r="K2" s="1958">
        <v>0</v>
      </c>
      <c r="L2" s="1970">
        <v>0</v>
      </c>
      <c r="M2" s="1958">
        <v>0</v>
      </c>
      <c r="N2" s="1958">
        <v>0</v>
      </c>
      <c r="O2" s="1958">
        <v>0</v>
      </c>
      <c r="P2" s="1958">
        <v>0</v>
      </c>
      <c r="Q2" s="1958">
        <v>0</v>
      </c>
      <c r="R2" s="1958">
        <v>0</v>
      </c>
      <c r="S2" s="1958">
        <v>0</v>
      </c>
    </row>
    <row r="3" spans="1:20">
      <c r="A3" s="1958" t="s">
        <v>877</v>
      </c>
      <c r="B3" s="1958">
        <v>187</v>
      </c>
      <c r="C3" s="1958">
        <v>2023</v>
      </c>
      <c r="E3" s="1958">
        <v>2</v>
      </c>
      <c r="F3" s="1958">
        <v>0</v>
      </c>
      <c r="G3" s="1958" t="s">
        <v>1481</v>
      </c>
      <c r="H3" s="1958" t="s">
        <v>1598</v>
      </c>
      <c r="I3" s="1958">
        <v>0</v>
      </c>
      <c r="J3" s="1958">
        <v>0</v>
      </c>
      <c r="K3" s="1958">
        <v>0</v>
      </c>
      <c r="L3" s="1970">
        <v>-800000</v>
      </c>
      <c r="M3" s="1958">
        <v>-800000</v>
      </c>
      <c r="N3" s="1958">
        <v>0</v>
      </c>
      <c r="O3" s="1958">
        <v>0</v>
      </c>
      <c r="P3" s="1958">
        <v>0</v>
      </c>
      <c r="Q3" s="1958">
        <v>0</v>
      </c>
      <c r="R3" s="1958">
        <v>0</v>
      </c>
      <c r="S3" s="1958">
        <v>0</v>
      </c>
      <c r="T3" s="1958">
        <v>1</v>
      </c>
    </row>
    <row r="4" spans="1:20">
      <c r="A4" s="1958" t="s">
        <v>877</v>
      </c>
      <c r="B4" s="1958">
        <v>187</v>
      </c>
      <c r="C4" s="1958">
        <v>2023</v>
      </c>
      <c r="D4" s="1958">
        <v>12</v>
      </c>
      <c r="E4" s="1958">
        <v>3</v>
      </c>
      <c r="F4" s="1958">
        <v>0</v>
      </c>
      <c r="G4" s="1958" t="s">
        <v>1479</v>
      </c>
      <c r="H4" s="1958" t="s">
        <v>1563</v>
      </c>
      <c r="I4" s="1958">
        <v>0</v>
      </c>
      <c r="J4" s="1958">
        <v>0</v>
      </c>
      <c r="K4" s="1958">
        <v>1271339</v>
      </c>
      <c r="L4" s="1970">
        <v>238248</v>
      </c>
      <c r="M4" s="1958">
        <v>-1033091</v>
      </c>
      <c r="N4" s="1958">
        <v>0</v>
      </c>
      <c r="O4" s="1958">
        <v>0</v>
      </c>
      <c r="P4" s="1958">
        <v>730140</v>
      </c>
      <c r="Q4" s="1958">
        <v>0</v>
      </c>
      <c r="R4" s="1958">
        <v>0</v>
      </c>
      <c r="S4" s="1958">
        <v>541199</v>
      </c>
      <c r="T4" s="1958">
        <v>1</v>
      </c>
    </row>
    <row r="5" spans="1:20">
      <c r="A5" s="1958" t="s">
        <v>877</v>
      </c>
      <c r="B5" s="1958">
        <v>187</v>
      </c>
      <c r="C5" s="1958">
        <v>2023</v>
      </c>
      <c r="D5" s="1958">
        <v>12</v>
      </c>
      <c r="E5" s="1958">
        <v>4</v>
      </c>
      <c r="F5" s="1958">
        <v>0</v>
      </c>
      <c r="G5" s="1958" t="s">
        <v>1477</v>
      </c>
      <c r="H5" s="1958" t="s">
        <v>1561</v>
      </c>
      <c r="I5" s="1958">
        <v>0</v>
      </c>
      <c r="J5" s="1958">
        <v>0</v>
      </c>
      <c r="K5" s="1958">
        <v>-1007626</v>
      </c>
      <c r="L5" s="1970">
        <v>-1679000</v>
      </c>
      <c r="M5" s="1958">
        <v>-671374</v>
      </c>
      <c r="N5" s="1958">
        <v>0</v>
      </c>
      <c r="O5" s="1958">
        <v>0</v>
      </c>
      <c r="P5" s="1958">
        <v>-8445193</v>
      </c>
      <c r="Q5" s="1958">
        <v>0</v>
      </c>
      <c r="R5" s="1958">
        <v>0</v>
      </c>
      <c r="S5" s="1958">
        <v>7437567</v>
      </c>
      <c r="T5" s="1958">
        <v>1</v>
      </c>
    </row>
    <row r="6" spans="1:20">
      <c r="A6" s="1958" t="s">
        <v>877</v>
      </c>
      <c r="B6" s="1958">
        <v>187</v>
      </c>
      <c r="C6" s="1958">
        <v>2023</v>
      </c>
      <c r="D6" s="1958">
        <v>12</v>
      </c>
      <c r="E6" s="1958">
        <v>5</v>
      </c>
      <c r="F6" s="1958">
        <v>0</v>
      </c>
      <c r="G6" s="1958" t="s">
        <v>1475</v>
      </c>
      <c r="H6" s="1958" t="s">
        <v>1597</v>
      </c>
      <c r="I6" s="1958">
        <v>0</v>
      </c>
      <c r="J6" s="1958">
        <v>0</v>
      </c>
      <c r="K6" s="1958">
        <v>0</v>
      </c>
      <c r="L6" s="1970">
        <v>-14004</v>
      </c>
      <c r="M6" s="1958">
        <v>-14004</v>
      </c>
      <c r="N6" s="1958">
        <v>0</v>
      </c>
      <c r="O6" s="1958">
        <v>0</v>
      </c>
      <c r="P6" s="1958">
        <v>0</v>
      </c>
      <c r="Q6" s="1958">
        <v>0</v>
      </c>
      <c r="R6" s="1958">
        <v>0</v>
      </c>
      <c r="S6" s="1958">
        <v>0</v>
      </c>
      <c r="T6" s="1958">
        <v>2</v>
      </c>
    </row>
    <row r="7" spans="1:20">
      <c r="A7" s="1958" t="s">
        <v>877</v>
      </c>
      <c r="B7" s="1958">
        <v>187</v>
      </c>
      <c r="C7" s="1958">
        <v>2023</v>
      </c>
      <c r="D7" s="1958">
        <v>12</v>
      </c>
      <c r="E7" s="1958">
        <v>6</v>
      </c>
      <c r="F7" s="1958">
        <v>0</v>
      </c>
      <c r="G7" s="1958" t="s">
        <v>1473</v>
      </c>
      <c r="H7" s="1958" t="s">
        <v>1540</v>
      </c>
      <c r="I7" s="1958">
        <v>796213</v>
      </c>
      <c r="J7" s="1958">
        <v>0</v>
      </c>
      <c r="K7" s="1958">
        <v>234843</v>
      </c>
      <c r="L7" s="1970">
        <v>-8879</v>
      </c>
      <c r="M7" s="1958">
        <v>-1039935</v>
      </c>
      <c r="N7" s="1958">
        <v>0</v>
      </c>
      <c r="O7" s="1958">
        <v>0</v>
      </c>
      <c r="P7" s="1958">
        <v>81393</v>
      </c>
      <c r="Q7" s="1958">
        <v>0</v>
      </c>
      <c r="R7" s="1958">
        <v>0</v>
      </c>
      <c r="S7" s="1958">
        <v>153450</v>
      </c>
      <c r="T7" s="1958">
        <v>2</v>
      </c>
    </row>
    <row r="8" spans="1:20">
      <c r="A8" s="1958" t="s">
        <v>877</v>
      </c>
      <c r="B8" s="1958">
        <v>187</v>
      </c>
      <c r="C8" s="1958">
        <v>2023</v>
      </c>
      <c r="D8" s="1958">
        <v>12</v>
      </c>
      <c r="E8" s="1958">
        <v>7</v>
      </c>
      <c r="F8" s="1958">
        <v>0</v>
      </c>
      <c r="G8" s="1958" t="s">
        <v>1471</v>
      </c>
      <c r="H8" s="1958" t="s">
        <v>1538</v>
      </c>
      <c r="I8" s="1958">
        <v>0</v>
      </c>
      <c r="J8" s="1958">
        <v>0</v>
      </c>
      <c r="K8" s="1958">
        <v>17276344</v>
      </c>
      <c r="L8" s="1970">
        <v>17277550</v>
      </c>
      <c r="M8" s="1958">
        <v>1054060</v>
      </c>
      <c r="N8" s="1958">
        <v>1052854</v>
      </c>
      <c r="O8" s="1958">
        <v>0</v>
      </c>
      <c r="P8" s="1958">
        <v>5987700</v>
      </c>
      <c r="Q8" s="1958">
        <v>0</v>
      </c>
      <c r="R8" s="1958">
        <v>0</v>
      </c>
      <c r="S8" s="1958">
        <v>11288644</v>
      </c>
      <c r="T8" s="1958">
        <v>2</v>
      </c>
    </row>
    <row r="9" spans="1:20">
      <c r="A9" s="1958" t="s">
        <v>877</v>
      </c>
      <c r="B9" s="1958">
        <v>187</v>
      </c>
      <c r="C9" s="1958">
        <v>2023</v>
      </c>
      <c r="D9" s="1958">
        <v>12</v>
      </c>
      <c r="E9" s="1958">
        <v>9</v>
      </c>
      <c r="F9" s="1958">
        <v>0</v>
      </c>
      <c r="G9" s="1958" t="s">
        <v>1467</v>
      </c>
      <c r="H9" s="1958" t="s">
        <v>1596</v>
      </c>
      <c r="I9" s="1958">
        <f t="shared" ref="I9:S9" si="0">SUM(I2:I8)</f>
        <v>796213</v>
      </c>
      <c r="J9" s="1958">
        <f t="shared" si="0"/>
        <v>0</v>
      </c>
      <c r="K9" s="1958">
        <f t="shared" si="0"/>
        <v>17774900</v>
      </c>
      <c r="L9" s="1970">
        <f t="shared" si="0"/>
        <v>15013915</v>
      </c>
      <c r="M9" s="1958">
        <f t="shared" si="0"/>
        <v>-2504344</v>
      </c>
      <c r="N9" s="1958">
        <f t="shared" si="0"/>
        <v>1052854</v>
      </c>
      <c r="O9" s="1958">
        <f t="shared" si="0"/>
        <v>0</v>
      </c>
      <c r="P9" s="1958">
        <f t="shared" si="0"/>
        <v>-1645960</v>
      </c>
      <c r="Q9" s="1958">
        <f t="shared" si="0"/>
        <v>0</v>
      </c>
      <c r="R9" s="1958">
        <f t="shared" si="0"/>
        <v>0</v>
      </c>
      <c r="S9" s="1958">
        <f t="shared" si="0"/>
        <v>19420860</v>
      </c>
    </row>
    <row r="10" spans="1:20">
      <c r="A10" s="1958" t="s">
        <v>877</v>
      </c>
      <c r="B10" s="1958">
        <v>187</v>
      </c>
      <c r="C10" s="1958">
        <v>2023</v>
      </c>
      <c r="D10" s="1958">
        <v>12</v>
      </c>
      <c r="E10" s="1958">
        <v>10</v>
      </c>
      <c r="F10" s="1958">
        <v>0</v>
      </c>
      <c r="G10" s="1958" t="s">
        <v>1465</v>
      </c>
      <c r="H10" s="1958" t="s">
        <v>728</v>
      </c>
      <c r="I10" s="1958">
        <v>0</v>
      </c>
      <c r="J10" s="1958">
        <v>0</v>
      </c>
      <c r="K10" s="1958">
        <v>0</v>
      </c>
      <c r="L10" s="1970">
        <v>0</v>
      </c>
      <c r="M10" s="1958">
        <v>0</v>
      </c>
      <c r="N10" s="1958">
        <v>0</v>
      </c>
      <c r="O10" s="1958">
        <v>0</v>
      </c>
      <c r="P10" s="1958">
        <v>0</v>
      </c>
      <c r="Q10" s="1958">
        <v>0</v>
      </c>
      <c r="R10" s="1958">
        <v>0</v>
      </c>
      <c r="S10" s="1958">
        <v>0</v>
      </c>
    </row>
    <row r="11" spans="1:20">
      <c r="A11" s="1958" t="s">
        <v>877</v>
      </c>
      <c r="B11" s="1958">
        <v>187</v>
      </c>
      <c r="C11" s="1958">
        <v>2023</v>
      </c>
      <c r="D11" s="1958">
        <v>12</v>
      </c>
      <c r="E11" s="1958">
        <v>11</v>
      </c>
      <c r="F11" s="1958">
        <v>0</v>
      </c>
      <c r="G11" s="1958" t="s">
        <v>1463</v>
      </c>
      <c r="H11" s="1958" t="s">
        <v>1595</v>
      </c>
      <c r="I11" s="1958">
        <v>0</v>
      </c>
      <c r="J11" s="1958">
        <v>0</v>
      </c>
      <c r="K11" s="1958">
        <v>0</v>
      </c>
      <c r="L11" s="1970">
        <v>0</v>
      </c>
      <c r="M11" s="1958">
        <v>0</v>
      </c>
      <c r="N11" s="1958">
        <v>0</v>
      </c>
      <c r="O11" s="1958">
        <v>0</v>
      </c>
      <c r="P11" s="1958">
        <v>0</v>
      </c>
      <c r="Q11" s="1958">
        <v>0</v>
      </c>
      <c r="R11" s="1958">
        <v>0</v>
      </c>
      <c r="S11" s="1958">
        <v>0</v>
      </c>
    </row>
    <row r="12" spans="1:20">
      <c r="A12" s="1958" t="s">
        <v>877</v>
      </c>
      <c r="B12" s="1958">
        <v>187</v>
      </c>
      <c r="C12" s="1958">
        <v>2023</v>
      </c>
      <c r="D12" s="1958">
        <v>12</v>
      </c>
      <c r="E12" s="1958">
        <v>12</v>
      </c>
      <c r="F12" s="1958">
        <v>0</v>
      </c>
      <c r="G12" s="1958" t="s">
        <v>1461</v>
      </c>
      <c r="H12" s="1958" t="s">
        <v>1557</v>
      </c>
      <c r="I12" s="1958">
        <v>18573985</v>
      </c>
      <c r="J12" s="1958">
        <v>0</v>
      </c>
      <c r="K12" s="1958">
        <v>-2685052</v>
      </c>
      <c r="L12" s="1970">
        <v>15889288</v>
      </c>
      <c r="M12" s="1958">
        <v>355</v>
      </c>
      <c r="N12" s="1958">
        <v>0</v>
      </c>
      <c r="O12" s="1958">
        <v>0</v>
      </c>
      <c r="P12" s="1958">
        <v>-2115275</v>
      </c>
      <c r="Q12" s="1958">
        <v>0</v>
      </c>
      <c r="R12" s="1958">
        <v>0</v>
      </c>
      <c r="S12" s="1958">
        <v>-569777</v>
      </c>
      <c r="T12" s="1958">
        <v>3</v>
      </c>
    </row>
    <row r="13" spans="1:20">
      <c r="A13" s="1958" t="s">
        <v>877</v>
      </c>
      <c r="B13" s="1958">
        <v>187</v>
      </c>
      <c r="C13" s="1958">
        <v>2023</v>
      </c>
      <c r="D13" s="1958">
        <v>12</v>
      </c>
      <c r="E13" s="1958">
        <v>13</v>
      </c>
      <c r="F13" s="1958">
        <v>0</v>
      </c>
      <c r="G13" s="1958" t="s">
        <v>1459</v>
      </c>
      <c r="H13" s="1958" t="s">
        <v>1555</v>
      </c>
      <c r="I13" s="1958">
        <v>0</v>
      </c>
      <c r="J13" s="1958">
        <v>0</v>
      </c>
      <c r="K13" s="1958">
        <v>14235079</v>
      </c>
      <c r="L13" s="1970">
        <v>1405</v>
      </c>
      <c r="M13" s="1958">
        <v>-354</v>
      </c>
      <c r="N13" s="1958">
        <v>14233320</v>
      </c>
      <c r="O13" s="1958">
        <v>0</v>
      </c>
      <c r="P13" s="1958">
        <v>10920067</v>
      </c>
      <c r="Q13" s="1958">
        <v>0</v>
      </c>
      <c r="R13" s="1958">
        <v>0</v>
      </c>
      <c r="S13" s="1958">
        <v>3315012</v>
      </c>
      <c r="T13" s="1958">
        <v>3</v>
      </c>
    </row>
    <row r="14" spans="1:20">
      <c r="A14" s="1958" t="s">
        <v>877</v>
      </c>
      <c r="B14" s="1958">
        <v>187</v>
      </c>
      <c r="C14" s="1958">
        <v>2023</v>
      </c>
      <c r="D14" s="1958">
        <v>12</v>
      </c>
      <c r="E14" s="1958">
        <v>14</v>
      </c>
      <c r="F14" s="1958">
        <v>0</v>
      </c>
      <c r="G14" s="1958" t="s">
        <v>1457</v>
      </c>
      <c r="H14" s="1958" t="s">
        <v>1594</v>
      </c>
      <c r="I14" s="1958">
        <v>3980660</v>
      </c>
      <c r="J14" s="1958">
        <v>0</v>
      </c>
      <c r="K14" s="1958">
        <v>78882</v>
      </c>
      <c r="L14" s="1970">
        <v>4059542</v>
      </c>
      <c r="M14" s="1958">
        <v>0</v>
      </c>
      <c r="N14" s="1958">
        <v>0</v>
      </c>
      <c r="O14" s="1958">
        <v>0</v>
      </c>
      <c r="P14" s="1958">
        <v>81744</v>
      </c>
      <c r="Q14" s="1958">
        <v>0</v>
      </c>
      <c r="R14" s="1958">
        <v>0</v>
      </c>
      <c r="S14" s="1958">
        <v>-2862</v>
      </c>
      <c r="T14" s="1958">
        <v>4</v>
      </c>
    </row>
    <row r="15" spans="1:20">
      <c r="A15" s="1958" t="s">
        <v>877</v>
      </c>
      <c r="B15" s="1958">
        <v>187</v>
      </c>
      <c r="C15" s="1958">
        <v>2023</v>
      </c>
      <c r="D15" s="1958">
        <v>12</v>
      </c>
      <c r="E15" s="1958">
        <v>15</v>
      </c>
      <c r="F15" s="1958">
        <v>0</v>
      </c>
      <c r="G15" s="1958" t="s">
        <v>1454</v>
      </c>
      <c r="H15" s="1958" t="s">
        <v>1593</v>
      </c>
      <c r="I15" s="1958">
        <v>0</v>
      </c>
      <c r="J15" s="1958">
        <v>0</v>
      </c>
      <c r="K15" s="1958">
        <v>34977642</v>
      </c>
      <c r="L15" s="1970">
        <v>31016843</v>
      </c>
      <c r="M15" s="1958">
        <v>0</v>
      </c>
      <c r="N15" s="1958">
        <v>3960799</v>
      </c>
      <c r="O15" s="1958">
        <v>0</v>
      </c>
      <c r="P15" s="1958">
        <v>24313394</v>
      </c>
      <c r="Q15" s="1958">
        <v>0</v>
      </c>
      <c r="R15" s="1958">
        <v>0</v>
      </c>
      <c r="S15" s="1958">
        <v>10664248</v>
      </c>
      <c r="T15" s="1958">
        <v>4</v>
      </c>
    </row>
    <row r="16" spans="1:20">
      <c r="A16" s="1958" t="s">
        <v>877</v>
      </c>
      <c r="B16" s="1958">
        <v>187</v>
      </c>
      <c r="C16" s="1958">
        <v>2023</v>
      </c>
      <c r="D16" s="1958">
        <v>12</v>
      </c>
      <c r="E16" s="1958">
        <v>16</v>
      </c>
      <c r="F16" s="1958">
        <v>0</v>
      </c>
      <c r="G16" s="1958" t="s">
        <v>1452</v>
      </c>
      <c r="H16" s="1958" t="s">
        <v>1540</v>
      </c>
      <c r="I16" s="1958">
        <v>72315</v>
      </c>
      <c r="J16" s="1958">
        <v>0</v>
      </c>
      <c r="K16" s="1958">
        <v>0</v>
      </c>
      <c r="L16" s="1970">
        <v>89303</v>
      </c>
      <c r="M16" s="1958">
        <v>16988</v>
      </c>
      <c r="N16" s="1958">
        <v>0</v>
      </c>
      <c r="O16" s="1958">
        <v>0</v>
      </c>
      <c r="P16" s="1958">
        <v>0</v>
      </c>
      <c r="Q16" s="1958">
        <v>0</v>
      </c>
      <c r="R16" s="1958">
        <v>0</v>
      </c>
      <c r="S16" s="1958">
        <v>0</v>
      </c>
      <c r="T16" s="1958">
        <v>8</v>
      </c>
    </row>
    <row r="17" spans="1:20">
      <c r="A17" s="1958" t="s">
        <v>877</v>
      </c>
      <c r="B17" s="1958">
        <v>187</v>
      </c>
      <c r="C17" s="1958">
        <v>2023</v>
      </c>
      <c r="D17" s="1958">
        <v>12</v>
      </c>
      <c r="E17" s="1958">
        <v>17</v>
      </c>
      <c r="F17" s="1958">
        <v>0</v>
      </c>
      <c r="G17" s="1958" t="s">
        <v>1451</v>
      </c>
      <c r="H17" s="1958" t="s">
        <v>1538</v>
      </c>
      <c r="I17" s="1958">
        <v>0</v>
      </c>
      <c r="J17" s="1958">
        <v>0</v>
      </c>
      <c r="K17" s="1958">
        <v>1119287</v>
      </c>
      <c r="L17" s="1970">
        <v>1244525</v>
      </c>
      <c r="M17" s="1958">
        <v>0</v>
      </c>
      <c r="N17" s="1958">
        <v>-125238</v>
      </c>
      <c r="O17" s="1958">
        <v>0</v>
      </c>
      <c r="P17" s="1958">
        <v>387927</v>
      </c>
      <c r="Q17" s="1958">
        <v>0</v>
      </c>
      <c r="R17" s="1958">
        <v>0</v>
      </c>
      <c r="S17" s="1958">
        <v>731360</v>
      </c>
      <c r="T17" s="1958">
        <v>8</v>
      </c>
    </row>
    <row r="18" spans="1:20">
      <c r="A18" s="1958" t="s">
        <v>877</v>
      </c>
      <c r="B18" s="1958">
        <v>187</v>
      </c>
      <c r="C18" s="1958">
        <v>2023</v>
      </c>
      <c r="D18" s="1958">
        <v>12</v>
      </c>
      <c r="E18" s="1958">
        <v>18</v>
      </c>
      <c r="F18" s="1958">
        <v>0</v>
      </c>
      <c r="G18" s="1958" t="s">
        <v>1450</v>
      </c>
      <c r="H18" s="1958" t="s">
        <v>1592</v>
      </c>
      <c r="I18" s="1958">
        <v>46608</v>
      </c>
      <c r="J18" s="1958">
        <v>0</v>
      </c>
      <c r="K18" s="1958">
        <v>709</v>
      </c>
      <c r="L18" s="1970">
        <v>47318</v>
      </c>
      <c r="M18" s="1958">
        <v>1</v>
      </c>
      <c r="N18" s="1958">
        <v>0</v>
      </c>
      <c r="O18" s="1958">
        <v>0</v>
      </c>
      <c r="P18" s="1958">
        <v>709</v>
      </c>
      <c r="Q18" s="1958">
        <v>0</v>
      </c>
      <c r="R18" s="1958">
        <v>0</v>
      </c>
      <c r="S18" s="1958">
        <v>0</v>
      </c>
      <c r="T18" s="1958">
        <v>4</v>
      </c>
    </row>
    <row r="19" spans="1:20">
      <c r="A19" s="1958" t="s">
        <v>877</v>
      </c>
      <c r="B19" s="1958">
        <v>187</v>
      </c>
      <c r="C19" s="1958">
        <v>2023</v>
      </c>
      <c r="D19" s="1958">
        <v>12</v>
      </c>
      <c r="E19" s="1958">
        <v>19</v>
      </c>
      <c r="F19" s="1958">
        <v>0</v>
      </c>
      <c r="G19" s="1958" t="s">
        <v>1449</v>
      </c>
      <c r="H19" s="1958" t="s">
        <v>1591</v>
      </c>
      <c r="I19" s="1958">
        <v>4001655</v>
      </c>
      <c r="J19" s="1958">
        <v>0</v>
      </c>
      <c r="K19" s="1958">
        <v>48832</v>
      </c>
      <c r="L19" s="1970">
        <v>4050487</v>
      </c>
      <c r="M19" s="1958">
        <v>0</v>
      </c>
      <c r="N19" s="1958">
        <v>0</v>
      </c>
      <c r="O19" s="1958">
        <v>0</v>
      </c>
      <c r="P19" s="1958">
        <v>44370</v>
      </c>
      <c r="Q19" s="1958">
        <v>0</v>
      </c>
      <c r="R19" s="1958">
        <v>0</v>
      </c>
      <c r="S19" s="1958">
        <v>4462</v>
      </c>
      <c r="T19" s="1958">
        <v>7</v>
      </c>
    </row>
    <row r="20" spans="1:20">
      <c r="A20" s="1958" t="s">
        <v>877</v>
      </c>
      <c r="B20" s="1958">
        <v>187</v>
      </c>
      <c r="C20" s="1958">
        <v>2023</v>
      </c>
      <c r="D20" s="1958">
        <v>12</v>
      </c>
      <c r="E20" s="1958">
        <v>20</v>
      </c>
      <c r="F20" s="1958">
        <v>0</v>
      </c>
      <c r="G20" s="1958" t="s">
        <v>1448</v>
      </c>
      <c r="H20" s="1958" t="s">
        <v>1590</v>
      </c>
      <c r="I20" s="1958">
        <v>0</v>
      </c>
      <c r="J20" s="1958">
        <v>0</v>
      </c>
      <c r="K20" s="1958">
        <v>29728805</v>
      </c>
      <c r="L20" s="1970">
        <v>25905105</v>
      </c>
      <c r="M20" s="1958">
        <v>0</v>
      </c>
      <c r="N20" s="1958">
        <v>3823700</v>
      </c>
      <c r="O20" s="1958">
        <v>0</v>
      </c>
      <c r="P20" s="1958">
        <v>20889865</v>
      </c>
      <c r="Q20" s="1958">
        <v>0</v>
      </c>
      <c r="R20" s="1958">
        <v>0</v>
      </c>
      <c r="S20" s="1958">
        <v>8838940</v>
      </c>
      <c r="T20" s="1958">
        <v>7</v>
      </c>
    </row>
    <row r="21" spans="1:20">
      <c r="A21" s="1958" t="s">
        <v>877</v>
      </c>
      <c r="B21" s="1958">
        <v>187</v>
      </c>
      <c r="C21" s="1958">
        <v>2023</v>
      </c>
      <c r="D21" s="1958">
        <v>12</v>
      </c>
      <c r="E21" s="1958">
        <v>21</v>
      </c>
      <c r="F21" s="1958">
        <v>0</v>
      </c>
      <c r="G21" s="1958" t="s">
        <v>1447</v>
      </c>
      <c r="H21" s="1958" t="s">
        <v>1586</v>
      </c>
      <c r="I21" s="1958">
        <v>0</v>
      </c>
      <c r="J21" s="1958">
        <v>0</v>
      </c>
      <c r="K21" s="1958">
        <v>100177</v>
      </c>
      <c r="L21" s="1970">
        <v>94352</v>
      </c>
      <c r="M21" s="1958">
        <v>-1</v>
      </c>
      <c r="N21" s="1958">
        <v>5824</v>
      </c>
      <c r="O21" s="1958">
        <v>0</v>
      </c>
      <c r="P21" s="1958">
        <v>3022</v>
      </c>
      <c r="Q21" s="1958">
        <v>0</v>
      </c>
      <c r="R21" s="1958">
        <v>0</v>
      </c>
      <c r="S21" s="1958">
        <v>97155</v>
      </c>
      <c r="T21" s="1958">
        <v>4</v>
      </c>
    </row>
    <row r="22" spans="1:20">
      <c r="A22" s="1958" t="s">
        <v>877</v>
      </c>
      <c r="B22" s="1958">
        <v>187</v>
      </c>
      <c r="C22" s="1958">
        <v>2023</v>
      </c>
      <c r="D22" s="1958">
        <v>12</v>
      </c>
      <c r="E22" s="1958">
        <v>22</v>
      </c>
      <c r="F22" s="1958">
        <v>0</v>
      </c>
      <c r="G22" s="1958" t="s">
        <v>1446</v>
      </c>
      <c r="H22" s="1958" t="s">
        <v>1587</v>
      </c>
      <c r="I22" s="1958">
        <v>210812</v>
      </c>
      <c r="J22" s="1958">
        <v>0</v>
      </c>
      <c r="K22" s="1958">
        <v>-7910</v>
      </c>
      <c r="L22" s="1970">
        <v>202902</v>
      </c>
      <c r="M22" s="1958">
        <v>0</v>
      </c>
      <c r="N22" s="1958">
        <v>0</v>
      </c>
      <c r="O22" s="1958">
        <v>0</v>
      </c>
      <c r="P22" s="1958">
        <v>0</v>
      </c>
      <c r="Q22" s="1958">
        <v>0</v>
      </c>
      <c r="R22" s="1958">
        <v>0</v>
      </c>
      <c r="S22" s="1958">
        <v>-7910</v>
      </c>
      <c r="T22" s="1958">
        <v>4</v>
      </c>
    </row>
    <row r="23" spans="1:20">
      <c r="A23" s="1958" t="s">
        <v>877</v>
      </c>
      <c r="B23" s="1958">
        <v>187</v>
      </c>
      <c r="C23" s="1958">
        <v>2023</v>
      </c>
      <c r="D23" s="1958">
        <v>12</v>
      </c>
      <c r="E23" s="1958">
        <v>23</v>
      </c>
      <c r="F23" s="1958">
        <v>0</v>
      </c>
      <c r="G23" s="1958" t="s">
        <v>1445</v>
      </c>
      <c r="H23" s="1958" t="s">
        <v>1586</v>
      </c>
      <c r="I23" s="1958">
        <v>0</v>
      </c>
      <c r="J23" s="1958">
        <v>0</v>
      </c>
      <c r="K23" s="1958">
        <v>1830363</v>
      </c>
      <c r="L23" s="1970">
        <v>1588474</v>
      </c>
      <c r="M23" s="1958">
        <v>0</v>
      </c>
      <c r="N23" s="1958">
        <v>241889</v>
      </c>
      <c r="O23" s="1958">
        <v>0</v>
      </c>
      <c r="P23" s="1958">
        <v>0</v>
      </c>
      <c r="Q23" s="1958">
        <v>0</v>
      </c>
      <c r="R23" s="1958">
        <v>0</v>
      </c>
      <c r="S23" s="1958">
        <v>1830363</v>
      </c>
      <c r="T23" s="1958">
        <v>4</v>
      </c>
    </row>
    <row r="24" spans="1:20">
      <c r="A24" s="1958" t="s">
        <v>877</v>
      </c>
      <c r="B24" s="1958">
        <v>187</v>
      </c>
      <c r="C24" s="1958">
        <v>2023</v>
      </c>
      <c r="D24" s="1958">
        <v>12</v>
      </c>
      <c r="E24" s="1958">
        <v>24</v>
      </c>
      <c r="F24" s="1958">
        <v>0</v>
      </c>
      <c r="G24" s="1958" t="s">
        <v>1444</v>
      </c>
      <c r="H24" s="1958" t="s">
        <v>1589</v>
      </c>
      <c r="I24" s="1958">
        <f t="shared" ref="I24:S24" si="1">SUM(I12:I23)</f>
        <v>26886035</v>
      </c>
      <c r="J24" s="1958">
        <f t="shared" si="1"/>
        <v>0</v>
      </c>
      <c r="K24" s="1958">
        <f t="shared" si="1"/>
        <v>79426814</v>
      </c>
      <c r="L24" s="1970">
        <f t="shared" si="1"/>
        <v>84189544</v>
      </c>
      <c r="M24" s="1958">
        <f t="shared" si="1"/>
        <v>16989</v>
      </c>
      <c r="N24" s="1958">
        <f t="shared" si="1"/>
        <v>22140294</v>
      </c>
      <c r="O24" s="1958">
        <f t="shared" si="1"/>
        <v>0</v>
      </c>
      <c r="P24" s="1958">
        <f t="shared" si="1"/>
        <v>54525823</v>
      </c>
      <c r="Q24" s="1958">
        <f t="shared" si="1"/>
        <v>0</v>
      </c>
      <c r="R24" s="1958">
        <f t="shared" si="1"/>
        <v>0</v>
      </c>
      <c r="S24" s="1958">
        <f t="shared" si="1"/>
        <v>24900991</v>
      </c>
    </row>
    <row r="25" spans="1:20">
      <c r="A25" s="1958" t="s">
        <v>877</v>
      </c>
      <c r="B25" s="1958">
        <v>187</v>
      </c>
      <c r="C25" s="1958">
        <v>2023</v>
      </c>
      <c r="D25" s="1958">
        <v>12</v>
      </c>
      <c r="E25" s="1958">
        <v>25</v>
      </c>
      <c r="F25" s="1958">
        <v>0</v>
      </c>
      <c r="G25" s="1958" t="s">
        <v>1443</v>
      </c>
      <c r="H25" s="1958" t="s">
        <v>728</v>
      </c>
      <c r="I25" s="1958">
        <v>0</v>
      </c>
      <c r="J25" s="1958">
        <v>0</v>
      </c>
      <c r="K25" s="1958">
        <v>0</v>
      </c>
      <c r="L25" s="1970">
        <v>0</v>
      </c>
      <c r="M25" s="1958">
        <v>0</v>
      </c>
      <c r="N25" s="1958">
        <v>0</v>
      </c>
      <c r="O25" s="1958">
        <v>0</v>
      </c>
      <c r="P25" s="1958">
        <v>0</v>
      </c>
      <c r="Q25" s="1958">
        <v>0</v>
      </c>
      <c r="R25" s="1958">
        <v>0</v>
      </c>
      <c r="S25" s="1958">
        <v>0</v>
      </c>
    </row>
    <row r="26" spans="1:20">
      <c r="A26" s="1958" t="s">
        <v>877</v>
      </c>
      <c r="B26" s="1958">
        <v>187</v>
      </c>
      <c r="C26" s="1958">
        <v>2023</v>
      </c>
      <c r="D26" s="1958">
        <v>12</v>
      </c>
      <c r="E26" s="1958">
        <v>26</v>
      </c>
      <c r="F26" s="1958">
        <v>0</v>
      </c>
      <c r="G26" s="1958" t="s">
        <v>1442</v>
      </c>
      <c r="H26" s="1958" t="s">
        <v>1588</v>
      </c>
      <c r="I26" s="1958">
        <v>0</v>
      </c>
      <c r="J26" s="1958">
        <v>0</v>
      </c>
      <c r="K26" s="1958">
        <v>0</v>
      </c>
      <c r="L26" s="1970">
        <v>0</v>
      </c>
      <c r="M26" s="1958">
        <v>0</v>
      </c>
      <c r="N26" s="1958">
        <v>0</v>
      </c>
      <c r="O26" s="1958">
        <v>0</v>
      </c>
      <c r="P26" s="1958">
        <v>0</v>
      </c>
      <c r="Q26" s="1958">
        <v>0</v>
      </c>
      <c r="R26" s="1958">
        <v>0</v>
      </c>
      <c r="S26" s="1958">
        <v>0</v>
      </c>
    </row>
    <row r="27" spans="1:20">
      <c r="A27" s="1958" t="s">
        <v>877</v>
      </c>
      <c r="B27" s="1958">
        <v>187</v>
      </c>
      <c r="C27" s="1958">
        <v>2023</v>
      </c>
      <c r="D27" s="1958">
        <v>12</v>
      </c>
      <c r="E27" s="1958">
        <v>27</v>
      </c>
      <c r="F27" s="1958">
        <v>0</v>
      </c>
      <c r="G27" s="1958" t="s">
        <v>1441</v>
      </c>
      <c r="H27" s="1958" t="s">
        <v>1563</v>
      </c>
      <c r="I27" s="1958">
        <v>0</v>
      </c>
      <c r="J27" s="1958">
        <v>0</v>
      </c>
      <c r="K27" s="1958">
        <v>0</v>
      </c>
      <c r="L27" s="1970">
        <v>0</v>
      </c>
      <c r="M27" s="1958">
        <v>0</v>
      </c>
      <c r="N27" s="1958">
        <v>0</v>
      </c>
      <c r="O27" s="1958">
        <v>0</v>
      </c>
      <c r="P27" s="1958">
        <v>0</v>
      </c>
      <c r="Q27" s="1958">
        <v>0</v>
      </c>
      <c r="R27" s="1958">
        <v>0</v>
      </c>
      <c r="S27" s="1958">
        <v>0</v>
      </c>
      <c r="T27" s="1958">
        <v>4</v>
      </c>
    </row>
    <row r="28" spans="1:20">
      <c r="A28" s="1958" t="s">
        <v>877</v>
      </c>
      <c r="B28" s="1958">
        <v>187</v>
      </c>
      <c r="C28" s="1958">
        <v>2023</v>
      </c>
      <c r="D28" s="1958">
        <v>12</v>
      </c>
      <c r="E28" s="1958">
        <v>28</v>
      </c>
      <c r="F28" s="1958">
        <v>0</v>
      </c>
      <c r="G28" s="1958" t="s">
        <v>1440</v>
      </c>
      <c r="H28" s="1958" t="s">
        <v>1561</v>
      </c>
      <c r="I28" s="1958">
        <v>0</v>
      </c>
      <c r="J28" s="1958">
        <v>0</v>
      </c>
      <c r="K28" s="1958">
        <v>60</v>
      </c>
      <c r="L28" s="1970">
        <v>0</v>
      </c>
      <c r="M28" s="1958">
        <v>-60</v>
      </c>
      <c r="N28" s="1958">
        <v>0</v>
      </c>
      <c r="O28" s="1958">
        <v>0</v>
      </c>
      <c r="P28" s="1958">
        <v>51</v>
      </c>
      <c r="Q28" s="1958">
        <v>0</v>
      </c>
      <c r="R28" s="1958">
        <v>0</v>
      </c>
      <c r="S28" s="1958">
        <v>9</v>
      </c>
      <c r="T28" s="1958">
        <v>4</v>
      </c>
    </row>
    <row r="29" spans="1:20">
      <c r="A29" s="1958" t="s">
        <v>877</v>
      </c>
      <c r="B29" s="1958">
        <v>187</v>
      </c>
      <c r="C29" s="1958">
        <v>2023</v>
      </c>
      <c r="D29" s="1958">
        <v>12</v>
      </c>
      <c r="E29" s="1958">
        <v>29</v>
      </c>
      <c r="F29" s="1958">
        <v>0</v>
      </c>
      <c r="G29" s="1958" t="s">
        <v>1439</v>
      </c>
      <c r="H29" s="1958" t="s">
        <v>1557</v>
      </c>
      <c r="I29" s="1958">
        <v>2857137</v>
      </c>
      <c r="J29" s="1958">
        <v>0</v>
      </c>
      <c r="K29" s="1958">
        <v>-1236</v>
      </c>
      <c r="L29" s="1970">
        <v>2857841</v>
      </c>
      <c r="M29" s="1958">
        <v>1940</v>
      </c>
      <c r="N29" s="1958">
        <v>0</v>
      </c>
      <c r="O29" s="1958">
        <v>0</v>
      </c>
      <c r="P29" s="1958">
        <v>0</v>
      </c>
      <c r="Q29" s="1958">
        <v>0</v>
      </c>
      <c r="R29" s="1958">
        <v>0</v>
      </c>
      <c r="S29" s="1958">
        <v>-1236</v>
      </c>
      <c r="T29" s="1958">
        <v>3</v>
      </c>
    </row>
    <row r="30" spans="1:20">
      <c r="A30" s="1958" t="s">
        <v>877</v>
      </c>
      <c r="B30" s="1958">
        <v>187</v>
      </c>
      <c r="C30" s="1958">
        <v>2023</v>
      </c>
      <c r="D30" s="1958">
        <v>12</v>
      </c>
      <c r="E30" s="1958">
        <v>30</v>
      </c>
      <c r="F30" s="1958">
        <v>0</v>
      </c>
      <c r="G30" s="1958" t="s">
        <v>1438</v>
      </c>
      <c r="H30" s="1958" t="s">
        <v>1555</v>
      </c>
      <c r="I30" s="1958">
        <v>0</v>
      </c>
      <c r="J30" s="1958">
        <v>0</v>
      </c>
      <c r="K30" s="1958">
        <v>4149832</v>
      </c>
      <c r="L30" s="1970">
        <v>2099678</v>
      </c>
      <c r="M30" s="1958">
        <v>-1940</v>
      </c>
      <c r="N30" s="1958">
        <v>2048214</v>
      </c>
      <c r="O30" s="1958">
        <v>0</v>
      </c>
      <c r="P30" s="1958">
        <v>3177624</v>
      </c>
      <c r="Q30" s="1958">
        <v>0</v>
      </c>
      <c r="R30" s="1958">
        <v>0</v>
      </c>
      <c r="S30" s="1958">
        <v>972208</v>
      </c>
      <c r="T30" s="1958">
        <v>3</v>
      </c>
    </row>
    <row r="31" spans="1:20">
      <c r="A31" s="1958" t="s">
        <v>877</v>
      </c>
      <c r="B31" s="1958">
        <v>187</v>
      </c>
      <c r="C31" s="1958">
        <v>2023</v>
      </c>
      <c r="D31" s="1958">
        <v>12</v>
      </c>
      <c r="E31" s="1958">
        <v>31</v>
      </c>
      <c r="F31" s="1958">
        <v>0</v>
      </c>
      <c r="G31" s="1958" t="s">
        <v>1437</v>
      </c>
      <c r="H31" s="1958" t="s">
        <v>1587</v>
      </c>
      <c r="I31" s="1958">
        <v>31762</v>
      </c>
      <c r="J31" s="1958">
        <v>0</v>
      </c>
      <c r="K31" s="1958">
        <v>0</v>
      </c>
      <c r="L31" s="1970">
        <v>31761</v>
      </c>
      <c r="M31" s="1958">
        <v>-1</v>
      </c>
      <c r="N31" s="1958">
        <v>0</v>
      </c>
      <c r="O31" s="1958">
        <v>0</v>
      </c>
      <c r="P31" s="1958">
        <v>0</v>
      </c>
      <c r="Q31" s="1958">
        <v>0</v>
      </c>
      <c r="R31" s="1958">
        <v>0</v>
      </c>
      <c r="S31" s="1958">
        <v>0</v>
      </c>
      <c r="T31" s="1958">
        <v>4</v>
      </c>
    </row>
    <row r="32" spans="1:20">
      <c r="A32" s="1958" t="s">
        <v>877</v>
      </c>
      <c r="B32" s="1958">
        <v>187</v>
      </c>
      <c r="C32" s="1958">
        <v>2023</v>
      </c>
      <c r="D32" s="1958">
        <v>12</v>
      </c>
      <c r="E32" s="1958">
        <v>32</v>
      </c>
      <c r="F32" s="1958">
        <v>0</v>
      </c>
      <c r="G32" s="1958" t="s">
        <v>1436</v>
      </c>
      <c r="H32" s="1958" t="s">
        <v>1586</v>
      </c>
      <c r="I32" s="1958">
        <v>0</v>
      </c>
      <c r="J32" s="1958">
        <v>0</v>
      </c>
      <c r="K32" s="1958">
        <v>166826</v>
      </c>
      <c r="L32" s="1970">
        <v>114132</v>
      </c>
      <c r="M32" s="1958">
        <v>1</v>
      </c>
      <c r="N32" s="1958">
        <v>52695</v>
      </c>
      <c r="O32" s="1958">
        <v>0</v>
      </c>
      <c r="P32" s="1958">
        <v>0</v>
      </c>
      <c r="Q32" s="1958">
        <v>0</v>
      </c>
      <c r="R32" s="1958">
        <v>0</v>
      </c>
      <c r="S32" s="1958">
        <v>166826</v>
      </c>
      <c r="T32" s="1958">
        <v>4</v>
      </c>
    </row>
    <row r="33" spans="1:20">
      <c r="A33" s="1958" t="s">
        <v>877</v>
      </c>
      <c r="B33" s="1958">
        <v>187</v>
      </c>
      <c r="C33" s="1958">
        <v>2023</v>
      </c>
      <c r="D33" s="1958">
        <v>12</v>
      </c>
      <c r="E33" s="1958">
        <v>33</v>
      </c>
      <c r="F33" s="1958">
        <v>0</v>
      </c>
      <c r="G33" s="1958" t="s">
        <v>1435</v>
      </c>
      <c r="H33" s="1958" t="s">
        <v>1582</v>
      </c>
      <c r="I33" s="1958">
        <v>24554</v>
      </c>
      <c r="J33" s="1958">
        <v>0</v>
      </c>
      <c r="K33" s="1958">
        <v>1573</v>
      </c>
      <c r="L33" s="1970">
        <v>26126</v>
      </c>
      <c r="M33" s="1958">
        <v>-1</v>
      </c>
      <c r="N33" s="1958">
        <v>0</v>
      </c>
      <c r="O33" s="1958">
        <v>0</v>
      </c>
      <c r="P33" s="1958">
        <v>1573</v>
      </c>
      <c r="Q33" s="1958">
        <v>0</v>
      </c>
      <c r="R33" s="1958">
        <v>0</v>
      </c>
      <c r="S33" s="1958">
        <v>0</v>
      </c>
      <c r="T33" s="1958">
        <v>8</v>
      </c>
    </row>
    <row r="34" spans="1:20">
      <c r="A34" s="1958" t="s">
        <v>877</v>
      </c>
      <c r="B34" s="1958">
        <v>187</v>
      </c>
      <c r="C34" s="1958">
        <v>2023</v>
      </c>
      <c r="D34" s="1958">
        <v>12</v>
      </c>
      <c r="E34" s="1958">
        <v>34</v>
      </c>
      <c r="F34" s="1958">
        <v>0</v>
      </c>
      <c r="G34" s="1958" t="s">
        <v>1434</v>
      </c>
      <c r="H34" s="1958" t="s">
        <v>1580</v>
      </c>
      <c r="I34" s="1958">
        <v>0</v>
      </c>
      <c r="J34" s="1958">
        <v>0</v>
      </c>
      <c r="K34" s="1958">
        <v>317428</v>
      </c>
      <c r="L34" s="1970">
        <v>295205</v>
      </c>
      <c r="M34" s="1958">
        <v>1</v>
      </c>
      <c r="N34" s="1958">
        <v>22224</v>
      </c>
      <c r="O34" s="1958">
        <v>0</v>
      </c>
      <c r="P34" s="1958">
        <v>317428</v>
      </c>
      <c r="Q34" s="1958">
        <v>0</v>
      </c>
      <c r="R34" s="1958">
        <v>0</v>
      </c>
      <c r="S34" s="1958">
        <v>0</v>
      </c>
      <c r="T34" s="1958">
        <v>8</v>
      </c>
    </row>
    <row r="35" spans="1:20">
      <c r="A35" s="1958" t="s">
        <v>877</v>
      </c>
      <c r="B35" s="1958">
        <v>187</v>
      </c>
      <c r="C35" s="1958">
        <v>2023</v>
      </c>
      <c r="D35" s="1958">
        <v>12</v>
      </c>
      <c r="E35" s="1958">
        <v>35</v>
      </c>
      <c r="F35" s="1958">
        <v>0</v>
      </c>
      <c r="G35" s="1958" t="s">
        <v>1433</v>
      </c>
      <c r="H35" s="1958" t="s">
        <v>1540</v>
      </c>
      <c r="I35" s="1958">
        <v>6943</v>
      </c>
      <c r="J35" s="1958">
        <v>0</v>
      </c>
      <c r="K35" s="1958">
        <v>0</v>
      </c>
      <c r="L35" s="1970">
        <v>2310</v>
      </c>
      <c r="M35" s="1958">
        <v>-4633</v>
      </c>
      <c r="N35" s="1958">
        <v>0</v>
      </c>
      <c r="O35" s="1958">
        <v>0</v>
      </c>
      <c r="P35" s="1958">
        <v>0</v>
      </c>
      <c r="Q35" s="1958">
        <v>0</v>
      </c>
      <c r="R35" s="1958">
        <v>0</v>
      </c>
      <c r="S35" s="1958">
        <v>0</v>
      </c>
      <c r="T35" s="1958">
        <v>9</v>
      </c>
    </row>
    <row r="36" spans="1:20">
      <c r="A36" s="1958" t="s">
        <v>877</v>
      </c>
      <c r="B36" s="1958">
        <v>187</v>
      </c>
      <c r="C36" s="1958">
        <v>2023</v>
      </c>
      <c r="D36" s="1958">
        <v>12</v>
      </c>
      <c r="E36" s="1958">
        <v>36</v>
      </c>
      <c r="G36" s="1958" t="s">
        <v>1432</v>
      </c>
      <c r="H36" s="1958" t="s">
        <v>1538</v>
      </c>
      <c r="I36" s="1958">
        <v>0</v>
      </c>
      <c r="J36" s="1958">
        <v>0</v>
      </c>
      <c r="K36" s="1958">
        <v>46448</v>
      </c>
      <c r="L36" s="1970">
        <v>42701</v>
      </c>
      <c r="M36" s="1958">
        <v>0</v>
      </c>
      <c r="N36" s="1958">
        <v>3747</v>
      </c>
      <c r="O36" s="1958">
        <v>0</v>
      </c>
      <c r="P36" s="1958">
        <v>16098</v>
      </c>
      <c r="Q36" s="1958">
        <v>0</v>
      </c>
      <c r="R36" s="1958">
        <v>0</v>
      </c>
      <c r="S36" s="1958">
        <v>30350</v>
      </c>
      <c r="T36" s="1958">
        <v>9</v>
      </c>
    </row>
    <row r="37" spans="1:20">
      <c r="A37" s="1958" t="s">
        <v>877</v>
      </c>
      <c r="B37" s="1958">
        <v>187</v>
      </c>
      <c r="C37" s="1958">
        <v>2023</v>
      </c>
      <c r="D37" s="1958">
        <v>12</v>
      </c>
      <c r="E37" s="1958">
        <v>37</v>
      </c>
      <c r="F37" s="1958">
        <v>0</v>
      </c>
      <c r="G37" s="1958" t="s">
        <v>1431</v>
      </c>
      <c r="H37" s="1958" t="s">
        <v>1549</v>
      </c>
      <c r="I37" s="1958">
        <v>1285869</v>
      </c>
      <c r="J37" s="1958">
        <v>0</v>
      </c>
      <c r="K37" s="1958">
        <v>646</v>
      </c>
      <c r="L37" s="1970">
        <v>1286515</v>
      </c>
      <c r="M37" s="1958">
        <v>0</v>
      </c>
      <c r="N37" s="1958">
        <v>0</v>
      </c>
      <c r="O37" s="1958">
        <v>0</v>
      </c>
      <c r="P37" s="1958">
        <v>665</v>
      </c>
      <c r="Q37" s="1958">
        <v>0</v>
      </c>
      <c r="R37" s="1958">
        <v>0</v>
      </c>
      <c r="S37" s="1958">
        <v>-19</v>
      </c>
      <c r="T37" s="1958">
        <v>4</v>
      </c>
    </row>
    <row r="38" spans="1:20">
      <c r="A38" s="1958" t="s">
        <v>877</v>
      </c>
      <c r="B38" s="1958">
        <v>187</v>
      </c>
      <c r="C38" s="1958">
        <v>2023</v>
      </c>
      <c r="D38" s="1958">
        <v>12</v>
      </c>
      <c r="E38" s="1958">
        <v>38</v>
      </c>
      <c r="F38" s="1958">
        <v>0</v>
      </c>
      <c r="G38" s="1958" t="s">
        <v>1430</v>
      </c>
      <c r="H38" s="1958" t="s">
        <v>1547</v>
      </c>
      <c r="I38" s="1958">
        <v>0</v>
      </c>
      <c r="J38" s="1958">
        <v>0</v>
      </c>
      <c r="K38" s="1958">
        <v>5621364</v>
      </c>
      <c r="L38" s="1970">
        <v>4248584</v>
      </c>
      <c r="M38" s="1958">
        <v>0</v>
      </c>
      <c r="N38" s="1958">
        <v>1372780</v>
      </c>
      <c r="O38" s="1958">
        <v>0</v>
      </c>
      <c r="P38" s="1958">
        <v>3800945</v>
      </c>
      <c r="Q38" s="1958">
        <v>0</v>
      </c>
      <c r="R38" s="1958">
        <v>0</v>
      </c>
      <c r="S38" s="1958">
        <v>1820419</v>
      </c>
      <c r="T38" s="1958">
        <v>4</v>
      </c>
    </row>
    <row r="39" spans="1:20">
      <c r="A39" s="1958" t="s">
        <v>877</v>
      </c>
      <c r="B39" s="1958">
        <v>187</v>
      </c>
      <c r="C39" s="1958">
        <v>2023</v>
      </c>
      <c r="D39" s="1958">
        <v>12</v>
      </c>
      <c r="E39" s="1958">
        <v>39</v>
      </c>
      <c r="F39" s="1958">
        <v>0</v>
      </c>
      <c r="G39" s="1958" t="s">
        <v>1429</v>
      </c>
      <c r="H39" s="1958" t="s">
        <v>1585</v>
      </c>
      <c r="I39" s="1958">
        <f t="shared" ref="I39:S39" si="2">SUM(I27:I38)</f>
        <v>4206265</v>
      </c>
      <c r="J39" s="1958">
        <f t="shared" si="2"/>
        <v>0</v>
      </c>
      <c r="K39" s="1958">
        <f t="shared" si="2"/>
        <v>10302941</v>
      </c>
      <c r="L39" s="1970">
        <f t="shared" si="2"/>
        <v>11004853</v>
      </c>
      <c r="M39" s="1958">
        <f t="shared" si="2"/>
        <v>-4693</v>
      </c>
      <c r="N39" s="1958">
        <f t="shared" si="2"/>
        <v>3499660</v>
      </c>
      <c r="O39" s="1958">
        <f t="shared" si="2"/>
        <v>0</v>
      </c>
      <c r="P39" s="1958">
        <f t="shared" si="2"/>
        <v>7314384</v>
      </c>
      <c r="Q39" s="1958">
        <f t="shared" si="2"/>
        <v>0</v>
      </c>
      <c r="R39" s="1958">
        <f t="shared" si="2"/>
        <v>0</v>
      </c>
      <c r="S39" s="1958">
        <f t="shared" si="2"/>
        <v>2988557</v>
      </c>
    </row>
    <row r="40" spans="1:20">
      <c r="A40" s="1958" t="s">
        <v>877</v>
      </c>
      <c r="B40" s="1958">
        <v>187</v>
      </c>
      <c r="C40" s="1958">
        <v>2023</v>
      </c>
      <c r="D40" s="1958">
        <v>12</v>
      </c>
      <c r="E40" s="1958">
        <v>40</v>
      </c>
      <c r="F40" s="1958">
        <v>0</v>
      </c>
      <c r="G40" s="1958" t="s">
        <v>1428</v>
      </c>
      <c r="H40" s="1958" t="s">
        <v>728</v>
      </c>
      <c r="I40" s="1958">
        <v>0</v>
      </c>
      <c r="J40" s="1958">
        <v>0</v>
      </c>
      <c r="K40" s="1958">
        <v>0</v>
      </c>
      <c r="L40" s="1970">
        <v>0</v>
      </c>
      <c r="M40" s="1958">
        <v>0</v>
      </c>
      <c r="N40" s="1958">
        <v>0</v>
      </c>
      <c r="O40" s="1958">
        <v>0</v>
      </c>
      <c r="P40" s="1958">
        <v>0</v>
      </c>
      <c r="Q40" s="1958">
        <v>0</v>
      </c>
      <c r="R40" s="1958">
        <v>0</v>
      </c>
      <c r="S40" s="1958">
        <v>0</v>
      </c>
    </row>
    <row r="41" spans="1:20">
      <c r="A41" s="1958" t="s">
        <v>877</v>
      </c>
      <c r="B41" s="1958">
        <v>187</v>
      </c>
      <c r="C41" s="1958">
        <v>2023</v>
      </c>
      <c r="D41" s="1958">
        <v>12</v>
      </c>
      <c r="E41" s="1958">
        <v>41</v>
      </c>
      <c r="F41" s="1958">
        <v>0</v>
      </c>
      <c r="G41" s="1958" t="s">
        <v>1427</v>
      </c>
      <c r="H41" s="1958" t="s">
        <v>1584</v>
      </c>
      <c r="I41" s="1958">
        <v>0</v>
      </c>
      <c r="J41" s="1958">
        <v>0</v>
      </c>
      <c r="K41" s="1958">
        <v>0</v>
      </c>
      <c r="L41" s="1970">
        <v>0</v>
      </c>
      <c r="M41" s="1958">
        <v>0</v>
      </c>
      <c r="N41" s="1958">
        <v>0</v>
      </c>
      <c r="O41" s="1958">
        <v>0</v>
      </c>
      <c r="P41" s="1958">
        <v>0</v>
      </c>
      <c r="Q41" s="1958">
        <v>0</v>
      </c>
      <c r="R41" s="1958">
        <v>0</v>
      </c>
      <c r="S41" s="1958">
        <v>0</v>
      </c>
    </row>
    <row r="42" spans="1:20">
      <c r="A42" s="1958" t="s">
        <v>877</v>
      </c>
      <c r="B42" s="1958">
        <v>187</v>
      </c>
      <c r="C42" s="1958">
        <v>2023</v>
      </c>
      <c r="D42" s="1958">
        <v>12</v>
      </c>
      <c r="E42" s="1958">
        <v>42</v>
      </c>
      <c r="F42" s="1958">
        <v>0</v>
      </c>
      <c r="G42" s="1958" t="s">
        <v>1426</v>
      </c>
      <c r="H42" s="1958" t="s">
        <v>1563</v>
      </c>
      <c r="I42" s="1958">
        <v>0</v>
      </c>
      <c r="J42" s="1958">
        <v>0</v>
      </c>
      <c r="K42" s="1958">
        <v>0</v>
      </c>
      <c r="L42" s="1970">
        <v>0</v>
      </c>
      <c r="M42" s="1958">
        <v>0</v>
      </c>
      <c r="N42" s="1958">
        <v>0</v>
      </c>
      <c r="O42" s="1958">
        <v>0</v>
      </c>
      <c r="P42" s="1958">
        <v>0</v>
      </c>
      <c r="Q42" s="1958">
        <v>0</v>
      </c>
      <c r="R42" s="1958">
        <v>0</v>
      </c>
      <c r="S42" s="1958">
        <v>0</v>
      </c>
      <c r="T42" s="1958">
        <v>4</v>
      </c>
    </row>
    <row r="43" spans="1:20">
      <c r="A43" s="1958" t="s">
        <v>877</v>
      </c>
      <c r="B43" s="1958">
        <v>187</v>
      </c>
      <c r="C43" s="1958">
        <v>2023</v>
      </c>
      <c r="D43" s="1958">
        <v>12</v>
      </c>
      <c r="E43" s="1958">
        <v>43</v>
      </c>
      <c r="F43" s="1958">
        <v>0</v>
      </c>
      <c r="G43" s="1958" t="s">
        <v>1425</v>
      </c>
      <c r="H43" s="1958" t="s">
        <v>1561</v>
      </c>
      <c r="I43" s="1958">
        <v>0</v>
      </c>
      <c r="J43" s="1958">
        <v>0</v>
      </c>
      <c r="K43" s="1958">
        <v>50</v>
      </c>
      <c r="L43" s="1970">
        <v>50</v>
      </c>
      <c r="M43" s="1958">
        <v>0</v>
      </c>
      <c r="N43" s="1958">
        <v>0</v>
      </c>
      <c r="O43" s="1958">
        <v>0</v>
      </c>
      <c r="P43" s="1958">
        <v>50</v>
      </c>
      <c r="Q43" s="1958">
        <v>0</v>
      </c>
      <c r="R43" s="1958">
        <v>0</v>
      </c>
      <c r="S43" s="1958">
        <v>0</v>
      </c>
      <c r="T43" s="1958">
        <v>4</v>
      </c>
    </row>
    <row r="44" spans="1:20">
      <c r="A44" s="1958" t="s">
        <v>877</v>
      </c>
      <c r="B44" s="1958">
        <v>187</v>
      </c>
      <c r="C44" s="1958">
        <v>2023</v>
      </c>
      <c r="D44" s="1958">
        <v>12</v>
      </c>
      <c r="E44" s="1958">
        <v>44</v>
      </c>
      <c r="F44" s="1958">
        <v>1</v>
      </c>
      <c r="G44" s="1958" t="s">
        <v>1424</v>
      </c>
      <c r="H44" s="1958" t="s">
        <v>1557</v>
      </c>
      <c r="I44" s="1958">
        <v>4840427</v>
      </c>
      <c r="J44" s="1958">
        <v>0</v>
      </c>
      <c r="K44" s="1958">
        <v>243</v>
      </c>
      <c r="L44" s="1970">
        <v>4840669</v>
      </c>
      <c r="M44" s="1958">
        <v>-1</v>
      </c>
      <c r="N44" s="1958">
        <v>0</v>
      </c>
      <c r="O44" s="1958">
        <v>0</v>
      </c>
      <c r="P44" s="1958">
        <v>243</v>
      </c>
      <c r="Q44" s="1958">
        <v>0</v>
      </c>
      <c r="R44" s="1958">
        <v>0</v>
      </c>
      <c r="S44" s="1958">
        <v>0</v>
      </c>
      <c r="T44" s="1958">
        <v>3</v>
      </c>
    </row>
    <row r="45" spans="1:20">
      <c r="A45" s="1958" t="s">
        <v>877</v>
      </c>
      <c r="B45" s="1958">
        <v>187</v>
      </c>
      <c r="C45" s="1958">
        <v>2023</v>
      </c>
      <c r="D45" s="1958">
        <v>12</v>
      </c>
      <c r="E45" s="1958">
        <v>45</v>
      </c>
      <c r="F45" s="1958">
        <v>1</v>
      </c>
      <c r="G45" s="1958" t="s">
        <v>1423</v>
      </c>
      <c r="H45" s="1958" t="s">
        <v>1555</v>
      </c>
      <c r="I45" s="1958">
        <v>0</v>
      </c>
      <c r="J45" s="1958">
        <v>0</v>
      </c>
      <c r="K45" s="1958">
        <v>7382564</v>
      </c>
      <c r="L45" s="1970">
        <v>3707034</v>
      </c>
      <c r="M45" s="1958">
        <v>0</v>
      </c>
      <c r="N45" s="1958">
        <v>3675530</v>
      </c>
      <c r="O45" s="1958">
        <v>0</v>
      </c>
      <c r="P45" s="1958">
        <v>7382564</v>
      </c>
      <c r="Q45" s="1958">
        <v>0</v>
      </c>
      <c r="R45" s="1958">
        <v>0</v>
      </c>
      <c r="S45" s="1958">
        <v>0</v>
      </c>
      <c r="T45" s="1958">
        <v>3</v>
      </c>
    </row>
    <row r="46" spans="1:20">
      <c r="A46" s="1958" t="s">
        <v>877</v>
      </c>
      <c r="B46" s="1958">
        <v>187</v>
      </c>
      <c r="C46" s="1958">
        <v>2023</v>
      </c>
      <c r="D46" s="1958">
        <v>12</v>
      </c>
      <c r="E46" s="1958">
        <v>47</v>
      </c>
      <c r="F46" s="1958">
        <v>1</v>
      </c>
      <c r="G46" s="1958" t="s">
        <v>1583</v>
      </c>
      <c r="H46" s="1958" t="s">
        <v>1582</v>
      </c>
      <c r="I46" s="1958">
        <v>239401</v>
      </c>
      <c r="J46" s="1958">
        <v>0</v>
      </c>
      <c r="K46" s="1958">
        <v>0</v>
      </c>
      <c r="L46" s="1970">
        <v>239401</v>
      </c>
      <c r="M46" s="1958">
        <v>0</v>
      </c>
      <c r="N46" s="1958">
        <v>0</v>
      </c>
      <c r="O46" s="1958">
        <v>0</v>
      </c>
      <c r="P46" s="1958">
        <v>0</v>
      </c>
      <c r="Q46" s="1958">
        <v>0</v>
      </c>
      <c r="R46" s="1958">
        <v>0</v>
      </c>
      <c r="S46" s="1958">
        <v>0</v>
      </c>
      <c r="T46" s="1958">
        <v>8</v>
      </c>
    </row>
    <row r="47" spans="1:20">
      <c r="A47" s="1958" t="s">
        <v>877</v>
      </c>
      <c r="B47" s="1958">
        <v>187</v>
      </c>
      <c r="C47" s="1958">
        <v>2023</v>
      </c>
      <c r="D47" s="1958">
        <v>12</v>
      </c>
      <c r="E47" s="1958">
        <v>48</v>
      </c>
      <c r="F47" s="1958">
        <v>1</v>
      </c>
      <c r="G47" s="1958" t="s">
        <v>1581</v>
      </c>
      <c r="H47" s="1958" t="s">
        <v>1580</v>
      </c>
      <c r="I47" s="1958">
        <v>0</v>
      </c>
      <c r="J47" s="1958">
        <v>0</v>
      </c>
      <c r="K47" s="1958">
        <v>1009062</v>
      </c>
      <c r="L47" s="1970">
        <v>789685</v>
      </c>
      <c r="M47" s="1958">
        <v>0</v>
      </c>
      <c r="N47" s="1958">
        <v>219377</v>
      </c>
      <c r="O47" s="1958">
        <v>0</v>
      </c>
      <c r="P47" s="1958">
        <v>1009062</v>
      </c>
      <c r="Q47" s="1958">
        <v>0</v>
      </c>
      <c r="R47" s="1958">
        <v>0</v>
      </c>
      <c r="S47" s="1958">
        <v>0</v>
      </c>
      <c r="T47" s="1958">
        <v>8</v>
      </c>
    </row>
    <row r="48" spans="1:20">
      <c r="A48" s="1958" t="s">
        <v>877</v>
      </c>
      <c r="B48" s="1958">
        <v>187</v>
      </c>
      <c r="C48" s="1958">
        <v>2023</v>
      </c>
      <c r="D48" s="1958">
        <v>12</v>
      </c>
      <c r="E48" s="1958">
        <v>49</v>
      </c>
      <c r="F48" s="1958">
        <v>1</v>
      </c>
      <c r="G48" s="1958" t="s">
        <v>1579</v>
      </c>
      <c r="H48" s="1958" t="s">
        <v>1578</v>
      </c>
      <c r="I48" s="1958">
        <v>8</v>
      </c>
      <c r="J48" s="1958">
        <v>0</v>
      </c>
      <c r="K48" s="1958">
        <v>0</v>
      </c>
      <c r="L48" s="1970">
        <v>7</v>
      </c>
      <c r="M48" s="1958">
        <v>-1</v>
      </c>
      <c r="N48" s="1958">
        <v>0</v>
      </c>
      <c r="O48" s="1958">
        <v>0</v>
      </c>
      <c r="P48" s="1958">
        <v>0</v>
      </c>
      <c r="Q48" s="1958">
        <v>0</v>
      </c>
      <c r="R48" s="1958">
        <v>0</v>
      </c>
      <c r="S48" s="1958">
        <v>0</v>
      </c>
      <c r="T48" s="1958">
        <v>7</v>
      </c>
    </row>
    <row r="49" spans="1:20">
      <c r="A49" s="1958" t="s">
        <v>877</v>
      </c>
      <c r="B49" s="1958">
        <v>187</v>
      </c>
      <c r="C49" s="1958">
        <v>2023</v>
      </c>
      <c r="D49" s="1958">
        <v>12</v>
      </c>
      <c r="E49" s="1958">
        <v>50</v>
      </c>
      <c r="F49" s="1958">
        <v>1</v>
      </c>
      <c r="G49" s="1958" t="s">
        <v>1577</v>
      </c>
      <c r="H49" s="1958" t="s">
        <v>1576</v>
      </c>
      <c r="I49" s="1958">
        <v>0</v>
      </c>
      <c r="J49" s="1958">
        <v>0</v>
      </c>
      <c r="K49" s="1958">
        <v>35</v>
      </c>
      <c r="L49" s="1970">
        <v>26</v>
      </c>
      <c r="M49" s="1958">
        <v>1</v>
      </c>
      <c r="N49" s="1958">
        <v>10</v>
      </c>
      <c r="O49" s="1958">
        <v>0</v>
      </c>
      <c r="P49" s="1958">
        <v>35</v>
      </c>
      <c r="Q49" s="1958">
        <v>0</v>
      </c>
      <c r="R49" s="1958">
        <v>0</v>
      </c>
      <c r="S49" s="1958">
        <v>0</v>
      </c>
      <c r="T49" s="1958">
        <v>7</v>
      </c>
    </row>
    <row r="50" spans="1:20">
      <c r="A50" s="1958" t="s">
        <v>877</v>
      </c>
      <c r="B50" s="1958">
        <v>187</v>
      </c>
      <c r="C50" s="1958">
        <v>2023</v>
      </c>
      <c r="D50" s="1958">
        <v>12</v>
      </c>
      <c r="E50" s="1958">
        <v>51</v>
      </c>
      <c r="F50" s="1958">
        <v>1</v>
      </c>
      <c r="G50" s="1958" t="s">
        <v>1575</v>
      </c>
      <c r="H50" s="1958" t="s">
        <v>1574</v>
      </c>
      <c r="I50" s="1958">
        <v>42</v>
      </c>
      <c r="J50" s="1958">
        <v>0</v>
      </c>
      <c r="K50" s="1958">
        <v>0</v>
      </c>
      <c r="L50" s="1970">
        <v>42</v>
      </c>
      <c r="M50" s="1958">
        <v>0</v>
      </c>
      <c r="N50" s="1958">
        <v>0</v>
      </c>
      <c r="O50" s="1958">
        <v>0</v>
      </c>
      <c r="P50" s="1958">
        <v>0</v>
      </c>
      <c r="Q50" s="1958">
        <v>0</v>
      </c>
      <c r="R50" s="1958">
        <v>0</v>
      </c>
      <c r="S50" s="1958">
        <v>0</v>
      </c>
      <c r="T50" s="1958">
        <v>6</v>
      </c>
    </row>
    <row r="51" spans="1:20">
      <c r="A51" s="1958" t="s">
        <v>877</v>
      </c>
      <c r="B51" s="1958">
        <v>187</v>
      </c>
      <c r="C51" s="1958">
        <v>2023</v>
      </c>
      <c r="D51" s="1958">
        <v>12</v>
      </c>
      <c r="E51" s="1958">
        <v>52</v>
      </c>
      <c r="F51" s="1958">
        <v>1</v>
      </c>
      <c r="G51" s="1958" t="s">
        <v>1573</v>
      </c>
      <c r="H51" s="1958" t="s">
        <v>1540</v>
      </c>
      <c r="I51" s="1958">
        <v>528</v>
      </c>
      <c r="J51" s="1958">
        <v>0</v>
      </c>
      <c r="K51" s="1958">
        <v>0</v>
      </c>
      <c r="L51" s="1970">
        <v>350</v>
      </c>
      <c r="M51" s="1958">
        <v>-178</v>
      </c>
      <c r="N51" s="1958">
        <v>0</v>
      </c>
      <c r="O51" s="1958">
        <v>0</v>
      </c>
      <c r="P51" s="1958">
        <v>0</v>
      </c>
      <c r="Q51" s="1958">
        <v>0</v>
      </c>
      <c r="R51" s="1958">
        <v>0</v>
      </c>
      <c r="S51" s="1958">
        <v>0</v>
      </c>
      <c r="T51" s="1958">
        <v>9</v>
      </c>
    </row>
    <row r="52" spans="1:20">
      <c r="A52" s="1958" t="s">
        <v>877</v>
      </c>
      <c r="B52" s="1958">
        <v>187</v>
      </c>
      <c r="C52" s="1958">
        <v>2023</v>
      </c>
      <c r="D52" s="1958">
        <v>12</v>
      </c>
      <c r="E52" s="1958">
        <v>53</v>
      </c>
      <c r="F52" s="1958">
        <v>1</v>
      </c>
      <c r="G52" s="1958" t="s">
        <v>1572</v>
      </c>
      <c r="H52" s="1958" t="s">
        <v>1538</v>
      </c>
      <c r="I52" s="1958">
        <v>0</v>
      </c>
      <c r="J52" s="1958">
        <v>0</v>
      </c>
      <c r="K52" s="1958">
        <v>9910</v>
      </c>
      <c r="L52" s="1970">
        <v>9671</v>
      </c>
      <c r="M52" s="1958">
        <v>0</v>
      </c>
      <c r="N52" s="1958">
        <v>239</v>
      </c>
      <c r="O52" s="1958">
        <v>0</v>
      </c>
      <c r="P52" s="1958">
        <v>3435</v>
      </c>
      <c r="Q52" s="1958">
        <v>0</v>
      </c>
      <c r="R52" s="1958">
        <v>0</v>
      </c>
      <c r="S52" s="1958">
        <v>6475</v>
      </c>
      <c r="T52" s="1958">
        <v>9</v>
      </c>
    </row>
    <row r="53" spans="1:20">
      <c r="A53" s="1958" t="s">
        <v>877</v>
      </c>
      <c r="B53" s="1958">
        <v>187</v>
      </c>
      <c r="C53" s="1958">
        <v>2023</v>
      </c>
      <c r="D53" s="1958">
        <v>12</v>
      </c>
      <c r="E53" s="1958">
        <v>54</v>
      </c>
      <c r="F53" s="1958">
        <v>1</v>
      </c>
      <c r="G53" s="1958" t="s">
        <v>1571</v>
      </c>
      <c r="H53" s="1958" t="s">
        <v>1570</v>
      </c>
      <c r="I53" s="1958">
        <v>0</v>
      </c>
      <c r="J53" s="1958">
        <v>0</v>
      </c>
      <c r="K53" s="1958">
        <v>215</v>
      </c>
      <c r="L53" s="1970">
        <v>165</v>
      </c>
      <c r="M53" s="1958">
        <v>0</v>
      </c>
      <c r="N53" s="1958">
        <v>50</v>
      </c>
      <c r="O53" s="1958">
        <v>0</v>
      </c>
      <c r="P53" s="1958">
        <v>215</v>
      </c>
      <c r="Q53" s="1958">
        <v>0</v>
      </c>
      <c r="R53" s="1958">
        <v>0</v>
      </c>
      <c r="S53" s="1958">
        <v>0</v>
      </c>
      <c r="T53" s="1958">
        <v>6</v>
      </c>
    </row>
    <row r="54" spans="1:20">
      <c r="A54" s="1958" t="s">
        <v>877</v>
      </c>
      <c r="B54" s="1958">
        <v>187</v>
      </c>
      <c r="C54" s="1958">
        <v>2023</v>
      </c>
      <c r="D54" s="1958">
        <v>12</v>
      </c>
      <c r="E54" s="1958">
        <v>55</v>
      </c>
      <c r="F54" s="1958">
        <v>1</v>
      </c>
      <c r="G54" s="1958" t="s">
        <v>1569</v>
      </c>
      <c r="H54" s="1958" t="s">
        <v>1568</v>
      </c>
      <c r="I54" s="1958">
        <f t="shared" ref="I54:S54" si="3">SUM(I42:I53)</f>
        <v>5080406</v>
      </c>
      <c r="J54" s="1958">
        <f t="shared" si="3"/>
        <v>0</v>
      </c>
      <c r="K54" s="1958">
        <f t="shared" si="3"/>
        <v>8402079</v>
      </c>
      <c r="L54" s="1970">
        <f t="shared" si="3"/>
        <v>9587100</v>
      </c>
      <c r="M54" s="1958">
        <f t="shared" si="3"/>
        <v>-179</v>
      </c>
      <c r="N54" s="1958">
        <f t="shared" si="3"/>
        <v>3895206</v>
      </c>
      <c r="O54" s="1958">
        <f t="shared" si="3"/>
        <v>0</v>
      </c>
      <c r="P54" s="1958">
        <f t="shared" si="3"/>
        <v>8395604</v>
      </c>
      <c r="Q54" s="1958">
        <f t="shared" si="3"/>
        <v>0</v>
      </c>
      <c r="R54" s="1958">
        <f t="shared" si="3"/>
        <v>0</v>
      </c>
      <c r="S54" s="1958">
        <f t="shared" si="3"/>
        <v>6475</v>
      </c>
    </row>
    <row r="55" spans="1:20">
      <c r="A55" s="1958" t="s">
        <v>877</v>
      </c>
      <c r="B55" s="1958">
        <v>187</v>
      </c>
      <c r="C55" s="1958">
        <v>2023</v>
      </c>
      <c r="D55" s="1958">
        <v>12</v>
      </c>
      <c r="E55" s="1958">
        <v>56</v>
      </c>
      <c r="F55" s="1958">
        <v>1</v>
      </c>
      <c r="G55" s="1958" t="s">
        <v>1567</v>
      </c>
      <c r="H55" s="1958" t="s">
        <v>728</v>
      </c>
      <c r="I55" s="1958">
        <v>0</v>
      </c>
      <c r="J55" s="1958">
        <v>0</v>
      </c>
      <c r="K55" s="1958">
        <v>0</v>
      </c>
      <c r="L55" s="1970">
        <v>0</v>
      </c>
      <c r="M55" s="1958">
        <v>0</v>
      </c>
      <c r="N55" s="1958">
        <v>0</v>
      </c>
      <c r="O55" s="1958">
        <v>0</v>
      </c>
      <c r="P55" s="1958">
        <v>0</v>
      </c>
      <c r="Q55" s="1958">
        <v>0</v>
      </c>
      <c r="R55" s="1958">
        <v>0</v>
      </c>
      <c r="S55" s="1958">
        <v>0</v>
      </c>
    </row>
    <row r="56" spans="1:20">
      <c r="A56" s="1958" t="s">
        <v>877</v>
      </c>
      <c r="B56" s="1958">
        <v>187</v>
      </c>
      <c r="C56" s="1958">
        <v>2023</v>
      </c>
      <c r="D56" s="1958">
        <v>12</v>
      </c>
      <c r="E56" s="1958">
        <v>57</v>
      </c>
      <c r="F56" s="1958">
        <v>1</v>
      </c>
      <c r="G56" s="1958" t="s">
        <v>1566</v>
      </c>
      <c r="H56" s="1958" t="s">
        <v>1565</v>
      </c>
      <c r="I56" s="1958">
        <v>0</v>
      </c>
      <c r="J56" s="1958">
        <v>0</v>
      </c>
      <c r="K56" s="1958">
        <v>0</v>
      </c>
      <c r="L56" s="1970">
        <v>0</v>
      </c>
      <c r="M56" s="1958">
        <v>0</v>
      </c>
      <c r="N56" s="1958">
        <v>0</v>
      </c>
      <c r="O56" s="1958">
        <v>0</v>
      </c>
      <c r="P56" s="1958">
        <v>0</v>
      </c>
      <c r="Q56" s="1958">
        <v>0</v>
      </c>
      <c r="R56" s="1958">
        <v>0</v>
      </c>
      <c r="S56" s="1958">
        <v>0</v>
      </c>
    </row>
    <row r="57" spans="1:20">
      <c r="A57" s="1958" t="s">
        <v>877</v>
      </c>
      <c r="B57" s="1958">
        <v>187</v>
      </c>
      <c r="C57" s="1958">
        <v>2023</v>
      </c>
      <c r="D57" s="1958">
        <v>12</v>
      </c>
      <c r="E57" s="1958">
        <v>58</v>
      </c>
      <c r="F57" s="1958">
        <v>1</v>
      </c>
      <c r="G57" s="1958" t="s">
        <v>1564</v>
      </c>
      <c r="H57" s="1958" t="s">
        <v>1563</v>
      </c>
      <c r="I57" s="1958">
        <v>0</v>
      </c>
      <c r="J57" s="1958">
        <v>0</v>
      </c>
      <c r="K57" s="1958">
        <v>0</v>
      </c>
      <c r="L57" s="1970">
        <v>0</v>
      </c>
      <c r="M57" s="1958">
        <v>0</v>
      </c>
      <c r="N57" s="1958">
        <v>0</v>
      </c>
      <c r="O57" s="1958">
        <v>0</v>
      </c>
      <c r="P57" s="1958">
        <v>0</v>
      </c>
      <c r="Q57" s="1958">
        <v>0</v>
      </c>
      <c r="R57" s="1958">
        <v>0</v>
      </c>
      <c r="S57" s="1958">
        <v>0</v>
      </c>
      <c r="T57" s="1958">
        <v>4</v>
      </c>
    </row>
    <row r="58" spans="1:20">
      <c r="A58" s="1958" t="s">
        <v>877</v>
      </c>
      <c r="B58" s="1958">
        <v>187</v>
      </c>
      <c r="C58" s="1958">
        <v>2023</v>
      </c>
      <c r="D58" s="1958">
        <v>12</v>
      </c>
      <c r="E58" s="1958">
        <v>59</v>
      </c>
      <c r="F58" s="1958">
        <v>1</v>
      </c>
      <c r="G58" s="1958" t="s">
        <v>1562</v>
      </c>
      <c r="H58" s="1958" t="s">
        <v>1561</v>
      </c>
      <c r="I58" s="1958">
        <v>0</v>
      </c>
      <c r="J58" s="1958">
        <v>0</v>
      </c>
      <c r="K58" s="1958">
        <v>100000</v>
      </c>
      <c r="L58" s="1970">
        <v>100000</v>
      </c>
      <c r="M58" s="1958">
        <v>0</v>
      </c>
      <c r="N58" s="1958">
        <v>0</v>
      </c>
      <c r="O58" s="1958">
        <v>0</v>
      </c>
      <c r="P58" s="1958">
        <v>20000</v>
      </c>
      <c r="Q58" s="1958">
        <v>0</v>
      </c>
      <c r="R58" s="1958">
        <v>0</v>
      </c>
      <c r="S58" s="1958">
        <v>80000</v>
      </c>
      <c r="T58" s="1958">
        <v>4</v>
      </c>
    </row>
    <row r="59" spans="1:20">
      <c r="A59" s="1958" t="s">
        <v>877</v>
      </c>
      <c r="B59" s="1958">
        <v>187</v>
      </c>
      <c r="C59" s="1958">
        <v>2023</v>
      </c>
      <c r="E59" s="1958">
        <v>60</v>
      </c>
      <c r="G59" s="1958" t="s">
        <v>1560</v>
      </c>
      <c r="H59" s="1958" t="s">
        <v>1540</v>
      </c>
      <c r="I59" s="1958">
        <v>14255</v>
      </c>
      <c r="J59" s="1958">
        <v>0</v>
      </c>
      <c r="K59" s="1958">
        <v>0</v>
      </c>
      <c r="L59" s="1970">
        <v>1249</v>
      </c>
      <c r="M59" s="1958">
        <v>-13006</v>
      </c>
      <c r="N59" s="1958">
        <v>0</v>
      </c>
      <c r="O59" s="1958">
        <v>0</v>
      </c>
      <c r="P59" s="1958">
        <v>0</v>
      </c>
      <c r="Q59" s="1958">
        <v>0</v>
      </c>
      <c r="R59" s="1958">
        <v>0</v>
      </c>
      <c r="S59" s="1958">
        <v>0</v>
      </c>
      <c r="T59" s="1958">
        <v>9</v>
      </c>
    </row>
    <row r="60" spans="1:20">
      <c r="A60" s="1958" t="s">
        <v>877</v>
      </c>
      <c r="B60" s="1958">
        <v>187</v>
      </c>
      <c r="C60" s="1958">
        <v>2023</v>
      </c>
      <c r="E60" s="1958">
        <v>61</v>
      </c>
      <c r="G60" s="1958" t="s">
        <v>1559</v>
      </c>
      <c r="H60" s="1958" t="s">
        <v>1538</v>
      </c>
      <c r="I60" s="1958">
        <v>0</v>
      </c>
      <c r="J60" s="1958">
        <v>0</v>
      </c>
      <c r="K60" s="1958">
        <v>63273</v>
      </c>
      <c r="L60" s="1970">
        <v>52444</v>
      </c>
      <c r="M60" s="1958">
        <v>0</v>
      </c>
      <c r="N60" s="1958">
        <v>10829</v>
      </c>
      <c r="O60" s="1958">
        <v>0</v>
      </c>
      <c r="P60" s="1958">
        <v>21929</v>
      </c>
      <c r="Q60" s="1958">
        <v>0</v>
      </c>
      <c r="R60" s="1958">
        <v>0</v>
      </c>
      <c r="S60" s="1958">
        <v>41344</v>
      </c>
      <c r="T60" s="1958">
        <v>9</v>
      </c>
    </row>
    <row r="61" spans="1:20">
      <c r="A61" s="1958" t="s">
        <v>877</v>
      </c>
      <c r="B61" s="1958">
        <v>187</v>
      </c>
      <c r="C61" s="1958">
        <v>2023</v>
      </c>
      <c r="D61" s="1958">
        <v>12</v>
      </c>
      <c r="E61" s="1958">
        <v>62</v>
      </c>
      <c r="F61" s="1958">
        <v>1</v>
      </c>
      <c r="G61" s="1958" t="s">
        <v>1558</v>
      </c>
      <c r="H61" s="1958" t="s">
        <v>1557</v>
      </c>
      <c r="I61" s="1958">
        <v>0</v>
      </c>
      <c r="J61" s="1958">
        <v>4517894</v>
      </c>
      <c r="K61" s="1958">
        <v>4517893</v>
      </c>
      <c r="L61" s="1970">
        <v>0</v>
      </c>
      <c r="M61" s="1958">
        <v>1</v>
      </c>
      <c r="N61" s="1958">
        <v>0</v>
      </c>
      <c r="O61" s="1958">
        <v>0</v>
      </c>
      <c r="P61" s="1958">
        <v>1866618</v>
      </c>
      <c r="Q61" s="1958">
        <v>0</v>
      </c>
      <c r="R61" s="1958">
        <v>0</v>
      </c>
      <c r="S61" s="1958">
        <v>2651275</v>
      </c>
      <c r="T61" s="1958">
        <v>3</v>
      </c>
    </row>
    <row r="62" spans="1:20">
      <c r="A62" s="1958" t="s">
        <v>877</v>
      </c>
      <c r="B62" s="1958">
        <v>187</v>
      </c>
      <c r="C62" s="1958">
        <v>2023</v>
      </c>
      <c r="D62" s="1958">
        <v>12</v>
      </c>
      <c r="E62" s="1958">
        <v>63</v>
      </c>
      <c r="F62" s="1958">
        <v>1</v>
      </c>
      <c r="G62" s="1958" t="s">
        <v>1556</v>
      </c>
      <c r="H62" s="1958" t="s">
        <v>1555</v>
      </c>
      <c r="I62" s="1958">
        <v>0</v>
      </c>
      <c r="J62" s="1958">
        <v>0</v>
      </c>
      <c r="K62" s="1958">
        <v>4233758</v>
      </c>
      <c r="L62" s="1970">
        <v>8467363</v>
      </c>
      <c r="M62" s="1958">
        <v>-1</v>
      </c>
      <c r="N62" s="1958">
        <v>0</v>
      </c>
      <c r="O62" s="1958">
        <v>4233606</v>
      </c>
      <c r="P62" s="1958">
        <v>1690101</v>
      </c>
      <c r="Q62" s="1958">
        <v>0</v>
      </c>
      <c r="R62" s="1958">
        <v>0</v>
      </c>
      <c r="S62" s="1958">
        <v>2543657</v>
      </c>
      <c r="T62" s="1958">
        <v>3</v>
      </c>
    </row>
    <row r="63" spans="1:20">
      <c r="A63" s="1958" t="s">
        <v>877</v>
      </c>
      <c r="B63" s="1958">
        <v>187</v>
      </c>
      <c r="C63" s="1958">
        <v>2023</v>
      </c>
      <c r="E63" s="1958">
        <v>64</v>
      </c>
      <c r="G63" s="1958" t="s">
        <v>1554</v>
      </c>
      <c r="H63" s="1958" t="s">
        <v>1553</v>
      </c>
      <c r="I63" s="1958">
        <v>0</v>
      </c>
      <c r="J63" s="1958">
        <v>0</v>
      </c>
      <c r="K63" s="1958">
        <v>-5020</v>
      </c>
      <c r="L63" s="1970">
        <v>0</v>
      </c>
      <c r="M63" s="1958">
        <v>5020</v>
      </c>
      <c r="N63" s="1958">
        <v>0</v>
      </c>
      <c r="O63" s="1958">
        <v>0</v>
      </c>
      <c r="P63" s="1958">
        <v>0</v>
      </c>
      <c r="Q63" s="1958">
        <v>0</v>
      </c>
      <c r="R63" s="1958">
        <v>0</v>
      </c>
      <c r="S63" s="1958">
        <v>-5020</v>
      </c>
      <c r="T63" s="1958">
        <v>4</v>
      </c>
    </row>
    <row r="64" spans="1:20">
      <c r="A64" s="1958" t="s">
        <v>877</v>
      </c>
      <c r="B64" s="1958">
        <v>187</v>
      </c>
      <c r="C64" s="1958">
        <v>2023</v>
      </c>
      <c r="E64" s="1958">
        <v>65</v>
      </c>
      <c r="G64" s="1958" t="s">
        <v>1552</v>
      </c>
      <c r="H64" s="1958" t="s">
        <v>1551</v>
      </c>
      <c r="I64" s="1958">
        <v>0</v>
      </c>
      <c r="J64" s="1958">
        <v>0</v>
      </c>
      <c r="K64" s="1958">
        <v>799999</v>
      </c>
      <c r="L64" s="1970">
        <v>700000</v>
      </c>
      <c r="M64" s="1958">
        <v>-99999</v>
      </c>
      <c r="N64" s="1958">
        <v>0</v>
      </c>
      <c r="O64" s="1958">
        <v>0</v>
      </c>
      <c r="P64" s="1958">
        <v>0</v>
      </c>
      <c r="Q64" s="1958">
        <v>0</v>
      </c>
      <c r="R64" s="1958">
        <v>0</v>
      </c>
      <c r="S64" s="1958">
        <v>799999</v>
      </c>
      <c r="T64" s="1958">
        <v>4</v>
      </c>
    </row>
    <row r="65" spans="1:20">
      <c r="A65" s="1958" t="s">
        <v>877</v>
      </c>
      <c r="B65" s="1958">
        <v>187</v>
      </c>
      <c r="C65" s="1958">
        <v>2023</v>
      </c>
      <c r="E65" s="1958">
        <v>66</v>
      </c>
      <c r="G65" s="1958" t="s">
        <v>1550</v>
      </c>
      <c r="H65" s="1958" t="s">
        <v>1549</v>
      </c>
      <c r="I65" s="1958">
        <v>1537313</v>
      </c>
      <c r="J65" s="1958">
        <v>0</v>
      </c>
      <c r="K65" s="1958">
        <v>-107</v>
      </c>
      <c r="L65" s="1970">
        <v>1537207</v>
      </c>
      <c r="M65" s="1958">
        <v>1</v>
      </c>
      <c r="N65" s="1958">
        <v>0</v>
      </c>
      <c r="O65" s="1958">
        <v>0</v>
      </c>
      <c r="P65" s="1958">
        <v>0</v>
      </c>
      <c r="Q65" s="1958">
        <v>0</v>
      </c>
      <c r="R65" s="1958">
        <v>0</v>
      </c>
      <c r="S65" s="1958">
        <v>-107</v>
      </c>
      <c r="T65" s="1958">
        <v>5</v>
      </c>
    </row>
    <row r="66" spans="1:20">
      <c r="A66" s="1958" t="s">
        <v>877</v>
      </c>
      <c r="B66" s="1958">
        <v>187</v>
      </c>
      <c r="C66" s="1958">
        <v>2023</v>
      </c>
      <c r="D66" s="1958">
        <v>12</v>
      </c>
      <c r="E66" s="1958">
        <v>67</v>
      </c>
      <c r="F66" s="1958">
        <v>1</v>
      </c>
      <c r="G66" s="1958" t="s">
        <v>1548</v>
      </c>
      <c r="H66" s="1958" t="s">
        <v>1547</v>
      </c>
      <c r="I66" s="1958">
        <v>0</v>
      </c>
      <c r="J66" s="1958">
        <v>0</v>
      </c>
      <c r="K66" s="1958">
        <v>5733816</v>
      </c>
      <c r="L66" s="1970">
        <v>4454171</v>
      </c>
      <c r="M66" s="1958">
        <v>-1</v>
      </c>
      <c r="N66" s="1958">
        <v>1279644</v>
      </c>
      <c r="O66" s="1958">
        <v>0</v>
      </c>
      <c r="P66" s="1958">
        <v>0</v>
      </c>
      <c r="Q66" s="1958">
        <v>0</v>
      </c>
      <c r="R66" s="1958">
        <v>0</v>
      </c>
      <c r="S66" s="1958">
        <v>5733816</v>
      </c>
      <c r="T66" s="1958">
        <v>5</v>
      </c>
    </row>
    <row r="67" spans="1:20">
      <c r="A67" s="1958" t="s">
        <v>877</v>
      </c>
      <c r="B67" s="1958">
        <v>187</v>
      </c>
      <c r="C67" s="1958">
        <v>2023</v>
      </c>
      <c r="D67" s="1958">
        <v>12</v>
      </c>
      <c r="E67" s="1958">
        <v>68</v>
      </c>
      <c r="F67" s="1958">
        <v>1</v>
      </c>
      <c r="G67" s="1958" t="s">
        <v>1546</v>
      </c>
      <c r="H67" s="1958" t="s">
        <v>1545</v>
      </c>
      <c r="I67" s="1958">
        <f t="shared" ref="I67:S67" si="4">SUM(I57:I66)</f>
        <v>1551568</v>
      </c>
      <c r="J67" s="1958">
        <f t="shared" si="4"/>
        <v>4517894</v>
      </c>
      <c r="K67" s="1958">
        <f t="shared" si="4"/>
        <v>15443612</v>
      </c>
      <c r="L67" s="1970">
        <f t="shared" si="4"/>
        <v>15312434</v>
      </c>
      <c r="M67" s="1958">
        <f t="shared" si="4"/>
        <v>-107985</v>
      </c>
      <c r="N67" s="1958">
        <f t="shared" si="4"/>
        <v>1290473</v>
      </c>
      <c r="O67" s="1958">
        <f t="shared" si="4"/>
        <v>4233606</v>
      </c>
      <c r="P67" s="1958">
        <f t="shared" si="4"/>
        <v>3598648</v>
      </c>
      <c r="Q67" s="1958">
        <f t="shared" si="4"/>
        <v>0</v>
      </c>
      <c r="R67" s="1958">
        <f t="shared" si="4"/>
        <v>0</v>
      </c>
      <c r="S67" s="1958">
        <f t="shared" si="4"/>
        <v>11844964</v>
      </c>
    </row>
    <row r="68" spans="1:20">
      <c r="A68" s="1958" t="s">
        <v>877</v>
      </c>
      <c r="B68" s="1958">
        <v>187</v>
      </c>
      <c r="C68" s="1958">
        <v>2023</v>
      </c>
      <c r="D68" s="1958">
        <v>12</v>
      </c>
      <c r="E68" s="1958">
        <v>69</v>
      </c>
      <c r="F68" s="1958">
        <v>1</v>
      </c>
      <c r="G68" s="1958" t="s">
        <v>1544</v>
      </c>
      <c r="H68" s="1958" t="s">
        <v>728</v>
      </c>
      <c r="I68" s="1958">
        <v>0</v>
      </c>
      <c r="J68" s="1958">
        <v>0</v>
      </c>
      <c r="K68" s="1958">
        <v>0</v>
      </c>
      <c r="L68" s="1970">
        <v>0</v>
      </c>
      <c r="M68" s="1958">
        <v>0</v>
      </c>
      <c r="N68" s="1958">
        <v>0</v>
      </c>
      <c r="O68" s="1958">
        <v>0</v>
      </c>
      <c r="P68" s="1958">
        <v>0</v>
      </c>
      <c r="Q68" s="1958">
        <v>0</v>
      </c>
      <c r="R68" s="1958">
        <v>0</v>
      </c>
      <c r="S68" s="1958">
        <v>0</v>
      </c>
    </row>
    <row r="69" spans="1:20">
      <c r="A69" s="1958" t="s">
        <v>877</v>
      </c>
      <c r="B69" s="1958">
        <v>187</v>
      </c>
      <c r="C69" s="1958">
        <v>2023</v>
      </c>
      <c r="D69" s="1958">
        <v>12</v>
      </c>
      <c r="E69" s="1958">
        <v>70</v>
      </c>
      <c r="F69" s="1958">
        <v>1</v>
      </c>
      <c r="G69" s="1958" t="s">
        <v>1543</v>
      </c>
      <c r="H69" s="1958" t="s">
        <v>1542</v>
      </c>
      <c r="I69" s="1958">
        <v>0</v>
      </c>
      <c r="J69" s="1958">
        <v>0</v>
      </c>
      <c r="K69" s="1958">
        <v>0</v>
      </c>
      <c r="L69" s="1970">
        <v>0</v>
      </c>
      <c r="M69" s="1958">
        <v>0</v>
      </c>
      <c r="N69" s="1958">
        <v>0</v>
      </c>
      <c r="O69" s="1958">
        <v>0</v>
      </c>
      <c r="P69" s="1958">
        <v>0</v>
      </c>
      <c r="Q69" s="1958">
        <v>0</v>
      </c>
      <c r="R69" s="1958">
        <v>0</v>
      </c>
      <c r="S69" s="1958">
        <v>0</v>
      </c>
    </row>
    <row r="70" spans="1:20">
      <c r="A70" s="1958" t="s">
        <v>877</v>
      </c>
      <c r="B70" s="1958">
        <v>187</v>
      </c>
      <c r="C70" s="1958">
        <v>2023</v>
      </c>
      <c r="D70" s="1958">
        <v>12</v>
      </c>
      <c r="E70" s="1958">
        <v>71</v>
      </c>
      <c r="F70" s="1958">
        <v>1</v>
      </c>
      <c r="G70" s="1958" t="s">
        <v>1541</v>
      </c>
      <c r="H70" s="1958" t="s">
        <v>1540</v>
      </c>
      <c r="I70" s="1958">
        <v>0</v>
      </c>
      <c r="J70" s="1958">
        <v>0</v>
      </c>
      <c r="K70" s="1958">
        <v>0</v>
      </c>
      <c r="L70" s="1970">
        <v>0</v>
      </c>
      <c r="M70" s="1958">
        <v>0</v>
      </c>
      <c r="N70" s="1958">
        <v>0</v>
      </c>
      <c r="O70" s="1958">
        <v>0</v>
      </c>
      <c r="P70" s="1958">
        <v>0</v>
      </c>
      <c r="Q70" s="1958">
        <v>0</v>
      </c>
      <c r="R70" s="1958">
        <v>0</v>
      </c>
      <c r="S70" s="1958">
        <v>0</v>
      </c>
      <c r="T70" s="1958">
        <v>9</v>
      </c>
    </row>
    <row r="71" spans="1:20">
      <c r="A71" s="1958" t="s">
        <v>877</v>
      </c>
      <c r="B71" s="1958">
        <v>187</v>
      </c>
      <c r="C71" s="1958">
        <v>2023</v>
      </c>
      <c r="E71" s="1958">
        <v>72</v>
      </c>
      <c r="G71" s="1958" t="s">
        <v>1539</v>
      </c>
      <c r="H71" s="1958" t="s">
        <v>1538</v>
      </c>
      <c r="I71" s="1958">
        <v>0</v>
      </c>
      <c r="J71" s="1958">
        <v>0</v>
      </c>
      <c r="K71" s="1958">
        <v>2877</v>
      </c>
      <c r="L71" s="1970">
        <v>2157</v>
      </c>
      <c r="M71" s="1958">
        <v>0</v>
      </c>
      <c r="N71" s="1958">
        <v>720</v>
      </c>
      <c r="O71" s="1958">
        <v>0</v>
      </c>
      <c r="P71" s="1958">
        <v>997</v>
      </c>
      <c r="Q71" s="1958">
        <v>0</v>
      </c>
      <c r="R71" s="1958">
        <v>0</v>
      </c>
      <c r="S71" s="1958">
        <v>1880</v>
      </c>
      <c r="T71" s="1958">
        <v>9</v>
      </c>
    </row>
    <row r="72" spans="1:20">
      <c r="A72" s="1958" t="s">
        <v>877</v>
      </c>
      <c r="B72" s="1958">
        <v>187</v>
      </c>
      <c r="C72" s="1958">
        <v>2023</v>
      </c>
      <c r="E72" s="1958">
        <v>73</v>
      </c>
      <c r="G72" s="1958" t="s">
        <v>1537</v>
      </c>
      <c r="H72" s="1958" t="s">
        <v>1536</v>
      </c>
      <c r="I72" s="1958">
        <v>0</v>
      </c>
      <c r="J72" s="1958">
        <v>0</v>
      </c>
      <c r="K72" s="1958">
        <v>975</v>
      </c>
      <c r="L72" s="1970">
        <v>975</v>
      </c>
      <c r="M72" s="1958">
        <v>0</v>
      </c>
      <c r="N72" s="1958">
        <v>0</v>
      </c>
      <c r="O72" s="1958">
        <v>0</v>
      </c>
      <c r="P72" s="1958">
        <v>123</v>
      </c>
      <c r="Q72" s="1958">
        <v>0</v>
      </c>
      <c r="R72" s="1958">
        <v>0</v>
      </c>
      <c r="S72" s="1958">
        <v>852</v>
      </c>
      <c r="T72" s="1958">
        <v>4</v>
      </c>
    </row>
    <row r="73" spans="1:20">
      <c r="A73" s="1958" t="s">
        <v>877</v>
      </c>
      <c r="B73" s="1958">
        <v>187</v>
      </c>
      <c r="C73" s="1958">
        <v>2023</v>
      </c>
      <c r="D73" s="1958">
        <v>12</v>
      </c>
      <c r="E73" s="1958">
        <v>74</v>
      </c>
      <c r="F73" s="1958">
        <v>1</v>
      </c>
      <c r="G73" s="1958" t="s">
        <v>1535</v>
      </c>
      <c r="H73" s="1958" t="s">
        <v>1534</v>
      </c>
      <c r="I73" s="1958">
        <f t="shared" ref="I73:S73" si="5">SUM(I70:I72)</f>
        <v>0</v>
      </c>
      <c r="J73" s="1958">
        <f t="shared" si="5"/>
        <v>0</v>
      </c>
      <c r="K73" s="1958">
        <f t="shared" si="5"/>
        <v>3852</v>
      </c>
      <c r="L73" s="1970">
        <f t="shared" si="5"/>
        <v>3132</v>
      </c>
      <c r="M73" s="1958">
        <f t="shared" si="5"/>
        <v>0</v>
      </c>
      <c r="N73" s="1958">
        <f t="shared" si="5"/>
        <v>720</v>
      </c>
      <c r="O73" s="1958">
        <f t="shared" si="5"/>
        <v>0</v>
      </c>
      <c r="P73" s="1958">
        <f t="shared" si="5"/>
        <v>1120</v>
      </c>
      <c r="Q73" s="1958">
        <f t="shared" si="5"/>
        <v>0</v>
      </c>
      <c r="R73" s="1958">
        <f t="shared" si="5"/>
        <v>0</v>
      </c>
      <c r="S73" s="1958">
        <f t="shared" si="5"/>
        <v>2732</v>
      </c>
    </row>
    <row r="74" spans="1:20">
      <c r="A74" s="1958" t="s">
        <v>877</v>
      </c>
      <c r="B74" s="1958">
        <v>187</v>
      </c>
      <c r="C74" s="1958">
        <v>2023</v>
      </c>
      <c r="D74" s="1958">
        <v>12</v>
      </c>
      <c r="E74" s="1958">
        <v>75</v>
      </c>
      <c r="F74" s="1958">
        <v>1</v>
      </c>
      <c r="G74" s="1958" t="s">
        <v>1533</v>
      </c>
      <c r="H74" s="1958" t="s">
        <v>728</v>
      </c>
      <c r="I74" s="1958">
        <v>0</v>
      </c>
      <c r="J74" s="1958">
        <v>0</v>
      </c>
      <c r="K74" s="1958">
        <v>0</v>
      </c>
      <c r="L74" s="1970">
        <v>0</v>
      </c>
      <c r="M74" s="1958">
        <v>0</v>
      </c>
      <c r="N74" s="1958">
        <v>0</v>
      </c>
      <c r="O74" s="1958">
        <v>0</v>
      </c>
      <c r="P74" s="1958">
        <v>0</v>
      </c>
      <c r="Q74" s="1958">
        <v>0</v>
      </c>
      <c r="R74" s="1958">
        <v>0</v>
      </c>
      <c r="S74" s="1958">
        <v>0</v>
      </c>
    </row>
    <row r="75" spans="1:20">
      <c r="A75" s="1958" t="s">
        <v>877</v>
      </c>
      <c r="B75" s="1958">
        <v>187</v>
      </c>
      <c r="C75" s="1958">
        <v>2023</v>
      </c>
      <c r="D75" s="1958">
        <v>12</v>
      </c>
      <c r="E75" s="1958">
        <v>76</v>
      </c>
      <c r="F75" s="1958">
        <v>1</v>
      </c>
      <c r="G75" s="1958" t="s">
        <v>1532</v>
      </c>
      <c r="H75" s="1958" t="s">
        <v>1531</v>
      </c>
      <c r="I75" s="1958">
        <v>0</v>
      </c>
      <c r="J75" s="1958">
        <v>0</v>
      </c>
      <c r="K75" s="1958">
        <v>0</v>
      </c>
      <c r="L75" s="1970">
        <v>0</v>
      </c>
      <c r="M75" s="1958">
        <v>0</v>
      </c>
      <c r="N75" s="1958">
        <v>0</v>
      </c>
      <c r="O75" s="1958">
        <v>0</v>
      </c>
      <c r="P75" s="1958">
        <v>0</v>
      </c>
      <c r="Q75" s="1958">
        <v>0</v>
      </c>
      <c r="R75" s="1958">
        <v>0</v>
      </c>
      <c r="S75" s="1958">
        <v>0</v>
      </c>
    </row>
    <row r="76" spans="1:20">
      <c r="A76" s="1958" t="s">
        <v>877</v>
      </c>
      <c r="B76" s="1958">
        <v>187</v>
      </c>
      <c r="C76" s="1958">
        <v>2023</v>
      </c>
      <c r="D76" s="1958">
        <v>12</v>
      </c>
      <c r="E76" s="1958">
        <v>77</v>
      </c>
      <c r="F76" s="1958">
        <v>1</v>
      </c>
      <c r="G76" s="1958" t="s">
        <v>1530</v>
      </c>
      <c r="H76" s="1958" t="s">
        <v>1529</v>
      </c>
      <c r="I76" s="1958">
        <v>0</v>
      </c>
      <c r="J76" s="1958">
        <v>0</v>
      </c>
      <c r="K76" s="1958">
        <v>664254</v>
      </c>
      <c r="L76" s="1970">
        <v>664254</v>
      </c>
      <c r="M76" s="1958">
        <v>0</v>
      </c>
      <c r="N76" s="1958">
        <v>0</v>
      </c>
      <c r="O76" s="1958">
        <v>0</v>
      </c>
      <c r="P76" s="1958">
        <v>0</v>
      </c>
      <c r="Q76" s="1958">
        <v>0</v>
      </c>
      <c r="R76" s="1958">
        <v>0</v>
      </c>
      <c r="S76" s="1958">
        <v>664254</v>
      </c>
    </row>
    <row r="77" spans="1:20">
      <c r="A77" s="1958" t="s">
        <v>877</v>
      </c>
      <c r="B77" s="1958">
        <v>187</v>
      </c>
      <c r="C77" s="1958">
        <v>2023</v>
      </c>
      <c r="D77" s="1958">
        <v>12</v>
      </c>
      <c r="E77" s="1958">
        <v>78</v>
      </c>
      <c r="F77" s="1958">
        <v>1</v>
      </c>
      <c r="G77" s="1958" t="s">
        <v>1528</v>
      </c>
      <c r="H77" s="1958" t="s">
        <v>1527</v>
      </c>
      <c r="I77" s="1958">
        <f t="shared" ref="I77:S77" si="6">SUM(I76)</f>
        <v>0</v>
      </c>
      <c r="J77" s="1958">
        <f t="shared" si="6"/>
        <v>0</v>
      </c>
      <c r="K77" s="1958">
        <f t="shared" si="6"/>
        <v>664254</v>
      </c>
      <c r="L77" s="1970">
        <f t="shared" si="6"/>
        <v>664254</v>
      </c>
      <c r="M77" s="1958">
        <f t="shared" si="6"/>
        <v>0</v>
      </c>
      <c r="N77" s="1958">
        <f t="shared" si="6"/>
        <v>0</v>
      </c>
      <c r="O77" s="1958">
        <f t="shared" si="6"/>
        <v>0</v>
      </c>
      <c r="P77" s="1958">
        <f t="shared" si="6"/>
        <v>0</v>
      </c>
      <c r="Q77" s="1958">
        <f t="shared" si="6"/>
        <v>0</v>
      </c>
      <c r="R77" s="1958">
        <f t="shared" si="6"/>
        <v>0</v>
      </c>
      <c r="S77" s="1958">
        <f t="shared" si="6"/>
        <v>664254</v>
      </c>
      <c r="T77" s="1958">
        <v>8</v>
      </c>
    </row>
    <row r="78" spans="1:20">
      <c r="A78" s="1958" t="s">
        <v>877</v>
      </c>
      <c r="B78" s="1958">
        <v>187</v>
      </c>
      <c r="C78" s="1958">
        <v>2023</v>
      </c>
      <c r="D78" s="1958">
        <v>12</v>
      </c>
      <c r="E78" s="1958">
        <v>79</v>
      </c>
      <c r="F78" s="1958">
        <v>1</v>
      </c>
      <c r="G78" s="1958" t="s">
        <v>1526</v>
      </c>
      <c r="H78" s="1958" t="s">
        <v>728</v>
      </c>
      <c r="I78" s="1958">
        <v>0</v>
      </c>
      <c r="J78" s="1958">
        <v>0</v>
      </c>
      <c r="K78" s="1958">
        <v>0</v>
      </c>
      <c r="L78" s="1970">
        <v>0</v>
      </c>
      <c r="M78" s="1958">
        <v>0</v>
      </c>
      <c r="N78" s="1958">
        <v>0</v>
      </c>
      <c r="O78" s="1958">
        <v>0</v>
      </c>
      <c r="P78" s="1958">
        <v>0</v>
      </c>
      <c r="Q78" s="1958">
        <v>0</v>
      </c>
      <c r="R78" s="1958">
        <v>0</v>
      </c>
      <c r="S78" s="1958">
        <v>0</v>
      </c>
    </row>
    <row r="79" spans="1:20">
      <c r="A79" s="1958" t="s">
        <v>877</v>
      </c>
      <c r="B79" s="1958">
        <v>187</v>
      </c>
      <c r="C79" s="1958">
        <v>2023</v>
      </c>
      <c r="D79" s="1958">
        <v>12</v>
      </c>
      <c r="E79" s="1958">
        <v>80</v>
      </c>
      <c r="F79" s="1958">
        <v>1</v>
      </c>
      <c r="G79" s="1958" t="s">
        <v>1525</v>
      </c>
      <c r="H79" s="1958" t="s">
        <v>728</v>
      </c>
      <c r="I79" s="1958">
        <v>0</v>
      </c>
      <c r="J79" s="1958">
        <v>0</v>
      </c>
      <c r="K79" s="1958">
        <v>0</v>
      </c>
      <c r="L79" s="1970">
        <v>0</v>
      </c>
      <c r="M79" s="1958">
        <v>0</v>
      </c>
      <c r="N79" s="1958">
        <v>0</v>
      </c>
      <c r="O79" s="1958">
        <v>0</v>
      </c>
      <c r="P79" s="1958">
        <v>0</v>
      </c>
      <c r="Q79" s="1958">
        <v>0</v>
      </c>
      <c r="R79" s="1958">
        <v>0</v>
      </c>
      <c r="S79" s="1958">
        <v>0</v>
      </c>
    </row>
    <row r="80" spans="1:20">
      <c r="A80" s="1958" t="s">
        <v>877</v>
      </c>
      <c r="B80" s="1958">
        <v>187</v>
      </c>
      <c r="C80" s="1958">
        <v>2023</v>
      </c>
      <c r="D80" s="1958">
        <v>12</v>
      </c>
      <c r="E80" s="1958">
        <v>81</v>
      </c>
      <c r="F80" s="1958">
        <v>1</v>
      </c>
      <c r="G80" s="1958" t="s">
        <v>1524</v>
      </c>
      <c r="H80" s="1958" t="s">
        <v>728</v>
      </c>
      <c r="I80" s="1958">
        <v>0</v>
      </c>
      <c r="J80" s="1958">
        <v>0</v>
      </c>
      <c r="K80" s="1958">
        <v>0</v>
      </c>
      <c r="L80" s="1970">
        <v>0</v>
      </c>
      <c r="M80" s="1958">
        <v>0</v>
      </c>
      <c r="N80" s="1958">
        <v>0</v>
      </c>
      <c r="O80" s="1958">
        <v>0</v>
      </c>
      <c r="P80" s="1958">
        <v>0</v>
      </c>
      <c r="Q80" s="1958">
        <v>0</v>
      </c>
      <c r="R80" s="1958">
        <v>0</v>
      </c>
      <c r="S80" s="1958">
        <v>0</v>
      </c>
    </row>
    <row r="81" spans="1:23">
      <c r="A81" s="1958" t="s">
        <v>877</v>
      </c>
      <c r="B81" s="1958">
        <v>187</v>
      </c>
      <c r="C81" s="1958">
        <v>2023</v>
      </c>
      <c r="D81" s="1958">
        <v>12</v>
      </c>
      <c r="E81" s="1958">
        <v>82</v>
      </c>
      <c r="F81" s="1958">
        <v>1</v>
      </c>
      <c r="G81" s="1958" t="s">
        <v>1523</v>
      </c>
      <c r="H81" s="1958" t="s">
        <v>728</v>
      </c>
      <c r="I81" s="1958">
        <v>0</v>
      </c>
      <c r="J81" s="1958">
        <v>0</v>
      </c>
      <c r="K81" s="1958">
        <v>0</v>
      </c>
      <c r="L81" s="1970">
        <v>0</v>
      </c>
      <c r="M81" s="1958">
        <v>0</v>
      </c>
      <c r="N81" s="1958">
        <v>0</v>
      </c>
      <c r="O81" s="1958">
        <v>0</v>
      </c>
      <c r="P81" s="1958">
        <v>0</v>
      </c>
      <c r="Q81" s="1958">
        <v>0</v>
      </c>
      <c r="R81" s="1958">
        <v>0</v>
      </c>
      <c r="S81" s="1958">
        <v>0</v>
      </c>
    </row>
    <row r="82" spans="1:23">
      <c r="A82" s="1958" t="s">
        <v>877</v>
      </c>
      <c r="B82" s="1958">
        <v>187</v>
      </c>
      <c r="C82" s="1958">
        <v>2023</v>
      </c>
      <c r="D82" s="1958">
        <v>12</v>
      </c>
      <c r="E82" s="1958">
        <v>83</v>
      </c>
      <c r="F82" s="1958">
        <v>1</v>
      </c>
      <c r="G82" s="1958" t="s">
        <v>1522</v>
      </c>
      <c r="H82" s="1958" t="s">
        <v>728</v>
      </c>
      <c r="I82" s="1958">
        <v>0</v>
      </c>
      <c r="J82" s="1958">
        <v>0</v>
      </c>
      <c r="K82" s="1958">
        <v>0</v>
      </c>
      <c r="L82" s="1970">
        <v>0</v>
      </c>
      <c r="M82" s="1958">
        <v>0</v>
      </c>
      <c r="N82" s="1958">
        <v>0</v>
      </c>
      <c r="O82" s="1958">
        <v>0</v>
      </c>
      <c r="P82" s="1958">
        <v>0</v>
      </c>
      <c r="Q82" s="1958">
        <v>0</v>
      </c>
      <c r="R82" s="1958">
        <v>0</v>
      </c>
      <c r="S82" s="1958">
        <v>0</v>
      </c>
    </row>
    <row r="83" spans="1:23">
      <c r="A83" s="1958" t="s">
        <v>877</v>
      </c>
      <c r="B83" s="1958">
        <v>187</v>
      </c>
      <c r="C83" s="1958">
        <v>2023</v>
      </c>
      <c r="D83" s="1958">
        <v>12</v>
      </c>
      <c r="E83" s="1958">
        <v>84</v>
      </c>
      <c r="F83" s="1958">
        <v>1</v>
      </c>
      <c r="G83" s="1958" t="s">
        <v>1521</v>
      </c>
      <c r="H83" s="1958" t="s">
        <v>728</v>
      </c>
      <c r="I83" s="1958">
        <v>0</v>
      </c>
      <c r="J83" s="1958">
        <v>0</v>
      </c>
      <c r="K83" s="1958">
        <v>0</v>
      </c>
      <c r="L83" s="1970">
        <v>0</v>
      </c>
      <c r="M83" s="1958">
        <v>0</v>
      </c>
      <c r="N83" s="1958">
        <v>0</v>
      </c>
      <c r="O83" s="1958">
        <v>0</v>
      </c>
      <c r="P83" s="1958">
        <v>0</v>
      </c>
      <c r="Q83" s="1958">
        <v>0</v>
      </c>
      <c r="R83" s="1958">
        <v>0</v>
      </c>
      <c r="S83" s="1958">
        <v>0</v>
      </c>
    </row>
    <row r="84" spans="1:23">
      <c r="A84" s="1958" t="s">
        <v>877</v>
      </c>
      <c r="B84" s="1958">
        <v>187</v>
      </c>
      <c r="C84" s="1958">
        <v>2023</v>
      </c>
      <c r="D84" s="1958">
        <v>12</v>
      </c>
      <c r="E84" s="1958">
        <v>85</v>
      </c>
      <c r="F84" s="1958">
        <v>1</v>
      </c>
      <c r="G84" s="1958" t="s">
        <v>1520</v>
      </c>
      <c r="H84" s="1958" t="s">
        <v>728</v>
      </c>
      <c r="I84" s="1958">
        <v>0</v>
      </c>
      <c r="J84" s="1958">
        <v>0</v>
      </c>
      <c r="K84" s="1958">
        <v>0</v>
      </c>
      <c r="L84" s="1970">
        <v>0</v>
      </c>
      <c r="M84" s="1958">
        <v>0</v>
      </c>
      <c r="N84" s="1958">
        <v>0</v>
      </c>
      <c r="O84" s="1958">
        <v>0</v>
      </c>
      <c r="P84" s="1958">
        <v>0</v>
      </c>
      <c r="Q84" s="1958">
        <v>0</v>
      </c>
      <c r="R84" s="1958">
        <v>0</v>
      </c>
      <c r="S84" s="1958">
        <v>0</v>
      </c>
    </row>
    <row r="85" spans="1:23">
      <c r="A85" s="1958" t="s">
        <v>877</v>
      </c>
      <c r="B85" s="1958">
        <v>187</v>
      </c>
      <c r="C85" s="1958">
        <v>2023</v>
      </c>
      <c r="D85" s="1958">
        <v>12</v>
      </c>
      <c r="E85" s="1958">
        <v>86</v>
      </c>
      <c r="F85" s="1958">
        <v>1</v>
      </c>
      <c r="G85" s="1958" t="s">
        <v>1519</v>
      </c>
      <c r="H85" s="1958" t="s">
        <v>728</v>
      </c>
      <c r="I85" s="1958">
        <v>0</v>
      </c>
      <c r="J85" s="1958">
        <v>0</v>
      </c>
      <c r="K85" s="1958">
        <v>0</v>
      </c>
      <c r="L85" s="1970">
        <v>0</v>
      </c>
      <c r="M85" s="1958">
        <v>0</v>
      </c>
      <c r="N85" s="1958">
        <v>0</v>
      </c>
      <c r="O85" s="1958">
        <v>0</v>
      </c>
      <c r="P85" s="1958">
        <v>0</v>
      </c>
      <c r="Q85" s="1958">
        <v>0</v>
      </c>
      <c r="R85" s="1958">
        <v>0</v>
      </c>
      <c r="S85" s="1958">
        <v>0</v>
      </c>
    </row>
    <row r="87" spans="1:23">
      <c r="I87" s="1958">
        <f t="shared" ref="I87:S87" si="7">SUM(I77,I73,I67,I54,I39,I24,I9)</f>
        <v>38520487</v>
      </c>
      <c r="J87" s="1958">
        <f t="shared" si="7"/>
        <v>4517894</v>
      </c>
      <c r="K87" s="1958">
        <f t="shared" si="7"/>
        <v>132018452</v>
      </c>
      <c r="L87" s="1958">
        <f t="shared" si="7"/>
        <v>135775232</v>
      </c>
      <c r="M87" s="1958">
        <f t="shared" si="7"/>
        <v>-2600212</v>
      </c>
      <c r="N87" s="1958">
        <f t="shared" si="7"/>
        <v>31879207</v>
      </c>
      <c r="O87" s="1958">
        <f t="shared" si="7"/>
        <v>4233606</v>
      </c>
      <c r="P87" s="1958">
        <f t="shared" si="7"/>
        <v>72189619</v>
      </c>
      <c r="Q87" s="1958">
        <f t="shared" si="7"/>
        <v>0</v>
      </c>
      <c r="R87" s="1958">
        <f t="shared" si="7"/>
        <v>0</v>
      </c>
      <c r="S87" s="1958">
        <f t="shared" si="7"/>
        <v>59828833</v>
      </c>
    </row>
    <row r="90" spans="1:23" ht="15.75">
      <c r="H90" s="1958" t="s">
        <v>1615</v>
      </c>
      <c r="I90" s="2115"/>
      <c r="J90" s="2115"/>
      <c r="K90" s="2115"/>
      <c r="L90" s="2187">
        <f t="shared" ref="L90:L99" si="8">SUMIF($T$1:$T$78,T90,$L$1:$L$78)</f>
        <v>-2240752</v>
      </c>
      <c r="M90" s="2115"/>
      <c r="N90" s="2115"/>
      <c r="O90" s="2188">
        <f>+SUMIF($R$1:$R$80,W90,$J$1:$J$80)</f>
        <v>9035788</v>
      </c>
      <c r="P90" s="2115"/>
      <c r="Q90" s="2115"/>
      <c r="R90" s="2115"/>
      <c r="S90" s="2115"/>
      <c r="T90" s="1973">
        <v>1</v>
      </c>
      <c r="U90" s="2115"/>
      <c r="V90" s="2115"/>
      <c r="W90" s="1973"/>
    </row>
    <row r="91" spans="1:23" ht="15.75">
      <c r="H91" s="1958" t="s">
        <v>1614</v>
      </c>
      <c r="I91" s="2115"/>
      <c r="J91" s="2115"/>
      <c r="K91" s="2115"/>
      <c r="L91" s="2187">
        <f t="shared" si="8"/>
        <v>37863278</v>
      </c>
      <c r="M91" s="2115"/>
      <c r="N91" s="2115"/>
      <c r="O91" s="2188">
        <f>+SUMIF($R$1:$R$80,W91,$J$1:$J$80)</f>
        <v>9035788</v>
      </c>
      <c r="P91" s="2115"/>
      <c r="Q91" s="2115"/>
      <c r="R91" s="2115"/>
      <c r="S91" s="2115"/>
      <c r="T91" s="1973">
        <v>3</v>
      </c>
      <c r="U91" s="2115"/>
      <c r="V91" s="2115"/>
      <c r="W91" s="1973"/>
    </row>
    <row r="92" spans="1:23" ht="15.75">
      <c r="H92" s="1958" t="s">
        <v>152</v>
      </c>
      <c r="I92" s="2115"/>
      <c r="J92" s="2115"/>
      <c r="K92" s="2115"/>
      <c r="L92" s="2187">
        <f t="shared" si="8"/>
        <v>17254667</v>
      </c>
      <c r="M92" s="2115"/>
      <c r="N92" s="2115"/>
      <c r="O92" s="2188">
        <f>+SUMIF($R$1:$R$80,W92,$J$1:$J$80)</f>
        <v>9035788</v>
      </c>
      <c r="P92" s="2115"/>
      <c r="Q92" s="2115"/>
      <c r="R92" s="2115"/>
      <c r="S92" s="2115"/>
      <c r="T92" s="1973">
        <v>2</v>
      </c>
      <c r="U92" s="2115"/>
      <c r="V92" s="2115"/>
      <c r="W92" s="1973"/>
    </row>
    <row r="93" spans="1:23" ht="15.75">
      <c r="H93" s="1958" t="s">
        <v>1613</v>
      </c>
      <c r="I93" s="2115"/>
      <c r="J93" s="2115"/>
      <c r="K93" s="2115"/>
      <c r="L93" s="2187">
        <f t="shared" si="8"/>
        <v>43491448</v>
      </c>
      <c r="M93" s="2115"/>
      <c r="N93" s="2115"/>
      <c r="O93" s="2188">
        <f t="shared" ref="O93:O97" si="9">+SUMIF($R$1:$R$80,W93,$J$1:$J$80)</f>
        <v>9035788</v>
      </c>
      <c r="P93" s="2115"/>
      <c r="Q93" s="2115"/>
      <c r="R93" s="2115"/>
      <c r="S93" s="2115"/>
      <c r="T93" s="1973">
        <v>4</v>
      </c>
      <c r="U93" s="2115"/>
      <c r="V93" s="2115"/>
      <c r="W93" s="1973"/>
    </row>
    <row r="94" spans="1:23" ht="15.75">
      <c r="H94" s="1958" t="s">
        <v>1612</v>
      </c>
      <c r="I94" s="2115"/>
      <c r="J94" s="2115"/>
      <c r="K94" s="2115"/>
      <c r="L94" s="2187">
        <f t="shared" si="8"/>
        <v>5991378</v>
      </c>
      <c r="M94" s="2115"/>
      <c r="N94" s="2115"/>
      <c r="O94" s="2188">
        <f t="shared" si="9"/>
        <v>9035788</v>
      </c>
      <c r="P94" s="2115"/>
      <c r="Q94" s="2115"/>
      <c r="R94" s="2115"/>
      <c r="S94" s="2115"/>
      <c r="T94" s="1973">
        <v>5</v>
      </c>
      <c r="U94" s="2115"/>
      <c r="V94" s="2115"/>
      <c r="W94" s="1973"/>
    </row>
    <row r="95" spans="1:23" ht="15.75">
      <c r="H95" s="1958" t="s">
        <v>153</v>
      </c>
      <c r="I95" s="2115"/>
      <c r="J95" s="2115"/>
      <c r="K95" s="2115"/>
      <c r="L95" s="2187">
        <f t="shared" si="8"/>
        <v>207</v>
      </c>
      <c r="M95" s="2115"/>
      <c r="N95" s="2115"/>
      <c r="O95" s="2188">
        <f t="shared" si="9"/>
        <v>9035788</v>
      </c>
      <c r="P95" s="2115"/>
      <c r="Q95" s="2115"/>
      <c r="R95" s="2115"/>
      <c r="S95" s="2115"/>
      <c r="T95" s="1973">
        <v>6</v>
      </c>
      <c r="U95" s="2115"/>
      <c r="V95" s="2115"/>
      <c r="W95" s="1973"/>
    </row>
    <row r="96" spans="1:23" ht="15.75">
      <c r="H96" s="1958" t="s">
        <v>574</v>
      </c>
      <c r="I96" s="2115"/>
      <c r="J96" s="2115"/>
      <c r="K96" s="2115"/>
      <c r="L96" s="2187">
        <f t="shared" si="8"/>
        <v>29955625</v>
      </c>
      <c r="M96" s="2115"/>
      <c r="N96" s="2115"/>
      <c r="O96" s="2188">
        <f t="shared" si="9"/>
        <v>9035788</v>
      </c>
      <c r="P96" s="2115"/>
      <c r="Q96" s="2115"/>
      <c r="R96" s="2115"/>
      <c r="S96" s="2115"/>
      <c r="T96" s="1973">
        <v>7</v>
      </c>
      <c r="U96" s="2115"/>
      <c r="V96" s="2115"/>
      <c r="W96" s="1973"/>
    </row>
    <row r="97" spans="8:23" ht="15.75">
      <c r="H97" s="1958" t="s">
        <v>107</v>
      </c>
      <c r="I97" s="2115"/>
      <c r="J97" s="2115"/>
      <c r="K97" s="2115"/>
      <c r="L97" s="2187">
        <f t="shared" si="8"/>
        <v>3348499</v>
      </c>
      <c r="M97" s="2115"/>
      <c r="N97" s="2115"/>
      <c r="O97" s="2188">
        <f t="shared" si="9"/>
        <v>9035788</v>
      </c>
      <c r="P97" s="2115"/>
      <c r="Q97" s="2115"/>
      <c r="R97" s="2115"/>
      <c r="S97" s="2115"/>
      <c r="T97" s="1973">
        <v>8</v>
      </c>
      <c r="U97" s="2115"/>
      <c r="V97" s="2115"/>
      <c r="W97" s="1973"/>
    </row>
    <row r="98" spans="8:23" ht="15.75">
      <c r="H98" s="1958" t="s">
        <v>150</v>
      </c>
      <c r="I98" s="2115"/>
      <c r="J98" s="2115"/>
      <c r="K98" s="2115"/>
      <c r="L98" s="2187">
        <f t="shared" si="8"/>
        <v>110882</v>
      </c>
      <c r="M98" s="2115"/>
      <c r="N98" s="2115"/>
      <c r="O98" s="2188">
        <f>+SUMIF($R$1:$R$80,W98,$J$1:$J$80)</f>
        <v>9035788</v>
      </c>
      <c r="P98" s="2115"/>
      <c r="Q98" s="2115"/>
      <c r="R98" s="2115"/>
      <c r="S98" s="2115"/>
      <c r="T98" s="1973">
        <v>9</v>
      </c>
      <c r="U98" s="2115"/>
      <c r="V98" s="2115"/>
      <c r="W98" s="1973"/>
    </row>
    <row r="99" spans="8:23" ht="15.75">
      <c r="I99" s="2115"/>
      <c r="J99" s="2115"/>
      <c r="K99" s="2115"/>
      <c r="L99" s="2187">
        <f t="shared" si="8"/>
        <v>0</v>
      </c>
      <c r="M99" s="2115"/>
      <c r="N99" s="2115"/>
      <c r="O99" s="2188"/>
      <c r="P99" s="2115"/>
      <c r="Q99" s="2115"/>
      <c r="R99" s="2115"/>
      <c r="S99" s="2115"/>
      <c r="T99" s="2115"/>
      <c r="U99" s="2115"/>
      <c r="V99" s="2115"/>
      <c r="W99" s="1973"/>
    </row>
    <row r="100" spans="8:23" ht="15.75">
      <c r="H100" s="1958" t="s">
        <v>1611</v>
      </c>
      <c r="I100" s="2115"/>
      <c r="J100" s="2115"/>
      <c r="K100" s="2115"/>
      <c r="L100" s="2187"/>
      <c r="M100" s="2115"/>
      <c r="N100" s="2115"/>
      <c r="O100" s="2188">
        <f>SUM(O90:O98)</f>
        <v>81322092</v>
      </c>
      <c r="P100" s="2115"/>
      <c r="Q100" s="2115"/>
      <c r="R100" s="2115"/>
      <c r="S100" s="2115"/>
      <c r="T100" s="2115"/>
      <c r="U100" s="2115"/>
      <c r="V100" s="2115"/>
      <c r="W100" s="1973"/>
    </row>
    <row r="101" spans="8:23">
      <c r="L101" s="2187">
        <f>SUM(L90:L100)</f>
        <v>135775232</v>
      </c>
    </row>
    <row r="102" spans="8:23">
      <c r="L102" s="2189">
        <f>L101-L87</f>
        <v>0</v>
      </c>
    </row>
    <row r="103" spans="8:23">
      <c r="L103" s="1958">
        <v>137219942</v>
      </c>
    </row>
    <row r="104" spans="8:23">
      <c r="L104" s="2189">
        <f>L103-L101</f>
        <v>1444710</v>
      </c>
    </row>
  </sheetData>
  <pageMargins left="0.75" right="0.75" top="1" bottom="1" header="0.5" footer="0.5"/>
  <pageSetup orientation="portrait" r:id="rId1"/>
  <customProperties>
    <customPr name="xxe4aPID" r:id="rId2"/>
  </customPropertie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B2F4D-0026-4CE3-865C-2A337B2AF32C}">
  <sheetPr codeName="Sheet58">
    <tabColor theme="6"/>
  </sheetPr>
  <dimension ref="A1:M48"/>
  <sheetViews>
    <sheetView workbookViewId="0">
      <selection activeCell="D400" sqref="D400"/>
    </sheetView>
  </sheetViews>
  <sheetFormatPr defaultColWidth="9" defaultRowHeight="12.75"/>
  <cols>
    <col min="1" max="6" width="9" style="1958"/>
    <col min="7" max="7" width="25.75" style="1958" bestFit="1" customWidth="1"/>
    <col min="8" max="16384" width="9" style="1958"/>
  </cols>
  <sheetData>
    <row r="1" spans="1:13">
      <c r="A1" s="1958" t="s">
        <v>984</v>
      </c>
      <c r="B1" s="1958" t="s">
        <v>983</v>
      </c>
      <c r="C1" s="1958" t="s">
        <v>982</v>
      </c>
      <c r="D1" s="1958" t="s">
        <v>981</v>
      </c>
      <c r="E1" s="1958" t="s">
        <v>980</v>
      </c>
      <c r="F1" s="1958" t="s">
        <v>979</v>
      </c>
      <c r="G1" s="1958" t="s">
        <v>1634</v>
      </c>
      <c r="H1" s="1958" t="s">
        <v>1224</v>
      </c>
      <c r="J1" s="1958" t="s">
        <v>1633</v>
      </c>
      <c r="K1" s="1958" t="s">
        <v>1632</v>
      </c>
      <c r="L1" s="1958" t="s">
        <v>1631</v>
      </c>
      <c r="M1" s="1958" t="s">
        <v>1220</v>
      </c>
    </row>
    <row r="2" spans="1:13">
      <c r="A2" s="1958" t="s">
        <v>877</v>
      </c>
      <c r="B2" s="1958">
        <v>187</v>
      </c>
      <c r="C2" s="1958">
        <v>2023</v>
      </c>
      <c r="D2" s="1958">
        <v>12</v>
      </c>
      <c r="E2" s="1958">
        <v>1</v>
      </c>
      <c r="F2" s="1958">
        <v>0</v>
      </c>
      <c r="G2" s="1958" t="s">
        <v>1630</v>
      </c>
      <c r="H2" s="1958">
        <v>1406250</v>
      </c>
      <c r="I2" s="1958" t="s">
        <v>1630</v>
      </c>
      <c r="J2" s="1958">
        <v>495</v>
      </c>
      <c r="K2" s="1958">
        <v>5625000</v>
      </c>
      <c r="L2" s="1958">
        <v>5625000</v>
      </c>
      <c r="M2" s="1958">
        <f>SUM(H2+K2-L2)</f>
        <v>1406250</v>
      </c>
    </row>
    <row r="3" spans="1:13">
      <c r="A3" s="1958" t="s">
        <v>877</v>
      </c>
      <c r="B3" s="1958">
        <v>187</v>
      </c>
      <c r="C3" s="1958">
        <v>2023</v>
      </c>
      <c r="D3" s="1958">
        <v>12</v>
      </c>
      <c r="E3" s="1958">
        <v>2</v>
      </c>
      <c r="F3" s="1958">
        <v>0</v>
      </c>
      <c r="G3" s="1958" t="s">
        <v>1629</v>
      </c>
      <c r="H3" s="1958">
        <v>694497</v>
      </c>
      <c r="I3" s="1958" t="str">
        <f t="shared" ref="I3:I12" si="0">G3</f>
        <v>BILLS POLE RENTALS</v>
      </c>
      <c r="J3" s="1958">
        <v>454</v>
      </c>
      <c r="K3" s="1958">
        <v>1360857</v>
      </c>
      <c r="L3" s="1958">
        <v>1332721</v>
      </c>
      <c r="M3" s="1958">
        <f t="shared" ref="M3:M21" si="1">SUM(H3-K3+L3)</f>
        <v>666361</v>
      </c>
    </row>
    <row r="4" spans="1:13">
      <c r="A4" s="1958" t="s">
        <v>877</v>
      </c>
      <c r="B4" s="1958">
        <v>187</v>
      </c>
      <c r="C4" s="1958">
        <v>2023</v>
      </c>
      <c r="D4" s="1958">
        <v>12</v>
      </c>
      <c r="E4" s="1958">
        <v>3</v>
      </c>
      <c r="F4" s="1958">
        <v>0</v>
      </c>
      <c r="G4" s="1958" t="s">
        <v>1628</v>
      </c>
      <c r="H4" s="1958">
        <v>7540648</v>
      </c>
      <c r="I4" s="1958" t="str">
        <f t="shared" si="0"/>
        <v>DEFER COMP ACTIVE EXECS</v>
      </c>
      <c r="J4" s="1958">
        <v>128</v>
      </c>
      <c r="K4" s="1958">
        <v>1417983</v>
      </c>
      <c r="L4" s="1958">
        <v>1671243</v>
      </c>
      <c r="M4" s="1958">
        <f t="shared" si="1"/>
        <v>7793908</v>
      </c>
    </row>
    <row r="5" spans="1:13">
      <c r="A5" s="1958" t="s">
        <v>877</v>
      </c>
      <c r="B5" s="1958">
        <v>187</v>
      </c>
      <c r="C5" s="1958">
        <v>2023</v>
      </c>
      <c r="D5" s="1958">
        <v>12</v>
      </c>
      <c r="E5" s="1958">
        <v>4</v>
      </c>
      <c r="F5" s="1958">
        <v>0</v>
      </c>
      <c r="G5" s="1958" t="s">
        <v>1627</v>
      </c>
      <c r="H5" s="1958">
        <v>3568598</v>
      </c>
      <c r="I5" s="1958" t="str">
        <f t="shared" si="0"/>
        <v>Unbilled Revenue</v>
      </c>
      <c r="J5" s="1958">
        <v>908</v>
      </c>
      <c r="K5" s="1958">
        <v>26788651</v>
      </c>
      <c r="L5" s="1958">
        <v>27874080</v>
      </c>
      <c r="M5" s="1958">
        <f t="shared" si="1"/>
        <v>4654027</v>
      </c>
    </row>
    <row r="6" spans="1:13">
      <c r="A6" s="1958" t="s">
        <v>877</v>
      </c>
      <c r="B6" s="1958">
        <v>187</v>
      </c>
      <c r="C6" s="1958">
        <v>2023</v>
      </c>
      <c r="D6" s="1958">
        <v>12</v>
      </c>
      <c r="E6" s="1958">
        <v>5</v>
      </c>
      <c r="F6" s="1958">
        <v>0</v>
      </c>
      <c r="G6" s="1958" t="s">
        <v>1626</v>
      </c>
      <c r="H6" s="1958">
        <v>23415084</v>
      </c>
      <c r="I6" s="1958" t="str">
        <f t="shared" si="0"/>
        <v>DECOUPLING DEFERRED CREDITS</v>
      </c>
      <c r="J6" s="1958" t="s">
        <v>1625</v>
      </c>
      <c r="K6" s="1958">
        <v>18690227</v>
      </c>
      <c r="L6" s="1958">
        <v>3741826</v>
      </c>
      <c r="M6" s="1958">
        <f t="shared" si="1"/>
        <v>8466683</v>
      </c>
    </row>
    <row r="7" spans="1:13">
      <c r="A7" s="1958" t="s">
        <v>877</v>
      </c>
      <c r="B7" s="1958">
        <v>187</v>
      </c>
      <c r="C7" s="1958">
        <v>2023</v>
      </c>
      <c r="D7" s="1958">
        <v>12</v>
      </c>
      <c r="E7" s="1958">
        <v>6</v>
      </c>
      <c r="F7" s="1958">
        <v>0</v>
      </c>
      <c r="G7" s="1958" t="s">
        <v>1624</v>
      </c>
      <c r="H7" s="1958">
        <v>7749100</v>
      </c>
      <c r="I7" s="1958" t="str">
        <f t="shared" si="0"/>
        <v>REG LIABILITY - COVID-19 DEFERRAL</v>
      </c>
      <c r="K7" s="1958">
        <v>0</v>
      </c>
      <c r="L7" s="1958">
        <v>0</v>
      </c>
      <c r="M7" s="1958">
        <f t="shared" si="1"/>
        <v>7749100</v>
      </c>
    </row>
    <row r="8" spans="1:13">
      <c r="A8" s="1958" t="s">
        <v>877</v>
      </c>
      <c r="B8" s="1958">
        <v>187</v>
      </c>
      <c r="C8" s="1958">
        <v>2023</v>
      </c>
      <c r="D8" s="1958">
        <v>12</v>
      </c>
      <c r="E8" s="1958">
        <v>7</v>
      </c>
      <c r="F8" s="1958">
        <v>0</v>
      </c>
      <c r="G8" s="1958" t="s">
        <v>1623</v>
      </c>
      <c r="H8" s="1958">
        <v>868759</v>
      </c>
      <c r="I8" s="1958" t="str">
        <f t="shared" si="0"/>
        <v>WA REC DEFERRALS</v>
      </c>
      <c r="J8" s="1958" t="s">
        <v>1622</v>
      </c>
      <c r="K8" s="1958">
        <v>1107117</v>
      </c>
      <c r="L8" s="1958">
        <v>238358</v>
      </c>
      <c r="M8" s="1958">
        <f t="shared" si="1"/>
        <v>0</v>
      </c>
    </row>
    <row r="9" spans="1:13">
      <c r="A9" s="1958" t="s">
        <v>877</v>
      </c>
      <c r="B9" s="1958">
        <v>187</v>
      </c>
      <c r="C9" s="1958">
        <v>2023</v>
      </c>
      <c r="D9" s="1958">
        <v>12</v>
      </c>
      <c r="E9" s="1958">
        <v>8</v>
      </c>
      <c r="F9" s="1958">
        <v>0</v>
      </c>
      <c r="G9" s="1958" t="s">
        <v>1621</v>
      </c>
      <c r="H9" s="1958">
        <v>226796</v>
      </c>
      <c r="I9" s="1958" t="str">
        <f t="shared" si="0"/>
        <v>TIMBER HARVEST</v>
      </c>
      <c r="K9" s="1958">
        <v>0</v>
      </c>
      <c r="L9" s="1958">
        <v>0</v>
      </c>
      <c r="M9" s="1958">
        <f t="shared" si="1"/>
        <v>226796</v>
      </c>
    </row>
    <row r="10" spans="1:13">
      <c r="A10" s="1958" t="s">
        <v>877</v>
      </c>
      <c r="B10" s="1958">
        <v>187</v>
      </c>
      <c r="C10" s="1958">
        <v>2023</v>
      </c>
      <c r="D10" s="1958">
        <v>12</v>
      </c>
      <c r="E10" s="1958">
        <v>9</v>
      </c>
      <c r="F10" s="1958">
        <v>0</v>
      </c>
      <c r="G10" s="1958" t="s">
        <v>1620</v>
      </c>
      <c r="H10" s="1958">
        <v>791667</v>
      </c>
      <c r="I10" s="1958" t="str">
        <f t="shared" si="0"/>
        <v>OTHER DEF CR - FISERV</v>
      </c>
      <c r="J10" s="1958">
        <v>903</v>
      </c>
      <c r="K10" s="1958">
        <v>416667</v>
      </c>
      <c r="L10" s="1958">
        <v>495702</v>
      </c>
      <c r="M10" s="1958">
        <f t="shared" si="1"/>
        <v>870702</v>
      </c>
    </row>
    <row r="11" spans="1:13">
      <c r="A11" s="1958" t="s">
        <v>877</v>
      </c>
      <c r="B11" s="1958">
        <v>187</v>
      </c>
      <c r="C11" s="1958">
        <v>2023</v>
      </c>
      <c r="D11" s="1958">
        <v>12</v>
      </c>
      <c r="E11" s="1958">
        <v>10</v>
      </c>
      <c r="F11" s="1958">
        <v>0</v>
      </c>
      <c r="G11" s="1958" t="s">
        <v>1619</v>
      </c>
      <c r="H11" s="1958">
        <v>2093461</v>
      </c>
      <c r="I11" s="1958" t="str">
        <f t="shared" si="0"/>
        <v>ACCTS PAY - SOFTWARE LICENSES - LT</v>
      </c>
      <c r="J11" s="1958">
        <v>242</v>
      </c>
      <c r="K11" s="1958">
        <v>1658850</v>
      </c>
      <c r="L11" s="1958">
        <v>642885</v>
      </c>
      <c r="M11" s="1958">
        <f t="shared" si="1"/>
        <v>1077496</v>
      </c>
    </row>
    <row r="12" spans="1:13">
      <c r="A12" s="1958" t="s">
        <v>877</v>
      </c>
      <c r="B12" s="1958">
        <v>187</v>
      </c>
      <c r="C12" s="1958">
        <v>2023</v>
      </c>
      <c r="D12" s="1958">
        <v>12</v>
      </c>
      <c r="E12" s="1958">
        <v>11</v>
      </c>
      <c r="F12" s="1958">
        <v>0</v>
      </c>
      <c r="G12" s="1958" t="s">
        <v>1618</v>
      </c>
      <c r="H12" s="1958">
        <v>47742</v>
      </c>
      <c r="I12" s="1958" t="str">
        <f t="shared" si="0"/>
        <v>MISC DEFERRED CREDITS</v>
      </c>
      <c r="J12" s="1958" t="s">
        <v>1617</v>
      </c>
      <c r="K12" s="1958">
        <v>156225</v>
      </c>
      <c r="L12" s="1958">
        <v>115403</v>
      </c>
      <c r="M12" s="1958">
        <f t="shared" si="1"/>
        <v>6920</v>
      </c>
    </row>
    <row r="13" spans="1:13">
      <c r="A13" s="1958" t="s">
        <v>877</v>
      </c>
      <c r="B13" s="1958">
        <v>187</v>
      </c>
      <c r="C13" s="1958">
        <v>2023</v>
      </c>
      <c r="D13" s="1958">
        <v>12</v>
      </c>
      <c r="E13" s="1958">
        <v>12</v>
      </c>
      <c r="F13" s="1958">
        <v>0</v>
      </c>
      <c r="G13" s="1958" t="s">
        <v>728</v>
      </c>
      <c r="H13" s="1958">
        <v>0</v>
      </c>
      <c r="J13" s="1958" t="s">
        <v>728</v>
      </c>
      <c r="K13" s="1958">
        <v>0</v>
      </c>
      <c r="L13" s="1958">
        <v>0</v>
      </c>
      <c r="M13" s="1958">
        <f t="shared" si="1"/>
        <v>0</v>
      </c>
    </row>
    <row r="14" spans="1:13">
      <c r="A14" s="1958" t="s">
        <v>877</v>
      </c>
      <c r="B14" s="1958">
        <v>187</v>
      </c>
      <c r="C14" s="1958">
        <v>2023</v>
      </c>
      <c r="D14" s="1958">
        <v>12</v>
      </c>
      <c r="E14" s="1958">
        <v>13</v>
      </c>
      <c r="F14" s="1958">
        <v>0</v>
      </c>
      <c r="G14" s="1958" t="s">
        <v>728</v>
      </c>
      <c r="H14" s="1958">
        <v>0</v>
      </c>
      <c r="J14" s="1958" t="s">
        <v>728</v>
      </c>
      <c r="K14" s="1958">
        <v>0</v>
      </c>
      <c r="L14" s="1958">
        <v>0</v>
      </c>
      <c r="M14" s="1958">
        <f t="shared" si="1"/>
        <v>0</v>
      </c>
    </row>
    <row r="15" spans="1:13">
      <c r="A15" s="1958" t="s">
        <v>877</v>
      </c>
      <c r="B15" s="1958">
        <v>187</v>
      </c>
      <c r="C15" s="1958">
        <v>2023</v>
      </c>
      <c r="D15" s="1958">
        <v>12</v>
      </c>
      <c r="E15" s="1958">
        <v>14</v>
      </c>
      <c r="F15" s="1958">
        <v>0</v>
      </c>
      <c r="G15" s="1958" t="s">
        <v>728</v>
      </c>
      <c r="H15" s="1958">
        <v>0</v>
      </c>
      <c r="J15" s="1958" t="s">
        <v>728</v>
      </c>
      <c r="K15" s="1958">
        <v>0</v>
      </c>
      <c r="L15" s="1958">
        <v>0</v>
      </c>
      <c r="M15" s="1958">
        <f t="shared" si="1"/>
        <v>0</v>
      </c>
    </row>
    <row r="16" spans="1:13">
      <c r="A16" s="1958" t="s">
        <v>877</v>
      </c>
      <c r="B16" s="1958">
        <v>187</v>
      </c>
      <c r="C16" s="1958">
        <v>2023</v>
      </c>
      <c r="D16" s="1958">
        <v>12</v>
      </c>
      <c r="E16" s="1958">
        <v>15</v>
      </c>
      <c r="F16" s="1958">
        <v>0</v>
      </c>
      <c r="G16" s="1958" t="s">
        <v>728</v>
      </c>
      <c r="H16" s="1958">
        <v>0</v>
      </c>
      <c r="J16" s="1958" t="s">
        <v>728</v>
      </c>
      <c r="K16" s="1958">
        <v>0</v>
      </c>
      <c r="L16" s="1958">
        <v>0</v>
      </c>
      <c r="M16" s="1958">
        <f t="shared" si="1"/>
        <v>0</v>
      </c>
    </row>
    <row r="17" spans="1:13">
      <c r="A17" s="1958" t="s">
        <v>877</v>
      </c>
      <c r="B17" s="1958">
        <v>187</v>
      </c>
      <c r="C17" s="1958">
        <v>2023</v>
      </c>
      <c r="D17" s="1958">
        <v>12</v>
      </c>
      <c r="E17" s="1958">
        <v>16</v>
      </c>
      <c r="F17" s="1958">
        <v>0</v>
      </c>
      <c r="G17" s="1958" t="s">
        <v>728</v>
      </c>
      <c r="H17" s="1958">
        <v>0</v>
      </c>
      <c r="J17" s="1958" t="s">
        <v>728</v>
      </c>
      <c r="K17" s="1958">
        <v>0</v>
      </c>
      <c r="L17" s="1958">
        <v>0</v>
      </c>
      <c r="M17" s="1958">
        <f t="shared" si="1"/>
        <v>0</v>
      </c>
    </row>
    <row r="18" spans="1:13">
      <c r="A18" s="1958" t="s">
        <v>877</v>
      </c>
      <c r="B18" s="1958">
        <v>187</v>
      </c>
      <c r="C18" s="1958">
        <v>2023</v>
      </c>
      <c r="D18" s="1958">
        <v>12</v>
      </c>
      <c r="E18" s="1958">
        <v>17</v>
      </c>
      <c r="F18" s="1958">
        <v>0</v>
      </c>
      <c r="G18" s="1958" t="s">
        <v>728</v>
      </c>
      <c r="H18" s="1958">
        <v>0</v>
      </c>
      <c r="J18" s="1958" t="s">
        <v>728</v>
      </c>
      <c r="K18" s="1958">
        <v>0</v>
      </c>
      <c r="L18" s="1958">
        <v>0</v>
      </c>
      <c r="M18" s="1958">
        <f t="shared" si="1"/>
        <v>0</v>
      </c>
    </row>
    <row r="19" spans="1:13">
      <c r="A19" s="1958" t="s">
        <v>877</v>
      </c>
      <c r="B19" s="1958">
        <v>187</v>
      </c>
      <c r="C19" s="1958">
        <v>2023</v>
      </c>
      <c r="D19" s="1958">
        <v>12</v>
      </c>
      <c r="E19" s="1958">
        <v>18</v>
      </c>
      <c r="F19" s="1958">
        <v>0</v>
      </c>
      <c r="G19" s="1958" t="s">
        <v>728</v>
      </c>
      <c r="H19" s="1958">
        <v>0</v>
      </c>
      <c r="J19" s="1958" t="s">
        <v>728</v>
      </c>
      <c r="K19" s="1958">
        <v>0</v>
      </c>
      <c r="L19" s="1958">
        <v>0</v>
      </c>
      <c r="M19" s="1958">
        <f t="shared" si="1"/>
        <v>0</v>
      </c>
    </row>
    <row r="20" spans="1:13">
      <c r="A20" s="1958" t="s">
        <v>877</v>
      </c>
      <c r="B20" s="1958">
        <v>187</v>
      </c>
      <c r="C20" s="1958">
        <v>2023</v>
      </c>
      <c r="D20" s="1958">
        <v>12</v>
      </c>
      <c r="E20" s="1958">
        <v>19</v>
      </c>
      <c r="F20" s="1958">
        <v>0</v>
      </c>
      <c r="G20" s="1958" t="s">
        <v>728</v>
      </c>
      <c r="H20" s="1958">
        <v>0</v>
      </c>
      <c r="J20" s="1958" t="s">
        <v>728</v>
      </c>
      <c r="K20" s="1958">
        <v>0</v>
      </c>
      <c r="L20" s="1958">
        <v>0</v>
      </c>
      <c r="M20" s="1958">
        <f t="shared" si="1"/>
        <v>0</v>
      </c>
    </row>
    <row r="21" spans="1:13">
      <c r="A21" s="1958" t="s">
        <v>877</v>
      </c>
      <c r="B21" s="1958">
        <v>187</v>
      </c>
      <c r="C21" s="1958">
        <v>2023</v>
      </c>
      <c r="D21" s="1958">
        <v>12</v>
      </c>
      <c r="E21" s="1958">
        <v>20</v>
      </c>
      <c r="F21" s="1958">
        <v>0</v>
      </c>
      <c r="G21" s="1958" t="s">
        <v>728</v>
      </c>
      <c r="H21" s="1958">
        <v>0</v>
      </c>
      <c r="J21" s="1958" t="s">
        <v>728</v>
      </c>
      <c r="K21" s="1958">
        <v>0</v>
      </c>
      <c r="L21" s="1958">
        <v>0</v>
      </c>
      <c r="M21" s="1958">
        <f t="shared" si="1"/>
        <v>0</v>
      </c>
    </row>
    <row r="22" spans="1:13">
      <c r="A22" s="1958" t="s">
        <v>877</v>
      </c>
      <c r="B22" s="1958">
        <v>187</v>
      </c>
      <c r="C22" s="1958">
        <v>2023</v>
      </c>
      <c r="D22" s="1958">
        <v>12</v>
      </c>
      <c r="E22" s="1958">
        <v>21</v>
      </c>
      <c r="F22" s="1958">
        <v>0</v>
      </c>
      <c r="G22" s="1958" t="s">
        <v>728</v>
      </c>
      <c r="H22" s="1958">
        <v>0</v>
      </c>
      <c r="J22" s="1958" t="s">
        <v>728</v>
      </c>
      <c r="K22" s="1958">
        <v>0</v>
      </c>
      <c r="L22" s="1958">
        <v>0</v>
      </c>
      <c r="M22" s="1958">
        <v>0</v>
      </c>
    </row>
    <row r="23" spans="1:13">
      <c r="A23" s="1958" t="s">
        <v>877</v>
      </c>
      <c r="B23" s="1958">
        <v>187</v>
      </c>
      <c r="C23" s="1958">
        <v>2023</v>
      </c>
      <c r="D23" s="1958">
        <v>12</v>
      </c>
      <c r="E23" s="1958">
        <v>22</v>
      </c>
      <c r="F23" s="1958">
        <v>0</v>
      </c>
      <c r="G23" s="1958" t="s">
        <v>728</v>
      </c>
      <c r="H23" s="1958">
        <v>0</v>
      </c>
      <c r="J23" s="1958" t="s">
        <v>728</v>
      </c>
      <c r="K23" s="1958">
        <v>0</v>
      </c>
      <c r="L23" s="1958">
        <v>0</v>
      </c>
      <c r="M23" s="1958">
        <v>0</v>
      </c>
    </row>
    <row r="24" spans="1:13">
      <c r="A24" s="1958" t="s">
        <v>877</v>
      </c>
      <c r="B24" s="1958">
        <v>187</v>
      </c>
      <c r="C24" s="1958">
        <v>2023</v>
      </c>
      <c r="D24" s="1958">
        <v>12</v>
      </c>
      <c r="E24" s="1958">
        <v>23</v>
      </c>
      <c r="F24" s="1958">
        <v>0</v>
      </c>
      <c r="G24" s="1958" t="s">
        <v>728</v>
      </c>
      <c r="H24" s="1958">
        <v>0</v>
      </c>
      <c r="J24" s="1958" t="s">
        <v>728</v>
      </c>
      <c r="K24" s="1958">
        <v>0</v>
      </c>
      <c r="L24" s="1958">
        <v>0</v>
      </c>
      <c r="M24" s="1958">
        <v>0</v>
      </c>
    </row>
    <row r="25" spans="1:13">
      <c r="A25" s="1958" t="s">
        <v>877</v>
      </c>
      <c r="B25" s="1958">
        <v>187</v>
      </c>
      <c r="C25" s="1958">
        <v>2023</v>
      </c>
      <c r="D25" s="1958">
        <v>12</v>
      </c>
      <c r="E25" s="1958">
        <v>24</v>
      </c>
      <c r="F25" s="1958">
        <v>0</v>
      </c>
      <c r="G25" s="1958" t="s">
        <v>728</v>
      </c>
      <c r="H25" s="1958">
        <v>0</v>
      </c>
      <c r="J25" s="1958" t="s">
        <v>728</v>
      </c>
      <c r="K25" s="1958">
        <v>0</v>
      </c>
      <c r="L25" s="1958">
        <v>0</v>
      </c>
      <c r="M25" s="1958">
        <v>0</v>
      </c>
    </row>
    <row r="26" spans="1:13">
      <c r="A26" s="1958" t="s">
        <v>877</v>
      </c>
      <c r="B26" s="1958">
        <v>187</v>
      </c>
      <c r="C26" s="1958">
        <v>2023</v>
      </c>
      <c r="D26" s="1958">
        <v>12</v>
      </c>
      <c r="E26" s="1958">
        <v>25</v>
      </c>
      <c r="F26" s="1958">
        <v>0</v>
      </c>
      <c r="G26" s="1958" t="s">
        <v>728</v>
      </c>
      <c r="H26" s="1958">
        <v>0</v>
      </c>
      <c r="J26" s="1958" t="s">
        <v>728</v>
      </c>
      <c r="K26" s="1958">
        <v>0</v>
      </c>
      <c r="L26" s="1958">
        <v>0</v>
      </c>
      <c r="M26" s="1958">
        <v>0</v>
      </c>
    </row>
    <row r="27" spans="1:13">
      <c r="A27" s="1958" t="s">
        <v>877</v>
      </c>
      <c r="B27" s="1958">
        <v>187</v>
      </c>
      <c r="C27" s="1958">
        <v>2023</v>
      </c>
      <c r="D27" s="1958">
        <v>12</v>
      </c>
      <c r="E27" s="1958">
        <v>26</v>
      </c>
      <c r="F27" s="1958">
        <v>0</v>
      </c>
      <c r="G27" s="1958" t="s">
        <v>728</v>
      </c>
      <c r="H27" s="1958">
        <v>0</v>
      </c>
      <c r="J27" s="1958" t="s">
        <v>728</v>
      </c>
      <c r="K27" s="1958">
        <v>0</v>
      </c>
      <c r="L27" s="1958">
        <v>0</v>
      </c>
      <c r="M27" s="1958">
        <v>0</v>
      </c>
    </row>
    <row r="28" spans="1:13">
      <c r="A28" s="1958" t="s">
        <v>877</v>
      </c>
      <c r="B28" s="1958">
        <v>187</v>
      </c>
      <c r="C28" s="1958">
        <v>2023</v>
      </c>
      <c r="D28" s="1958">
        <v>12</v>
      </c>
      <c r="E28" s="1958">
        <v>27</v>
      </c>
      <c r="F28" s="1958">
        <v>0</v>
      </c>
      <c r="G28" s="1958" t="s">
        <v>728</v>
      </c>
      <c r="H28" s="1958">
        <v>0</v>
      </c>
      <c r="J28" s="1958" t="s">
        <v>728</v>
      </c>
      <c r="K28" s="1958">
        <v>0</v>
      </c>
      <c r="L28" s="1958">
        <v>0</v>
      </c>
      <c r="M28" s="1958">
        <v>0</v>
      </c>
    </row>
    <row r="29" spans="1:13">
      <c r="A29" s="1958" t="s">
        <v>877</v>
      </c>
      <c r="B29" s="1958">
        <v>187</v>
      </c>
      <c r="C29" s="1958">
        <v>2023</v>
      </c>
      <c r="D29" s="1958">
        <v>12</v>
      </c>
      <c r="E29" s="1958">
        <v>28</v>
      </c>
      <c r="F29" s="1958">
        <v>0</v>
      </c>
      <c r="G29" s="1958" t="s">
        <v>728</v>
      </c>
      <c r="H29" s="1958">
        <v>0</v>
      </c>
      <c r="J29" s="1958" t="s">
        <v>728</v>
      </c>
      <c r="K29" s="1958">
        <v>0</v>
      </c>
      <c r="L29" s="1958">
        <v>0</v>
      </c>
      <c r="M29" s="1958">
        <v>0</v>
      </c>
    </row>
    <row r="30" spans="1:13">
      <c r="A30" s="1958" t="s">
        <v>877</v>
      </c>
      <c r="B30" s="1958">
        <v>187</v>
      </c>
      <c r="C30" s="1958">
        <v>2023</v>
      </c>
      <c r="D30" s="1958">
        <v>12</v>
      </c>
      <c r="E30" s="1958">
        <v>29</v>
      </c>
      <c r="F30" s="1958">
        <v>0</v>
      </c>
      <c r="G30" s="1958" t="s">
        <v>728</v>
      </c>
      <c r="H30" s="1958">
        <v>0</v>
      </c>
      <c r="J30" s="1958" t="s">
        <v>728</v>
      </c>
      <c r="K30" s="1958">
        <v>0</v>
      </c>
      <c r="L30" s="1958">
        <v>0</v>
      </c>
      <c r="M30" s="1958">
        <v>0</v>
      </c>
    </row>
    <row r="31" spans="1:13">
      <c r="A31" s="1958" t="s">
        <v>877</v>
      </c>
      <c r="B31" s="1958">
        <v>187</v>
      </c>
      <c r="C31" s="1958">
        <v>2023</v>
      </c>
      <c r="D31" s="1958">
        <v>12</v>
      </c>
      <c r="E31" s="1958">
        <v>30</v>
      </c>
      <c r="F31" s="1958">
        <v>0</v>
      </c>
      <c r="G31" s="1958" t="s">
        <v>728</v>
      </c>
      <c r="H31" s="1958">
        <v>0</v>
      </c>
      <c r="J31" s="1958" t="s">
        <v>728</v>
      </c>
      <c r="K31" s="1958">
        <v>0</v>
      </c>
      <c r="L31" s="1958">
        <v>0</v>
      </c>
      <c r="M31" s="1958">
        <v>0</v>
      </c>
    </row>
    <row r="32" spans="1:13">
      <c r="A32" s="1958" t="s">
        <v>877</v>
      </c>
      <c r="B32" s="1958">
        <v>187</v>
      </c>
      <c r="C32" s="1958">
        <v>2023</v>
      </c>
      <c r="D32" s="1958">
        <v>12</v>
      </c>
      <c r="E32" s="1958">
        <v>31</v>
      </c>
      <c r="F32" s="1958">
        <v>0</v>
      </c>
      <c r="G32" s="1958" t="s">
        <v>728</v>
      </c>
      <c r="H32" s="1958">
        <v>0</v>
      </c>
      <c r="J32" s="1958" t="s">
        <v>728</v>
      </c>
      <c r="K32" s="1958">
        <v>0</v>
      </c>
      <c r="L32" s="1958">
        <v>0</v>
      </c>
      <c r="M32" s="1958">
        <v>0</v>
      </c>
    </row>
    <row r="33" spans="1:13">
      <c r="A33" s="1958" t="s">
        <v>877</v>
      </c>
      <c r="B33" s="1958">
        <v>187</v>
      </c>
      <c r="C33" s="1958">
        <v>2023</v>
      </c>
      <c r="D33" s="1958">
        <v>12</v>
      </c>
      <c r="E33" s="1958">
        <v>32</v>
      </c>
      <c r="F33" s="1958">
        <v>0</v>
      </c>
      <c r="G33" s="1958" t="s">
        <v>728</v>
      </c>
      <c r="H33" s="1958">
        <v>0</v>
      </c>
      <c r="J33" s="1958" t="s">
        <v>728</v>
      </c>
      <c r="K33" s="1958">
        <v>0</v>
      </c>
      <c r="L33" s="1958">
        <v>0</v>
      </c>
      <c r="M33" s="1958">
        <v>0</v>
      </c>
    </row>
    <row r="34" spans="1:13">
      <c r="A34" s="1958" t="s">
        <v>877</v>
      </c>
      <c r="B34" s="1958">
        <v>187</v>
      </c>
      <c r="C34" s="1958">
        <v>2023</v>
      </c>
      <c r="D34" s="1958">
        <v>12</v>
      </c>
      <c r="E34" s="1958">
        <v>33</v>
      </c>
      <c r="F34" s="1958">
        <v>0</v>
      </c>
      <c r="G34" s="1958" t="s">
        <v>728</v>
      </c>
      <c r="H34" s="1958">
        <v>0</v>
      </c>
      <c r="J34" s="1958" t="s">
        <v>728</v>
      </c>
      <c r="K34" s="1958">
        <v>0</v>
      </c>
      <c r="L34" s="1958">
        <v>0</v>
      </c>
      <c r="M34" s="1958">
        <v>0</v>
      </c>
    </row>
    <row r="35" spans="1:13">
      <c r="A35" s="1958" t="s">
        <v>877</v>
      </c>
      <c r="B35" s="1958">
        <v>187</v>
      </c>
      <c r="C35" s="1958">
        <v>2023</v>
      </c>
      <c r="D35" s="1958">
        <v>12</v>
      </c>
      <c r="E35" s="1958">
        <v>34</v>
      </c>
      <c r="F35" s="1958">
        <v>0</v>
      </c>
      <c r="G35" s="1958" t="s">
        <v>728</v>
      </c>
      <c r="H35" s="1958">
        <v>0</v>
      </c>
      <c r="J35" s="1958" t="s">
        <v>728</v>
      </c>
      <c r="K35" s="1958">
        <v>0</v>
      </c>
      <c r="L35" s="1958">
        <v>0</v>
      </c>
      <c r="M35" s="1958">
        <v>0</v>
      </c>
    </row>
    <row r="36" spans="1:13">
      <c r="A36" s="1958" t="s">
        <v>877</v>
      </c>
      <c r="B36" s="1958">
        <v>187</v>
      </c>
      <c r="C36" s="1958">
        <v>2023</v>
      </c>
      <c r="D36" s="1958">
        <v>12</v>
      </c>
      <c r="E36" s="1958">
        <v>35</v>
      </c>
      <c r="F36" s="1958">
        <v>0</v>
      </c>
      <c r="G36" s="1958" t="s">
        <v>728</v>
      </c>
      <c r="H36" s="1958">
        <v>0</v>
      </c>
      <c r="J36" s="1958" t="s">
        <v>728</v>
      </c>
      <c r="K36" s="1958">
        <v>0</v>
      </c>
      <c r="L36" s="1958">
        <v>0</v>
      </c>
      <c r="M36" s="1958">
        <v>0</v>
      </c>
    </row>
    <row r="37" spans="1:13">
      <c r="A37" s="1958" t="s">
        <v>877</v>
      </c>
      <c r="B37" s="1958">
        <v>187</v>
      </c>
      <c r="C37" s="1958">
        <v>2023</v>
      </c>
      <c r="D37" s="1958">
        <v>12</v>
      </c>
      <c r="E37" s="1958">
        <v>36</v>
      </c>
      <c r="F37" s="1958">
        <v>0</v>
      </c>
      <c r="G37" s="1958" t="s">
        <v>728</v>
      </c>
      <c r="H37" s="1958">
        <v>0</v>
      </c>
      <c r="J37" s="1958" t="s">
        <v>728</v>
      </c>
      <c r="K37" s="1958">
        <v>0</v>
      </c>
      <c r="L37" s="1958">
        <v>0</v>
      </c>
      <c r="M37" s="1958">
        <v>0</v>
      </c>
    </row>
    <row r="38" spans="1:13">
      <c r="A38" s="1958" t="s">
        <v>877</v>
      </c>
      <c r="B38" s="1958">
        <v>187</v>
      </c>
      <c r="C38" s="1958">
        <v>2023</v>
      </c>
      <c r="D38" s="1958">
        <v>12</v>
      </c>
      <c r="E38" s="1958">
        <v>37</v>
      </c>
      <c r="F38" s="1958">
        <v>0</v>
      </c>
      <c r="G38" s="1958" t="s">
        <v>728</v>
      </c>
      <c r="H38" s="1958">
        <v>0</v>
      </c>
      <c r="J38" s="1958" t="s">
        <v>728</v>
      </c>
      <c r="K38" s="1958">
        <v>0</v>
      </c>
      <c r="L38" s="1958">
        <v>0</v>
      </c>
      <c r="M38" s="1958">
        <v>0</v>
      </c>
    </row>
    <row r="39" spans="1:13">
      <c r="A39" s="1958" t="s">
        <v>877</v>
      </c>
      <c r="B39" s="1958">
        <v>187</v>
      </c>
      <c r="C39" s="1958">
        <v>2023</v>
      </c>
      <c r="D39" s="1958">
        <v>12</v>
      </c>
      <c r="E39" s="1958">
        <v>38</v>
      </c>
      <c r="F39" s="1958">
        <v>0</v>
      </c>
      <c r="G39" s="1958" t="s">
        <v>728</v>
      </c>
      <c r="H39" s="1958">
        <v>0</v>
      </c>
      <c r="J39" s="1958" t="s">
        <v>728</v>
      </c>
      <c r="K39" s="1958">
        <v>0</v>
      </c>
      <c r="L39" s="1958">
        <v>0</v>
      </c>
      <c r="M39" s="1958">
        <v>0</v>
      </c>
    </row>
    <row r="40" spans="1:13">
      <c r="A40" s="1958" t="s">
        <v>877</v>
      </c>
      <c r="B40" s="1958">
        <v>187</v>
      </c>
      <c r="C40" s="1958">
        <v>2023</v>
      </c>
      <c r="D40" s="1958">
        <v>12</v>
      </c>
      <c r="E40" s="1958">
        <v>39</v>
      </c>
      <c r="F40" s="1958">
        <v>0</v>
      </c>
      <c r="G40" s="1958" t="s">
        <v>728</v>
      </c>
      <c r="H40" s="1958">
        <v>0</v>
      </c>
      <c r="J40" s="1958" t="s">
        <v>728</v>
      </c>
      <c r="K40" s="1958">
        <v>0</v>
      </c>
      <c r="L40" s="1958">
        <v>0</v>
      </c>
      <c r="M40" s="1958">
        <v>0</v>
      </c>
    </row>
    <row r="41" spans="1:13">
      <c r="A41" s="1958" t="s">
        <v>877</v>
      </c>
      <c r="B41" s="1958">
        <v>187</v>
      </c>
      <c r="C41" s="1958">
        <v>2023</v>
      </c>
      <c r="D41" s="1958">
        <v>12</v>
      </c>
      <c r="E41" s="1958">
        <v>40</v>
      </c>
      <c r="F41" s="1958">
        <v>0</v>
      </c>
      <c r="G41" s="1958" t="s">
        <v>728</v>
      </c>
      <c r="H41" s="1958">
        <v>0</v>
      </c>
      <c r="J41" s="1958" t="s">
        <v>728</v>
      </c>
      <c r="K41" s="1958">
        <v>0</v>
      </c>
      <c r="L41" s="1958">
        <v>0</v>
      </c>
      <c r="M41" s="1958">
        <v>0</v>
      </c>
    </row>
    <row r="42" spans="1:13">
      <c r="A42" s="1958" t="s">
        <v>877</v>
      </c>
      <c r="B42" s="1958">
        <v>187</v>
      </c>
      <c r="C42" s="1958">
        <v>2023</v>
      </c>
      <c r="D42" s="1958">
        <v>12</v>
      </c>
      <c r="E42" s="1958">
        <v>41</v>
      </c>
      <c r="F42" s="1958">
        <v>0</v>
      </c>
      <c r="G42" s="1958" t="s">
        <v>728</v>
      </c>
      <c r="H42" s="1958">
        <v>0</v>
      </c>
      <c r="J42" s="1958" t="s">
        <v>728</v>
      </c>
      <c r="K42" s="1958">
        <v>0</v>
      </c>
      <c r="L42" s="1958">
        <v>0</v>
      </c>
      <c r="M42" s="1958">
        <v>0</v>
      </c>
    </row>
    <row r="43" spans="1:13">
      <c r="A43" s="1958" t="s">
        <v>877</v>
      </c>
      <c r="B43" s="1958">
        <v>187</v>
      </c>
      <c r="C43" s="1958">
        <v>2023</v>
      </c>
      <c r="D43" s="1958">
        <v>12</v>
      </c>
      <c r="E43" s="1958">
        <v>42</v>
      </c>
      <c r="F43" s="1958">
        <v>0</v>
      </c>
      <c r="G43" s="1958" t="s">
        <v>728</v>
      </c>
      <c r="H43" s="1958">
        <v>0</v>
      </c>
      <c r="J43" s="1958" t="s">
        <v>728</v>
      </c>
      <c r="K43" s="1958">
        <v>0</v>
      </c>
      <c r="L43" s="1958">
        <v>0</v>
      </c>
      <c r="M43" s="1958">
        <v>0</v>
      </c>
    </row>
    <row r="44" spans="1:13">
      <c r="A44" s="1958" t="s">
        <v>877</v>
      </c>
      <c r="B44" s="1958">
        <v>187</v>
      </c>
      <c r="C44" s="1958">
        <v>2023</v>
      </c>
      <c r="D44" s="1958">
        <v>12</v>
      </c>
      <c r="E44" s="1958">
        <v>43</v>
      </c>
      <c r="F44" s="1958">
        <v>0</v>
      </c>
      <c r="G44" s="1958" t="s">
        <v>728</v>
      </c>
      <c r="H44" s="1958">
        <v>0</v>
      </c>
      <c r="J44" s="1958" t="s">
        <v>728</v>
      </c>
      <c r="K44" s="1958">
        <v>0</v>
      </c>
      <c r="L44" s="1958">
        <v>0</v>
      </c>
      <c r="M44" s="1958">
        <v>0</v>
      </c>
    </row>
    <row r="45" spans="1:13">
      <c r="A45" s="1958" t="s">
        <v>877</v>
      </c>
      <c r="B45" s="1958">
        <v>187</v>
      </c>
      <c r="C45" s="1958">
        <v>2023</v>
      </c>
      <c r="D45" s="1958">
        <v>12</v>
      </c>
      <c r="E45" s="1958">
        <v>44</v>
      </c>
      <c r="F45" s="1958">
        <v>0</v>
      </c>
      <c r="G45" s="1958" t="s">
        <v>728</v>
      </c>
      <c r="H45" s="1958">
        <v>0</v>
      </c>
      <c r="J45" s="1958" t="s">
        <v>728</v>
      </c>
      <c r="K45" s="1958">
        <v>0</v>
      </c>
      <c r="L45" s="1958">
        <v>0</v>
      </c>
      <c r="M45" s="1958">
        <v>0</v>
      </c>
    </row>
    <row r="46" spans="1:13">
      <c r="A46" s="1958" t="s">
        <v>877</v>
      </c>
      <c r="B46" s="1958">
        <v>187</v>
      </c>
      <c r="C46" s="1958">
        <v>2023</v>
      </c>
      <c r="D46" s="1958">
        <v>12</v>
      </c>
      <c r="E46" s="1958">
        <v>45</v>
      </c>
      <c r="F46" s="1958">
        <v>0</v>
      </c>
      <c r="G46" s="1958" t="s">
        <v>728</v>
      </c>
      <c r="H46" s="1958">
        <v>0</v>
      </c>
      <c r="J46" s="1958" t="s">
        <v>728</v>
      </c>
      <c r="K46" s="1958">
        <v>0</v>
      </c>
      <c r="L46" s="1958">
        <v>0</v>
      </c>
      <c r="M46" s="1958">
        <v>0</v>
      </c>
    </row>
    <row r="47" spans="1:13">
      <c r="A47" s="1958" t="s">
        <v>877</v>
      </c>
      <c r="B47" s="1958">
        <v>187</v>
      </c>
      <c r="C47" s="1958">
        <v>2023</v>
      </c>
      <c r="D47" s="1958">
        <v>12</v>
      </c>
      <c r="E47" s="1958">
        <v>46</v>
      </c>
      <c r="F47" s="1958">
        <v>0</v>
      </c>
      <c r="G47" s="1958" t="s">
        <v>728</v>
      </c>
      <c r="H47" s="1958">
        <v>0</v>
      </c>
      <c r="J47" s="1958" t="s">
        <v>728</v>
      </c>
      <c r="K47" s="1958">
        <v>0</v>
      </c>
      <c r="L47" s="1958">
        <v>0</v>
      </c>
      <c r="M47" s="1958">
        <v>0</v>
      </c>
    </row>
    <row r="48" spans="1:13">
      <c r="G48" s="1958" t="s">
        <v>1616</v>
      </c>
      <c r="H48" s="1958">
        <f>SUM(H2:H47)</f>
        <v>48402602</v>
      </c>
      <c r="K48" s="1958">
        <f>SUM(K2:K47)</f>
        <v>57221577</v>
      </c>
      <c r="L48" s="1958">
        <f>SUM(L2:L47)</f>
        <v>41737218</v>
      </c>
      <c r="M48" s="1958">
        <f>SUM(M2:M47)</f>
        <v>32918243</v>
      </c>
    </row>
  </sheetData>
  <pageMargins left="0.75" right="0.75" top="1" bottom="1" header="0.5" footer="0.5"/>
  <pageSetup orientation="portrait" r:id="rId1"/>
  <customProperties>
    <customPr name="xxe4aPID" r:id="rId2"/>
  </customPropertie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9B441-AFD2-4709-9B08-66A91E358B06}">
  <sheetPr codeName="Sheet59">
    <tabColor rgb="FF92D050"/>
  </sheetPr>
  <dimension ref="A1:M24"/>
  <sheetViews>
    <sheetView workbookViewId="0">
      <selection activeCell="D400" sqref="D400"/>
    </sheetView>
  </sheetViews>
  <sheetFormatPr defaultColWidth="9" defaultRowHeight="12.75"/>
  <cols>
    <col min="1" max="6" width="9" style="1958"/>
    <col min="7" max="7" width="36.125" style="1958" bestFit="1" customWidth="1"/>
    <col min="8" max="8" width="10.375" style="1958" bestFit="1" customWidth="1"/>
    <col min="9" max="9" width="8.875" style="1958" bestFit="1" customWidth="1"/>
    <col min="10" max="10" width="8.875" style="1958" customWidth="1"/>
    <col min="11" max="11" width="8.625" style="1958" bestFit="1" customWidth="1"/>
    <col min="12" max="12" width="8" style="1958" bestFit="1" customWidth="1"/>
    <col min="13" max="13" width="8.875" style="1958" bestFit="1" customWidth="1"/>
    <col min="14" max="16384" width="9" style="1958"/>
  </cols>
  <sheetData>
    <row r="1" spans="1:13">
      <c r="A1" s="1958" t="s">
        <v>984</v>
      </c>
      <c r="B1" s="1958" t="s">
        <v>983</v>
      </c>
      <c r="C1" s="1958" t="s">
        <v>982</v>
      </c>
      <c r="D1" s="1958" t="s">
        <v>981</v>
      </c>
      <c r="E1" s="1958" t="s">
        <v>980</v>
      </c>
      <c r="F1" s="1958" t="s">
        <v>979</v>
      </c>
      <c r="G1" s="1958" t="s">
        <v>1669</v>
      </c>
      <c r="H1" s="1958" t="s">
        <v>1668</v>
      </c>
      <c r="I1" s="1958" t="s">
        <v>1420</v>
      </c>
      <c r="K1" s="1958" t="s">
        <v>1667</v>
      </c>
      <c r="L1" s="1958" t="s">
        <v>1631</v>
      </c>
      <c r="M1" s="1958" t="s">
        <v>1666</v>
      </c>
    </row>
    <row r="2" spans="1:13">
      <c r="A2" s="1958" t="s">
        <v>877</v>
      </c>
      <c r="B2" s="1958">
        <v>187</v>
      </c>
      <c r="C2" s="1958">
        <v>2023</v>
      </c>
      <c r="D2" s="1958">
        <v>12</v>
      </c>
      <c r="E2" s="1958">
        <v>1</v>
      </c>
      <c r="F2" s="1958">
        <v>0</v>
      </c>
      <c r="G2" s="1958" t="s">
        <v>1665</v>
      </c>
      <c r="I2" s="1958">
        <v>10038667</v>
      </c>
      <c r="J2" s="1958" t="s">
        <v>1665</v>
      </c>
      <c r="K2" s="1958">
        <v>2933191</v>
      </c>
      <c r="L2" s="1958">
        <v>0</v>
      </c>
      <c r="M2" s="1958">
        <f t="shared" ref="M2:M23" si="0">SUM(I2-K2+L2)</f>
        <v>7105476</v>
      </c>
    </row>
    <row r="3" spans="1:13">
      <c r="A3" s="1958" t="s">
        <v>877</v>
      </c>
      <c r="B3" s="1958">
        <v>187</v>
      </c>
      <c r="C3" s="1958">
        <v>2023</v>
      </c>
      <c r="D3" s="1958">
        <v>12</v>
      </c>
      <c r="E3" s="1958">
        <v>2</v>
      </c>
      <c r="F3" s="1958">
        <v>0</v>
      </c>
      <c r="G3" s="1958" t="s">
        <v>1663</v>
      </c>
      <c r="H3" s="1958" t="s">
        <v>1664</v>
      </c>
      <c r="I3" s="1958">
        <v>24204062</v>
      </c>
      <c r="J3" s="1958" t="s">
        <v>1663</v>
      </c>
      <c r="K3" s="1958">
        <v>8321364</v>
      </c>
      <c r="L3" s="1958">
        <v>7868930</v>
      </c>
      <c r="M3" s="1958">
        <f t="shared" si="0"/>
        <v>23751628</v>
      </c>
    </row>
    <row r="4" spans="1:13">
      <c r="A4" s="1958" t="s">
        <v>877</v>
      </c>
      <c r="B4" s="1958">
        <v>187</v>
      </c>
      <c r="C4" s="1958">
        <v>2023</v>
      </c>
      <c r="D4" s="1958">
        <v>12</v>
      </c>
      <c r="E4" s="1958">
        <v>3</v>
      </c>
      <c r="F4" s="1958">
        <v>0</v>
      </c>
      <c r="G4" s="1958" t="s">
        <v>1662</v>
      </c>
      <c r="I4" s="1958">
        <v>462284</v>
      </c>
      <c r="J4" s="1958" t="s">
        <v>1662</v>
      </c>
      <c r="K4" s="1958">
        <v>22008</v>
      </c>
      <c r="M4" s="1958">
        <f t="shared" si="0"/>
        <v>440276</v>
      </c>
    </row>
    <row r="5" spans="1:13">
      <c r="A5" s="1958" t="s">
        <v>877</v>
      </c>
      <c r="B5" s="1958">
        <v>187</v>
      </c>
      <c r="C5" s="1958">
        <v>2023</v>
      </c>
      <c r="D5" s="1958">
        <v>12</v>
      </c>
      <c r="E5" s="1958">
        <v>4</v>
      </c>
      <c r="F5" s="1958">
        <v>0</v>
      </c>
      <c r="G5" s="1958" t="s">
        <v>1661</v>
      </c>
      <c r="I5" s="1958">
        <v>686970</v>
      </c>
      <c r="J5" s="1958" t="s">
        <v>1661</v>
      </c>
      <c r="K5" s="1958">
        <v>114495</v>
      </c>
      <c r="M5" s="1958">
        <f t="shared" si="0"/>
        <v>572475</v>
      </c>
    </row>
    <row r="6" spans="1:13">
      <c r="A6" s="1958" t="s">
        <v>877</v>
      </c>
      <c r="B6" s="1958">
        <v>187</v>
      </c>
      <c r="C6" s="1958">
        <v>2023</v>
      </c>
      <c r="D6" s="1958">
        <v>12</v>
      </c>
      <c r="E6" s="1958">
        <v>5</v>
      </c>
      <c r="F6" s="1958">
        <v>0</v>
      </c>
      <c r="G6" s="1958" t="s">
        <v>1659</v>
      </c>
      <c r="H6" s="1958" t="s">
        <v>1660</v>
      </c>
      <c r="I6" s="1958">
        <v>8378370</v>
      </c>
      <c r="J6" s="1958" t="s">
        <v>1659</v>
      </c>
      <c r="K6" s="1958">
        <v>19020610</v>
      </c>
      <c r="L6" s="1958">
        <v>28640582</v>
      </c>
      <c r="M6" s="1958">
        <f t="shared" si="0"/>
        <v>17998342</v>
      </c>
    </row>
    <row r="7" spans="1:13">
      <c r="A7" s="1958" t="s">
        <v>877</v>
      </c>
      <c r="B7" s="1958">
        <v>187</v>
      </c>
      <c r="C7" s="1958">
        <v>2023</v>
      </c>
      <c r="D7" s="1958">
        <v>12</v>
      </c>
      <c r="E7" s="1958">
        <v>6</v>
      </c>
      <c r="F7" s="1958">
        <v>0</v>
      </c>
      <c r="G7" s="1958" t="s">
        <v>1658</v>
      </c>
      <c r="I7" s="1958">
        <v>5269902</v>
      </c>
      <c r="J7" s="1958" t="s">
        <v>1658</v>
      </c>
      <c r="K7" s="1958">
        <v>5269902</v>
      </c>
      <c r="L7" s="1958">
        <v>0</v>
      </c>
      <c r="M7" s="1958">
        <f t="shared" si="0"/>
        <v>0</v>
      </c>
    </row>
    <row r="8" spans="1:13">
      <c r="A8" s="1958" t="s">
        <v>877</v>
      </c>
      <c r="B8" s="1958">
        <v>187</v>
      </c>
      <c r="C8" s="1958">
        <v>2023</v>
      </c>
      <c r="D8" s="1958">
        <v>12</v>
      </c>
      <c r="E8" s="1958">
        <v>7</v>
      </c>
      <c r="F8" s="1958">
        <v>0</v>
      </c>
      <c r="G8" s="1958" t="s">
        <v>1657</v>
      </c>
      <c r="I8" s="1958">
        <v>7538104</v>
      </c>
      <c r="J8" s="1958" t="s">
        <v>1657</v>
      </c>
      <c r="K8" s="1958">
        <v>333802</v>
      </c>
      <c r="L8" s="1958">
        <v>0</v>
      </c>
      <c r="M8" s="1958">
        <f t="shared" si="0"/>
        <v>7204302</v>
      </c>
    </row>
    <row r="9" spans="1:13">
      <c r="A9" s="1958" t="s">
        <v>877</v>
      </c>
      <c r="B9" s="1958">
        <v>187</v>
      </c>
      <c r="C9" s="1958">
        <v>2023</v>
      </c>
      <c r="D9" s="1958">
        <v>12</v>
      </c>
      <c r="E9" s="1958">
        <v>8</v>
      </c>
      <c r="F9" s="1958">
        <v>0</v>
      </c>
      <c r="G9" s="1958" t="s">
        <v>1656</v>
      </c>
      <c r="I9" s="1958">
        <v>323181031</v>
      </c>
      <c r="J9" s="1958" t="s">
        <v>1656</v>
      </c>
      <c r="K9" s="1958">
        <v>21561802</v>
      </c>
      <c r="L9" s="1958">
        <v>0</v>
      </c>
      <c r="M9" s="1958">
        <f t="shared" si="0"/>
        <v>301619229</v>
      </c>
    </row>
    <row r="10" spans="1:13">
      <c r="A10" s="1958" t="s">
        <v>877</v>
      </c>
      <c r="B10" s="1958">
        <v>187</v>
      </c>
      <c r="C10" s="1958">
        <v>2023</v>
      </c>
      <c r="D10" s="1958">
        <v>12</v>
      </c>
      <c r="E10" s="1958">
        <v>9</v>
      </c>
      <c r="F10" s="1958">
        <v>0</v>
      </c>
      <c r="G10" s="1958" t="s">
        <v>1655</v>
      </c>
      <c r="I10" s="1958">
        <v>678843</v>
      </c>
      <c r="J10" s="1958" t="s">
        <v>1655</v>
      </c>
      <c r="K10" s="1958">
        <v>678843</v>
      </c>
      <c r="L10" s="1958">
        <v>0</v>
      </c>
      <c r="M10" s="1958">
        <f t="shared" si="0"/>
        <v>0</v>
      </c>
    </row>
    <row r="11" spans="1:13">
      <c r="A11" s="1958" t="s">
        <v>877</v>
      </c>
      <c r="B11" s="1958">
        <v>187</v>
      </c>
      <c r="C11" s="1958">
        <v>2023</v>
      </c>
      <c r="D11" s="1958">
        <v>12</v>
      </c>
      <c r="E11" s="1958">
        <v>10</v>
      </c>
      <c r="F11" s="1958">
        <v>0</v>
      </c>
      <c r="G11" s="1958" t="s">
        <v>1653</v>
      </c>
      <c r="H11" s="1958" t="s">
        <v>1654</v>
      </c>
      <c r="I11" s="1958">
        <v>11581998</v>
      </c>
      <c r="J11" s="1958" t="s">
        <v>1653</v>
      </c>
      <c r="K11" s="1958">
        <v>17700901</v>
      </c>
      <c r="L11" s="1958">
        <v>11105947</v>
      </c>
      <c r="M11" s="1958">
        <f t="shared" si="0"/>
        <v>4987044</v>
      </c>
    </row>
    <row r="12" spans="1:13">
      <c r="A12" s="1958" t="s">
        <v>877</v>
      </c>
      <c r="B12" s="1958">
        <v>187</v>
      </c>
      <c r="C12" s="1958">
        <v>2023</v>
      </c>
      <c r="D12" s="1958">
        <v>12</v>
      </c>
      <c r="E12" s="1958">
        <v>11</v>
      </c>
      <c r="F12" s="1958">
        <v>0</v>
      </c>
      <c r="G12" s="1958" t="s">
        <v>1651</v>
      </c>
      <c r="H12" s="1958" t="s">
        <v>1652</v>
      </c>
      <c r="I12" s="1958">
        <v>7940357</v>
      </c>
      <c r="J12" s="1958" t="s">
        <v>1651</v>
      </c>
      <c r="K12" s="1958">
        <v>28801667</v>
      </c>
      <c r="L12" s="1958">
        <v>26595334</v>
      </c>
      <c r="M12" s="1958">
        <f t="shared" si="0"/>
        <v>5734024</v>
      </c>
    </row>
    <row r="13" spans="1:13">
      <c r="A13" s="1958" t="s">
        <v>877</v>
      </c>
      <c r="B13" s="1958">
        <v>187</v>
      </c>
      <c r="C13" s="1958">
        <v>2023</v>
      </c>
      <c r="D13" s="1958">
        <v>12</v>
      </c>
      <c r="E13" s="1958">
        <v>12</v>
      </c>
      <c r="F13" s="1958">
        <v>0</v>
      </c>
      <c r="G13" s="1958" t="s">
        <v>1650</v>
      </c>
      <c r="H13" s="1958" t="s">
        <v>1645</v>
      </c>
      <c r="I13" s="1958">
        <v>1283006</v>
      </c>
      <c r="J13" s="1958" t="s">
        <v>1650</v>
      </c>
      <c r="K13" s="1958">
        <v>757068</v>
      </c>
      <c r="L13" s="1958">
        <v>43628</v>
      </c>
      <c r="M13" s="1958">
        <f t="shared" si="0"/>
        <v>569566</v>
      </c>
    </row>
    <row r="14" spans="1:13">
      <c r="A14" s="1958" t="s">
        <v>877</v>
      </c>
      <c r="B14" s="1958">
        <v>187</v>
      </c>
      <c r="C14" s="1958">
        <v>2023</v>
      </c>
      <c r="D14" s="1958">
        <v>12</v>
      </c>
      <c r="E14" s="1958">
        <v>13</v>
      </c>
      <c r="F14" s="1958">
        <v>0</v>
      </c>
      <c r="G14" s="1958" t="s">
        <v>1648</v>
      </c>
      <c r="H14" s="1958" t="s">
        <v>1649</v>
      </c>
      <c r="I14" s="1958">
        <v>184460</v>
      </c>
      <c r="J14" s="1958" t="s">
        <v>1648</v>
      </c>
      <c r="K14" s="1958">
        <v>50873</v>
      </c>
      <c r="L14" s="1958">
        <v>5718</v>
      </c>
      <c r="M14" s="1958">
        <f t="shared" si="0"/>
        <v>139305</v>
      </c>
    </row>
    <row r="15" spans="1:13">
      <c r="A15" s="1958" t="s">
        <v>877</v>
      </c>
      <c r="B15" s="1958">
        <v>187</v>
      </c>
      <c r="C15" s="1958">
        <v>2023</v>
      </c>
      <c r="D15" s="1958">
        <v>12</v>
      </c>
      <c r="E15" s="1958">
        <v>14</v>
      </c>
      <c r="F15" s="1958">
        <v>0</v>
      </c>
      <c r="G15" s="1958" t="s">
        <v>1647</v>
      </c>
      <c r="I15" s="1958">
        <v>971669</v>
      </c>
      <c r="J15" s="1958" t="s">
        <v>1647</v>
      </c>
      <c r="K15" s="1958">
        <v>990053</v>
      </c>
      <c r="L15" s="1958">
        <v>18384</v>
      </c>
      <c r="M15" s="1958">
        <f t="shared" si="0"/>
        <v>0</v>
      </c>
    </row>
    <row r="16" spans="1:13">
      <c r="A16" s="1958" t="s">
        <v>877</v>
      </c>
      <c r="B16" s="1958">
        <v>187</v>
      </c>
      <c r="C16" s="1958">
        <v>2023</v>
      </c>
      <c r="D16" s="1958">
        <v>12</v>
      </c>
      <c r="E16" s="1958">
        <v>15</v>
      </c>
      <c r="F16" s="1958">
        <v>0</v>
      </c>
      <c r="G16" s="1958" t="s">
        <v>1646</v>
      </c>
      <c r="H16" s="1958" t="s">
        <v>1047</v>
      </c>
      <c r="I16" s="1958">
        <v>986890</v>
      </c>
      <c r="J16" s="1958" t="s">
        <v>1646</v>
      </c>
      <c r="K16" s="1958">
        <v>285347</v>
      </c>
      <c r="L16" s="1958">
        <v>13055</v>
      </c>
      <c r="M16" s="1958">
        <f t="shared" si="0"/>
        <v>714598</v>
      </c>
    </row>
    <row r="17" spans="1:13">
      <c r="A17" s="1958" t="s">
        <v>877</v>
      </c>
      <c r="B17" s="1958">
        <v>187</v>
      </c>
      <c r="C17" s="1958">
        <v>2023</v>
      </c>
      <c r="D17" s="1958">
        <v>12</v>
      </c>
      <c r="E17" s="1958">
        <v>16</v>
      </c>
      <c r="F17" s="1958">
        <v>0</v>
      </c>
      <c r="G17" s="1958" t="s">
        <v>1644</v>
      </c>
      <c r="H17" s="1958" t="s">
        <v>1645</v>
      </c>
      <c r="I17" s="1958">
        <v>4124859</v>
      </c>
      <c r="J17" s="1958" t="s">
        <v>1644</v>
      </c>
      <c r="K17" s="1958">
        <v>1718235</v>
      </c>
      <c r="L17" s="1958">
        <v>400750</v>
      </c>
      <c r="M17" s="1958">
        <f t="shared" si="0"/>
        <v>2807374</v>
      </c>
    </row>
    <row r="18" spans="1:13">
      <c r="A18" s="1958" t="s">
        <v>877</v>
      </c>
      <c r="B18" s="1958">
        <v>187</v>
      </c>
      <c r="C18" s="1958">
        <v>2023</v>
      </c>
      <c r="D18" s="1958">
        <v>12</v>
      </c>
      <c r="E18" s="1958">
        <v>17</v>
      </c>
      <c r="F18" s="1958">
        <v>0</v>
      </c>
      <c r="G18" s="1958" t="s">
        <v>1642</v>
      </c>
      <c r="H18" s="1958" t="s">
        <v>1643</v>
      </c>
      <c r="I18" s="1958">
        <v>107138114</v>
      </c>
      <c r="J18" s="1958" t="s">
        <v>1642</v>
      </c>
      <c r="K18" s="1958">
        <v>60737909</v>
      </c>
      <c r="L18" s="1958">
        <v>9853658</v>
      </c>
      <c r="M18" s="1958">
        <f t="shared" si="0"/>
        <v>56253863</v>
      </c>
    </row>
    <row r="19" spans="1:13">
      <c r="A19" s="1958" t="s">
        <v>877</v>
      </c>
      <c r="B19" s="1958">
        <v>187</v>
      </c>
      <c r="C19" s="1958">
        <v>2023</v>
      </c>
      <c r="D19" s="1958">
        <v>12</v>
      </c>
      <c r="E19" s="1958">
        <v>18</v>
      </c>
      <c r="F19" s="1958">
        <v>0</v>
      </c>
      <c r="G19" s="1958" t="s">
        <v>1641</v>
      </c>
      <c r="H19" s="1958" t="s">
        <v>1047</v>
      </c>
      <c r="I19" s="1958">
        <v>804403</v>
      </c>
      <c r="J19" s="1958" t="s">
        <v>1641</v>
      </c>
      <c r="K19" s="1958">
        <v>0</v>
      </c>
      <c r="L19" s="1958">
        <v>62834</v>
      </c>
      <c r="M19" s="1958">
        <f t="shared" si="0"/>
        <v>867237</v>
      </c>
    </row>
    <row r="20" spans="1:13">
      <c r="A20" s="1958" t="s">
        <v>877</v>
      </c>
      <c r="B20" s="1958">
        <v>187</v>
      </c>
      <c r="C20" s="1958">
        <v>2023</v>
      </c>
      <c r="D20" s="1958">
        <v>12</v>
      </c>
      <c r="E20" s="1958">
        <v>19</v>
      </c>
      <c r="F20" s="1958">
        <v>0</v>
      </c>
      <c r="G20" s="1958" t="s">
        <v>1639</v>
      </c>
      <c r="H20" s="1958" t="s">
        <v>1640</v>
      </c>
      <c r="I20" s="1958">
        <v>9869668</v>
      </c>
      <c r="J20" s="1958" t="s">
        <v>1639</v>
      </c>
      <c r="K20" s="1958">
        <v>0</v>
      </c>
      <c r="L20" s="1958">
        <v>1277935</v>
      </c>
      <c r="M20" s="1958">
        <f t="shared" si="0"/>
        <v>11147603</v>
      </c>
    </row>
    <row r="21" spans="1:13">
      <c r="A21" s="1958" t="s">
        <v>877</v>
      </c>
      <c r="B21" s="1958">
        <v>187</v>
      </c>
      <c r="C21" s="1958">
        <v>2023</v>
      </c>
      <c r="D21" s="1958">
        <v>12</v>
      </c>
      <c r="E21" s="1958">
        <v>20</v>
      </c>
      <c r="F21" s="1958">
        <v>0</v>
      </c>
      <c r="G21" s="1958" t="s">
        <v>1638</v>
      </c>
      <c r="H21" s="1958" t="s">
        <v>1047</v>
      </c>
      <c r="I21" s="1958">
        <v>0</v>
      </c>
      <c r="J21" s="1958" t="s">
        <v>1638</v>
      </c>
      <c r="K21" s="1958">
        <v>0</v>
      </c>
      <c r="L21" s="1958">
        <v>37231122</v>
      </c>
      <c r="M21" s="1958">
        <f t="shared" si="0"/>
        <v>37231122</v>
      </c>
    </row>
    <row r="22" spans="1:13">
      <c r="A22" s="1958" t="s">
        <v>877</v>
      </c>
      <c r="B22" s="1958">
        <v>187</v>
      </c>
      <c r="C22" s="1958">
        <v>2023</v>
      </c>
      <c r="D22" s="1958">
        <v>12</v>
      </c>
      <c r="E22" s="1958">
        <v>21</v>
      </c>
      <c r="F22" s="1958">
        <v>0</v>
      </c>
      <c r="G22" s="1958" t="s">
        <v>1637</v>
      </c>
      <c r="H22" s="1958" t="s">
        <v>1368</v>
      </c>
      <c r="I22" s="1958">
        <v>0</v>
      </c>
      <c r="J22" s="1958" t="s">
        <v>1637</v>
      </c>
      <c r="K22" s="1958">
        <v>14256</v>
      </c>
      <c r="L22" s="1958">
        <v>29110</v>
      </c>
      <c r="M22" s="1958">
        <f t="shared" si="0"/>
        <v>14854</v>
      </c>
    </row>
    <row r="23" spans="1:13">
      <c r="A23" s="1958" t="s">
        <v>877</v>
      </c>
      <c r="B23" s="1958">
        <v>187</v>
      </c>
      <c r="C23" s="1958">
        <v>2023</v>
      </c>
      <c r="D23" s="1958">
        <v>12</v>
      </c>
      <c r="E23" s="1958">
        <v>22</v>
      </c>
      <c r="F23" s="1958">
        <v>0</v>
      </c>
      <c r="G23" s="1958" t="s">
        <v>1635</v>
      </c>
      <c r="H23" s="1958" t="s">
        <v>1636</v>
      </c>
      <c r="I23" s="1958">
        <v>85888</v>
      </c>
      <c r="J23" s="1958" t="s">
        <v>1635</v>
      </c>
      <c r="K23" s="1958">
        <v>1571925</v>
      </c>
      <c r="L23" s="1958">
        <v>1561634</v>
      </c>
      <c r="M23" s="1958">
        <f t="shared" si="0"/>
        <v>75597</v>
      </c>
    </row>
    <row r="24" spans="1:13">
      <c r="M24" s="1958">
        <f>SUM(M2:M23)</f>
        <v>479233915</v>
      </c>
    </row>
  </sheetData>
  <pageMargins left="0.75" right="0.75" top="1" bottom="1" header="0.5" footer="0.5"/>
  <pageSetup orientation="portrait" r:id="rId1"/>
  <customProperties>
    <customPr name="xxe4aPID" r:id="rId2"/>
  </customPropertie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63541-7840-4A6E-AB07-78F2B1687B2E}">
  <sheetPr codeName="Sheet60">
    <tabColor theme="6"/>
  </sheetPr>
  <dimension ref="A1:N28"/>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45.125" style="1958" bestFit="1" customWidth="1"/>
    <col min="8" max="8" width="7.625" style="1958" bestFit="1" customWidth="1"/>
    <col min="9" max="10" width="13.25" style="1958" bestFit="1" customWidth="1"/>
    <col min="11" max="11" width="14.25" style="1958" bestFit="1" customWidth="1"/>
    <col min="12" max="12" width="14.375" style="1958" bestFit="1" customWidth="1"/>
    <col min="13" max="13" width="13.5" style="1958" bestFit="1" customWidth="1"/>
    <col min="14" max="14" width="13.625" style="1958" bestFit="1" customWidth="1"/>
    <col min="15" max="16384" width="9" style="1958"/>
  </cols>
  <sheetData>
    <row r="1" spans="1:14">
      <c r="A1" s="1974" t="s">
        <v>984</v>
      </c>
      <c r="B1" s="1974" t="s">
        <v>983</v>
      </c>
      <c r="C1" s="1974" t="s">
        <v>982</v>
      </c>
      <c r="D1" s="1974" t="s">
        <v>981</v>
      </c>
      <c r="E1" s="1974" t="s">
        <v>980</v>
      </c>
      <c r="F1" s="1974" t="s">
        <v>979</v>
      </c>
      <c r="G1" s="1974" t="s">
        <v>1159</v>
      </c>
      <c r="H1" s="1974" t="s">
        <v>1702</v>
      </c>
      <c r="I1" s="1974" t="s">
        <v>1701</v>
      </c>
      <c r="J1" s="1974" t="s">
        <v>1700</v>
      </c>
      <c r="K1" s="1974" t="s">
        <v>1699</v>
      </c>
      <c r="L1" s="1974" t="s">
        <v>1698</v>
      </c>
      <c r="M1" s="1974" t="s">
        <v>1697</v>
      </c>
      <c r="N1" s="1974" t="s">
        <v>1696</v>
      </c>
    </row>
    <row r="2" spans="1:14">
      <c r="A2" s="1958" t="s">
        <v>877</v>
      </c>
      <c r="B2" s="1958">
        <v>187</v>
      </c>
      <c r="C2" s="1958">
        <v>2023</v>
      </c>
      <c r="D2" s="1958">
        <v>12</v>
      </c>
      <c r="E2" s="1958">
        <v>1</v>
      </c>
      <c r="F2" s="1958">
        <v>0</v>
      </c>
      <c r="G2" s="1958" t="s">
        <v>1695</v>
      </c>
      <c r="H2" s="1958" t="s">
        <v>728</v>
      </c>
      <c r="I2" s="1963">
        <v>0</v>
      </c>
      <c r="J2" s="1963">
        <v>0</v>
      </c>
      <c r="K2" s="1963">
        <v>0</v>
      </c>
      <c r="L2" s="1963">
        <v>0</v>
      </c>
      <c r="M2" s="1963">
        <v>0</v>
      </c>
      <c r="N2" s="1963">
        <v>0</v>
      </c>
    </row>
    <row r="3" spans="1:14">
      <c r="A3" s="1958" t="s">
        <v>877</v>
      </c>
      <c r="B3" s="1958">
        <v>187</v>
      </c>
      <c r="C3" s="1958">
        <v>2023</v>
      </c>
      <c r="D3" s="1958">
        <v>12</v>
      </c>
      <c r="E3" s="1958">
        <v>2</v>
      </c>
      <c r="F3" s="1958">
        <v>0</v>
      </c>
      <c r="G3" s="1958" t="s">
        <v>1694</v>
      </c>
      <c r="H3" s="1958" t="s">
        <v>728</v>
      </c>
      <c r="I3" s="1963">
        <v>425258195</v>
      </c>
      <c r="J3" s="1963">
        <v>414822725</v>
      </c>
      <c r="K3" s="1963">
        <v>4020329</v>
      </c>
      <c r="L3" s="1963">
        <v>4153697</v>
      </c>
      <c r="M3" s="1963">
        <v>366450</v>
      </c>
      <c r="N3" s="1963">
        <v>361607</v>
      </c>
    </row>
    <row r="4" spans="1:14">
      <c r="A4" s="1958" t="s">
        <v>877</v>
      </c>
      <c r="B4" s="1958">
        <v>187</v>
      </c>
      <c r="C4" s="1958">
        <v>2023</v>
      </c>
      <c r="D4" s="1958">
        <v>12</v>
      </c>
      <c r="E4" s="1958">
        <v>3</v>
      </c>
      <c r="F4" s="1958">
        <v>0</v>
      </c>
      <c r="G4" s="1958" t="s">
        <v>1693</v>
      </c>
      <c r="H4" s="1958" t="s">
        <v>728</v>
      </c>
      <c r="I4" s="1963">
        <v>0</v>
      </c>
      <c r="J4" s="1963">
        <v>0</v>
      </c>
      <c r="K4" s="1963">
        <v>0</v>
      </c>
      <c r="L4" s="1963">
        <v>0</v>
      </c>
      <c r="M4" s="1963">
        <v>0</v>
      </c>
      <c r="N4" s="1963">
        <v>0</v>
      </c>
    </row>
    <row r="5" spans="1:14">
      <c r="A5" s="1958" t="s">
        <v>877</v>
      </c>
      <c r="B5" s="1958">
        <v>187</v>
      </c>
      <c r="C5" s="1958">
        <v>2023</v>
      </c>
      <c r="D5" s="1958">
        <v>12</v>
      </c>
      <c r="E5" s="1958">
        <v>4</v>
      </c>
      <c r="F5" s="1958">
        <v>0</v>
      </c>
      <c r="G5" s="1958" t="s">
        <v>1692</v>
      </c>
      <c r="H5" s="1958" t="s">
        <v>728</v>
      </c>
      <c r="I5" s="1963">
        <v>343522797</v>
      </c>
      <c r="J5" s="1963">
        <v>338656421</v>
      </c>
      <c r="K5" s="1963">
        <v>3159672</v>
      </c>
      <c r="L5" s="1963">
        <v>3200915</v>
      </c>
      <c r="M5" s="1963">
        <v>45341</v>
      </c>
      <c r="N5" s="1963">
        <v>44578</v>
      </c>
    </row>
    <row r="6" spans="1:14">
      <c r="A6" s="1958" t="s">
        <v>877</v>
      </c>
      <c r="B6" s="1958">
        <v>187</v>
      </c>
      <c r="C6" s="1958">
        <v>2023</v>
      </c>
      <c r="D6" s="1958">
        <v>12</v>
      </c>
      <c r="E6" s="1958">
        <v>5</v>
      </c>
      <c r="F6" s="1958">
        <v>0</v>
      </c>
      <c r="G6" s="1958" t="s">
        <v>1691</v>
      </c>
      <c r="H6" s="1958" t="s">
        <v>728</v>
      </c>
      <c r="I6" s="1963">
        <v>120123256</v>
      </c>
      <c r="J6" s="1963">
        <v>118350840</v>
      </c>
      <c r="K6" s="1963">
        <v>2096554</v>
      </c>
      <c r="L6" s="1963">
        <v>2131895</v>
      </c>
      <c r="M6" s="1963">
        <v>1188</v>
      </c>
      <c r="N6" s="1963">
        <v>1194</v>
      </c>
    </row>
    <row r="7" spans="1:14">
      <c r="A7" s="1958" t="s">
        <v>877</v>
      </c>
      <c r="B7" s="1958">
        <v>187</v>
      </c>
      <c r="C7" s="1958">
        <v>2023</v>
      </c>
      <c r="D7" s="1958">
        <v>12</v>
      </c>
      <c r="E7" s="1958">
        <v>6</v>
      </c>
      <c r="F7" s="1958">
        <v>0</v>
      </c>
      <c r="G7" s="1958" t="s">
        <v>1690</v>
      </c>
      <c r="H7" s="1958" t="s">
        <v>728</v>
      </c>
      <c r="I7" s="1963">
        <v>7975679</v>
      </c>
      <c r="J7" s="1963">
        <v>7483091</v>
      </c>
      <c r="K7" s="1963">
        <v>16839</v>
      </c>
      <c r="L7" s="1963">
        <v>16795</v>
      </c>
      <c r="M7" s="1963">
        <v>690</v>
      </c>
      <c r="N7" s="1963">
        <v>681</v>
      </c>
    </row>
    <row r="8" spans="1:14">
      <c r="A8" s="1958" t="s">
        <v>877</v>
      </c>
      <c r="B8" s="1958">
        <v>187</v>
      </c>
      <c r="C8" s="1958">
        <v>2023</v>
      </c>
      <c r="D8" s="1958">
        <v>12</v>
      </c>
      <c r="E8" s="1958">
        <v>7</v>
      </c>
      <c r="F8" s="1958">
        <v>0</v>
      </c>
      <c r="G8" s="1958" t="s">
        <v>1689</v>
      </c>
      <c r="H8" s="1958" t="s">
        <v>728</v>
      </c>
      <c r="I8" s="1963">
        <v>0</v>
      </c>
      <c r="J8" s="1963">
        <v>0</v>
      </c>
      <c r="K8" s="1963">
        <v>0</v>
      </c>
      <c r="L8" s="1963">
        <v>0</v>
      </c>
      <c r="M8" s="1963">
        <v>0</v>
      </c>
      <c r="N8" s="1963">
        <v>0</v>
      </c>
    </row>
    <row r="9" spans="1:14">
      <c r="A9" s="1958" t="s">
        <v>877</v>
      </c>
      <c r="B9" s="1958">
        <v>187</v>
      </c>
      <c r="C9" s="1958">
        <v>2023</v>
      </c>
      <c r="D9" s="1958">
        <v>12</v>
      </c>
      <c r="E9" s="1958">
        <v>8</v>
      </c>
      <c r="F9" s="1958">
        <v>0</v>
      </c>
      <c r="G9" s="1958" t="s">
        <v>1688</v>
      </c>
      <c r="H9" s="1958" t="s">
        <v>728</v>
      </c>
      <c r="I9" s="1963">
        <v>0</v>
      </c>
      <c r="J9" s="1963">
        <v>0</v>
      </c>
      <c r="K9" s="1963">
        <v>0</v>
      </c>
      <c r="L9" s="1963">
        <v>0</v>
      </c>
      <c r="M9" s="1963">
        <v>0</v>
      </c>
      <c r="N9" s="1963">
        <v>0</v>
      </c>
    </row>
    <row r="10" spans="1:14">
      <c r="A10" s="1958" t="s">
        <v>877</v>
      </c>
      <c r="B10" s="1958">
        <v>187</v>
      </c>
      <c r="C10" s="1958">
        <v>2023</v>
      </c>
      <c r="D10" s="1958">
        <v>12</v>
      </c>
      <c r="E10" s="1958">
        <v>9</v>
      </c>
      <c r="F10" s="1958">
        <v>0</v>
      </c>
      <c r="G10" s="1958" t="s">
        <v>1687</v>
      </c>
      <c r="H10" s="1958" t="s">
        <v>728</v>
      </c>
      <c r="I10" s="1963">
        <v>1606948</v>
      </c>
      <c r="J10" s="1963">
        <v>1571568</v>
      </c>
      <c r="K10" s="1963">
        <v>14475</v>
      </c>
      <c r="L10" s="1963">
        <v>14388</v>
      </c>
      <c r="M10" s="1963">
        <v>162</v>
      </c>
      <c r="N10" s="1963">
        <v>157</v>
      </c>
    </row>
    <row r="11" spans="1:14">
      <c r="A11" s="1958" t="s">
        <v>877</v>
      </c>
      <c r="B11" s="1958">
        <v>187</v>
      </c>
      <c r="C11" s="1958">
        <v>2023</v>
      </c>
      <c r="D11" s="1958">
        <v>12</v>
      </c>
      <c r="E11" s="1958">
        <v>10</v>
      </c>
      <c r="F11" s="1958">
        <v>0</v>
      </c>
      <c r="G11" s="1958" t="s">
        <v>1686</v>
      </c>
      <c r="H11" s="1958" t="s">
        <v>728</v>
      </c>
      <c r="I11" s="1963">
        <f>SUM(I3:I10)</f>
        <v>898486875</v>
      </c>
      <c r="J11" s="1963">
        <f>SUM(J3:J10)-1</f>
        <v>880884644</v>
      </c>
      <c r="K11" s="1963">
        <f>SUM(K3:K10)+1</f>
        <v>9307870</v>
      </c>
      <c r="L11" s="1963">
        <f>SUM(L3:L10)</f>
        <v>9517690</v>
      </c>
      <c r="M11" s="1963">
        <f>SUM(M3:M10)</f>
        <v>413831</v>
      </c>
      <c r="N11" s="1963">
        <f>SUM(N3:N10)-2</f>
        <v>408215</v>
      </c>
    </row>
    <row r="12" spans="1:14">
      <c r="A12" s="1958" t="s">
        <v>877</v>
      </c>
      <c r="B12" s="1958">
        <v>187</v>
      </c>
      <c r="C12" s="1958">
        <v>2023</v>
      </c>
      <c r="D12" s="1958">
        <v>12</v>
      </c>
      <c r="E12" s="1958">
        <v>11</v>
      </c>
      <c r="F12" s="1958">
        <v>0</v>
      </c>
      <c r="G12" s="1958" t="s">
        <v>1685</v>
      </c>
      <c r="H12" s="1958" t="s">
        <v>728</v>
      </c>
      <c r="I12" s="1963">
        <v>253658002</v>
      </c>
      <c r="J12" s="1963">
        <v>184587443</v>
      </c>
      <c r="K12" s="1963">
        <v>3521491</v>
      </c>
      <c r="L12" s="1963">
        <v>3144486</v>
      </c>
      <c r="M12" s="1963">
        <v>0</v>
      </c>
      <c r="N12" s="1963">
        <v>0</v>
      </c>
    </row>
    <row r="13" spans="1:14">
      <c r="A13" s="1958" t="s">
        <v>877</v>
      </c>
      <c r="B13" s="1958">
        <v>187</v>
      </c>
      <c r="C13" s="1958">
        <v>2023</v>
      </c>
      <c r="D13" s="1958">
        <v>12</v>
      </c>
      <c r="E13" s="1958">
        <v>12</v>
      </c>
      <c r="F13" s="1958">
        <v>0</v>
      </c>
      <c r="G13" s="1958" t="s">
        <v>1684</v>
      </c>
      <c r="H13" s="1958" t="s">
        <v>728</v>
      </c>
      <c r="I13" s="1963">
        <f>SUM(I11:I12)-1</f>
        <v>1152144876</v>
      </c>
      <c r="J13" s="1963">
        <f>SUM(J11:J12)</f>
        <v>1065472087</v>
      </c>
      <c r="K13" s="1963">
        <f>SUM(K11:K12)</f>
        <v>12829361</v>
      </c>
      <c r="L13" s="1963">
        <f>SUM(L11:L12)</f>
        <v>12662176</v>
      </c>
      <c r="M13" s="1963">
        <f>SUM(M11:M12)</f>
        <v>413831</v>
      </c>
      <c r="N13" s="1963">
        <f>SUM(N11:N12)</f>
        <v>408215</v>
      </c>
    </row>
    <row r="14" spans="1:14">
      <c r="A14" s="1958" t="s">
        <v>877</v>
      </c>
      <c r="B14" s="1958">
        <v>187</v>
      </c>
      <c r="C14" s="1958">
        <v>2023</v>
      </c>
      <c r="D14" s="1958">
        <v>12</v>
      </c>
      <c r="E14" s="1958">
        <v>13</v>
      </c>
      <c r="F14" s="1958">
        <v>0</v>
      </c>
      <c r="G14" s="1958" t="s">
        <v>1683</v>
      </c>
      <c r="H14" s="1958" t="s">
        <v>728</v>
      </c>
      <c r="I14" s="1963"/>
      <c r="J14" s="1963">
        <v>347000</v>
      </c>
      <c r="K14" s="1963">
        <v>0</v>
      </c>
      <c r="L14" s="1963">
        <v>0</v>
      </c>
      <c r="M14" s="1963">
        <v>0</v>
      </c>
      <c r="N14" s="1963">
        <v>0</v>
      </c>
    </row>
    <row r="15" spans="1:14">
      <c r="A15" s="1958" t="s">
        <v>877</v>
      </c>
      <c r="B15" s="1958">
        <v>187</v>
      </c>
      <c r="C15" s="1958">
        <v>2023</v>
      </c>
      <c r="D15" s="1958">
        <v>12</v>
      </c>
      <c r="E15" s="1958">
        <v>14</v>
      </c>
      <c r="F15" s="1958">
        <v>0</v>
      </c>
      <c r="G15" s="1958" t="s">
        <v>1682</v>
      </c>
      <c r="H15" s="1958" t="s">
        <v>728</v>
      </c>
      <c r="I15" s="1963">
        <f t="shared" ref="I15:N15" si="0">SUM(I13:I14)</f>
        <v>1152144876</v>
      </c>
      <c r="J15" s="1963">
        <f t="shared" si="0"/>
        <v>1065819087</v>
      </c>
      <c r="K15" s="1963">
        <f t="shared" si="0"/>
        <v>12829361</v>
      </c>
      <c r="L15" s="1963">
        <f t="shared" si="0"/>
        <v>12662176</v>
      </c>
      <c r="M15" s="1963">
        <f t="shared" si="0"/>
        <v>413831</v>
      </c>
      <c r="N15" s="1963">
        <f t="shared" si="0"/>
        <v>408215</v>
      </c>
    </row>
    <row r="16" spans="1:14">
      <c r="A16" s="1958" t="s">
        <v>877</v>
      </c>
      <c r="B16" s="1958">
        <v>187</v>
      </c>
      <c r="C16" s="1958">
        <v>2023</v>
      </c>
      <c r="D16" s="1958">
        <v>12</v>
      </c>
      <c r="E16" s="1958">
        <v>15</v>
      </c>
      <c r="F16" s="1958">
        <v>0</v>
      </c>
      <c r="G16" s="1958" t="s">
        <v>1681</v>
      </c>
      <c r="H16" s="1958" t="s">
        <v>728</v>
      </c>
      <c r="I16" s="1963">
        <v>0</v>
      </c>
      <c r="J16" s="1963">
        <v>0</v>
      </c>
      <c r="K16" s="1963">
        <v>0</v>
      </c>
      <c r="L16" s="1963">
        <v>0</v>
      </c>
      <c r="M16" s="1963">
        <v>0</v>
      </c>
      <c r="N16" s="1963">
        <v>0</v>
      </c>
    </row>
    <row r="17" spans="1:14">
      <c r="A17" s="1958" t="s">
        <v>877</v>
      </c>
      <c r="B17" s="1958">
        <v>187</v>
      </c>
      <c r="C17" s="1958">
        <v>2023</v>
      </c>
      <c r="D17" s="1958">
        <v>12</v>
      </c>
      <c r="E17" s="1958">
        <v>16</v>
      </c>
      <c r="F17" s="1958">
        <v>0</v>
      </c>
      <c r="G17" s="1965" t="s">
        <v>1680</v>
      </c>
      <c r="H17" s="1965" t="s">
        <v>728</v>
      </c>
      <c r="I17" s="1964">
        <v>0</v>
      </c>
      <c r="J17" s="1963">
        <v>0</v>
      </c>
      <c r="K17" s="1963">
        <v>0</v>
      </c>
      <c r="L17" s="1963">
        <v>0</v>
      </c>
      <c r="M17" s="1963">
        <v>0</v>
      </c>
      <c r="N17" s="1963">
        <v>0</v>
      </c>
    </row>
    <row r="18" spans="1:14">
      <c r="A18" s="1958" t="s">
        <v>877</v>
      </c>
      <c r="B18" s="1958">
        <v>187</v>
      </c>
      <c r="C18" s="1958">
        <v>2023</v>
      </c>
      <c r="D18" s="1958">
        <v>12</v>
      </c>
      <c r="E18" s="1958">
        <v>17</v>
      </c>
      <c r="F18" s="1958">
        <v>0</v>
      </c>
      <c r="G18" s="1965" t="s">
        <v>1679</v>
      </c>
      <c r="H18" s="1965" t="s">
        <v>728</v>
      </c>
      <c r="I18" s="1964">
        <v>129396</v>
      </c>
      <c r="J18" s="1963">
        <v>122226</v>
      </c>
      <c r="K18" s="1963">
        <v>0</v>
      </c>
      <c r="L18" s="1963">
        <v>0</v>
      </c>
      <c r="M18" s="1963">
        <v>0</v>
      </c>
      <c r="N18" s="1963">
        <v>0</v>
      </c>
    </row>
    <row r="19" spans="1:14">
      <c r="A19" s="1958" t="s">
        <v>877</v>
      </c>
      <c r="B19" s="1958">
        <v>187</v>
      </c>
      <c r="C19" s="1958">
        <v>2023</v>
      </c>
      <c r="D19" s="1958">
        <v>12</v>
      </c>
      <c r="E19" s="1958">
        <v>18</v>
      </c>
      <c r="F19" s="1958">
        <v>0</v>
      </c>
      <c r="G19" s="1965" t="s">
        <v>1678</v>
      </c>
      <c r="H19" s="1965" t="s">
        <v>728</v>
      </c>
      <c r="I19" s="1964">
        <v>688332</v>
      </c>
      <c r="J19" s="1963">
        <v>368008</v>
      </c>
      <c r="K19" s="1963">
        <v>0</v>
      </c>
      <c r="L19" s="1963">
        <v>0</v>
      </c>
      <c r="M19" s="1963">
        <v>0</v>
      </c>
      <c r="N19" s="1963">
        <v>0</v>
      </c>
    </row>
    <row r="20" spans="1:14">
      <c r="A20" s="1958" t="s">
        <v>877</v>
      </c>
      <c r="B20" s="1958">
        <v>187</v>
      </c>
      <c r="C20" s="1958">
        <v>2023</v>
      </c>
      <c r="D20" s="1958">
        <v>12</v>
      </c>
      <c r="E20" s="1958">
        <v>19</v>
      </c>
      <c r="F20" s="1958">
        <v>0</v>
      </c>
      <c r="G20" s="1965" t="s">
        <v>1677</v>
      </c>
      <c r="H20" s="1965" t="s">
        <v>728</v>
      </c>
      <c r="I20" s="1964">
        <v>7542853</v>
      </c>
      <c r="J20" s="1963">
        <v>4199517</v>
      </c>
      <c r="K20" s="1963">
        <v>0</v>
      </c>
      <c r="L20" s="1963">
        <v>0</v>
      </c>
      <c r="M20" s="1963">
        <v>0</v>
      </c>
      <c r="N20" s="1963">
        <v>0</v>
      </c>
    </row>
    <row r="21" spans="1:14">
      <c r="A21" s="1958" t="s">
        <v>877</v>
      </c>
      <c r="B21" s="1958">
        <v>187</v>
      </c>
      <c r="C21" s="1958">
        <v>2023</v>
      </c>
      <c r="D21" s="1958">
        <v>12</v>
      </c>
      <c r="E21" s="1958">
        <v>20</v>
      </c>
      <c r="F21" s="1958">
        <v>0</v>
      </c>
      <c r="G21" s="1965" t="s">
        <v>1676</v>
      </c>
      <c r="H21" s="1965" t="s">
        <v>728</v>
      </c>
      <c r="I21" s="1964">
        <v>0</v>
      </c>
      <c r="J21" s="1963">
        <v>0</v>
      </c>
      <c r="K21" s="1963">
        <v>0</v>
      </c>
      <c r="L21" s="1963">
        <v>0</v>
      </c>
      <c r="M21" s="1963">
        <v>0</v>
      </c>
      <c r="N21" s="1963">
        <v>0</v>
      </c>
    </row>
    <row r="22" spans="1:14">
      <c r="A22" s="1958" t="s">
        <v>877</v>
      </c>
      <c r="B22" s="1958">
        <v>187</v>
      </c>
      <c r="C22" s="1958">
        <v>2023</v>
      </c>
      <c r="D22" s="1958">
        <v>12</v>
      </c>
      <c r="E22" s="1958">
        <v>21</v>
      </c>
      <c r="F22" s="1958">
        <v>0</v>
      </c>
      <c r="G22" s="1965" t="s">
        <v>1675</v>
      </c>
      <c r="H22" s="1965" t="s">
        <v>728</v>
      </c>
      <c r="I22" s="1964">
        <v>2198927</v>
      </c>
      <c r="J22" s="1963">
        <v>67308761</v>
      </c>
      <c r="K22" s="1963">
        <v>0</v>
      </c>
      <c r="L22" s="1963">
        <v>0</v>
      </c>
      <c r="M22" s="1963">
        <v>0</v>
      </c>
      <c r="N22" s="1963">
        <v>0</v>
      </c>
    </row>
    <row r="23" spans="1:14">
      <c r="A23" s="1958" t="s">
        <v>877</v>
      </c>
      <c r="B23" s="1958">
        <v>187</v>
      </c>
      <c r="C23" s="1958">
        <v>2023</v>
      </c>
      <c r="D23" s="1958">
        <v>12</v>
      </c>
      <c r="E23" s="1958">
        <v>22</v>
      </c>
      <c r="F23" s="1958">
        <v>0</v>
      </c>
      <c r="G23" s="1965" t="s">
        <v>1674</v>
      </c>
      <c r="H23" s="1965" t="s">
        <v>728</v>
      </c>
      <c r="I23" s="1964">
        <v>30969981</v>
      </c>
      <c r="J23" s="1963">
        <v>30339137</v>
      </c>
      <c r="K23" s="1963">
        <v>0</v>
      </c>
      <c r="L23" s="1963">
        <v>0</v>
      </c>
      <c r="M23" s="1963">
        <v>0</v>
      </c>
      <c r="N23" s="1963">
        <v>0</v>
      </c>
    </row>
    <row r="24" spans="1:14">
      <c r="A24" s="1958" t="s">
        <v>877</v>
      </c>
      <c r="B24" s="1958">
        <v>187</v>
      </c>
      <c r="C24" s="1958">
        <v>2023</v>
      </c>
      <c r="D24" s="1958">
        <v>12</v>
      </c>
      <c r="E24" s="1958">
        <v>23</v>
      </c>
      <c r="F24" s="1958">
        <v>0</v>
      </c>
      <c r="G24" s="1958" t="s">
        <v>1673</v>
      </c>
      <c r="H24" s="1958" t="s">
        <v>728</v>
      </c>
      <c r="I24" s="1963">
        <v>0</v>
      </c>
      <c r="J24" s="1963">
        <v>0</v>
      </c>
      <c r="K24" s="1963">
        <v>0</v>
      </c>
      <c r="L24" s="1963">
        <v>0</v>
      </c>
      <c r="M24" s="1963">
        <v>0</v>
      </c>
      <c r="N24" s="1963">
        <v>0</v>
      </c>
    </row>
    <row r="25" spans="1:14">
      <c r="A25" s="1958" t="s">
        <v>877</v>
      </c>
      <c r="B25" s="1958">
        <v>187</v>
      </c>
      <c r="C25" s="1958">
        <v>2023</v>
      </c>
      <c r="D25" s="1958">
        <v>12</v>
      </c>
      <c r="E25" s="1958">
        <v>24</v>
      </c>
      <c r="F25" s="1958">
        <v>0</v>
      </c>
      <c r="G25" s="1958" t="s">
        <v>1672</v>
      </c>
      <c r="H25" s="1958" t="s">
        <v>728</v>
      </c>
      <c r="I25" s="1963">
        <v>0</v>
      </c>
      <c r="J25" s="1963">
        <v>0</v>
      </c>
      <c r="K25" s="1963">
        <v>0</v>
      </c>
      <c r="L25" s="1963">
        <v>0</v>
      </c>
      <c r="M25" s="1963">
        <v>0</v>
      </c>
      <c r="N25" s="1963">
        <v>0</v>
      </c>
    </row>
    <row r="26" spans="1:14">
      <c r="A26" s="1958" t="s">
        <v>877</v>
      </c>
      <c r="B26" s="1958">
        <v>187</v>
      </c>
      <c r="C26" s="1958">
        <v>2023</v>
      </c>
      <c r="D26" s="1958">
        <v>12</v>
      </c>
      <c r="E26" s="1958">
        <v>25</v>
      </c>
      <c r="F26" s="1958">
        <v>0</v>
      </c>
      <c r="G26" s="1958" t="s">
        <v>728</v>
      </c>
      <c r="H26" s="1958" t="s">
        <v>728</v>
      </c>
      <c r="I26" s="1963">
        <v>0</v>
      </c>
      <c r="J26" s="1963">
        <v>0</v>
      </c>
      <c r="K26" s="1963">
        <v>0</v>
      </c>
      <c r="L26" s="1963">
        <v>0</v>
      </c>
      <c r="M26" s="1963">
        <v>0</v>
      </c>
      <c r="N26" s="1963">
        <v>0</v>
      </c>
    </row>
    <row r="27" spans="1:14">
      <c r="A27" s="1958" t="s">
        <v>877</v>
      </c>
      <c r="B27" s="1958">
        <v>187</v>
      </c>
      <c r="C27" s="1958">
        <v>2023</v>
      </c>
      <c r="D27" s="1958">
        <v>12</v>
      </c>
      <c r="E27" s="1958">
        <v>26</v>
      </c>
      <c r="F27" s="1958">
        <v>0</v>
      </c>
      <c r="G27" s="1958" t="s">
        <v>1671</v>
      </c>
      <c r="H27" s="1958" t="s">
        <v>728</v>
      </c>
      <c r="I27" s="1963">
        <f>SUM(I17:I26)</f>
        <v>41529489</v>
      </c>
      <c r="J27" s="1963">
        <f>SUM(J17:J26)-1</f>
        <v>102337648</v>
      </c>
      <c r="K27" s="1963">
        <v>0</v>
      </c>
      <c r="L27" s="1963">
        <v>0</v>
      </c>
      <c r="M27" s="1963">
        <v>0</v>
      </c>
      <c r="N27" s="1963">
        <v>0</v>
      </c>
    </row>
    <row r="28" spans="1:14">
      <c r="A28" s="1958" t="s">
        <v>877</v>
      </c>
      <c r="B28" s="1958">
        <v>187</v>
      </c>
      <c r="C28" s="1958">
        <v>2023</v>
      </c>
      <c r="D28" s="1958">
        <v>12</v>
      </c>
      <c r="E28" s="1958">
        <v>27</v>
      </c>
      <c r="F28" s="1958">
        <v>0</v>
      </c>
      <c r="G28" s="1958" t="s">
        <v>1670</v>
      </c>
      <c r="H28" s="1958" t="s">
        <v>728</v>
      </c>
      <c r="I28" s="1963">
        <f t="shared" ref="I28:N28" si="1">SUM(I15,I27)</f>
        <v>1193674365</v>
      </c>
      <c r="J28" s="1963">
        <f t="shared" si="1"/>
        <v>1168156735</v>
      </c>
      <c r="K28" s="1963">
        <f t="shared" si="1"/>
        <v>12829361</v>
      </c>
      <c r="L28" s="1963">
        <f t="shared" si="1"/>
        <v>12662176</v>
      </c>
      <c r="M28" s="1963">
        <f t="shared" si="1"/>
        <v>413831</v>
      </c>
      <c r="N28" s="1963">
        <f t="shared" si="1"/>
        <v>408215</v>
      </c>
    </row>
  </sheetData>
  <pageMargins left="0.75" right="0.75" top="1" bottom="1" header="0.5" footer="0.5"/>
  <pageSetup orientation="portrait" r:id="rId1"/>
  <customProperties>
    <customPr name="xxe4aPID" r:id="rId2"/>
  </customPropertie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468F3-6A86-4D4D-B92B-AB672C9AA8FB}">
  <sheetPr codeName="Sheet61">
    <tabColor theme="6"/>
  </sheetPr>
  <dimension ref="A1:J2"/>
  <sheetViews>
    <sheetView topLeftCell="G1" workbookViewId="0">
      <selection activeCell="D400" sqref="D400"/>
    </sheetView>
  </sheetViews>
  <sheetFormatPr defaultColWidth="9" defaultRowHeight="12.75"/>
  <cols>
    <col min="1" max="16384" width="9" style="1958"/>
  </cols>
  <sheetData>
    <row r="1" spans="1:10">
      <c r="A1" s="1958" t="s">
        <v>984</v>
      </c>
      <c r="B1" s="1958" t="s">
        <v>983</v>
      </c>
      <c r="C1" s="1958" t="s">
        <v>982</v>
      </c>
      <c r="D1" s="1958" t="s">
        <v>981</v>
      </c>
      <c r="E1" s="1958" t="s">
        <v>1199</v>
      </c>
      <c r="F1" s="1958" t="s">
        <v>1705</v>
      </c>
      <c r="G1" s="1958" t="s">
        <v>979</v>
      </c>
      <c r="H1" s="1958" t="s">
        <v>980</v>
      </c>
      <c r="I1" s="1958" t="s">
        <v>1704</v>
      </c>
      <c r="J1" s="1958" t="s">
        <v>1703</v>
      </c>
    </row>
    <row r="2" spans="1:10">
      <c r="A2" s="1958" t="s">
        <v>877</v>
      </c>
      <c r="B2" s="1958">
        <v>187</v>
      </c>
      <c r="C2" s="1958">
        <v>2019</v>
      </c>
      <c r="D2" s="1958">
        <v>12</v>
      </c>
      <c r="E2" s="1958">
        <v>187</v>
      </c>
      <c r="F2" s="1958">
        <v>2019</v>
      </c>
      <c r="G2" s="1958">
        <v>0</v>
      </c>
      <c r="H2" s="1958">
        <v>1</v>
      </c>
      <c r="I2" s="1958">
        <v>-6081121</v>
      </c>
      <c r="J2" s="1958">
        <v>-114421</v>
      </c>
    </row>
  </sheetData>
  <pageMargins left="0.75" right="0.75" top="1" bottom="1" header="0.5" footer="0.5"/>
  <pageSetup orientation="portrait" r:id="rId1"/>
  <customProperties>
    <customPr name="xxe4aPID" r:id="rId2"/>
  </customPropertie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F4D56-8B71-4183-99E8-D613D1DAA3BA}">
  <sheetPr codeName="Sheet62">
    <tabColor theme="6"/>
  </sheetPr>
  <dimension ref="A1:Q116"/>
  <sheetViews>
    <sheetView topLeftCell="A33"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31.75" style="1958" bestFit="1" customWidth="1"/>
    <col min="8" max="8" width="12.125" style="1958" bestFit="1" customWidth="1"/>
    <col min="9" max="9" width="13" style="1958" bestFit="1" customWidth="1"/>
    <col min="10" max="10" width="15" style="1958" bestFit="1" customWidth="1"/>
    <col min="11" max="11" width="11.875" style="1958" bestFit="1" customWidth="1"/>
    <col min="12" max="12" width="10.875" style="1958" bestFit="1" customWidth="1"/>
    <col min="13" max="13" width="8.25" style="1958" bestFit="1" customWidth="1"/>
    <col min="14" max="14" width="13.5" style="1958" bestFit="1" customWidth="1"/>
    <col min="15" max="15" width="12.625" style="1958" bestFit="1" customWidth="1"/>
    <col min="16" max="16" width="11.25" style="1958" bestFit="1" customWidth="1"/>
    <col min="17" max="17" width="18.75" style="1958" customWidth="1"/>
    <col min="18" max="16384" width="9" style="1958"/>
  </cols>
  <sheetData>
    <row r="1" spans="1:17">
      <c r="A1" s="1958" t="s">
        <v>984</v>
      </c>
      <c r="B1" s="1958" t="s">
        <v>983</v>
      </c>
      <c r="C1" s="1958" t="s">
        <v>982</v>
      </c>
      <c r="D1" s="1958" t="s">
        <v>981</v>
      </c>
      <c r="E1" s="1958" t="s">
        <v>980</v>
      </c>
      <c r="F1" s="1958" t="s">
        <v>979</v>
      </c>
      <c r="G1" s="1958" t="s">
        <v>1778</v>
      </c>
      <c r="H1" s="1958" t="s">
        <v>1777</v>
      </c>
      <c r="I1" s="1958" t="s">
        <v>1776</v>
      </c>
      <c r="J1" s="1958" t="s">
        <v>1775</v>
      </c>
      <c r="K1" s="1958" t="s">
        <v>1774</v>
      </c>
      <c r="L1" s="1958" t="s">
        <v>1773</v>
      </c>
      <c r="M1" s="1958" t="s">
        <v>1772</v>
      </c>
      <c r="N1" s="1958" t="s">
        <v>1771</v>
      </c>
      <c r="O1" s="1958" t="s">
        <v>1770</v>
      </c>
      <c r="P1" s="1958" t="s">
        <v>1769</v>
      </c>
      <c r="Q1" s="1958" t="s">
        <v>1768</v>
      </c>
    </row>
    <row r="2" spans="1:17">
      <c r="A2" s="1958" t="s">
        <v>877</v>
      </c>
      <c r="B2" s="1958">
        <v>187</v>
      </c>
      <c r="C2" s="1958">
        <v>2023</v>
      </c>
      <c r="D2" s="1958">
        <v>12</v>
      </c>
      <c r="E2" s="1958">
        <v>1</v>
      </c>
      <c r="F2" s="1958">
        <v>0</v>
      </c>
      <c r="G2" s="1958" t="s">
        <v>1767</v>
      </c>
      <c r="H2" s="1958" t="s">
        <v>190</v>
      </c>
      <c r="I2" s="1958" t="s">
        <v>1706</v>
      </c>
      <c r="J2" s="1958" t="s">
        <v>728</v>
      </c>
      <c r="K2" s="1958" t="s">
        <v>728</v>
      </c>
      <c r="L2" s="1958" t="s">
        <v>728</v>
      </c>
      <c r="M2" s="1958">
        <v>3200</v>
      </c>
      <c r="O2" s="1958">
        <v>202276</v>
      </c>
      <c r="Q2" s="1958">
        <f t="shared" ref="Q2:Q33" si="0">SUM(N2:P2)</f>
        <v>202276</v>
      </c>
    </row>
    <row r="3" spans="1:17">
      <c r="A3" s="1958" t="s">
        <v>877</v>
      </c>
      <c r="B3" s="1958">
        <v>187</v>
      </c>
      <c r="C3" s="1958">
        <v>2023</v>
      </c>
      <c r="D3" s="1958">
        <v>12</v>
      </c>
      <c r="E3" s="1958">
        <v>2</v>
      </c>
      <c r="F3" s="1958">
        <v>0</v>
      </c>
      <c r="G3" s="1958" t="s">
        <v>1766</v>
      </c>
      <c r="H3" s="1958" t="s">
        <v>190</v>
      </c>
      <c r="I3" s="1958" t="s">
        <v>1706</v>
      </c>
      <c r="J3" s="1958" t="s">
        <v>728</v>
      </c>
      <c r="K3" s="1958" t="s">
        <v>728</v>
      </c>
      <c r="L3" s="1958" t="s">
        <v>728</v>
      </c>
      <c r="M3" s="1958">
        <v>114800</v>
      </c>
      <c r="O3" s="1958">
        <v>6767366</v>
      </c>
      <c r="Q3" s="1958">
        <f t="shared" si="0"/>
        <v>6767366</v>
      </c>
    </row>
    <row r="4" spans="1:17">
      <c r="A4" s="1958" t="s">
        <v>877</v>
      </c>
      <c r="B4" s="1958">
        <v>187</v>
      </c>
      <c r="C4" s="1958">
        <v>2023</v>
      </c>
      <c r="D4" s="1958">
        <v>12</v>
      </c>
      <c r="E4" s="1958">
        <v>3</v>
      </c>
      <c r="F4" s="1958">
        <v>0</v>
      </c>
      <c r="G4" s="1958" t="s">
        <v>1766</v>
      </c>
      <c r="H4" s="1958" t="s">
        <v>188</v>
      </c>
      <c r="I4" s="1958" t="s">
        <v>1716</v>
      </c>
      <c r="J4" s="1958" t="s">
        <v>728</v>
      </c>
      <c r="K4" s="1958" t="s">
        <v>728</v>
      </c>
      <c r="L4" s="1958" t="s">
        <v>728</v>
      </c>
      <c r="M4" s="1958">
        <v>14</v>
      </c>
      <c r="O4" s="1958">
        <v>1085</v>
      </c>
      <c r="Q4" s="1958">
        <f t="shared" si="0"/>
        <v>1085</v>
      </c>
    </row>
    <row r="5" spans="1:17">
      <c r="A5" s="1958" t="s">
        <v>877</v>
      </c>
      <c r="B5" s="1958">
        <v>187</v>
      </c>
      <c r="C5" s="1958">
        <v>2023</v>
      </c>
      <c r="D5" s="1958">
        <v>12</v>
      </c>
      <c r="E5" s="1958">
        <v>4</v>
      </c>
      <c r="F5" s="1958">
        <v>0</v>
      </c>
      <c r="G5" s="1958" t="s">
        <v>1766</v>
      </c>
      <c r="H5" s="1958" t="s">
        <v>188</v>
      </c>
      <c r="I5" s="1958" t="s">
        <v>1706</v>
      </c>
      <c r="J5" s="1958" t="s">
        <v>728</v>
      </c>
      <c r="K5" s="1958" t="s">
        <v>728</v>
      </c>
      <c r="L5" s="1958" t="s">
        <v>728</v>
      </c>
      <c r="M5" s="1958">
        <v>164</v>
      </c>
      <c r="O5" s="1958">
        <v>9815</v>
      </c>
      <c r="Q5" s="1958">
        <f t="shared" si="0"/>
        <v>9815</v>
      </c>
    </row>
    <row r="6" spans="1:17">
      <c r="A6" s="1958" t="s">
        <v>877</v>
      </c>
      <c r="B6" s="1958">
        <v>187</v>
      </c>
      <c r="C6" s="1958">
        <v>2023</v>
      </c>
      <c r="D6" s="1958">
        <v>12</v>
      </c>
      <c r="E6" s="1958">
        <v>5</v>
      </c>
      <c r="F6" s="1958">
        <v>0</v>
      </c>
      <c r="G6" s="1958" t="s">
        <v>1766</v>
      </c>
      <c r="H6" s="1958" t="s">
        <v>189</v>
      </c>
      <c r="I6" s="1958" t="s">
        <v>1706</v>
      </c>
      <c r="J6" s="1958" t="s">
        <v>728</v>
      </c>
      <c r="K6" s="1958" t="s">
        <v>728</v>
      </c>
      <c r="L6" s="1958" t="s">
        <v>728</v>
      </c>
      <c r="M6" s="1958">
        <v>7816</v>
      </c>
      <c r="O6" s="1958">
        <v>0</v>
      </c>
      <c r="Q6" s="1958">
        <f t="shared" si="0"/>
        <v>0</v>
      </c>
    </row>
    <row r="7" spans="1:17">
      <c r="A7" s="1958" t="s">
        <v>877</v>
      </c>
      <c r="B7" s="1958">
        <v>187</v>
      </c>
      <c r="C7" s="1958">
        <v>2023</v>
      </c>
      <c r="D7" s="1958">
        <v>12</v>
      </c>
      <c r="E7" s="1958">
        <v>6</v>
      </c>
      <c r="F7" s="1958">
        <v>0</v>
      </c>
      <c r="G7" s="1958" t="s">
        <v>1765</v>
      </c>
      <c r="H7" s="1958" t="s">
        <v>188</v>
      </c>
      <c r="I7" s="1958" t="s">
        <v>1716</v>
      </c>
      <c r="J7" s="1958" t="s">
        <v>728</v>
      </c>
      <c r="K7" s="1958" t="s">
        <v>728</v>
      </c>
      <c r="L7" s="1958" t="s">
        <v>728</v>
      </c>
      <c r="M7" s="1958">
        <v>5</v>
      </c>
      <c r="O7" s="1958">
        <v>201</v>
      </c>
      <c r="Q7" s="1958">
        <f t="shared" si="0"/>
        <v>201</v>
      </c>
    </row>
    <row r="8" spans="1:17">
      <c r="A8" s="1958" t="s">
        <v>877</v>
      </c>
      <c r="B8" s="1958">
        <v>187</v>
      </c>
      <c r="C8" s="1958">
        <v>2023</v>
      </c>
      <c r="D8" s="1958">
        <v>12</v>
      </c>
      <c r="E8" s="1958">
        <v>7</v>
      </c>
      <c r="F8" s="1958">
        <v>0</v>
      </c>
      <c r="G8" s="1958" t="s">
        <v>1764</v>
      </c>
      <c r="H8" s="1958" t="s">
        <v>190</v>
      </c>
      <c r="I8" s="1958" t="s">
        <v>1706</v>
      </c>
      <c r="J8" s="1958" t="s">
        <v>728</v>
      </c>
      <c r="K8" s="1958" t="s">
        <v>728</v>
      </c>
      <c r="L8" s="1958" t="s">
        <v>728</v>
      </c>
      <c r="M8" s="1958">
        <v>220554</v>
      </c>
      <c r="O8" s="1958">
        <v>11960142</v>
      </c>
      <c r="Q8" s="1958">
        <f t="shared" si="0"/>
        <v>11960142</v>
      </c>
    </row>
    <row r="9" spans="1:17">
      <c r="A9" s="1958" t="s">
        <v>877</v>
      </c>
      <c r="B9" s="1958">
        <v>187</v>
      </c>
      <c r="C9" s="1958">
        <v>2023</v>
      </c>
      <c r="D9" s="1958">
        <v>12</v>
      </c>
      <c r="E9" s="1958">
        <v>8</v>
      </c>
      <c r="F9" s="1958">
        <v>0</v>
      </c>
      <c r="G9" s="1958" t="s">
        <v>1763</v>
      </c>
      <c r="H9" s="1958" t="s">
        <v>190</v>
      </c>
      <c r="I9" s="1958" t="s">
        <v>1706</v>
      </c>
      <c r="J9" s="1958" t="s">
        <v>728</v>
      </c>
      <c r="K9" s="1958" t="s">
        <v>728</v>
      </c>
      <c r="L9" s="1958" t="s">
        <v>728</v>
      </c>
      <c r="M9" s="1958">
        <v>1400</v>
      </c>
      <c r="O9" s="1958">
        <v>50960</v>
      </c>
      <c r="Q9" s="1958">
        <f t="shared" si="0"/>
        <v>50960</v>
      </c>
    </row>
    <row r="10" spans="1:17">
      <c r="A10" s="1958" t="s">
        <v>877</v>
      </c>
      <c r="B10" s="1958">
        <v>187</v>
      </c>
      <c r="C10" s="1958">
        <v>2023</v>
      </c>
      <c r="D10" s="1958">
        <v>12</v>
      </c>
      <c r="E10" s="1958">
        <v>9</v>
      </c>
      <c r="F10" s="1958">
        <v>0</v>
      </c>
      <c r="G10" s="1958" t="s">
        <v>1762</v>
      </c>
      <c r="H10" s="1958" t="s">
        <v>190</v>
      </c>
      <c r="I10" s="1958" t="s">
        <v>1706</v>
      </c>
      <c r="J10" s="1958" t="s">
        <v>728</v>
      </c>
      <c r="K10" s="1958" t="s">
        <v>728</v>
      </c>
      <c r="L10" s="1958" t="s">
        <v>728</v>
      </c>
      <c r="M10" s="1958">
        <v>156950</v>
      </c>
      <c r="O10" s="1958">
        <v>12737834</v>
      </c>
      <c r="Q10" s="1958">
        <f t="shared" si="0"/>
        <v>12737834</v>
      </c>
    </row>
    <row r="11" spans="1:17">
      <c r="A11" s="1958" t="s">
        <v>877</v>
      </c>
      <c r="B11" s="1958">
        <v>187</v>
      </c>
      <c r="C11" s="1958">
        <v>2023</v>
      </c>
      <c r="D11" s="1958">
        <v>12</v>
      </c>
      <c r="E11" s="1958">
        <v>10</v>
      </c>
      <c r="F11" s="1958">
        <v>0</v>
      </c>
      <c r="G11" s="1958" t="s">
        <v>1762</v>
      </c>
      <c r="H11" s="1958" t="s">
        <v>188</v>
      </c>
      <c r="I11" s="1958" t="s">
        <v>1716</v>
      </c>
      <c r="J11" s="1958" t="s">
        <v>728</v>
      </c>
      <c r="K11" s="1958" t="s">
        <v>728</v>
      </c>
      <c r="L11" s="1958" t="s">
        <v>728</v>
      </c>
      <c r="M11" s="1958">
        <v>55</v>
      </c>
      <c r="O11" s="1958">
        <v>2567</v>
      </c>
      <c r="Q11" s="1958">
        <f t="shared" si="0"/>
        <v>2567</v>
      </c>
    </row>
    <row r="12" spans="1:17">
      <c r="A12" s="1958" t="s">
        <v>877</v>
      </c>
      <c r="B12" s="1958">
        <v>187</v>
      </c>
      <c r="C12" s="1958">
        <v>2023</v>
      </c>
      <c r="D12" s="1958">
        <v>12</v>
      </c>
      <c r="E12" s="1958">
        <v>11</v>
      </c>
      <c r="F12" s="1958">
        <v>0</v>
      </c>
      <c r="G12" s="1958" t="s">
        <v>1762</v>
      </c>
      <c r="H12" s="1958" t="s">
        <v>189</v>
      </c>
      <c r="I12" s="1958" t="s">
        <v>1706</v>
      </c>
      <c r="J12" s="1958" t="s">
        <v>728</v>
      </c>
      <c r="K12" s="1958" t="s">
        <v>728</v>
      </c>
      <c r="L12" s="1958" t="s">
        <v>728</v>
      </c>
      <c r="M12" s="1958">
        <v>62143</v>
      </c>
      <c r="O12" s="1958">
        <v>4489296</v>
      </c>
      <c r="Q12" s="1958">
        <f t="shared" si="0"/>
        <v>4489296</v>
      </c>
    </row>
    <row r="13" spans="1:17">
      <c r="A13" s="1958" t="s">
        <v>877</v>
      </c>
      <c r="B13" s="1958">
        <v>187</v>
      </c>
      <c r="C13" s="1958">
        <v>2023</v>
      </c>
      <c r="D13" s="1958">
        <v>12</v>
      </c>
      <c r="E13" s="1958">
        <v>12</v>
      </c>
      <c r="F13" s="1958">
        <v>0</v>
      </c>
      <c r="G13" s="1958" t="s">
        <v>1762</v>
      </c>
      <c r="H13" s="1958" t="s">
        <v>189</v>
      </c>
      <c r="I13" s="1958" t="s">
        <v>1706</v>
      </c>
      <c r="J13" s="1958" t="s">
        <v>728</v>
      </c>
      <c r="K13" s="1958" t="s">
        <v>728</v>
      </c>
      <c r="L13" s="1958" t="s">
        <v>728</v>
      </c>
      <c r="M13" s="1958">
        <v>121152</v>
      </c>
      <c r="O13" s="1958">
        <v>0</v>
      </c>
      <c r="Q13" s="1958">
        <f t="shared" si="0"/>
        <v>0</v>
      </c>
    </row>
    <row r="14" spans="1:17">
      <c r="A14" s="1958" t="s">
        <v>877</v>
      </c>
      <c r="B14" s="1958">
        <v>187</v>
      </c>
      <c r="C14" s="1958">
        <v>2023</v>
      </c>
      <c r="D14" s="1958">
        <v>12</v>
      </c>
      <c r="E14" s="1958">
        <v>13</v>
      </c>
      <c r="F14" s="1958">
        <v>0</v>
      </c>
      <c r="G14" s="1958" t="s">
        <v>1761</v>
      </c>
      <c r="H14" s="1958" t="s">
        <v>188</v>
      </c>
      <c r="I14" s="1958" t="s">
        <v>1716</v>
      </c>
      <c r="J14" s="1958" t="s">
        <v>728</v>
      </c>
      <c r="K14" s="1958" t="s">
        <v>728</v>
      </c>
      <c r="L14" s="1958" t="s">
        <v>728</v>
      </c>
      <c r="M14" s="1958">
        <v>16</v>
      </c>
      <c r="O14" s="1958">
        <v>1184</v>
      </c>
      <c r="Q14" s="1958">
        <f t="shared" si="0"/>
        <v>1184</v>
      </c>
    </row>
    <row r="15" spans="1:17">
      <c r="A15" s="1958" t="s">
        <v>877</v>
      </c>
      <c r="B15" s="1958">
        <v>187</v>
      </c>
      <c r="C15" s="1958">
        <v>2023</v>
      </c>
      <c r="D15" s="1958">
        <v>12</v>
      </c>
      <c r="E15" s="1958">
        <v>14</v>
      </c>
      <c r="F15" s="1958">
        <v>0</v>
      </c>
      <c r="G15" s="1958" t="s">
        <v>1760</v>
      </c>
      <c r="H15" s="1958" t="s">
        <v>190</v>
      </c>
      <c r="I15" s="1958" t="s">
        <v>1706</v>
      </c>
      <c r="J15" s="1958" t="s">
        <v>728</v>
      </c>
      <c r="K15" s="1958" t="s">
        <v>728</v>
      </c>
      <c r="L15" s="1958" t="s">
        <v>728</v>
      </c>
      <c r="M15" s="1958">
        <v>26533</v>
      </c>
      <c r="O15" s="1958">
        <v>878024</v>
      </c>
      <c r="Q15" s="1958">
        <f t="shared" si="0"/>
        <v>878024</v>
      </c>
    </row>
    <row r="16" spans="1:17">
      <c r="A16" s="1958" t="s">
        <v>877</v>
      </c>
      <c r="B16" s="1958">
        <v>187</v>
      </c>
      <c r="C16" s="1958">
        <v>2023</v>
      </c>
      <c r="D16" s="1958">
        <v>12</v>
      </c>
      <c r="E16" s="1958">
        <v>1</v>
      </c>
      <c r="F16" s="1958">
        <v>1</v>
      </c>
      <c r="G16" s="1958" t="s">
        <v>1760</v>
      </c>
      <c r="H16" s="1958" t="s">
        <v>189</v>
      </c>
      <c r="I16" s="1958" t="s">
        <v>1706</v>
      </c>
      <c r="J16" s="1958" t="s">
        <v>728</v>
      </c>
      <c r="K16" s="1958" t="s">
        <v>728</v>
      </c>
      <c r="L16" s="1958" t="s">
        <v>728</v>
      </c>
      <c r="O16" s="1958">
        <v>6169</v>
      </c>
      <c r="Q16" s="1958">
        <f t="shared" si="0"/>
        <v>6169</v>
      </c>
    </row>
    <row r="17" spans="1:17">
      <c r="A17" s="1958" t="s">
        <v>877</v>
      </c>
      <c r="B17" s="1958">
        <v>187</v>
      </c>
      <c r="C17" s="1958">
        <v>2023</v>
      </c>
      <c r="D17" s="1958">
        <v>12</v>
      </c>
      <c r="E17" s="1958">
        <v>2</v>
      </c>
      <c r="F17" s="1958">
        <v>1</v>
      </c>
      <c r="G17" s="1958" t="s">
        <v>1759</v>
      </c>
      <c r="H17" s="1958" t="s">
        <v>190</v>
      </c>
      <c r="I17" s="1958" t="s">
        <v>1706</v>
      </c>
      <c r="J17" s="1958" t="s">
        <v>728</v>
      </c>
      <c r="K17" s="1958" t="s">
        <v>728</v>
      </c>
      <c r="L17" s="1958" t="s">
        <v>728</v>
      </c>
      <c r="M17" s="1958">
        <v>75</v>
      </c>
      <c r="O17" s="1958">
        <v>2250</v>
      </c>
      <c r="Q17" s="1958">
        <f t="shared" si="0"/>
        <v>2250</v>
      </c>
    </row>
    <row r="18" spans="1:17">
      <c r="A18" s="1958" t="s">
        <v>877</v>
      </c>
      <c r="B18" s="1958">
        <v>187</v>
      </c>
      <c r="C18" s="1958">
        <v>2023</v>
      </c>
      <c r="D18" s="1958">
        <v>12</v>
      </c>
      <c r="E18" s="1958">
        <v>3</v>
      </c>
      <c r="F18" s="1958">
        <v>1</v>
      </c>
      <c r="G18" s="1958" t="s">
        <v>1759</v>
      </c>
      <c r="H18" s="1958" t="s">
        <v>189</v>
      </c>
      <c r="I18" s="1958" t="s">
        <v>1706</v>
      </c>
      <c r="J18" s="1958" t="s">
        <v>728</v>
      </c>
      <c r="K18" s="1958" t="s">
        <v>728</v>
      </c>
      <c r="L18" s="1958" t="s">
        <v>728</v>
      </c>
      <c r="M18" s="1958">
        <v>13</v>
      </c>
      <c r="O18" s="1958">
        <v>590</v>
      </c>
      <c r="Q18" s="1958">
        <f t="shared" si="0"/>
        <v>590</v>
      </c>
    </row>
    <row r="19" spans="1:17">
      <c r="A19" s="1958" t="s">
        <v>877</v>
      </c>
      <c r="B19" s="1958">
        <v>187</v>
      </c>
      <c r="C19" s="1958">
        <v>2023</v>
      </c>
      <c r="D19" s="1958">
        <v>12</v>
      </c>
      <c r="E19" s="1958">
        <v>4</v>
      </c>
      <c r="F19" s="1958">
        <v>1</v>
      </c>
      <c r="G19" s="1958" t="s">
        <v>1707</v>
      </c>
      <c r="H19" s="1958" t="s">
        <v>190</v>
      </c>
      <c r="I19" s="1958" t="s">
        <v>1706</v>
      </c>
      <c r="J19" s="1958" t="s">
        <v>728</v>
      </c>
      <c r="K19" s="1958" t="s">
        <v>728</v>
      </c>
      <c r="L19" s="1958" t="s">
        <v>728</v>
      </c>
      <c r="M19" s="1958">
        <v>4181</v>
      </c>
      <c r="O19" s="1958">
        <v>317595</v>
      </c>
      <c r="Q19" s="1958">
        <f t="shared" si="0"/>
        <v>317595</v>
      </c>
    </row>
    <row r="20" spans="1:17">
      <c r="A20" s="1958" t="s">
        <v>877</v>
      </c>
      <c r="B20" s="1958">
        <v>187</v>
      </c>
      <c r="C20" s="1958">
        <v>2023</v>
      </c>
      <c r="D20" s="1958">
        <v>12</v>
      </c>
      <c r="E20" s="1958">
        <v>5</v>
      </c>
      <c r="F20" s="1958">
        <v>1</v>
      </c>
      <c r="G20" s="1958" t="s">
        <v>1758</v>
      </c>
      <c r="H20" s="1958" t="s">
        <v>190</v>
      </c>
      <c r="I20" s="1958" t="s">
        <v>1706</v>
      </c>
      <c r="J20" s="1958" t="s">
        <v>728</v>
      </c>
      <c r="K20" s="1958" t="s">
        <v>728</v>
      </c>
      <c r="L20" s="1958" t="s">
        <v>728</v>
      </c>
      <c r="M20" s="1958">
        <v>26920</v>
      </c>
      <c r="O20" s="1958">
        <v>1900933</v>
      </c>
      <c r="Q20" s="1958">
        <f t="shared" si="0"/>
        <v>1900933</v>
      </c>
    </row>
    <row r="21" spans="1:17">
      <c r="A21" s="1958" t="s">
        <v>877</v>
      </c>
      <c r="B21" s="1958">
        <v>187</v>
      </c>
      <c r="C21" s="1958">
        <v>2023</v>
      </c>
      <c r="D21" s="1958">
        <v>12</v>
      </c>
      <c r="E21" s="1958">
        <v>6</v>
      </c>
      <c r="F21" s="1958">
        <v>1</v>
      </c>
      <c r="G21" s="1958" t="s">
        <v>1757</v>
      </c>
      <c r="H21" s="1958" t="s">
        <v>188</v>
      </c>
      <c r="I21" s="1958" t="s">
        <v>1716</v>
      </c>
      <c r="J21" s="1958" t="s">
        <v>728</v>
      </c>
      <c r="K21" s="1958" t="s">
        <v>728</v>
      </c>
      <c r="L21" s="1958" t="s">
        <v>728</v>
      </c>
      <c r="M21" s="1958">
        <v>11</v>
      </c>
      <c r="O21" s="1958">
        <v>1345</v>
      </c>
      <c r="Q21" s="1958">
        <f t="shared" si="0"/>
        <v>1345</v>
      </c>
    </row>
    <row r="22" spans="1:17">
      <c r="A22" s="1958" t="s">
        <v>877</v>
      </c>
      <c r="B22" s="1958">
        <v>187</v>
      </c>
      <c r="C22" s="1958">
        <v>2023</v>
      </c>
      <c r="D22" s="1958">
        <v>12</v>
      </c>
      <c r="E22" s="1958">
        <v>7</v>
      </c>
      <c r="F22" s="1958">
        <v>1</v>
      </c>
      <c r="G22" s="1958" t="s">
        <v>1756</v>
      </c>
      <c r="H22" s="1958" t="s">
        <v>190</v>
      </c>
      <c r="I22" s="1958" t="s">
        <v>1706</v>
      </c>
      <c r="J22" s="1958" t="s">
        <v>728</v>
      </c>
      <c r="K22" s="1958" t="s">
        <v>728</v>
      </c>
      <c r="L22" s="1958" t="s">
        <v>728</v>
      </c>
      <c r="M22" s="1958">
        <v>778</v>
      </c>
      <c r="O22" s="1958">
        <v>47061</v>
      </c>
      <c r="Q22" s="1958">
        <f t="shared" si="0"/>
        <v>47061</v>
      </c>
    </row>
    <row r="23" spans="1:17">
      <c r="A23" s="1958" t="s">
        <v>877</v>
      </c>
      <c r="B23" s="1958">
        <v>187</v>
      </c>
      <c r="C23" s="1958">
        <v>2023</v>
      </c>
      <c r="D23" s="1958">
        <v>12</v>
      </c>
      <c r="E23" s="1958">
        <v>8</v>
      </c>
      <c r="F23" s="1958">
        <v>1</v>
      </c>
      <c r="G23" s="1958" t="s">
        <v>1755</v>
      </c>
      <c r="H23" s="1958" t="s">
        <v>190</v>
      </c>
      <c r="I23" s="1958" t="s">
        <v>1706</v>
      </c>
      <c r="J23" s="1958" t="s">
        <v>728</v>
      </c>
      <c r="K23" s="1958" t="s">
        <v>728</v>
      </c>
      <c r="L23" s="1958" t="s">
        <v>728</v>
      </c>
      <c r="M23" s="1958">
        <v>53158</v>
      </c>
      <c r="O23" s="1958">
        <v>4356249</v>
      </c>
      <c r="Q23" s="1958">
        <f t="shared" si="0"/>
        <v>4356249</v>
      </c>
    </row>
    <row r="24" spans="1:17">
      <c r="A24" s="1958" t="s">
        <v>877</v>
      </c>
      <c r="B24" s="1958">
        <v>187</v>
      </c>
      <c r="C24" s="1958">
        <v>2023</v>
      </c>
      <c r="D24" s="1958">
        <v>12</v>
      </c>
      <c r="E24" s="1958">
        <v>9</v>
      </c>
      <c r="F24" s="1958">
        <v>1</v>
      </c>
      <c r="G24" s="1958" t="s">
        <v>1754</v>
      </c>
      <c r="H24" s="1958" t="s">
        <v>190</v>
      </c>
      <c r="I24" s="1958" t="s">
        <v>1706</v>
      </c>
      <c r="J24" s="1958" t="s">
        <v>728</v>
      </c>
      <c r="K24" s="1958" t="s">
        <v>728</v>
      </c>
      <c r="L24" s="1958" t="s">
        <v>728</v>
      </c>
      <c r="M24" s="1958">
        <v>31381</v>
      </c>
      <c r="O24" s="1958">
        <v>2397559</v>
      </c>
      <c r="Q24" s="1958">
        <f t="shared" si="0"/>
        <v>2397559</v>
      </c>
    </row>
    <row r="25" spans="1:17">
      <c r="A25" s="1958" t="s">
        <v>877</v>
      </c>
      <c r="B25" s="1958">
        <v>187</v>
      </c>
      <c r="C25" s="1958">
        <v>2023</v>
      </c>
      <c r="D25" s="1958">
        <v>12</v>
      </c>
      <c r="E25" s="1958">
        <v>10</v>
      </c>
      <c r="F25" s="1958">
        <v>1</v>
      </c>
      <c r="G25" s="1958" t="s">
        <v>1754</v>
      </c>
      <c r="H25" s="1958" t="s">
        <v>189</v>
      </c>
      <c r="I25" s="1958" t="s">
        <v>1706</v>
      </c>
      <c r="J25" s="1958" t="s">
        <v>728</v>
      </c>
      <c r="K25" s="1958" t="s">
        <v>728</v>
      </c>
      <c r="L25" s="1958" t="s">
        <v>728</v>
      </c>
      <c r="M25" s="1958">
        <v>72</v>
      </c>
      <c r="O25" s="1958">
        <v>555</v>
      </c>
      <c r="Q25" s="1958">
        <f t="shared" si="0"/>
        <v>555</v>
      </c>
    </row>
    <row r="26" spans="1:17">
      <c r="A26" s="1958" t="s">
        <v>877</v>
      </c>
      <c r="B26" s="1958">
        <v>187</v>
      </c>
      <c r="C26" s="1958">
        <v>2023</v>
      </c>
      <c r="D26" s="1958">
        <v>12</v>
      </c>
      <c r="E26" s="1958">
        <v>11</v>
      </c>
      <c r="F26" s="1958">
        <v>1</v>
      </c>
      <c r="G26" s="1958" t="s">
        <v>1753</v>
      </c>
      <c r="H26" s="1958" t="s">
        <v>190</v>
      </c>
      <c r="I26" s="1958" t="s">
        <v>1706</v>
      </c>
      <c r="J26" s="1958" t="s">
        <v>728</v>
      </c>
      <c r="K26" s="1958" t="s">
        <v>728</v>
      </c>
      <c r="L26" s="1958" t="s">
        <v>728</v>
      </c>
      <c r="M26" s="1958">
        <v>25561</v>
      </c>
      <c r="O26" s="1958">
        <v>2594907</v>
      </c>
      <c r="Q26" s="1958">
        <f t="shared" si="0"/>
        <v>2594907</v>
      </c>
    </row>
    <row r="27" spans="1:17">
      <c r="A27" s="1958" t="s">
        <v>877</v>
      </c>
      <c r="B27" s="1958">
        <v>187</v>
      </c>
      <c r="C27" s="1958">
        <v>2023</v>
      </c>
      <c r="D27" s="1958">
        <v>12</v>
      </c>
      <c r="E27" s="1958">
        <v>12</v>
      </c>
      <c r="F27" s="1958">
        <v>1</v>
      </c>
      <c r="G27" s="1958" t="s">
        <v>1753</v>
      </c>
      <c r="H27" s="1958" t="s">
        <v>189</v>
      </c>
      <c r="I27" s="1958" t="s">
        <v>1706</v>
      </c>
      <c r="J27" s="1958" t="s">
        <v>728</v>
      </c>
      <c r="K27" s="1958" t="s">
        <v>728</v>
      </c>
      <c r="L27" s="1958" t="s">
        <v>728</v>
      </c>
      <c r="M27" s="1958">
        <v>156</v>
      </c>
      <c r="O27" s="1958">
        <v>12898</v>
      </c>
      <c r="Q27" s="1958">
        <f t="shared" si="0"/>
        <v>12898</v>
      </c>
    </row>
    <row r="28" spans="1:17">
      <c r="A28" s="1958" t="s">
        <v>877</v>
      </c>
      <c r="B28" s="1958">
        <v>187</v>
      </c>
      <c r="C28" s="1958">
        <v>2023</v>
      </c>
      <c r="D28" s="1958">
        <v>12</v>
      </c>
      <c r="E28" s="1958">
        <v>13</v>
      </c>
      <c r="F28" s="1958">
        <v>1</v>
      </c>
      <c r="G28" s="1958" t="s">
        <v>1752</v>
      </c>
      <c r="H28" s="1958" t="s">
        <v>190</v>
      </c>
      <c r="I28" s="1958" t="s">
        <v>1706</v>
      </c>
      <c r="J28" s="1958" t="s">
        <v>728</v>
      </c>
      <c r="K28" s="1958" t="s">
        <v>728</v>
      </c>
      <c r="L28" s="1958" t="s">
        <v>728</v>
      </c>
      <c r="M28" s="1958">
        <v>10338</v>
      </c>
      <c r="O28" s="1958">
        <v>507270</v>
      </c>
      <c r="Q28" s="1958">
        <f t="shared" si="0"/>
        <v>507270</v>
      </c>
    </row>
    <row r="29" spans="1:17">
      <c r="A29" s="1958" t="s">
        <v>877</v>
      </c>
      <c r="B29" s="1958">
        <v>187</v>
      </c>
      <c r="C29" s="1958">
        <v>2023</v>
      </c>
      <c r="D29" s="1958">
        <v>12</v>
      </c>
      <c r="E29" s="1958">
        <v>14</v>
      </c>
      <c r="F29" s="1958">
        <v>1</v>
      </c>
      <c r="G29" s="1958" t="s">
        <v>1752</v>
      </c>
      <c r="H29" s="1958" t="s">
        <v>189</v>
      </c>
      <c r="I29" s="1958" t="s">
        <v>1706</v>
      </c>
      <c r="J29" s="1958" t="s">
        <v>728</v>
      </c>
      <c r="K29" s="1958" t="s">
        <v>728</v>
      </c>
      <c r="L29" s="1958" t="s">
        <v>728</v>
      </c>
      <c r="M29" s="1958">
        <v>318</v>
      </c>
      <c r="O29" s="1958">
        <v>14568</v>
      </c>
      <c r="Q29" s="1958">
        <f t="shared" si="0"/>
        <v>14568</v>
      </c>
    </row>
    <row r="30" spans="1:17">
      <c r="A30" s="1958" t="s">
        <v>877</v>
      </c>
      <c r="B30" s="1958">
        <v>187</v>
      </c>
      <c r="C30" s="1958">
        <v>2023</v>
      </c>
      <c r="D30" s="1958">
        <v>12</v>
      </c>
      <c r="E30" s="1958">
        <v>1</v>
      </c>
      <c r="F30" s="1958">
        <v>2</v>
      </c>
      <c r="G30" s="1958" t="s">
        <v>1752</v>
      </c>
      <c r="H30" s="1958" t="s">
        <v>190</v>
      </c>
      <c r="I30" s="1958" t="s">
        <v>1706</v>
      </c>
      <c r="J30" s="1958" t="s">
        <v>728</v>
      </c>
      <c r="K30" s="1958" t="s">
        <v>728</v>
      </c>
      <c r="L30" s="1958" t="s">
        <v>728</v>
      </c>
      <c r="M30" s="1958">
        <v>0</v>
      </c>
      <c r="N30" s="1958">
        <v>760</v>
      </c>
      <c r="Q30" s="1958">
        <f t="shared" si="0"/>
        <v>760</v>
      </c>
    </row>
    <row r="31" spans="1:17">
      <c r="A31" s="1958" t="s">
        <v>877</v>
      </c>
      <c r="B31" s="1958">
        <v>187</v>
      </c>
      <c r="C31" s="1958">
        <v>2023</v>
      </c>
      <c r="D31" s="1958">
        <v>12</v>
      </c>
      <c r="E31" s="1958">
        <v>2</v>
      </c>
      <c r="F31" s="1958">
        <v>2</v>
      </c>
      <c r="G31" s="1958" t="s">
        <v>1751</v>
      </c>
      <c r="H31" s="1958" t="s">
        <v>190</v>
      </c>
      <c r="I31" s="1958" t="s">
        <v>1706</v>
      </c>
      <c r="J31" s="1958" t="s">
        <v>728</v>
      </c>
      <c r="K31" s="1958" t="s">
        <v>728</v>
      </c>
      <c r="L31" s="1958" t="s">
        <v>728</v>
      </c>
      <c r="M31" s="1958">
        <v>13885</v>
      </c>
      <c r="O31" s="1958">
        <v>1070835</v>
      </c>
      <c r="Q31" s="1958">
        <f t="shared" si="0"/>
        <v>1070835</v>
      </c>
    </row>
    <row r="32" spans="1:17">
      <c r="A32" s="1958" t="s">
        <v>877</v>
      </c>
      <c r="B32" s="1958">
        <v>187</v>
      </c>
      <c r="C32" s="1958">
        <v>2023</v>
      </c>
      <c r="D32" s="1958">
        <v>12</v>
      </c>
      <c r="E32" s="1958">
        <v>3</v>
      </c>
      <c r="F32" s="1958">
        <v>2</v>
      </c>
      <c r="G32" s="1958" t="s">
        <v>1751</v>
      </c>
      <c r="H32" s="1958" t="s">
        <v>188</v>
      </c>
      <c r="I32" s="1958" t="s">
        <v>1706</v>
      </c>
      <c r="J32" s="1958" t="s">
        <v>728</v>
      </c>
      <c r="K32" s="1958" t="s">
        <v>728</v>
      </c>
      <c r="L32" s="1958" t="s">
        <v>728</v>
      </c>
      <c r="M32" s="1958">
        <v>975</v>
      </c>
      <c r="O32" s="1958">
        <v>71551</v>
      </c>
      <c r="Q32" s="1958">
        <f t="shared" si="0"/>
        <v>71551</v>
      </c>
    </row>
    <row r="33" spans="1:17">
      <c r="A33" s="1958" t="s">
        <v>877</v>
      </c>
      <c r="B33" s="1958">
        <v>187</v>
      </c>
      <c r="C33" s="1958">
        <v>2023</v>
      </c>
      <c r="D33" s="1958">
        <v>12</v>
      </c>
      <c r="E33" s="1958">
        <v>4</v>
      </c>
      <c r="F33" s="1958">
        <v>2</v>
      </c>
      <c r="G33" s="1958" t="s">
        <v>1750</v>
      </c>
      <c r="H33" s="1958" t="s">
        <v>190</v>
      </c>
      <c r="I33" s="1958" t="s">
        <v>1706</v>
      </c>
      <c r="J33" s="1958" t="s">
        <v>728</v>
      </c>
      <c r="K33" s="1958" t="s">
        <v>728</v>
      </c>
      <c r="L33" s="1958" t="s">
        <v>728</v>
      </c>
      <c r="M33" s="1958">
        <v>4011</v>
      </c>
      <c r="O33" s="1958">
        <v>316902</v>
      </c>
      <c r="Q33" s="1958">
        <f t="shared" si="0"/>
        <v>316902</v>
      </c>
    </row>
    <row r="34" spans="1:17">
      <c r="A34" s="1958" t="s">
        <v>877</v>
      </c>
      <c r="B34" s="1958">
        <v>187</v>
      </c>
      <c r="C34" s="1958">
        <v>2023</v>
      </c>
      <c r="D34" s="1958">
        <v>12</v>
      </c>
      <c r="E34" s="1958">
        <v>5</v>
      </c>
      <c r="F34" s="1958">
        <v>2</v>
      </c>
      <c r="G34" s="1958" t="s">
        <v>1749</v>
      </c>
      <c r="H34" s="1958" t="s">
        <v>190</v>
      </c>
      <c r="I34" s="1958" t="s">
        <v>1706</v>
      </c>
      <c r="J34" s="1958" t="s">
        <v>728</v>
      </c>
      <c r="K34" s="1958" t="s">
        <v>728</v>
      </c>
      <c r="L34" s="1958" t="s">
        <v>728</v>
      </c>
      <c r="M34" s="1958">
        <v>4</v>
      </c>
      <c r="O34" s="1958">
        <v>0</v>
      </c>
      <c r="Q34" s="1958">
        <f t="shared" ref="Q34:Q65" si="1">SUM(N34:P34)</f>
        <v>0</v>
      </c>
    </row>
    <row r="35" spans="1:17">
      <c r="A35" s="1958" t="s">
        <v>877</v>
      </c>
      <c r="B35" s="1958">
        <v>187</v>
      </c>
      <c r="C35" s="1958">
        <v>2023</v>
      </c>
      <c r="D35" s="1958">
        <v>12</v>
      </c>
      <c r="E35" s="1958">
        <v>6</v>
      </c>
      <c r="F35" s="1958">
        <v>2</v>
      </c>
      <c r="G35" s="1958" t="s">
        <v>1748</v>
      </c>
      <c r="H35" s="1958" t="s">
        <v>188</v>
      </c>
      <c r="I35" s="1958" t="s">
        <v>1716</v>
      </c>
      <c r="J35" s="1958" t="s">
        <v>728</v>
      </c>
      <c r="K35" s="1958" t="s">
        <v>728</v>
      </c>
      <c r="L35" s="1958" t="s">
        <v>728</v>
      </c>
      <c r="M35" s="1958">
        <v>18</v>
      </c>
      <c r="O35" s="1958">
        <v>983</v>
      </c>
      <c r="Q35" s="1958">
        <f t="shared" si="1"/>
        <v>983</v>
      </c>
    </row>
    <row r="36" spans="1:17">
      <c r="A36" s="1958" t="s">
        <v>877</v>
      </c>
      <c r="B36" s="1958">
        <v>187</v>
      </c>
      <c r="C36" s="1958">
        <v>2023</v>
      </c>
      <c r="D36" s="1958">
        <v>12</v>
      </c>
      <c r="E36" s="1958">
        <v>7</v>
      </c>
      <c r="F36" s="1958">
        <v>2</v>
      </c>
      <c r="G36" s="1958" t="s">
        <v>1747</v>
      </c>
      <c r="H36" s="1958" t="s">
        <v>188</v>
      </c>
      <c r="I36" s="1958" t="s">
        <v>1716</v>
      </c>
      <c r="J36" s="1958" t="s">
        <v>728</v>
      </c>
      <c r="K36" s="1958" t="s">
        <v>728</v>
      </c>
      <c r="L36" s="1958" t="s">
        <v>728</v>
      </c>
      <c r="M36" s="1958">
        <v>447</v>
      </c>
      <c r="O36" s="1958">
        <v>34708</v>
      </c>
      <c r="Q36" s="1958">
        <f t="shared" si="1"/>
        <v>34708</v>
      </c>
    </row>
    <row r="37" spans="1:17">
      <c r="A37" s="1958" t="s">
        <v>877</v>
      </c>
      <c r="B37" s="1958">
        <v>187</v>
      </c>
      <c r="C37" s="1958">
        <v>2023</v>
      </c>
      <c r="D37" s="1958">
        <v>12</v>
      </c>
      <c r="E37" s="1958">
        <v>8</v>
      </c>
      <c r="F37" s="1958">
        <v>2</v>
      </c>
      <c r="G37" s="1958" t="s">
        <v>1746</v>
      </c>
      <c r="H37" s="1958" t="s">
        <v>190</v>
      </c>
      <c r="I37" s="1958" t="s">
        <v>1706</v>
      </c>
      <c r="J37" s="1958" t="s">
        <v>728</v>
      </c>
      <c r="K37" s="1958" t="s">
        <v>728</v>
      </c>
      <c r="L37" s="1958" t="s">
        <v>728</v>
      </c>
      <c r="M37" s="1958">
        <v>4049</v>
      </c>
      <c r="O37" s="1958">
        <v>305097</v>
      </c>
      <c r="Q37" s="1958">
        <f t="shared" si="1"/>
        <v>305097</v>
      </c>
    </row>
    <row r="38" spans="1:17">
      <c r="A38" s="1958" t="s">
        <v>877</v>
      </c>
      <c r="B38" s="1958">
        <v>187</v>
      </c>
      <c r="C38" s="1958">
        <v>2023</v>
      </c>
      <c r="D38" s="1958">
        <v>12</v>
      </c>
      <c r="E38" s="1958">
        <v>9</v>
      </c>
      <c r="F38" s="1958">
        <v>2</v>
      </c>
      <c r="G38" s="1958" t="s">
        <v>1746</v>
      </c>
      <c r="H38" s="1958" t="s">
        <v>189</v>
      </c>
      <c r="I38" s="1958" t="s">
        <v>1706</v>
      </c>
      <c r="J38" s="1958" t="s">
        <v>728</v>
      </c>
      <c r="K38" s="1958" t="s">
        <v>728</v>
      </c>
      <c r="L38" s="1958" t="s">
        <v>728</v>
      </c>
      <c r="M38" s="1958">
        <v>6565</v>
      </c>
      <c r="O38" s="1958">
        <v>622414</v>
      </c>
      <c r="Q38" s="1958">
        <f t="shared" si="1"/>
        <v>622414</v>
      </c>
    </row>
    <row r="39" spans="1:17">
      <c r="A39" s="1958" t="s">
        <v>877</v>
      </c>
      <c r="B39" s="1958">
        <v>187</v>
      </c>
      <c r="C39" s="1958">
        <v>2023</v>
      </c>
      <c r="D39" s="1958">
        <v>12</v>
      </c>
      <c r="E39" s="1958">
        <v>10</v>
      </c>
      <c r="F39" s="1958">
        <v>2</v>
      </c>
      <c r="G39" s="1958" t="s">
        <v>1745</v>
      </c>
      <c r="H39" s="1958" t="s">
        <v>190</v>
      </c>
      <c r="I39" s="1958" t="s">
        <v>1706</v>
      </c>
      <c r="J39" s="1958" t="s">
        <v>728</v>
      </c>
      <c r="K39" s="1958" t="s">
        <v>728</v>
      </c>
      <c r="L39" s="1958" t="s">
        <v>728</v>
      </c>
      <c r="M39" s="1958">
        <v>75</v>
      </c>
      <c r="O39" s="1958">
        <v>7500</v>
      </c>
      <c r="Q39" s="1958">
        <f t="shared" si="1"/>
        <v>7500</v>
      </c>
    </row>
    <row r="40" spans="1:17">
      <c r="A40" s="1958" t="s">
        <v>877</v>
      </c>
      <c r="B40" s="1958">
        <v>187</v>
      </c>
      <c r="C40" s="1958">
        <v>2023</v>
      </c>
      <c r="D40" s="1958">
        <v>12</v>
      </c>
      <c r="E40" s="1958">
        <v>11</v>
      </c>
      <c r="F40" s="1958">
        <v>2</v>
      </c>
      <c r="G40" s="1958" t="s">
        <v>1744</v>
      </c>
      <c r="H40" s="1958" t="s">
        <v>190</v>
      </c>
      <c r="I40" s="1958" t="s">
        <v>1706</v>
      </c>
      <c r="J40" s="1958" t="s">
        <v>728</v>
      </c>
      <c r="K40" s="1958" t="s">
        <v>728</v>
      </c>
      <c r="L40" s="1958" t="s">
        <v>728</v>
      </c>
      <c r="M40" s="1958">
        <v>275</v>
      </c>
      <c r="O40" s="1958">
        <v>34200</v>
      </c>
      <c r="Q40" s="1958">
        <f t="shared" si="1"/>
        <v>34200</v>
      </c>
    </row>
    <row r="41" spans="1:17">
      <c r="A41" s="1958" t="s">
        <v>877</v>
      </c>
      <c r="B41" s="1958">
        <v>187</v>
      </c>
      <c r="C41" s="1958">
        <v>2023</v>
      </c>
      <c r="D41" s="1958">
        <v>12</v>
      </c>
      <c r="E41" s="1958">
        <v>12</v>
      </c>
      <c r="F41" s="1958">
        <v>2</v>
      </c>
      <c r="G41" s="1958" t="s">
        <v>1744</v>
      </c>
      <c r="H41" s="1958" t="s">
        <v>188</v>
      </c>
      <c r="I41" s="1958" t="s">
        <v>1716</v>
      </c>
      <c r="J41" s="1958" t="s">
        <v>728</v>
      </c>
      <c r="K41" s="1958" t="s">
        <v>728</v>
      </c>
      <c r="L41" s="1958" t="s">
        <v>728</v>
      </c>
      <c r="M41" s="1958">
        <v>43</v>
      </c>
      <c r="O41" s="1958">
        <v>2240</v>
      </c>
      <c r="Q41" s="1958">
        <f t="shared" si="1"/>
        <v>2240</v>
      </c>
    </row>
    <row r="42" spans="1:17">
      <c r="A42" s="1958" t="s">
        <v>877</v>
      </c>
      <c r="B42" s="1958">
        <v>187</v>
      </c>
      <c r="C42" s="1958">
        <v>2023</v>
      </c>
      <c r="D42" s="1958">
        <v>12</v>
      </c>
      <c r="E42" s="1958">
        <v>13</v>
      </c>
      <c r="F42" s="1958">
        <v>2</v>
      </c>
      <c r="G42" s="1958" t="s">
        <v>1744</v>
      </c>
      <c r="H42" s="1958" t="s">
        <v>188</v>
      </c>
      <c r="I42" s="1958" t="s">
        <v>1706</v>
      </c>
      <c r="J42" s="1958" t="s">
        <v>728</v>
      </c>
      <c r="K42" s="1958" t="s">
        <v>728</v>
      </c>
      <c r="L42" s="1958" t="s">
        <v>728</v>
      </c>
      <c r="M42" s="1958">
        <v>2</v>
      </c>
      <c r="O42" s="1958">
        <v>114</v>
      </c>
      <c r="Q42" s="1958">
        <f t="shared" si="1"/>
        <v>114</v>
      </c>
    </row>
    <row r="43" spans="1:17">
      <c r="A43" s="1958" t="s">
        <v>877</v>
      </c>
      <c r="B43" s="1958">
        <v>187</v>
      </c>
      <c r="C43" s="1958">
        <v>2023</v>
      </c>
      <c r="D43" s="1958">
        <v>12</v>
      </c>
      <c r="E43" s="1958">
        <v>14</v>
      </c>
      <c r="F43" s="1958">
        <v>2</v>
      </c>
      <c r="G43" s="1958" t="s">
        <v>1743</v>
      </c>
      <c r="H43" s="1958" t="s">
        <v>190</v>
      </c>
      <c r="I43" s="1958" t="s">
        <v>1706</v>
      </c>
      <c r="J43" s="1958" t="s">
        <v>728</v>
      </c>
      <c r="K43" s="1958" t="s">
        <v>728</v>
      </c>
      <c r="L43" s="1958" t="s">
        <v>728</v>
      </c>
      <c r="M43" s="1958">
        <v>400</v>
      </c>
      <c r="O43" s="1958">
        <v>21100</v>
      </c>
      <c r="Q43" s="1958">
        <f t="shared" si="1"/>
        <v>21100</v>
      </c>
    </row>
    <row r="44" spans="1:17">
      <c r="A44" s="1958" t="s">
        <v>877</v>
      </c>
      <c r="B44" s="1958">
        <v>187</v>
      </c>
      <c r="C44" s="1958">
        <v>2023</v>
      </c>
      <c r="D44" s="1958">
        <v>12</v>
      </c>
      <c r="E44" s="1958">
        <v>1</v>
      </c>
      <c r="F44" s="1958">
        <v>3</v>
      </c>
      <c r="G44" s="1958" t="s">
        <v>1743</v>
      </c>
      <c r="H44" s="1958" t="s">
        <v>188</v>
      </c>
      <c r="I44" s="1958" t="s">
        <v>1706</v>
      </c>
      <c r="J44" s="1958" t="s">
        <v>728</v>
      </c>
      <c r="K44" s="1958" t="s">
        <v>728</v>
      </c>
      <c r="L44" s="1958" t="s">
        <v>728</v>
      </c>
      <c r="M44" s="1958">
        <v>10121</v>
      </c>
      <c r="O44" s="1958">
        <v>857956</v>
      </c>
      <c r="Q44" s="1958">
        <f t="shared" si="1"/>
        <v>857956</v>
      </c>
    </row>
    <row r="45" spans="1:17">
      <c r="A45" s="1958" t="s">
        <v>877</v>
      </c>
      <c r="B45" s="1958">
        <v>187</v>
      </c>
      <c r="C45" s="1958">
        <v>2023</v>
      </c>
      <c r="D45" s="1958">
        <v>12</v>
      </c>
      <c r="E45" s="1958">
        <v>2</v>
      </c>
      <c r="F45" s="1958">
        <v>3</v>
      </c>
      <c r="G45" s="1958" t="s">
        <v>1743</v>
      </c>
      <c r="H45" s="1958" t="s">
        <v>189</v>
      </c>
      <c r="I45" s="1958" t="s">
        <v>1706</v>
      </c>
      <c r="J45" s="1958" t="s">
        <v>728</v>
      </c>
      <c r="K45" s="1958" t="s">
        <v>728</v>
      </c>
      <c r="L45" s="1958" t="s">
        <v>728</v>
      </c>
      <c r="M45" s="1958">
        <v>255</v>
      </c>
      <c r="O45" s="1958">
        <v>0</v>
      </c>
      <c r="Q45" s="1958">
        <f t="shared" si="1"/>
        <v>0</v>
      </c>
    </row>
    <row r="46" spans="1:17">
      <c r="A46" s="1958" t="s">
        <v>877</v>
      </c>
      <c r="B46" s="1958">
        <v>187</v>
      </c>
      <c r="C46" s="1958">
        <v>2023</v>
      </c>
      <c r="D46" s="1958">
        <v>12</v>
      </c>
      <c r="E46" s="1958">
        <v>3</v>
      </c>
      <c r="F46" s="1958">
        <v>3</v>
      </c>
      <c r="G46" s="1958" t="s">
        <v>1743</v>
      </c>
      <c r="H46" s="1958" t="s">
        <v>189</v>
      </c>
      <c r="I46" s="1958" t="s">
        <v>1706</v>
      </c>
      <c r="J46" s="1958" t="s">
        <v>728</v>
      </c>
      <c r="K46" s="1958" t="s">
        <v>728</v>
      </c>
      <c r="L46" s="1958" t="s">
        <v>728</v>
      </c>
      <c r="M46" s="1958">
        <v>86718</v>
      </c>
      <c r="O46" s="1958">
        <v>0</v>
      </c>
      <c r="Q46" s="1958">
        <f t="shared" si="1"/>
        <v>0</v>
      </c>
    </row>
    <row r="47" spans="1:17">
      <c r="A47" s="1958" t="s">
        <v>877</v>
      </c>
      <c r="B47" s="1958">
        <v>187</v>
      </c>
      <c r="C47" s="1958">
        <v>2023</v>
      </c>
      <c r="D47" s="1958">
        <v>12</v>
      </c>
      <c r="E47" s="1958">
        <v>4</v>
      </c>
      <c r="F47" s="1958">
        <v>3</v>
      </c>
      <c r="G47" s="1958" t="s">
        <v>1743</v>
      </c>
      <c r="H47" s="1958" t="s">
        <v>189</v>
      </c>
      <c r="I47" s="1958" t="s">
        <v>1706</v>
      </c>
      <c r="J47" s="1958" t="s">
        <v>728</v>
      </c>
      <c r="K47" s="1958" t="s">
        <v>728</v>
      </c>
      <c r="L47" s="1958" t="s">
        <v>728</v>
      </c>
      <c r="M47" s="1958">
        <v>121002</v>
      </c>
      <c r="O47" s="1958">
        <v>0</v>
      </c>
      <c r="Q47" s="1958">
        <f t="shared" si="1"/>
        <v>0</v>
      </c>
    </row>
    <row r="48" spans="1:17">
      <c r="A48" s="1958" t="s">
        <v>877</v>
      </c>
      <c r="B48" s="1958">
        <v>187</v>
      </c>
      <c r="C48" s="1958">
        <v>2023</v>
      </c>
      <c r="D48" s="1958">
        <v>12</v>
      </c>
      <c r="E48" s="1958">
        <v>5</v>
      </c>
      <c r="F48" s="1958">
        <v>3</v>
      </c>
      <c r="G48" s="1958" t="s">
        <v>1742</v>
      </c>
      <c r="H48" s="1958" t="s">
        <v>190</v>
      </c>
      <c r="I48" s="1958" t="s">
        <v>1706</v>
      </c>
      <c r="J48" s="1958" t="s">
        <v>728</v>
      </c>
      <c r="K48" s="1958" t="s">
        <v>728</v>
      </c>
      <c r="L48" s="1958" t="s">
        <v>728</v>
      </c>
      <c r="M48" s="1958">
        <v>274</v>
      </c>
      <c r="O48" s="1958">
        <v>31535</v>
      </c>
      <c r="Q48" s="1958">
        <f t="shared" si="1"/>
        <v>31535</v>
      </c>
    </row>
    <row r="49" spans="1:17">
      <c r="A49" s="1958" t="s">
        <v>877</v>
      </c>
      <c r="B49" s="1958">
        <v>187</v>
      </c>
      <c r="C49" s="1958">
        <v>2023</v>
      </c>
      <c r="D49" s="1958">
        <v>12</v>
      </c>
      <c r="E49" s="1958">
        <v>6</v>
      </c>
      <c r="F49" s="1958">
        <v>3</v>
      </c>
      <c r="G49" s="1958" t="s">
        <v>1741</v>
      </c>
      <c r="H49" s="1958" t="s">
        <v>189</v>
      </c>
      <c r="I49" s="1958" t="s">
        <v>1706</v>
      </c>
      <c r="J49" s="1958" t="s">
        <v>728</v>
      </c>
      <c r="K49" s="1958" t="s">
        <v>728</v>
      </c>
      <c r="L49" s="1958" t="s">
        <v>728</v>
      </c>
      <c r="M49" s="1958">
        <v>495</v>
      </c>
      <c r="O49" s="1958">
        <v>30636</v>
      </c>
      <c r="Q49" s="1958">
        <f t="shared" si="1"/>
        <v>30636</v>
      </c>
    </row>
    <row r="50" spans="1:17">
      <c r="A50" s="1958" t="s">
        <v>877</v>
      </c>
      <c r="B50" s="1958">
        <v>187</v>
      </c>
      <c r="C50" s="1958">
        <v>2023</v>
      </c>
      <c r="D50" s="1958">
        <v>12</v>
      </c>
      <c r="E50" s="1958">
        <v>7</v>
      </c>
      <c r="F50" s="1958">
        <v>3</v>
      </c>
      <c r="G50" s="1958" t="s">
        <v>1740</v>
      </c>
      <c r="H50" s="1958" t="s">
        <v>190</v>
      </c>
      <c r="I50" s="1958" t="s">
        <v>1706</v>
      </c>
      <c r="J50" s="1958" t="s">
        <v>728</v>
      </c>
      <c r="K50" s="1958" t="s">
        <v>728</v>
      </c>
      <c r="L50" s="1958" t="s">
        <v>728</v>
      </c>
      <c r="M50" s="1958">
        <v>36392</v>
      </c>
      <c r="O50" s="1958">
        <v>1982419</v>
      </c>
      <c r="Q50" s="1958">
        <f t="shared" si="1"/>
        <v>1982419</v>
      </c>
    </row>
    <row r="51" spans="1:17">
      <c r="A51" s="1958" t="s">
        <v>877</v>
      </c>
      <c r="B51" s="1958">
        <v>187</v>
      </c>
      <c r="C51" s="1958">
        <v>2023</v>
      </c>
      <c r="D51" s="1958">
        <v>12</v>
      </c>
      <c r="E51" s="1958">
        <v>8</v>
      </c>
      <c r="F51" s="1958">
        <v>3</v>
      </c>
      <c r="G51" s="1958" t="s">
        <v>1740</v>
      </c>
      <c r="H51" s="1958" t="s">
        <v>188</v>
      </c>
      <c r="I51" s="1958" t="s">
        <v>1706</v>
      </c>
      <c r="J51" s="1958" t="s">
        <v>728</v>
      </c>
      <c r="K51" s="1958" t="s">
        <v>728</v>
      </c>
      <c r="L51" s="1958" t="s">
        <v>728</v>
      </c>
      <c r="M51" s="1958">
        <v>1460</v>
      </c>
      <c r="O51" s="1958">
        <v>183751</v>
      </c>
      <c r="Q51" s="1958">
        <f t="shared" si="1"/>
        <v>183751</v>
      </c>
    </row>
    <row r="52" spans="1:17">
      <c r="A52" s="1958" t="s">
        <v>877</v>
      </c>
      <c r="B52" s="1958">
        <v>187</v>
      </c>
      <c r="C52" s="1958">
        <v>2023</v>
      </c>
      <c r="D52" s="1958">
        <v>12</v>
      </c>
      <c r="E52" s="1958">
        <v>9</v>
      </c>
      <c r="F52" s="1958">
        <v>3</v>
      </c>
      <c r="G52" s="1958" t="s">
        <v>1739</v>
      </c>
      <c r="H52" s="1958" t="s">
        <v>189</v>
      </c>
      <c r="I52" s="1958" t="s">
        <v>1706</v>
      </c>
      <c r="J52" s="1958" t="s">
        <v>728</v>
      </c>
      <c r="K52" s="1958" t="s">
        <v>728</v>
      </c>
      <c r="L52" s="1958" t="s">
        <v>728</v>
      </c>
      <c r="M52" s="1958">
        <v>249</v>
      </c>
      <c r="O52" s="1958">
        <v>19071</v>
      </c>
      <c r="Q52" s="1958">
        <f t="shared" si="1"/>
        <v>19071</v>
      </c>
    </row>
    <row r="53" spans="1:17">
      <c r="A53" s="1958" t="s">
        <v>877</v>
      </c>
      <c r="B53" s="1958">
        <v>187</v>
      </c>
      <c r="C53" s="1958">
        <v>2023</v>
      </c>
      <c r="D53" s="1958">
        <v>12</v>
      </c>
      <c r="E53" s="1958">
        <v>10</v>
      </c>
      <c r="F53" s="1958">
        <v>3</v>
      </c>
      <c r="G53" s="1958" t="s">
        <v>1739</v>
      </c>
      <c r="H53" s="1958" t="s">
        <v>190</v>
      </c>
      <c r="I53" s="1958" t="s">
        <v>1706</v>
      </c>
      <c r="J53" s="1958" t="s">
        <v>728</v>
      </c>
      <c r="K53" s="1958" t="s">
        <v>728</v>
      </c>
      <c r="L53" s="1958" t="s">
        <v>728</v>
      </c>
      <c r="M53" s="1958">
        <v>14000</v>
      </c>
      <c r="O53" s="1958">
        <v>1423100</v>
      </c>
      <c r="Q53" s="1958">
        <f t="shared" si="1"/>
        <v>1423100</v>
      </c>
    </row>
    <row r="54" spans="1:17">
      <c r="A54" s="1958" t="s">
        <v>877</v>
      </c>
      <c r="B54" s="1958">
        <v>187</v>
      </c>
      <c r="C54" s="1958">
        <v>2023</v>
      </c>
      <c r="D54" s="1958">
        <v>12</v>
      </c>
      <c r="E54" s="1958">
        <v>11</v>
      </c>
      <c r="F54" s="1958">
        <v>3</v>
      </c>
      <c r="G54" s="1958" t="s">
        <v>1738</v>
      </c>
      <c r="H54" s="1958" t="s">
        <v>193</v>
      </c>
      <c r="I54" s="1958" t="s">
        <v>195</v>
      </c>
      <c r="J54" s="1958" t="s">
        <v>728</v>
      </c>
      <c r="K54" s="1958" t="s">
        <v>728</v>
      </c>
      <c r="L54" s="1958" t="s">
        <v>728</v>
      </c>
      <c r="M54" s="1958">
        <v>0</v>
      </c>
      <c r="P54" s="1958">
        <v>11931625</v>
      </c>
      <c r="Q54" s="1958">
        <f t="shared" si="1"/>
        <v>11931625</v>
      </c>
    </row>
    <row r="55" spans="1:17">
      <c r="A55" s="1958" t="s">
        <v>877</v>
      </c>
      <c r="B55" s="1958">
        <v>187</v>
      </c>
      <c r="C55" s="1958">
        <v>2023</v>
      </c>
      <c r="D55" s="1958">
        <v>12</v>
      </c>
      <c r="E55" s="1958">
        <v>12</v>
      </c>
      <c r="F55" s="1958">
        <v>3</v>
      </c>
      <c r="G55" s="1958" t="s">
        <v>1737</v>
      </c>
      <c r="H55" s="1958" t="s">
        <v>190</v>
      </c>
      <c r="I55" s="1958" t="s">
        <v>1706</v>
      </c>
      <c r="J55" s="1958" t="s">
        <v>728</v>
      </c>
      <c r="K55" s="1958" t="s">
        <v>728</v>
      </c>
      <c r="L55" s="1958" t="s">
        <v>728</v>
      </c>
      <c r="M55" s="1958">
        <v>386264</v>
      </c>
      <c r="O55" s="1958">
        <v>19059884</v>
      </c>
      <c r="Q55" s="1958">
        <f t="shared" si="1"/>
        <v>19059884</v>
      </c>
    </row>
    <row r="56" spans="1:17">
      <c r="A56" s="1958" t="s">
        <v>877</v>
      </c>
      <c r="B56" s="1958">
        <v>187</v>
      </c>
      <c r="C56" s="1958">
        <v>2023</v>
      </c>
      <c r="D56" s="1958">
        <v>12</v>
      </c>
      <c r="E56" s="1958">
        <v>13</v>
      </c>
      <c r="F56" s="1958">
        <v>3</v>
      </c>
      <c r="G56" s="1958" t="s">
        <v>1737</v>
      </c>
      <c r="H56" s="1958" t="s">
        <v>188</v>
      </c>
      <c r="I56" s="1958" t="s">
        <v>1706</v>
      </c>
      <c r="J56" s="1958" t="s">
        <v>728</v>
      </c>
      <c r="K56" s="1958" t="s">
        <v>728</v>
      </c>
      <c r="L56" s="1958" t="s">
        <v>728</v>
      </c>
      <c r="M56" s="1958">
        <v>5367</v>
      </c>
      <c r="O56" s="1958">
        <v>424104</v>
      </c>
      <c r="Q56" s="1958">
        <f t="shared" si="1"/>
        <v>424104</v>
      </c>
    </row>
    <row r="57" spans="1:17">
      <c r="A57" s="1958" t="s">
        <v>877</v>
      </c>
      <c r="B57" s="1958">
        <v>187</v>
      </c>
      <c r="C57" s="1958">
        <v>2023</v>
      </c>
      <c r="D57" s="1958">
        <v>12</v>
      </c>
      <c r="E57" s="1958">
        <v>14</v>
      </c>
      <c r="F57" s="1958">
        <v>3</v>
      </c>
      <c r="G57" s="1958" t="s">
        <v>1737</v>
      </c>
      <c r="H57" s="1958" t="s">
        <v>189</v>
      </c>
      <c r="I57" s="1958" t="s">
        <v>1706</v>
      </c>
      <c r="J57" s="1958" t="s">
        <v>728</v>
      </c>
      <c r="K57" s="1958" t="s">
        <v>728</v>
      </c>
      <c r="L57" s="1958" t="s">
        <v>728</v>
      </c>
      <c r="M57" s="1958">
        <v>365097</v>
      </c>
      <c r="O57" s="1958">
        <v>25049365</v>
      </c>
      <c r="Q57" s="1958">
        <f t="shared" si="1"/>
        <v>25049365</v>
      </c>
    </row>
    <row r="58" spans="1:17">
      <c r="A58" s="1958" t="s">
        <v>877</v>
      </c>
      <c r="B58" s="1958">
        <v>187</v>
      </c>
      <c r="C58" s="1958">
        <v>2023</v>
      </c>
      <c r="D58" s="1958">
        <v>12</v>
      </c>
      <c r="E58" s="1958">
        <v>1</v>
      </c>
      <c r="F58" s="1958">
        <v>4</v>
      </c>
      <c r="G58" s="1958" t="s">
        <v>1736</v>
      </c>
      <c r="H58" s="1958" t="s">
        <v>190</v>
      </c>
      <c r="I58" s="1958" t="s">
        <v>1706</v>
      </c>
      <c r="J58" s="1958" t="s">
        <v>728</v>
      </c>
      <c r="K58" s="1958" t="s">
        <v>728</v>
      </c>
      <c r="L58" s="1958" t="s">
        <v>728</v>
      </c>
      <c r="M58" s="1958">
        <v>0</v>
      </c>
      <c r="N58" s="1958">
        <v>275940</v>
      </c>
      <c r="Q58" s="1958">
        <f t="shared" si="1"/>
        <v>275940</v>
      </c>
    </row>
    <row r="59" spans="1:17">
      <c r="A59" s="1958" t="s">
        <v>877</v>
      </c>
      <c r="B59" s="1958">
        <v>187</v>
      </c>
      <c r="C59" s="1958">
        <v>2023</v>
      </c>
      <c r="D59" s="1958">
        <v>12</v>
      </c>
      <c r="E59" s="1958">
        <v>2</v>
      </c>
      <c r="F59" s="1958">
        <v>4</v>
      </c>
      <c r="G59" s="1958" t="s">
        <v>1736</v>
      </c>
      <c r="H59" s="1958" t="s">
        <v>190</v>
      </c>
      <c r="I59" s="1958" t="s">
        <v>1706</v>
      </c>
      <c r="J59" s="1958" t="s">
        <v>728</v>
      </c>
      <c r="K59" s="1958" t="s">
        <v>728</v>
      </c>
      <c r="L59" s="1958" t="s">
        <v>728</v>
      </c>
      <c r="M59" s="1958">
        <v>0</v>
      </c>
      <c r="N59" s="1958">
        <v>275940</v>
      </c>
      <c r="Q59" s="1958">
        <f t="shared" si="1"/>
        <v>275940</v>
      </c>
    </row>
    <row r="60" spans="1:17">
      <c r="A60" s="1958" t="s">
        <v>877</v>
      </c>
      <c r="B60" s="1958">
        <v>187</v>
      </c>
      <c r="C60" s="1958">
        <v>2023</v>
      </c>
      <c r="D60" s="1958">
        <v>12</v>
      </c>
      <c r="E60" s="1958">
        <v>3</v>
      </c>
      <c r="F60" s="1958">
        <v>4</v>
      </c>
      <c r="G60" s="1958" t="s">
        <v>1735</v>
      </c>
      <c r="H60" s="1958" t="s">
        <v>188</v>
      </c>
      <c r="I60" s="1958" t="s">
        <v>1716</v>
      </c>
      <c r="J60" s="1958" t="s">
        <v>728</v>
      </c>
      <c r="K60" s="1958" t="s">
        <v>728</v>
      </c>
      <c r="L60" s="1958" t="s">
        <v>728</v>
      </c>
      <c r="M60" s="1958">
        <v>25</v>
      </c>
      <c r="O60" s="1958">
        <v>1775</v>
      </c>
      <c r="Q60" s="1958">
        <f t="shared" si="1"/>
        <v>1775</v>
      </c>
    </row>
    <row r="61" spans="1:17">
      <c r="A61" s="1958" t="s">
        <v>877</v>
      </c>
      <c r="B61" s="1958">
        <v>187</v>
      </c>
      <c r="C61" s="1958">
        <v>2023</v>
      </c>
      <c r="D61" s="1958">
        <v>12</v>
      </c>
      <c r="E61" s="1958">
        <v>4</v>
      </c>
      <c r="F61" s="1958">
        <v>4</v>
      </c>
      <c r="G61" s="1958" t="s">
        <v>1734</v>
      </c>
      <c r="H61" s="1958" t="s">
        <v>190</v>
      </c>
      <c r="I61" s="1958" t="s">
        <v>1706</v>
      </c>
      <c r="J61" s="1958" t="s">
        <v>728</v>
      </c>
      <c r="K61" s="1958" t="s">
        <v>728</v>
      </c>
      <c r="L61" s="1958" t="s">
        <v>728</v>
      </c>
      <c r="M61" s="1958">
        <v>1050</v>
      </c>
      <c r="O61" s="1958">
        <v>110375</v>
      </c>
      <c r="Q61" s="1958">
        <f t="shared" si="1"/>
        <v>110375</v>
      </c>
    </row>
    <row r="62" spans="1:17">
      <c r="A62" s="1958" t="s">
        <v>877</v>
      </c>
      <c r="B62" s="1958">
        <v>187</v>
      </c>
      <c r="C62" s="1958">
        <v>2023</v>
      </c>
      <c r="D62" s="1958">
        <v>12</v>
      </c>
      <c r="E62" s="1958">
        <v>5</v>
      </c>
      <c r="F62" s="1958">
        <v>4</v>
      </c>
      <c r="G62" s="1958" t="s">
        <v>1733</v>
      </c>
      <c r="H62" s="1958" t="s">
        <v>190</v>
      </c>
      <c r="I62" s="1958" t="s">
        <v>1706</v>
      </c>
      <c r="J62" s="1958" t="s">
        <v>728</v>
      </c>
      <c r="K62" s="1958" t="s">
        <v>728</v>
      </c>
      <c r="L62" s="1958" t="s">
        <v>728</v>
      </c>
      <c r="M62" s="1958">
        <v>16233</v>
      </c>
      <c r="O62" s="1958">
        <v>1956765</v>
      </c>
      <c r="Q62" s="1958">
        <f t="shared" si="1"/>
        <v>1956765</v>
      </c>
    </row>
    <row r="63" spans="1:17">
      <c r="A63" s="1958" t="s">
        <v>877</v>
      </c>
      <c r="B63" s="1958">
        <v>187</v>
      </c>
      <c r="C63" s="1958">
        <v>2023</v>
      </c>
      <c r="D63" s="1958">
        <v>12</v>
      </c>
      <c r="E63" s="1958">
        <v>6</v>
      </c>
      <c r="F63" s="1958">
        <v>4</v>
      </c>
      <c r="G63" s="1958" t="s">
        <v>1732</v>
      </c>
      <c r="H63" s="1958" t="s">
        <v>188</v>
      </c>
      <c r="I63" s="1958" t="s">
        <v>1706</v>
      </c>
      <c r="J63" s="1958" t="s">
        <v>728</v>
      </c>
      <c r="K63" s="1958" t="s">
        <v>728</v>
      </c>
      <c r="L63" s="1958" t="s">
        <v>728</v>
      </c>
      <c r="M63" s="1958">
        <v>48</v>
      </c>
      <c r="O63" s="1958">
        <v>3512</v>
      </c>
      <c r="Q63" s="1958">
        <f t="shared" si="1"/>
        <v>3512</v>
      </c>
    </row>
    <row r="64" spans="1:17">
      <c r="A64" s="1958" t="s">
        <v>877</v>
      </c>
      <c r="B64" s="1958">
        <v>187</v>
      </c>
      <c r="C64" s="1958">
        <v>2023</v>
      </c>
      <c r="D64" s="1958">
        <v>12</v>
      </c>
      <c r="E64" s="1958">
        <v>7</v>
      </c>
      <c r="F64" s="1958">
        <v>4</v>
      </c>
      <c r="G64" s="1958" t="s">
        <v>1733</v>
      </c>
      <c r="H64" s="1958" t="s">
        <v>188</v>
      </c>
      <c r="I64" s="1958" t="s">
        <v>1716</v>
      </c>
      <c r="J64" s="1958" t="s">
        <v>728</v>
      </c>
      <c r="K64" s="1958" t="s">
        <v>728</v>
      </c>
      <c r="L64" s="1958" t="s">
        <v>728</v>
      </c>
      <c r="M64" s="1958">
        <v>5</v>
      </c>
      <c r="O64" s="1958">
        <v>428</v>
      </c>
      <c r="Q64" s="1958">
        <f t="shared" si="1"/>
        <v>428</v>
      </c>
    </row>
    <row r="65" spans="1:17">
      <c r="A65" s="1958" t="s">
        <v>877</v>
      </c>
      <c r="B65" s="1958">
        <v>187</v>
      </c>
      <c r="C65" s="1958">
        <v>2023</v>
      </c>
      <c r="D65" s="1958">
        <v>12</v>
      </c>
      <c r="E65" s="1958">
        <v>8</v>
      </c>
      <c r="F65" s="1958">
        <v>4</v>
      </c>
      <c r="G65" s="1958" t="s">
        <v>1733</v>
      </c>
      <c r="H65" s="1958" t="s">
        <v>188</v>
      </c>
      <c r="I65" s="1958" t="s">
        <v>1706</v>
      </c>
      <c r="J65" s="1958" t="s">
        <v>728</v>
      </c>
      <c r="K65" s="1958" t="s">
        <v>728</v>
      </c>
      <c r="L65" s="1958" t="s">
        <v>728</v>
      </c>
      <c r="M65" s="1958">
        <v>9014</v>
      </c>
      <c r="O65" s="1958">
        <v>690916</v>
      </c>
      <c r="Q65" s="1958">
        <f t="shared" si="1"/>
        <v>690916</v>
      </c>
    </row>
    <row r="66" spans="1:17">
      <c r="A66" s="1958" t="s">
        <v>877</v>
      </c>
      <c r="B66" s="1958">
        <v>187</v>
      </c>
      <c r="C66" s="1958">
        <v>2023</v>
      </c>
      <c r="D66" s="1958">
        <v>12</v>
      </c>
      <c r="E66" s="1958">
        <v>9</v>
      </c>
      <c r="F66" s="1958">
        <v>4</v>
      </c>
      <c r="G66" s="1958" t="s">
        <v>1732</v>
      </c>
      <c r="H66" s="1958" t="s">
        <v>189</v>
      </c>
      <c r="I66" s="1958" t="s">
        <v>1706</v>
      </c>
      <c r="J66" s="1958" t="s">
        <v>728</v>
      </c>
      <c r="K66" s="1958" t="s">
        <v>728</v>
      </c>
      <c r="L66" s="1958" t="s">
        <v>728</v>
      </c>
      <c r="M66" s="1958">
        <v>90086</v>
      </c>
      <c r="O66" s="1958">
        <v>0</v>
      </c>
      <c r="Q66" s="1958">
        <f t="shared" ref="Q66:Q97" si="2">SUM(N66:P66)</f>
        <v>0</v>
      </c>
    </row>
    <row r="67" spans="1:17">
      <c r="A67" s="1958" t="s">
        <v>877</v>
      </c>
      <c r="B67" s="1958">
        <v>187</v>
      </c>
      <c r="C67" s="1958">
        <v>2023</v>
      </c>
      <c r="D67" s="1958">
        <v>12</v>
      </c>
      <c r="E67" s="1958">
        <v>10</v>
      </c>
      <c r="F67" s="1958">
        <v>4</v>
      </c>
      <c r="G67" s="1958" t="s">
        <v>1731</v>
      </c>
      <c r="H67" s="1958" t="s">
        <v>190</v>
      </c>
      <c r="I67" s="1958" t="s">
        <v>1706</v>
      </c>
      <c r="J67" s="1958" t="s">
        <v>728</v>
      </c>
      <c r="K67" s="1958" t="s">
        <v>728</v>
      </c>
      <c r="L67" s="1958" t="s">
        <v>728</v>
      </c>
      <c r="M67" s="1958">
        <v>232560</v>
      </c>
      <c r="O67" s="1958">
        <v>23897675</v>
      </c>
      <c r="Q67" s="1958">
        <f t="shared" si="2"/>
        <v>23897675</v>
      </c>
    </row>
    <row r="68" spans="1:17">
      <c r="A68" s="1958" t="s">
        <v>877</v>
      </c>
      <c r="B68" s="1958">
        <v>187</v>
      </c>
      <c r="C68" s="1958">
        <v>2023</v>
      </c>
      <c r="D68" s="1958">
        <v>12</v>
      </c>
      <c r="E68" s="1958">
        <v>11</v>
      </c>
      <c r="F68" s="1958">
        <v>4</v>
      </c>
      <c r="G68" s="1958" t="s">
        <v>1731</v>
      </c>
      <c r="H68" s="1958" t="s">
        <v>189</v>
      </c>
      <c r="I68" s="1958" t="s">
        <v>1706</v>
      </c>
      <c r="J68" s="1958" t="s">
        <v>728</v>
      </c>
      <c r="K68" s="1958" t="s">
        <v>728</v>
      </c>
      <c r="L68" s="1958" t="s">
        <v>728</v>
      </c>
      <c r="M68" s="1958">
        <v>49283</v>
      </c>
      <c r="O68" s="1958">
        <v>0</v>
      </c>
      <c r="Q68" s="1958">
        <f t="shared" si="2"/>
        <v>0</v>
      </c>
    </row>
    <row r="69" spans="1:17">
      <c r="A69" s="1958" t="s">
        <v>877</v>
      </c>
      <c r="B69" s="1958">
        <v>187</v>
      </c>
      <c r="C69" s="1958">
        <v>2023</v>
      </c>
      <c r="D69" s="1958">
        <v>12</v>
      </c>
      <c r="E69" s="1958">
        <v>12</v>
      </c>
      <c r="F69" s="1958">
        <v>4</v>
      </c>
      <c r="G69" s="1958" t="s">
        <v>1731</v>
      </c>
      <c r="H69" s="1958" t="s">
        <v>188</v>
      </c>
      <c r="I69" s="1958" t="s">
        <v>1716</v>
      </c>
      <c r="J69" s="1958" t="s">
        <v>728</v>
      </c>
      <c r="K69" s="1958" t="s">
        <v>728</v>
      </c>
      <c r="L69" s="1958" t="s">
        <v>728</v>
      </c>
      <c r="M69" s="1958">
        <v>33</v>
      </c>
      <c r="O69" s="1958">
        <v>4250</v>
      </c>
      <c r="Q69" s="1958">
        <f t="shared" si="2"/>
        <v>4250</v>
      </c>
    </row>
    <row r="70" spans="1:17">
      <c r="A70" s="1958" t="s">
        <v>877</v>
      </c>
      <c r="B70" s="1958">
        <v>187</v>
      </c>
      <c r="C70" s="1958">
        <v>2023</v>
      </c>
      <c r="D70" s="1958">
        <v>12</v>
      </c>
      <c r="E70" s="1958">
        <v>13</v>
      </c>
      <c r="F70" s="1958">
        <v>4</v>
      </c>
      <c r="G70" s="1958" t="s">
        <v>1731</v>
      </c>
      <c r="H70" s="1958" t="s">
        <v>189</v>
      </c>
      <c r="I70" s="1958" t="s">
        <v>1706</v>
      </c>
      <c r="J70" s="1958" t="s">
        <v>728</v>
      </c>
      <c r="K70" s="1958" t="s">
        <v>728</v>
      </c>
      <c r="L70" s="1958" t="s">
        <v>728</v>
      </c>
      <c r="M70" s="1958">
        <v>1816</v>
      </c>
      <c r="O70" s="1958">
        <v>93858</v>
      </c>
      <c r="Q70" s="1958">
        <f t="shared" si="2"/>
        <v>93858</v>
      </c>
    </row>
    <row r="71" spans="1:17">
      <c r="A71" s="1958" t="s">
        <v>877</v>
      </c>
      <c r="B71" s="1958">
        <v>187</v>
      </c>
      <c r="C71" s="1958">
        <v>2023</v>
      </c>
      <c r="D71" s="1958">
        <v>12</v>
      </c>
      <c r="E71" s="1958">
        <v>14</v>
      </c>
      <c r="F71" s="1958">
        <v>4</v>
      </c>
      <c r="G71" s="1958" t="s">
        <v>1730</v>
      </c>
      <c r="H71" s="1958" t="s">
        <v>188</v>
      </c>
      <c r="I71" s="1958" t="s">
        <v>1706</v>
      </c>
      <c r="J71" s="1958" t="s">
        <v>728</v>
      </c>
      <c r="K71" s="1958" t="s">
        <v>728</v>
      </c>
      <c r="L71" s="1958" t="s">
        <v>728</v>
      </c>
      <c r="M71" s="1958">
        <v>6010</v>
      </c>
      <c r="O71" s="1958">
        <v>460611</v>
      </c>
      <c r="Q71" s="1958">
        <f t="shared" si="2"/>
        <v>460611</v>
      </c>
    </row>
    <row r="72" spans="1:17">
      <c r="A72" s="1958" t="s">
        <v>877</v>
      </c>
      <c r="B72" s="1958">
        <v>187</v>
      </c>
      <c r="C72" s="1958">
        <v>2023</v>
      </c>
      <c r="D72" s="1958">
        <v>12</v>
      </c>
      <c r="E72" s="1958">
        <v>1</v>
      </c>
      <c r="F72" s="1958">
        <v>5</v>
      </c>
      <c r="G72" s="1958" t="s">
        <v>1729</v>
      </c>
      <c r="H72" s="1958" t="s">
        <v>188</v>
      </c>
      <c r="I72" s="1958" t="s">
        <v>1706</v>
      </c>
      <c r="J72" s="1958" t="s">
        <v>728</v>
      </c>
      <c r="K72" s="1958" t="s">
        <v>728</v>
      </c>
      <c r="L72" s="1958" t="s">
        <v>728</v>
      </c>
      <c r="M72" s="1958">
        <v>0</v>
      </c>
      <c r="N72" s="1958">
        <v>511006</v>
      </c>
      <c r="Q72" s="1958">
        <f t="shared" si="2"/>
        <v>511006</v>
      </c>
    </row>
    <row r="73" spans="1:17">
      <c r="A73" s="1958" t="s">
        <v>877</v>
      </c>
      <c r="B73" s="1958">
        <v>187</v>
      </c>
      <c r="C73" s="1958">
        <v>2023</v>
      </c>
      <c r="D73" s="1958">
        <v>12</v>
      </c>
      <c r="E73" s="1958">
        <v>2</v>
      </c>
      <c r="F73" s="1958">
        <v>5</v>
      </c>
      <c r="G73" s="1958" t="s">
        <v>1729</v>
      </c>
      <c r="H73" s="1958" t="s">
        <v>188</v>
      </c>
      <c r="I73" s="1958" t="s">
        <v>1706</v>
      </c>
      <c r="J73" s="1958" t="s">
        <v>728</v>
      </c>
      <c r="K73" s="1958" t="s">
        <v>728</v>
      </c>
      <c r="L73" s="1958" t="s">
        <v>728</v>
      </c>
      <c r="M73" s="1958">
        <v>11692</v>
      </c>
      <c r="O73" s="1958">
        <v>849146</v>
      </c>
      <c r="Q73" s="1958">
        <f t="shared" si="2"/>
        <v>849146</v>
      </c>
    </row>
    <row r="74" spans="1:17">
      <c r="A74" s="1958" t="s">
        <v>877</v>
      </c>
      <c r="B74" s="1958">
        <v>187</v>
      </c>
      <c r="C74" s="1958">
        <v>2023</v>
      </c>
      <c r="D74" s="1958">
        <v>12</v>
      </c>
      <c r="E74" s="1958">
        <v>3</v>
      </c>
      <c r="F74" s="1958">
        <v>5</v>
      </c>
      <c r="G74" s="1958" t="s">
        <v>1729</v>
      </c>
      <c r="H74" s="1958" t="s">
        <v>188</v>
      </c>
      <c r="I74" s="1958" t="s">
        <v>1706</v>
      </c>
      <c r="J74" s="1958" t="s">
        <v>728</v>
      </c>
      <c r="K74" s="1958" t="s">
        <v>728</v>
      </c>
      <c r="L74" s="1958" t="s">
        <v>728</v>
      </c>
      <c r="M74" s="1958">
        <v>44</v>
      </c>
      <c r="O74" s="1958">
        <v>3929</v>
      </c>
      <c r="Q74" s="1958">
        <f t="shared" si="2"/>
        <v>3929</v>
      </c>
    </row>
    <row r="75" spans="1:17">
      <c r="A75" s="1958" t="s">
        <v>877</v>
      </c>
      <c r="B75" s="1958">
        <v>187</v>
      </c>
      <c r="C75" s="1958">
        <v>2023</v>
      </c>
      <c r="D75" s="1958">
        <v>12</v>
      </c>
      <c r="E75" s="1958">
        <v>4</v>
      </c>
      <c r="F75" s="1958">
        <v>5</v>
      </c>
      <c r="G75" s="1958" t="s">
        <v>1729</v>
      </c>
      <c r="H75" s="1958" t="s">
        <v>190</v>
      </c>
      <c r="I75" s="1958" t="s">
        <v>1706</v>
      </c>
      <c r="J75" s="1958" t="s">
        <v>728</v>
      </c>
      <c r="K75" s="1958" t="s">
        <v>728</v>
      </c>
      <c r="L75" s="1958" t="s">
        <v>728</v>
      </c>
      <c r="M75" s="1958">
        <v>5663</v>
      </c>
      <c r="O75" s="1958">
        <v>817525</v>
      </c>
      <c r="Q75" s="1958">
        <f t="shared" si="2"/>
        <v>817525</v>
      </c>
    </row>
    <row r="76" spans="1:17">
      <c r="A76" s="1958" t="s">
        <v>877</v>
      </c>
      <c r="B76" s="1958">
        <v>187</v>
      </c>
      <c r="C76" s="1958">
        <v>2023</v>
      </c>
      <c r="D76" s="1958">
        <v>12</v>
      </c>
      <c r="E76" s="1958">
        <v>5</v>
      </c>
      <c r="F76" s="1958">
        <v>5</v>
      </c>
      <c r="G76" s="1958" t="s">
        <v>1728</v>
      </c>
      <c r="H76" s="1958" t="s">
        <v>190</v>
      </c>
      <c r="I76" s="1958" t="s">
        <v>1706</v>
      </c>
      <c r="J76" s="1958" t="s">
        <v>728</v>
      </c>
      <c r="K76" s="1958" t="s">
        <v>728</v>
      </c>
      <c r="L76" s="1958" t="s">
        <v>728</v>
      </c>
      <c r="M76" s="1958">
        <v>10550</v>
      </c>
      <c r="O76" s="1958">
        <v>614236</v>
      </c>
      <c r="Q76" s="1958">
        <f t="shared" si="2"/>
        <v>614236</v>
      </c>
    </row>
    <row r="77" spans="1:17">
      <c r="A77" s="1958" t="s">
        <v>877</v>
      </c>
      <c r="B77" s="1958">
        <v>187</v>
      </c>
      <c r="C77" s="1958">
        <v>2023</v>
      </c>
      <c r="D77" s="1958">
        <v>12</v>
      </c>
      <c r="E77" s="1958">
        <v>6</v>
      </c>
      <c r="F77" s="1958">
        <v>5</v>
      </c>
      <c r="G77" s="1958" t="s">
        <v>1728</v>
      </c>
      <c r="H77" s="1958" t="s">
        <v>189</v>
      </c>
      <c r="I77" s="1958" t="s">
        <v>1706</v>
      </c>
      <c r="J77" s="1958" t="s">
        <v>728</v>
      </c>
      <c r="K77" s="1958" t="s">
        <v>728</v>
      </c>
      <c r="L77" s="1958" t="s">
        <v>728</v>
      </c>
      <c r="M77" s="1958">
        <v>3553</v>
      </c>
      <c r="O77" s="1958">
        <v>170032</v>
      </c>
      <c r="Q77" s="1958">
        <f t="shared" si="2"/>
        <v>170032</v>
      </c>
    </row>
    <row r="78" spans="1:17">
      <c r="A78" s="1958" t="s">
        <v>877</v>
      </c>
      <c r="B78" s="1958">
        <v>187</v>
      </c>
      <c r="C78" s="1958">
        <v>2023</v>
      </c>
      <c r="D78" s="1958">
        <v>12</v>
      </c>
      <c r="E78" s="1958">
        <v>7</v>
      </c>
      <c r="F78" s="1958">
        <v>5</v>
      </c>
      <c r="G78" s="1958" t="s">
        <v>1727</v>
      </c>
      <c r="H78" s="1958" t="s">
        <v>190</v>
      </c>
      <c r="I78" s="1958" t="s">
        <v>1706</v>
      </c>
      <c r="J78" s="1958" t="s">
        <v>728</v>
      </c>
      <c r="K78" s="1958" t="s">
        <v>728</v>
      </c>
      <c r="L78" s="1958" t="s">
        <v>728</v>
      </c>
      <c r="M78" s="1958">
        <v>108263</v>
      </c>
      <c r="O78" s="1958">
        <v>11440822</v>
      </c>
      <c r="Q78" s="1958">
        <f t="shared" si="2"/>
        <v>11440822</v>
      </c>
    </row>
    <row r="79" spans="1:17">
      <c r="A79" s="1958" t="s">
        <v>877</v>
      </c>
      <c r="B79" s="1958">
        <v>187</v>
      </c>
      <c r="C79" s="1958">
        <v>2023</v>
      </c>
      <c r="D79" s="1958">
        <v>12</v>
      </c>
      <c r="E79" s="1958">
        <v>8</v>
      </c>
      <c r="F79" s="1958">
        <v>5</v>
      </c>
      <c r="G79" s="1958" t="s">
        <v>1727</v>
      </c>
      <c r="H79" s="1958" t="s">
        <v>188</v>
      </c>
      <c r="I79" s="1958" t="s">
        <v>1716</v>
      </c>
      <c r="J79" s="1958" t="s">
        <v>728</v>
      </c>
      <c r="K79" s="1958" t="s">
        <v>728</v>
      </c>
      <c r="L79" s="1958" t="s">
        <v>728</v>
      </c>
      <c r="M79" s="1958">
        <v>34</v>
      </c>
      <c r="O79" s="1958">
        <v>2356</v>
      </c>
      <c r="Q79" s="1958">
        <f t="shared" si="2"/>
        <v>2356</v>
      </c>
    </row>
    <row r="80" spans="1:17">
      <c r="A80" s="1958" t="s">
        <v>877</v>
      </c>
      <c r="B80" s="1958">
        <v>187</v>
      </c>
      <c r="C80" s="1958">
        <v>2023</v>
      </c>
      <c r="D80" s="1958">
        <v>12</v>
      </c>
      <c r="E80" s="1958">
        <v>9</v>
      </c>
      <c r="F80" s="1958">
        <v>5</v>
      </c>
      <c r="G80" s="1958" t="s">
        <v>1727</v>
      </c>
      <c r="H80" s="1958" t="s">
        <v>189</v>
      </c>
      <c r="I80" s="1958" t="s">
        <v>1706</v>
      </c>
      <c r="J80" s="1958" t="s">
        <v>728</v>
      </c>
      <c r="K80" s="1958" t="s">
        <v>728</v>
      </c>
      <c r="L80" s="1958" t="s">
        <v>728</v>
      </c>
      <c r="M80" s="1958">
        <v>660</v>
      </c>
      <c r="O80" s="1958">
        <v>47285</v>
      </c>
      <c r="Q80" s="1958">
        <f t="shared" si="2"/>
        <v>47285</v>
      </c>
    </row>
    <row r="81" spans="1:17">
      <c r="A81" s="1958" t="s">
        <v>877</v>
      </c>
      <c r="B81" s="1958">
        <v>187</v>
      </c>
      <c r="C81" s="1958">
        <v>2023</v>
      </c>
      <c r="D81" s="1958">
        <v>12</v>
      </c>
      <c r="E81" s="1958">
        <v>10</v>
      </c>
      <c r="F81" s="1958">
        <v>5</v>
      </c>
      <c r="G81" s="1958" t="s">
        <v>1727</v>
      </c>
      <c r="H81" s="1958" t="s">
        <v>189</v>
      </c>
      <c r="I81" s="1958" t="s">
        <v>1706</v>
      </c>
      <c r="J81" s="1958" t="s">
        <v>728</v>
      </c>
      <c r="K81" s="1958" t="s">
        <v>728</v>
      </c>
      <c r="L81" s="1958" t="s">
        <v>728</v>
      </c>
      <c r="M81" s="1958">
        <v>2051</v>
      </c>
      <c r="O81" s="1958">
        <v>126204</v>
      </c>
      <c r="Q81" s="1958">
        <f t="shared" si="2"/>
        <v>126204</v>
      </c>
    </row>
    <row r="82" spans="1:17">
      <c r="A82" s="1958" t="s">
        <v>877</v>
      </c>
      <c r="B82" s="1958">
        <v>187</v>
      </c>
      <c r="C82" s="1958">
        <v>2023</v>
      </c>
      <c r="D82" s="1958">
        <v>12</v>
      </c>
      <c r="E82" s="1958">
        <v>11</v>
      </c>
      <c r="F82" s="1958">
        <v>5</v>
      </c>
      <c r="G82" s="1958" t="s">
        <v>1726</v>
      </c>
      <c r="H82" s="1958" t="s">
        <v>190</v>
      </c>
      <c r="I82" s="1958" t="s">
        <v>1706</v>
      </c>
      <c r="J82" s="1958" t="s">
        <v>728</v>
      </c>
      <c r="K82" s="1958" t="s">
        <v>728</v>
      </c>
      <c r="L82" s="1958" t="s">
        <v>728</v>
      </c>
      <c r="M82" s="1958">
        <v>381983</v>
      </c>
      <c r="O82" s="1958">
        <v>22697641</v>
      </c>
      <c r="Q82" s="1958">
        <f t="shared" si="2"/>
        <v>22697641</v>
      </c>
    </row>
    <row r="83" spans="1:17">
      <c r="A83" s="1958" t="s">
        <v>877</v>
      </c>
      <c r="B83" s="1958">
        <v>187</v>
      </c>
      <c r="C83" s="1958">
        <v>2023</v>
      </c>
      <c r="D83" s="1958">
        <v>12</v>
      </c>
      <c r="E83" s="1958">
        <v>12</v>
      </c>
      <c r="F83" s="1958">
        <v>5</v>
      </c>
      <c r="G83" s="1958" t="s">
        <v>1726</v>
      </c>
      <c r="H83" s="1958" t="s">
        <v>188</v>
      </c>
      <c r="I83" s="1958" t="s">
        <v>1706</v>
      </c>
      <c r="J83" s="1958" t="s">
        <v>728</v>
      </c>
      <c r="K83" s="1958" t="s">
        <v>728</v>
      </c>
      <c r="L83" s="1958" t="s">
        <v>728</v>
      </c>
      <c r="M83" s="1958">
        <v>14356</v>
      </c>
      <c r="O83" s="1958">
        <v>707286</v>
      </c>
      <c r="Q83" s="1958">
        <f t="shared" si="2"/>
        <v>707286</v>
      </c>
    </row>
    <row r="84" spans="1:17">
      <c r="A84" s="1958" t="s">
        <v>877</v>
      </c>
      <c r="B84" s="1958">
        <v>187</v>
      </c>
      <c r="C84" s="1958">
        <v>2023</v>
      </c>
      <c r="D84" s="1958">
        <v>12</v>
      </c>
      <c r="E84" s="1958">
        <v>13</v>
      </c>
      <c r="F84" s="1958">
        <v>5</v>
      </c>
      <c r="G84" s="1958" t="s">
        <v>1725</v>
      </c>
      <c r="H84" s="1958" t="s">
        <v>188</v>
      </c>
      <c r="I84" s="1958" t="s">
        <v>1706</v>
      </c>
      <c r="J84" s="1958" t="s">
        <v>728</v>
      </c>
      <c r="K84" s="1958" t="s">
        <v>728</v>
      </c>
      <c r="L84" s="1958" t="s">
        <v>728</v>
      </c>
      <c r="M84" s="1958">
        <v>15024</v>
      </c>
      <c r="O84" s="1958">
        <v>1151527</v>
      </c>
      <c r="Q84" s="1958">
        <f t="shared" si="2"/>
        <v>1151527</v>
      </c>
    </row>
    <row r="85" spans="1:17">
      <c r="A85" s="1958" t="s">
        <v>877</v>
      </c>
      <c r="B85" s="1958">
        <v>187</v>
      </c>
      <c r="C85" s="1958">
        <v>2023</v>
      </c>
      <c r="D85" s="1958">
        <v>12</v>
      </c>
      <c r="E85" s="1958">
        <v>14</v>
      </c>
      <c r="F85" s="1958">
        <v>5</v>
      </c>
      <c r="G85" s="1958" t="s">
        <v>1724</v>
      </c>
      <c r="H85" s="1958" t="s">
        <v>190</v>
      </c>
      <c r="I85" s="1958" t="s">
        <v>1706</v>
      </c>
      <c r="J85" s="1958" t="s">
        <v>728</v>
      </c>
      <c r="K85" s="1958" t="s">
        <v>728</v>
      </c>
      <c r="L85" s="1958" t="s">
        <v>728</v>
      </c>
      <c r="M85" s="1958">
        <v>55935</v>
      </c>
      <c r="O85" s="1958">
        <v>4488653</v>
      </c>
      <c r="Q85" s="1958">
        <f t="shared" si="2"/>
        <v>4488653</v>
      </c>
    </row>
    <row r="86" spans="1:17">
      <c r="A86" s="1958" t="s">
        <v>877</v>
      </c>
      <c r="B86" s="1958">
        <v>187</v>
      </c>
      <c r="C86" s="1958">
        <v>2023</v>
      </c>
      <c r="D86" s="1958">
        <v>12</v>
      </c>
      <c r="E86" s="1958">
        <v>1</v>
      </c>
      <c r="F86" s="1958">
        <v>6</v>
      </c>
      <c r="G86" s="1958" t="s">
        <v>1724</v>
      </c>
      <c r="H86" s="1958" t="s">
        <v>188</v>
      </c>
      <c r="I86" s="1958" t="s">
        <v>1716</v>
      </c>
      <c r="J86" s="1958" t="s">
        <v>728</v>
      </c>
      <c r="K86" s="1958" t="s">
        <v>728</v>
      </c>
      <c r="L86" s="1958" t="s">
        <v>728</v>
      </c>
      <c r="M86" s="1958">
        <v>18</v>
      </c>
      <c r="O86" s="1958">
        <v>1670</v>
      </c>
      <c r="Q86" s="1958">
        <f t="shared" si="2"/>
        <v>1670</v>
      </c>
    </row>
    <row r="87" spans="1:17">
      <c r="A87" s="1958" t="s">
        <v>877</v>
      </c>
      <c r="B87" s="1958">
        <v>187</v>
      </c>
      <c r="C87" s="1958">
        <v>2023</v>
      </c>
      <c r="D87" s="1958">
        <v>12</v>
      </c>
      <c r="E87" s="1958">
        <v>2</v>
      </c>
      <c r="F87" s="1958">
        <v>6</v>
      </c>
      <c r="G87" s="1958" t="s">
        <v>1724</v>
      </c>
      <c r="H87" s="1958" t="s">
        <v>189</v>
      </c>
      <c r="I87" s="1958" t="s">
        <v>1706</v>
      </c>
      <c r="J87" s="1958" t="s">
        <v>728</v>
      </c>
      <c r="K87" s="1958" t="s">
        <v>728</v>
      </c>
      <c r="L87" s="1958" t="s">
        <v>728</v>
      </c>
      <c r="M87" s="1958">
        <v>3707</v>
      </c>
      <c r="O87" s="1958">
        <v>205636</v>
      </c>
      <c r="Q87" s="1958">
        <f t="shared" si="2"/>
        <v>205636</v>
      </c>
    </row>
    <row r="88" spans="1:17">
      <c r="A88" s="1958" t="s">
        <v>877</v>
      </c>
      <c r="B88" s="1958">
        <v>187</v>
      </c>
      <c r="C88" s="1958">
        <v>2023</v>
      </c>
      <c r="D88" s="1958">
        <v>12</v>
      </c>
      <c r="E88" s="1958">
        <v>3</v>
      </c>
      <c r="F88" s="1958">
        <v>6</v>
      </c>
      <c r="G88" s="1958" t="s">
        <v>1723</v>
      </c>
      <c r="H88" s="1958" t="s">
        <v>190</v>
      </c>
      <c r="I88" s="1958" t="s">
        <v>1706</v>
      </c>
      <c r="J88" s="1958" t="s">
        <v>728</v>
      </c>
      <c r="K88" s="1958" t="s">
        <v>728</v>
      </c>
      <c r="L88" s="1958" t="s">
        <v>728</v>
      </c>
      <c r="M88" s="1958">
        <v>12682</v>
      </c>
      <c r="O88" s="1958">
        <v>993218</v>
      </c>
      <c r="Q88" s="1958">
        <f t="shared" si="2"/>
        <v>993218</v>
      </c>
    </row>
    <row r="89" spans="1:17">
      <c r="A89" s="1958" t="s">
        <v>877</v>
      </c>
      <c r="B89" s="1958">
        <v>187</v>
      </c>
      <c r="C89" s="1958">
        <v>2023</v>
      </c>
      <c r="D89" s="1958">
        <v>12</v>
      </c>
      <c r="E89" s="1958">
        <v>4</v>
      </c>
      <c r="F89" s="1958">
        <v>6</v>
      </c>
      <c r="G89" s="1958" t="s">
        <v>1723</v>
      </c>
      <c r="H89" s="1958" t="s">
        <v>188</v>
      </c>
      <c r="I89" s="1958" t="s">
        <v>1706</v>
      </c>
      <c r="J89" s="1958" t="s">
        <v>728</v>
      </c>
      <c r="K89" s="1958" t="s">
        <v>728</v>
      </c>
      <c r="L89" s="1958" t="s">
        <v>728</v>
      </c>
      <c r="M89" s="1958">
        <v>431</v>
      </c>
      <c r="O89" s="1958">
        <v>26565</v>
      </c>
      <c r="Q89" s="1958">
        <f t="shared" si="2"/>
        <v>26565</v>
      </c>
    </row>
    <row r="90" spans="1:17">
      <c r="A90" s="1958" t="s">
        <v>877</v>
      </c>
      <c r="B90" s="1958">
        <v>187</v>
      </c>
      <c r="C90" s="1958">
        <v>2023</v>
      </c>
      <c r="D90" s="1958">
        <v>12</v>
      </c>
      <c r="E90" s="1958">
        <v>5</v>
      </c>
      <c r="F90" s="1958">
        <v>6</v>
      </c>
      <c r="G90" s="1958" t="s">
        <v>1722</v>
      </c>
      <c r="H90" s="1958" t="s">
        <v>188</v>
      </c>
      <c r="I90" s="1958" t="s">
        <v>1716</v>
      </c>
      <c r="J90" s="1958" t="s">
        <v>728</v>
      </c>
      <c r="K90" s="1958" t="s">
        <v>728</v>
      </c>
      <c r="L90" s="1958" t="s">
        <v>728</v>
      </c>
      <c r="M90" s="1958">
        <v>32</v>
      </c>
      <c r="O90" s="1958">
        <v>2034</v>
      </c>
      <c r="Q90" s="1958">
        <f t="shared" si="2"/>
        <v>2034</v>
      </c>
    </row>
    <row r="91" spans="1:17">
      <c r="A91" s="1958" t="s">
        <v>877</v>
      </c>
      <c r="B91" s="1958">
        <v>187</v>
      </c>
      <c r="C91" s="1958">
        <v>2023</v>
      </c>
      <c r="D91" s="1958">
        <v>12</v>
      </c>
      <c r="E91" s="1958">
        <v>6</v>
      </c>
      <c r="F91" s="1958">
        <v>6</v>
      </c>
      <c r="G91" s="1958" t="s">
        <v>1721</v>
      </c>
      <c r="H91" s="1958" t="s">
        <v>190</v>
      </c>
      <c r="I91" s="1958" t="s">
        <v>1706</v>
      </c>
      <c r="J91" s="1958" t="s">
        <v>728</v>
      </c>
      <c r="K91" s="1958" t="s">
        <v>728</v>
      </c>
      <c r="L91" s="1958" t="s">
        <v>728</v>
      </c>
      <c r="M91" s="1958">
        <v>37585</v>
      </c>
      <c r="O91" s="1958">
        <v>2394338</v>
      </c>
      <c r="Q91" s="1958">
        <f t="shared" si="2"/>
        <v>2394338</v>
      </c>
    </row>
    <row r="92" spans="1:17">
      <c r="A92" s="1958" t="s">
        <v>877</v>
      </c>
      <c r="B92" s="1958">
        <v>187</v>
      </c>
      <c r="C92" s="1958">
        <v>2023</v>
      </c>
      <c r="D92" s="1958">
        <v>12</v>
      </c>
      <c r="E92" s="1958">
        <v>7</v>
      </c>
      <c r="F92" s="1958">
        <v>6</v>
      </c>
      <c r="G92" s="1958" t="s">
        <v>1721</v>
      </c>
      <c r="H92" s="1958" t="s">
        <v>188</v>
      </c>
      <c r="I92" s="1958" t="s">
        <v>1706</v>
      </c>
      <c r="J92" s="1958" t="s">
        <v>728</v>
      </c>
      <c r="K92" s="1958" t="s">
        <v>728</v>
      </c>
      <c r="L92" s="1958" t="s">
        <v>728</v>
      </c>
      <c r="M92" s="1958">
        <v>635</v>
      </c>
      <c r="O92" s="1958">
        <v>40340</v>
      </c>
      <c r="Q92" s="1958">
        <f t="shared" si="2"/>
        <v>40340</v>
      </c>
    </row>
    <row r="93" spans="1:17">
      <c r="A93" s="1958" t="s">
        <v>877</v>
      </c>
      <c r="B93" s="1958">
        <v>187</v>
      </c>
      <c r="C93" s="1958">
        <v>2023</v>
      </c>
      <c r="D93" s="1958">
        <v>12</v>
      </c>
      <c r="E93" s="1958">
        <v>8</v>
      </c>
      <c r="F93" s="1958">
        <v>6</v>
      </c>
      <c r="G93" s="1958" t="s">
        <v>1721</v>
      </c>
      <c r="H93" s="1958" t="s">
        <v>189</v>
      </c>
      <c r="I93" s="1958" t="s">
        <v>1706</v>
      </c>
      <c r="J93" s="1958" t="s">
        <v>728</v>
      </c>
      <c r="K93" s="1958" t="s">
        <v>728</v>
      </c>
      <c r="L93" s="1958" t="s">
        <v>728</v>
      </c>
      <c r="M93" s="1958">
        <v>8</v>
      </c>
      <c r="O93" s="1958">
        <v>458</v>
      </c>
      <c r="Q93" s="1958">
        <f t="shared" si="2"/>
        <v>458</v>
      </c>
    </row>
    <row r="94" spans="1:17">
      <c r="A94" s="1958" t="s">
        <v>877</v>
      </c>
      <c r="B94" s="1958">
        <v>187</v>
      </c>
      <c r="C94" s="1958">
        <v>2023</v>
      </c>
      <c r="D94" s="1958">
        <v>12</v>
      </c>
      <c r="E94" s="1958">
        <v>9</v>
      </c>
      <c r="F94" s="1958">
        <v>6</v>
      </c>
      <c r="G94" s="1958" t="s">
        <v>1721</v>
      </c>
      <c r="H94" s="1958" t="s">
        <v>188</v>
      </c>
      <c r="I94" s="1958" t="s">
        <v>1716</v>
      </c>
      <c r="J94" s="1958" t="s">
        <v>728</v>
      </c>
      <c r="K94" s="1958" t="s">
        <v>728</v>
      </c>
      <c r="L94" s="1958" t="s">
        <v>728</v>
      </c>
      <c r="M94" s="1958">
        <v>6</v>
      </c>
      <c r="O94" s="1958">
        <v>387</v>
      </c>
      <c r="Q94" s="1958">
        <f t="shared" si="2"/>
        <v>387</v>
      </c>
    </row>
    <row r="95" spans="1:17">
      <c r="A95" s="1958" t="s">
        <v>877</v>
      </c>
      <c r="B95" s="1958">
        <v>187</v>
      </c>
      <c r="C95" s="1958">
        <v>2023</v>
      </c>
      <c r="D95" s="1958">
        <v>12</v>
      </c>
      <c r="E95" s="1958">
        <v>10</v>
      </c>
      <c r="F95" s="1958">
        <v>6</v>
      </c>
      <c r="G95" s="1958" t="s">
        <v>1720</v>
      </c>
      <c r="H95" s="1958" t="s">
        <v>190</v>
      </c>
      <c r="I95" s="1958" t="s">
        <v>1706</v>
      </c>
      <c r="J95" s="1958" t="s">
        <v>728</v>
      </c>
      <c r="K95" s="1958" t="s">
        <v>728</v>
      </c>
      <c r="L95" s="1958" t="s">
        <v>728</v>
      </c>
      <c r="M95" s="1958">
        <v>112642</v>
      </c>
      <c r="O95" s="1958">
        <v>8010476</v>
      </c>
      <c r="Q95" s="1958">
        <f t="shared" si="2"/>
        <v>8010476</v>
      </c>
    </row>
    <row r="96" spans="1:17">
      <c r="A96" s="1958" t="s">
        <v>877</v>
      </c>
      <c r="B96" s="1958">
        <v>187</v>
      </c>
      <c r="C96" s="1958">
        <v>2023</v>
      </c>
      <c r="D96" s="1958">
        <v>12</v>
      </c>
      <c r="E96" s="1958">
        <v>11</v>
      </c>
      <c r="F96" s="1958">
        <v>6</v>
      </c>
      <c r="G96" s="1958" t="s">
        <v>1720</v>
      </c>
      <c r="H96" s="1958" t="s">
        <v>189</v>
      </c>
      <c r="I96" s="1958" t="s">
        <v>1706</v>
      </c>
      <c r="J96" s="1958" t="s">
        <v>728</v>
      </c>
      <c r="K96" s="1958" t="s">
        <v>728</v>
      </c>
      <c r="L96" s="1958" t="s">
        <v>728</v>
      </c>
      <c r="M96" s="1958">
        <v>116</v>
      </c>
      <c r="O96" s="1958">
        <v>7703</v>
      </c>
      <c r="Q96" s="1958">
        <f t="shared" si="2"/>
        <v>7703</v>
      </c>
    </row>
    <row r="97" spans="1:17">
      <c r="A97" s="1958" t="s">
        <v>877</v>
      </c>
      <c r="B97" s="1958">
        <v>187</v>
      </c>
      <c r="C97" s="1958">
        <v>2023</v>
      </c>
      <c r="D97" s="1958">
        <v>12</v>
      </c>
      <c r="E97" s="1958">
        <v>12</v>
      </c>
      <c r="F97" s="1958">
        <v>6</v>
      </c>
      <c r="G97" s="1958" t="s">
        <v>1720</v>
      </c>
      <c r="H97" s="1958" t="s">
        <v>193</v>
      </c>
      <c r="I97" s="1958" t="s">
        <v>1706</v>
      </c>
      <c r="J97" s="1958" t="s">
        <v>728</v>
      </c>
      <c r="K97" s="1958" t="s">
        <v>728</v>
      </c>
      <c r="L97" s="1958" t="s">
        <v>728</v>
      </c>
      <c r="P97" s="1958">
        <v>6000</v>
      </c>
      <c r="Q97" s="1958">
        <f t="shared" si="2"/>
        <v>6000</v>
      </c>
    </row>
    <row r="98" spans="1:17">
      <c r="A98" s="1958" t="s">
        <v>877</v>
      </c>
      <c r="B98" s="1958">
        <v>187</v>
      </c>
      <c r="C98" s="1958">
        <v>2023</v>
      </c>
      <c r="D98" s="1958">
        <v>12</v>
      </c>
      <c r="E98" s="1958">
        <v>13</v>
      </c>
      <c r="F98" s="1958">
        <v>6</v>
      </c>
      <c r="G98" s="1958" t="s">
        <v>1719</v>
      </c>
      <c r="H98" s="1958" t="s">
        <v>190</v>
      </c>
      <c r="I98" s="1958" t="s">
        <v>1706</v>
      </c>
      <c r="J98" s="1958" t="s">
        <v>728</v>
      </c>
      <c r="K98" s="1958" t="s">
        <v>728</v>
      </c>
      <c r="L98" s="1958" t="s">
        <v>728</v>
      </c>
      <c r="M98" s="1958">
        <v>35580</v>
      </c>
      <c r="O98" s="1958">
        <v>3324903</v>
      </c>
      <c r="Q98" s="1958">
        <f t="shared" ref="Q98:Q114" si="3">SUM(N98:P98)</f>
        <v>3324903</v>
      </c>
    </row>
    <row r="99" spans="1:17">
      <c r="A99" s="1958" t="s">
        <v>877</v>
      </c>
      <c r="B99" s="1958">
        <v>187</v>
      </c>
      <c r="C99" s="1958">
        <v>2023</v>
      </c>
      <c r="D99" s="1958">
        <v>12</v>
      </c>
      <c r="E99" s="1958">
        <v>14</v>
      </c>
      <c r="F99" s="1958">
        <v>6</v>
      </c>
      <c r="G99" s="1958" t="s">
        <v>1718</v>
      </c>
      <c r="H99" s="1958" t="s">
        <v>188</v>
      </c>
      <c r="I99" s="1958" t="s">
        <v>1706</v>
      </c>
      <c r="J99" s="1958" t="s">
        <v>728</v>
      </c>
      <c r="K99" s="1958" t="s">
        <v>728</v>
      </c>
      <c r="L99" s="1958" t="s">
        <v>728</v>
      </c>
      <c r="M99" s="1958">
        <v>0</v>
      </c>
      <c r="N99" s="1958">
        <v>148528</v>
      </c>
      <c r="Q99" s="1958">
        <f t="shared" si="3"/>
        <v>148528</v>
      </c>
    </row>
    <row r="100" spans="1:17">
      <c r="A100" s="1958" t="s">
        <v>877</v>
      </c>
      <c r="B100" s="1958">
        <v>187</v>
      </c>
      <c r="C100" s="1958">
        <v>2023</v>
      </c>
      <c r="D100" s="1958">
        <v>12</v>
      </c>
      <c r="E100" s="1958">
        <v>14</v>
      </c>
      <c r="F100" s="1958">
        <v>6</v>
      </c>
      <c r="G100" s="1958" t="s">
        <v>1718</v>
      </c>
      <c r="H100" s="1958" t="s">
        <v>188</v>
      </c>
      <c r="I100" s="1958" t="s">
        <v>1706</v>
      </c>
      <c r="M100" s="1958">
        <v>15167</v>
      </c>
      <c r="O100" s="1958">
        <v>926987</v>
      </c>
      <c r="Q100" s="1958">
        <f t="shared" si="3"/>
        <v>926987</v>
      </c>
    </row>
    <row r="101" spans="1:17">
      <c r="A101" s="1958" t="s">
        <v>877</v>
      </c>
      <c r="B101" s="1958">
        <v>187</v>
      </c>
      <c r="C101" s="1958">
        <v>2023</v>
      </c>
      <c r="D101" s="1958">
        <v>12</v>
      </c>
      <c r="E101" s="1958">
        <v>14</v>
      </c>
      <c r="F101" s="1958">
        <v>6</v>
      </c>
      <c r="G101" s="1958" t="s">
        <v>1717</v>
      </c>
      <c r="H101" s="1958" t="s">
        <v>190</v>
      </c>
      <c r="I101" s="1958" t="s">
        <v>1706</v>
      </c>
      <c r="M101" s="1958">
        <v>4240</v>
      </c>
      <c r="O101" s="1958">
        <v>276750</v>
      </c>
      <c r="Q101" s="1958">
        <f t="shared" si="3"/>
        <v>276750</v>
      </c>
    </row>
    <row r="102" spans="1:17">
      <c r="A102" s="1958" t="s">
        <v>877</v>
      </c>
      <c r="B102" s="1958">
        <v>187</v>
      </c>
      <c r="C102" s="1958">
        <v>2023</v>
      </c>
      <c r="D102" s="1958">
        <v>12</v>
      </c>
      <c r="E102" s="1958">
        <v>14</v>
      </c>
      <c r="F102" s="1958">
        <v>6</v>
      </c>
      <c r="G102" s="1958" t="s">
        <v>1717</v>
      </c>
      <c r="H102" s="1958" t="s">
        <v>188</v>
      </c>
      <c r="I102" s="1958" t="s">
        <v>1706</v>
      </c>
      <c r="M102" s="1958">
        <v>1553</v>
      </c>
      <c r="O102" s="1958">
        <v>100417</v>
      </c>
      <c r="Q102" s="1958">
        <f t="shared" si="3"/>
        <v>100417</v>
      </c>
    </row>
    <row r="103" spans="1:17">
      <c r="A103" s="1958" t="s">
        <v>877</v>
      </c>
      <c r="B103" s="1958">
        <v>187</v>
      </c>
      <c r="C103" s="1958">
        <v>2023</v>
      </c>
      <c r="D103" s="1958">
        <v>12</v>
      </c>
      <c r="E103" s="1958">
        <v>14</v>
      </c>
      <c r="F103" s="1958">
        <v>6</v>
      </c>
      <c r="G103" s="1958" t="s">
        <v>1717</v>
      </c>
      <c r="H103" s="1958" t="s">
        <v>188</v>
      </c>
      <c r="I103" s="1958" t="s">
        <v>1716</v>
      </c>
      <c r="M103" s="1958">
        <v>14</v>
      </c>
      <c r="O103" s="1958">
        <v>463</v>
      </c>
      <c r="Q103" s="1958">
        <f t="shared" si="3"/>
        <v>463</v>
      </c>
    </row>
    <row r="104" spans="1:17">
      <c r="A104" s="1958" t="s">
        <v>877</v>
      </c>
      <c r="B104" s="1958">
        <v>187</v>
      </c>
      <c r="C104" s="1958">
        <v>2023</v>
      </c>
      <c r="D104" s="1958">
        <v>12</v>
      </c>
      <c r="E104" s="1958">
        <v>14</v>
      </c>
      <c r="F104" s="1958">
        <v>6</v>
      </c>
      <c r="G104" s="1958" t="s">
        <v>1715</v>
      </c>
      <c r="H104" s="1958" t="s">
        <v>188</v>
      </c>
      <c r="I104" s="1958" t="s">
        <v>1706</v>
      </c>
      <c r="M104" s="1958">
        <v>9014</v>
      </c>
      <c r="O104" s="1958">
        <v>690916</v>
      </c>
      <c r="Q104" s="1958">
        <f t="shared" si="3"/>
        <v>690916</v>
      </c>
    </row>
    <row r="105" spans="1:17">
      <c r="A105" s="1958" t="s">
        <v>877</v>
      </c>
      <c r="B105" s="1958">
        <v>187</v>
      </c>
      <c r="C105" s="1958">
        <v>2023</v>
      </c>
      <c r="D105" s="1958">
        <v>12</v>
      </c>
      <c r="E105" s="1958">
        <v>14</v>
      </c>
      <c r="F105" s="1958">
        <v>6</v>
      </c>
      <c r="G105" s="1958" t="s">
        <v>1714</v>
      </c>
      <c r="H105" s="1958" t="s">
        <v>188</v>
      </c>
      <c r="I105" s="1958" t="s">
        <v>1706</v>
      </c>
      <c r="M105" s="1958">
        <v>19</v>
      </c>
      <c r="O105" s="1958">
        <v>178</v>
      </c>
      <c r="Q105" s="1958">
        <f t="shared" si="3"/>
        <v>178</v>
      </c>
    </row>
    <row r="106" spans="1:17">
      <c r="A106" s="1958" t="s">
        <v>877</v>
      </c>
      <c r="B106" s="1958">
        <v>187</v>
      </c>
      <c r="C106" s="1958">
        <v>2023</v>
      </c>
      <c r="D106" s="1958">
        <v>12</v>
      </c>
      <c r="E106" s="1958">
        <v>14</v>
      </c>
      <c r="F106" s="1958">
        <v>6</v>
      </c>
      <c r="G106" s="1958" t="s">
        <v>1713</v>
      </c>
      <c r="H106" s="1958" t="s">
        <v>190</v>
      </c>
      <c r="I106" s="1958" t="s">
        <v>1706</v>
      </c>
      <c r="M106" s="1958">
        <v>96777</v>
      </c>
      <c r="O106" s="1958">
        <v>6585535</v>
      </c>
      <c r="Q106" s="1958">
        <f t="shared" si="3"/>
        <v>6585535</v>
      </c>
    </row>
    <row r="107" spans="1:17">
      <c r="A107" s="1958" t="s">
        <v>877</v>
      </c>
      <c r="B107" s="1958">
        <v>187</v>
      </c>
      <c r="C107" s="1958">
        <v>2023</v>
      </c>
      <c r="D107" s="1958">
        <v>12</v>
      </c>
      <c r="E107" s="1958">
        <v>14</v>
      </c>
      <c r="F107" s="1958">
        <v>6</v>
      </c>
      <c r="G107" s="1958" t="s">
        <v>1713</v>
      </c>
      <c r="H107" s="1958" t="s">
        <v>188</v>
      </c>
      <c r="I107" s="1958" t="s">
        <v>1706</v>
      </c>
      <c r="M107" s="1958">
        <v>271</v>
      </c>
      <c r="O107" s="1958">
        <v>21625</v>
      </c>
      <c r="Q107" s="1958">
        <f t="shared" si="3"/>
        <v>21625</v>
      </c>
    </row>
    <row r="108" spans="1:17">
      <c r="A108" s="1958" t="s">
        <v>877</v>
      </c>
      <c r="B108" s="1958">
        <v>187</v>
      </c>
      <c r="C108" s="1958">
        <v>2023</v>
      </c>
      <c r="D108" s="1958">
        <v>12</v>
      </c>
      <c r="E108" s="1958">
        <v>14</v>
      </c>
      <c r="F108" s="1958">
        <v>6</v>
      </c>
      <c r="G108" s="1958" t="s">
        <v>1712</v>
      </c>
      <c r="H108" s="1958" t="s">
        <v>190</v>
      </c>
      <c r="I108" s="1958" t="s">
        <v>1706</v>
      </c>
      <c r="M108" s="1958">
        <v>236859</v>
      </c>
      <c r="O108" s="1958">
        <v>16007509</v>
      </c>
      <c r="Q108" s="1958">
        <f t="shared" si="3"/>
        <v>16007509</v>
      </c>
    </row>
    <row r="109" spans="1:17">
      <c r="A109" s="1958" t="s">
        <v>877</v>
      </c>
      <c r="B109" s="1958">
        <v>187</v>
      </c>
      <c r="C109" s="1958">
        <v>2023</v>
      </c>
      <c r="D109" s="1958">
        <v>12</v>
      </c>
      <c r="E109" s="1958">
        <v>14</v>
      </c>
      <c r="F109" s="1958">
        <v>6</v>
      </c>
      <c r="G109" s="1958" t="s">
        <v>1712</v>
      </c>
      <c r="H109" s="1958" t="s">
        <v>188</v>
      </c>
      <c r="I109" s="1958" t="s">
        <v>1706</v>
      </c>
      <c r="M109" s="1958">
        <v>197</v>
      </c>
      <c r="O109" s="1958">
        <v>18548</v>
      </c>
      <c r="Q109" s="1958">
        <f t="shared" si="3"/>
        <v>18548</v>
      </c>
    </row>
    <row r="110" spans="1:17">
      <c r="A110" s="1958" t="s">
        <v>877</v>
      </c>
      <c r="B110" s="1958">
        <v>187</v>
      </c>
      <c r="C110" s="1958">
        <v>2023</v>
      </c>
      <c r="D110" s="1958">
        <v>12</v>
      </c>
      <c r="E110" s="1958">
        <v>14</v>
      </c>
      <c r="F110" s="1958">
        <v>6</v>
      </c>
      <c r="G110" s="1958" t="s">
        <v>1711</v>
      </c>
      <c r="H110" s="1958" t="s">
        <v>190</v>
      </c>
      <c r="I110" s="1958" t="s">
        <v>1706</v>
      </c>
      <c r="M110" s="1958">
        <v>11760</v>
      </c>
      <c r="O110" s="1958">
        <v>611932</v>
      </c>
      <c r="Q110" s="1958">
        <f t="shared" si="3"/>
        <v>611932</v>
      </c>
    </row>
    <row r="111" spans="1:17">
      <c r="A111" s="1958" t="s">
        <v>877</v>
      </c>
      <c r="B111" s="1958">
        <v>187</v>
      </c>
      <c r="C111" s="1958">
        <v>2023</v>
      </c>
      <c r="D111" s="1958">
        <v>12</v>
      </c>
      <c r="E111" s="1958">
        <v>14</v>
      </c>
      <c r="F111" s="1958">
        <v>6</v>
      </c>
      <c r="G111" s="1958" t="s">
        <v>1710</v>
      </c>
      <c r="H111" s="1958" t="s">
        <v>193</v>
      </c>
      <c r="I111" s="1958" t="s">
        <v>195</v>
      </c>
      <c r="M111" s="1958">
        <v>0</v>
      </c>
      <c r="P111" s="1958">
        <v>14517377</v>
      </c>
      <c r="Q111" s="1958">
        <f t="shared" si="3"/>
        <v>14517377</v>
      </c>
    </row>
    <row r="112" spans="1:17">
      <c r="A112" s="1958" t="s">
        <v>877</v>
      </c>
      <c r="B112" s="1958">
        <v>187</v>
      </c>
      <c r="C112" s="1958">
        <v>2023</v>
      </c>
      <c r="D112" s="1958">
        <v>12</v>
      </c>
      <c r="E112" s="1958">
        <v>14</v>
      </c>
      <c r="F112" s="1958">
        <v>6</v>
      </c>
      <c r="G112" s="1958" t="s">
        <v>1709</v>
      </c>
      <c r="H112" s="1958" t="s">
        <v>188</v>
      </c>
      <c r="O112" s="1958">
        <v>-35503866</v>
      </c>
      <c r="P112" s="1958">
        <v>35503866</v>
      </c>
      <c r="Q112" s="1958">
        <f t="shared" si="3"/>
        <v>0</v>
      </c>
    </row>
    <row r="113" spans="1:17">
      <c r="A113" s="1958" t="s">
        <v>877</v>
      </c>
      <c r="B113" s="1958">
        <v>187</v>
      </c>
      <c r="C113" s="1958">
        <v>2023</v>
      </c>
      <c r="D113" s="1958">
        <v>12</v>
      </c>
      <c r="E113" s="1958">
        <v>14</v>
      </c>
      <c r="F113" s="1958">
        <v>6</v>
      </c>
      <c r="G113" s="1958" t="s">
        <v>1708</v>
      </c>
      <c r="H113" s="1958" t="s">
        <v>188</v>
      </c>
      <c r="P113" s="1958">
        <v>1173595</v>
      </c>
      <c r="Q113" s="1958">
        <f t="shared" si="3"/>
        <v>1173595</v>
      </c>
    </row>
    <row r="114" spans="1:17">
      <c r="A114" s="1958" t="s">
        <v>877</v>
      </c>
      <c r="B114" s="1958">
        <v>187</v>
      </c>
      <c r="C114" s="1958">
        <v>2023</v>
      </c>
      <c r="D114" s="1958">
        <v>12</v>
      </c>
      <c r="E114" s="1958">
        <v>14</v>
      </c>
      <c r="F114" s="1958">
        <v>6</v>
      </c>
      <c r="G114" s="1958" t="s">
        <v>1707</v>
      </c>
      <c r="H114" s="1958" t="s">
        <v>193</v>
      </c>
      <c r="I114" s="1958" t="s">
        <v>1706</v>
      </c>
      <c r="P114" s="1958">
        <v>13421671</v>
      </c>
      <c r="Q114" s="1958">
        <f t="shared" si="3"/>
        <v>13421671</v>
      </c>
    </row>
    <row r="115" spans="1:17">
      <c r="A115" s="1958" t="s">
        <v>104</v>
      </c>
      <c r="M115" s="1958">
        <f>SUM(M2:M114)</f>
        <v>3521491</v>
      </c>
      <c r="N115" s="1958">
        <f>SUM(N2:N114)</f>
        <v>1212174</v>
      </c>
      <c r="O115" s="1958">
        <f>SUM(O2:O114)</f>
        <v>175891693</v>
      </c>
      <c r="P115" s="1958">
        <f>SUM(P2:P114)</f>
        <v>76554134</v>
      </c>
      <c r="Q115" s="1958">
        <f>SUM(Q2:Q114)</f>
        <v>253658001</v>
      </c>
    </row>
    <row r="116" spans="1:17">
      <c r="M116" s="1958" t="s">
        <v>2190</v>
      </c>
      <c r="N116" s="1958" t="s">
        <v>1771</v>
      </c>
      <c r="O116" s="1958" t="s">
        <v>1770</v>
      </c>
      <c r="P116" s="1958" t="s">
        <v>1769</v>
      </c>
      <c r="Q116" s="1958" t="s">
        <v>1768</v>
      </c>
    </row>
  </sheetData>
  <autoFilter ref="A1:Q99" xr:uid="{00000000-0009-0000-0000-00003D000000}"/>
  <pageMargins left="0.75" right="0.75" top="1" bottom="1" header="0.5" footer="0.5"/>
  <pageSetup orientation="portrait" r:id="rId1"/>
  <customProperties>
    <customPr name="xxe4aPID" r:id="rId2"/>
  </customPropertie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155B2-67B6-4CF7-8F22-662C2FC6F99D}">
  <sheetPr codeName="Sheet63">
    <tabColor theme="6"/>
  </sheetPr>
  <dimension ref="A2:C23"/>
  <sheetViews>
    <sheetView workbookViewId="0">
      <selection activeCell="D400" sqref="D400"/>
    </sheetView>
  </sheetViews>
  <sheetFormatPr defaultColWidth="9" defaultRowHeight="15"/>
  <cols>
    <col min="1" max="1" width="11.5" style="1975" bestFit="1" customWidth="1"/>
    <col min="2" max="2" width="20.875" style="1975" bestFit="1" customWidth="1"/>
    <col min="3" max="3" width="14.75" style="1975" bestFit="1" customWidth="1"/>
    <col min="4" max="16384" width="9" style="1975"/>
  </cols>
  <sheetData>
    <row r="2" spans="1:3">
      <c r="A2" s="1975">
        <v>2023</v>
      </c>
    </row>
    <row r="3" spans="1:3">
      <c r="A3" s="1977" t="s">
        <v>1782</v>
      </c>
      <c r="B3" s="1975" t="s">
        <v>1781</v>
      </c>
      <c r="C3" s="1975" t="s">
        <v>1780</v>
      </c>
    </row>
    <row r="4" spans="1:3">
      <c r="A4" s="1976" t="s">
        <v>189</v>
      </c>
      <c r="B4" s="1975">
        <v>30896738</v>
      </c>
      <c r="C4" s="1975">
        <v>923331</v>
      </c>
    </row>
    <row r="5" spans="1:3">
      <c r="A5" s="1976" t="s">
        <v>188</v>
      </c>
      <c r="B5" s="1975">
        <v>9130599</v>
      </c>
      <c r="C5" s="1975">
        <v>102340</v>
      </c>
    </row>
    <row r="6" spans="1:3">
      <c r="A6" s="1976" t="s">
        <v>193</v>
      </c>
      <c r="B6" s="1975">
        <v>39876673</v>
      </c>
      <c r="C6" s="1975">
        <v>0</v>
      </c>
    </row>
    <row r="7" spans="1:3">
      <c r="A7" s="1976" t="s">
        <v>190</v>
      </c>
      <c r="B7" s="1975">
        <v>173753991</v>
      </c>
      <c r="C7" s="1975">
        <v>2495820</v>
      </c>
    </row>
    <row r="8" spans="1:3">
      <c r="A8" s="1976" t="s">
        <v>1779</v>
      </c>
      <c r="B8" s="1975">
        <v>253658001</v>
      </c>
      <c r="C8" s="1975">
        <v>3521491</v>
      </c>
    </row>
    <row r="10" spans="1:3" ht="15.75">
      <c r="A10">
        <v>2022</v>
      </c>
      <c r="B10" s="522"/>
      <c r="C10" s="2201"/>
    </row>
    <row r="11" spans="1:3" ht="15.75">
      <c r="A11" s="2202" t="s">
        <v>1782</v>
      </c>
      <c r="B11" s="2203" t="s">
        <v>3217</v>
      </c>
      <c r="C11" s="2201" t="s">
        <v>3218</v>
      </c>
    </row>
    <row r="12" spans="1:3" ht="15.75">
      <c r="A12" s="623" t="s">
        <v>189</v>
      </c>
      <c r="B12" s="522">
        <v>31785239.600000001</v>
      </c>
      <c r="C12" s="2201">
        <v>778569</v>
      </c>
    </row>
    <row r="13" spans="1:3" ht="15.75">
      <c r="A13" s="623" t="s">
        <v>188</v>
      </c>
      <c r="B13" s="522">
        <v>12054947.510000004</v>
      </c>
      <c r="C13" s="2201">
        <v>157529</v>
      </c>
    </row>
    <row r="14" spans="1:3" ht="15.75">
      <c r="A14" s="623" t="s">
        <v>193</v>
      </c>
      <c r="B14" s="522">
        <v>-7231717.3100000005</v>
      </c>
      <c r="C14" s="2201">
        <v>0</v>
      </c>
    </row>
    <row r="15" spans="1:3" ht="15.75">
      <c r="A15" s="623" t="s">
        <v>190</v>
      </c>
      <c r="B15" s="522">
        <v>147978973.08999997</v>
      </c>
      <c r="C15" s="2201">
        <v>2208388</v>
      </c>
    </row>
    <row r="16" spans="1:3" ht="15.75">
      <c r="A16" s="623" t="s">
        <v>1779</v>
      </c>
      <c r="B16" s="522">
        <v>184587442.88999999</v>
      </c>
      <c r="C16" s="2201">
        <v>3144486</v>
      </c>
    </row>
    <row r="17" spans="1:3">
      <c r="A17" s="1975">
        <v>2021</v>
      </c>
    </row>
    <row r="18" spans="1:3" ht="15.75">
      <c r="A18" s="2202" t="s">
        <v>1782</v>
      </c>
      <c r="B18" s="2202" t="s">
        <v>3217</v>
      </c>
      <c r="C18" t="s">
        <v>3218</v>
      </c>
    </row>
    <row r="19" spans="1:3" ht="15.75">
      <c r="A19" s="623" t="s">
        <v>189</v>
      </c>
      <c r="B19" s="2132">
        <v>17990246</v>
      </c>
      <c r="C19" s="2204">
        <v>418223</v>
      </c>
    </row>
    <row r="20" spans="1:3" ht="15.75">
      <c r="A20" s="623" t="s">
        <v>188</v>
      </c>
      <c r="B20" s="2132">
        <v>8626881</v>
      </c>
      <c r="C20" s="2204">
        <v>126562</v>
      </c>
    </row>
    <row r="21" spans="1:3" ht="15.75">
      <c r="A21" s="623" t="s">
        <v>193</v>
      </c>
      <c r="B21" s="2132">
        <v>-24882640</v>
      </c>
      <c r="C21" s="2204">
        <v>0</v>
      </c>
    </row>
    <row r="22" spans="1:3" ht="15.75">
      <c r="A22" s="623" t="s">
        <v>190</v>
      </c>
      <c r="B22" s="2132">
        <v>91851314</v>
      </c>
      <c r="C22" s="2204">
        <v>1974503</v>
      </c>
    </row>
    <row r="23" spans="1:3" ht="15.75">
      <c r="A23" s="623" t="s">
        <v>1779</v>
      </c>
      <c r="B23" s="2132">
        <v>93585801</v>
      </c>
      <c r="C23" s="2204">
        <v>2519288</v>
      </c>
    </row>
  </sheetData>
  <pageMargins left="0.7" right="0.7" top="0.75" bottom="0.75" header="0.3" footer="0.3"/>
  <customProperties>
    <customPr name="xxe4aPID" r:id="rId4"/>
  </customPropertie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6DEB7-7C39-4E35-B772-0BC4BE529E30}">
  <sheetPr codeName="Sheet65">
    <tabColor theme="6"/>
  </sheetPr>
  <dimension ref="A1:L200"/>
  <sheetViews>
    <sheetView topLeftCell="A173"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56.125" style="1958" bestFit="1" customWidth="1"/>
    <col min="8" max="9" width="14.75" style="2207" bestFit="1" customWidth="1"/>
    <col min="10" max="10" width="9" style="1958"/>
    <col min="11" max="11" width="9.25" style="1958" bestFit="1" customWidth="1"/>
    <col min="12" max="16384" width="9" style="1958"/>
  </cols>
  <sheetData>
    <row r="1" spans="1:9" ht="15.75">
      <c r="A1" s="2115" t="s">
        <v>984</v>
      </c>
      <c r="B1" s="2115" t="s">
        <v>983</v>
      </c>
      <c r="C1" s="2115" t="s">
        <v>982</v>
      </c>
      <c r="D1" s="2115" t="s">
        <v>981</v>
      </c>
      <c r="E1" s="2115" t="s">
        <v>980</v>
      </c>
      <c r="F1" s="2115" t="s">
        <v>979</v>
      </c>
      <c r="G1" s="2115" t="s">
        <v>1159</v>
      </c>
      <c r="H1" s="2206" t="s">
        <v>1968</v>
      </c>
      <c r="I1" s="2206" t="s">
        <v>1967</v>
      </c>
    </row>
    <row r="2" spans="1:9" ht="15.75">
      <c r="A2" s="2115" t="s">
        <v>877</v>
      </c>
      <c r="B2" s="2115">
        <v>187</v>
      </c>
      <c r="C2" s="2115">
        <v>2023</v>
      </c>
      <c r="D2" s="2115">
        <v>12</v>
      </c>
      <c r="E2" s="2115">
        <v>1</v>
      </c>
      <c r="F2" s="2115">
        <v>0</v>
      </c>
      <c r="G2" s="2115" t="s">
        <v>1966</v>
      </c>
      <c r="H2" s="2206">
        <v>0</v>
      </c>
      <c r="I2" s="2206">
        <v>0</v>
      </c>
    </row>
    <row r="3" spans="1:9" ht="15.75">
      <c r="A3" s="2115" t="s">
        <v>877</v>
      </c>
      <c r="B3" s="2115">
        <v>187</v>
      </c>
      <c r="C3" s="2115">
        <v>2023</v>
      </c>
      <c r="D3" s="2115">
        <v>12</v>
      </c>
      <c r="E3" s="2115">
        <v>2</v>
      </c>
      <c r="F3" s="2115">
        <v>0</v>
      </c>
      <c r="G3" s="2115" t="s">
        <v>1965</v>
      </c>
      <c r="H3" s="2206">
        <v>0</v>
      </c>
      <c r="I3" s="2206">
        <v>0</v>
      </c>
    </row>
    <row r="4" spans="1:9" ht="15.75">
      <c r="A4" s="2115" t="s">
        <v>877</v>
      </c>
      <c r="B4" s="2115">
        <v>187</v>
      </c>
      <c r="C4" s="2115">
        <v>2023</v>
      </c>
      <c r="D4" s="2115">
        <v>12</v>
      </c>
      <c r="E4" s="2115">
        <v>3</v>
      </c>
      <c r="F4" s="2115">
        <v>0</v>
      </c>
      <c r="G4" s="2115" t="s">
        <v>441</v>
      </c>
      <c r="H4" s="2206">
        <v>0</v>
      </c>
      <c r="I4" s="2206">
        <v>0</v>
      </c>
    </row>
    <row r="5" spans="1:9" ht="15.75">
      <c r="A5" s="2115" t="s">
        <v>877</v>
      </c>
      <c r="B5" s="2115">
        <v>187</v>
      </c>
      <c r="C5" s="2115">
        <v>2023</v>
      </c>
      <c r="D5" s="2115">
        <v>12</v>
      </c>
      <c r="E5" s="2115">
        <v>4</v>
      </c>
      <c r="F5" s="2115">
        <v>0</v>
      </c>
      <c r="G5" s="2115" t="s">
        <v>1964</v>
      </c>
      <c r="H5" s="2206">
        <v>177149</v>
      </c>
      <c r="I5" s="2206">
        <v>342883</v>
      </c>
    </row>
    <row r="6" spans="1:9" ht="15.75">
      <c r="A6" s="2115" t="s">
        <v>877</v>
      </c>
      <c r="B6" s="2115">
        <v>187</v>
      </c>
      <c r="C6" s="2115">
        <v>2023</v>
      </c>
      <c r="D6" s="2115">
        <v>12</v>
      </c>
      <c r="E6" s="2115">
        <v>5</v>
      </c>
      <c r="F6" s="2115">
        <v>0</v>
      </c>
      <c r="G6" s="2115" t="s">
        <v>1963</v>
      </c>
      <c r="H6" s="2206">
        <v>46052299</v>
      </c>
      <c r="I6" s="2206">
        <v>41707542</v>
      </c>
    </row>
    <row r="7" spans="1:9" ht="15.75">
      <c r="A7" s="2115" t="s">
        <v>877</v>
      </c>
      <c r="B7" s="2115">
        <v>187</v>
      </c>
      <c r="C7" s="2115">
        <v>2023</v>
      </c>
      <c r="D7" s="2115">
        <v>12</v>
      </c>
      <c r="E7" s="2115">
        <v>6</v>
      </c>
      <c r="F7" s="2115">
        <v>0</v>
      </c>
      <c r="G7" s="2115" t="s">
        <v>1962</v>
      </c>
      <c r="H7" s="2206">
        <v>4221985</v>
      </c>
      <c r="I7" s="2206">
        <v>3674482</v>
      </c>
    </row>
    <row r="8" spans="1:9" ht="15.75">
      <c r="A8" s="2115" t="s">
        <v>877</v>
      </c>
      <c r="B8" s="2115">
        <v>187</v>
      </c>
      <c r="C8" s="2115">
        <v>2023</v>
      </c>
      <c r="D8" s="2115">
        <v>12</v>
      </c>
      <c r="E8" s="2115">
        <v>7</v>
      </c>
      <c r="F8" s="2115">
        <v>0</v>
      </c>
      <c r="G8" s="2115" t="s">
        <v>1961</v>
      </c>
      <c r="H8" s="2206">
        <v>0</v>
      </c>
      <c r="I8" s="2206">
        <v>0</v>
      </c>
    </row>
    <row r="9" spans="1:9" ht="15.75">
      <c r="A9" s="2115" t="s">
        <v>877</v>
      </c>
      <c r="B9" s="2115">
        <v>187</v>
      </c>
      <c r="C9" s="2115">
        <v>2023</v>
      </c>
      <c r="D9" s="2115">
        <v>12</v>
      </c>
      <c r="E9" s="2115">
        <v>8</v>
      </c>
      <c r="F9" s="2115">
        <v>0</v>
      </c>
      <c r="G9" s="2115" t="s">
        <v>1960</v>
      </c>
      <c r="H9" s="2206">
        <v>0</v>
      </c>
      <c r="I9" s="2206">
        <v>0</v>
      </c>
    </row>
    <row r="10" spans="1:9" ht="15.75">
      <c r="A10" s="2115" t="s">
        <v>877</v>
      </c>
      <c r="B10" s="2115">
        <v>187</v>
      </c>
      <c r="C10" s="2115">
        <v>2023</v>
      </c>
      <c r="D10" s="2115">
        <v>12</v>
      </c>
      <c r="E10" s="2115">
        <v>9</v>
      </c>
      <c r="F10" s="2115">
        <v>0</v>
      </c>
      <c r="G10" s="2115" t="s">
        <v>1959</v>
      </c>
      <c r="H10" s="2206">
        <v>754146</v>
      </c>
      <c r="I10" s="2206">
        <v>884248</v>
      </c>
    </row>
    <row r="11" spans="1:9" ht="15.75">
      <c r="A11" s="2115" t="s">
        <v>877</v>
      </c>
      <c r="B11" s="2115">
        <v>187</v>
      </c>
      <c r="C11" s="2115">
        <v>2023</v>
      </c>
      <c r="D11" s="2115">
        <v>12</v>
      </c>
      <c r="E11" s="2115">
        <v>10</v>
      </c>
      <c r="F11" s="2115">
        <v>0</v>
      </c>
      <c r="G11" s="2115" t="s">
        <v>1958</v>
      </c>
      <c r="H11" s="2206">
        <v>6447460</v>
      </c>
      <c r="I11" s="2206">
        <v>5888310</v>
      </c>
    </row>
    <row r="12" spans="1:9" ht="15.75">
      <c r="A12" s="2115" t="s">
        <v>877</v>
      </c>
      <c r="B12" s="2115">
        <v>187</v>
      </c>
      <c r="C12" s="2115">
        <v>2023</v>
      </c>
      <c r="D12" s="2115">
        <v>12</v>
      </c>
      <c r="E12" s="2115">
        <v>11</v>
      </c>
      <c r="F12" s="2115">
        <v>0</v>
      </c>
      <c r="G12" s="2115" t="s">
        <v>1957</v>
      </c>
      <c r="H12" s="2206">
        <v>0</v>
      </c>
      <c r="I12" s="2206">
        <v>0</v>
      </c>
    </row>
    <row r="13" spans="1:9" ht="15.75">
      <c r="A13" s="2115" t="s">
        <v>877</v>
      </c>
      <c r="B13" s="2115">
        <v>187</v>
      </c>
      <c r="C13" s="2115">
        <v>2023</v>
      </c>
      <c r="D13" s="2115">
        <v>12</v>
      </c>
      <c r="E13" s="2115">
        <v>12</v>
      </c>
      <c r="F13" s="2115">
        <v>0</v>
      </c>
      <c r="G13" s="2115" t="s">
        <v>1956</v>
      </c>
      <c r="H13" s="2206">
        <v>662437</v>
      </c>
      <c r="I13" s="2206">
        <v>0</v>
      </c>
    </row>
    <row r="14" spans="1:9" ht="15.75">
      <c r="A14" s="2115" t="s">
        <v>877</v>
      </c>
      <c r="B14" s="2115">
        <v>187</v>
      </c>
      <c r="C14" s="2115">
        <v>2023</v>
      </c>
      <c r="D14" s="2115">
        <v>12</v>
      </c>
      <c r="E14" s="2115">
        <v>13</v>
      </c>
      <c r="F14" s="2115">
        <v>0</v>
      </c>
      <c r="G14" s="2115" t="s">
        <v>1955</v>
      </c>
      <c r="H14" s="2206">
        <f>SUM(H2:H13)</f>
        <v>58315476</v>
      </c>
      <c r="I14" s="2206">
        <f>SUM(I2:I13)</f>
        <v>52497465</v>
      </c>
    </row>
    <row r="15" spans="1:9" ht="15.75">
      <c r="A15" s="2115" t="s">
        <v>877</v>
      </c>
      <c r="B15" s="2115">
        <v>187</v>
      </c>
      <c r="C15" s="2115">
        <v>2023</v>
      </c>
      <c r="D15" s="2115">
        <v>12</v>
      </c>
      <c r="E15" s="2115">
        <v>14</v>
      </c>
      <c r="F15" s="2115">
        <v>0</v>
      </c>
      <c r="G15" s="2115" t="s">
        <v>442</v>
      </c>
      <c r="H15" s="2206">
        <v>0</v>
      </c>
      <c r="I15" s="2206">
        <v>0</v>
      </c>
    </row>
    <row r="16" spans="1:9" ht="15.75">
      <c r="A16" s="2115" t="s">
        <v>877</v>
      </c>
      <c r="B16" s="2115">
        <v>187</v>
      </c>
      <c r="C16" s="2115">
        <v>2023</v>
      </c>
      <c r="D16" s="2115">
        <v>12</v>
      </c>
      <c r="E16" s="2115">
        <v>15</v>
      </c>
      <c r="F16" s="2115">
        <v>0</v>
      </c>
      <c r="G16" s="2115" t="s">
        <v>1954</v>
      </c>
      <c r="H16" s="2206">
        <v>408706</v>
      </c>
      <c r="I16" s="2206">
        <v>704474</v>
      </c>
    </row>
    <row r="17" spans="1:9" ht="15.75">
      <c r="A17" s="2115" t="s">
        <v>877</v>
      </c>
      <c r="B17" s="2115">
        <v>187</v>
      </c>
      <c r="C17" s="2115">
        <v>2023</v>
      </c>
      <c r="D17" s="2115">
        <v>12</v>
      </c>
      <c r="E17" s="2115">
        <v>16</v>
      </c>
      <c r="F17" s="2115">
        <v>0</v>
      </c>
      <c r="G17" s="2115" t="s">
        <v>1953</v>
      </c>
      <c r="H17" s="2206">
        <v>869388</v>
      </c>
      <c r="I17" s="2206">
        <v>898565</v>
      </c>
    </row>
    <row r="18" spans="1:9" ht="15.75">
      <c r="A18" s="2115" t="s">
        <v>877</v>
      </c>
      <c r="B18" s="2115">
        <v>187</v>
      </c>
      <c r="C18" s="2115">
        <v>2023</v>
      </c>
      <c r="D18" s="2115">
        <v>12</v>
      </c>
      <c r="E18" s="2115">
        <v>17</v>
      </c>
      <c r="F18" s="2115">
        <v>0</v>
      </c>
      <c r="G18" s="2115" t="s">
        <v>1952</v>
      </c>
      <c r="H18" s="2206">
        <v>7090052</v>
      </c>
      <c r="I18" s="2206">
        <v>6596152</v>
      </c>
    </row>
    <row r="19" spans="1:9" ht="15.75">
      <c r="A19" s="2115" t="s">
        <v>877</v>
      </c>
      <c r="B19" s="2115">
        <v>187</v>
      </c>
      <c r="C19" s="2115">
        <v>2023</v>
      </c>
      <c r="D19" s="2115">
        <v>12</v>
      </c>
      <c r="E19" s="2115">
        <v>18</v>
      </c>
      <c r="F19" s="2115">
        <v>0</v>
      </c>
      <c r="G19" s="2115" t="s">
        <v>1951</v>
      </c>
      <c r="H19" s="2206">
        <v>849384</v>
      </c>
      <c r="I19" s="2206">
        <v>883060</v>
      </c>
    </row>
    <row r="20" spans="1:9" ht="15.75">
      <c r="A20" s="2115" t="s">
        <v>877</v>
      </c>
      <c r="B20" s="2115">
        <v>187</v>
      </c>
      <c r="C20" s="2115">
        <v>2023</v>
      </c>
      <c r="D20" s="2115">
        <v>12</v>
      </c>
      <c r="E20" s="2115">
        <v>19</v>
      </c>
      <c r="F20" s="2115">
        <v>0</v>
      </c>
      <c r="G20" s="2115" t="s">
        <v>1950</v>
      </c>
      <c r="H20" s="2206">
        <v>1345535</v>
      </c>
      <c r="I20" s="2206">
        <v>786396</v>
      </c>
    </row>
    <row r="21" spans="1:9" ht="15.75">
      <c r="A21" s="2115" t="s">
        <v>877</v>
      </c>
      <c r="B21" s="2115">
        <v>187</v>
      </c>
      <c r="C21" s="2115">
        <v>2023</v>
      </c>
      <c r="D21" s="2115">
        <v>12</v>
      </c>
      <c r="E21" s="2115">
        <v>20</v>
      </c>
      <c r="F21" s="2115">
        <v>0</v>
      </c>
      <c r="G21" s="2115" t="s">
        <v>1949</v>
      </c>
      <c r="H21" s="2206">
        <f>SUM(H16:H20)</f>
        <v>10563065</v>
      </c>
      <c r="I21" s="2206">
        <f>SUM(I16:I20)+1</f>
        <v>9868648</v>
      </c>
    </row>
    <row r="22" spans="1:9" ht="15.75">
      <c r="A22" s="2115" t="s">
        <v>877</v>
      </c>
      <c r="B22" s="2115">
        <v>187</v>
      </c>
      <c r="C22" s="2115">
        <v>2023</v>
      </c>
      <c r="D22" s="2115">
        <v>12</v>
      </c>
      <c r="E22" s="2115">
        <v>21</v>
      </c>
      <c r="F22" s="2115">
        <v>0</v>
      </c>
      <c r="G22" s="2115" t="s">
        <v>1948</v>
      </c>
      <c r="H22" s="2206">
        <f>SUM(H14,H21)+1</f>
        <v>68878542</v>
      </c>
      <c r="I22" s="2206">
        <f>SUM(I14,I21)-1</f>
        <v>62366112</v>
      </c>
    </row>
    <row r="23" spans="1:9" ht="15.75">
      <c r="A23" s="2115" t="s">
        <v>877</v>
      </c>
      <c r="B23" s="2115">
        <v>187</v>
      </c>
      <c r="C23" s="2115">
        <v>2023</v>
      </c>
      <c r="D23" s="2115">
        <v>12</v>
      </c>
      <c r="E23" s="2115">
        <v>22</v>
      </c>
      <c r="F23" s="2115">
        <v>0</v>
      </c>
      <c r="G23" s="2115" t="s">
        <v>1947</v>
      </c>
      <c r="H23" s="2206">
        <v>0</v>
      </c>
      <c r="I23" s="2206">
        <v>0</v>
      </c>
    </row>
    <row r="24" spans="1:9" ht="15.75">
      <c r="A24" s="2115" t="s">
        <v>877</v>
      </c>
      <c r="B24" s="2115">
        <v>187</v>
      </c>
      <c r="C24" s="2115">
        <v>2023</v>
      </c>
      <c r="D24" s="2115">
        <v>12</v>
      </c>
      <c r="E24" s="2115">
        <v>23</v>
      </c>
      <c r="F24" s="2115">
        <v>0</v>
      </c>
      <c r="G24" s="2115" t="s">
        <v>441</v>
      </c>
      <c r="H24" s="2206">
        <v>0</v>
      </c>
      <c r="I24" s="2206">
        <v>0</v>
      </c>
    </row>
    <row r="25" spans="1:9" ht="15.75">
      <c r="A25" s="2115" t="s">
        <v>877</v>
      </c>
      <c r="B25" s="2115">
        <v>187</v>
      </c>
      <c r="C25" s="2115">
        <v>2023</v>
      </c>
      <c r="D25" s="2115">
        <v>12</v>
      </c>
      <c r="E25" s="2115">
        <v>24</v>
      </c>
      <c r="F25" s="2115">
        <v>0</v>
      </c>
      <c r="G25" s="2115" t="s">
        <v>1946</v>
      </c>
      <c r="H25" s="2206">
        <v>0</v>
      </c>
      <c r="I25" s="2206">
        <v>0</v>
      </c>
    </row>
    <row r="26" spans="1:9" ht="15.75">
      <c r="A26" s="2115" t="s">
        <v>877</v>
      </c>
      <c r="B26" s="2115">
        <v>187</v>
      </c>
      <c r="C26" s="2115">
        <v>2023</v>
      </c>
      <c r="D26" s="2115">
        <v>12</v>
      </c>
      <c r="E26" s="2115">
        <v>25</v>
      </c>
      <c r="F26" s="2115">
        <v>0</v>
      </c>
      <c r="G26" s="2115" t="s">
        <v>1945</v>
      </c>
      <c r="H26" s="2206">
        <v>0</v>
      </c>
      <c r="I26" s="2206">
        <v>0</v>
      </c>
    </row>
    <row r="27" spans="1:9" ht="15.75">
      <c r="A27" s="2115" t="s">
        <v>877</v>
      </c>
      <c r="B27" s="2115">
        <v>187</v>
      </c>
      <c r="C27" s="2115">
        <v>2023</v>
      </c>
      <c r="D27" s="2115">
        <v>12</v>
      </c>
      <c r="E27" s="2115">
        <v>26</v>
      </c>
      <c r="F27" s="2115">
        <v>0</v>
      </c>
      <c r="G27" s="2115" t="s">
        <v>1944</v>
      </c>
      <c r="H27" s="2206">
        <v>0</v>
      </c>
      <c r="I27" s="2206">
        <v>0</v>
      </c>
    </row>
    <row r="28" spans="1:9" ht="15.75">
      <c r="A28" s="2115" t="s">
        <v>877</v>
      </c>
      <c r="B28" s="2115">
        <v>187</v>
      </c>
      <c r="C28" s="2115">
        <v>2023</v>
      </c>
      <c r="D28" s="2115">
        <v>12</v>
      </c>
      <c r="E28" s="2115">
        <v>27</v>
      </c>
      <c r="F28" s="2115">
        <v>0</v>
      </c>
      <c r="G28" s="2115" t="s">
        <v>1943</v>
      </c>
      <c r="H28" s="2206">
        <v>0</v>
      </c>
      <c r="I28" s="2206">
        <v>0</v>
      </c>
    </row>
    <row r="29" spans="1:9" ht="15.75">
      <c r="A29" s="2115" t="s">
        <v>877</v>
      </c>
      <c r="B29" s="2115">
        <v>187</v>
      </c>
      <c r="C29" s="2115">
        <v>2023</v>
      </c>
      <c r="D29" s="2115">
        <v>12</v>
      </c>
      <c r="E29" s="2115">
        <v>28</v>
      </c>
      <c r="F29" s="2115">
        <v>0</v>
      </c>
      <c r="G29" s="2115" t="s">
        <v>1942</v>
      </c>
      <c r="H29" s="2206">
        <v>0</v>
      </c>
      <c r="I29" s="2206">
        <v>0</v>
      </c>
    </row>
    <row r="30" spans="1:9" ht="15.75">
      <c r="A30" s="2115" t="s">
        <v>877</v>
      </c>
      <c r="B30" s="2115">
        <v>187</v>
      </c>
      <c r="C30" s="2115">
        <v>2023</v>
      </c>
      <c r="D30" s="2115">
        <v>12</v>
      </c>
      <c r="E30" s="2115">
        <v>29</v>
      </c>
      <c r="F30" s="2115">
        <v>0</v>
      </c>
      <c r="G30" s="2115" t="s">
        <v>1941</v>
      </c>
      <c r="H30" s="2206">
        <v>0</v>
      </c>
      <c r="I30" s="2206">
        <v>0</v>
      </c>
    </row>
    <row r="31" spans="1:9" ht="15.75">
      <c r="A31" s="2115" t="s">
        <v>877</v>
      </c>
      <c r="B31" s="2115">
        <v>187</v>
      </c>
      <c r="C31" s="2115">
        <v>2023</v>
      </c>
      <c r="D31" s="2115">
        <v>12</v>
      </c>
      <c r="E31" s="2115">
        <v>30</v>
      </c>
      <c r="F31" s="2115">
        <v>0</v>
      </c>
      <c r="G31" s="2115" t="s">
        <v>1940</v>
      </c>
      <c r="H31" s="2206">
        <v>0</v>
      </c>
      <c r="I31" s="2206">
        <v>0</v>
      </c>
    </row>
    <row r="32" spans="1:9" ht="15.75">
      <c r="A32" s="2115" t="s">
        <v>877</v>
      </c>
      <c r="B32" s="2115">
        <v>187</v>
      </c>
      <c r="C32" s="2115">
        <v>2023</v>
      </c>
      <c r="D32" s="2115">
        <v>12</v>
      </c>
      <c r="E32" s="2115">
        <v>31</v>
      </c>
      <c r="F32" s="2115">
        <v>0</v>
      </c>
      <c r="G32" s="2115" t="s">
        <v>1939</v>
      </c>
      <c r="H32" s="2206">
        <v>0</v>
      </c>
      <c r="I32" s="2206">
        <v>0</v>
      </c>
    </row>
    <row r="33" spans="1:9" ht="15.75">
      <c r="A33" s="2115" t="s">
        <v>877</v>
      </c>
      <c r="B33" s="2115">
        <v>187</v>
      </c>
      <c r="C33" s="2115">
        <v>2023</v>
      </c>
      <c r="D33" s="2115">
        <v>12</v>
      </c>
      <c r="E33" s="2115">
        <v>32</v>
      </c>
      <c r="F33" s="2115">
        <v>0</v>
      </c>
      <c r="G33" s="2115" t="s">
        <v>1938</v>
      </c>
      <c r="H33" s="2206">
        <v>0</v>
      </c>
      <c r="I33" s="2206">
        <v>0</v>
      </c>
    </row>
    <row r="34" spans="1:9" ht="15.75">
      <c r="A34" s="2115" t="s">
        <v>877</v>
      </c>
      <c r="B34" s="2115">
        <v>187</v>
      </c>
      <c r="C34" s="2115">
        <v>2023</v>
      </c>
      <c r="D34" s="2115">
        <v>12</v>
      </c>
      <c r="E34" s="2115">
        <v>33</v>
      </c>
      <c r="F34" s="2115">
        <v>0</v>
      </c>
      <c r="G34" s="2115" t="s">
        <v>1937</v>
      </c>
      <c r="H34" s="2206">
        <v>0</v>
      </c>
      <c r="I34" s="2206">
        <v>0</v>
      </c>
    </row>
    <row r="35" spans="1:9" ht="15.75">
      <c r="A35" s="2115" t="s">
        <v>877</v>
      </c>
      <c r="B35" s="2115">
        <v>187</v>
      </c>
      <c r="C35" s="2115">
        <v>2023</v>
      </c>
      <c r="D35" s="2115">
        <v>12</v>
      </c>
      <c r="E35" s="2115">
        <v>34</v>
      </c>
      <c r="F35" s="2115">
        <v>0</v>
      </c>
      <c r="G35" s="2115" t="s">
        <v>442</v>
      </c>
      <c r="H35" s="2206">
        <v>0</v>
      </c>
      <c r="I35" s="2206">
        <v>0</v>
      </c>
    </row>
    <row r="36" spans="1:9" ht="15.75">
      <c r="A36" s="2115" t="s">
        <v>877</v>
      </c>
      <c r="B36" s="2115">
        <v>187</v>
      </c>
      <c r="C36" s="2115">
        <v>2023</v>
      </c>
      <c r="D36" s="2115">
        <v>12</v>
      </c>
      <c r="E36" s="2115">
        <v>35</v>
      </c>
      <c r="F36" s="2115">
        <v>0</v>
      </c>
      <c r="G36" s="2115" t="s">
        <v>1936</v>
      </c>
      <c r="H36" s="2206">
        <v>0</v>
      </c>
      <c r="I36" s="2206">
        <v>0</v>
      </c>
    </row>
    <row r="37" spans="1:9" ht="15.75">
      <c r="A37" s="2115" t="s">
        <v>877</v>
      </c>
      <c r="B37" s="2115">
        <v>187</v>
      </c>
      <c r="C37" s="2115">
        <v>2023</v>
      </c>
      <c r="D37" s="2115">
        <v>12</v>
      </c>
      <c r="E37" s="2115">
        <v>36</v>
      </c>
      <c r="F37" s="2115">
        <v>0</v>
      </c>
      <c r="G37" s="2115" t="s">
        <v>1935</v>
      </c>
      <c r="H37" s="2206">
        <v>0</v>
      </c>
      <c r="I37" s="2206">
        <v>0</v>
      </c>
    </row>
    <row r="38" spans="1:9" ht="15.75">
      <c r="A38" s="2115" t="s">
        <v>877</v>
      </c>
      <c r="B38" s="2115">
        <v>187</v>
      </c>
      <c r="C38" s="2115">
        <v>2023</v>
      </c>
      <c r="D38" s="2115">
        <v>12</v>
      </c>
      <c r="E38" s="2115">
        <v>37</v>
      </c>
      <c r="F38" s="2115">
        <v>0</v>
      </c>
      <c r="G38" s="2115" t="s">
        <v>1934</v>
      </c>
      <c r="H38" s="2206">
        <v>0</v>
      </c>
      <c r="I38" s="2206">
        <v>0</v>
      </c>
    </row>
    <row r="39" spans="1:9" ht="15.75">
      <c r="A39" s="2115" t="s">
        <v>877</v>
      </c>
      <c r="B39" s="2115">
        <v>187</v>
      </c>
      <c r="C39" s="2115">
        <v>2023</v>
      </c>
      <c r="D39" s="2115">
        <v>12</v>
      </c>
      <c r="E39" s="2115">
        <v>38</v>
      </c>
      <c r="F39" s="2115">
        <v>0</v>
      </c>
      <c r="G39" s="2115" t="s">
        <v>1933</v>
      </c>
      <c r="H39" s="2206">
        <v>0</v>
      </c>
      <c r="I39" s="2206">
        <v>0</v>
      </c>
    </row>
    <row r="40" spans="1:9" ht="15.75">
      <c r="A40" s="2115" t="s">
        <v>877</v>
      </c>
      <c r="B40" s="2115">
        <v>187</v>
      </c>
      <c r="C40" s="2115">
        <v>2023</v>
      </c>
      <c r="D40" s="2115">
        <v>12</v>
      </c>
      <c r="E40" s="2115">
        <v>39</v>
      </c>
      <c r="F40" s="2115">
        <v>0</v>
      </c>
      <c r="G40" s="2115" t="s">
        <v>1932</v>
      </c>
      <c r="H40" s="2206">
        <v>0</v>
      </c>
      <c r="I40" s="2206">
        <v>0</v>
      </c>
    </row>
    <row r="41" spans="1:9" ht="15.75">
      <c r="A41" s="2115" t="s">
        <v>877</v>
      </c>
      <c r="B41" s="2115">
        <v>187</v>
      </c>
      <c r="C41" s="2115">
        <v>2023</v>
      </c>
      <c r="D41" s="2115">
        <v>12</v>
      </c>
      <c r="E41" s="2115">
        <v>40</v>
      </c>
      <c r="F41" s="2115">
        <v>0</v>
      </c>
      <c r="G41" s="2115" t="s">
        <v>1931</v>
      </c>
      <c r="H41" s="2206">
        <v>0</v>
      </c>
      <c r="I41" s="2206">
        <v>0</v>
      </c>
    </row>
    <row r="42" spans="1:9" ht="15.75">
      <c r="A42" s="2115" t="s">
        <v>877</v>
      </c>
      <c r="B42" s="2115">
        <v>187</v>
      </c>
      <c r="C42" s="2115">
        <v>2023</v>
      </c>
      <c r="D42" s="2115">
        <v>12</v>
      </c>
      <c r="E42" s="2115">
        <v>41</v>
      </c>
      <c r="F42" s="2115">
        <v>0</v>
      </c>
      <c r="G42" s="2115" t="s">
        <v>1930</v>
      </c>
      <c r="H42" s="2206">
        <v>0</v>
      </c>
      <c r="I42" s="2206">
        <v>0</v>
      </c>
    </row>
    <row r="43" spans="1:9" ht="15.75">
      <c r="A43" s="2115" t="s">
        <v>877</v>
      </c>
      <c r="B43" s="2115">
        <v>187</v>
      </c>
      <c r="C43" s="2115">
        <v>2023</v>
      </c>
      <c r="D43" s="2115">
        <v>12</v>
      </c>
      <c r="E43" s="2115">
        <v>42</v>
      </c>
      <c r="F43" s="2115">
        <v>0</v>
      </c>
      <c r="G43" s="2115" t="s">
        <v>1929</v>
      </c>
      <c r="H43" s="2206">
        <v>0</v>
      </c>
      <c r="I43" s="2206">
        <v>0</v>
      </c>
    </row>
    <row r="44" spans="1:9" ht="15.75">
      <c r="A44" s="2115" t="s">
        <v>877</v>
      </c>
      <c r="B44" s="2115">
        <v>187</v>
      </c>
      <c r="C44" s="2115">
        <v>2023</v>
      </c>
      <c r="D44" s="2115">
        <v>12</v>
      </c>
      <c r="E44" s="2115">
        <v>43</v>
      </c>
      <c r="F44" s="2115">
        <v>0</v>
      </c>
      <c r="G44" s="2115" t="s">
        <v>441</v>
      </c>
      <c r="H44" s="2206">
        <v>0</v>
      </c>
      <c r="I44" s="2206">
        <v>0</v>
      </c>
    </row>
    <row r="45" spans="1:9" ht="15.75">
      <c r="A45" s="2115" t="s">
        <v>877</v>
      </c>
      <c r="B45" s="2115">
        <v>187</v>
      </c>
      <c r="C45" s="2115">
        <v>2023</v>
      </c>
      <c r="D45" s="2115">
        <v>12</v>
      </c>
      <c r="E45" s="2115">
        <v>44</v>
      </c>
      <c r="F45" s="2115">
        <v>0</v>
      </c>
      <c r="G45" s="2115" t="s">
        <v>1928</v>
      </c>
      <c r="H45" s="2206">
        <v>2459290</v>
      </c>
      <c r="I45" s="2206">
        <v>2724681</v>
      </c>
    </row>
    <row r="46" spans="1:9" ht="15.75">
      <c r="A46" s="2115" t="s">
        <v>877</v>
      </c>
      <c r="B46" s="2115">
        <v>187</v>
      </c>
      <c r="C46" s="2115">
        <v>2023</v>
      </c>
      <c r="D46" s="2115">
        <v>12</v>
      </c>
      <c r="E46" s="2115">
        <v>45</v>
      </c>
      <c r="F46" s="2115">
        <v>0</v>
      </c>
      <c r="G46" s="2115" t="s">
        <v>1927</v>
      </c>
      <c r="H46" s="2206">
        <v>1184579</v>
      </c>
      <c r="I46" s="2206">
        <v>1223862</v>
      </c>
    </row>
    <row r="47" spans="1:9" ht="15.75">
      <c r="A47" s="2115" t="s">
        <v>877</v>
      </c>
      <c r="B47" s="2115">
        <v>187</v>
      </c>
      <c r="C47" s="2115">
        <v>2023</v>
      </c>
      <c r="D47" s="2115">
        <v>12</v>
      </c>
      <c r="E47" s="2115">
        <v>46</v>
      </c>
      <c r="F47" s="2115">
        <v>0</v>
      </c>
      <c r="G47" s="2115" t="s">
        <v>1926</v>
      </c>
      <c r="H47" s="2206">
        <v>9863917</v>
      </c>
      <c r="I47" s="2206">
        <v>9475818</v>
      </c>
    </row>
    <row r="48" spans="1:9" ht="15.75">
      <c r="A48" s="2115" t="s">
        <v>877</v>
      </c>
      <c r="B48" s="2115">
        <v>187</v>
      </c>
      <c r="C48" s="2115">
        <v>2023</v>
      </c>
      <c r="D48" s="2115">
        <v>12</v>
      </c>
      <c r="E48" s="2115">
        <v>47</v>
      </c>
      <c r="F48" s="2115">
        <v>0</v>
      </c>
      <c r="G48" s="2115" t="s">
        <v>1925</v>
      </c>
      <c r="H48" s="2206">
        <v>6629557</v>
      </c>
      <c r="I48" s="2206">
        <v>6827422</v>
      </c>
    </row>
    <row r="49" spans="1:9" ht="15.75">
      <c r="A49" s="2115" t="s">
        <v>877</v>
      </c>
      <c r="B49" s="2115">
        <v>187</v>
      </c>
      <c r="C49" s="2115">
        <v>2023</v>
      </c>
      <c r="D49" s="2115">
        <v>12</v>
      </c>
      <c r="E49" s="2115">
        <v>48</v>
      </c>
      <c r="F49" s="2115">
        <v>0</v>
      </c>
      <c r="G49" s="2115" t="s">
        <v>1924</v>
      </c>
      <c r="H49" s="2206">
        <v>2203306</v>
      </c>
      <c r="I49" s="2206">
        <v>1731229</v>
      </c>
    </row>
    <row r="50" spans="1:9" ht="15.75">
      <c r="A50" s="2115" t="s">
        <v>877</v>
      </c>
      <c r="B50" s="2115">
        <v>187</v>
      </c>
      <c r="C50" s="2115">
        <v>2023</v>
      </c>
      <c r="D50" s="2115">
        <v>12</v>
      </c>
      <c r="E50" s="2115">
        <v>49</v>
      </c>
      <c r="F50" s="2115">
        <v>0</v>
      </c>
      <c r="G50" s="2115" t="s">
        <v>1923</v>
      </c>
      <c r="H50" s="2206">
        <v>7611335</v>
      </c>
      <c r="I50" s="2206">
        <v>7200284</v>
      </c>
    </row>
    <row r="51" spans="1:9" ht="15.75">
      <c r="A51" s="2115" t="s">
        <v>877</v>
      </c>
      <c r="B51" s="2115">
        <v>187</v>
      </c>
      <c r="C51" s="2115">
        <v>2023</v>
      </c>
      <c r="D51" s="2115">
        <v>12</v>
      </c>
      <c r="E51" s="2115">
        <v>50</v>
      </c>
      <c r="F51" s="2115">
        <v>0</v>
      </c>
      <c r="G51" s="2115" t="s">
        <v>1922</v>
      </c>
      <c r="H51" s="2206">
        <f>SUM(H45:H50)</f>
        <v>29951984</v>
      </c>
      <c r="I51" s="2206">
        <f>SUM(I45:I50)</f>
        <v>29183296</v>
      </c>
    </row>
    <row r="52" spans="1:9" ht="15.75">
      <c r="A52" s="2115" t="s">
        <v>877</v>
      </c>
      <c r="B52" s="2115">
        <v>187</v>
      </c>
      <c r="C52" s="2115">
        <v>2023</v>
      </c>
      <c r="D52" s="2115">
        <v>12</v>
      </c>
      <c r="E52" s="2115">
        <v>51</v>
      </c>
      <c r="F52" s="2115">
        <v>0</v>
      </c>
      <c r="G52" s="2115" t="s">
        <v>1921</v>
      </c>
      <c r="H52" s="2206">
        <v>0</v>
      </c>
      <c r="I52" s="2206">
        <v>0</v>
      </c>
    </row>
    <row r="53" spans="1:9" ht="15.75">
      <c r="A53" s="2115" t="s">
        <v>877</v>
      </c>
      <c r="B53" s="2115">
        <v>187</v>
      </c>
      <c r="C53" s="2115">
        <v>2023</v>
      </c>
      <c r="D53" s="2115">
        <v>12</v>
      </c>
      <c r="E53" s="2115">
        <v>52</v>
      </c>
      <c r="F53" s="2115">
        <v>0</v>
      </c>
      <c r="G53" s="2115" t="s">
        <v>442</v>
      </c>
      <c r="H53" s="2206">
        <v>0</v>
      </c>
      <c r="I53" s="2206">
        <v>0</v>
      </c>
    </row>
    <row r="54" spans="1:9" ht="15.75">
      <c r="A54" s="2115" t="s">
        <v>877</v>
      </c>
      <c r="B54" s="2115">
        <v>187</v>
      </c>
      <c r="C54" s="2115">
        <v>2023</v>
      </c>
      <c r="D54" s="2115">
        <v>12</v>
      </c>
      <c r="E54" s="2115">
        <v>53</v>
      </c>
      <c r="F54" s="2115">
        <v>0</v>
      </c>
      <c r="G54" s="2115" t="s">
        <v>1920</v>
      </c>
      <c r="H54" s="2206">
        <v>714032</v>
      </c>
      <c r="I54" s="2206">
        <v>819291</v>
      </c>
    </row>
    <row r="55" spans="1:9" ht="15.75">
      <c r="A55" s="2115" t="s">
        <v>877</v>
      </c>
      <c r="B55" s="2115">
        <v>187</v>
      </c>
      <c r="C55" s="2115">
        <v>2023</v>
      </c>
      <c r="D55" s="2115">
        <v>12</v>
      </c>
      <c r="E55" s="2115">
        <v>54</v>
      </c>
      <c r="F55" s="2115">
        <v>0</v>
      </c>
      <c r="G55" s="2115" t="s">
        <v>1919</v>
      </c>
      <c r="H55" s="2206">
        <v>498079</v>
      </c>
      <c r="I55" s="2206">
        <v>1044569</v>
      </c>
    </row>
    <row r="56" spans="1:9" ht="15.75">
      <c r="A56" s="2115" t="s">
        <v>877</v>
      </c>
      <c r="B56" s="2115">
        <v>187</v>
      </c>
      <c r="C56" s="2115">
        <v>2023</v>
      </c>
      <c r="D56" s="2115">
        <v>12</v>
      </c>
      <c r="E56" s="2115">
        <v>55</v>
      </c>
      <c r="F56" s="2115">
        <v>0</v>
      </c>
      <c r="G56" s="2115" t="s">
        <v>1918</v>
      </c>
      <c r="H56" s="2206">
        <v>497535</v>
      </c>
      <c r="I56" s="2206">
        <v>888287</v>
      </c>
    </row>
    <row r="57" spans="1:9" ht="15.75">
      <c r="A57" s="2115" t="s">
        <v>877</v>
      </c>
      <c r="B57" s="2115">
        <v>187</v>
      </c>
      <c r="C57" s="2115">
        <v>2023</v>
      </c>
      <c r="D57" s="2115">
        <v>12</v>
      </c>
      <c r="E57" s="2115">
        <v>56</v>
      </c>
      <c r="F57" s="2115">
        <v>0</v>
      </c>
      <c r="G57" s="2115" t="s">
        <v>1917</v>
      </c>
      <c r="H57" s="2206">
        <v>3128062</v>
      </c>
      <c r="I57" s="2206">
        <v>3607943</v>
      </c>
    </row>
    <row r="58" spans="1:9" ht="15.75">
      <c r="A58" s="2115" t="s">
        <v>877</v>
      </c>
      <c r="B58" s="2115">
        <v>187</v>
      </c>
      <c r="C58" s="2115">
        <v>2023</v>
      </c>
      <c r="D58" s="2115">
        <v>12</v>
      </c>
      <c r="E58" s="2115">
        <v>57</v>
      </c>
      <c r="F58" s="2115">
        <v>0</v>
      </c>
      <c r="G58" s="2115" t="s">
        <v>1916</v>
      </c>
      <c r="H58" s="2206">
        <v>663386</v>
      </c>
      <c r="I58" s="2206">
        <v>752814</v>
      </c>
    </row>
    <row r="59" spans="1:9" ht="15.75">
      <c r="A59" s="2115" t="s">
        <v>877</v>
      </c>
      <c r="B59" s="2115">
        <v>187</v>
      </c>
      <c r="C59" s="2115">
        <v>2023</v>
      </c>
      <c r="D59" s="2115">
        <v>12</v>
      </c>
      <c r="E59" s="2115">
        <v>58</v>
      </c>
      <c r="F59" s="2115">
        <v>0</v>
      </c>
      <c r="G59" s="2115" t="s">
        <v>1915</v>
      </c>
      <c r="H59" s="2206">
        <f>SUM(H54:H58)-1</f>
        <v>5501093</v>
      </c>
      <c r="I59" s="2206">
        <f>SUM(I54:I58)+1</f>
        <v>7112905</v>
      </c>
    </row>
    <row r="60" spans="1:9" ht="15.75">
      <c r="A60" s="2115" t="s">
        <v>877</v>
      </c>
      <c r="B60" s="2115">
        <v>187</v>
      </c>
      <c r="C60" s="2115">
        <v>2023</v>
      </c>
      <c r="D60" s="2115">
        <v>12</v>
      </c>
      <c r="E60" s="2115">
        <v>59</v>
      </c>
      <c r="F60" s="2115">
        <v>0</v>
      </c>
      <c r="G60" s="2115" t="s">
        <v>1914</v>
      </c>
      <c r="H60" s="2206">
        <f>SUM(H51,H59)</f>
        <v>35453077</v>
      </c>
      <c r="I60" s="2206">
        <f>SUM(I51,I59)</f>
        <v>36296201</v>
      </c>
    </row>
    <row r="61" spans="1:9" ht="15.75">
      <c r="A61" s="2115" t="s">
        <v>877</v>
      </c>
      <c r="B61" s="2115">
        <v>187</v>
      </c>
      <c r="C61" s="2115">
        <v>2023</v>
      </c>
      <c r="D61" s="2115">
        <v>12</v>
      </c>
      <c r="E61" s="2115">
        <v>60</v>
      </c>
      <c r="F61" s="2115">
        <v>0</v>
      </c>
      <c r="G61" s="2115" t="s">
        <v>1913</v>
      </c>
      <c r="H61" s="2206">
        <v>0</v>
      </c>
      <c r="I61" s="2206">
        <v>0</v>
      </c>
    </row>
    <row r="62" spans="1:9" ht="15.75">
      <c r="A62" s="2115" t="s">
        <v>877</v>
      </c>
      <c r="B62" s="2115">
        <v>187</v>
      </c>
      <c r="C62" s="2115">
        <v>2023</v>
      </c>
      <c r="D62" s="2115">
        <v>12</v>
      </c>
      <c r="E62" s="2115">
        <v>61</v>
      </c>
      <c r="F62" s="2115">
        <v>0</v>
      </c>
      <c r="G62" s="2115" t="s">
        <v>441</v>
      </c>
      <c r="H62" s="2206">
        <v>0</v>
      </c>
      <c r="I62" s="2206">
        <v>0</v>
      </c>
    </row>
    <row r="63" spans="1:9" ht="15.75">
      <c r="A63" s="2115" t="s">
        <v>877</v>
      </c>
      <c r="B63" s="2115">
        <v>187</v>
      </c>
      <c r="C63" s="2115">
        <v>2023</v>
      </c>
      <c r="D63" s="2115">
        <v>12</v>
      </c>
      <c r="E63" s="2115">
        <v>62</v>
      </c>
      <c r="F63" s="2115">
        <v>0</v>
      </c>
      <c r="G63" s="2115" t="s">
        <v>1912</v>
      </c>
      <c r="H63" s="2206">
        <v>893882</v>
      </c>
      <c r="I63" s="2206">
        <v>379621</v>
      </c>
    </row>
    <row r="64" spans="1:9" ht="15.75">
      <c r="A64" s="2115" t="s">
        <v>877</v>
      </c>
      <c r="B64" s="2115">
        <v>187</v>
      </c>
      <c r="C64" s="2115">
        <v>2023</v>
      </c>
      <c r="D64" s="2115">
        <v>12</v>
      </c>
      <c r="E64" s="2115">
        <v>63</v>
      </c>
      <c r="F64" s="2115">
        <v>0</v>
      </c>
      <c r="G64" s="2115" t="s">
        <v>1911</v>
      </c>
      <c r="H64" s="2206">
        <v>116227146</v>
      </c>
      <c r="I64" s="2206">
        <v>171864307</v>
      </c>
    </row>
    <row r="65" spans="1:12" ht="15.75">
      <c r="A65" s="2115" t="s">
        <v>877</v>
      </c>
      <c r="B65" s="2115">
        <v>187</v>
      </c>
      <c r="C65" s="2115">
        <v>2023</v>
      </c>
      <c r="D65" s="2115">
        <v>12</v>
      </c>
      <c r="E65" s="2115">
        <v>64</v>
      </c>
      <c r="F65" s="2115">
        <v>0</v>
      </c>
      <c r="G65" s="2115" t="s">
        <v>1910</v>
      </c>
      <c r="H65" s="2206">
        <v>3899765</v>
      </c>
      <c r="I65" s="2206">
        <v>2572735</v>
      </c>
    </row>
    <row r="66" spans="1:12" ht="15.75">
      <c r="A66" s="2115" t="s">
        <v>877</v>
      </c>
      <c r="B66" s="2115">
        <v>187</v>
      </c>
      <c r="C66" s="2115">
        <v>2023</v>
      </c>
      <c r="D66" s="2115">
        <v>12</v>
      </c>
      <c r="E66" s="2115">
        <v>65</v>
      </c>
      <c r="F66" s="2115">
        <v>0</v>
      </c>
      <c r="G66" s="2115" t="s">
        <v>1909</v>
      </c>
      <c r="H66" s="2206">
        <v>945275</v>
      </c>
      <c r="I66" s="2206">
        <v>779929</v>
      </c>
    </row>
    <row r="67" spans="1:12" ht="15.75">
      <c r="A67" s="2115" t="s">
        <v>877</v>
      </c>
      <c r="B67" s="2115">
        <v>187</v>
      </c>
      <c r="C67" s="2115">
        <v>2023</v>
      </c>
      <c r="D67" s="2115">
        <v>12</v>
      </c>
      <c r="E67" s="2115">
        <v>66</v>
      </c>
      <c r="F67" s="2115">
        <v>0</v>
      </c>
      <c r="G67" s="2115" t="s">
        <v>1908</v>
      </c>
      <c r="H67" s="2206">
        <v>103105</v>
      </c>
      <c r="I67" s="2206">
        <v>87122</v>
      </c>
    </row>
    <row r="68" spans="1:12" ht="15.75">
      <c r="A68" s="2115" t="s">
        <v>877</v>
      </c>
      <c r="B68" s="2115">
        <v>187</v>
      </c>
      <c r="C68" s="2115">
        <v>2023</v>
      </c>
      <c r="D68" s="2115">
        <v>12</v>
      </c>
      <c r="E68" s="2115">
        <v>67</v>
      </c>
      <c r="F68" s="2115">
        <v>0</v>
      </c>
      <c r="G68" s="2115" t="s">
        <v>1907</v>
      </c>
      <c r="H68" s="2206">
        <f>SUM(H63:H67)+1</f>
        <v>122069174</v>
      </c>
      <c r="I68" s="2206">
        <f>SUM(I63:I67)</f>
        <v>175683714</v>
      </c>
    </row>
    <row r="69" spans="1:12" ht="15.75">
      <c r="A69" s="2115" t="s">
        <v>877</v>
      </c>
      <c r="B69" s="2115">
        <v>187</v>
      </c>
      <c r="C69" s="2115">
        <v>2023</v>
      </c>
      <c r="D69" s="2115">
        <v>12</v>
      </c>
      <c r="E69" s="2115">
        <v>68</v>
      </c>
      <c r="F69" s="2115">
        <v>0</v>
      </c>
      <c r="G69" s="2115" t="s">
        <v>442</v>
      </c>
      <c r="H69" s="2206">
        <v>0</v>
      </c>
      <c r="I69" s="2206">
        <v>0</v>
      </c>
      <c r="K69" s="1978">
        <v>2023</v>
      </c>
    </row>
    <row r="70" spans="1:12" ht="15.75">
      <c r="A70" s="2115" t="s">
        <v>877</v>
      </c>
      <c r="B70" s="2115">
        <v>187</v>
      </c>
      <c r="C70" s="2115">
        <v>2023</v>
      </c>
      <c r="D70" s="2115">
        <v>12</v>
      </c>
      <c r="E70" s="2115">
        <v>69</v>
      </c>
      <c r="F70" s="2115">
        <v>0</v>
      </c>
      <c r="G70" s="2115" t="s">
        <v>1906</v>
      </c>
      <c r="H70" s="2206">
        <v>768609</v>
      </c>
      <c r="I70" s="2206">
        <v>751930</v>
      </c>
      <c r="K70" s="1958">
        <v>721322</v>
      </c>
      <c r="L70" s="1958">
        <f>K70-H70</f>
        <v>-47287</v>
      </c>
    </row>
    <row r="71" spans="1:12" ht="15.75">
      <c r="A71" s="2115" t="s">
        <v>877</v>
      </c>
      <c r="B71" s="2115">
        <v>187</v>
      </c>
      <c r="C71" s="2115">
        <v>2023</v>
      </c>
      <c r="D71" s="2115">
        <v>12</v>
      </c>
      <c r="E71" s="2115">
        <v>70</v>
      </c>
      <c r="F71" s="2115">
        <v>0</v>
      </c>
      <c r="G71" s="2115" t="s">
        <v>1905</v>
      </c>
      <c r="H71" s="2206">
        <v>138993</v>
      </c>
      <c r="I71" s="2206">
        <v>93800</v>
      </c>
      <c r="K71" s="1958">
        <v>194208</v>
      </c>
      <c r="L71" s="1958">
        <f>K71-H71</f>
        <v>55215</v>
      </c>
    </row>
    <row r="72" spans="1:12" ht="15.75">
      <c r="A72" s="2115" t="s">
        <v>877</v>
      </c>
      <c r="B72" s="2115">
        <v>187</v>
      </c>
      <c r="C72" s="2115">
        <v>2023</v>
      </c>
      <c r="D72" s="2115">
        <v>12</v>
      </c>
      <c r="E72" s="2115">
        <v>71</v>
      </c>
      <c r="F72" s="2115">
        <v>0</v>
      </c>
      <c r="G72" s="2115" t="s">
        <v>1904</v>
      </c>
      <c r="H72" s="2206">
        <v>2012409</v>
      </c>
      <c r="I72" s="2206">
        <v>3975265</v>
      </c>
      <c r="K72" s="1958">
        <v>4471719</v>
      </c>
      <c r="L72" s="1958">
        <f>K72-H72</f>
        <v>2459310</v>
      </c>
    </row>
    <row r="73" spans="1:12" ht="15.75">
      <c r="A73" s="2115" t="s">
        <v>877</v>
      </c>
      <c r="B73" s="2115">
        <v>187</v>
      </c>
      <c r="C73" s="2115">
        <v>2023</v>
      </c>
      <c r="D73" s="2115">
        <v>12</v>
      </c>
      <c r="E73" s="2115">
        <v>72</v>
      </c>
      <c r="F73" s="2115">
        <v>0</v>
      </c>
      <c r="G73" s="2115" t="s">
        <v>1903</v>
      </c>
      <c r="H73" s="2206">
        <v>862263</v>
      </c>
      <c r="I73" s="2206">
        <v>535519</v>
      </c>
      <c r="K73" s="1958">
        <v>423855</v>
      </c>
      <c r="L73" s="1958">
        <f>K73-H73</f>
        <v>-438408</v>
      </c>
    </row>
    <row r="74" spans="1:12" ht="15.75">
      <c r="A74" s="2115" t="s">
        <v>877</v>
      </c>
      <c r="B74" s="2115">
        <v>187</v>
      </c>
      <c r="C74" s="2115">
        <v>2023</v>
      </c>
      <c r="D74" s="2115">
        <v>12</v>
      </c>
      <c r="E74" s="2115">
        <v>73</v>
      </c>
      <c r="F74" s="2115">
        <v>0</v>
      </c>
      <c r="G74" s="2115" t="s">
        <v>1902</v>
      </c>
      <c r="H74" s="2206">
        <f>SUM(H70:H73)</f>
        <v>3782274</v>
      </c>
      <c r="I74" s="2206">
        <f>SUM(I70:I73)+1</f>
        <v>5356515</v>
      </c>
      <c r="K74" s="1958">
        <v>5811104</v>
      </c>
      <c r="L74" s="1958">
        <f>K74-H74</f>
        <v>2028830</v>
      </c>
    </row>
    <row r="75" spans="1:12" ht="15.75">
      <c r="A75" s="2115" t="s">
        <v>877</v>
      </c>
      <c r="B75" s="2115">
        <v>187</v>
      </c>
      <c r="C75" s="2115">
        <v>2023</v>
      </c>
      <c r="D75" s="2115">
        <v>12</v>
      </c>
      <c r="E75" s="2115">
        <v>74</v>
      </c>
      <c r="F75" s="2115">
        <v>0</v>
      </c>
      <c r="G75" s="2115" t="s">
        <v>1901</v>
      </c>
      <c r="H75" s="2206">
        <f>SUM(H68,H74)</f>
        <v>125851448</v>
      </c>
      <c r="I75" s="2206">
        <f>SUM(I68,I74)</f>
        <v>181040229</v>
      </c>
    </row>
    <row r="76" spans="1:12" ht="15.75">
      <c r="A76" s="2115" t="s">
        <v>877</v>
      </c>
      <c r="B76" s="2115">
        <v>187</v>
      </c>
      <c r="C76" s="2115">
        <v>2023</v>
      </c>
      <c r="D76" s="2115">
        <v>12</v>
      </c>
      <c r="E76" s="2115">
        <v>75</v>
      </c>
      <c r="F76" s="2115">
        <v>0</v>
      </c>
      <c r="G76" s="2115" t="s">
        <v>1900</v>
      </c>
      <c r="H76" s="2206">
        <v>0</v>
      </c>
      <c r="I76" s="2206">
        <v>0</v>
      </c>
    </row>
    <row r="77" spans="1:12" ht="15.75">
      <c r="A77" s="2115" t="s">
        <v>877</v>
      </c>
      <c r="B77" s="2115">
        <v>187</v>
      </c>
      <c r="C77" s="2115">
        <v>2023</v>
      </c>
      <c r="D77" s="2115">
        <v>12</v>
      </c>
      <c r="E77" s="2115">
        <v>76</v>
      </c>
      <c r="F77" s="2115">
        <v>0</v>
      </c>
      <c r="G77" s="2115" t="s">
        <v>1899</v>
      </c>
      <c r="H77" s="2206">
        <v>209295625</v>
      </c>
      <c r="I77" s="2206">
        <v>191412443</v>
      </c>
    </row>
    <row r="78" spans="1:12" ht="15.75">
      <c r="A78" s="2115"/>
      <c r="B78" s="2115"/>
      <c r="C78" s="2115">
        <v>2023</v>
      </c>
      <c r="D78" s="2115"/>
      <c r="E78" s="2115"/>
      <c r="F78" s="2115"/>
      <c r="G78" s="2115" t="s">
        <v>1898</v>
      </c>
      <c r="H78" s="2206">
        <v>7132090</v>
      </c>
      <c r="I78" s="2206">
        <v>252740</v>
      </c>
    </row>
    <row r="79" spans="1:12" ht="15.75">
      <c r="A79" s="2115" t="s">
        <v>877</v>
      </c>
      <c r="B79" s="2115">
        <v>187</v>
      </c>
      <c r="C79" s="2115">
        <v>2023</v>
      </c>
      <c r="D79" s="2115">
        <v>12</v>
      </c>
      <c r="E79" s="2115">
        <v>77</v>
      </c>
      <c r="F79" s="2115">
        <v>0</v>
      </c>
      <c r="G79" s="2115" t="s">
        <v>1897</v>
      </c>
      <c r="H79" s="2206">
        <v>764664</v>
      </c>
      <c r="I79" s="2206">
        <v>1044735</v>
      </c>
    </row>
    <row r="80" spans="1:12" ht="15.75">
      <c r="A80" s="2115" t="s">
        <v>877</v>
      </c>
      <c r="B80" s="2115">
        <v>187</v>
      </c>
      <c r="C80" s="2115">
        <v>2023</v>
      </c>
      <c r="D80" s="2115">
        <v>12</v>
      </c>
      <c r="E80" s="2115">
        <v>78</v>
      </c>
      <c r="F80" s="2115">
        <v>0</v>
      </c>
      <c r="G80" s="2115" t="s">
        <v>1896</v>
      </c>
      <c r="H80" s="2206">
        <v>38247947</v>
      </c>
      <c r="I80" s="2206">
        <v>43909712</v>
      </c>
    </row>
    <row r="81" spans="1:9" ht="15.75">
      <c r="A81" s="2115" t="s">
        <v>877</v>
      </c>
      <c r="B81" s="2115">
        <v>187</v>
      </c>
      <c r="C81" s="2115">
        <v>2023</v>
      </c>
      <c r="D81" s="2115">
        <v>12</v>
      </c>
      <c r="E81" s="2115">
        <v>79</v>
      </c>
      <c r="F81" s="2115">
        <v>0</v>
      </c>
      <c r="G81" s="2115" t="s">
        <v>1895</v>
      </c>
      <c r="H81" s="2206">
        <f>SUM(H77:H80)</f>
        <v>255440326</v>
      </c>
      <c r="I81" s="2206">
        <f>SUM(I77:I80)</f>
        <v>236619630</v>
      </c>
    </row>
    <row r="82" spans="1:9" ht="15.75">
      <c r="A82" s="2115" t="s">
        <v>877</v>
      </c>
      <c r="B82" s="2115">
        <v>187</v>
      </c>
      <c r="C82" s="2115">
        <v>2023</v>
      </c>
      <c r="D82" s="2115">
        <v>12</v>
      </c>
      <c r="E82" s="2115">
        <v>80</v>
      </c>
      <c r="F82" s="2115">
        <v>0</v>
      </c>
      <c r="G82" s="2115" t="s">
        <v>1894</v>
      </c>
      <c r="H82" s="2206">
        <f>SUM(H22,H60,H68,H81,H74)</f>
        <v>485623393</v>
      </c>
      <c r="I82" s="2206">
        <f>SUM(I22,I60,I68,I81,I74)</f>
        <v>516322172</v>
      </c>
    </row>
    <row r="83" spans="1:9" ht="15.75">
      <c r="A83" s="2115" t="s">
        <v>877</v>
      </c>
      <c r="B83" s="2115">
        <v>187</v>
      </c>
      <c r="C83" s="2115">
        <v>2023</v>
      </c>
      <c r="D83" s="2115">
        <v>12</v>
      </c>
      <c r="E83" s="2115">
        <v>81</v>
      </c>
      <c r="F83" s="2115">
        <v>0</v>
      </c>
      <c r="G83" s="2115" t="s">
        <v>1893</v>
      </c>
      <c r="H83" s="2206">
        <v>0</v>
      </c>
      <c r="I83" s="2206">
        <v>0</v>
      </c>
    </row>
    <row r="84" spans="1:9" ht="15.75">
      <c r="A84" s="2115" t="s">
        <v>877</v>
      </c>
      <c r="B84" s="2115">
        <v>187</v>
      </c>
      <c r="C84" s="2115">
        <v>2023</v>
      </c>
      <c r="D84" s="2115">
        <v>12</v>
      </c>
      <c r="E84" s="2115">
        <v>82</v>
      </c>
      <c r="F84" s="2115">
        <v>0</v>
      </c>
      <c r="G84" s="2115" t="s">
        <v>441</v>
      </c>
      <c r="H84" s="2206">
        <v>0</v>
      </c>
      <c r="I84" s="2206">
        <v>0</v>
      </c>
    </row>
    <row r="85" spans="1:9" ht="15.75">
      <c r="A85" s="2115" t="s">
        <v>877</v>
      </c>
      <c r="B85" s="2115">
        <v>187</v>
      </c>
      <c r="C85" s="2115">
        <v>2023</v>
      </c>
      <c r="D85" s="2115">
        <v>12</v>
      </c>
      <c r="E85" s="2115">
        <v>83</v>
      </c>
      <c r="F85" s="2115">
        <v>0</v>
      </c>
      <c r="G85" s="2115" t="s">
        <v>1892</v>
      </c>
      <c r="H85" s="2206">
        <v>2084569</v>
      </c>
      <c r="I85" s="2206">
        <v>1947022</v>
      </c>
    </row>
    <row r="86" spans="1:9" ht="15.75">
      <c r="A86" s="2115" t="s">
        <v>877</v>
      </c>
      <c r="B86" s="2115">
        <v>187</v>
      </c>
      <c r="C86" s="2115">
        <v>2023</v>
      </c>
      <c r="D86" s="2115">
        <v>12</v>
      </c>
      <c r="E86" s="2115">
        <v>84</v>
      </c>
      <c r="F86" s="2115">
        <v>0</v>
      </c>
      <c r="G86" s="2115" t="s">
        <v>728</v>
      </c>
      <c r="H86" s="2206">
        <v>0</v>
      </c>
      <c r="I86" s="2206">
        <v>0</v>
      </c>
    </row>
    <row r="87" spans="1:9" ht="15.75">
      <c r="A87" s="2115" t="s">
        <v>877</v>
      </c>
      <c r="B87" s="2115">
        <v>187</v>
      </c>
      <c r="C87" s="2115">
        <v>2023</v>
      </c>
      <c r="D87" s="2115">
        <v>12</v>
      </c>
      <c r="E87" s="2115">
        <v>85</v>
      </c>
      <c r="F87" s="2115">
        <v>0</v>
      </c>
      <c r="G87" s="2115" t="s">
        <v>1891</v>
      </c>
      <c r="H87" s="2206">
        <v>45236</v>
      </c>
      <c r="I87" s="2206">
        <v>18859</v>
      </c>
    </row>
    <row r="88" spans="1:9" ht="15.75">
      <c r="A88" s="2115" t="s">
        <v>877</v>
      </c>
      <c r="B88" s="2115">
        <v>187</v>
      </c>
      <c r="C88" s="2115">
        <v>2023</v>
      </c>
      <c r="D88" s="2115">
        <v>12</v>
      </c>
      <c r="E88" s="2115">
        <v>86</v>
      </c>
      <c r="F88" s="2115">
        <v>0</v>
      </c>
      <c r="G88" s="2115" t="s">
        <v>1890</v>
      </c>
      <c r="H88" s="2206">
        <v>1503318</v>
      </c>
      <c r="I88" s="2206">
        <v>1727109</v>
      </c>
    </row>
    <row r="89" spans="1:9" ht="15.75">
      <c r="A89" s="2115" t="s">
        <v>877</v>
      </c>
      <c r="B89" s="2115">
        <v>187</v>
      </c>
      <c r="C89" s="2115">
        <v>2023</v>
      </c>
      <c r="D89" s="2115">
        <v>12</v>
      </c>
      <c r="E89" s="2115">
        <v>87</v>
      </c>
      <c r="F89" s="2115">
        <v>0</v>
      </c>
      <c r="G89" s="2115" t="s">
        <v>1889</v>
      </c>
      <c r="H89" s="2206">
        <v>965836</v>
      </c>
      <c r="I89" s="2206">
        <v>916919</v>
      </c>
    </row>
    <row r="90" spans="1:9" ht="15.75">
      <c r="A90" s="2115" t="s">
        <v>877</v>
      </c>
      <c r="B90" s="2115">
        <v>187</v>
      </c>
      <c r="C90" s="2115">
        <v>2023</v>
      </c>
      <c r="D90" s="2115">
        <v>12</v>
      </c>
      <c r="E90" s="2115">
        <v>88</v>
      </c>
      <c r="F90" s="2115">
        <v>0</v>
      </c>
      <c r="G90" s="2115" t="s">
        <v>1888</v>
      </c>
      <c r="H90" s="2206">
        <v>0</v>
      </c>
      <c r="I90" s="2206">
        <v>0</v>
      </c>
    </row>
    <row r="91" spans="1:9" ht="15.75">
      <c r="A91" s="2115" t="s">
        <v>877</v>
      </c>
      <c r="B91" s="2115">
        <v>187</v>
      </c>
      <c r="C91" s="2115">
        <v>2023</v>
      </c>
      <c r="D91" s="2115">
        <v>12</v>
      </c>
      <c r="E91" s="2115">
        <v>89</v>
      </c>
      <c r="F91" s="2115">
        <v>0</v>
      </c>
      <c r="G91" s="2115" t="s">
        <v>1887</v>
      </c>
      <c r="H91" s="2206">
        <v>565721</v>
      </c>
      <c r="I91" s="2206">
        <v>596438</v>
      </c>
    </row>
    <row r="92" spans="1:9" ht="15.75">
      <c r="A92" s="2115" t="s">
        <v>877</v>
      </c>
      <c r="B92" s="2115">
        <v>187</v>
      </c>
      <c r="C92" s="2115">
        <v>2023</v>
      </c>
      <c r="D92" s="2115">
        <v>12</v>
      </c>
      <c r="E92" s="2115">
        <v>90</v>
      </c>
      <c r="F92" s="2115">
        <v>0</v>
      </c>
      <c r="G92" s="2115" t="s">
        <v>1886</v>
      </c>
      <c r="H92" s="2206">
        <v>0</v>
      </c>
      <c r="I92" s="2206">
        <v>3944</v>
      </c>
    </row>
    <row r="93" spans="1:9" ht="15.75">
      <c r="A93" s="2115" t="s">
        <v>877</v>
      </c>
      <c r="B93" s="2115">
        <v>187</v>
      </c>
      <c r="C93" s="2115">
        <v>2023</v>
      </c>
      <c r="D93" s="2115">
        <v>12</v>
      </c>
      <c r="E93" s="2115">
        <v>91</v>
      </c>
      <c r="F93" s="2115">
        <v>0</v>
      </c>
      <c r="G93" s="2115" t="s">
        <v>1885</v>
      </c>
      <c r="H93" s="2206">
        <v>0</v>
      </c>
      <c r="I93" s="2206">
        <v>5704</v>
      </c>
    </row>
    <row r="94" spans="1:9" ht="15.75">
      <c r="A94" s="2115" t="s">
        <v>877</v>
      </c>
      <c r="B94" s="2115">
        <v>187</v>
      </c>
      <c r="C94" s="2115">
        <v>2023</v>
      </c>
      <c r="D94" s="2115">
        <v>12</v>
      </c>
      <c r="E94" s="2115">
        <v>92</v>
      </c>
      <c r="F94" s="2115">
        <v>0</v>
      </c>
      <c r="G94" s="2115" t="s">
        <v>1884</v>
      </c>
      <c r="H94" s="2206">
        <v>0</v>
      </c>
      <c r="I94" s="2206">
        <v>0</v>
      </c>
    </row>
    <row r="95" spans="1:9" ht="15.75">
      <c r="A95" s="2115" t="s">
        <v>877</v>
      </c>
      <c r="B95" s="2115">
        <v>187</v>
      </c>
      <c r="C95" s="2115">
        <v>2023</v>
      </c>
      <c r="D95" s="2115">
        <v>12</v>
      </c>
      <c r="E95" s="2115">
        <v>93</v>
      </c>
      <c r="F95" s="2115">
        <v>0</v>
      </c>
      <c r="G95" s="2115" t="s">
        <v>1883</v>
      </c>
      <c r="H95" s="2206">
        <v>397216</v>
      </c>
      <c r="I95" s="2206">
        <v>455206</v>
      </c>
    </row>
    <row r="96" spans="1:9" ht="15.75">
      <c r="A96" s="2115" t="s">
        <v>877</v>
      </c>
      <c r="B96" s="2115">
        <v>187</v>
      </c>
      <c r="C96" s="2115">
        <v>2023</v>
      </c>
      <c r="D96" s="2115">
        <v>12</v>
      </c>
      <c r="E96" s="2115">
        <v>94</v>
      </c>
      <c r="F96" s="2115">
        <v>0</v>
      </c>
      <c r="G96" s="2115" t="s">
        <v>1882</v>
      </c>
      <c r="H96" s="2206">
        <v>324854</v>
      </c>
      <c r="I96" s="2206">
        <v>524834</v>
      </c>
    </row>
    <row r="97" spans="1:9" ht="15.75">
      <c r="A97" s="2115" t="s">
        <v>877</v>
      </c>
      <c r="B97" s="2115">
        <v>187</v>
      </c>
      <c r="C97" s="2115">
        <v>2023</v>
      </c>
      <c r="D97" s="2115">
        <v>12</v>
      </c>
      <c r="E97" s="2115">
        <v>95</v>
      </c>
      <c r="F97" s="2115">
        <v>0</v>
      </c>
      <c r="G97" s="2115" t="s">
        <v>1881</v>
      </c>
      <c r="H97" s="2206">
        <v>0</v>
      </c>
      <c r="I97" s="2206">
        <v>0</v>
      </c>
    </row>
    <row r="98" spans="1:9" ht="15.75">
      <c r="A98" s="2115" t="s">
        <v>877</v>
      </c>
      <c r="B98" s="2115">
        <v>187</v>
      </c>
      <c r="C98" s="2115">
        <v>2023</v>
      </c>
      <c r="D98" s="2115">
        <v>12</v>
      </c>
      <c r="E98" s="2115">
        <v>96</v>
      </c>
      <c r="F98" s="2115">
        <v>0</v>
      </c>
      <c r="G98" s="2115" t="s">
        <v>1880</v>
      </c>
      <c r="H98" s="2206">
        <v>19063436</v>
      </c>
      <c r="I98" s="2206">
        <v>20220629</v>
      </c>
    </row>
    <row r="99" spans="1:9" ht="15.75">
      <c r="A99" s="2115" t="s">
        <v>877</v>
      </c>
      <c r="B99" s="2115">
        <v>187</v>
      </c>
      <c r="C99" s="2115">
        <v>2023</v>
      </c>
      <c r="D99" s="2115">
        <v>12</v>
      </c>
      <c r="E99" s="2115">
        <v>97</v>
      </c>
      <c r="F99" s="2115">
        <v>0</v>
      </c>
      <c r="G99" s="2115" t="s">
        <v>1879</v>
      </c>
      <c r="H99" s="2206">
        <v>4242692</v>
      </c>
      <c r="I99" s="2206">
        <v>4423684</v>
      </c>
    </row>
    <row r="100" spans="1:9" ht="15.75">
      <c r="A100" s="2115" t="s">
        <v>877</v>
      </c>
      <c r="B100" s="2115">
        <v>187</v>
      </c>
      <c r="C100" s="2115">
        <v>2023</v>
      </c>
      <c r="D100" s="2115">
        <v>12</v>
      </c>
      <c r="E100" s="2115">
        <v>98</v>
      </c>
      <c r="F100" s="2115">
        <v>0</v>
      </c>
      <c r="G100" s="2115" t="s">
        <v>1878</v>
      </c>
      <c r="H100" s="2206">
        <v>97830</v>
      </c>
      <c r="I100" s="2206">
        <v>89654</v>
      </c>
    </row>
    <row r="101" spans="1:9" ht="15.75">
      <c r="A101" s="2115" t="s">
        <v>877</v>
      </c>
      <c r="B101" s="2115">
        <v>187</v>
      </c>
      <c r="C101" s="2115">
        <v>2023</v>
      </c>
      <c r="D101" s="2115">
        <v>12</v>
      </c>
      <c r="E101" s="2115">
        <v>99</v>
      </c>
      <c r="F101" s="2115">
        <v>0</v>
      </c>
      <c r="G101" s="2115" t="s">
        <v>1877</v>
      </c>
      <c r="H101" s="2206">
        <f>SUM(H85:H100)+1</f>
        <v>29290709</v>
      </c>
      <c r="I101" s="2206">
        <f>SUM(I85:I100)</f>
        <v>30930002</v>
      </c>
    </row>
    <row r="102" spans="1:9" ht="15.75">
      <c r="A102" s="2115" t="s">
        <v>877</v>
      </c>
      <c r="B102" s="2115">
        <v>187</v>
      </c>
      <c r="C102" s="2115">
        <v>2023</v>
      </c>
      <c r="D102" s="2115">
        <v>12</v>
      </c>
      <c r="E102" s="2115">
        <v>100</v>
      </c>
      <c r="F102" s="2115">
        <v>0</v>
      </c>
      <c r="G102" s="2115" t="s">
        <v>442</v>
      </c>
      <c r="H102" s="2206">
        <v>0</v>
      </c>
      <c r="I102" s="2206">
        <v>0</v>
      </c>
    </row>
    <row r="103" spans="1:9" ht="15.75">
      <c r="A103" s="2115" t="s">
        <v>877</v>
      </c>
      <c r="B103" s="2115">
        <v>187</v>
      </c>
      <c r="C103" s="2115">
        <v>2023</v>
      </c>
      <c r="D103" s="2115">
        <v>12</v>
      </c>
      <c r="E103" s="2115">
        <v>101</v>
      </c>
      <c r="F103" s="2115">
        <v>0</v>
      </c>
      <c r="G103" s="2115" t="s">
        <v>1876</v>
      </c>
      <c r="H103" s="2206">
        <v>369375</v>
      </c>
      <c r="I103" s="2206">
        <v>423695</v>
      </c>
    </row>
    <row r="104" spans="1:9" ht="15.75">
      <c r="A104" s="2115" t="s">
        <v>877</v>
      </c>
      <c r="B104" s="2115">
        <v>187</v>
      </c>
      <c r="C104" s="2115">
        <v>2023</v>
      </c>
      <c r="D104" s="2115">
        <v>12</v>
      </c>
      <c r="E104" s="2115">
        <v>102</v>
      </c>
      <c r="F104" s="2115">
        <v>0</v>
      </c>
      <c r="G104" s="2115" t="s">
        <v>1875</v>
      </c>
      <c r="H104" s="2206">
        <v>572864</v>
      </c>
      <c r="I104" s="2206">
        <v>707438</v>
      </c>
    </row>
    <row r="105" spans="1:9" ht="15.75">
      <c r="A105" s="2115" t="s">
        <v>877</v>
      </c>
      <c r="B105" s="2115">
        <v>187</v>
      </c>
      <c r="C105" s="2115">
        <v>2023</v>
      </c>
      <c r="D105" s="2115">
        <v>12</v>
      </c>
      <c r="E105" s="2115">
        <v>103</v>
      </c>
      <c r="F105" s="2115">
        <v>0</v>
      </c>
      <c r="G105" s="2115" t="s">
        <v>1874</v>
      </c>
      <c r="H105" s="2206">
        <v>0</v>
      </c>
      <c r="I105" s="2206">
        <v>0</v>
      </c>
    </row>
    <row r="106" spans="1:9" ht="15.75">
      <c r="A106" s="2115" t="s">
        <v>877</v>
      </c>
      <c r="B106" s="2115">
        <v>187</v>
      </c>
      <c r="C106" s="2115">
        <v>2023</v>
      </c>
      <c r="D106" s="2115">
        <v>12</v>
      </c>
      <c r="E106" s="2115">
        <v>104</v>
      </c>
      <c r="F106" s="2115">
        <v>0</v>
      </c>
      <c r="G106" s="2115" t="s">
        <v>1873</v>
      </c>
      <c r="H106" s="2206">
        <v>0</v>
      </c>
      <c r="I106" s="2206">
        <v>0</v>
      </c>
    </row>
    <row r="107" spans="1:9" ht="15.75">
      <c r="A107" s="2115" t="s">
        <v>877</v>
      </c>
      <c r="B107" s="2115">
        <v>187</v>
      </c>
      <c r="C107" s="2115">
        <v>2023</v>
      </c>
      <c r="D107" s="2115">
        <v>12</v>
      </c>
      <c r="E107" s="2115">
        <v>105</v>
      </c>
      <c r="F107" s="2115">
        <v>0</v>
      </c>
      <c r="G107" s="2115" t="s">
        <v>1872</v>
      </c>
      <c r="H107" s="2206">
        <v>0</v>
      </c>
      <c r="I107" s="2206">
        <v>0</v>
      </c>
    </row>
    <row r="108" spans="1:9" ht="15.75">
      <c r="A108" s="2115" t="s">
        <v>877</v>
      </c>
      <c r="B108" s="2115">
        <v>187</v>
      </c>
      <c r="C108" s="2115">
        <v>2023</v>
      </c>
      <c r="D108" s="2115">
        <v>12</v>
      </c>
      <c r="E108" s="2115">
        <v>106</v>
      </c>
      <c r="F108" s="2115">
        <v>0</v>
      </c>
      <c r="G108" s="2115" t="s">
        <v>1871</v>
      </c>
      <c r="H108" s="2206">
        <v>0</v>
      </c>
      <c r="I108" s="2206">
        <v>0</v>
      </c>
    </row>
    <row r="109" spans="1:9" ht="15.75">
      <c r="A109" s="2115" t="s">
        <v>877</v>
      </c>
      <c r="B109" s="2115">
        <v>187</v>
      </c>
      <c r="C109" s="2115">
        <v>2023</v>
      </c>
      <c r="D109" s="2115">
        <v>12</v>
      </c>
      <c r="E109" s="2115">
        <v>107</v>
      </c>
      <c r="F109" s="2115">
        <v>0</v>
      </c>
      <c r="G109" s="2115" t="s">
        <v>1870</v>
      </c>
      <c r="H109" s="2206">
        <v>1160838</v>
      </c>
      <c r="I109" s="2206">
        <v>1209445</v>
      </c>
    </row>
    <row r="110" spans="1:9" ht="15.75">
      <c r="A110" s="2115" t="s">
        <v>877</v>
      </c>
      <c r="B110" s="2115">
        <v>187</v>
      </c>
      <c r="C110" s="2115">
        <v>2023</v>
      </c>
      <c r="D110" s="2115">
        <v>12</v>
      </c>
      <c r="E110" s="2115">
        <v>108</v>
      </c>
      <c r="F110" s="2115">
        <v>0</v>
      </c>
      <c r="G110" s="2115" t="s">
        <v>1869</v>
      </c>
      <c r="H110" s="2206">
        <v>2198739</v>
      </c>
      <c r="I110" s="2206">
        <v>2223133</v>
      </c>
    </row>
    <row r="111" spans="1:9" ht="15.75">
      <c r="A111" s="2115" t="s">
        <v>877</v>
      </c>
      <c r="B111" s="2115">
        <v>187</v>
      </c>
      <c r="C111" s="2115">
        <v>2023</v>
      </c>
      <c r="D111" s="2115">
        <v>12</v>
      </c>
      <c r="E111" s="2115">
        <v>109</v>
      </c>
      <c r="F111" s="2115">
        <v>0</v>
      </c>
      <c r="G111" s="2115" t="s">
        <v>1868</v>
      </c>
      <c r="H111" s="2206">
        <v>965</v>
      </c>
      <c r="I111" s="2206">
        <v>773</v>
      </c>
    </row>
    <row r="112" spans="1:9" ht="15.75">
      <c r="A112" s="2115" t="s">
        <v>877</v>
      </c>
      <c r="B112" s="2115">
        <v>187</v>
      </c>
      <c r="C112" s="2115">
        <v>2023</v>
      </c>
      <c r="D112" s="2115">
        <v>12</v>
      </c>
      <c r="E112" s="2115">
        <v>110</v>
      </c>
      <c r="F112" s="2115">
        <v>0</v>
      </c>
      <c r="G112" s="2115" t="s">
        <v>1867</v>
      </c>
      <c r="H112" s="2206">
        <v>72128</v>
      </c>
      <c r="I112" s="2206">
        <v>84498</v>
      </c>
    </row>
    <row r="113" spans="1:9" ht="15.75">
      <c r="A113" s="2115" t="s">
        <v>877</v>
      </c>
      <c r="B113" s="2115">
        <v>187</v>
      </c>
      <c r="C113" s="2115">
        <v>2023</v>
      </c>
      <c r="D113" s="2115">
        <v>12</v>
      </c>
      <c r="E113" s="2115">
        <v>111</v>
      </c>
      <c r="F113" s="2115">
        <v>0</v>
      </c>
      <c r="G113" s="2115" t="s">
        <v>1866</v>
      </c>
      <c r="H113" s="2206">
        <f>SUM(H103:H112)</f>
        <v>4374909</v>
      </c>
      <c r="I113" s="2206">
        <f>SUM(I103:I112)-1</f>
        <v>4648981</v>
      </c>
    </row>
    <row r="114" spans="1:9" ht="15.75">
      <c r="A114" s="2115" t="s">
        <v>877</v>
      </c>
      <c r="B114" s="2115">
        <v>187</v>
      </c>
      <c r="C114" s="2115">
        <v>2023</v>
      </c>
      <c r="D114" s="2115">
        <v>12</v>
      </c>
      <c r="E114" s="2115">
        <v>112</v>
      </c>
      <c r="F114" s="2115">
        <v>0</v>
      </c>
      <c r="G114" s="2115" t="s">
        <v>1865</v>
      </c>
      <c r="H114" s="2206">
        <f>SUM(H101,H113)</f>
        <v>33665618</v>
      </c>
      <c r="I114" s="2206">
        <f>SUM(I101,I113)</f>
        <v>35578983</v>
      </c>
    </row>
    <row r="115" spans="1:9" ht="15.75">
      <c r="A115" s="2115" t="s">
        <v>877</v>
      </c>
      <c r="B115" s="2115">
        <v>187</v>
      </c>
      <c r="C115" s="2115">
        <v>2023</v>
      </c>
      <c r="D115" s="2115">
        <v>12</v>
      </c>
      <c r="E115" s="2115">
        <v>113</v>
      </c>
      <c r="F115" s="2115">
        <v>0</v>
      </c>
      <c r="G115" s="2115" t="s">
        <v>1864</v>
      </c>
      <c r="H115" s="2206">
        <v>0</v>
      </c>
      <c r="I115" s="2206">
        <v>0</v>
      </c>
    </row>
    <row r="116" spans="1:9" ht="15.75">
      <c r="A116" s="2115" t="s">
        <v>877</v>
      </c>
      <c r="B116" s="2115">
        <v>187</v>
      </c>
      <c r="C116" s="2115">
        <v>2023</v>
      </c>
      <c r="D116" s="2115">
        <v>12</v>
      </c>
      <c r="E116" s="2115">
        <v>114</v>
      </c>
      <c r="F116" s="2115">
        <v>0</v>
      </c>
      <c r="G116" s="2115" t="s">
        <v>441</v>
      </c>
      <c r="H116" s="2206">
        <v>0</v>
      </c>
      <c r="I116" s="2206">
        <v>0</v>
      </c>
    </row>
    <row r="117" spans="1:9" ht="15.75">
      <c r="A117" s="2115" t="s">
        <v>877</v>
      </c>
      <c r="B117" s="2115">
        <v>187</v>
      </c>
      <c r="C117" s="2115">
        <v>2023</v>
      </c>
      <c r="D117" s="2115">
        <v>12</v>
      </c>
      <c r="E117" s="2115">
        <v>115</v>
      </c>
      <c r="F117" s="2115">
        <v>0</v>
      </c>
      <c r="G117" s="2115" t="s">
        <v>1863</v>
      </c>
      <c r="H117" s="2206">
        <v>0</v>
      </c>
      <c r="I117" s="2206">
        <v>0</v>
      </c>
    </row>
    <row r="118" spans="1:9" ht="15.75">
      <c r="A118" s="2115" t="s">
        <v>877</v>
      </c>
      <c r="B118" s="2115">
        <v>187</v>
      </c>
      <c r="C118" s="2115">
        <v>2023</v>
      </c>
      <c r="D118" s="2115">
        <v>12</v>
      </c>
      <c r="E118" s="2115">
        <v>116</v>
      </c>
      <c r="F118" s="2115">
        <v>0</v>
      </c>
      <c r="G118" s="2115" t="s">
        <v>1862</v>
      </c>
      <c r="H118" s="2206">
        <v>0</v>
      </c>
      <c r="I118" s="2206">
        <v>0</v>
      </c>
    </row>
    <row r="119" spans="1:9" ht="15.75">
      <c r="A119" s="2115" t="s">
        <v>877</v>
      </c>
      <c r="B119" s="2115">
        <v>187</v>
      </c>
      <c r="C119" s="2115">
        <v>2023</v>
      </c>
      <c r="D119" s="2115">
        <v>12</v>
      </c>
      <c r="E119" s="2115">
        <v>117</v>
      </c>
      <c r="F119" s="2115">
        <v>0</v>
      </c>
      <c r="G119" s="2115" t="s">
        <v>1861</v>
      </c>
      <c r="H119" s="2206">
        <v>0</v>
      </c>
      <c r="I119" s="2206">
        <v>0</v>
      </c>
    </row>
    <row r="120" spans="1:9" ht="15.75">
      <c r="A120" s="2115" t="s">
        <v>877</v>
      </c>
      <c r="B120" s="2115">
        <v>187</v>
      </c>
      <c r="C120" s="2115">
        <v>2023</v>
      </c>
      <c r="D120" s="2115">
        <v>12</v>
      </c>
      <c r="E120" s="2115">
        <v>118</v>
      </c>
      <c r="F120" s="2115">
        <v>0</v>
      </c>
      <c r="G120" s="2115" t="s">
        <v>1860</v>
      </c>
      <c r="H120" s="2206">
        <v>0</v>
      </c>
      <c r="I120" s="2206">
        <v>0</v>
      </c>
    </row>
    <row r="121" spans="1:9" ht="15.75">
      <c r="A121" s="2115" t="s">
        <v>877</v>
      </c>
      <c r="B121" s="2115">
        <v>187</v>
      </c>
      <c r="C121" s="2115">
        <v>2023</v>
      </c>
      <c r="D121" s="2115">
        <v>12</v>
      </c>
      <c r="E121" s="2115">
        <v>119</v>
      </c>
      <c r="F121" s="2115">
        <v>0</v>
      </c>
      <c r="G121" s="2115" t="s">
        <v>1859</v>
      </c>
      <c r="H121" s="2206">
        <v>0</v>
      </c>
      <c r="I121" s="2206">
        <v>0</v>
      </c>
    </row>
    <row r="122" spans="1:9" ht="15.75">
      <c r="A122" s="2115" t="s">
        <v>877</v>
      </c>
      <c r="B122" s="2115">
        <v>187</v>
      </c>
      <c r="C122" s="2115">
        <v>2023</v>
      </c>
      <c r="D122" s="2115">
        <v>12</v>
      </c>
      <c r="E122" s="2115">
        <v>120</v>
      </c>
      <c r="F122" s="2115">
        <v>0</v>
      </c>
      <c r="G122" s="2115" t="s">
        <v>1858</v>
      </c>
      <c r="H122" s="2206">
        <v>0</v>
      </c>
      <c r="I122" s="2206">
        <v>0</v>
      </c>
    </row>
    <row r="123" spans="1:9" ht="15.75">
      <c r="A123" s="2115" t="s">
        <v>877</v>
      </c>
      <c r="B123" s="2115">
        <v>187</v>
      </c>
      <c r="C123" s="2115">
        <v>2023</v>
      </c>
      <c r="D123" s="2115">
        <v>12</v>
      </c>
      <c r="E123" s="2115">
        <v>121</v>
      </c>
      <c r="F123" s="2115">
        <v>0</v>
      </c>
      <c r="G123" s="2115" t="s">
        <v>1857</v>
      </c>
      <c r="H123" s="2206">
        <v>0</v>
      </c>
      <c r="I123" s="2206">
        <v>0</v>
      </c>
    </row>
    <row r="124" spans="1:9" ht="15.75">
      <c r="A124" s="2115" t="s">
        <v>877</v>
      </c>
      <c r="B124" s="2115">
        <v>187</v>
      </c>
      <c r="C124" s="2115">
        <v>2023</v>
      </c>
      <c r="D124" s="2115">
        <v>12</v>
      </c>
      <c r="E124" s="2115">
        <v>122</v>
      </c>
      <c r="F124" s="2115">
        <v>0</v>
      </c>
      <c r="G124" s="2115" t="s">
        <v>1856</v>
      </c>
      <c r="H124" s="2206">
        <v>0</v>
      </c>
      <c r="I124" s="2206">
        <v>0</v>
      </c>
    </row>
    <row r="125" spans="1:9" ht="15.75">
      <c r="A125" s="2115" t="s">
        <v>877</v>
      </c>
      <c r="B125" s="2115">
        <v>187</v>
      </c>
      <c r="C125" s="2115">
        <v>2023</v>
      </c>
      <c r="D125" s="2115">
        <v>12</v>
      </c>
      <c r="E125" s="2115">
        <v>123</v>
      </c>
      <c r="F125" s="2115">
        <v>0</v>
      </c>
      <c r="G125" s="2115" t="s">
        <v>1855</v>
      </c>
      <c r="H125" s="2206">
        <v>0</v>
      </c>
      <c r="I125" s="2206">
        <v>0</v>
      </c>
    </row>
    <row r="126" spans="1:9" ht="15.75">
      <c r="A126" s="2115" t="s">
        <v>877</v>
      </c>
      <c r="B126" s="2115">
        <v>187</v>
      </c>
      <c r="C126" s="2115">
        <v>2023</v>
      </c>
      <c r="D126" s="2115">
        <v>12</v>
      </c>
      <c r="E126" s="2115">
        <v>124</v>
      </c>
      <c r="F126" s="2115">
        <v>0</v>
      </c>
      <c r="G126" s="2115" t="s">
        <v>442</v>
      </c>
      <c r="H126" s="2206">
        <v>0</v>
      </c>
      <c r="I126" s="2206">
        <v>0</v>
      </c>
    </row>
    <row r="127" spans="1:9" ht="15.75">
      <c r="A127" s="2115" t="s">
        <v>877</v>
      </c>
      <c r="B127" s="2115">
        <v>187</v>
      </c>
      <c r="C127" s="2115">
        <v>2023</v>
      </c>
      <c r="D127" s="2115">
        <v>12</v>
      </c>
      <c r="E127" s="2115">
        <v>125</v>
      </c>
      <c r="F127" s="2115">
        <v>0</v>
      </c>
      <c r="G127" s="2115" t="s">
        <v>1854</v>
      </c>
      <c r="H127" s="2206">
        <v>0</v>
      </c>
      <c r="I127" s="2206">
        <v>0</v>
      </c>
    </row>
    <row r="128" spans="1:9" ht="15.75">
      <c r="A128" s="2115" t="s">
        <v>877</v>
      </c>
      <c r="B128" s="2115">
        <v>187</v>
      </c>
      <c r="C128" s="2115">
        <v>2023</v>
      </c>
      <c r="D128" s="2115">
        <v>12</v>
      </c>
      <c r="E128" s="2115">
        <v>126</v>
      </c>
      <c r="F128" s="2115">
        <v>0</v>
      </c>
      <c r="G128" s="2115" t="s">
        <v>1853</v>
      </c>
      <c r="H128" s="2206">
        <v>0</v>
      </c>
      <c r="I128" s="2206">
        <v>0</v>
      </c>
    </row>
    <row r="129" spans="1:9" ht="15.75">
      <c r="A129" s="2115" t="s">
        <v>877</v>
      </c>
      <c r="B129" s="2115">
        <v>187</v>
      </c>
      <c r="C129" s="2115">
        <v>2023</v>
      </c>
      <c r="D129" s="2115">
        <v>12</v>
      </c>
      <c r="E129" s="2115">
        <v>127</v>
      </c>
      <c r="F129" s="2115">
        <v>0</v>
      </c>
      <c r="G129" s="2115" t="s">
        <v>1852</v>
      </c>
      <c r="H129" s="2206">
        <v>0</v>
      </c>
      <c r="I129" s="2206">
        <v>0</v>
      </c>
    </row>
    <row r="130" spans="1:9" ht="15.75">
      <c r="A130" s="2115" t="s">
        <v>877</v>
      </c>
      <c r="B130" s="2115">
        <v>187</v>
      </c>
      <c r="C130" s="2115">
        <v>2023</v>
      </c>
      <c r="D130" s="2115">
        <v>12</v>
      </c>
      <c r="E130" s="2115">
        <v>128</v>
      </c>
      <c r="F130" s="2115">
        <v>0</v>
      </c>
      <c r="G130" s="2115" t="s">
        <v>1851</v>
      </c>
      <c r="H130" s="2206">
        <v>0</v>
      </c>
      <c r="I130" s="2206">
        <v>0</v>
      </c>
    </row>
    <row r="131" spans="1:9" ht="15.75">
      <c r="A131" s="2115" t="s">
        <v>877</v>
      </c>
      <c r="B131" s="2115">
        <v>187</v>
      </c>
      <c r="C131" s="2115">
        <v>2023</v>
      </c>
      <c r="D131" s="2115">
        <v>12</v>
      </c>
      <c r="E131" s="2115">
        <v>129</v>
      </c>
      <c r="F131" s="2115">
        <v>0</v>
      </c>
      <c r="G131" s="2115" t="s">
        <v>1850</v>
      </c>
      <c r="H131" s="2206">
        <v>0</v>
      </c>
      <c r="I131" s="2206">
        <v>0</v>
      </c>
    </row>
    <row r="132" spans="1:9" ht="15.75">
      <c r="A132" s="2115" t="s">
        <v>877</v>
      </c>
      <c r="B132" s="2115">
        <v>187</v>
      </c>
      <c r="C132" s="2115">
        <v>2023</v>
      </c>
      <c r="D132" s="2115">
        <v>12</v>
      </c>
      <c r="E132" s="2115">
        <v>130</v>
      </c>
      <c r="F132" s="2115">
        <v>0</v>
      </c>
      <c r="G132" s="2115" t="s">
        <v>1849</v>
      </c>
      <c r="H132" s="2206">
        <v>0</v>
      </c>
      <c r="I132" s="2206">
        <v>0</v>
      </c>
    </row>
    <row r="133" spans="1:9" ht="15.75">
      <c r="A133" s="2115" t="s">
        <v>877</v>
      </c>
      <c r="B133" s="2115">
        <v>187</v>
      </c>
      <c r="C133" s="2115">
        <v>2023</v>
      </c>
      <c r="D133" s="2115">
        <v>12</v>
      </c>
      <c r="E133" s="2115">
        <v>131</v>
      </c>
      <c r="F133" s="2115">
        <v>0</v>
      </c>
      <c r="G133" s="2115" t="s">
        <v>1848</v>
      </c>
      <c r="H133" s="2206">
        <v>0</v>
      </c>
      <c r="I133" s="2206">
        <v>0</v>
      </c>
    </row>
    <row r="134" spans="1:9" ht="15.75">
      <c r="A134" s="2115" t="s">
        <v>877</v>
      </c>
      <c r="B134" s="2115">
        <v>187</v>
      </c>
      <c r="C134" s="2115">
        <v>2023</v>
      </c>
      <c r="D134" s="2115">
        <v>12</v>
      </c>
      <c r="E134" s="2115">
        <v>132</v>
      </c>
      <c r="F134" s="2115">
        <v>0</v>
      </c>
      <c r="G134" s="2115" t="s">
        <v>1847</v>
      </c>
      <c r="H134" s="2206">
        <v>0</v>
      </c>
      <c r="I134" s="2206">
        <v>0</v>
      </c>
    </row>
    <row r="135" spans="1:9" ht="15.75">
      <c r="A135" s="2115" t="s">
        <v>877</v>
      </c>
      <c r="B135" s="2115">
        <v>187</v>
      </c>
      <c r="C135" s="2115">
        <v>2023</v>
      </c>
      <c r="D135" s="2115">
        <v>12</v>
      </c>
      <c r="E135" s="2115">
        <v>133</v>
      </c>
      <c r="F135" s="2115">
        <v>0</v>
      </c>
      <c r="G135" s="2115" t="s">
        <v>441</v>
      </c>
      <c r="H135" s="2206">
        <v>0</v>
      </c>
      <c r="I135" s="2206">
        <v>0</v>
      </c>
    </row>
    <row r="136" spans="1:9" ht="15.75">
      <c r="A136" s="2115" t="s">
        <v>877</v>
      </c>
      <c r="B136" s="2115">
        <v>187</v>
      </c>
      <c r="C136" s="2115">
        <v>2023</v>
      </c>
      <c r="D136" s="2115">
        <v>12</v>
      </c>
      <c r="E136" s="2115">
        <v>134</v>
      </c>
      <c r="F136" s="2115">
        <v>0</v>
      </c>
      <c r="G136" s="2115" t="s">
        <v>1846</v>
      </c>
      <c r="H136" s="2206">
        <v>4183113</v>
      </c>
      <c r="I136" s="2206">
        <v>4538302.3600000003</v>
      </c>
    </row>
    <row r="137" spans="1:9" ht="15.75">
      <c r="A137" s="2115" t="s">
        <v>877</v>
      </c>
      <c r="B137" s="2115">
        <v>187</v>
      </c>
      <c r="C137" s="2115">
        <v>2023</v>
      </c>
      <c r="D137" s="2115">
        <v>12</v>
      </c>
      <c r="E137" s="2115">
        <v>135</v>
      </c>
      <c r="F137" s="2115">
        <v>0</v>
      </c>
      <c r="G137" s="2115" t="s">
        <v>1845</v>
      </c>
      <c r="H137" s="2206">
        <v>0</v>
      </c>
      <c r="I137" s="2206">
        <v>0</v>
      </c>
    </row>
    <row r="138" spans="1:9" ht="15.75">
      <c r="A138" s="2115" t="s">
        <v>877</v>
      </c>
      <c r="B138" s="2115">
        <v>187</v>
      </c>
      <c r="C138" s="2115">
        <v>2023</v>
      </c>
      <c r="D138" s="2115">
        <v>12</v>
      </c>
      <c r="E138" s="2115">
        <v>136</v>
      </c>
      <c r="F138" s="2115">
        <v>0</v>
      </c>
      <c r="G138" s="2115" t="s">
        <v>1844</v>
      </c>
      <c r="H138" s="2206">
        <v>945603</v>
      </c>
      <c r="I138" s="2206">
        <v>934752.41</v>
      </c>
    </row>
    <row r="139" spans="1:9" ht="15.75">
      <c r="A139" s="2115" t="s">
        <v>877</v>
      </c>
      <c r="B139" s="2115">
        <v>187</v>
      </c>
      <c r="C139" s="2115">
        <v>2023</v>
      </c>
      <c r="D139" s="2115">
        <v>12</v>
      </c>
      <c r="E139" s="2115">
        <v>137</v>
      </c>
      <c r="F139" s="2115">
        <v>0</v>
      </c>
      <c r="G139" s="2115" t="s">
        <v>1843</v>
      </c>
      <c r="H139" s="2206">
        <v>3151705</v>
      </c>
      <c r="I139" s="2206">
        <v>2894197.52</v>
      </c>
    </row>
    <row r="140" spans="1:9" ht="15.75">
      <c r="A140" s="2115" t="s">
        <v>877</v>
      </c>
      <c r="B140" s="2115">
        <v>187</v>
      </c>
      <c r="C140" s="2115">
        <v>2023</v>
      </c>
      <c r="D140" s="2115">
        <v>12</v>
      </c>
      <c r="E140" s="2115">
        <v>138</v>
      </c>
      <c r="F140" s="2115">
        <v>0</v>
      </c>
      <c r="G140" s="2115" t="s">
        <v>1842</v>
      </c>
      <c r="H140" s="2206">
        <v>2546406</v>
      </c>
      <c r="I140" s="2206">
        <v>1566750.33</v>
      </c>
    </row>
    <row r="141" spans="1:9" ht="15.75">
      <c r="A141" s="2115" t="s">
        <v>877</v>
      </c>
      <c r="B141" s="2115">
        <v>187</v>
      </c>
      <c r="C141" s="2115">
        <v>2023</v>
      </c>
      <c r="D141" s="2115">
        <v>12</v>
      </c>
      <c r="E141" s="2115">
        <v>139</v>
      </c>
      <c r="F141" s="2115">
        <v>0</v>
      </c>
      <c r="G141" s="2115" t="s">
        <v>1841</v>
      </c>
      <c r="H141" s="2206">
        <v>6950</v>
      </c>
      <c r="I141" s="2206">
        <v>5887.59</v>
      </c>
    </row>
    <row r="142" spans="1:9" ht="15.75">
      <c r="A142" s="2115" t="s">
        <v>877</v>
      </c>
      <c r="B142" s="2115">
        <v>187</v>
      </c>
      <c r="C142" s="2115">
        <v>2023</v>
      </c>
      <c r="D142" s="2115">
        <v>12</v>
      </c>
      <c r="E142" s="2115">
        <v>140</v>
      </c>
      <c r="F142" s="2115">
        <v>0</v>
      </c>
      <c r="G142" s="2115" t="s">
        <v>1840</v>
      </c>
      <c r="H142" s="2206">
        <v>2133258</v>
      </c>
      <c r="I142" s="2206">
        <v>2170352.81</v>
      </c>
    </row>
    <row r="143" spans="1:9" ht="15.75">
      <c r="A143" s="2115" t="s">
        <v>877</v>
      </c>
      <c r="B143" s="2115">
        <v>187</v>
      </c>
      <c r="C143" s="2115">
        <v>2023</v>
      </c>
      <c r="D143" s="2115">
        <v>12</v>
      </c>
      <c r="E143" s="2115">
        <v>141</v>
      </c>
      <c r="F143" s="2115">
        <v>0</v>
      </c>
      <c r="G143" s="2115" t="s">
        <v>1839</v>
      </c>
      <c r="H143" s="2206">
        <v>801450</v>
      </c>
      <c r="I143" s="2206">
        <v>859013.65</v>
      </c>
    </row>
    <row r="144" spans="1:9" ht="15.75">
      <c r="A144" s="2115" t="s">
        <v>877</v>
      </c>
      <c r="B144" s="2115">
        <v>187</v>
      </c>
      <c r="C144" s="2115">
        <v>2023</v>
      </c>
      <c r="D144" s="2115">
        <v>12</v>
      </c>
      <c r="E144" s="2115">
        <v>142</v>
      </c>
      <c r="F144" s="2115">
        <v>0</v>
      </c>
      <c r="G144" s="2115" t="s">
        <v>1838</v>
      </c>
      <c r="H144" s="2206">
        <v>9401777</v>
      </c>
      <c r="I144" s="2206">
        <v>7747059.1900000004</v>
      </c>
    </row>
    <row r="145" spans="1:9" ht="15.75">
      <c r="A145" s="2115" t="s">
        <v>877</v>
      </c>
      <c r="B145" s="2115">
        <v>187</v>
      </c>
      <c r="C145" s="2115">
        <v>2023</v>
      </c>
      <c r="D145" s="2115">
        <v>12</v>
      </c>
      <c r="E145" s="2115">
        <v>143</v>
      </c>
      <c r="F145" s="2115">
        <v>0</v>
      </c>
      <c r="G145" s="2115" t="s">
        <v>1837</v>
      </c>
      <c r="H145" s="2206">
        <v>258811</v>
      </c>
      <c r="I145" s="2206">
        <v>196607.63</v>
      </c>
    </row>
    <row r="146" spans="1:9" ht="15.75">
      <c r="A146" s="2115" t="s">
        <v>877</v>
      </c>
      <c r="B146" s="2115">
        <v>187</v>
      </c>
      <c r="C146" s="2115">
        <v>2023</v>
      </c>
      <c r="D146" s="2115">
        <v>12</v>
      </c>
      <c r="E146" s="2115">
        <v>144</v>
      </c>
      <c r="F146" s="2115">
        <v>0</v>
      </c>
      <c r="G146" s="2115" t="s">
        <v>1836</v>
      </c>
      <c r="H146" s="2206">
        <f>SUM(H136:H145)-1</f>
        <v>23429072</v>
      </c>
      <c r="I146" s="2206">
        <f>SUM(I136:I145)</f>
        <v>20912923.490000002</v>
      </c>
    </row>
    <row r="147" spans="1:9" ht="15.75">
      <c r="A147" s="2115" t="s">
        <v>877</v>
      </c>
      <c r="B147" s="2115">
        <v>187</v>
      </c>
      <c r="C147" s="2115">
        <v>2023</v>
      </c>
      <c r="D147" s="2115">
        <v>12</v>
      </c>
      <c r="E147" s="2115">
        <v>145</v>
      </c>
      <c r="F147" s="2115">
        <v>0</v>
      </c>
      <c r="G147" s="2115" t="s">
        <v>442</v>
      </c>
      <c r="H147" s="2206">
        <v>0</v>
      </c>
      <c r="I147" s="2206">
        <v>0</v>
      </c>
    </row>
    <row r="148" spans="1:9" ht="15.75">
      <c r="A148" s="2115" t="s">
        <v>877</v>
      </c>
      <c r="B148" s="2115">
        <v>187</v>
      </c>
      <c r="C148" s="2115">
        <v>2023</v>
      </c>
      <c r="D148" s="2115">
        <v>12</v>
      </c>
      <c r="E148" s="2115">
        <v>146</v>
      </c>
      <c r="F148" s="2115">
        <v>0</v>
      </c>
      <c r="G148" s="2115" t="s">
        <v>1835</v>
      </c>
      <c r="H148" s="2206">
        <v>1361055.34</v>
      </c>
      <c r="I148" s="2206">
        <v>1632916.02</v>
      </c>
    </row>
    <row r="149" spans="1:9" ht="15.75">
      <c r="A149" s="2115" t="s">
        <v>877</v>
      </c>
      <c r="B149" s="2115">
        <v>187</v>
      </c>
      <c r="C149" s="2115">
        <v>2023</v>
      </c>
      <c r="D149" s="2115">
        <v>12</v>
      </c>
      <c r="E149" s="2115">
        <v>147</v>
      </c>
      <c r="F149" s="2115">
        <v>0</v>
      </c>
      <c r="G149" s="2115" t="s">
        <v>1834</v>
      </c>
      <c r="H149" s="2206">
        <v>411656.72</v>
      </c>
      <c r="I149" s="2206">
        <v>593148.91</v>
      </c>
    </row>
    <row r="150" spans="1:9" ht="15.75">
      <c r="A150" s="2115" t="s">
        <v>877</v>
      </c>
      <c r="B150" s="2115">
        <v>187</v>
      </c>
      <c r="C150" s="2115">
        <v>2023</v>
      </c>
      <c r="D150" s="2115">
        <v>12</v>
      </c>
      <c r="E150" s="2115">
        <v>148</v>
      </c>
      <c r="F150" s="2115">
        <v>0</v>
      </c>
      <c r="G150" s="2115" t="s">
        <v>1833</v>
      </c>
      <c r="H150" s="2206">
        <v>779671.89</v>
      </c>
      <c r="I150" s="2206">
        <v>887699.28</v>
      </c>
    </row>
    <row r="151" spans="1:9" ht="15.75">
      <c r="A151" s="2115" t="s">
        <v>877</v>
      </c>
      <c r="B151" s="2115">
        <v>187</v>
      </c>
      <c r="C151" s="2115">
        <v>2023</v>
      </c>
      <c r="D151" s="2115">
        <v>12</v>
      </c>
      <c r="E151" s="2115">
        <v>149</v>
      </c>
      <c r="F151" s="2115">
        <v>0</v>
      </c>
      <c r="G151" s="2115" t="s">
        <v>1832</v>
      </c>
      <c r="H151" s="2206">
        <v>27486691.960000001</v>
      </c>
      <c r="I151" s="2206">
        <v>26152321.870000001</v>
      </c>
    </row>
    <row r="152" spans="1:9" ht="15.75">
      <c r="A152" s="2115" t="s">
        <v>877</v>
      </c>
      <c r="B152" s="2115">
        <v>187</v>
      </c>
      <c r="C152" s="2115">
        <v>2023</v>
      </c>
      <c r="D152" s="2115">
        <v>12</v>
      </c>
      <c r="E152" s="2115">
        <v>150</v>
      </c>
      <c r="F152" s="2115">
        <v>0</v>
      </c>
      <c r="G152" s="2115" t="s">
        <v>1831</v>
      </c>
      <c r="H152" s="2206">
        <v>861884.06</v>
      </c>
      <c r="I152" s="2206">
        <v>756581.61</v>
      </c>
    </row>
    <row r="153" spans="1:9" ht="15.75">
      <c r="A153" s="2115" t="s">
        <v>877</v>
      </c>
      <c r="B153" s="2115">
        <v>187</v>
      </c>
      <c r="C153" s="2115">
        <v>2023</v>
      </c>
      <c r="D153" s="2115">
        <v>12</v>
      </c>
      <c r="E153" s="2115">
        <v>151</v>
      </c>
      <c r="F153" s="2115">
        <v>0</v>
      </c>
      <c r="G153" s="2115" t="s">
        <v>1830</v>
      </c>
      <c r="H153" s="2206">
        <v>443255.43</v>
      </c>
      <c r="I153" s="2206">
        <v>520693.05</v>
      </c>
    </row>
    <row r="154" spans="1:9" ht="15.75">
      <c r="A154" s="2115" t="s">
        <v>877</v>
      </c>
      <c r="B154" s="2115">
        <v>187</v>
      </c>
      <c r="C154" s="2115">
        <v>2023</v>
      </c>
      <c r="D154" s="2115">
        <v>12</v>
      </c>
      <c r="E154" s="2115">
        <v>152</v>
      </c>
      <c r="F154" s="2115">
        <v>0</v>
      </c>
      <c r="G154" s="2115" t="s">
        <v>1829</v>
      </c>
      <c r="H154" s="2206">
        <v>91567.02</v>
      </c>
      <c r="I154" s="2206">
        <v>115350.58</v>
      </c>
    </row>
    <row r="155" spans="1:9" ht="15.75">
      <c r="A155" s="2115" t="s">
        <v>877</v>
      </c>
      <c r="B155" s="2115">
        <v>187</v>
      </c>
      <c r="C155" s="2115">
        <v>2023</v>
      </c>
      <c r="D155" s="2115">
        <v>12</v>
      </c>
      <c r="E155" s="2115">
        <v>153</v>
      </c>
      <c r="F155" s="2115">
        <v>0</v>
      </c>
      <c r="G155" s="2115" t="s">
        <v>1828</v>
      </c>
      <c r="H155" s="2206">
        <v>60469.59</v>
      </c>
      <c r="I155" s="2206">
        <v>57876.67</v>
      </c>
    </row>
    <row r="156" spans="1:9" ht="15.75">
      <c r="A156" s="2115" t="s">
        <v>877</v>
      </c>
      <c r="B156" s="2115">
        <v>187</v>
      </c>
      <c r="C156" s="2115">
        <v>2023</v>
      </c>
      <c r="D156" s="2115">
        <v>12</v>
      </c>
      <c r="E156" s="2115">
        <v>154</v>
      </c>
      <c r="F156" s="2115">
        <v>0</v>
      </c>
      <c r="G156" s="2115" t="s">
        <v>1827</v>
      </c>
      <c r="H156" s="2206">
        <v>1099461.19</v>
      </c>
      <c r="I156" s="2206">
        <v>981461.32</v>
      </c>
    </row>
    <row r="157" spans="1:9" ht="15.75">
      <c r="A157" s="2115" t="s">
        <v>877</v>
      </c>
      <c r="B157" s="2115">
        <v>187</v>
      </c>
      <c r="C157" s="2115">
        <v>2023</v>
      </c>
      <c r="D157" s="2115">
        <v>12</v>
      </c>
      <c r="E157" s="2115">
        <v>155</v>
      </c>
      <c r="F157" s="2115">
        <v>0</v>
      </c>
      <c r="G157" s="2115" t="s">
        <v>1826</v>
      </c>
      <c r="H157" s="2206">
        <f>SUM(H148:H156)</f>
        <v>32595713.199999999</v>
      </c>
      <c r="I157" s="2206">
        <f>SUM(I148:I156)</f>
        <v>31698049.310000002</v>
      </c>
    </row>
    <row r="158" spans="1:9" ht="15.75">
      <c r="A158" s="2115" t="s">
        <v>877</v>
      </c>
      <c r="B158" s="2115">
        <v>187</v>
      </c>
      <c r="C158" s="2115">
        <v>2023</v>
      </c>
      <c r="D158" s="2115">
        <v>12</v>
      </c>
      <c r="E158" s="2115">
        <v>156</v>
      </c>
      <c r="F158" s="2115">
        <v>0</v>
      </c>
      <c r="G158" s="2115" t="s">
        <v>1825</v>
      </c>
      <c r="H158" s="2206">
        <f>SUM(H146,H157)+1</f>
        <v>56024786.200000003</v>
      </c>
      <c r="I158" s="2206">
        <f>SUM(I146,I157)</f>
        <v>52610972.800000004</v>
      </c>
    </row>
    <row r="159" spans="1:9" ht="15.75">
      <c r="A159" s="2115" t="s">
        <v>877</v>
      </c>
      <c r="B159" s="2115">
        <v>187</v>
      </c>
      <c r="C159" s="2115">
        <v>2023</v>
      </c>
      <c r="D159" s="2115">
        <v>12</v>
      </c>
      <c r="E159" s="2115">
        <v>157</v>
      </c>
      <c r="F159" s="2115">
        <v>0</v>
      </c>
      <c r="G159" s="2115" t="s">
        <v>1824</v>
      </c>
      <c r="H159" s="2206">
        <v>0</v>
      </c>
      <c r="I159" s="2206">
        <v>0</v>
      </c>
    </row>
    <row r="160" spans="1:9" ht="15.75">
      <c r="A160" s="2115" t="s">
        <v>877</v>
      </c>
      <c r="B160" s="2115">
        <v>187</v>
      </c>
      <c r="C160" s="2115">
        <v>2023</v>
      </c>
      <c r="D160" s="2115">
        <v>12</v>
      </c>
      <c r="E160" s="2115">
        <v>158</v>
      </c>
      <c r="F160" s="2115">
        <v>0</v>
      </c>
      <c r="G160" s="2115" t="s">
        <v>441</v>
      </c>
      <c r="H160" s="2206">
        <v>0</v>
      </c>
      <c r="I160" s="2206">
        <v>0</v>
      </c>
    </row>
    <row r="161" spans="1:9" ht="15.75">
      <c r="A161" s="2115" t="s">
        <v>877</v>
      </c>
      <c r="B161" s="2115">
        <v>187</v>
      </c>
      <c r="C161" s="2115">
        <v>2023</v>
      </c>
      <c r="D161" s="2115">
        <v>12</v>
      </c>
      <c r="E161" s="2115">
        <v>159</v>
      </c>
      <c r="F161" s="2115">
        <v>0</v>
      </c>
      <c r="G161" s="2115" t="s">
        <v>1823</v>
      </c>
      <c r="H161" s="2206">
        <v>114406</v>
      </c>
      <c r="I161" s="2206">
        <v>119601</v>
      </c>
    </row>
    <row r="162" spans="1:9" ht="15.75">
      <c r="A162" s="2115" t="s">
        <v>877</v>
      </c>
      <c r="B162" s="2115">
        <v>187</v>
      </c>
      <c r="C162" s="2115">
        <v>2023</v>
      </c>
      <c r="D162" s="2115">
        <v>12</v>
      </c>
      <c r="E162" s="2115">
        <v>160</v>
      </c>
      <c r="F162" s="2115">
        <v>0</v>
      </c>
      <c r="G162" s="2115" t="s">
        <v>1822</v>
      </c>
      <c r="H162" s="2206">
        <v>2042787</v>
      </c>
      <c r="I162" s="2206">
        <v>2228677</v>
      </c>
    </row>
    <row r="163" spans="1:9" ht="15.75">
      <c r="A163" s="2115" t="s">
        <v>877</v>
      </c>
      <c r="B163" s="2115">
        <v>187</v>
      </c>
      <c r="C163" s="2115">
        <v>2023</v>
      </c>
      <c r="D163" s="2115">
        <v>12</v>
      </c>
      <c r="E163" s="2115">
        <v>161</v>
      </c>
      <c r="F163" s="2115">
        <v>0</v>
      </c>
      <c r="G163" s="2115" t="s">
        <v>1821</v>
      </c>
      <c r="H163" s="2206">
        <v>7885571</v>
      </c>
      <c r="I163" s="2206">
        <v>7653010</v>
      </c>
    </row>
    <row r="164" spans="1:9" ht="15.75">
      <c r="A164" s="2115" t="s">
        <v>877</v>
      </c>
      <c r="B164" s="2115">
        <v>187</v>
      </c>
      <c r="C164" s="2115">
        <v>2023</v>
      </c>
      <c r="D164" s="2115">
        <v>12</v>
      </c>
      <c r="E164" s="2115">
        <v>162</v>
      </c>
      <c r="F164" s="2115">
        <v>0</v>
      </c>
      <c r="G164" s="2115" t="s">
        <v>1820</v>
      </c>
      <c r="H164" s="2206">
        <v>208808</v>
      </c>
      <c r="I164" s="2206">
        <v>2043405</v>
      </c>
    </row>
    <row r="165" spans="1:9" ht="15.75">
      <c r="A165" s="2115" t="s">
        <v>877</v>
      </c>
      <c r="B165" s="2115">
        <v>187</v>
      </c>
      <c r="C165" s="2115">
        <v>2023</v>
      </c>
      <c r="D165" s="2115">
        <v>12</v>
      </c>
      <c r="E165" s="2115">
        <v>163</v>
      </c>
      <c r="F165" s="2115">
        <v>0</v>
      </c>
      <c r="G165" s="2115" t="s">
        <v>1819</v>
      </c>
      <c r="H165" s="2206">
        <v>159633</v>
      </c>
      <c r="I165" s="2206">
        <v>225469</v>
      </c>
    </row>
    <row r="166" spans="1:9" ht="15.75">
      <c r="A166" s="2115" t="s">
        <v>877</v>
      </c>
      <c r="B166" s="2115">
        <v>187</v>
      </c>
      <c r="C166" s="2115">
        <v>2023</v>
      </c>
      <c r="D166" s="2115">
        <v>12</v>
      </c>
      <c r="E166" s="2115">
        <v>164</v>
      </c>
      <c r="F166" s="2115">
        <v>0</v>
      </c>
      <c r="G166" s="2115" t="s">
        <v>1818</v>
      </c>
      <c r="H166" s="2206">
        <v>10411205</v>
      </c>
      <c r="I166" s="2206">
        <v>12270162</v>
      </c>
    </row>
    <row r="167" spans="1:9" ht="15.75">
      <c r="A167" s="2115" t="s">
        <v>877</v>
      </c>
      <c r="B167" s="2115">
        <v>187</v>
      </c>
      <c r="C167" s="2115">
        <v>2023</v>
      </c>
      <c r="D167" s="2115">
        <v>12</v>
      </c>
      <c r="E167" s="2115">
        <v>165</v>
      </c>
      <c r="F167" s="2115">
        <v>0</v>
      </c>
      <c r="G167" s="2115" t="s">
        <v>1817</v>
      </c>
      <c r="H167" s="2206">
        <v>0</v>
      </c>
      <c r="I167" s="2206">
        <v>0</v>
      </c>
    </row>
    <row r="168" spans="1:9" ht="15.75">
      <c r="A168" s="2115" t="s">
        <v>877</v>
      </c>
      <c r="B168" s="2115">
        <v>187</v>
      </c>
      <c r="C168" s="2115">
        <v>2023</v>
      </c>
      <c r="D168" s="2115">
        <v>12</v>
      </c>
      <c r="E168" s="2115">
        <v>166</v>
      </c>
      <c r="F168" s="2115">
        <v>0</v>
      </c>
      <c r="G168" s="2115" t="s">
        <v>441</v>
      </c>
      <c r="H168" s="2206">
        <v>0</v>
      </c>
      <c r="I168" s="2206">
        <v>0</v>
      </c>
    </row>
    <row r="169" spans="1:9" ht="15.75">
      <c r="A169" s="2115" t="s">
        <v>877</v>
      </c>
      <c r="B169" s="2115">
        <v>187</v>
      </c>
      <c r="C169" s="2115">
        <v>2023</v>
      </c>
      <c r="D169" s="2115">
        <v>12</v>
      </c>
      <c r="E169" s="2115">
        <v>167</v>
      </c>
      <c r="F169" s="2115">
        <v>0</v>
      </c>
      <c r="G169" s="2115" t="s">
        <v>1816</v>
      </c>
      <c r="H169" s="2206">
        <v>0</v>
      </c>
      <c r="I169" s="2206">
        <v>0</v>
      </c>
    </row>
    <row r="170" spans="1:9" ht="15.75">
      <c r="A170" s="2115" t="s">
        <v>877</v>
      </c>
      <c r="B170" s="2115">
        <v>187</v>
      </c>
      <c r="C170" s="2115">
        <v>2023</v>
      </c>
      <c r="D170" s="2115">
        <v>12</v>
      </c>
      <c r="E170" s="2115">
        <v>168</v>
      </c>
      <c r="F170" s="2115">
        <v>0</v>
      </c>
      <c r="G170" s="2115" t="s">
        <v>1815</v>
      </c>
      <c r="H170" s="2206">
        <v>31870071.329999998</v>
      </c>
      <c r="I170" s="2206">
        <v>33220677.109999999</v>
      </c>
    </row>
    <row r="171" spans="1:9" ht="15.75">
      <c r="A171" s="2115" t="s">
        <v>877</v>
      </c>
      <c r="B171" s="2115">
        <v>187</v>
      </c>
      <c r="C171" s="2115">
        <v>2023</v>
      </c>
      <c r="D171" s="2115">
        <v>12</v>
      </c>
      <c r="E171" s="2115">
        <v>169</v>
      </c>
      <c r="F171" s="2115">
        <v>0</v>
      </c>
      <c r="G171" s="2115" t="s">
        <v>1814</v>
      </c>
      <c r="H171" s="2206">
        <v>866878.51</v>
      </c>
      <c r="I171" s="2206">
        <v>899672.54</v>
      </c>
    </row>
    <row r="172" spans="1:9" ht="15.75">
      <c r="A172" s="2115" t="s">
        <v>877</v>
      </c>
      <c r="B172" s="2115">
        <v>187</v>
      </c>
      <c r="C172" s="2115">
        <v>2023</v>
      </c>
      <c r="D172" s="2115">
        <v>12</v>
      </c>
      <c r="E172" s="2115">
        <v>170</v>
      </c>
      <c r="F172" s="2115">
        <v>0</v>
      </c>
      <c r="G172" s="2115" t="s">
        <v>1813</v>
      </c>
      <c r="H172" s="2206">
        <v>229071.01</v>
      </c>
      <c r="I172" s="2206">
        <v>124273.45</v>
      </c>
    </row>
    <row r="173" spans="1:9" ht="15.75">
      <c r="A173" s="2115" t="s">
        <v>877</v>
      </c>
      <c r="B173" s="2115">
        <v>187</v>
      </c>
      <c r="C173" s="2115">
        <v>2023</v>
      </c>
      <c r="D173" s="2115">
        <v>12</v>
      </c>
      <c r="E173" s="2115">
        <v>171</v>
      </c>
      <c r="F173" s="2115">
        <v>0</v>
      </c>
      <c r="G173" s="2115" t="s">
        <v>1812</v>
      </c>
      <c r="H173" s="2206">
        <v>32966020.850000001</v>
      </c>
      <c r="I173" s="2206">
        <v>34244623.100000001</v>
      </c>
    </row>
    <row r="174" spans="1:9" ht="15.75">
      <c r="A174" s="2115" t="s">
        <v>877</v>
      </c>
      <c r="B174" s="2115">
        <v>187</v>
      </c>
      <c r="C174" s="2115">
        <v>2023</v>
      </c>
      <c r="D174" s="2115">
        <v>12</v>
      </c>
      <c r="E174" s="2115">
        <v>172</v>
      </c>
      <c r="F174" s="2115">
        <v>0</v>
      </c>
      <c r="G174" s="2115" t="s">
        <v>1811</v>
      </c>
      <c r="H174" s="2206">
        <v>0</v>
      </c>
      <c r="I174" s="2206">
        <v>0</v>
      </c>
    </row>
    <row r="175" spans="1:9" ht="15.75">
      <c r="A175" s="2115" t="s">
        <v>877</v>
      </c>
      <c r="B175" s="2115">
        <v>187</v>
      </c>
      <c r="C175" s="2115">
        <v>2023</v>
      </c>
      <c r="D175" s="2115">
        <v>12</v>
      </c>
      <c r="E175" s="2115">
        <v>173</v>
      </c>
      <c r="F175" s="2115">
        <v>0</v>
      </c>
      <c r="G175" s="2115" t="s">
        <v>441</v>
      </c>
      <c r="H175" s="2206">
        <v>0</v>
      </c>
      <c r="I175" s="2206">
        <v>0</v>
      </c>
    </row>
    <row r="176" spans="1:9" ht="15.75">
      <c r="A176" s="2115" t="s">
        <v>877</v>
      </c>
      <c r="B176" s="2115">
        <v>187</v>
      </c>
      <c r="C176" s="2115">
        <v>2023</v>
      </c>
      <c r="D176" s="2115">
        <v>12</v>
      </c>
      <c r="E176" s="2115">
        <v>174</v>
      </c>
      <c r="F176" s="2115">
        <v>0</v>
      </c>
      <c r="G176" s="2115" t="s">
        <v>1810</v>
      </c>
      <c r="H176" s="2206">
        <v>0</v>
      </c>
      <c r="I176" s="2206">
        <v>0</v>
      </c>
    </row>
    <row r="177" spans="1:9" ht="15.75">
      <c r="A177" s="2115" t="s">
        <v>877</v>
      </c>
      <c r="B177" s="2115">
        <v>187</v>
      </c>
      <c r="C177" s="2115">
        <v>2023</v>
      </c>
      <c r="D177" s="2115">
        <v>12</v>
      </c>
      <c r="E177" s="2115">
        <v>175</v>
      </c>
      <c r="F177" s="2115">
        <v>0</v>
      </c>
      <c r="G177" s="2115" t="s">
        <v>1809</v>
      </c>
      <c r="H177" s="2206">
        <v>43646</v>
      </c>
      <c r="I177" s="2206">
        <v>108681</v>
      </c>
    </row>
    <row r="178" spans="1:9" ht="15.75">
      <c r="A178" s="2115" t="s">
        <v>877</v>
      </c>
      <c r="B178" s="2115">
        <v>187</v>
      </c>
      <c r="C178" s="2115">
        <v>2023</v>
      </c>
      <c r="D178" s="2115">
        <v>12</v>
      </c>
      <c r="E178" s="2115">
        <v>176</v>
      </c>
      <c r="F178" s="2115">
        <v>0</v>
      </c>
      <c r="G178" s="2115" t="s">
        <v>1808</v>
      </c>
      <c r="H178" s="2206">
        <v>0</v>
      </c>
      <c r="I178" s="2206">
        <v>0</v>
      </c>
    </row>
    <row r="179" spans="1:9" ht="15.75">
      <c r="A179" s="2115" t="s">
        <v>877</v>
      </c>
      <c r="B179" s="2115">
        <v>187</v>
      </c>
      <c r="C179" s="2115">
        <v>2023</v>
      </c>
      <c r="D179" s="2115">
        <v>12</v>
      </c>
      <c r="E179" s="2115">
        <v>177</v>
      </c>
      <c r="F179" s="2115">
        <v>0</v>
      </c>
      <c r="G179" s="2115" t="s">
        <v>1807</v>
      </c>
      <c r="H179" s="2206">
        <v>0</v>
      </c>
      <c r="I179" s="2206">
        <v>0</v>
      </c>
    </row>
    <row r="180" spans="1:9" ht="15.75">
      <c r="A180" s="2115" t="s">
        <v>877</v>
      </c>
      <c r="B180" s="2115">
        <v>187</v>
      </c>
      <c r="C180" s="2115">
        <v>2023</v>
      </c>
      <c r="D180" s="2115">
        <v>12</v>
      </c>
      <c r="E180" s="2115">
        <v>178</v>
      </c>
      <c r="F180" s="2115">
        <v>0</v>
      </c>
      <c r="G180" s="2115" t="s">
        <v>1806</v>
      </c>
      <c r="H180" s="2206">
        <v>43646</v>
      </c>
      <c r="I180" s="2206">
        <v>108681</v>
      </c>
    </row>
    <row r="181" spans="1:9" ht="15.75">
      <c r="A181" s="2115" t="s">
        <v>877</v>
      </c>
      <c r="B181" s="2115">
        <v>187</v>
      </c>
      <c r="C181" s="2115">
        <v>2023</v>
      </c>
      <c r="D181" s="2115">
        <v>12</v>
      </c>
      <c r="E181" s="2115">
        <v>179</v>
      </c>
      <c r="F181" s="2115">
        <v>0</v>
      </c>
      <c r="G181" s="2115" t="s">
        <v>1805</v>
      </c>
      <c r="H181" s="2206">
        <v>0</v>
      </c>
      <c r="I181" s="2206">
        <v>0</v>
      </c>
    </row>
    <row r="182" spans="1:9" ht="15.75">
      <c r="A182" s="2115" t="s">
        <v>877</v>
      </c>
      <c r="B182" s="2115">
        <v>187</v>
      </c>
      <c r="C182" s="2115">
        <v>2023</v>
      </c>
      <c r="D182" s="2115">
        <v>12</v>
      </c>
      <c r="E182" s="2115">
        <v>180</v>
      </c>
      <c r="F182" s="2115">
        <v>0</v>
      </c>
      <c r="G182" s="2115" t="s">
        <v>441</v>
      </c>
      <c r="H182" s="2206">
        <v>0</v>
      </c>
      <c r="I182" s="2206">
        <v>0</v>
      </c>
    </row>
    <row r="183" spans="1:9" ht="15.75">
      <c r="A183" s="2115" t="s">
        <v>877</v>
      </c>
      <c r="B183" s="2115">
        <v>187</v>
      </c>
      <c r="C183" s="2115">
        <v>2023</v>
      </c>
      <c r="D183" s="2115">
        <v>12</v>
      </c>
      <c r="E183" s="2115">
        <v>181</v>
      </c>
      <c r="F183" s="2115">
        <v>0</v>
      </c>
      <c r="G183" s="2115" t="s">
        <v>1804</v>
      </c>
      <c r="H183" s="2206">
        <v>32491999.100000001</v>
      </c>
      <c r="I183" s="2206">
        <v>31951929.93</v>
      </c>
    </row>
    <row r="184" spans="1:9" ht="15.75">
      <c r="A184" s="2115" t="s">
        <v>877</v>
      </c>
      <c r="B184" s="2115">
        <v>187</v>
      </c>
      <c r="C184" s="2115">
        <v>2023</v>
      </c>
      <c r="D184" s="2115">
        <v>12</v>
      </c>
      <c r="E184" s="2115">
        <v>182</v>
      </c>
      <c r="F184" s="2115">
        <v>0</v>
      </c>
      <c r="G184" s="2115" t="s">
        <v>1803</v>
      </c>
      <c r="H184" s="2206">
        <v>3924957.88</v>
      </c>
      <c r="I184" s="2206">
        <v>4208908.4400000004</v>
      </c>
    </row>
    <row r="185" spans="1:9" ht="15.75">
      <c r="A185" s="2115" t="s">
        <v>877</v>
      </c>
      <c r="B185" s="2115">
        <v>187</v>
      </c>
      <c r="C185" s="2115">
        <v>2023</v>
      </c>
      <c r="D185" s="2115">
        <v>12</v>
      </c>
      <c r="E185" s="2115">
        <v>183</v>
      </c>
      <c r="F185" s="2115">
        <v>0</v>
      </c>
      <c r="G185" s="2115" t="s">
        <v>1802</v>
      </c>
      <c r="H185" s="2206">
        <v>-114021.94</v>
      </c>
      <c r="I185" s="2206">
        <v>-95466.31</v>
      </c>
    </row>
    <row r="186" spans="1:9" ht="15.75">
      <c r="A186" s="2115" t="s">
        <v>877</v>
      </c>
      <c r="B186" s="2115">
        <v>187</v>
      </c>
      <c r="C186" s="2115">
        <v>2023</v>
      </c>
      <c r="D186" s="2115">
        <v>12</v>
      </c>
      <c r="E186" s="2115">
        <v>184</v>
      </c>
      <c r="F186" s="2115">
        <v>0</v>
      </c>
      <c r="G186" s="2115" t="s">
        <v>1801</v>
      </c>
      <c r="H186" s="2206">
        <v>14933868.609999999</v>
      </c>
      <c r="I186" s="2206">
        <v>14506892.83</v>
      </c>
    </row>
    <row r="187" spans="1:9" ht="15.75">
      <c r="A187" s="2115" t="s">
        <v>877</v>
      </c>
      <c r="B187" s="2115">
        <v>187</v>
      </c>
      <c r="C187" s="2115">
        <v>2023</v>
      </c>
      <c r="D187" s="2115">
        <v>12</v>
      </c>
      <c r="E187" s="2115">
        <v>185</v>
      </c>
      <c r="F187" s="2115">
        <v>0</v>
      </c>
      <c r="G187" s="2115" t="s">
        <v>1800</v>
      </c>
      <c r="H187" s="2206">
        <v>2806700.76</v>
      </c>
      <c r="I187" s="2206">
        <v>2435764.4</v>
      </c>
    </row>
    <row r="188" spans="1:9" ht="15.75">
      <c r="A188" s="2115" t="s">
        <v>877</v>
      </c>
      <c r="B188" s="2115">
        <v>187</v>
      </c>
      <c r="C188" s="2115">
        <v>2023</v>
      </c>
      <c r="D188" s="2115">
        <v>12</v>
      </c>
      <c r="E188" s="2115">
        <v>186</v>
      </c>
      <c r="F188" s="2115">
        <v>0</v>
      </c>
      <c r="G188" s="2115" t="s">
        <v>1799</v>
      </c>
      <c r="H188" s="2206">
        <v>10784298.52</v>
      </c>
      <c r="I188" s="2206">
        <v>10487107.01</v>
      </c>
    </row>
    <row r="189" spans="1:9" ht="15.75">
      <c r="A189" s="2115" t="s">
        <v>877</v>
      </c>
      <c r="B189" s="2115">
        <v>187</v>
      </c>
      <c r="C189" s="2115">
        <v>2023</v>
      </c>
      <c r="D189" s="2115">
        <v>12</v>
      </c>
      <c r="E189" s="2115">
        <v>187</v>
      </c>
      <c r="F189" s="2115">
        <v>0</v>
      </c>
      <c r="G189" s="2115" t="s">
        <v>1798</v>
      </c>
      <c r="H189" s="2206">
        <v>28096653.760000002</v>
      </c>
      <c r="I189" s="2206">
        <v>37144003.979999997</v>
      </c>
    </row>
    <row r="190" spans="1:9" ht="15.75">
      <c r="A190" s="2115" t="s">
        <v>877</v>
      </c>
      <c r="B190" s="2115">
        <v>187</v>
      </c>
      <c r="C190" s="2115">
        <v>2023</v>
      </c>
      <c r="D190" s="2115">
        <v>12</v>
      </c>
      <c r="E190" s="2115">
        <v>188</v>
      </c>
      <c r="F190" s="2115">
        <v>0</v>
      </c>
      <c r="G190" s="2115" t="s">
        <v>1797</v>
      </c>
      <c r="H190" s="2206">
        <v>1200</v>
      </c>
      <c r="I190" s="2206">
        <v>1200</v>
      </c>
    </row>
    <row r="191" spans="1:9" ht="15.75">
      <c r="A191" s="2115" t="s">
        <v>877</v>
      </c>
      <c r="B191" s="2115">
        <v>187</v>
      </c>
      <c r="C191" s="2115">
        <v>2023</v>
      </c>
      <c r="D191" s="2115">
        <v>12</v>
      </c>
      <c r="E191" s="2115">
        <v>189</v>
      </c>
      <c r="F191" s="2115">
        <v>0</v>
      </c>
      <c r="G191" s="2115" t="s">
        <v>1796</v>
      </c>
      <c r="H191" s="2206">
        <v>8387545.0899999999</v>
      </c>
      <c r="I191" s="2206">
        <v>6789206.46</v>
      </c>
    </row>
    <row r="192" spans="1:9" ht="15.75">
      <c r="A192" s="2115" t="s">
        <v>877</v>
      </c>
      <c r="B192" s="2115">
        <v>187</v>
      </c>
      <c r="C192" s="2115">
        <v>2023</v>
      </c>
      <c r="D192" s="2115">
        <v>12</v>
      </c>
      <c r="E192" s="2115">
        <v>190</v>
      </c>
      <c r="F192" s="2115">
        <v>0</v>
      </c>
      <c r="G192" s="2115" t="s">
        <v>1795</v>
      </c>
      <c r="H192" s="2206">
        <v>0</v>
      </c>
      <c r="I192" s="2206">
        <v>0</v>
      </c>
    </row>
    <row r="193" spans="1:9" ht="15.75">
      <c r="A193" s="2115" t="s">
        <v>877</v>
      </c>
      <c r="B193" s="2115">
        <v>187</v>
      </c>
      <c r="C193" s="2115">
        <v>2023</v>
      </c>
      <c r="D193" s="2115">
        <v>12</v>
      </c>
      <c r="E193" s="2115">
        <v>191</v>
      </c>
      <c r="F193" s="2115">
        <v>0</v>
      </c>
      <c r="G193" s="2115" t="s">
        <v>1794</v>
      </c>
      <c r="H193" s="2206">
        <v>0</v>
      </c>
      <c r="I193" s="2206">
        <v>0</v>
      </c>
    </row>
    <row r="194" spans="1:9" ht="15.75">
      <c r="A194" s="2115" t="s">
        <v>877</v>
      </c>
      <c r="B194" s="2115">
        <v>187</v>
      </c>
      <c r="C194" s="2115">
        <v>2023</v>
      </c>
      <c r="D194" s="2115">
        <v>12</v>
      </c>
      <c r="E194" s="2115">
        <v>192</v>
      </c>
      <c r="F194" s="2115">
        <v>0</v>
      </c>
      <c r="G194" s="2115" t="s">
        <v>1793</v>
      </c>
      <c r="H194" s="2206">
        <v>5644866</v>
      </c>
      <c r="I194" s="2206">
        <v>5342710</v>
      </c>
    </row>
    <row r="195" spans="1:9" ht="15.75">
      <c r="A195" s="2115" t="s">
        <v>877</v>
      </c>
      <c r="B195" s="2115">
        <v>187</v>
      </c>
      <c r="C195" s="2115">
        <v>2023</v>
      </c>
      <c r="D195" s="2115">
        <v>12</v>
      </c>
      <c r="E195" s="2115">
        <v>193</v>
      </c>
      <c r="F195" s="2115">
        <v>0</v>
      </c>
      <c r="G195" s="2115" t="s">
        <v>1792</v>
      </c>
      <c r="H195" s="2206">
        <v>938930</v>
      </c>
      <c r="I195" s="2206">
        <v>778114</v>
      </c>
    </row>
    <row r="196" spans="1:9" ht="15.75">
      <c r="A196" s="2115" t="s">
        <v>877</v>
      </c>
      <c r="B196" s="2115">
        <v>187</v>
      </c>
      <c r="C196" s="2115">
        <v>2023</v>
      </c>
      <c r="D196" s="2115">
        <v>12</v>
      </c>
      <c r="E196" s="2115">
        <v>194</v>
      </c>
      <c r="F196" s="2115">
        <v>0</v>
      </c>
      <c r="G196" s="2115" t="s">
        <v>1791</v>
      </c>
      <c r="H196" s="2206">
        <f>SUM(H183:H195)</f>
        <v>107896997.78000002</v>
      </c>
      <c r="I196" s="2206">
        <f>SUM(I183:I195)-1</f>
        <v>113550369.73999998</v>
      </c>
    </row>
    <row r="197" spans="1:9" ht="15.75">
      <c r="A197" s="2115" t="s">
        <v>877</v>
      </c>
      <c r="B197" s="2115">
        <v>187</v>
      </c>
      <c r="C197" s="2115">
        <v>2023</v>
      </c>
      <c r="D197" s="2115">
        <v>12</v>
      </c>
      <c r="E197" s="2115">
        <v>195</v>
      </c>
      <c r="F197" s="2115">
        <v>0</v>
      </c>
      <c r="G197" s="2115" t="s">
        <v>442</v>
      </c>
      <c r="H197" s="2206">
        <v>0</v>
      </c>
      <c r="I197" s="2206">
        <v>0</v>
      </c>
    </row>
    <row r="198" spans="1:9" ht="15.75">
      <c r="A198" s="2115" t="s">
        <v>877</v>
      </c>
      <c r="B198" s="2115">
        <v>187</v>
      </c>
      <c r="C198" s="2115">
        <v>2023</v>
      </c>
      <c r="D198" s="2115">
        <v>12</v>
      </c>
      <c r="E198" s="2115">
        <v>196</v>
      </c>
      <c r="F198" s="2115">
        <v>0</v>
      </c>
      <c r="G198" s="2115" t="s">
        <v>1790</v>
      </c>
      <c r="H198" s="2206">
        <v>14630422</v>
      </c>
      <c r="I198" s="2206">
        <v>14984640</v>
      </c>
    </row>
    <row r="199" spans="1:9" ht="15.75">
      <c r="A199" s="2115" t="s">
        <v>877</v>
      </c>
      <c r="B199" s="2115">
        <v>187</v>
      </c>
      <c r="C199" s="2115">
        <v>2023</v>
      </c>
      <c r="D199" s="2115">
        <v>12</v>
      </c>
      <c r="E199" s="2115">
        <v>197</v>
      </c>
      <c r="F199" s="2115">
        <v>0</v>
      </c>
      <c r="G199" s="2115" t="s">
        <v>1789</v>
      </c>
      <c r="H199" s="2206">
        <f>SUM(H196:H198)</f>
        <v>122527419.78000002</v>
      </c>
      <c r="I199" s="2206">
        <f>SUM(I196:I198)</f>
        <v>128535009.73999998</v>
      </c>
    </row>
    <row r="200" spans="1:9" ht="15.75">
      <c r="A200" s="2115" t="s">
        <v>877</v>
      </c>
      <c r="B200" s="2115">
        <v>187</v>
      </c>
      <c r="C200" s="2115">
        <v>2023</v>
      </c>
      <c r="D200" s="2115">
        <v>12</v>
      </c>
      <c r="E200" s="2115">
        <v>198</v>
      </c>
      <c r="F200" s="2115">
        <v>0</v>
      </c>
      <c r="G200" s="2115" t="s">
        <v>1788</v>
      </c>
      <c r="H200" s="2206">
        <v>745474225</v>
      </c>
      <c r="I200" s="2206">
        <v>776655822</v>
      </c>
    </row>
  </sheetData>
  <pageMargins left="0.75" right="0.75" top="1" bottom="1" header="0.5" footer="0.5"/>
  <pageSetup orientation="portrait" r:id="rId1"/>
  <customProperties>
    <customPr name="xxe4aPID" r:id="rId2"/>
  </customPropertie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7906F-ACA9-4E69-BCEB-E3074C88D16A}">
  <sheetPr codeName="Sheet66">
    <tabColor theme="6"/>
  </sheetPr>
  <dimension ref="A1:T115"/>
  <sheetViews>
    <sheetView topLeftCell="A25" workbookViewId="0">
      <selection activeCell="D400" sqref="D400"/>
    </sheetView>
  </sheetViews>
  <sheetFormatPr defaultColWidth="9" defaultRowHeight="12.75"/>
  <cols>
    <col min="1" max="7" width="9" style="1958"/>
    <col min="8" max="8" width="32.25" style="1958" bestFit="1" customWidth="1"/>
    <col min="9" max="13" width="9" style="1958"/>
    <col min="14" max="14" width="14.625" style="1958" bestFit="1" customWidth="1"/>
    <col min="15" max="15" width="10" style="1958" bestFit="1" customWidth="1"/>
    <col min="16" max="16" width="10.75" style="1958" bestFit="1" customWidth="1"/>
    <col min="17" max="16384" width="9" style="1958"/>
  </cols>
  <sheetData>
    <row r="1" spans="1:20">
      <c r="A1" s="1958" t="s">
        <v>984</v>
      </c>
      <c r="B1" s="1958" t="s">
        <v>983</v>
      </c>
      <c r="C1" s="1958" t="s">
        <v>982</v>
      </c>
      <c r="D1" s="1958" t="s">
        <v>981</v>
      </c>
      <c r="E1" s="1958" t="s">
        <v>980</v>
      </c>
      <c r="F1" s="1958" t="s">
        <v>979</v>
      </c>
      <c r="G1" s="1958" t="s">
        <v>1159</v>
      </c>
      <c r="H1" s="1958" t="s">
        <v>2078</v>
      </c>
      <c r="I1" s="1958" t="s">
        <v>1777</v>
      </c>
      <c r="J1" s="1958" t="s">
        <v>2077</v>
      </c>
      <c r="K1" s="1958" t="s">
        <v>2076</v>
      </c>
      <c r="L1" s="1958" t="s">
        <v>2075</v>
      </c>
      <c r="M1" s="1958" t="s">
        <v>2074</v>
      </c>
      <c r="N1" s="1958" t="s">
        <v>2073</v>
      </c>
      <c r="O1" s="1958" t="s">
        <v>2072</v>
      </c>
      <c r="P1" s="1958" t="s">
        <v>2071</v>
      </c>
      <c r="Q1" s="1958" t="s">
        <v>2070</v>
      </c>
      <c r="R1" s="1958" t="s">
        <v>2069</v>
      </c>
      <c r="S1" s="1958" t="s">
        <v>2068</v>
      </c>
      <c r="T1" s="1958" t="s">
        <v>2067</v>
      </c>
    </row>
    <row r="2" spans="1:20">
      <c r="A2" s="1958" t="s">
        <v>877</v>
      </c>
      <c r="B2" s="1958">
        <v>187</v>
      </c>
      <c r="C2" s="1958">
        <v>2023</v>
      </c>
      <c r="D2" s="1958">
        <v>12</v>
      </c>
      <c r="E2" s="1958">
        <v>1</v>
      </c>
      <c r="F2" s="1958">
        <v>0</v>
      </c>
      <c r="G2" s="1958" t="s">
        <v>1483</v>
      </c>
      <c r="H2" s="1958" t="s">
        <v>2066</v>
      </c>
      <c r="I2" s="1958" t="s">
        <v>191</v>
      </c>
      <c r="J2" s="1958" t="s">
        <v>1977</v>
      </c>
      <c r="K2" s="1958" t="s">
        <v>728</v>
      </c>
      <c r="L2" s="1958" t="s">
        <v>728</v>
      </c>
      <c r="M2" s="1958" t="s">
        <v>728</v>
      </c>
      <c r="N2" s="1958">
        <v>36961</v>
      </c>
      <c r="O2" s="1958">
        <v>0</v>
      </c>
      <c r="P2" s="1958">
        <v>0</v>
      </c>
      <c r="Q2" s="1958">
        <v>0</v>
      </c>
      <c r="R2" s="1958">
        <v>1556428</v>
      </c>
      <c r="S2" s="1958">
        <v>0</v>
      </c>
      <c r="T2" s="1958">
        <f t="shared" ref="T2:T33" si="0">SUM(Q2:S2)</f>
        <v>1556428</v>
      </c>
    </row>
    <row r="3" spans="1:20">
      <c r="A3" s="1958" t="s">
        <v>877</v>
      </c>
      <c r="B3" s="1958">
        <v>187</v>
      </c>
      <c r="C3" s="1958">
        <v>2023</v>
      </c>
      <c r="D3" s="1958">
        <v>12</v>
      </c>
      <c r="E3" s="1958">
        <v>2</v>
      </c>
      <c r="G3" s="1958" t="s">
        <v>1481</v>
      </c>
      <c r="H3" s="1958" t="s">
        <v>1767</v>
      </c>
      <c r="I3" s="1958" t="s">
        <v>190</v>
      </c>
      <c r="J3" s="1958" t="s">
        <v>1706</v>
      </c>
      <c r="N3" s="1958">
        <v>1200</v>
      </c>
      <c r="O3" s="1958">
        <v>0</v>
      </c>
      <c r="P3" s="1958">
        <v>0</v>
      </c>
      <c r="Q3" s="1958">
        <v>0</v>
      </c>
      <c r="R3" s="1958">
        <v>68800</v>
      </c>
      <c r="S3" s="1958">
        <v>0</v>
      </c>
      <c r="T3" s="1958">
        <f t="shared" si="0"/>
        <v>68800</v>
      </c>
    </row>
    <row r="4" spans="1:20">
      <c r="A4" s="1958" t="s">
        <v>877</v>
      </c>
      <c r="B4" s="1958">
        <v>187</v>
      </c>
      <c r="C4" s="1958">
        <v>2023</v>
      </c>
      <c r="D4" s="1958">
        <v>12</v>
      </c>
      <c r="E4" s="1958">
        <v>3</v>
      </c>
      <c r="G4" s="1958" t="s">
        <v>1479</v>
      </c>
      <c r="H4" s="1958" t="s">
        <v>2065</v>
      </c>
      <c r="I4" s="1958" t="s">
        <v>193</v>
      </c>
      <c r="J4" s="1958" t="s">
        <v>2064</v>
      </c>
      <c r="O4" s="1958">
        <v>0</v>
      </c>
      <c r="P4" s="1958">
        <v>0</v>
      </c>
      <c r="Q4" s="1958">
        <v>0</v>
      </c>
      <c r="R4" s="1958">
        <v>0</v>
      </c>
      <c r="S4" s="1958">
        <v>0</v>
      </c>
      <c r="T4" s="1958">
        <f t="shared" si="0"/>
        <v>0</v>
      </c>
    </row>
    <row r="5" spans="1:20">
      <c r="A5" s="1958" t="s">
        <v>877</v>
      </c>
      <c r="B5" s="1958">
        <v>187</v>
      </c>
      <c r="C5" s="1958">
        <v>2023</v>
      </c>
      <c r="D5" s="1958">
        <v>12</v>
      </c>
      <c r="E5" s="1958">
        <v>4</v>
      </c>
      <c r="F5" s="1958">
        <v>0</v>
      </c>
      <c r="G5" s="1958" t="s">
        <v>1477</v>
      </c>
      <c r="H5" s="1958" t="s">
        <v>2063</v>
      </c>
      <c r="I5" s="1958" t="s">
        <v>190</v>
      </c>
      <c r="J5" s="1958" t="s">
        <v>1706</v>
      </c>
      <c r="K5" s="1958" t="s">
        <v>728</v>
      </c>
      <c r="L5" s="1958" t="s">
        <v>728</v>
      </c>
      <c r="M5" s="1958" t="s">
        <v>728</v>
      </c>
      <c r="N5" s="1958">
        <v>38231</v>
      </c>
      <c r="O5" s="1958">
        <v>0</v>
      </c>
      <c r="P5" s="1958">
        <v>0</v>
      </c>
      <c r="Q5" s="1958">
        <v>0</v>
      </c>
      <c r="R5" s="1958">
        <v>2412851</v>
      </c>
      <c r="S5" s="1958">
        <v>0</v>
      </c>
      <c r="T5" s="1958">
        <f t="shared" si="0"/>
        <v>2412851</v>
      </c>
    </row>
    <row r="6" spans="1:20">
      <c r="A6" s="1958" t="s">
        <v>877</v>
      </c>
      <c r="B6" s="1958">
        <v>187</v>
      </c>
      <c r="C6" s="1958">
        <v>2023</v>
      </c>
      <c r="D6" s="1958">
        <v>12</v>
      </c>
      <c r="E6" s="1958">
        <v>5</v>
      </c>
      <c r="F6" s="1958">
        <v>0</v>
      </c>
      <c r="G6" s="1958" t="s">
        <v>1475</v>
      </c>
      <c r="H6" s="1958" t="s">
        <v>2063</v>
      </c>
      <c r="I6" s="1958" t="s">
        <v>188</v>
      </c>
      <c r="J6" s="1958" t="s">
        <v>1979</v>
      </c>
      <c r="K6" s="1958" t="s">
        <v>728</v>
      </c>
      <c r="L6" s="1958" t="s">
        <v>728</v>
      </c>
      <c r="M6" s="1958" t="s">
        <v>728</v>
      </c>
      <c r="N6" s="1958">
        <v>6</v>
      </c>
      <c r="O6" s="1958">
        <v>0</v>
      </c>
      <c r="P6" s="1958">
        <v>0</v>
      </c>
      <c r="Q6" s="1958">
        <v>0</v>
      </c>
      <c r="R6" s="1958">
        <v>472</v>
      </c>
      <c r="S6" s="1958">
        <v>0</v>
      </c>
      <c r="T6" s="1958">
        <f t="shared" si="0"/>
        <v>472</v>
      </c>
    </row>
    <row r="7" spans="1:20">
      <c r="A7" s="1958" t="s">
        <v>877</v>
      </c>
      <c r="B7" s="1958">
        <v>187</v>
      </c>
      <c r="C7" s="1958">
        <v>2023</v>
      </c>
      <c r="D7" s="1958">
        <v>12</v>
      </c>
      <c r="E7" s="1958">
        <v>6</v>
      </c>
      <c r="F7" s="1958">
        <v>0</v>
      </c>
      <c r="G7" s="1958" t="s">
        <v>1473</v>
      </c>
      <c r="H7" s="1958" t="s">
        <v>2063</v>
      </c>
      <c r="I7" s="1958" t="s">
        <v>189</v>
      </c>
      <c r="J7" s="1958" t="s">
        <v>1706</v>
      </c>
      <c r="K7" s="1958" t="s">
        <v>728</v>
      </c>
      <c r="L7" s="1958" t="s">
        <v>728</v>
      </c>
      <c r="M7" s="1958" t="s">
        <v>728</v>
      </c>
      <c r="N7" s="1958">
        <v>13716</v>
      </c>
      <c r="O7" s="1958">
        <v>0</v>
      </c>
      <c r="P7" s="1958">
        <v>0</v>
      </c>
      <c r="Q7" s="1958">
        <v>0</v>
      </c>
      <c r="R7" s="1958">
        <v>0</v>
      </c>
      <c r="S7" s="1958">
        <v>0</v>
      </c>
      <c r="T7" s="1958">
        <f t="shared" si="0"/>
        <v>0</v>
      </c>
    </row>
    <row r="8" spans="1:20">
      <c r="A8" s="1958" t="s">
        <v>877</v>
      </c>
      <c r="B8" s="1958">
        <v>187</v>
      </c>
      <c r="C8" s="1958">
        <v>2023</v>
      </c>
      <c r="D8" s="1958">
        <v>12</v>
      </c>
      <c r="E8" s="1958">
        <v>7</v>
      </c>
      <c r="F8" s="1958">
        <v>0</v>
      </c>
      <c r="G8" s="1958" t="s">
        <v>1471</v>
      </c>
      <c r="H8" s="1958" t="s">
        <v>2062</v>
      </c>
      <c r="I8" s="1958" t="s">
        <v>190</v>
      </c>
      <c r="J8" s="1958" t="s">
        <v>1706</v>
      </c>
      <c r="K8" s="1958" t="s">
        <v>728</v>
      </c>
      <c r="L8" s="1958" t="s">
        <v>728</v>
      </c>
      <c r="M8" s="1958" t="s">
        <v>728</v>
      </c>
      <c r="N8" s="1958">
        <v>4800</v>
      </c>
      <c r="O8" s="1958">
        <v>0</v>
      </c>
      <c r="P8" s="1958">
        <v>0</v>
      </c>
      <c r="Q8" s="1958">
        <v>0</v>
      </c>
      <c r="R8" s="1958">
        <v>64500</v>
      </c>
      <c r="S8" s="1958">
        <v>0</v>
      </c>
      <c r="T8" s="1958">
        <f t="shared" si="0"/>
        <v>64500</v>
      </c>
    </row>
    <row r="9" spans="1:20">
      <c r="A9" s="1958" t="s">
        <v>877</v>
      </c>
      <c r="B9" s="1958">
        <v>187</v>
      </c>
      <c r="C9" s="1958">
        <v>2023</v>
      </c>
      <c r="D9" s="1958">
        <v>12</v>
      </c>
      <c r="E9" s="1958">
        <v>8</v>
      </c>
      <c r="F9" s="1958">
        <v>0</v>
      </c>
      <c r="G9" s="1958" t="s">
        <v>1469</v>
      </c>
      <c r="H9" s="1958" t="s">
        <v>1762</v>
      </c>
      <c r="I9" s="1958" t="s">
        <v>193</v>
      </c>
      <c r="J9" s="1958" t="s">
        <v>2061</v>
      </c>
      <c r="K9" s="1958" t="s">
        <v>728</v>
      </c>
      <c r="L9" s="1958" t="s">
        <v>728</v>
      </c>
      <c r="M9" s="1958" t="s">
        <v>728</v>
      </c>
      <c r="N9" s="1958">
        <v>0</v>
      </c>
      <c r="O9" s="1958">
        <v>0</v>
      </c>
      <c r="P9" s="1958">
        <v>0</v>
      </c>
      <c r="Q9" s="1958">
        <v>0</v>
      </c>
      <c r="R9" s="1958">
        <v>0</v>
      </c>
      <c r="S9" s="1958">
        <v>-502871</v>
      </c>
      <c r="T9" s="1958">
        <f t="shared" si="0"/>
        <v>-502871</v>
      </c>
    </row>
    <row r="10" spans="1:20">
      <c r="A10" s="1958" t="s">
        <v>877</v>
      </c>
      <c r="B10" s="1958">
        <v>187</v>
      </c>
      <c r="C10" s="1958">
        <v>2023</v>
      </c>
      <c r="D10" s="1958">
        <v>12</v>
      </c>
      <c r="E10" s="1958">
        <v>9</v>
      </c>
      <c r="F10" s="1958">
        <v>0</v>
      </c>
      <c r="G10" s="1958" t="s">
        <v>1467</v>
      </c>
      <c r="H10" s="1958" t="s">
        <v>1762</v>
      </c>
      <c r="I10" s="1958" t="s">
        <v>188</v>
      </c>
      <c r="J10" s="1958" t="s">
        <v>2024</v>
      </c>
      <c r="K10" s="1958" t="s">
        <v>728</v>
      </c>
      <c r="L10" s="1958" t="s">
        <v>728</v>
      </c>
      <c r="M10" s="1958" t="s">
        <v>728</v>
      </c>
      <c r="N10" s="1958">
        <v>440</v>
      </c>
      <c r="O10" s="1958">
        <v>0</v>
      </c>
      <c r="P10" s="1958">
        <v>0</v>
      </c>
      <c r="Q10" s="1958">
        <v>0</v>
      </c>
      <c r="R10" s="1958">
        <v>0</v>
      </c>
      <c r="S10" s="1958">
        <v>0</v>
      </c>
      <c r="T10" s="1958">
        <f t="shared" si="0"/>
        <v>0</v>
      </c>
    </row>
    <row r="11" spans="1:20">
      <c r="A11" s="1958" t="s">
        <v>877</v>
      </c>
      <c r="B11" s="1958">
        <v>187</v>
      </c>
      <c r="C11" s="1958">
        <v>2023</v>
      </c>
      <c r="D11" s="1958">
        <v>12</v>
      </c>
      <c r="E11" s="1958">
        <v>10</v>
      </c>
      <c r="F11" s="1958">
        <v>0</v>
      </c>
      <c r="G11" s="1958" t="s">
        <v>1465</v>
      </c>
      <c r="H11" s="1958" t="s">
        <v>1762</v>
      </c>
      <c r="I11" s="1958" t="s">
        <v>190</v>
      </c>
      <c r="J11" s="1958" t="s">
        <v>1706</v>
      </c>
      <c r="K11" s="1958" t="s">
        <v>728</v>
      </c>
      <c r="L11" s="1958" t="s">
        <v>728</v>
      </c>
      <c r="M11" s="1958" t="s">
        <v>728</v>
      </c>
      <c r="N11" s="1958">
        <v>116145</v>
      </c>
      <c r="O11" s="1958">
        <v>0</v>
      </c>
      <c r="P11" s="1958">
        <v>0</v>
      </c>
      <c r="Q11" s="1958">
        <v>0</v>
      </c>
      <c r="R11" s="1958">
        <v>4565427</v>
      </c>
      <c r="S11" s="1958">
        <v>0</v>
      </c>
      <c r="T11" s="1958">
        <f t="shared" si="0"/>
        <v>4565427</v>
      </c>
    </row>
    <row r="12" spans="1:20">
      <c r="A12" s="1958" t="s">
        <v>877</v>
      </c>
      <c r="B12" s="1958">
        <v>187</v>
      </c>
      <c r="C12" s="1958">
        <v>2023</v>
      </c>
      <c r="D12" s="1958">
        <v>12</v>
      </c>
      <c r="E12" s="1958">
        <v>11</v>
      </c>
      <c r="F12" s="1958">
        <v>0</v>
      </c>
      <c r="G12" s="1958" t="s">
        <v>1463</v>
      </c>
      <c r="H12" s="1958" t="s">
        <v>1762</v>
      </c>
      <c r="I12" s="1958" t="s">
        <v>188</v>
      </c>
      <c r="J12" s="1958" t="s">
        <v>1979</v>
      </c>
      <c r="K12" s="1958" t="s">
        <v>728</v>
      </c>
      <c r="L12" s="1958" t="s">
        <v>728</v>
      </c>
      <c r="M12" s="1958" t="s">
        <v>728</v>
      </c>
      <c r="N12" s="1958">
        <v>140</v>
      </c>
      <c r="O12" s="1958">
        <v>0</v>
      </c>
      <c r="P12" s="1958">
        <v>0</v>
      </c>
      <c r="Q12" s="1958">
        <v>0</v>
      </c>
      <c r="R12" s="1958">
        <v>9019</v>
      </c>
      <c r="S12" s="1958">
        <v>0</v>
      </c>
      <c r="T12" s="1958">
        <f t="shared" si="0"/>
        <v>9019</v>
      </c>
    </row>
    <row r="13" spans="1:20">
      <c r="A13" s="1958" t="s">
        <v>877</v>
      </c>
      <c r="B13" s="1958">
        <v>187</v>
      </c>
      <c r="C13" s="1958">
        <v>2023</v>
      </c>
      <c r="D13" s="1958">
        <v>12</v>
      </c>
      <c r="E13" s="1958">
        <v>12</v>
      </c>
      <c r="F13" s="1958">
        <v>0</v>
      </c>
      <c r="G13" s="1958" t="s">
        <v>1461</v>
      </c>
      <c r="H13" s="1958" t="s">
        <v>1762</v>
      </c>
      <c r="I13" s="1958" t="s">
        <v>193</v>
      </c>
      <c r="J13" s="1958" t="s">
        <v>2061</v>
      </c>
      <c r="K13" s="1958" t="s">
        <v>728</v>
      </c>
      <c r="L13" s="1958" t="s">
        <v>728</v>
      </c>
      <c r="M13" s="1958" t="s">
        <v>728</v>
      </c>
      <c r="N13" s="1958">
        <v>0</v>
      </c>
      <c r="O13" s="1958">
        <v>0</v>
      </c>
      <c r="P13" s="1958">
        <v>0</v>
      </c>
      <c r="Q13" s="1958">
        <v>0</v>
      </c>
      <c r="R13" s="1958">
        <v>0</v>
      </c>
      <c r="S13" s="1958">
        <v>47401</v>
      </c>
      <c r="T13" s="1958">
        <f t="shared" si="0"/>
        <v>47401</v>
      </c>
    </row>
    <row r="14" spans="1:20">
      <c r="A14" s="1958" t="s">
        <v>877</v>
      </c>
      <c r="B14" s="1958">
        <v>187</v>
      </c>
      <c r="C14" s="1958">
        <v>2023</v>
      </c>
      <c r="D14" s="1958">
        <v>12</v>
      </c>
      <c r="E14" s="1958">
        <v>13</v>
      </c>
      <c r="F14" s="1958">
        <v>0</v>
      </c>
      <c r="G14" s="1958" t="s">
        <v>1459</v>
      </c>
      <c r="H14" s="1958" t="s">
        <v>1762</v>
      </c>
      <c r="I14" s="1958" t="s">
        <v>189</v>
      </c>
      <c r="J14" s="1958" t="s">
        <v>1706</v>
      </c>
      <c r="K14" s="1958" t="s">
        <v>728</v>
      </c>
      <c r="L14" s="1958" t="s">
        <v>728</v>
      </c>
      <c r="M14" s="1958" t="s">
        <v>728</v>
      </c>
      <c r="N14" s="1958">
        <v>23601</v>
      </c>
      <c r="O14" s="1958">
        <v>0</v>
      </c>
      <c r="P14" s="1958">
        <v>0</v>
      </c>
      <c r="Q14" s="1958">
        <v>0</v>
      </c>
      <c r="R14" s="1958">
        <v>1340218</v>
      </c>
      <c r="S14" s="1958">
        <v>0</v>
      </c>
      <c r="T14" s="1958">
        <f t="shared" si="0"/>
        <v>1340218</v>
      </c>
    </row>
    <row r="15" spans="1:20">
      <c r="A15" s="1958" t="s">
        <v>877</v>
      </c>
      <c r="B15" s="1958">
        <v>187</v>
      </c>
      <c r="C15" s="1958">
        <v>2023</v>
      </c>
      <c r="D15" s="1958">
        <v>12</v>
      </c>
      <c r="E15" s="1958">
        <v>14</v>
      </c>
      <c r="F15" s="1958">
        <v>0</v>
      </c>
      <c r="G15" s="1958" t="s">
        <v>1457</v>
      </c>
      <c r="H15" s="1958" t="s">
        <v>1762</v>
      </c>
      <c r="I15" s="1958" t="s">
        <v>193</v>
      </c>
      <c r="J15" s="1958" t="s">
        <v>2061</v>
      </c>
      <c r="K15" s="1958" t="s">
        <v>728</v>
      </c>
      <c r="L15" s="1958" t="s">
        <v>728</v>
      </c>
      <c r="M15" s="1958" t="s">
        <v>728</v>
      </c>
      <c r="N15" s="1958">
        <v>0</v>
      </c>
      <c r="O15" s="1958">
        <v>0</v>
      </c>
      <c r="P15" s="1958">
        <v>0</v>
      </c>
      <c r="Q15" s="1958">
        <v>0</v>
      </c>
      <c r="R15" s="1958">
        <v>0</v>
      </c>
      <c r="S15" s="1958">
        <v>264</v>
      </c>
      <c r="T15" s="1958">
        <f t="shared" si="0"/>
        <v>264</v>
      </c>
    </row>
    <row r="16" spans="1:20">
      <c r="A16" s="1958" t="s">
        <v>877</v>
      </c>
      <c r="B16" s="1958">
        <v>187</v>
      </c>
      <c r="C16" s="1958">
        <v>2023</v>
      </c>
      <c r="D16" s="1958">
        <v>12</v>
      </c>
      <c r="E16" s="1958">
        <v>15</v>
      </c>
      <c r="F16" s="1958">
        <v>0</v>
      </c>
      <c r="G16" s="1958" t="s">
        <v>1454</v>
      </c>
      <c r="H16" s="1958" t="s">
        <v>1762</v>
      </c>
      <c r="I16" s="1958" t="s">
        <v>193</v>
      </c>
      <c r="J16" s="1958" t="s">
        <v>2061</v>
      </c>
      <c r="K16" s="1958" t="s">
        <v>728</v>
      </c>
      <c r="L16" s="1958" t="s">
        <v>728</v>
      </c>
      <c r="M16" s="1958" t="s">
        <v>728</v>
      </c>
      <c r="N16" s="1958">
        <v>0</v>
      </c>
      <c r="O16" s="1958">
        <v>0</v>
      </c>
      <c r="P16" s="1958">
        <v>0</v>
      </c>
      <c r="Q16" s="1958">
        <v>0</v>
      </c>
      <c r="R16" s="1958">
        <v>0</v>
      </c>
      <c r="S16" s="1958">
        <v>1302</v>
      </c>
      <c r="T16" s="1958">
        <f t="shared" si="0"/>
        <v>1302</v>
      </c>
    </row>
    <row r="17" spans="1:20">
      <c r="A17" s="1958" t="s">
        <v>877</v>
      </c>
      <c r="B17" s="1958">
        <v>187</v>
      </c>
      <c r="C17" s="1958">
        <v>2023</v>
      </c>
      <c r="D17" s="1958">
        <v>12</v>
      </c>
      <c r="E17" s="1958">
        <v>16</v>
      </c>
      <c r="F17" s="1958">
        <v>0</v>
      </c>
      <c r="G17" s="1958" t="s">
        <v>1452</v>
      </c>
      <c r="H17" s="1958" t="s">
        <v>1762</v>
      </c>
      <c r="I17" s="1958" t="s">
        <v>189</v>
      </c>
      <c r="J17" s="1958" t="s">
        <v>1706</v>
      </c>
      <c r="K17" s="1958" t="s">
        <v>728</v>
      </c>
      <c r="L17" s="1958" t="s">
        <v>728</v>
      </c>
      <c r="M17" s="1958" t="s">
        <v>728</v>
      </c>
      <c r="N17" s="1958">
        <v>96717</v>
      </c>
      <c r="O17" s="1958">
        <v>0</v>
      </c>
      <c r="P17" s="1958">
        <v>0</v>
      </c>
      <c r="Q17" s="1958">
        <v>0</v>
      </c>
      <c r="R17" s="1958">
        <v>0</v>
      </c>
      <c r="S17" s="1958">
        <v>0</v>
      </c>
      <c r="T17" s="1958">
        <f t="shared" si="0"/>
        <v>0</v>
      </c>
    </row>
    <row r="18" spans="1:20">
      <c r="A18" s="1958" t="s">
        <v>877</v>
      </c>
      <c r="B18" s="1958">
        <v>187</v>
      </c>
      <c r="C18" s="1958">
        <v>2023</v>
      </c>
      <c r="D18" s="1958">
        <v>12</v>
      </c>
      <c r="E18" s="1958">
        <v>1</v>
      </c>
      <c r="F18" s="1958">
        <v>1</v>
      </c>
      <c r="G18" s="1958" t="s">
        <v>1483</v>
      </c>
      <c r="H18" s="1958" t="s">
        <v>1760</v>
      </c>
      <c r="I18" s="1958" t="s">
        <v>190</v>
      </c>
      <c r="J18" s="1958" t="s">
        <v>1706</v>
      </c>
      <c r="N18" s="1958">
        <v>1443</v>
      </c>
      <c r="O18" s="1958">
        <v>0</v>
      </c>
      <c r="P18" s="1958">
        <v>0</v>
      </c>
      <c r="Q18" s="1958">
        <v>0</v>
      </c>
      <c r="R18" s="1958">
        <v>124621</v>
      </c>
      <c r="S18" s="1958">
        <v>0</v>
      </c>
      <c r="T18" s="1958">
        <f t="shared" si="0"/>
        <v>124621</v>
      </c>
    </row>
    <row r="19" spans="1:20">
      <c r="A19" s="1958" t="s">
        <v>877</v>
      </c>
      <c r="B19" s="1958">
        <v>187</v>
      </c>
      <c r="C19" s="1958">
        <v>2023</v>
      </c>
      <c r="D19" s="1958">
        <v>12</v>
      </c>
      <c r="E19" s="1958">
        <v>2</v>
      </c>
      <c r="F19" s="1958">
        <v>1</v>
      </c>
      <c r="G19" s="1958" t="s">
        <v>1481</v>
      </c>
      <c r="H19" s="1958" t="s">
        <v>1759</v>
      </c>
      <c r="I19" s="1958" t="s">
        <v>190</v>
      </c>
      <c r="J19" s="1958" t="s">
        <v>1706</v>
      </c>
      <c r="N19" s="1958">
        <v>1300</v>
      </c>
      <c r="O19" s="1958">
        <v>0</v>
      </c>
      <c r="P19" s="1958">
        <v>0</v>
      </c>
      <c r="Q19" s="1958">
        <v>0</v>
      </c>
      <c r="R19" s="1958">
        <v>92250</v>
      </c>
      <c r="S19" s="1958">
        <v>0</v>
      </c>
      <c r="T19" s="1958">
        <f t="shared" si="0"/>
        <v>92250</v>
      </c>
    </row>
    <row r="20" spans="1:20">
      <c r="A20" s="1958" t="s">
        <v>877</v>
      </c>
      <c r="B20" s="1958">
        <v>187</v>
      </c>
      <c r="C20" s="1958">
        <v>2023</v>
      </c>
      <c r="D20" s="1958">
        <v>12</v>
      </c>
      <c r="E20" s="1958">
        <v>3</v>
      </c>
      <c r="F20" s="1958">
        <v>1</v>
      </c>
      <c r="G20" s="1958" t="s">
        <v>1479</v>
      </c>
      <c r="H20" s="1958" t="s">
        <v>2060</v>
      </c>
      <c r="I20" s="1958" t="s">
        <v>190</v>
      </c>
      <c r="J20" s="1958" t="s">
        <v>1706</v>
      </c>
      <c r="N20" s="1958">
        <v>51155</v>
      </c>
      <c r="O20" s="1958">
        <v>0</v>
      </c>
      <c r="P20" s="1958">
        <v>0</v>
      </c>
      <c r="Q20" s="1958">
        <v>0</v>
      </c>
      <c r="R20" s="1958">
        <v>3001346</v>
      </c>
      <c r="S20" s="1958">
        <v>0</v>
      </c>
      <c r="T20" s="1958">
        <f t="shared" si="0"/>
        <v>3001346</v>
      </c>
    </row>
    <row r="21" spans="1:20">
      <c r="A21" s="1958" t="s">
        <v>877</v>
      </c>
      <c r="B21" s="1958">
        <v>187</v>
      </c>
      <c r="C21" s="1958">
        <v>2023</v>
      </c>
      <c r="D21" s="1958">
        <v>12</v>
      </c>
      <c r="E21" s="1958">
        <v>4</v>
      </c>
      <c r="F21" s="1958">
        <v>1</v>
      </c>
      <c r="G21" s="1958" t="s">
        <v>1477</v>
      </c>
      <c r="H21" s="1958" t="s">
        <v>1758</v>
      </c>
      <c r="I21" s="1958" t="s">
        <v>190</v>
      </c>
      <c r="J21" s="1958" t="s">
        <v>1706</v>
      </c>
      <c r="N21" s="1958">
        <v>175</v>
      </c>
      <c r="O21" s="1958">
        <v>0</v>
      </c>
      <c r="P21" s="1958">
        <v>0</v>
      </c>
      <c r="Q21" s="1958">
        <v>0</v>
      </c>
      <c r="R21" s="1958">
        <v>21875</v>
      </c>
      <c r="S21" s="1958">
        <v>0</v>
      </c>
      <c r="T21" s="1958">
        <f t="shared" si="0"/>
        <v>21875</v>
      </c>
    </row>
    <row r="22" spans="1:20">
      <c r="A22" s="1958" t="s">
        <v>877</v>
      </c>
      <c r="B22" s="1958">
        <v>187</v>
      </c>
      <c r="C22" s="1958">
        <v>2023</v>
      </c>
      <c r="D22" s="1958">
        <v>12</v>
      </c>
      <c r="E22" s="1958">
        <v>5</v>
      </c>
      <c r="F22" s="1958">
        <v>1</v>
      </c>
      <c r="G22" s="1958" t="s">
        <v>1475</v>
      </c>
      <c r="H22" s="1958" t="s">
        <v>2056</v>
      </c>
      <c r="I22" s="1958" t="s">
        <v>192</v>
      </c>
      <c r="J22" s="1958" t="s">
        <v>2058</v>
      </c>
      <c r="N22" s="1958">
        <v>22575</v>
      </c>
      <c r="O22" s="1958">
        <v>0</v>
      </c>
      <c r="P22" s="1958">
        <v>0</v>
      </c>
      <c r="Q22" s="1958">
        <v>0</v>
      </c>
      <c r="R22" s="1958">
        <v>0</v>
      </c>
      <c r="S22" s="1958">
        <v>0</v>
      </c>
      <c r="T22" s="1958">
        <f t="shared" si="0"/>
        <v>0</v>
      </c>
    </row>
    <row r="23" spans="1:20">
      <c r="A23" s="1958" t="s">
        <v>877</v>
      </c>
      <c r="B23" s="1958">
        <v>187</v>
      </c>
      <c r="C23" s="1958">
        <v>2023</v>
      </c>
      <c r="D23" s="1958">
        <v>12</v>
      </c>
      <c r="E23" s="1958">
        <v>6</v>
      </c>
      <c r="F23" s="1958">
        <v>1</v>
      </c>
      <c r="G23" s="1958" t="s">
        <v>1473</v>
      </c>
      <c r="H23" s="1958" t="s">
        <v>2059</v>
      </c>
      <c r="I23" s="1958" t="s">
        <v>192</v>
      </c>
      <c r="J23" s="1958" t="s">
        <v>2058</v>
      </c>
      <c r="N23" s="1958">
        <v>-23686</v>
      </c>
      <c r="O23" s="1958">
        <v>0</v>
      </c>
      <c r="P23" s="1958">
        <v>0</v>
      </c>
      <c r="Q23" s="1958">
        <v>0</v>
      </c>
      <c r="R23" s="1958">
        <v>0</v>
      </c>
      <c r="S23" s="1958">
        <v>0</v>
      </c>
      <c r="T23" s="1958">
        <f t="shared" si="0"/>
        <v>0</v>
      </c>
    </row>
    <row r="24" spans="1:20">
      <c r="A24" s="1958" t="s">
        <v>877</v>
      </c>
      <c r="B24" s="1958">
        <v>187</v>
      </c>
      <c r="C24" s="1958">
        <v>2023</v>
      </c>
      <c r="D24" s="1958">
        <v>12</v>
      </c>
      <c r="E24" s="1958">
        <v>7</v>
      </c>
      <c r="F24" s="1958">
        <v>1</v>
      </c>
      <c r="G24" s="1958" t="s">
        <v>1471</v>
      </c>
      <c r="H24" s="1958" t="s">
        <v>2056</v>
      </c>
      <c r="I24" s="1958" t="s">
        <v>190</v>
      </c>
      <c r="J24" s="1958" t="s">
        <v>1706</v>
      </c>
      <c r="N24" s="1958">
        <v>2800</v>
      </c>
      <c r="O24" s="1958">
        <v>0</v>
      </c>
      <c r="P24" s="1958">
        <v>0</v>
      </c>
      <c r="Q24" s="1958">
        <v>0</v>
      </c>
      <c r="R24" s="1958">
        <v>183428</v>
      </c>
      <c r="S24" s="1958">
        <v>0</v>
      </c>
      <c r="T24" s="1958">
        <f t="shared" si="0"/>
        <v>183428</v>
      </c>
    </row>
    <row r="25" spans="1:20">
      <c r="A25" s="1958" t="s">
        <v>877</v>
      </c>
      <c r="B25" s="1958">
        <v>187</v>
      </c>
      <c r="C25" s="1958">
        <v>2023</v>
      </c>
      <c r="D25" s="1958">
        <v>12</v>
      </c>
      <c r="E25" s="1958">
        <v>8</v>
      </c>
      <c r="F25" s="1958">
        <v>1</v>
      </c>
      <c r="G25" s="1958" t="s">
        <v>1469</v>
      </c>
      <c r="H25" s="1958" t="s">
        <v>2057</v>
      </c>
      <c r="I25" s="1958" t="s">
        <v>188</v>
      </c>
      <c r="J25" s="1958" t="s">
        <v>1979</v>
      </c>
      <c r="N25" s="1958">
        <v>5</v>
      </c>
      <c r="O25" s="1958">
        <v>0</v>
      </c>
      <c r="P25" s="1958">
        <v>0</v>
      </c>
      <c r="Q25" s="1958">
        <v>0</v>
      </c>
      <c r="R25" s="1958">
        <v>361</v>
      </c>
      <c r="S25" s="1958">
        <v>0</v>
      </c>
      <c r="T25" s="1958">
        <f t="shared" si="0"/>
        <v>361</v>
      </c>
    </row>
    <row r="26" spans="1:20">
      <c r="A26" s="1958" t="s">
        <v>877</v>
      </c>
      <c r="B26" s="1958">
        <v>187</v>
      </c>
      <c r="C26" s="1958">
        <v>2023</v>
      </c>
      <c r="D26" s="1958">
        <v>12</v>
      </c>
      <c r="E26" s="1958">
        <v>9</v>
      </c>
      <c r="F26" s="1958">
        <v>1</v>
      </c>
      <c r="G26" s="1958" t="s">
        <v>1467</v>
      </c>
      <c r="H26" s="1958" t="s">
        <v>2056</v>
      </c>
      <c r="I26" s="1958" t="s">
        <v>192</v>
      </c>
      <c r="J26" s="1958" t="s">
        <v>2055</v>
      </c>
      <c r="N26" s="1958">
        <v>351170</v>
      </c>
      <c r="O26" s="1958">
        <v>0</v>
      </c>
      <c r="P26" s="1958">
        <v>0</v>
      </c>
      <c r="Q26" s="1958">
        <v>15466880</v>
      </c>
      <c r="R26" s="1958">
        <v>0</v>
      </c>
      <c r="S26" s="1958">
        <v>0</v>
      </c>
      <c r="T26" s="1958">
        <f t="shared" si="0"/>
        <v>15466880</v>
      </c>
    </row>
    <row r="27" spans="1:20">
      <c r="A27" s="1958" t="s">
        <v>877</v>
      </c>
      <c r="B27" s="1958">
        <v>187</v>
      </c>
      <c r="C27" s="1958">
        <v>2023</v>
      </c>
      <c r="D27" s="1958">
        <v>12</v>
      </c>
      <c r="E27" s="1958">
        <v>10</v>
      </c>
      <c r="F27" s="1958">
        <v>1</v>
      </c>
      <c r="G27" s="1958" t="s">
        <v>1465</v>
      </c>
      <c r="H27" s="1958" t="s">
        <v>2054</v>
      </c>
      <c r="I27" s="1958" t="s">
        <v>192</v>
      </c>
      <c r="J27" s="1958" t="s">
        <v>1977</v>
      </c>
      <c r="N27" s="1958">
        <v>38502</v>
      </c>
      <c r="O27" s="1958">
        <v>0</v>
      </c>
      <c r="P27" s="1958">
        <v>0</v>
      </c>
      <c r="Q27" s="1958">
        <v>0</v>
      </c>
      <c r="R27" s="1958">
        <v>1938259</v>
      </c>
      <c r="S27" s="1958">
        <v>0</v>
      </c>
      <c r="T27" s="1958">
        <f t="shared" si="0"/>
        <v>1938259</v>
      </c>
    </row>
    <row r="28" spans="1:20">
      <c r="A28" s="1958" t="s">
        <v>877</v>
      </c>
      <c r="B28" s="1958">
        <v>187</v>
      </c>
      <c r="C28" s="1958">
        <v>2023</v>
      </c>
      <c r="D28" s="1958">
        <v>12</v>
      </c>
      <c r="E28" s="1958">
        <v>11</v>
      </c>
      <c r="F28" s="1958">
        <v>1</v>
      </c>
      <c r="G28" s="1958" t="s">
        <v>1463</v>
      </c>
      <c r="H28" s="1958" t="s">
        <v>2054</v>
      </c>
      <c r="I28" s="1958" t="s">
        <v>192</v>
      </c>
      <c r="J28" s="1958" t="s">
        <v>1977</v>
      </c>
      <c r="N28" s="1958">
        <v>124696</v>
      </c>
      <c r="O28" s="1958">
        <v>0</v>
      </c>
      <c r="P28" s="1958">
        <v>0</v>
      </c>
      <c r="Q28" s="1958">
        <v>0</v>
      </c>
      <c r="R28" s="1958">
        <v>5886485</v>
      </c>
      <c r="S28" s="1958">
        <v>0</v>
      </c>
      <c r="T28" s="1958">
        <f t="shared" si="0"/>
        <v>5886485</v>
      </c>
    </row>
    <row r="29" spans="1:20">
      <c r="A29" s="1958" t="s">
        <v>877</v>
      </c>
      <c r="B29" s="1958">
        <v>187</v>
      </c>
      <c r="C29" s="1958">
        <v>2023</v>
      </c>
      <c r="D29" s="1958">
        <v>12</v>
      </c>
      <c r="E29" s="1958">
        <v>12</v>
      </c>
      <c r="F29" s="1958">
        <v>1</v>
      </c>
      <c r="G29" s="1958" t="s">
        <v>1461</v>
      </c>
      <c r="H29" s="1958" t="s">
        <v>2053</v>
      </c>
      <c r="I29" s="1958" t="s">
        <v>191</v>
      </c>
      <c r="J29" s="1958" t="s">
        <v>1977</v>
      </c>
      <c r="N29" s="1958">
        <v>635</v>
      </c>
      <c r="O29" s="1958">
        <v>0</v>
      </c>
      <c r="P29" s="1958">
        <v>0</v>
      </c>
      <c r="Q29" s="1958">
        <v>0</v>
      </c>
      <c r="R29" s="1958">
        <v>41380</v>
      </c>
      <c r="S29" s="1958">
        <v>0</v>
      </c>
      <c r="T29" s="1958">
        <f t="shared" si="0"/>
        <v>41380</v>
      </c>
    </row>
    <row r="30" spans="1:20">
      <c r="A30" s="1958" t="s">
        <v>877</v>
      </c>
      <c r="B30" s="1958">
        <v>187</v>
      </c>
      <c r="C30" s="1958">
        <v>2023</v>
      </c>
      <c r="D30" s="1958">
        <v>12</v>
      </c>
      <c r="E30" s="1958">
        <v>13</v>
      </c>
      <c r="F30" s="1958">
        <v>1</v>
      </c>
      <c r="G30" s="1958" t="s">
        <v>1459</v>
      </c>
      <c r="H30" s="1958" t="s">
        <v>2052</v>
      </c>
      <c r="I30" s="1958" t="s">
        <v>190</v>
      </c>
      <c r="J30" s="1958" t="s">
        <v>1706</v>
      </c>
      <c r="N30" s="1958">
        <v>190</v>
      </c>
      <c r="O30" s="1958">
        <v>0</v>
      </c>
      <c r="P30" s="1958">
        <v>0</v>
      </c>
      <c r="Q30" s="1958">
        <v>0</v>
      </c>
      <c r="R30" s="1958">
        <v>2550</v>
      </c>
      <c r="S30" s="1958">
        <v>0</v>
      </c>
      <c r="T30" s="1958">
        <f t="shared" si="0"/>
        <v>2550</v>
      </c>
    </row>
    <row r="31" spans="1:20">
      <c r="A31" s="1958" t="s">
        <v>877</v>
      </c>
      <c r="B31" s="1958">
        <v>187</v>
      </c>
      <c r="C31" s="1958">
        <v>2023</v>
      </c>
      <c r="D31" s="1958">
        <v>12</v>
      </c>
      <c r="E31" s="1958">
        <v>14</v>
      </c>
      <c r="F31" s="1958">
        <v>1</v>
      </c>
      <c r="G31" s="1958" t="s">
        <v>1457</v>
      </c>
      <c r="H31" s="1958" t="s">
        <v>2051</v>
      </c>
      <c r="I31" s="1958" t="s">
        <v>192</v>
      </c>
      <c r="J31" s="1958" t="s">
        <v>1977</v>
      </c>
      <c r="N31" s="1958">
        <v>425877</v>
      </c>
      <c r="O31" s="1958">
        <v>0</v>
      </c>
      <c r="P31" s="1958">
        <v>0</v>
      </c>
      <c r="Q31" s="1958">
        <v>0</v>
      </c>
      <c r="R31" s="1958">
        <v>10433987</v>
      </c>
      <c r="S31" s="1958">
        <v>0</v>
      </c>
      <c r="T31" s="1958">
        <f t="shared" si="0"/>
        <v>10433987</v>
      </c>
    </row>
    <row r="32" spans="1:20">
      <c r="A32" s="1958" t="s">
        <v>877</v>
      </c>
      <c r="B32" s="1958">
        <v>187</v>
      </c>
      <c r="C32" s="1958">
        <v>2023</v>
      </c>
      <c r="D32" s="1958">
        <v>12</v>
      </c>
      <c r="E32" s="1958">
        <v>1</v>
      </c>
      <c r="F32" s="1958">
        <v>2</v>
      </c>
      <c r="G32" s="1958" t="s">
        <v>1483</v>
      </c>
      <c r="H32" s="1958" t="s">
        <v>2050</v>
      </c>
      <c r="I32" s="1958" t="s">
        <v>191</v>
      </c>
      <c r="J32" s="1958" t="s">
        <v>1977</v>
      </c>
      <c r="N32" s="1958">
        <v>478</v>
      </c>
      <c r="O32" s="1958">
        <v>0</v>
      </c>
      <c r="P32" s="1958">
        <v>0</v>
      </c>
      <c r="Q32" s="1958">
        <v>0</v>
      </c>
      <c r="R32" s="1958">
        <v>0</v>
      </c>
      <c r="S32" s="1958">
        <v>0</v>
      </c>
      <c r="T32" s="1958">
        <f t="shared" si="0"/>
        <v>0</v>
      </c>
    </row>
    <row r="33" spans="1:20">
      <c r="A33" s="1958" t="s">
        <v>877</v>
      </c>
      <c r="B33" s="1958">
        <v>187</v>
      </c>
      <c r="C33" s="1958">
        <v>2023</v>
      </c>
      <c r="D33" s="1958">
        <v>12</v>
      </c>
      <c r="E33" s="1958">
        <v>2</v>
      </c>
      <c r="F33" s="1958">
        <v>2</v>
      </c>
      <c r="G33" s="1958" t="s">
        <v>1481</v>
      </c>
      <c r="H33" s="1958" t="s">
        <v>1755</v>
      </c>
      <c r="I33" s="1958" t="s">
        <v>190</v>
      </c>
      <c r="J33" s="1958" t="s">
        <v>1706</v>
      </c>
      <c r="N33" s="1958">
        <v>10200</v>
      </c>
      <c r="O33" s="1958">
        <v>0</v>
      </c>
      <c r="P33" s="1958">
        <v>0</v>
      </c>
      <c r="Q33" s="1958">
        <v>0</v>
      </c>
      <c r="R33" s="1958">
        <v>814188</v>
      </c>
      <c r="S33" s="1958">
        <v>0</v>
      </c>
      <c r="T33" s="1958">
        <f t="shared" si="0"/>
        <v>814188</v>
      </c>
    </row>
    <row r="34" spans="1:20">
      <c r="A34" s="1958" t="s">
        <v>877</v>
      </c>
      <c r="B34" s="1958">
        <v>187</v>
      </c>
      <c r="C34" s="1958">
        <v>2023</v>
      </c>
      <c r="D34" s="1958">
        <v>12</v>
      </c>
      <c r="E34" s="1958">
        <v>3</v>
      </c>
      <c r="F34" s="1958">
        <v>2</v>
      </c>
      <c r="G34" s="1958" t="s">
        <v>1479</v>
      </c>
      <c r="H34" s="1958" t="s">
        <v>1754</v>
      </c>
      <c r="I34" s="1958" t="s">
        <v>190</v>
      </c>
      <c r="J34" s="1958" t="s">
        <v>1706</v>
      </c>
      <c r="N34" s="1958">
        <v>5736</v>
      </c>
      <c r="O34" s="1958">
        <v>0</v>
      </c>
      <c r="P34" s="1958">
        <v>0</v>
      </c>
      <c r="Q34" s="1958">
        <v>0</v>
      </c>
      <c r="R34" s="1958">
        <v>292690</v>
      </c>
      <c r="S34" s="1958">
        <v>0</v>
      </c>
      <c r="T34" s="1958">
        <f t="shared" ref="T34:T65" si="1">SUM(Q34:S34)</f>
        <v>292690</v>
      </c>
    </row>
    <row r="35" spans="1:20">
      <c r="A35" s="1958" t="s">
        <v>877</v>
      </c>
      <c r="B35" s="1958">
        <v>187</v>
      </c>
      <c r="C35" s="1958">
        <v>2023</v>
      </c>
      <c r="D35" s="1958">
        <v>12</v>
      </c>
      <c r="E35" s="1958">
        <v>4</v>
      </c>
      <c r="F35" s="1958">
        <v>2</v>
      </c>
      <c r="G35" s="1958" t="s">
        <v>1477</v>
      </c>
      <c r="H35" s="1958" t="s">
        <v>2049</v>
      </c>
      <c r="I35" s="1958" t="s">
        <v>192</v>
      </c>
      <c r="J35" s="1958" t="s">
        <v>1977</v>
      </c>
      <c r="N35" s="1958">
        <v>50</v>
      </c>
      <c r="O35" s="1958">
        <v>0</v>
      </c>
      <c r="P35" s="1958">
        <v>0</v>
      </c>
      <c r="Q35" s="1958">
        <v>0</v>
      </c>
      <c r="R35" s="1958">
        <v>5351</v>
      </c>
      <c r="S35" s="1958">
        <v>0</v>
      </c>
      <c r="T35" s="1958">
        <f t="shared" si="1"/>
        <v>5351</v>
      </c>
    </row>
    <row r="36" spans="1:20">
      <c r="A36" s="1958" t="s">
        <v>877</v>
      </c>
      <c r="B36" s="1958">
        <v>187</v>
      </c>
      <c r="C36" s="1958">
        <v>2023</v>
      </c>
      <c r="D36" s="1958">
        <v>12</v>
      </c>
      <c r="E36" s="1958">
        <v>5</v>
      </c>
      <c r="F36" s="1958">
        <v>2</v>
      </c>
      <c r="G36" s="1958" t="s">
        <v>1475</v>
      </c>
      <c r="H36" s="1958" t="s">
        <v>2048</v>
      </c>
      <c r="I36" s="1958" t="s">
        <v>191</v>
      </c>
      <c r="J36" s="1958" t="s">
        <v>2047</v>
      </c>
      <c r="N36" s="1958">
        <v>379055</v>
      </c>
      <c r="O36" s="1958">
        <v>0</v>
      </c>
      <c r="P36" s="1958">
        <v>0</v>
      </c>
      <c r="Q36" s="1958">
        <v>3627412</v>
      </c>
      <c r="R36" s="1958">
        <v>0</v>
      </c>
      <c r="S36" s="1958">
        <v>0</v>
      </c>
      <c r="T36" s="1958">
        <f t="shared" si="1"/>
        <v>3627412</v>
      </c>
    </row>
    <row r="37" spans="1:20">
      <c r="A37" s="1958" t="s">
        <v>877</v>
      </c>
      <c r="B37" s="1958">
        <v>187</v>
      </c>
      <c r="C37" s="1958">
        <v>2023</v>
      </c>
      <c r="D37" s="1958">
        <v>12</v>
      </c>
      <c r="E37" s="1958">
        <v>6</v>
      </c>
      <c r="F37" s="1958">
        <v>2</v>
      </c>
      <c r="G37" s="1958" t="s">
        <v>1473</v>
      </c>
      <c r="H37" s="1958" t="s">
        <v>2046</v>
      </c>
      <c r="I37" s="1958" t="s">
        <v>188</v>
      </c>
      <c r="J37" s="1958" t="s">
        <v>1979</v>
      </c>
      <c r="N37" s="1958">
        <v>1</v>
      </c>
      <c r="O37" s="1958">
        <v>0</v>
      </c>
      <c r="P37" s="1958">
        <v>0</v>
      </c>
      <c r="Q37" s="1958">
        <v>0</v>
      </c>
      <c r="R37" s="1958">
        <v>84</v>
      </c>
      <c r="S37" s="1958">
        <v>0</v>
      </c>
      <c r="T37" s="1958">
        <f t="shared" si="1"/>
        <v>84</v>
      </c>
    </row>
    <row r="38" spans="1:20">
      <c r="A38" s="1958" t="s">
        <v>877</v>
      </c>
      <c r="B38" s="1958">
        <v>187</v>
      </c>
      <c r="C38" s="1958">
        <v>2023</v>
      </c>
      <c r="D38" s="1958">
        <v>12</v>
      </c>
      <c r="E38" s="1958">
        <v>7</v>
      </c>
      <c r="F38" s="1958">
        <v>2</v>
      </c>
      <c r="G38" s="1958" t="s">
        <v>1471</v>
      </c>
      <c r="H38" s="1958" t="s">
        <v>2045</v>
      </c>
      <c r="I38" s="1958" t="s">
        <v>194</v>
      </c>
      <c r="J38" s="1958" t="s">
        <v>1706</v>
      </c>
      <c r="N38" s="1958">
        <v>0</v>
      </c>
      <c r="O38" s="1958">
        <v>0</v>
      </c>
      <c r="P38" s="1958">
        <v>411720</v>
      </c>
      <c r="Q38" s="1958">
        <v>0</v>
      </c>
      <c r="R38" s="1958">
        <v>0</v>
      </c>
      <c r="S38" s="1958">
        <v>0</v>
      </c>
      <c r="T38" s="1958">
        <f t="shared" si="1"/>
        <v>0</v>
      </c>
    </row>
    <row r="39" spans="1:20">
      <c r="A39" s="1958" t="s">
        <v>877</v>
      </c>
      <c r="B39" s="1958">
        <v>187</v>
      </c>
      <c r="C39" s="1958">
        <v>2023</v>
      </c>
      <c r="D39" s="1958">
        <v>12</v>
      </c>
      <c r="E39" s="1958">
        <v>8</v>
      </c>
      <c r="F39" s="1958">
        <v>2</v>
      </c>
      <c r="G39" s="1958" t="s">
        <v>1469</v>
      </c>
      <c r="H39" s="1958" t="s">
        <v>1753</v>
      </c>
      <c r="I39" s="1958" t="s">
        <v>190</v>
      </c>
      <c r="J39" s="1958" t="s">
        <v>1706</v>
      </c>
      <c r="N39" s="1958">
        <v>41188</v>
      </c>
      <c r="O39" s="1958">
        <v>0</v>
      </c>
      <c r="P39" s="1958">
        <v>0</v>
      </c>
      <c r="Q39" s="1958">
        <v>0</v>
      </c>
      <c r="R39" s="1958">
        <v>5185314</v>
      </c>
      <c r="S39" s="1958">
        <v>0</v>
      </c>
      <c r="T39" s="1958">
        <f t="shared" si="1"/>
        <v>5185314</v>
      </c>
    </row>
    <row r="40" spans="1:20">
      <c r="A40" s="1958" t="s">
        <v>877</v>
      </c>
      <c r="B40" s="1958">
        <v>187</v>
      </c>
      <c r="C40" s="1958">
        <v>2023</v>
      </c>
      <c r="D40" s="1958">
        <v>12</v>
      </c>
      <c r="E40" s="1958">
        <v>9</v>
      </c>
      <c r="F40" s="1958">
        <v>2</v>
      </c>
      <c r="G40" s="1958" t="s">
        <v>1467</v>
      </c>
      <c r="H40" s="1958" t="s">
        <v>2044</v>
      </c>
      <c r="I40" s="1958" t="s">
        <v>191</v>
      </c>
      <c r="J40" s="1958" t="s">
        <v>1977</v>
      </c>
      <c r="N40" s="1958">
        <v>22586</v>
      </c>
      <c r="O40" s="1958">
        <v>0</v>
      </c>
      <c r="P40" s="1958">
        <v>0</v>
      </c>
      <c r="Q40" s="1958">
        <v>0</v>
      </c>
      <c r="R40" s="1958">
        <v>975038</v>
      </c>
      <c r="S40" s="1958">
        <v>0</v>
      </c>
      <c r="T40" s="1958">
        <f t="shared" si="1"/>
        <v>975038</v>
      </c>
    </row>
    <row r="41" spans="1:20">
      <c r="A41" s="1958" t="s">
        <v>877</v>
      </c>
      <c r="B41" s="1958">
        <v>187</v>
      </c>
      <c r="C41" s="1958">
        <v>2023</v>
      </c>
      <c r="D41" s="1958">
        <v>12</v>
      </c>
      <c r="E41" s="1958">
        <v>10</v>
      </c>
      <c r="F41" s="1958">
        <v>2</v>
      </c>
      <c r="G41" s="1958" t="s">
        <v>1465</v>
      </c>
      <c r="H41" s="1958" t="s">
        <v>2043</v>
      </c>
      <c r="I41" s="1958" t="s">
        <v>190</v>
      </c>
      <c r="J41" s="1958" t="s">
        <v>1706</v>
      </c>
      <c r="N41" s="1958">
        <v>9015</v>
      </c>
      <c r="O41" s="1958">
        <v>0</v>
      </c>
      <c r="P41" s="1958">
        <v>0</v>
      </c>
      <c r="Q41" s="1958">
        <v>0</v>
      </c>
      <c r="R41" s="1958">
        <v>588281</v>
      </c>
      <c r="S41" s="1958">
        <v>0</v>
      </c>
      <c r="T41" s="1958">
        <f t="shared" si="1"/>
        <v>588281</v>
      </c>
    </row>
    <row r="42" spans="1:20">
      <c r="A42" s="1958" t="s">
        <v>877</v>
      </c>
      <c r="B42" s="1958">
        <v>187</v>
      </c>
      <c r="C42" s="1958">
        <v>2023</v>
      </c>
      <c r="D42" s="1958">
        <v>12</v>
      </c>
      <c r="E42" s="1958">
        <v>11</v>
      </c>
      <c r="F42" s="1958">
        <v>2</v>
      </c>
      <c r="G42" s="1958" t="s">
        <v>1463</v>
      </c>
      <c r="H42" s="1958" t="s">
        <v>2042</v>
      </c>
      <c r="I42" s="1958" t="s">
        <v>191</v>
      </c>
      <c r="J42" s="1958" t="s">
        <v>1977</v>
      </c>
      <c r="N42" s="1958">
        <v>5</v>
      </c>
      <c r="O42" s="1958">
        <v>0</v>
      </c>
      <c r="P42" s="1958">
        <v>0</v>
      </c>
      <c r="Q42" s="1958">
        <v>0</v>
      </c>
      <c r="R42" s="1958">
        <v>0</v>
      </c>
      <c r="S42" s="1958">
        <v>0</v>
      </c>
      <c r="T42" s="1958">
        <f t="shared" si="1"/>
        <v>0</v>
      </c>
    </row>
    <row r="43" spans="1:20">
      <c r="A43" s="1958" t="s">
        <v>877</v>
      </c>
      <c r="B43" s="1958">
        <v>187</v>
      </c>
      <c r="C43" s="1958">
        <v>2023</v>
      </c>
      <c r="D43" s="1958">
        <v>12</v>
      </c>
      <c r="E43" s="1958">
        <v>12</v>
      </c>
      <c r="F43" s="1958">
        <v>2</v>
      </c>
      <c r="G43" s="1958" t="s">
        <v>1461</v>
      </c>
      <c r="H43" s="1958" t="s">
        <v>1751</v>
      </c>
      <c r="I43" s="1958" t="s">
        <v>190</v>
      </c>
      <c r="J43" s="1958" t="s">
        <v>1706</v>
      </c>
      <c r="N43" s="1958">
        <v>19913</v>
      </c>
      <c r="O43" s="1958">
        <v>0</v>
      </c>
      <c r="P43" s="1958">
        <v>0</v>
      </c>
      <c r="Q43" s="1958">
        <v>0</v>
      </c>
      <c r="R43" s="1958">
        <v>1634168</v>
      </c>
      <c r="S43" s="1958">
        <v>0</v>
      </c>
      <c r="T43" s="1958">
        <f t="shared" si="1"/>
        <v>1634168</v>
      </c>
    </row>
    <row r="44" spans="1:20">
      <c r="A44" s="1958" t="s">
        <v>877</v>
      </c>
      <c r="B44" s="1958">
        <v>187</v>
      </c>
      <c r="C44" s="1958">
        <v>2023</v>
      </c>
      <c r="D44" s="1958">
        <v>12</v>
      </c>
      <c r="E44" s="1958">
        <v>13</v>
      </c>
      <c r="F44" s="1958">
        <v>2</v>
      </c>
      <c r="G44" s="1958" t="s">
        <v>1459</v>
      </c>
      <c r="H44" s="1958" t="s">
        <v>2041</v>
      </c>
      <c r="I44" s="1958" t="s">
        <v>190</v>
      </c>
      <c r="J44" s="1958" t="s">
        <v>1706</v>
      </c>
      <c r="N44" s="1958">
        <v>2021</v>
      </c>
      <c r="O44" s="1958">
        <v>0</v>
      </c>
      <c r="P44" s="1958">
        <v>0</v>
      </c>
      <c r="Q44" s="1958">
        <v>0</v>
      </c>
      <c r="R44" s="1958">
        <v>40355</v>
      </c>
      <c r="S44" s="1958">
        <v>0</v>
      </c>
      <c r="T44" s="1958">
        <f t="shared" si="1"/>
        <v>40355</v>
      </c>
    </row>
    <row r="45" spans="1:20">
      <c r="A45" s="1958" t="s">
        <v>877</v>
      </c>
      <c r="B45" s="1958">
        <v>187</v>
      </c>
      <c r="C45" s="1958">
        <v>2023</v>
      </c>
      <c r="D45" s="1958">
        <v>12</v>
      </c>
      <c r="E45" s="1958">
        <v>14</v>
      </c>
      <c r="F45" s="1958">
        <v>2</v>
      </c>
      <c r="G45" s="1958" t="s">
        <v>1457</v>
      </c>
      <c r="H45" s="1958" t="s">
        <v>2040</v>
      </c>
      <c r="I45" s="1958" t="s">
        <v>191</v>
      </c>
      <c r="J45" s="1958" t="s">
        <v>1977</v>
      </c>
      <c r="N45" s="1958">
        <v>3093</v>
      </c>
      <c r="O45" s="1958">
        <v>0</v>
      </c>
      <c r="P45" s="1958">
        <v>0</v>
      </c>
      <c r="Q45" s="1958">
        <v>0</v>
      </c>
      <c r="R45" s="1958">
        <v>158570</v>
      </c>
      <c r="S45" s="1958">
        <v>0</v>
      </c>
      <c r="T45" s="1958">
        <f t="shared" si="1"/>
        <v>158570</v>
      </c>
    </row>
    <row r="46" spans="1:20">
      <c r="A46" s="1958" t="s">
        <v>877</v>
      </c>
      <c r="B46" s="1958">
        <v>187</v>
      </c>
      <c r="C46" s="1958">
        <v>2023</v>
      </c>
      <c r="D46" s="1958">
        <v>12</v>
      </c>
      <c r="E46" s="1958">
        <v>1</v>
      </c>
      <c r="F46" s="1958">
        <v>3</v>
      </c>
      <c r="G46" s="1958" t="s">
        <v>1483</v>
      </c>
      <c r="H46" s="1958" t="s">
        <v>1748</v>
      </c>
      <c r="I46" s="1958" t="s">
        <v>191</v>
      </c>
      <c r="J46" s="1958" t="s">
        <v>2039</v>
      </c>
      <c r="N46" s="1958">
        <v>255042</v>
      </c>
      <c r="O46" s="1958">
        <v>0</v>
      </c>
      <c r="P46" s="1958">
        <v>0</v>
      </c>
      <c r="Q46" s="1958">
        <v>34065844</v>
      </c>
      <c r="R46" s="1958">
        <v>0</v>
      </c>
      <c r="S46" s="1958">
        <v>0</v>
      </c>
      <c r="T46" s="1958">
        <f t="shared" si="1"/>
        <v>34065844</v>
      </c>
    </row>
    <row r="47" spans="1:20">
      <c r="A47" s="1958" t="s">
        <v>877</v>
      </c>
      <c r="B47" s="1958">
        <v>187</v>
      </c>
      <c r="C47" s="1958">
        <v>2023</v>
      </c>
      <c r="D47" s="1958">
        <v>12</v>
      </c>
      <c r="E47" s="1958">
        <v>2</v>
      </c>
      <c r="F47" s="1958">
        <v>3</v>
      </c>
      <c r="G47" s="1958" t="s">
        <v>1481</v>
      </c>
      <c r="H47" s="1958" t="s">
        <v>2038</v>
      </c>
      <c r="I47" s="1958" t="s">
        <v>188</v>
      </c>
      <c r="J47" s="1958" t="s">
        <v>1979</v>
      </c>
      <c r="N47" s="1958">
        <v>9</v>
      </c>
      <c r="O47" s="1958">
        <v>0</v>
      </c>
      <c r="P47" s="1958">
        <v>0</v>
      </c>
      <c r="Q47" s="1958">
        <v>0</v>
      </c>
      <c r="R47" s="1958">
        <v>596</v>
      </c>
      <c r="S47" s="1958">
        <v>0</v>
      </c>
      <c r="T47" s="1958">
        <f t="shared" si="1"/>
        <v>596</v>
      </c>
    </row>
    <row r="48" spans="1:20">
      <c r="A48" s="1958" t="s">
        <v>877</v>
      </c>
      <c r="B48" s="1958">
        <v>187</v>
      </c>
      <c r="C48" s="1958">
        <v>2023</v>
      </c>
      <c r="D48" s="1958">
        <v>12</v>
      </c>
      <c r="E48" s="1958">
        <v>3</v>
      </c>
      <c r="F48" s="1958">
        <v>3</v>
      </c>
      <c r="G48" s="1958" t="s">
        <v>1479</v>
      </c>
      <c r="H48" s="1958" t="s">
        <v>2037</v>
      </c>
      <c r="I48" s="1958" t="s">
        <v>194</v>
      </c>
      <c r="J48" s="1958" t="s">
        <v>2036</v>
      </c>
      <c r="N48" s="1958">
        <v>0</v>
      </c>
      <c r="O48" s="1958">
        <v>0</v>
      </c>
      <c r="P48" s="1958">
        <v>0</v>
      </c>
      <c r="Q48" s="1958">
        <v>0</v>
      </c>
      <c r="R48" s="1958">
        <v>0</v>
      </c>
      <c r="S48" s="1958">
        <v>94328</v>
      </c>
      <c r="T48" s="1958">
        <f t="shared" si="1"/>
        <v>94328</v>
      </c>
    </row>
    <row r="49" spans="1:20">
      <c r="A49" s="1958" t="s">
        <v>877</v>
      </c>
      <c r="B49" s="1958">
        <v>187</v>
      </c>
      <c r="C49" s="1958">
        <v>2023</v>
      </c>
      <c r="D49" s="1958">
        <v>12</v>
      </c>
      <c r="E49" s="1958">
        <v>4</v>
      </c>
      <c r="F49" s="1958">
        <v>3</v>
      </c>
      <c r="G49" s="1958" t="s">
        <v>1477</v>
      </c>
      <c r="H49" s="1958" t="s">
        <v>2035</v>
      </c>
      <c r="I49" s="1958" t="s">
        <v>188</v>
      </c>
      <c r="J49" s="1958" t="s">
        <v>1979</v>
      </c>
      <c r="N49" s="1958">
        <v>6</v>
      </c>
      <c r="O49" s="1958">
        <v>0</v>
      </c>
      <c r="P49" s="1958">
        <v>0</v>
      </c>
      <c r="Q49" s="1958">
        <v>0</v>
      </c>
      <c r="R49" s="1958">
        <v>473</v>
      </c>
      <c r="S49" s="1958">
        <v>0</v>
      </c>
      <c r="T49" s="1958">
        <f t="shared" si="1"/>
        <v>473</v>
      </c>
    </row>
    <row r="50" spans="1:20">
      <c r="A50" s="1958" t="s">
        <v>877</v>
      </c>
      <c r="B50" s="1958">
        <v>187</v>
      </c>
      <c r="C50" s="1958">
        <v>2023</v>
      </c>
      <c r="D50" s="1958">
        <v>12</v>
      </c>
      <c r="E50" s="1958">
        <v>5</v>
      </c>
      <c r="F50" s="1958">
        <v>3</v>
      </c>
      <c r="G50" s="1958" t="s">
        <v>1475</v>
      </c>
      <c r="H50" s="1958" t="s">
        <v>1746</v>
      </c>
      <c r="I50" s="1958" t="s">
        <v>190</v>
      </c>
      <c r="J50" s="1958" t="s">
        <v>1706</v>
      </c>
      <c r="N50" s="1958">
        <v>2408</v>
      </c>
      <c r="O50" s="1958">
        <v>0</v>
      </c>
      <c r="P50" s="1958">
        <v>0</v>
      </c>
      <c r="Q50" s="1958">
        <v>0</v>
      </c>
      <c r="R50" s="1958">
        <v>283485</v>
      </c>
      <c r="S50" s="1958">
        <v>0</v>
      </c>
      <c r="T50" s="1958">
        <f t="shared" si="1"/>
        <v>283485</v>
      </c>
    </row>
    <row r="51" spans="1:20">
      <c r="A51" s="1958" t="s">
        <v>877</v>
      </c>
      <c r="B51" s="1958">
        <v>187</v>
      </c>
      <c r="C51" s="1958">
        <v>2023</v>
      </c>
      <c r="D51" s="1958">
        <v>12</v>
      </c>
      <c r="E51" s="1958">
        <v>6</v>
      </c>
      <c r="F51" s="1958">
        <v>3</v>
      </c>
      <c r="G51" s="1958" t="s">
        <v>1473</v>
      </c>
      <c r="H51" s="1958" t="s">
        <v>2034</v>
      </c>
      <c r="I51" s="1958" t="s">
        <v>190</v>
      </c>
      <c r="J51" s="1958" t="s">
        <v>1706</v>
      </c>
      <c r="N51" s="1958">
        <v>4642</v>
      </c>
      <c r="O51" s="1958">
        <v>0</v>
      </c>
      <c r="P51" s="1958">
        <v>0</v>
      </c>
      <c r="Q51" s="1958">
        <v>0</v>
      </c>
      <c r="R51" s="1958">
        <v>425804</v>
      </c>
      <c r="S51" s="1958">
        <v>0</v>
      </c>
      <c r="T51" s="1958">
        <f t="shared" si="1"/>
        <v>425804</v>
      </c>
    </row>
    <row r="52" spans="1:20">
      <c r="A52" s="1958" t="s">
        <v>877</v>
      </c>
      <c r="B52" s="1958">
        <v>187</v>
      </c>
      <c r="C52" s="1958">
        <v>2023</v>
      </c>
      <c r="D52" s="1958">
        <v>12</v>
      </c>
      <c r="E52" s="1958">
        <v>7</v>
      </c>
      <c r="F52" s="1958">
        <v>3</v>
      </c>
      <c r="G52" s="1958" t="s">
        <v>1471</v>
      </c>
      <c r="H52" s="1958" t="s">
        <v>2033</v>
      </c>
      <c r="I52" s="1958" t="s">
        <v>192</v>
      </c>
      <c r="J52" s="1958" t="s">
        <v>1977</v>
      </c>
      <c r="N52" s="1958">
        <v>9528</v>
      </c>
      <c r="O52" s="1958">
        <v>0</v>
      </c>
      <c r="P52" s="1958">
        <v>0</v>
      </c>
      <c r="Q52" s="1958">
        <v>0</v>
      </c>
      <c r="R52" s="1958">
        <v>424640</v>
      </c>
      <c r="S52" s="1958">
        <v>0</v>
      </c>
      <c r="T52" s="1958">
        <f t="shared" si="1"/>
        <v>424640</v>
      </c>
    </row>
    <row r="53" spans="1:20">
      <c r="A53" s="1958" t="s">
        <v>877</v>
      </c>
      <c r="B53" s="1958">
        <v>187</v>
      </c>
      <c r="C53" s="1958">
        <v>2023</v>
      </c>
      <c r="D53" s="1958">
        <v>12</v>
      </c>
      <c r="E53" s="1958">
        <v>8</v>
      </c>
      <c r="F53" s="1958">
        <v>3</v>
      </c>
      <c r="G53" s="1958" t="s">
        <v>1469</v>
      </c>
      <c r="H53" s="1958" t="s">
        <v>2032</v>
      </c>
      <c r="I53" s="1958" t="s">
        <v>191</v>
      </c>
      <c r="J53" s="1958" t="s">
        <v>1977</v>
      </c>
      <c r="N53" s="1958">
        <v>1267</v>
      </c>
      <c r="O53" s="1958">
        <v>0</v>
      </c>
      <c r="P53" s="1958">
        <v>0</v>
      </c>
      <c r="Q53" s="1958">
        <v>0</v>
      </c>
      <c r="R53" s="1958">
        <v>59029</v>
      </c>
      <c r="S53" s="1958">
        <v>0</v>
      </c>
      <c r="T53" s="1958">
        <f t="shared" si="1"/>
        <v>59029</v>
      </c>
    </row>
    <row r="54" spans="1:20">
      <c r="A54" s="1958" t="s">
        <v>877</v>
      </c>
      <c r="B54" s="1958">
        <v>187</v>
      </c>
      <c r="C54" s="1958">
        <v>2023</v>
      </c>
      <c r="D54" s="1958">
        <v>12</v>
      </c>
      <c r="E54" s="1958">
        <v>9</v>
      </c>
      <c r="F54" s="1958">
        <v>3</v>
      </c>
      <c r="G54" s="1958" t="s">
        <v>1467</v>
      </c>
      <c r="H54" s="1958" t="s">
        <v>2031</v>
      </c>
      <c r="I54" s="1958" t="s">
        <v>193</v>
      </c>
      <c r="J54" s="1958" t="s">
        <v>2030</v>
      </c>
      <c r="N54" s="1958">
        <v>0</v>
      </c>
      <c r="O54" s="1958">
        <v>0</v>
      </c>
      <c r="P54" s="1958">
        <v>0</v>
      </c>
      <c r="Q54" s="1958">
        <v>0</v>
      </c>
      <c r="R54" s="1958">
        <v>0</v>
      </c>
      <c r="S54" s="1958">
        <v>-373</v>
      </c>
      <c r="T54" s="1958">
        <f t="shared" si="1"/>
        <v>-373</v>
      </c>
    </row>
    <row r="55" spans="1:20">
      <c r="A55" s="1958" t="s">
        <v>877</v>
      </c>
      <c r="B55" s="1958">
        <v>187</v>
      </c>
      <c r="C55" s="1958">
        <v>2023</v>
      </c>
      <c r="D55" s="1958">
        <v>12</v>
      </c>
      <c r="E55" s="1958">
        <v>10</v>
      </c>
      <c r="F55" s="1958">
        <v>3</v>
      </c>
      <c r="G55" s="1958" t="s">
        <v>1465</v>
      </c>
      <c r="H55" s="1958" t="s">
        <v>1744</v>
      </c>
      <c r="I55" s="1958" t="s">
        <v>190</v>
      </c>
      <c r="J55" s="1958" t="s">
        <v>1706</v>
      </c>
      <c r="N55" s="1958">
        <v>44154</v>
      </c>
      <c r="O55" s="1958">
        <v>0</v>
      </c>
      <c r="P55" s="1958">
        <v>0</v>
      </c>
      <c r="Q55" s="1958">
        <v>0</v>
      </c>
      <c r="R55" s="1958">
        <v>2804211</v>
      </c>
      <c r="S55" s="1958">
        <v>0</v>
      </c>
      <c r="T55" s="1958">
        <f t="shared" si="1"/>
        <v>2804211</v>
      </c>
    </row>
    <row r="56" spans="1:20">
      <c r="A56" s="1958" t="s">
        <v>877</v>
      </c>
      <c r="B56" s="1958">
        <v>187</v>
      </c>
      <c r="C56" s="1958">
        <v>2023</v>
      </c>
      <c r="D56" s="1958">
        <v>12</v>
      </c>
      <c r="E56" s="1958">
        <v>11</v>
      </c>
      <c r="F56" s="1958">
        <v>3</v>
      </c>
      <c r="G56" s="1958" t="s">
        <v>1463</v>
      </c>
      <c r="H56" s="1958" t="s">
        <v>2029</v>
      </c>
      <c r="I56" s="1958" t="s">
        <v>188</v>
      </c>
      <c r="J56" s="1958" t="s">
        <v>1706</v>
      </c>
      <c r="N56" s="1958">
        <v>96</v>
      </c>
      <c r="O56" s="1958">
        <v>0</v>
      </c>
      <c r="P56" s="1958">
        <v>0</v>
      </c>
      <c r="Q56" s="1958">
        <v>0</v>
      </c>
      <c r="R56" s="1958">
        <v>3337</v>
      </c>
      <c r="S56" s="1958">
        <v>0</v>
      </c>
      <c r="T56" s="1958">
        <f t="shared" si="1"/>
        <v>3337</v>
      </c>
    </row>
    <row r="57" spans="1:20">
      <c r="A57" s="1958" t="s">
        <v>877</v>
      </c>
      <c r="B57" s="1958">
        <v>187</v>
      </c>
      <c r="C57" s="1958">
        <v>2023</v>
      </c>
      <c r="D57" s="1958">
        <v>12</v>
      </c>
      <c r="E57" s="1958">
        <v>12</v>
      </c>
      <c r="F57" s="1958">
        <v>3</v>
      </c>
      <c r="G57" s="1958" t="s">
        <v>1461</v>
      </c>
      <c r="H57" s="1958" t="s">
        <v>2028</v>
      </c>
      <c r="I57" s="1958" t="s">
        <v>189</v>
      </c>
      <c r="J57" s="1958" t="s">
        <v>1706</v>
      </c>
      <c r="N57" s="1958">
        <v>1024</v>
      </c>
      <c r="O57" s="1958">
        <v>0</v>
      </c>
      <c r="P57" s="1958">
        <v>0</v>
      </c>
      <c r="Q57" s="1958">
        <v>0</v>
      </c>
      <c r="R57" s="1958">
        <v>0</v>
      </c>
      <c r="S57" s="1958">
        <v>0</v>
      </c>
      <c r="T57" s="1958">
        <f t="shared" si="1"/>
        <v>0</v>
      </c>
    </row>
    <row r="58" spans="1:20">
      <c r="A58" s="1958" t="s">
        <v>877</v>
      </c>
      <c r="B58" s="1958">
        <v>187</v>
      </c>
      <c r="C58" s="1958">
        <v>2023</v>
      </c>
      <c r="D58" s="1958">
        <v>12</v>
      </c>
      <c r="E58" s="1958">
        <v>13</v>
      </c>
      <c r="F58" s="1958">
        <v>3</v>
      </c>
      <c r="G58" s="1958" t="s">
        <v>1459</v>
      </c>
      <c r="H58" s="1958" t="s">
        <v>2027</v>
      </c>
      <c r="I58" s="1958" t="s">
        <v>189</v>
      </c>
      <c r="J58" s="1958" t="s">
        <v>1706</v>
      </c>
      <c r="N58" s="1958">
        <v>341750</v>
      </c>
      <c r="O58" s="1958">
        <v>0</v>
      </c>
      <c r="P58" s="1958">
        <v>0</v>
      </c>
      <c r="Q58" s="1958">
        <v>0</v>
      </c>
      <c r="R58" s="1958">
        <v>0</v>
      </c>
      <c r="S58" s="1958">
        <v>0</v>
      </c>
      <c r="T58" s="1958">
        <f t="shared" si="1"/>
        <v>0</v>
      </c>
    </row>
    <row r="59" spans="1:20">
      <c r="A59" s="1958" t="s">
        <v>877</v>
      </c>
      <c r="B59" s="1958">
        <v>187</v>
      </c>
      <c r="C59" s="1958">
        <v>2023</v>
      </c>
      <c r="D59" s="1958">
        <v>12</v>
      </c>
      <c r="E59" s="1958">
        <v>14</v>
      </c>
      <c r="F59" s="1958">
        <v>3</v>
      </c>
      <c r="G59" s="1958" t="s">
        <v>1457</v>
      </c>
      <c r="H59" s="1958" t="s">
        <v>2026</v>
      </c>
      <c r="I59" s="1958" t="s">
        <v>187</v>
      </c>
      <c r="J59" s="1958">
        <v>208</v>
      </c>
      <c r="N59" s="1958">
        <v>155</v>
      </c>
      <c r="O59" s="1958">
        <v>0</v>
      </c>
      <c r="P59" s="1958">
        <v>0</v>
      </c>
      <c r="Q59" s="1958">
        <v>0</v>
      </c>
      <c r="R59" s="1958">
        <v>10565</v>
      </c>
      <c r="S59" s="1958">
        <v>0</v>
      </c>
      <c r="T59" s="1958">
        <f t="shared" si="1"/>
        <v>10565</v>
      </c>
    </row>
    <row r="60" spans="1:20">
      <c r="A60" s="1958" t="s">
        <v>877</v>
      </c>
      <c r="B60" s="1958">
        <v>187</v>
      </c>
      <c r="C60" s="1958">
        <v>2023</v>
      </c>
      <c r="D60" s="1958">
        <v>12</v>
      </c>
      <c r="E60" s="1958">
        <v>1</v>
      </c>
      <c r="F60" s="1958">
        <v>4</v>
      </c>
      <c r="G60" s="1958" t="s">
        <v>1483</v>
      </c>
      <c r="H60" s="1958" t="s">
        <v>2025</v>
      </c>
      <c r="I60" s="1958" t="s">
        <v>190</v>
      </c>
      <c r="J60" s="1958" t="s">
        <v>1706</v>
      </c>
      <c r="N60" s="1958">
        <v>274</v>
      </c>
      <c r="O60" s="1958">
        <v>0</v>
      </c>
      <c r="P60" s="1958">
        <v>0</v>
      </c>
      <c r="Q60" s="1958">
        <v>0</v>
      </c>
      <c r="R60" s="1958">
        <v>49105</v>
      </c>
      <c r="S60" s="1958">
        <v>0</v>
      </c>
      <c r="T60" s="1958">
        <f t="shared" si="1"/>
        <v>49105</v>
      </c>
    </row>
    <row r="61" spans="1:20">
      <c r="A61" s="1958" t="s">
        <v>877</v>
      </c>
      <c r="B61" s="1958">
        <v>187</v>
      </c>
      <c r="C61" s="1958">
        <v>2023</v>
      </c>
      <c r="D61" s="1958">
        <v>12</v>
      </c>
      <c r="E61" s="1958">
        <v>2</v>
      </c>
      <c r="F61" s="1958">
        <v>4</v>
      </c>
      <c r="G61" s="1958" t="s">
        <v>1481</v>
      </c>
      <c r="H61" s="1958" t="s">
        <v>1741</v>
      </c>
      <c r="I61" s="1958" t="s">
        <v>194</v>
      </c>
      <c r="J61" s="1958" t="s">
        <v>2024</v>
      </c>
      <c r="N61" s="1958">
        <v>0</v>
      </c>
      <c r="O61" s="1958">
        <v>0</v>
      </c>
      <c r="P61" s="1958">
        <v>0</v>
      </c>
      <c r="Q61" s="1958">
        <v>0</v>
      </c>
      <c r="R61" s="1958">
        <v>0</v>
      </c>
      <c r="S61" s="1958">
        <v>0</v>
      </c>
      <c r="T61" s="1958">
        <f t="shared" si="1"/>
        <v>0</v>
      </c>
    </row>
    <row r="62" spans="1:20">
      <c r="A62" s="1958" t="s">
        <v>877</v>
      </c>
      <c r="B62" s="1958">
        <v>187</v>
      </c>
      <c r="C62" s="1958">
        <v>2023</v>
      </c>
      <c r="D62" s="1958">
        <v>12</v>
      </c>
      <c r="E62" s="1958">
        <v>3</v>
      </c>
      <c r="F62" s="1958">
        <v>4</v>
      </c>
      <c r="G62" s="1958" t="s">
        <v>1479</v>
      </c>
      <c r="H62" s="1958" t="s">
        <v>2023</v>
      </c>
      <c r="I62" s="1958" t="s">
        <v>190</v>
      </c>
      <c r="J62" s="1958" t="s">
        <v>1706</v>
      </c>
      <c r="N62" s="1958">
        <v>36730</v>
      </c>
      <c r="O62" s="1958">
        <v>0</v>
      </c>
      <c r="P62" s="1958">
        <v>0</v>
      </c>
      <c r="Q62" s="1958">
        <v>0</v>
      </c>
      <c r="R62" s="1958">
        <v>2585009</v>
      </c>
      <c r="S62" s="1958">
        <v>0</v>
      </c>
      <c r="T62" s="1958">
        <f t="shared" si="1"/>
        <v>2585009</v>
      </c>
    </row>
    <row r="63" spans="1:20">
      <c r="A63" s="1958" t="s">
        <v>877</v>
      </c>
      <c r="B63" s="1958">
        <v>187</v>
      </c>
      <c r="C63" s="1958">
        <v>2023</v>
      </c>
      <c r="D63" s="1958">
        <v>12</v>
      </c>
      <c r="E63" s="1958">
        <v>4</v>
      </c>
      <c r="F63" s="1958">
        <v>4</v>
      </c>
      <c r="G63" s="1958" t="s">
        <v>1477</v>
      </c>
      <c r="H63" s="1958" t="s">
        <v>2022</v>
      </c>
      <c r="I63" s="1958" t="s">
        <v>190</v>
      </c>
      <c r="J63" s="1958" t="s">
        <v>1706</v>
      </c>
      <c r="N63" s="1958">
        <v>1216</v>
      </c>
      <c r="O63" s="1958">
        <v>0</v>
      </c>
      <c r="P63" s="1958">
        <v>0</v>
      </c>
      <c r="Q63" s="1958">
        <v>0</v>
      </c>
      <c r="R63" s="1958">
        <v>140824</v>
      </c>
      <c r="S63" s="1958">
        <v>0</v>
      </c>
      <c r="T63" s="1958">
        <f t="shared" si="1"/>
        <v>140824</v>
      </c>
    </row>
    <row r="64" spans="1:20">
      <c r="A64" s="1958" t="s">
        <v>877</v>
      </c>
      <c r="B64" s="1958">
        <v>187</v>
      </c>
      <c r="C64" s="1958">
        <v>2023</v>
      </c>
      <c r="D64" s="1958">
        <v>12</v>
      </c>
      <c r="E64" s="1958">
        <v>5</v>
      </c>
      <c r="F64" s="1958">
        <v>4</v>
      </c>
      <c r="G64" s="1958" t="s">
        <v>1475</v>
      </c>
      <c r="H64" s="1958" t="s">
        <v>2021</v>
      </c>
      <c r="I64" s="1958" t="s">
        <v>193</v>
      </c>
      <c r="J64" s="1958" t="s">
        <v>195</v>
      </c>
      <c r="N64" s="1958">
        <v>0</v>
      </c>
      <c r="O64" s="1958">
        <v>0</v>
      </c>
      <c r="P64" s="1958">
        <v>0</v>
      </c>
      <c r="Q64" s="1958">
        <v>0</v>
      </c>
      <c r="R64" s="1958">
        <v>0</v>
      </c>
      <c r="S64" s="1958">
        <v>4350932</v>
      </c>
      <c r="T64" s="1958">
        <f t="shared" si="1"/>
        <v>4350932</v>
      </c>
    </row>
    <row r="65" spans="1:20">
      <c r="A65" s="1958" t="s">
        <v>877</v>
      </c>
      <c r="B65" s="1958">
        <v>187</v>
      </c>
      <c r="C65" s="1958">
        <v>2023</v>
      </c>
      <c r="D65" s="1958">
        <v>12</v>
      </c>
      <c r="E65" s="1958">
        <v>6</v>
      </c>
      <c r="F65" s="1958">
        <v>4</v>
      </c>
      <c r="G65" s="1958" t="s">
        <v>1473</v>
      </c>
      <c r="H65" s="1958" t="s">
        <v>2020</v>
      </c>
      <c r="I65" s="1958" t="s">
        <v>190</v>
      </c>
      <c r="J65" s="1958" t="s">
        <v>1706</v>
      </c>
      <c r="N65" s="1958">
        <v>20600</v>
      </c>
      <c r="O65" s="1958">
        <v>0</v>
      </c>
      <c r="P65" s="1958">
        <v>0</v>
      </c>
      <c r="Q65" s="1958">
        <v>0</v>
      </c>
      <c r="R65" s="1958">
        <v>1334144</v>
      </c>
      <c r="S65" s="1958">
        <v>0</v>
      </c>
      <c r="T65" s="1958">
        <f t="shared" si="1"/>
        <v>1334144</v>
      </c>
    </row>
    <row r="66" spans="1:20">
      <c r="A66" s="1958" t="s">
        <v>877</v>
      </c>
      <c r="B66" s="1958">
        <v>187</v>
      </c>
      <c r="C66" s="1958">
        <v>2023</v>
      </c>
      <c r="D66" s="1958">
        <v>12</v>
      </c>
      <c r="E66" s="1958">
        <v>7</v>
      </c>
      <c r="F66" s="1958">
        <v>4</v>
      </c>
      <c r="G66" s="1958" t="s">
        <v>1471</v>
      </c>
      <c r="H66" s="1958" t="s">
        <v>1734</v>
      </c>
      <c r="I66" s="1958" t="s">
        <v>190</v>
      </c>
      <c r="J66" s="1958" t="s">
        <v>1706</v>
      </c>
      <c r="N66" s="1958">
        <v>100</v>
      </c>
      <c r="O66" s="1958">
        <v>0</v>
      </c>
      <c r="P66" s="1958">
        <v>0</v>
      </c>
      <c r="Q66" s="1958">
        <v>0</v>
      </c>
      <c r="R66" s="1958">
        <v>500</v>
      </c>
      <c r="S66" s="1958">
        <v>0</v>
      </c>
      <c r="T66" s="1958">
        <f t="shared" ref="T66:T97" si="2">SUM(Q66:S66)</f>
        <v>500</v>
      </c>
    </row>
    <row r="67" spans="1:20">
      <c r="A67" s="1958" t="s">
        <v>877</v>
      </c>
      <c r="B67" s="1958">
        <v>187</v>
      </c>
      <c r="C67" s="1958">
        <v>2023</v>
      </c>
      <c r="D67" s="1958">
        <v>12</v>
      </c>
      <c r="E67" s="1958">
        <v>8</v>
      </c>
      <c r="F67" s="1958">
        <v>4</v>
      </c>
      <c r="G67" s="1958" t="s">
        <v>1469</v>
      </c>
      <c r="H67" s="1958" t="s">
        <v>2019</v>
      </c>
      <c r="I67" s="1958" t="s">
        <v>188</v>
      </c>
      <c r="J67" s="1958" t="s">
        <v>1706</v>
      </c>
      <c r="N67" s="1958">
        <v>1</v>
      </c>
      <c r="O67" s="1958">
        <v>0</v>
      </c>
      <c r="P67" s="1958">
        <v>0</v>
      </c>
      <c r="Q67" s="1958">
        <v>0</v>
      </c>
      <c r="R67" s="1958">
        <v>155</v>
      </c>
      <c r="S67" s="1958">
        <v>0</v>
      </c>
      <c r="T67" s="1958">
        <f t="shared" si="2"/>
        <v>155</v>
      </c>
    </row>
    <row r="68" spans="1:20">
      <c r="A68" s="1958" t="s">
        <v>877</v>
      </c>
      <c r="B68" s="1958">
        <v>187</v>
      </c>
      <c r="C68" s="1958">
        <v>2023</v>
      </c>
      <c r="D68" s="1958">
        <v>12</v>
      </c>
      <c r="E68" s="1958">
        <v>9</v>
      </c>
      <c r="F68" s="1958">
        <v>4</v>
      </c>
      <c r="G68" s="1958" t="s">
        <v>1467</v>
      </c>
      <c r="H68" s="1958" t="s">
        <v>1732</v>
      </c>
      <c r="I68" s="1958" t="s">
        <v>190</v>
      </c>
      <c r="J68" s="1958" t="s">
        <v>1706</v>
      </c>
      <c r="N68" s="1958">
        <v>26785</v>
      </c>
      <c r="O68" s="1958">
        <v>0</v>
      </c>
      <c r="P68" s="1958">
        <v>0</v>
      </c>
      <c r="Q68" s="1958">
        <v>0</v>
      </c>
      <c r="R68" s="1958">
        <v>1336980</v>
      </c>
      <c r="S68" s="1958">
        <v>0</v>
      </c>
      <c r="T68" s="1958">
        <f t="shared" si="2"/>
        <v>1336980</v>
      </c>
    </row>
    <row r="69" spans="1:20">
      <c r="A69" s="1958" t="s">
        <v>877</v>
      </c>
      <c r="B69" s="1958">
        <v>187</v>
      </c>
      <c r="C69" s="1958">
        <v>2023</v>
      </c>
      <c r="D69" s="1958">
        <v>12</v>
      </c>
      <c r="E69" s="1958">
        <v>10</v>
      </c>
      <c r="F69" s="1958">
        <v>4</v>
      </c>
      <c r="G69" s="1958" t="s">
        <v>1465</v>
      </c>
      <c r="H69" s="1958" t="s">
        <v>2018</v>
      </c>
      <c r="I69" s="1958" t="s">
        <v>188</v>
      </c>
      <c r="J69" s="1958" t="s">
        <v>1979</v>
      </c>
      <c r="N69" s="1958">
        <v>16</v>
      </c>
      <c r="O69" s="1958">
        <v>0</v>
      </c>
      <c r="P69" s="1958">
        <v>0</v>
      </c>
      <c r="Q69" s="1958">
        <v>0</v>
      </c>
      <c r="R69" s="1958">
        <v>1041</v>
      </c>
      <c r="S69" s="1958">
        <v>0</v>
      </c>
      <c r="T69" s="1958">
        <f t="shared" si="2"/>
        <v>1041</v>
      </c>
    </row>
    <row r="70" spans="1:20">
      <c r="A70" s="1958" t="s">
        <v>877</v>
      </c>
      <c r="B70" s="1958">
        <v>187</v>
      </c>
      <c r="C70" s="1958">
        <v>2023</v>
      </c>
      <c r="D70" s="1958">
        <v>12</v>
      </c>
      <c r="E70" s="1958">
        <v>11</v>
      </c>
      <c r="F70" s="1958">
        <v>4</v>
      </c>
      <c r="G70" s="1958" t="s">
        <v>1463</v>
      </c>
      <c r="H70" s="1958" t="s">
        <v>2017</v>
      </c>
      <c r="I70" s="1958" t="s">
        <v>189</v>
      </c>
      <c r="J70" s="1958" t="s">
        <v>1706</v>
      </c>
      <c r="N70" s="1958">
        <v>4711</v>
      </c>
      <c r="O70" s="1958">
        <v>0</v>
      </c>
      <c r="P70" s="1958">
        <v>0</v>
      </c>
      <c r="Q70" s="1958">
        <v>0</v>
      </c>
      <c r="R70" s="1958">
        <v>276133</v>
      </c>
      <c r="S70" s="1958">
        <v>0</v>
      </c>
      <c r="T70" s="1958">
        <f t="shared" si="2"/>
        <v>276133</v>
      </c>
    </row>
    <row r="71" spans="1:20">
      <c r="A71" s="1958" t="s">
        <v>877</v>
      </c>
      <c r="B71" s="1958">
        <v>187</v>
      </c>
      <c r="C71" s="1958">
        <v>2023</v>
      </c>
      <c r="D71" s="1958">
        <v>12</v>
      </c>
      <c r="E71" s="1958">
        <v>12</v>
      </c>
      <c r="F71" s="1958">
        <v>4</v>
      </c>
      <c r="G71" s="1958" t="s">
        <v>1461</v>
      </c>
      <c r="H71" s="1958" t="s">
        <v>2016</v>
      </c>
      <c r="I71" s="1958" t="s">
        <v>189</v>
      </c>
      <c r="J71" s="1958" t="s">
        <v>1706</v>
      </c>
      <c r="N71" s="1958">
        <v>221363</v>
      </c>
      <c r="O71" s="1958">
        <v>0</v>
      </c>
      <c r="P71" s="1958">
        <v>0</v>
      </c>
      <c r="Q71" s="1958">
        <v>0</v>
      </c>
      <c r="R71" s="1958">
        <v>0</v>
      </c>
      <c r="S71" s="1958">
        <v>0</v>
      </c>
      <c r="T71" s="1958">
        <f t="shared" si="2"/>
        <v>0</v>
      </c>
    </row>
    <row r="72" spans="1:20">
      <c r="A72" s="1958" t="s">
        <v>877</v>
      </c>
      <c r="B72" s="1958">
        <v>187</v>
      </c>
      <c r="C72" s="1958">
        <v>2023</v>
      </c>
      <c r="D72" s="1958">
        <v>12</v>
      </c>
      <c r="E72" s="1958">
        <v>13</v>
      </c>
      <c r="F72" s="1958">
        <v>4</v>
      </c>
      <c r="G72" s="1958" t="s">
        <v>1459</v>
      </c>
      <c r="H72" s="1958" t="s">
        <v>2015</v>
      </c>
      <c r="I72" s="1958" t="s">
        <v>193</v>
      </c>
      <c r="J72" s="1958" t="s">
        <v>2014</v>
      </c>
      <c r="N72" s="1958">
        <v>0</v>
      </c>
      <c r="O72" s="1958">
        <v>0</v>
      </c>
      <c r="P72" s="1958">
        <v>0</v>
      </c>
      <c r="Q72" s="1958">
        <v>0</v>
      </c>
      <c r="R72" s="1958">
        <v>0</v>
      </c>
      <c r="S72" s="1958">
        <v>-245932</v>
      </c>
      <c r="T72" s="1958">
        <f t="shared" si="2"/>
        <v>-245932</v>
      </c>
    </row>
    <row r="73" spans="1:20">
      <c r="A73" s="1958" t="s">
        <v>877</v>
      </c>
      <c r="B73" s="1958">
        <v>187</v>
      </c>
      <c r="C73" s="1958">
        <v>2023</v>
      </c>
      <c r="D73" s="1958">
        <v>12</v>
      </c>
      <c r="E73" s="1958">
        <v>14</v>
      </c>
      <c r="F73" s="1958">
        <v>4</v>
      </c>
      <c r="G73" s="1958" t="s">
        <v>1457</v>
      </c>
      <c r="H73" s="1958" t="s">
        <v>1731</v>
      </c>
      <c r="I73" s="1958" t="s">
        <v>190</v>
      </c>
      <c r="J73" s="1958" t="s">
        <v>1706</v>
      </c>
      <c r="N73" s="1958">
        <v>1415</v>
      </c>
      <c r="O73" s="1958">
        <v>0</v>
      </c>
      <c r="P73" s="1958">
        <v>0</v>
      </c>
      <c r="Q73" s="1958">
        <v>0</v>
      </c>
      <c r="R73" s="1958">
        <v>46375</v>
      </c>
      <c r="S73" s="1958">
        <v>0</v>
      </c>
      <c r="T73" s="1958">
        <f t="shared" si="2"/>
        <v>46375</v>
      </c>
    </row>
    <row r="74" spans="1:20">
      <c r="A74" s="1958" t="s">
        <v>877</v>
      </c>
      <c r="B74" s="1958">
        <v>187</v>
      </c>
      <c r="C74" s="1958">
        <v>2023</v>
      </c>
      <c r="D74" s="1958">
        <v>12</v>
      </c>
      <c r="E74" s="1958">
        <v>1</v>
      </c>
      <c r="F74" s="1958">
        <v>5</v>
      </c>
      <c r="G74" s="1958" t="s">
        <v>1483</v>
      </c>
      <c r="H74" s="1958" t="s">
        <v>2013</v>
      </c>
      <c r="I74" s="1958" t="s">
        <v>189</v>
      </c>
      <c r="J74" s="1958" t="s">
        <v>1706</v>
      </c>
      <c r="N74" s="1958">
        <v>95771</v>
      </c>
      <c r="O74" s="1958">
        <v>0</v>
      </c>
      <c r="P74" s="1958">
        <v>0</v>
      </c>
      <c r="Q74" s="1958">
        <v>0</v>
      </c>
      <c r="R74" s="1958">
        <v>0</v>
      </c>
      <c r="S74" s="1958">
        <v>0</v>
      </c>
      <c r="T74" s="1958">
        <f t="shared" si="2"/>
        <v>0</v>
      </c>
    </row>
    <row r="75" spans="1:20">
      <c r="A75" s="1958" t="s">
        <v>877</v>
      </c>
      <c r="B75" s="1958">
        <v>187</v>
      </c>
      <c r="C75" s="1958">
        <v>2023</v>
      </c>
      <c r="D75" s="1958">
        <v>12</v>
      </c>
      <c r="E75" s="1958">
        <v>2</v>
      </c>
      <c r="F75" s="1958">
        <v>5</v>
      </c>
      <c r="G75" s="1958" t="s">
        <v>1481</v>
      </c>
      <c r="H75" s="1958" t="s">
        <v>2012</v>
      </c>
      <c r="I75" s="1958" t="s">
        <v>188</v>
      </c>
      <c r="J75" s="1958" t="s">
        <v>1979</v>
      </c>
      <c r="N75" s="1958">
        <v>31</v>
      </c>
      <c r="O75" s="1958">
        <v>0</v>
      </c>
      <c r="P75" s="1958">
        <v>0</v>
      </c>
      <c r="Q75" s="1958">
        <v>0</v>
      </c>
      <c r="R75" s="1958">
        <v>1995</v>
      </c>
      <c r="S75" s="1958">
        <v>0</v>
      </c>
      <c r="T75" s="1958">
        <f t="shared" si="2"/>
        <v>1995</v>
      </c>
    </row>
    <row r="76" spans="1:20">
      <c r="A76" s="1958" t="s">
        <v>877</v>
      </c>
      <c r="B76" s="1958">
        <v>187</v>
      </c>
      <c r="C76" s="1958">
        <v>2023</v>
      </c>
      <c r="D76" s="1958">
        <v>12</v>
      </c>
      <c r="E76" s="1958">
        <v>3</v>
      </c>
      <c r="F76" s="1958">
        <v>5</v>
      </c>
      <c r="G76" s="1958" t="s">
        <v>1479</v>
      </c>
      <c r="H76" s="1958" t="s">
        <v>2011</v>
      </c>
      <c r="I76" s="1958" t="s">
        <v>188</v>
      </c>
      <c r="J76" s="1958" t="s">
        <v>1706</v>
      </c>
      <c r="N76" s="1958">
        <v>1</v>
      </c>
      <c r="O76" s="1958">
        <v>0</v>
      </c>
      <c r="P76" s="1958">
        <v>0</v>
      </c>
      <c r="Q76" s="1958">
        <v>0</v>
      </c>
      <c r="R76" s="1958">
        <v>-177</v>
      </c>
      <c r="S76" s="1958">
        <v>0</v>
      </c>
      <c r="T76" s="1958">
        <f t="shared" si="2"/>
        <v>-177</v>
      </c>
    </row>
    <row r="77" spans="1:20">
      <c r="A77" s="1958" t="s">
        <v>877</v>
      </c>
      <c r="B77" s="1958">
        <v>187</v>
      </c>
      <c r="C77" s="1958">
        <v>2023</v>
      </c>
      <c r="D77" s="1958">
        <v>12</v>
      </c>
      <c r="E77" s="1958">
        <v>4</v>
      </c>
      <c r="F77" s="1958">
        <v>5</v>
      </c>
      <c r="G77" s="1958" t="s">
        <v>1477</v>
      </c>
      <c r="H77" s="1958" t="s">
        <v>2010</v>
      </c>
      <c r="I77" s="1958" t="s">
        <v>193</v>
      </c>
      <c r="J77" s="1958" t="s">
        <v>2009</v>
      </c>
      <c r="N77" s="1958">
        <v>0</v>
      </c>
      <c r="O77" s="1958">
        <v>0</v>
      </c>
      <c r="P77" s="1958">
        <v>0</v>
      </c>
      <c r="Q77" s="1958">
        <v>0</v>
      </c>
      <c r="R77" s="1958">
        <v>0</v>
      </c>
      <c r="S77" s="1958">
        <v>-48</v>
      </c>
      <c r="T77" s="1958">
        <f t="shared" si="2"/>
        <v>-48</v>
      </c>
    </row>
    <row r="78" spans="1:20">
      <c r="A78" s="1958" t="s">
        <v>877</v>
      </c>
      <c r="B78" s="1958">
        <v>187</v>
      </c>
      <c r="C78" s="1958">
        <v>2023</v>
      </c>
      <c r="D78" s="1958">
        <v>12</v>
      </c>
      <c r="E78" s="1958">
        <v>5</v>
      </c>
      <c r="F78" s="1958">
        <v>5</v>
      </c>
      <c r="G78" s="1958" t="s">
        <v>1475</v>
      </c>
      <c r="H78" s="1958" t="s">
        <v>2008</v>
      </c>
      <c r="I78" s="1958" t="s">
        <v>191</v>
      </c>
      <c r="J78" s="1958" t="s">
        <v>1989</v>
      </c>
      <c r="N78" s="1958">
        <v>294887</v>
      </c>
      <c r="O78" s="1958">
        <v>0</v>
      </c>
      <c r="P78" s="1958">
        <v>0</v>
      </c>
      <c r="Q78" s="1958">
        <v>0</v>
      </c>
      <c r="R78" s="1958">
        <v>19574599</v>
      </c>
      <c r="S78" s="1958">
        <v>0</v>
      </c>
      <c r="T78" s="1958">
        <f t="shared" si="2"/>
        <v>19574599</v>
      </c>
    </row>
    <row r="79" spans="1:20">
      <c r="A79" s="1958" t="s">
        <v>877</v>
      </c>
      <c r="B79" s="1958">
        <v>187</v>
      </c>
      <c r="C79" s="1958">
        <v>2023</v>
      </c>
      <c r="D79" s="1958">
        <v>12</v>
      </c>
      <c r="E79" s="1958">
        <v>6</v>
      </c>
      <c r="F79" s="1958">
        <v>5</v>
      </c>
      <c r="G79" s="1958" t="s">
        <v>1473</v>
      </c>
      <c r="H79" s="1958" t="s">
        <v>2006</v>
      </c>
      <c r="I79" s="1958" t="s">
        <v>190</v>
      </c>
      <c r="J79" s="1958" t="s">
        <v>2005</v>
      </c>
      <c r="N79" s="1958">
        <v>42481</v>
      </c>
      <c r="O79" s="1958">
        <v>0</v>
      </c>
      <c r="P79" s="1958">
        <v>0</v>
      </c>
      <c r="Q79" s="1958">
        <v>0</v>
      </c>
      <c r="R79" s="1958">
        <v>2776687</v>
      </c>
      <c r="S79" s="1958">
        <v>0</v>
      </c>
      <c r="T79" s="1958">
        <f t="shared" si="2"/>
        <v>2776687</v>
      </c>
    </row>
    <row r="80" spans="1:20">
      <c r="A80" s="1958" t="s">
        <v>877</v>
      </c>
      <c r="B80" s="1958">
        <v>187</v>
      </c>
      <c r="C80" s="1958">
        <v>2023</v>
      </c>
      <c r="D80" s="1958">
        <v>12</v>
      </c>
      <c r="E80" s="1958">
        <v>7</v>
      </c>
      <c r="F80" s="1958">
        <v>5</v>
      </c>
      <c r="G80" s="1958" t="s">
        <v>1471</v>
      </c>
      <c r="H80" s="1958" t="s">
        <v>2007</v>
      </c>
      <c r="I80" s="1958" t="s">
        <v>188</v>
      </c>
      <c r="J80" s="1958" t="s">
        <v>2005</v>
      </c>
      <c r="N80" s="1958">
        <v>7457</v>
      </c>
      <c r="O80" s="1958">
        <v>0</v>
      </c>
      <c r="P80" s="1958">
        <v>0</v>
      </c>
      <c r="Q80" s="1958">
        <v>0</v>
      </c>
      <c r="R80" s="1958">
        <v>451508</v>
      </c>
      <c r="S80" s="1958">
        <v>0</v>
      </c>
      <c r="T80" s="1958">
        <f t="shared" si="2"/>
        <v>451508</v>
      </c>
    </row>
    <row r="81" spans="1:20">
      <c r="A81" s="1958" t="s">
        <v>877</v>
      </c>
      <c r="B81" s="1958">
        <v>187</v>
      </c>
      <c r="C81" s="1958">
        <v>2023</v>
      </c>
      <c r="D81" s="1958">
        <v>12</v>
      </c>
      <c r="E81" s="1958">
        <v>8</v>
      </c>
      <c r="F81" s="1958">
        <v>5</v>
      </c>
      <c r="G81" s="1958" t="s">
        <v>1469</v>
      </c>
      <c r="H81" s="1958" t="s">
        <v>2006</v>
      </c>
      <c r="I81" s="1958" t="s">
        <v>188</v>
      </c>
      <c r="J81" s="1958" t="s">
        <v>2005</v>
      </c>
      <c r="N81" s="1958">
        <v>301</v>
      </c>
      <c r="O81" s="1958">
        <v>0</v>
      </c>
      <c r="P81" s="1958">
        <v>0</v>
      </c>
      <c r="Q81" s="1958">
        <v>0</v>
      </c>
      <c r="R81" s="1958">
        <v>4139</v>
      </c>
      <c r="S81" s="1958">
        <v>0</v>
      </c>
      <c r="T81" s="1958">
        <f t="shared" si="2"/>
        <v>4139</v>
      </c>
    </row>
    <row r="82" spans="1:20">
      <c r="A82" s="1958" t="s">
        <v>877</v>
      </c>
      <c r="B82" s="1958">
        <v>187</v>
      </c>
      <c r="C82" s="1958">
        <v>2023</v>
      </c>
      <c r="D82" s="1958">
        <v>12</v>
      </c>
      <c r="E82" s="1958">
        <v>9</v>
      </c>
      <c r="F82" s="1958">
        <v>5</v>
      </c>
      <c r="G82" s="1958" t="s">
        <v>1467</v>
      </c>
      <c r="H82" s="1958" t="s">
        <v>2004</v>
      </c>
      <c r="I82" s="1958" t="s">
        <v>194</v>
      </c>
      <c r="J82" s="1958" t="s">
        <v>1706</v>
      </c>
      <c r="N82" s="1958">
        <v>0</v>
      </c>
      <c r="O82" s="1958">
        <v>9973</v>
      </c>
      <c r="P82" s="1958">
        <v>9969</v>
      </c>
      <c r="Q82" s="1958">
        <v>0</v>
      </c>
      <c r="R82" s="1958">
        <v>0</v>
      </c>
      <c r="S82" s="1958">
        <v>0</v>
      </c>
      <c r="T82" s="1958">
        <f t="shared" si="2"/>
        <v>0</v>
      </c>
    </row>
    <row r="83" spans="1:20">
      <c r="A83" s="1958" t="s">
        <v>877</v>
      </c>
      <c r="B83" s="1958">
        <v>187</v>
      </c>
      <c r="C83" s="1958">
        <v>2023</v>
      </c>
      <c r="D83" s="1958">
        <v>12</v>
      </c>
      <c r="E83" s="1958">
        <v>10</v>
      </c>
      <c r="F83" s="1958">
        <v>5</v>
      </c>
      <c r="G83" s="1958" t="s">
        <v>1465</v>
      </c>
      <c r="H83" s="1958" t="s">
        <v>2004</v>
      </c>
      <c r="I83" s="1958" t="s">
        <v>190</v>
      </c>
      <c r="J83" s="1958" t="s">
        <v>1706</v>
      </c>
      <c r="N83" s="1958">
        <v>5160</v>
      </c>
      <c r="O83" s="1958">
        <v>0</v>
      </c>
      <c r="P83" s="1958">
        <v>0</v>
      </c>
      <c r="Q83" s="1958">
        <v>0</v>
      </c>
      <c r="R83" s="1958">
        <v>228925</v>
      </c>
      <c r="S83" s="1958">
        <v>0</v>
      </c>
      <c r="T83" s="1958">
        <f t="shared" si="2"/>
        <v>228925</v>
      </c>
    </row>
    <row r="84" spans="1:20">
      <c r="A84" s="1958" t="s">
        <v>877</v>
      </c>
      <c r="B84" s="1958">
        <v>187</v>
      </c>
      <c r="C84" s="1958">
        <v>2023</v>
      </c>
      <c r="D84" s="1958">
        <v>12</v>
      </c>
      <c r="E84" s="1958">
        <v>11</v>
      </c>
      <c r="F84" s="1958">
        <v>5</v>
      </c>
      <c r="G84" s="1958" t="s">
        <v>1463</v>
      </c>
      <c r="H84" s="1958" t="s">
        <v>2003</v>
      </c>
      <c r="I84" s="1958" t="s">
        <v>188</v>
      </c>
      <c r="J84" s="1958" t="s">
        <v>1979</v>
      </c>
      <c r="N84" s="1958">
        <v>41</v>
      </c>
      <c r="O84" s="1958">
        <v>0</v>
      </c>
      <c r="P84" s="1958">
        <v>0</v>
      </c>
      <c r="Q84" s="1958">
        <v>0</v>
      </c>
      <c r="R84" s="1958">
        <v>2699</v>
      </c>
      <c r="S84" s="1958">
        <v>0</v>
      </c>
      <c r="T84" s="1958">
        <f t="shared" si="2"/>
        <v>2699</v>
      </c>
    </row>
    <row r="85" spans="1:20">
      <c r="A85" s="1958" t="s">
        <v>877</v>
      </c>
      <c r="B85" s="1958">
        <v>187</v>
      </c>
      <c r="C85" s="1958">
        <v>2023</v>
      </c>
      <c r="D85" s="1958">
        <v>12</v>
      </c>
      <c r="E85" s="1958">
        <v>12</v>
      </c>
      <c r="F85" s="1958">
        <v>5</v>
      </c>
      <c r="G85" s="1958" t="s">
        <v>1461</v>
      </c>
      <c r="H85" s="1958" t="s">
        <v>2002</v>
      </c>
      <c r="I85" s="1958" t="s">
        <v>188</v>
      </c>
      <c r="J85" s="1958" t="s">
        <v>1706</v>
      </c>
      <c r="N85" s="1958">
        <v>2102</v>
      </c>
      <c r="O85" s="1958">
        <v>0</v>
      </c>
      <c r="P85" s="1958">
        <v>0</v>
      </c>
      <c r="Q85" s="1958">
        <v>0</v>
      </c>
      <c r="R85" s="1958">
        <v>87235</v>
      </c>
      <c r="S85" s="1958">
        <v>0</v>
      </c>
      <c r="T85" s="1958">
        <f t="shared" si="2"/>
        <v>87235</v>
      </c>
    </row>
    <row r="86" spans="1:20">
      <c r="A86" s="1958" t="s">
        <v>877</v>
      </c>
      <c r="B86" s="1958">
        <v>187</v>
      </c>
      <c r="C86" s="1958">
        <v>2023</v>
      </c>
      <c r="D86" s="1958">
        <v>12</v>
      </c>
      <c r="E86" s="1958">
        <v>13</v>
      </c>
      <c r="F86" s="1958">
        <v>5</v>
      </c>
      <c r="G86" s="1958" t="s">
        <v>1459</v>
      </c>
      <c r="H86" s="1958" t="s">
        <v>2001</v>
      </c>
      <c r="I86" s="1958" t="s">
        <v>193</v>
      </c>
      <c r="J86" s="1958" t="s">
        <v>2000</v>
      </c>
      <c r="N86" s="1958">
        <v>0</v>
      </c>
      <c r="O86" s="1958">
        <v>0</v>
      </c>
      <c r="P86" s="1958">
        <v>0</v>
      </c>
      <c r="Q86" s="1958">
        <v>0</v>
      </c>
      <c r="R86" s="1958">
        <v>0</v>
      </c>
      <c r="S86" s="1958">
        <v>3499</v>
      </c>
      <c r="T86" s="1958">
        <f t="shared" si="2"/>
        <v>3499</v>
      </c>
    </row>
    <row r="87" spans="1:20">
      <c r="A87" s="1958" t="s">
        <v>877</v>
      </c>
      <c r="B87" s="1958">
        <v>187</v>
      </c>
      <c r="C87" s="1958">
        <v>2023</v>
      </c>
      <c r="D87" s="1958">
        <v>12</v>
      </c>
      <c r="E87" s="1958">
        <v>14</v>
      </c>
      <c r="F87" s="1958">
        <v>5</v>
      </c>
      <c r="G87" s="1958" t="s">
        <v>1457</v>
      </c>
      <c r="H87" s="1958" t="s">
        <v>1999</v>
      </c>
      <c r="I87" s="1958" t="s">
        <v>190</v>
      </c>
      <c r="J87" s="1958" t="s">
        <v>1706</v>
      </c>
      <c r="N87" s="1958">
        <v>4850</v>
      </c>
      <c r="O87" s="1958">
        <v>0</v>
      </c>
      <c r="P87" s="1958">
        <v>0</v>
      </c>
      <c r="Q87" s="1958">
        <v>0</v>
      </c>
      <c r="R87" s="1958">
        <v>724500</v>
      </c>
      <c r="S87" s="1958">
        <v>0</v>
      </c>
      <c r="T87" s="1958">
        <f t="shared" si="2"/>
        <v>724500</v>
      </c>
    </row>
    <row r="88" spans="1:20">
      <c r="A88" s="1958" t="s">
        <v>877</v>
      </c>
      <c r="B88" s="1958">
        <v>187</v>
      </c>
      <c r="C88" s="1958">
        <v>2023</v>
      </c>
      <c r="D88" s="1958">
        <v>12</v>
      </c>
      <c r="E88" s="1958">
        <v>1</v>
      </c>
      <c r="F88" s="1958">
        <v>6</v>
      </c>
      <c r="G88" s="1958" t="s">
        <v>1483</v>
      </c>
      <c r="H88" s="1958" t="s">
        <v>1724</v>
      </c>
      <c r="I88" s="1958" t="s">
        <v>190</v>
      </c>
      <c r="J88" s="1958" t="s">
        <v>1706</v>
      </c>
      <c r="N88" s="1958">
        <v>22387</v>
      </c>
      <c r="O88" s="1958">
        <v>0</v>
      </c>
      <c r="P88" s="1958">
        <v>0</v>
      </c>
      <c r="Q88" s="1958">
        <v>0</v>
      </c>
      <c r="R88" s="1958">
        <v>1764002</v>
      </c>
      <c r="S88" s="1958">
        <v>0</v>
      </c>
      <c r="T88" s="1958">
        <f t="shared" si="2"/>
        <v>1764002</v>
      </c>
    </row>
    <row r="89" spans="1:20">
      <c r="A89" s="1958" t="s">
        <v>877</v>
      </c>
      <c r="B89" s="1958">
        <v>187</v>
      </c>
      <c r="C89" s="1958">
        <v>2023</v>
      </c>
      <c r="D89" s="1958">
        <v>12</v>
      </c>
      <c r="E89" s="1958">
        <v>2</v>
      </c>
      <c r="F89" s="1958">
        <v>6</v>
      </c>
      <c r="G89" s="1958" t="s">
        <v>1481</v>
      </c>
      <c r="H89" s="1958" t="s">
        <v>1998</v>
      </c>
      <c r="I89" s="1958" t="s">
        <v>188</v>
      </c>
      <c r="J89" s="1958" t="s">
        <v>1979</v>
      </c>
      <c r="N89" s="1958">
        <v>39</v>
      </c>
      <c r="O89" s="1958">
        <v>0</v>
      </c>
      <c r="P89" s="1958">
        <v>0</v>
      </c>
      <c r="Q89" s="1958">
        <v>0</v>
      </c>
      <c r="R89" s="1958">
        <v>2651</v>
      </c>
      <c r="S89" s="1958">
        <v>0</v>
      </c>
      <c r="T89" s="1958">
        <f t="shared" si="2"/>
        <v>2651</v>
      </c>
    </row>
    <row r="90" spans="1:20">
      <c r="A90" s="1958" t="s">
        <v>877</v>
      </c>
      <c r="B90" s="1958">
        <v>187</v>
      </c>
      <c r="C90" s="1958">
        <v>2023</v>
      </c>
      <c r="D90" s="1958">
        <v>12</v>
      </c>
      <c r="E90" s="1958">
        <v>3</v>
      </c>
      <c r="F90" s="1958">
        <v>6</v>
      </c>
      <c r="G90" s="1958" t="s">
        <v>1479</v>
      </c>
      <c r="H90" s="1958" t="s">
        <v>1997</v>
      </c>
      <c r="I90" s="1958" t="s">
        <v>188</v>
      </c>
      <c r="J90" s="1958" t="s">
        <v>1706</v>
      </c>
      <c r="N90" s="1958">
        <v>278</v>
      </c>
      <c r="O90" s="1958">
        <v>0</v>
      </c>
      <c r="P90" s="1958">
        <v>0</v>
      </c>
      <c r="Q90" s="1958">
        <v>0</v>
      </c>
      <c r="R90" s="1958">
        <v>30004</v>
      </c>
      <c r="S90" s="1958">
        <v>0</v>
      </c>
      <c r="T90" s="1958">
        <f t="shared" si="2"/>
        <v>30004</v>
      </c>
    </row>
    <row r="91" spans="1:20">
      <c r="A91" s="1958" t="s">
        <v>877</v>
      </c>
      <c r="B91" s="1958">
        <v>187</v>
      </c>
      <c r="C91" s="1958">
        <v>2023</v>
      </c>
      <c r="D91" s="1958">
        <v>12</v>
      </c>
      <c r="E91" s="1958">
        <v>4</v>
      </c>
      <c r="F91" s="1958">
        <v>6</v>
      </c>
      <c r="G91" s="1958" t="s">
        <v>1477</v>
      </c>
      <c r="H91" s="1958" t="s">
        <v>1996</v>
      </c>
      <c r="I91" s="1958" t="s">
        <v>193</v>
      </c>
      <c r="J91" s="1958" t="s">
        <v>1995</v>
      </c>
      <c r="N91" s="1958">
        <v>0</v>
      </c>
      <c r="O91" s="1958">
        <v>0</v>
      </c>
      <c r="P91" s="1958">
        <v>0</v>
      </c>
      <c r="Q91" s="1958">
        <v>0</v>
      </c>
      <c r="R91" s="1958">
        <v>0</v>
      </c>
      <c r="S91" s="1958">
        <v>5257</v>
      </c>
      <c r="T91" s="1958">
        <f t="shared" si="2"/>
        <v>5257</v>
      </c>
    </row>
    <row r="92" spans="1:20">
      <c r="A92" s="1958" t="s">
        <v>877</v>
      </c>
      <c r="B92" s="1958">
        <v>187</v>
      </c>
      <c r="C92" s="1958">
        <v>2023</v>
      </c>
      <c r="D92" s="1958">
        <v>12</v>
      </c>
      <c r="E92" s="1958">
        <v>5</v>
      </c>
      <c r="F92" s="1958">
        <v>6</v>
      </c>
      <c r="G92" s="1958" t="s">
        <v>1475</v>
      </c>
      <c r="H92" s="1958" t="s">
        <v>1994</v>
      </c>
      <c r="I92" s="1958" t="s">
        <v>193</v>
      </c>
      <c r="J92" s="1958" t="s">
        <v>1706</v>
      </c>
      <c r="N92" s="1958">
        <v>0</v>
      </c>
      <c r="O92" s="1958">
        <v>0</v>
      </c>
      <c r="P92" s="1958">
        <v>0</v>
      </c>
      <c r="Q92" s="1958">
        <v>0</v>
      </c>
      <c r="R92" s="1958">
        <v>0</v>
      </c>
      <c r="S92" s="1958">
        <v>8560</v>
      </c>
      <c r="T92" s="1958">
        <f t="shared" si="2"/>
        <v>8560</v>
      </c>
    </row>
    <row r="93" spans="1:20">
      <c r="A93" s="1958" t="s">
        <v>877</v>
      </c>
      <c r="B93" s="1958">
        <v>187</v>
      </c>
      <c r="C93" s="1958">
        <v>2023</v>
      </c>
      <c r="D93" s="1958">
        <v>12</v>
      </c>
      <c r="E93" s="1958">
        <v>6</v>
      </c>
      <c r="F93" s="1958">
        <v>6</v>
      </c>
      <c r="G93" s="1958" t="s">
        <v>1473</v>
      </c>
      <c r="H93" s="1958" t="s">
        <v>1993</v>
      </c>
      <c r="I93" s="1958" t="s">
        <v>190</v>
      </c>
      <c r="J93" s="1958" t="s">
        <v>1706</v>
      </c>
      <c r="N93" s="1958">
        <v>60140</v>
      </c>
      <c r="O93" s="1958">
        <v>0</v>
      </c>
      <c r="P93" s="1958">
        <v>0</v>
      </c>
      <c r="Q93" s="1958">
        <v>0</v>
      </c>
      <c r="R93" s="1958">
        <v>5538203</v>
      </c>
      <c r="S93" s="1958">
        <v>0</v>
      </c>
      <c r="T93" s="1958">
        <f t="shared" si="2"/>
        <v>5538203</v>
      </c>
    </row>
    <row r="94" spans="1:20">
      <c r="A94" s="1958" t="s">
        <v>877</v>
      </c>
      <c r="B94" s="1958">
        <v>187</v>
      </c>
      <c r="C94" s="1958">
        <v>2023</v>
      </c>
      <c r="D94" s="1958">
        <v>12</v>
      </c>
      <c r="E94" s="1958">
        <v>7</v>
      </c>
      <c r="F94" s="1958">
        <v>6</v>
      </c>
      <c r="G94" s="1958" t="s">
        <v>1471</v>
      </c>
      <c r="H94" s="1958" t="s">
        <v>1992</v>
      </c>
      <c r="I94" s="1958" t="s">
        <v>191</v>
      </c>
      <c r="J94" s="1958" t="s">
        <v>1991</v>
      </c>
      <c r="N94" s="1958">
        <v>1806400</v>
      </c>
      <c r="O94" s="1958">
        <v>0</v>
      </c>
      <c r="P94" s="1958">
        <v>0</v>
      </c>
      <c r="Q94" s="1958">
        <v>0</v>
      </c>
      <c r="R94" s="1958">
        <v>30466404</v>
      </c>
      <c r="S94" s="1958">
        <v>0</v>
      </c>
      <c r="T94" s="1958">
        <f t="shared" si="2"/>
        <v>30466404</v>
      </c>
    </row>
    <row r="95" spans="1:20">
      <c r="A95" s="1958" t="s">
        <v>877</v>
      </c>
      <c r="B95" s="1958">
        <v>187</v>
      </c>
      <c r="C95" s="1958">
        <v>2023</v>
      </c>
      <c r="D95" s="1958">
        <v>12</v>
      </c>
      <c r="E95" s="1958">
        <v>8</v>
      </c>
      <c r="F95" s="1958">
        <v>6</v>
      </c>
      <c r="G95" s="1958" t="s">
        <v>1469</v>
      </c>
      <c r="H95" s="1958" t="s">
        <v>1990</v>
      </c>
      <c r="I95" s="1958" t="s">
        <v>191</v>
      </c>
      <c r="J95" s="1958" t="s">
        <v>1989</v>
      </c>
      <c r="N95" s="1958">
        <v>343410</v>
      </c>
      <c r="O95" s="1958">
        <v>0</v>
      </c>
      <c r="P95" s="1958">
        <v>0</v>
      </c>
      <c r="Q95" s="1958">
        <v>0</v>
      </c>
      <c r="R95" s="1958">
        <v>10349387</v>
      </c>
      <c r="S95" s="1958">
        <v>0</v>
      </c>
      <c r="T95" s="1958">
        <f t="shared" si="2"/>
        <v>10349387</v>
      </c>
    </row>
    <row r="96" spans="1:20">
      <c r="A96" s="1958" t="s">
        <v>877</v>
      </c>
      <c r="B96" s="1958">
        <v>187</v>
      </c>
      <c r="C96" s="1958">
        <v>2023</v>
      </c>
      <c r="D96" s="1958">
        <v>12</v>
      </c>
      <c r="E96" s="1958">
        <v>9</v>
      </c>
      <c r="F96" s="1958">
        <v>6</v>
      </c>
      <c r="G96" s="1958" t="s">
        <v>1467</v>
      </c>
      <c r="H96" s="1958" t="s">
        <v>1988</v>
      </c>
      <c r="I96" s="1958" t="s">
        <v>190</v>
      </c>
      <c r="J96" s="1958" t="s">
        <v>1706</v>
      </c>
      <c r="N96" s="1958">
        <v>270</v>
      </c>
      <c r="O96" s="1958">
        <v>0</v>
      </c>
      <c r="P96" s="1958">
        <v>0</v>
      </c>
      <c r="Q96" s="1958">
        <v>0</v>
      </c>
      <c r="R96" s="1958">
        <v>14140</v>
      </c>
      <c r="S96" s="1958">
        <v>0</v>
      </c>
      <c r="T96" s="1958">
        <f t="shared" si="2"/>
        <v>14140</v>
      </c>
    </row>
    <row r="97" spans="1:20">
      <c r="A97" s="1958" t="s">
        <v>877</v>
      </c>
      <c r="B97" s="1958">
        <v>187</v>
      </c>
      <c r="C97" s="1958">
        <v>2023</v>
      </c>
      <c r="D97" s="1958">
        <v>12</v>
      </c>
      <c r="E97" s="1958">
        <v>10</v>
      </c>
      <c r="F97" s="1958">
        <v>6</v>
      </c>
      <c r="G97" s="1958" t="s">
        <v>1465</v>
      </c>
      <c r="H97" s="1958" t="s">
        <v>1721</v>
      </c>
      <c r="I97" s="1958" t="s">
        <v>190</v>
      </c>
      <c r="J97" s="1958" t="s">
        <v>1706</v>
      </c>
      <c r="N97" s="1958">
        <v>8750</v>
      </c>
      <c r="O97" s="1958">
        <v>0</v>
      </c>
      <c r="P97" s="1958">
        <v>0</v>
      </c>
      <c r="Q97" s="1958">
        <v>0</v>
      </c>
      <c r="R97" s="1958">
        <v>320662</v>
      </c>
      <c r="S97" s="1958">
        <v>0</v>
      </c>
      <c r="T97" s="1958">
        <f t="shared" si="2"/>
        <v>320662</v>
      </c>
    </row>
    <row r="98" spans="1:20">
      <c r="A98" s="1958" t="s">
        <v>877</v>
      </c>
      <c r="B98" s="1958">
        <v>187</v>
      </c>
      <c r="C98" s="1958">
        <v>2023</v>
      </c>
      <c r="D98" s="1958">
        <v>12</v>
      </c>
      <c r="E98" s="1958">
        <v>11</v>
      </c>
      <c r="F98" s="1958">
        <v>6</v>
      </c>
      <c r="G98" s="1958" t="s">
        <v>1463</v>
      </c>
      <c r="H98" s="1958" t="s">
        <v>1987</v>
      </c>
      <c r="I98" s="1958" t="s">
        <v>188</v>
      </c>
      <c r="J98" s="1958" t="s">
        <v>1979</v>
      </c>
      <c r="N98" s="1958">
        <v>14</v>
      </c>
      <c r="O98" s="1958">
        <v>0</v>
      </c>
      <c r="P98" s="1958">
        <v>0</v>
      </c>
      <c r="Q98" s="1958">
        <v>0</v>
      </c>
      <c r="R98" s="1958">
        <v>914</v>
      </c>
      <c r="S98" s="1958">
        <v>0</v>
      </c>
      <c r="T98" s="1958">
        <f t="shared" ref="T98:T114" si="3">SUM(Q98:S98)</f>
        <v>914</v>
      </c>
    </row>
    <row r="99" spans="1:20">
      <c r="A99" s="1958" t="s">
        <v>877</v>
      </c>
      <c r="B99" s="1958">
        <v>187</v>
      </c>
      <c r="C99" s="1958">
        <v>2023</v>
      </c>
      <c r="D99" s="1958">
        <v>12</v>
      </c>
      <c r="E99" s="1958">
        <v>12</v>
      </c>
      <c r="F99" s="1958">
        <v>6</v>
      </c>
      <c r="G99" s="1958" t="s">
        <v>1461</v>
      </c>
      <c r="H99" s="1958" t="s">
        <v>1986</v>
      </c>
      <c r="I99" s="1958" t="s">
        <v>192</v>
      </c>
      <c r="J99" s="1958" t="s">
        <v>1977</v>
      </c>
      <c r="N99" s="1958">
        <v>5473</v>
      </c>
      <c r="O99" s="1958">
        <v>0</v>
      </c>
      <c r="P99" s="1958">
        <v>0</v>
      </c>
      <c r="Q99" s="1958">
        <v>0</v>
      </c>
      <c r="R99" s="1958">
        <v>226497</v>
      </c>
      <c r="S99" s="1958">
        <v>0</v>
      </c>
      <c r="T99" s="1958">
        <f t="shared" si="3"/>
        <v>226497</v>
      </c>
    </row>
    <row r="100" spans="1:20">
      <c r="A100" s="1958" t="s">
        <v>877</v>
      </c>
      <c r="B100" s="1958">
        <v>187</v>
      </c>
      <c r="C100" s="1958">
        <v>2023</v>
      </c>
      <c r="D100" s="1958">
        <v>12</v>
      </c>
      <c r="E100" s="1958">
        <v>13</v>
      </c>
      <c r="F100" s="1958">
        <v>6</v>
      </c>
      <c r="G100" s="1958" t="s">
        <v>1459</v>
      </c>
      <c r="H100" s="1958" t="s">
        <v>1985</v>
      </c>
      <c r="I100" s="1958" t="s">
        <v>190</v>
      </c>
      <c r="J100" s="1958" t="s">
        <v>1706</v>
      </c>
      <c r="N100" s="1958">
        <v>8514</v>
      </c>
      <c r="O100" s="1958">
        <v>0</v>
      </c>
      <c r="P100" s="1958">
        <v>0</v>
      </c>
      <c r="Q100" s="1958">
        <v>0</v>
      </c>
      <c r="R100" s="1958">
        <v>474188</v>
      </c>
      <c r="S100" s="1958">
        <v>0</v>
      </c>
      <c r="T100" s="1958">
        <f t="shared" si="3"/>
        <v>474188</v>
      </c>
    </row>
    <row r="101" spans="1:20">
      <c r="A101" s="1958" t="s">
        <v>877</v>
      </c>
      <c r="B101" s="1958">
        <v>187</v>
      </c>
      <c r="C101" s="1958">
        <v>2023</v>
      </c>
      <c r="D101" s="1958">
        <v>12</v>
      </c>
      <c r="E101" s="1958">
        <v>14</v>
      </c>
      <c r="F101" s="1958">
        <v>6</v>
      </c>
      <c r="G101" s="1958" t="s">
        <v>1457</v>
      </c>
      <c r="H101" s="1958" t="s">
        <v>1984</v>
      </c>
      <c r="I101" s="1958" t="s">
        <v>190</v>
      </c>
      <c r="J101" s="1958" t="s">
        <v>1706</v>
      </c>
      <c r="N101" s="1958">
        <v>6655</v>
      </c>
      <c r="O101" s="1958">
        <v>0</v>
      </c>
      <c r="P101" s="1958">
        <v>0</v>
      </c>
      <c r="Q101" s="1958">
        <v>0</v>
      </c>
      <c r="R101" s="1958">
        <v>183375</v>
      </c>
      <c r="T101" s="1958">
        <f t="shared" si="3"/>
        <v>183375</v>
      </c>
    </row>
    <row r="102" spans="1:20">
      <c r="A102" s="1958" t="s">
        <v>877</v>
      </c>
      <c r="B102" s="1958">
        <v>187</v>
      </c>
      <c r="C102" s="1958">
        <v>2023</v>
      </c>
      <c r="D102" s="1958">
        <v>12</v>
      </c>
      <c r="E102" s="1958">
        <v>1</v>
      </c>
      <c r="F102" s="1958">
        <v>7</v>
      </c>
      <c r="G102" s="1958" t="s">
        <v>1483</v>
      </c>
      <c r="H102" s="1958" t="s">
        <v>1983</v>
      </c>
      <c r="I102" s="1958" t="s">
        <v>188</v>
      </c>
      <c r="J102" s="1958" t="s">
        <v>1982</v>
      </c>
      <c r="N102" s="1958">
        <v>8134</v>
      </c>
      <c r="O102" s="1958">
        <v>0</v>
      </c>
      <c r="P102" s="1958">
        <v>0</v>
      </c>
      <c r="Q102" s="1958">
        <v>0</v>
      </c>
      <c r="R102" s="1958">
        <v>613916</v>
      </c>
      <c r="S102" s="1958">
        <v>0</v>
      </c>
      <c r="T102" s="1958">
        <f t="shared" si="3"/>
        <v>613916</v>
      </c>
    </row>
    <row r="103" spans="1:20">
      <c r="A103" s="1958" t="s">
        <v>877</v>
      </c>
      <c r="B103" s="1958">
        <v>187</v>
      </c>
      <c r="C103" s="1958">
        <v>2023</v>
      </c>
      <c r="D103" s="1958">
        <v>12</v>
      </c>
      <c r="E103" s="1958">
        <v>2</v>
      </c>
      <c r="F103" s="1958">
        <v>7</v>
      </c>
      <c r="G103" s="1958" t="s">
        <v>1481</v>
      </c>
      <c r="H103" s="1958" t="s">
        <v>1981</v>
      </c>
      <c r="I103" s="1958" t="s">
        <v>192</v>
      </c>
      <c r="J103" s="1958" t="s">
        <v>1977</v>
      </c>
      <c r="N103" s="1958">
        <v>8784</v>
      </c>
      <c r="O103" s="1958">
        <v>0</v>
      </c>
      <c r="P103" s="1958">
        <v>0</v>
      </c>
      <c r="Q103" s="1958">
        <v>0</v>
      </c>
      <c r="R103" s="1958">
        <v>313557</v>
      </c>
      <c r="T103" s="1958">
        <f t="shared" si="3"/>
        <v>313557</v>
      </c>
    </row>
    <row r="104" spans="1:20">
      <c r="A104" s="1958" t="s">
        <v>877</v>
      </c>
      <c r="B104" s="1958">
        <v>187</v>
      </c>
      <c r="C104" s="1958">
        <v>2023</v>
      </c>
      <c r="D104" s="1958">
        <v>12</v>
      </c>
      <c r="E104" s="1958">
        <v>3</v>
      </c>
      <c r="F104" s="1958">
        <v>7</v>
      </c>
      <c r="G104" s="1958" t="s">
        <v>1479</v>
      </c>
      <c r="H104" s="1958" t="s">
        <v>1717</v>
      </c>
      <c r="I104" s="1958" t="s">
        <v>190</v>
      </c>
      <c r="J104" s="1958" t="s">
        <v>1706</v>
      </c>
      <c r="N104" s="1958">
        <v>12461</v>
      </c>
      <c r="O104" s="1958">
        <v>0</v>
      </c>
      <c r="P104" s="1958">
        <v>0</v>
      </c>
      <c r="Q104" s="1958">
        <v>0</v>
      </c>
      <c r="R104" s="1958">
        <v>374845</v>
      </c>
      <c r="S104" s="1958">
        <v>0</v>
      </c>
      <c r="T104" s="1958">
        <f t="shared" si="3"/>
        <v>374845</v>
      </c>
    </row>
    <row r="105" spans="1:20">
      <c r="A105" s="1958" t="s">
        <v>877</v>
      </c>
      <c r="B105" s="1958">
        <v>187</v>
      </c>
      <c r="C105" s="1958">
        <v>2023</v>
      </c>
      <c r="D105" s="1958">
        <v>12</v>
      </c>
      <c r="E105" s="1958">
        <v>4</v>
      </c>
      <c r="F105" s="1958">
        <v>7</v>
      </c>
      <c r="G105" s="1958" t="s">
        <v>1477</v>
      </c>
      <c r="H105" s="1958" t="s">
        <v>1980</v>
      </c>
      <c r="I105" s="1958" t="s">
        <v>188</v>
      </c>
      <c r="J105" s="1958" t="s">
        <v>1979</v>
      </c>
      <c r="N105" s="1958">
        <v>6</v>
      </c>
      <c r="O105" s="1958">
        <v>0</v>
      </c>
      <c r="P105" s="1958">
        <v>0</v>
      </c>
      <c r="Q105" s="1958">
        <v>0</v>
      </c>
      <c r="R105" s="1958">
        <v>430</v>
      </c>
      <c r="S105" s="1958">
        <v>0</v>
      </c>
      <c r="T105" s="1958">
        <f t="shared" si="3"/>
        <v>430</v>
      </c>
    </row>
    <row r="106" spans="1:20">
      <c r="A106" s="1958" t="s">
        <v>877</v>
      </c>
      <c r="B106" s="1958">
        <v>187</v>
      </c>
      <c r="C106" s="1958">
        <v>2023</v>
      </c>
      <c r="D106" s="1958">
        <v>12</v>
      </c>
      <c r="E106" s="1958">
        <v>5</v>
      </c>
      <c r="F106" s="1958">
        <v>7</v>
      </c>
      <c r="G106" s="1958" t="s">
        <v>1475</v>
      </c>
      <c r="H106" s="1958" t="s">
        <v>1978</v>
      </c>
      <c r="I106" s="1958" t="s">
        <v>191</v>
      </c>
      <c r="J106" s="1958" t="s">
        <v>1977</v>
      </c>
      <c r="N106" s="1958">
        <v>2114</v>
      </c>
      <c r="O106" s="1958">
        <v>0</v>
      </c>
      <c r="P106" s="1958">
        <v>0</v>
      </c>
      <c r="Q106" s="1958">
        <v>0</v>
      </c>
      <c r="R106" s="1958">
        <v>91319</v>
      </c>
      <c r="S106" s="1958">
        <v>0</v>
      </c>
      <c r="T106" s="1958">
        <f t="shared" si="3"/>
        <v>91319</v>
      </c>
    </row>
    <row r="107" spans="1:20">
      <c r="A107" s="1958" t="s">
        <v>877</v>
      </c>
      <c r="B107" s="1958">
        <v>187</v>
      </c>
      <c r="C107" s="1958">
        <v>2023</v>
      </c>
      <c r="D107" s="1958">
        <v>12</v>
      </c>
      <c r="E107" s="1958">
        <v>6</v>
      </c>
      <c r="F107" s="1958">
        <v>7</v>
      </c>
      <c r="G107" s="1958" t="s">
        <v>1473</v>
      </c>
      <c r="H107" s="1958" t="s">
        <v>1713</v>
      </c>
      <c r="I107" s="1958" t="s">
        <v>190</v>
      </c>
      <c r="J107" s="1958" t="s">
        <v>1706</v>
      </c>
      <c r="N107" s="1958">
        <v>18717</v>
      </c>
      <c r="O107" s="1958">
        <v>0</v>
      </c>
      <c r="P107" s="1958">
        <v>0</v>
      </c>
      <c r="Q107" s="1958">
        <v>0</v>
      </c>
      <c r="R107" s="1958">
        <v>1276188</v>
      </c>
      <c r="S107" s="1958">
        <v>0</v>
      </c>
      <c r="T107" s="1958">
        <f t="shared" si="3"/>
        <v>1276188</v>
      </c>
    </row>
    <row r="108" spans="1:20">
      <c r="A108" s="1958" t="s">
        <v>877</v>
      </c>
      <c r="B108" s="1958">
        <v>187</v>
      </c>
      <c r="C108" s="1958">
        <v>2023</v>
      </c>
      <c r="D108" s="1958">
        <v>12</v>
      </c>
      <c r="E108" s="1958">
        <v>7</v>
      </c>
      <c r="F108" s="1958">
        <v>7</v>
      </c>
      <c r="G108" s="1958" t="s">
        <v>1471</v>
      </c>
      <c r="H108" s="1958" t="s">
        <v>1976</v>
      </c>
      <c r="I108" s="1958" t="s">
        <v>190</v>
      </c>
      <c r="J108" s="1958" t="s">
        <v>1706</v>
      </c>
      <c r="N108" s="1958">
        <v>23120</v>
      </c>
      <c r="O108" s="1958">
        <v>0</v>
      </c>
      <c r="P108" s="1958">
        <v>0</v>
      </c>
      <c r="Q108" s="1958">
        <v>0</v>
      </c>
      <c r="R108" s="1958">
        <v>1573266</v>
      </c>
      <c r="S108" s="1958">
        <v>0</v>
      </c>
      <c r="T108" s="1958">
        <f t="shared" si="3"/>
        <v>1573266</v>
      </c>
    </row>
    <row r="109" spans="1:20">
      <c r="A109" s="1958" t="s">
        <v>877</v>
      </c>
      <c r="B109" s="1958">
        <v>187</v>
      </c>
      <c r="C109" s="1958">
        <v>2023</v>
      </c>
      <c r="D109" s="1958">
        <v>12</v>
      </c>
      <c r="E109" s="1958">
        <v>8</v>
      </c>
      <c r="F109" s="1958">
        <v>7</v>
      </c>
      <c r="G109" s="1958" t="s">
        <v>1469</v>
      </c>
      <c r="H109" s="1958" t="s">
        <v>1975</v>
      </c>
      <c r="I109" s="1958" t="s">
        <v>190</v>
      </c>
      <c r="J109" s="1958" t="s">
        <v>1706</v>
      </c>
      <c r="N109" s="1958">
        <v>663</v>
      </c>
      <c r="O109" s="1958">
        <v>0</v>
      </c>
      <c r="P109" s="1958">
        <v>0</v>
      </c>
      <c r="Q109" s="1958">
        <v>0</v>
      </c>
      <c r="R109" s="1958">
        <v>29735</v>
      </c>
      <c r="S109" s="1958">
        <v>0</v>
      </c>
      <c r="T109" s="1958">
        <f t="shared" si="3"/>
        <v>29735</v>
      </c>
    </row>
    <row r="110" spans="1:20">
      <c r="A110" s="1958" t="s">
        <v>877</v>
      </c>
      <c r="B110" s="1958">
        <v>187</v>
      </c>
      <c r="C110" s="1958">
        <v>2023</v>
      </c>
      <c r="D110" s="1958">
        <v>12</v>
      </c>
      <c r="E110" s="1958">
        <v>9</v>
      </c>
      <c r="F110" s="1958">
        <v>7</v>
      </c>
      <c r="G110" s="1958" t="s">
        <v>1467</v>
      </c>
      <c r="H110" s="1958" t="s">
        <v>1974</v>
      </c>
      <c r="I110" s="1958" t="s">
        <v>190</v>
      </c>
      <c r="J110" s="1958" t="s">
        <v>1706</v>
      </c>
      <c r="N110" s="1958">
        <v>16212</v>
      </c>
      <c r="O110" s="1958">
        <v>0</v>
      </c>
      <c r="P110" s="1958">
        <v>0</v>
      </c>
      <c r="Q110" s="1958">
        <v>0</v>
      </c>
      <c r="R110" s="1958">
        <v>1578790</v>
      </c>
      <c r="S110" s="1958">
        <v>0</v>
      </c>
      <c r="T110" s="1958">
        <f t="shared" si="3"/>
        <v>1578790</v>
      </c>
    </row>
    <row r="111" spans="1:20">
      <c r="A111" s="1958" t="s">
        <v>877</v>
      </c>
      <c r="B111" s="1958">
        <v>187</v>
      </c>
      <c r="C111" s="1958">
        <v>2023</v>
      </c>
      <c r="D111" s="1958">
        <v>12</v>
      </c>
      <c r="E111" s="1958">
        <v>10</v>
      </c>
      <c r="F111" s="1958">
        <v>7</v>
      </c>
      <c r="G111" s="1958" t="s">
        <v>1465</v>
      </c>
      <c r="H111" s="1958" t="s">
        <v>1973</v>
      </c>
      <c r="I111" s="1958" t="s">
        <v>193</v>
      </c>
      <c r="J111" s="1958" t="s">
        <v>195</v>
      </c>
      <c r="N111" s="1958">
        <v>0</v>
      </c>
      <c r="O111" s="1958">
        <v>0</v>
      </c>
      <c r="P111" s="1958">
        <v>0</v>
      </c>
      <c r="Q111" s="1958">
        <v>0</v>
      </c>
      <c r="R111" s="1958">
        <v>0</v>
      </c>
      <c r="S111" s="1958">
        <v>2781158</v>
      </c>
      <c r="T111" s="1958">
        <f t="shared" si="3"/>
        <v>2781158</v>
      </c>
    </row>
    <row r="112" spans="1:20">
      <c r="A112" s="1958" t="s">
        <v>877</v>
      </c>
      <c r="B112" s="1958">
        <v>187</v>
      </c>
      <c r="C112" s="1958">
        <v>2023</v>
      </c>
      <c r="D112" s="1958">
        <v>12</v>
      </c>
      <c r="E112" s="1958">
        <v>11</v>
      </c>
      <c r="F112" s="1958">
        <v>7</v>
      </c>
      <c r="G112" s="1958" t="s">
        <v>1463</v>
      </c>
      <c r="H112" s="1958" t="s">
        <v>1972</v>
      </c>
      <c r="I112" s="1958" t="s">
        <v>193</v>
      </c>
      <c r="J112" s="1958" t="s">
        <v>1971</v>
      </c>
      <c r="N112" s="1958">
        <v>0</v>
      </c>
      <c r="O112" s="1958">
        <v>0</v>
      </c>
      <c r="P112" s="1958">
        <v>0</v>
      </c>
      <c r="Q112" s="1958">
        <v>0</v>
      </c>
      <c r="R112" s="1958">
        <v>0</v>
      </c>
      <c r="S112" s="1958">
        <v>1173595</v>
      </c>
      <c r="T112" s="1958">
        <f t="shared" si="3"/>
        <v>1173595</v>
      </c>
    </row>
    <row r="113" spans="1:20">
      <c r="A113" s="1958" t="s">
        <v>877</v>
      </c>
      <c r="B113" s="1958">
        <v>187</v>
      </c>
      <c r="C113" s="1958">
        <v>2023</v>
      </c>
      <c r="D113" s="1958">
        <v>12</v>
      </c>
      <c r="E113" s="1958">
        <v>12</v>
      </c>
      <c r="F113" s="1958">
        <v>7</v>
      </c>
      <c r="G113" s="1958" t="s">
        <v>1461</v>
      </c>
      <c r="H113" s="1958" t="s">
        <v>1970</v>
      </c>
      <c r="I113" s="1958" t="s">
        <v>194</v>
      </c>
      <c r="N113" s="1958">
        <v>0</v>
      </c>
      <c r="O113" s="1958">
        <v>1852</v>
      </c>
      <c r="P113" s="1958">
        <v>0</v>
      </c>
      <c r="Q113" s="1958">
        <v>0</v>
      </c>
      <c r="R113" s="1958">
        <v>0</v>
      </c>
      <c r="S113" s="1958">
        <v>0</v>
      </c>
      <c r="T113" s="1958">
        <f t="shared" si="3"/>
        <v>0</v>
      </c>
    </row>
    <row r="114" spans="1:20">
      <c r="A114" s="1958" t="s">
        <v>877</v>
      </c>
      <c r="B114" s="1958">
        <v>187</v>
      </c>
      <c r="C114" s="1958">
        <v>2023</v>
      </c>
      <c r="D114" s="1958">
        <v>12</v>
      </c>
      <c r="E114" s="1958">
        <v>13</v>
      </c>
      <c r="F114" s="1958">
        <v>7</v>
      </c>
      <c r="G114" s="1958" t="s">
        <v>1459</v>
      </c>
      <c r="H114" s="1958" t="s">
        <v>1969</v>
      </c>
      <c r="I114" s="1958" t="s">
        <v>193</v>
      </c>
      <c r="J114" s="1958" t="s">
        <v>1706</v>
      </c>
      <c r="N114" s="1958">
        <v>0</v>
      </c>
      <c r="O114" s="1958">
        <v>0</v>
      </c>
      <c r="P114" s="1958">
        <v>0</v>
      </c>
      <c r="Q114" s="1958">
        <v>0</v>
      </c>
      <c r="R114" s="1958">
        <v>0</v>
      </c>
      <c r="S114" s="1958">
        <v>25255222</v>
      </c>
      <c r="T114" s="1958">
        <f t="shared" si="3"/>
        <v>25255222</v>
      </c>
    </row>
    <row r="115" spans="1:20">
      <c r="A115" s="1958" t="s">
        <v>877</v>
      </c>
      <c r="B115" s="1958">
        <v>187</v>
      </c>
      <c r="C115" s="1958">
        <v>2023</v>
      </c>
      <c r="D115" s="1958">
        <v>12</v>
      </c>
      <c r="E115" s="1958">
        <v>14</v>
      </c>
      <c r="F115" s="1958">
        <v>7</v>
      </c>
      <c r="G115" s="1958" t="s">
        <v>1457</v>
      </c>
      <c r="H115" s="1958" t="s">
        <v>197</v>
      </c>
      <c r="J115" s="1958" t="s">
        <v>728</v>
      </c>
      <c r="K115" s="1958" t="s">
        <v>728</v>
      </c>
      <c r="L115" s="1958" t="s">
        <v>728</v>
      </c>
      <c r="M115" s="1958" t="s">
        <v>728</v>
      </c>
      <c r="N115" s="1979">
        <f t="shared" ref="N115:T115" si="4">SUM(N2:N114)</f>
        <v>5601050</v>
      </c>
      <c r="O115" s="1979">
        <f t="shared" si="4"/>
        <v>11825</v>
      </c>
      <c r="P115" s="1979">
        <f t="shared" si="4"/>
        <v>421689</v>
      </c>
      <c r="Q115" s="1979">
        <f t="shared" si="4"/>
        <v>53160136</v>
      </c>
      <c r="R115" s="1979">
        <f t="shared" si="4"/>
        <v>130295285</v>
      </c>
      <c r="S115" s="1979">
        <f t="shared" si="4"/>
        <v>32972294</v>
      </c>
      <c r="T115" s="1979">
        <f t="shared" si="4"/>
        <v>216427715</v>
      </c>
    </row>
  </sheetData>
  <autoFilter ref="A1:T115" xr:uid="{00000000-0009-0000-0000-000041000000}"/>
  <pageMargins left="0.75" right="0.75" top="1" bottom="1" header="0.5" footer="0.5"/>
  <pageSetup orientation="portrait" r:id="rId1"/>
  <customProperties>
    <customPr name="xxe4aPID" r:id="rId2"/>
  </customPropertie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49A82-8A73-46BD-B7BD-58F4CF2D692A}">
  <sheetPr codeName="Sheet67">
    <tabColor rgb="FF92D050"/>
  </sheetPr>
  <dimension ref="A2:C38"/>
  <sheetViews>
    <sheetView topLeftCell="A3" workbookViewId="0">
      <selection activeCell="D400" sqref="D400"/>
    </sheetView>
  </sheetViews>
  <sheetFormatPr defaultColWidth="9" defaultRowHeight="12.75"/>
  <cols>
    <col min="1" max="1" width="10.625" style="1980" bestFit="1" customWidth="1"/>
    <col min="2" max="2" width="16" style="1980" bestFit="1" customWidth="1"/>
    <col min="3" max="3" width="17.375" style="1980" bestFit="1" customWidth="1"/>
    <col min="4" max="16384" width="9" style="1980"/>
  </cols>
  <sheetData>
    <row r="2" spans="1:3">
      <c r="A2" s="1980">
        <v>2023</v>
      </c>
    </row>
    <row r="3" spans="1:3">
      <c r="A3" s="1981" t="s">
        <v>1782</v>
      </c>
      <c r="B3" s="1980" t="s">
        <v>2081</v>
      </c>
      <c r="C3" s="1980" t="s">
        <v>2080</v>
      </c>
    </row>
    <row r="4" spans="1:3">
      <c r="A4" s="1980" t="s">
        <v>194</v>
      </c>
      <c r="B4" s="1980">
        <v>94328</v>
      </c>
      <c r="C4" s="1980">
        <v>0</v>
      </c>
    </row>
    <row r="5" spans="1:3">
      <c r="A5" s="1980" t="s">
        <v>189</v>
      </c>
      <c r="B5" s="1980">
        <v>1616351</v>
      </c>
      <c r="C5" s="1980">
        <v>798653</v>
      </c>
    </row>
    <row r="6" spans="1:3">
      <c r="A6" s="1980" t="s">
        <v>192</v>
      </c>
      <c r="B6" s="1980">
        <v>34695656</v>
      </c>
      <c r="C6" s="1980">
        <v>962969</v>
      </c>
    </row>
    <row r="7" spans="1:3">
      <c r="A7" s="1980" t="s">
        <v>188</v>
      </c>
      <c r="B7" s="1980">
        <v>1210852</v>
      </c>
      <c r="C7" s="1980">
        <v>19124</v>
      </c>
    </row>
    <row r="8" spans="1:3">
      <c r="A8" s="1980" t="s">
        <v>191</v>
      </c>
      <c r="B8" s="1980">
        <v>100965410</v>
      </c>
      <c r="C8" s="1980">
        <v>3145933</v>
      </c>
    </row>
    <row r="9" spans="1:3">
      <c r="A9" s="1980" t="s">
        <v>193</v>
      </c>
      <c r="B9" s="1980">
        <v>32877966</v>
      </c>
      <c r="C9" s="1980">
        <v>0</v>
      </c>
    </row>
    <row r="10" spans="1:3">
      <c r="A10" s="1980" t="s">
        <v>187</v>
      </c>
      <c r="B10" s="1980">
        <v>10565</v>
      </c>
      <c r="C10" s="1980">
        <v>155</v>
      </c>
    </row>
    <row r="11" spans="1:3">
      <c r="A11" s="1980" t="s">
        <v>190</v>
      </c>
      <c r="B11" s="1980">
        <v>44956587</v>
      </c>
      <c r="C11" s="1980">
        <v>674216</v>
      </c>
    </row>
    <row r="12" spans="1:3">
      <c r="A12" s="1980" t="s">
        <v>2079</v>
      </c>
      <c r="B12" s="1980">
        <v>216427715</v>
      </c>
      <c r="C12" s="1980">
        <v>5601050</v>
      </c>
    </row>
    <row r="13" spans="1:3">
      <c r="A13" s="1980" t="s">
        <v>1779</v>
      </c>
      <c r="B13" s="1980">
        <v>432855430</v>
      </c>
      <c r="C13" s="1980">
        <v>11202100</v>
      </c>
    </row>
    <row r="16" spans="1:3" ht="15.75">
      <c r="A16">
        <v>2022</v>
      </c>
      <c r="B16" s="2132"/>
      <c r="C16" s="2088"/>
    </row>
    <row r="17" spans="1:3" ht="15.75">
      <c r="A17" s="2202" t="s">
        <v>1782</v>
      </c>
      <c r="B17" s="2205" t="s">
        <v>3219</v>
      </c>
      <c r="C17" s="2088" t="s">
        <v>3220</v>
      </c>
    </row>
    <row r="18" spans="1:3" ht="15.75">
      <c r="A18" s="623" t="s">
        <v>194</v>
      </c>
      <c r="B18" s="2132">
        <v>-36518.049999999974</v>
      </c>
      <c r="C18" s="2088"/>
    </row>
    <row r="19" spans="1:3" ht="15.75">
      <c r="A19" s="623" t="s">
        <v>189</v>
      </c>
      <c r="B19" s="2132">
        <v>256537.12</v>
      </c>
      <c r="C19" s="2088">
        <v>599579</v>
      </c>
    </row>
    <row r="20" spans="1:3" ht="15.75">
      <c r="A20" s="623" t="s">
        <v>192</v>
      </c>
      <c r="B20" s="2132">
        <v>33673883.960000001</v>
      </c>
      <c r="C20" s="2088">
        <v>1070655</v>
      </c>
    </row>
    <row r="21" spans="1:3" ht="15.75">
      <c r="A21" s="623" t="s">
        <v>188</v>
      </c>
      <c r="B21" s="2132">
        <v>1585286.2000000002</v>
      </c>
      <c r="C21" s="2088">
        <v>25517</v>
      </c>
    </row>
    <row r="22" spans="1:3" ht="15.75">
      <c r="A22" s="623" t="s">
        <v>191</v>
      </c>
      <c r="B22" s="2132">
        <v>83637886.520000011</v>
      </c>
      <c r="C22" s="2088">
        <v>3239955</v>
      </c>
    </row>
    <row r="23" spans="1:3" ht="15.75">
      <c r="A23" s="623" t="s">
        <v>193</v>
      </c>
      <c r="B23" s="2132">
        <v>12929955.17</v>
      </c>
      <c r="C23" s="2088"/>
    </row>
    <row r="24" spans="1:3" ht="15.75">
      <c r="A24" s="623" t="s">
        <v>187</v>
      </c>
      <c r="B24" s="2132">
        <v>16435.89</v>
      </c>
      <c r="C24" s="2088">
        <v>228</v>
      </c>
    </row>
    <row r="25" spans="1:3" ht="15.75">
      <c r="A25" s="623" t="s">
        <v>190</v>
      </c>
      <c r="B25" s="2132">
        <v>59601716.640000001</v>
      </c>
      <c r="C25" s="2088">
        <v>612892</v>
      </c>
    </row>
    <row r="26" spans="1:3" ht="15.75">
      <c r="A26" s="623" t="s">
        <v>1779</v>
      </c>
      <c r="B26" s="2132">
        <v>191665183.45000002</v>
      </c>
      <c r="C26" s="2088">
        <v>5548826</v>
      </c>
    </row>
    <row r="28" spans="1:3" ht="15.75">
      <c r="A28">
        <v>2021</v>
      </c>
      <c r="B28" s="2132"/>
      <c r="C28" s="2088"/>
    </row>
    <row r="29" spans="1:3" ht="15.75">
      <c r="A29" s="2202" t="s">
        <v>1782</v>
      </c>
      <c r="B29" s="2205" t="s">
        <v>3219</v>
      </c>
      <c r="C29" s="2088" t="s">
        <v>3220</v>
      </c>
    </row>
    <row r="30" spans="1:3" ht="15.75">
      <c r="A30" s="623" t="s">
        <v>194</v>
      </c>
      <c r="B30" s="2132">
        <v>-58028</v>
      </c>
      <c r="C30" s="2088"/>
    </row>
    <row r="31" spans="1:3" ht="15.75">
      <c r="A31" s="623" t="s">
        <v>189</v>
      </c>
      <c r="B31" s="2132">
        <v>211030</v>
      </c>
      <c r="C31" s="2088">
        <v>4475</v>
      </c>
    </row>
    <row r="32" spans="1:3" ht="15.75">
      <c r="A32" s="623" t="s">
        <v>192</v>
      </c>
      <c r="B32" s="2132">
        <v>34384845</v>
      </c>
      <c r="C32" s="2088">
        <v>1047686</v>
      </c>
    </row>
    <row r="33" spans="1:3" ht="15.75">
      <c r="A33" s="623" t="s">
        <v>188</v>
      </c>
      <c r="B33" s="2132">
        <v>1828714</v>
      </c>
      <c r="C33" s="2088">
        <v>46243</v>
      </c>
    </row>
    <row r="34" spans="1:3" ht="15.75">
      <c r="A34" s="623" t="s">
        <v>191</v>
      </c>
      <c r="B34" s="2132">
        <v>81609010</v>
      </c>
      <c r="C34" s="2088">
        <v>3443505</v>
      </c>
    </row>
    <row r="35" spans="1:3" ht="15.75">
      <c r="A35" s="623" t="s">
        <v>193</v>
      </c>
      <c r="B35" s="2132">
        <v>-907321</v>
      </c>
      <c r="C35" s="2088"/>
    </row>
    <row r="36" spans="1:3" ht="15.75">
      <c r="A36" s="623" t="s">
        <v>187</v>
      </c>
      <c r="B36" s="2132">
        <v>28323</v>
      </c>
      <c r="C36" s="2088">
        <v>353</v>
      </c>
    </row>
    <row r="37" spans="1:3" ht="15.75">
      <c r="A37" s="623" t="s">
        <v>190</v>
      </c>
      <c r="B37" s="2132">
        <v>39304466</v>
      </c>
      <c r="C37" s="2088">
        <v>894917</v>
      </c>
    </row>
    <row r="38" spans="1:3" ht="15.75">
      <c r="A38" s="623" t="s">
        <v>1779</v>
      </c>
      <c r="B38" s="2132">
        <v>156401039</v>
      </c>
      <c r="C38" s="2088">
        <v>5437179</v>
      </c>
    </row>
  </sheetData>
  <pageMargins left="0.7" right="0.7" top="0.75" bottom="0.75" header="0.3" footer="0.3"/>
  <customProperties>
    <customPr name="xxe4aPID" r:id="rId4"/>
  </customPropertie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F24BB-6362-4A05-A308-56D9B6A11B87}">
  <sheetPr codeName="Sheet68">
    <tabColor rgb="FF92D050"/>
  </sheetPr>
  <dimension ref="A1:U2"/>
  <sheetViews>
    <sheetView workbookViewId="0">
      <selection activeCell="D400" sqref="D400"/>
    </sheetView>
  </sheetViews>
  <sheetFormatPr defaultColWidth="9" defaultRowHeight="12.75"/>
  <cols>
    <col min="1" max="16384" width="9" style="1958"/>
  </cols>
  <sheetData>
    <row r="1" spans="1:21">
      <c r="A1" s="1958" t="s">
        <v>984</v>
      </c>
      <c r="B1" s="1958" t="s">
        <v>983</v>
      </c>
      <c r="C1" s="1958" t="s">
        <v>982</v>
      </c>
      <c r="D1" s="1958" t="s">
        <v>981</v>
      </c>
      <c r="E1" s="1958" t="s">
        <v>1199</v>
      </c>
      <c r="F1" s="1958" t="s">
        <v>1705</v>
      </c>
      <c r="G1" s="1958" t="s">
        <v>979</v>
      </c>
      <c r="H1" s="1958" t="s">
        <v>980</v>
      </c>
      <c r="I1" s="1958" t="s">
        <v>2078</v>
      </c>
      <c r="J1" s="1958" t="s">
        <v>1777</v>
      </c>
      <c r="K1" s="1958" t="s">
        <v>2077</v>
      </c>
      <c r="L1" s="1958" t="s">
        <v>2076</v>
      </c>
      <c r="M1" s="1958" t="s">
        <v>2075</v>
      </c>
      <c r="N1" s="1958" t="s">
        <v>2074</v>
      </c>
      <c r="O1" s="1958" t="s">
        <v>2073</v>
      </c>
      <c r="P1" s="1958" t="s">
        <v>2072</v>
      </c>
      <c r="Q1" s="1958" t="s">
        <v>2071</v>
      </c>
      <c r="R1" s="1958" t="s">
        <v>2070</v>
      </c>
      <c r="S1" s="1958" t="s">
        <v>2069</v>
      </c>
      <c r="T1" s="1958" t="s">
        <v>2068</v>
      </c>
      <c r="U1" s="1958" t="s">
        <v>2067</v>
      </c>
    </row>
    <row r="2" spans="1:21">
      <c r="A2" s="1958" t="s">
        <v>877</v>
      </c>
      <c r="B2" s="1958">
        <v>187</v>
      </c>
      <c r="C2" s="1958">
        <v>2023</v>
      </c>
      <c r="D2" s="1958">
        <v>12</v>
      </c>
      <c r="E2" s="1958">
        <v>187</v>
      </c>
      <c r="F2" s="1958">
        <v>2023</v>
      </c>
      <c r="G2" s="1958">
        <v>0</v>
      </c>
      <c r="H2" s="1958">
        <v>15</v>
      </c>
      <c r="I2" s="1958" t="s">
        <v>104</v>
      </c>
      <c r="J2" s="1958" t="s">
        <v>728</v>
      </c>
      <c r="K2" s="1958" t="s">
        <v>728</v>
      </c>
      <c r="L2" s="1958" t="s">
        <v>728</v>
      </c>
      <c r="M2" s="1958" t="s">
        <v>728</v>
      </c>
      <c r="N2" s="1958" t="s">
        <v>728</v>
      </c>
      <c r="O2" s="1958">
        <v>0</v>
      </c>
      <c r="P2" s="1958">
        <v>0</v>
      </c>
      <c r="Q2" s="1958">
        <v>0</v>
      </c>
      <c r="R2" s="1958">
        <v>0</v>
      </c>
      <c r="S2" s="1958">
        <v>0</v>
      </c>
      <c r="T2" s="1958">
        <v>0</v>
      </c>
      <c r="U2" s="1958">
        <v>0</v>
      </c>
    </row>
  </sheetData>
  <pageMargins left="0.75" right="0.75" top="1" bottom="1" header="0.5" footer="0.5"/>
  <pageSetup orientation="portrait" r:id="rId1"/>
  <customProperties>
    <customPr name="xxe4aPID" r:id="rId2"/>
  </customPropertie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5099E-8619-4187-B379-F2E30A04244B}">
  <sheetPr codeName="Sheet64">
    <tabColor rgb="FF92D050"/>
  </sheetPr>
  <dimension ref="A1:G14"/>
  <sheetViews>
    <sheetView workbookViewId="0">
      <selection activeCell="D400" sqref="D400"/>
    </sheetView>
  </sheetViews>
  <sheetFormatPr defaultColWidth="8.375" defaultRowHeight="15.75"/>
  <cols>
    <col min="1" max="1" width="8.375" style="2115"/>
    <col min="2" max="2" width="40.5" style="2115" bestFit="1" customWidth="1"/>
    <col min="3" max="3" width="35" style="2115" bestFit="1" customWidth="1"/>
    <col min="4" max="4" width="8.375" style="2115"/>
    <col min="5" max="5" width="10.125" style="2115" customWidth="1"/>
    <col min="6" max="6" width="8.375" style="2115"/>
    <col min="7" max="7" width="10.375" style="2115" bestFit="1" customWidth="1"/>
    <col min="8" max="16384" width="8.375" style="2115"/>
  </cols>
  <sheetData>
    <row r="1" spans="1:7">
      <c r="A1" s="2115" t="s">
        <v>2957</v>
      </c>
      <c r="B1" s="2115" t="s">
        <v>2956</v>
      </c>
      <c r="C1" s="2115" t="s">
        <v>2955</v>
      </c>
      <c r="D1" s="2115" t="s">
        <v>2954</v>
      </c>
      <c r="E1" s="2115" t="s">
        <v>2953</v>
      </c>
      <c r="F1" s="2115" t="s">
        <v>2952</v>
      </c>
      <c r="G1" s="2115" t="s">
        <v>2951</v>
      </c>
    </row>
    <row r="2" spans="1:7">
      <c r="A2" s="2115">
        <v>1</v>
      </c>
      <c r="B2" s="2115" t="s">
        <v>1786</v>
      </c>
      <c r="E2" s="2115">
        <v>9850589</v>
      </c>
      <c r="G2" s="2115">
        <v>9850589</v>
      </c>
    </row>
    <row r="3" spans="1:7">
      <c r="A3" s="2115">
        <v>2</v>
      </c>
      <c r="B3" s="2115" t="s">
        <v>88</v>
      </c>
      <c r="C3" s="2115">
        <v>17056563</v>
      </c>
      <c r="G3" s="2115">
        <v>17056563</v>
      </c>
    </row>
    <row r="4" spans="1:7">
      <c r="A4" s="2115">
        <v>3</v>
      </c>
      <c r="B4" s="2115" t="s">
        <v>89</v>
      </c>
    </row>
    <row r="5" spans="1:7">
      <c r="A5" s="2115">
        <v>4</v>
      </c>
      <c r="B5" s="2115" t="s">
        <v>1785</v>
      </c>
      <c r="C5" s="2115">
        <v>16632247</v>
      </c>
      <c r="G5" s="2115">
        <v>16632247</v>
      </c>
    </row>
    <row r="6" spans="1:7">
      <c r="A6" s="2115">
        <v>5</v>
      </c>
      <c r="B6" s="2115" t="s">
        <v>1784</v>
      </c>
    </row>
    <row r="7" spans="1:7">
      <c r="A7" s="2115">
        <v>6</v>
      </c>
      <c r="B7" s="2115" t="s">
        <v>137</v>
      </c>
      <c r="C7" s="2115">
        <v>11041726</v>
      </c>
      <c r="G7" s="2115">
        <v>11041726</v>
      </c>
    </row>
    <row r="8" spans="1:7">
      <c r="A8" s="2115">
        <v>7</v>
      </c>
      <c r="B8" s="2115" t="s">
        <v>530</v>
      </c>
      <c r="C8" s="2115">
        <v>21064671</v>
      </c>
      <c r="G8" s="2115">
        <v>21064671</v>
      </c>
    </row>
    <row r="9" spans="1:7">
      <c r="A9" s="2115">
        <v>8</v>
      </c>
      <c r="B9" s="2115" t="s">
        <v>474</v>
      </c>
      <c r="C9" s="2115">
        <v>60509580</v>
      </c>
      <c r="G9" s="2115">
        <v>60509580</v>
      </c>
    </row>
    <row r="10" spans="1:7">
      <c r="A10" s="2115">
        <v>9</v>
      </c>
      <c r="B10" s="2115" t="s">
        <v>1335</v>
      </c>
    </row>
    <row r="11" spans="1:7">
      <c r="A11" s="2115">
        <v>10</v>
      </c>
      <c r="B11" s="2115" t="s">
        <v>92</v>
      </c>
      <c r="C11" s="2115">
        <v>4750023</v>
      </c>
      <c r="E11" s="2115">
        <v>422432</v>
      </c>
      <c r="G11" s="2115">
        <v>5172455</v>
      </c>
    </row>
    <row r="12" spans="1:7">
      <c r="A12" s="2115">
        <v>11</v>
      </c>
      <c r="B12" s="2115" t="s">
        <v>1783</v>
      </c>
      <c r="C12" s="2115">
        <v>18217879</v>
      </c>
      <c r="E12" s="2115">
        <v>36465620</v>
      </c>
      <c r="G12" s="2115">
        <v>54683499</v>
      </c>
    </row>
    <row r="13" spans="1:7">
      <c r="A13" s="2115">
        <v>12</v>
      </c>
      <c r="B13" s="2115" t="s">
        <v>197</v>
      </c>
      <c r="C13" s="2115">
        <v>149272689</v>
      </c>
      <c r="E13" s="2115">
        <v>46738641</v>
      </c>
      <c r="G13" s="2115">
        <v>196011330</v>
      </c>
    </row>
    <row r="14" spans="1:7">
      <c r="A14" s="2115">
        <v>13</v>
      </c>
    </row>
  </sheetData>
  <pageMargins left="0.7" right="0.7" top="0.75" bottom="0.75" header="0.3" footer="0.3"/>
  <customProperties>
    <customPr name="xxe4aPID" r:id="rId1"/>
  </customPropertie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FACCA-4362-4125-A8F2-7BEF0525482C}">
  <sheetPr codeName="Sheet71">
    <tabColor rgb="FF92D050"/>
  </sheetPr>
  <dimension ref="A1:K97"/>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52.125" style="1958" bestFit="1" customWidth="1"/>
    <col min="8" max="8" width="35.125" style="1958" bestFit="1" customWidth="1"/>
    <col min="9" max="9" width="12.375" style="1958" bestFit="1" customWidth="1"/>
    <col min="10" max="10" width="12.25" style="1958" bestFit="1" customWidth="1"/>
    <col min="11" max="11" width="8.875" style="1958" bestFit="1" customWidth="1"/>
    <col min="12" max="16384" width="9" style="1958"/>
  </cols>
  <sheetData>
    <row r="1" spans="1:11">
      <c r="A1" s="1958" t="s">
        <v>984</v>
      </c>
      <c r="B1" s="1958" t="s">
        <v>983</v>
      </c>
      <c r="C1" s="1958" t="s">
        <v>982</v>
      </c>
      <c r="D1" s="1958" t="s">
        <v>981</v>
      </c>
      <c r="E1" s="1958" t="s">
        <v>980</v>
      </c>
      <c r="F1" s="1958" t="s">
        <v>979</v>
      </c>
      <c r="G1" s="1958" t="s">
        <v>1159</v>
      </c>
      <c r="H1" s="1958" t="s">
        <v>2138</v>
      </c>
      <c r="I1" s="1958" t="s">
        <v>2137</v>
      </c>
      <c r="J1" s="1958" t="s">
        <v>2136</v>
      </c>
      <c r="K1" s="1958" t="s">
        <v>1787</v>
      </c>
    </row>
    <row r="2" spans="1:11">
      <c r="A2" s="1958" t="s">
        <v>877</v>
      </c>
      <c r="B2" s="1958">
        <v>187</v>
      </c>
      <c r="C2" s="1958">
        <v>2023</v>
      </c>
      <c r="D2" s="1958">
        <v>12</v>
      </c>
      <c r="E2" s="1958">
        <v>1</v>
      </c>
      <c r="F2" s="1958">
        <v>0</v>
      </c>
      <c r="G2" s="1958" t="s">
        <v>515</v>
      </c>
      <c r="H2" s="1958" t="s">
        <v>728</v>
      </c>
      <c r="I2" s="1958">
        <v>0</v>
      </c>
      <c r="J2" s="1958">
        <v>0</v>
      </c>
      <c r="K2" s="1958">
        <f t="shared" ref="K2:K33" si="0">SUM(I2:J2)</f>
        <v>0</v>
      </c>
    </row>
    <row r="3" spans="1:11">
      <c r="A3" s="1958" t="s">
        <v>877</v>
      </c>
      <c r="B3" s="1958">
        <v>187</v>
      </c>
      <c r="C3" s="1958">
        <v>2023</v>
      </c>
      <c r="D3" s="1958">
        <v>12</v>
      </c>
      <c r="E3" s="1958">
        <v>2</v>
      </c>
      <c r="F3" s="1958">
        <v>0</v>
      </c>
      <c r="G3" s="1958" t="s">
        <v>441</v>
      </c>
      <c r="H3" s="1958" t="s">
        <v>728</v>
      </c>
      <c r="I3" s="1958">
        <v>0</v>
      </c>
      <c r="J3" s="1958">
        <v>0</v>
      </c>
      <c r="K3" s="1958">
        <f t="shared" si="0"/>
        <v>0</v>
      </c>
    </row>
    <row r="4" spans="1:11">
      <c r="A4" s="1958" t="s">
        <v>877</v>
      </c>
      <c r="B4" s="1958">
        <v>187</v>
      </c>
      <c r="C4" s="1958">
        <v>2023</v>
      </c>
      <c r="D4" s="1958">
        <v>12</v>
      </c>
      <c r="E4" s="1958">
        <v>3</v>
      </c>
      <c r="F4" s="1958">
        <v>0</v>
      </c>
      <c r="G4" s="1958" t="s">
        <v>105</v>
      </c>
      <c r="H4" s="1958" t="s">
        <v>728</v>
      </c>
      <c r="I4" s="1958">
        <v>15180372</v>
      </c>
      <c r="J4" s="1958">
        <v>0</v>
      </c>
      <c r="K4" s="1958">
        <f t="shared" si="0"/>
        <v>15180372</v>
      </c>
    </row>
    <row r="5" spans="1:11">
      <c r="A5" s="1958" t="s">
        <v>877</v>
      </c>
      <c r="B5" s="1958">
        <v>187</v>
      </c>
      <c r="C5" s="1958">
        <v>2023</v>
      </c>
      <c r="D5" s="1958">
        <v>12</v>
      </c>
      <c r="E5" s="1958">
        <v>4</v>
      </c>
      <c r="F5" s="1958">
        <v>0</v>
      </c>
      <c r="G5" s="1958" t="s">
        <v>106</v>
      </c>
      <c r="H5" s="1958" t="s">
        <v>728</v>
      </c>
      <c r="I5" s="1958">
        <v>5610502</v>
      </c>
      <c r="J5" s="1958">
        <v>0</v>
      </c>
      <c r="K5" s="1958">
        <f t="shared" si="0"/>
        <v>5610502</v>
      </c>
    </row>
    <row r="6" spans="1:11">
      <c r="A6" s="1958" t="s">
        <v>877</v>
      </c>
      <c r="B6" s="1958">
        <v>187</v>
      </c>
      <c r="C6" s="1958">
        <v>2023</v>
      </c>
      <c r="D6" s="1958">
        <v>12</v>
      </c>
      <c r="E6" s="1958">
        <v>5</v>
      </c>
      <c r="F6" s="1958">
        <v>0</v>
      </c>
      <c r="G6" s="1958" t="s">
        <v>2134</v>
      </c>
      <c r="H6" s="1958" t="s">
        <v>728</v>
      </c>
      <c r="I6" s="1958">
        <v>0</v>
      </c>
      <c r="J6" s="1958">
        <v>0</v>
      </c>
      <c r="K6" s="1958">
        <f t="shared" si="0"/>
        <v>0</v>
      </c>
    </row>
    <row r="7" spans="1:11">
      <c r="A7" s="1958" t="s">
        <v>877</v>
      </c>
      <c r="B7" s="1958">
        <v>187</v>
      </c>
      <c r="C7" s="1958">
        <v>2023</v>
      </c>
      <c r="D7" s="1958">
        <v>12</v>
      </c>
      <c r="E7" s="1958">
        <v>6</v>
      </c>
      <c r="F7" s="1958">
        <v>0</v>
      </c>
      <c r="G7" s="1958" t="s">
        <v>516</v>
      </c>
      <c r="H7" s="1958" t="s">
        <v>728</v>
      </c>
      <c r="I7" s="1958">
        <v>12299941</v>
      </c>
      <c r="J7" s="1958">
        <v>0</v>
      </c>
      <c r="K7" s="1958">
        <f t="shared" si="0"/>
        <v>12299941</v>
      </c>
    </row>
    <row r="8" spans="1:11">
      <c r="A8" s="1958" t="s">
        <v>877</v>
      </c>
      <c r="B8" s="1958">
        <v>187</v>
      </c>
      <c r="C8" s="1958">
        <v>2023</v>
      </c>
      <c r="D8" s="1958">
        <v>12</v>
      </c>
      <c r="E8" s="1958">
        <v>7</v>
      </c>
      <c r="F8" s="1958">
        <v>0</v>
      </c>
      <c r="G8" s="1958" t="s">
        <v>517</v>
      </c>
      <c r="H8" s="1958" t="s">
        <v>728</v>
      </c>
      <c r="I8" s="1958">
        <v>6507117</v>
      </c>
      <c r="J8" s="1958">
        <v>0</v>
      </c>
      <c r="K8" s="1958">
        <f t="shared" si="0"/>
        <v>6507117</v>
      </c>
    </row>
    <row r="9" spans="1:11">
      <c r="A9" s="1958" t="s">
        <v>877</v>
      </c>
      <c r="B9" s="1958">
        <v>187</v>
      </c>
      <c r="C9" s="1958">
        <v>2023</v>
      </c>
      <c r="D9" s="1958">
        <v>12</v>
      </c>
      <c r="E9" s="1958">
        <v>8</v>
      </c>
      <c r="F9" s="1958">
        <v>0</v>
      </c>
      <c r="G9" s="1958" t="s">
        <v>518</v>
      </c>
      <c r="H9" s="1958" t="s">
        <v>728</v>
      </c>
      <c r="I9" s="1958">
        <v>422600</v>
      </c>
      <c r="J9" s="1958">
        <v>0</v>
      </c>
      <c r="K9" s="1958">
        <f t="shared" si="0"/>
        <v>422600</v>
      </c>
    </row>
    <row r="10" spans="1:11">
      <c r="A10" s="1958" t="s">
        <v>877</v>
      </c>
      <c r="B10" s="1958">
        <v>187</v>
      </c>
      <c r="C10" s="1958">
        <v>2023</v>
      </c>
      <c r="D10" s="1958">
        <v>12</v>
      </c>
      <c r="E10" s="1958">
        <v>9</v>
      </c>
      <c r="F10" s="1958">
        <v>0</v>
      </c>
      <c r="G10" s="1958" t="s">
        <v>519</v>
      </c>
      <c r="H10" s="1958" t="s">
        <v>728</v>
      </c>
      <c r="I10" s="1958">
        <v>0</v>
      </c>
      <c r="J10" s="1958">
        <v>0</v>
      </c>
      <c r="K10" s="1958">
        <f t="shared" si="0"/>
        <v>0</v>
      </c>
    </row>
    <row r="11" spans="1:11">
      <c r="A11" s="1958" t="s">
        <v>877</v>
      </c>
      <c r="B11" s="1958">
        <v>187</v>
      </c>
      <c r="C11" s="1958">
        <v>2023</v>
      </c>
      <c r="D11" s="1958">
        <v>12</v>
      </c>
      <c r="E11" s="1958">
        <v>10</v>
      </c>
      <c r="F11" s="1958">
        <v>0</v>
      </c>
      <c r="G11" s="1958" t="s">
        <v>520</v>
      </c>
      <c r="H11" s="1958" t="s">
        <v>728</v>
      </c>
      <c r="I11" s="1958">
        <v>29427473</v>
      </c>
      <c r="J11" s="1958">
        <v>0</v>
      </c>
      <c r="K11" s="1958">
        <f t="shared" si="0"/>
        <v>29427473</v>
      </c>
    </row>
    <row r="12" spans="1:11">
      <c r="A12" s="1958" t="s">
        <v>877</v>
      </c>
      <c r="B12" s="1958">
        <v>187</v>
      </c>
      <c r="C12" s="1958">
        <v>2023</v>
      </c>
      <c r="D12" s="1958">
        <v>12</v>
      </c>
      <c r="E12" s="1958">
        <v>11</v>
      </c>
      <c r="F12" s="1958">
        <v>0</v>
      </c>
      <c r="G12" s="1958" t="s">
        <v>2135</v>
      </c>
      <c r="H12" s="1958" t="s">
        <v>728</v>
      </c>
      <c r="I12" s="1958">
        <f>SUM(I4:I11)</f>
        <v>69448005</v>
      </c>
      <c r="J12" s="1958">
        <v>0</v>
      </c>
      <c r="K12" s="1958">
        <f t="shared" si="0"/>
        <v>69448005</v>
      </c>
    </row>
    <row r="13" spans="1:11">
      <c r="A13" s="1958" t="s">
        <v>877</v>
      </c>
      <c r="B13" s="1958">
        <v>187</v>
      </c>
      <c r="C13" s="1958">
        <v>2023</v>
      </c>
      <c r="D13" s="1958">
        <v>12</v>
      </c>
      <c r="E13" s="1958">
        <v>12</v>
      </c>
      <c r="F13" s="1958">
        <v>0</v>
      </c>
      <c r="G13" s="1958" t="s">
        <v>442</v>
      </c>
      <c r="H13" s="1958" t="s">
        <v>728</v>
      </c>
      <c r="I13" s="1958">
        <v>0</v>
      </c>
      <c r="J13" s="1958">
        <v>0</v>
      </c>
      <c r="K13" s="1958">
        <f t="shared" si="0"/>
        <v>0</v>
      </c>
    </row>
    <row r="14" spans="1:11">
      <c r="A14" s="1958" t="s">
        <v>877</v>
      </c>
      <c r="B14" s="1958">
        <v>187</v>
      </c>
      <c r="C14" s="1958">
        <v>2023</v>
      </c>
      <c r="D14" s="1958">
        <v>12</v>
      </c>
      <c r="E14" s="1958">
        <v>13</v>
      </c>
      <c r="F14" s="1958">
        <v>0</v>
      </c>
      <c r="G14" s="1958" t="s">
        <v>105</v>
      </c>
      <c r="H14" s="1958" t="s">
        <v>728</v>
      </c>
      <c r="I14" s="1958">
        <v>4713472</v>
      </c>
      <c r="J14" s="1958">
        <v>0</v>
      </c>
      <c r="K14" s="1958">
        <f t="shared" si="0"/>
        <v>4713472</v>
      </c>
    </row>
    <row r="15" spans="1:11">
      <c r="A15" s="1958" t="s">
        <v>877</v>
      </c>
      <c r="B15" s="1958">
        <v>187</v>
      </c>
      <c r="C15" s="1958">
        <v>2023</v>
      </c>
      <c r="D15" s="1958">
        <v>12</v>
      </c>
      <c r="E15" s="1958">
        <v>14</v>
      </c>
      <c r="F15" s="1958">
        <v>0</v>
      </c>
      <c r="G15" s="1958" t="s">
        <v>106</v>
      </c>
      <c r="H15" s="1958" t="s">
        <v>728</v>
      </c>
      <c r="I15" s="1958">
        <v>1001293</v>
      </c>
      <c r="J15" s="1958">
        <v>0</v>
      </c>
      <c r="K15" s="1958">
        <f t="shared" si="0"/>
        <v>1001293</v>
      </c>
    </row>
    <row r="16" spans="1:11">
      <c r="A16" s="1958" t="s">
        <v>877</v>
      </c>
      <c r="B16" s="1958">
        <v>187</v>
      </c>
      <c r="C16" s="1958">
        <v>2023</v>
      </c>
      <c r="D16" s="1958">
        <v>12</v>
      </c>
      <c r="E16" s="1958">
        <v>15</v>
      </c>
      <c r="F16" s="1958">
        <v>0</v>
      </c>
      <c r="G16" s="1958" t="s">
        <v>2134</v>
      </c>
      <c r="H16" s="1958" t="s">
        <v>728</v>
      </c>
      <c r="I16" s="1958">
        <v>0</v>
      </c>
      <c r="J16" s="1958">
        <v>0</v>
      </c>
      <c r="K16" s="1958">
        <f t="shared" si="0"/>
        <v>0</v>
      </c>
    </row>
    <row r="17" spans="1:11">
      <c r="A17" s="1958" t="s">
        <v>877</v>
      </c>
      <c r="B17" s="1958">
        <v>187</v>
      </c>
      <c r="C17" s="1958">
        <v>2023</v>
      </c>
      <c r="D17" s="1958">
        <v>12</v>
      </c>
      <c r="E17" s="1958">
        <v>16</v>
      </c>
      <c r="F17" s="1958">
        <v>0</v>
      </c>
      <c r="G17" s="1958" t="s">
        <v>516</v>
      </c>
      <c r="H17" s="1958" t="s">
        <v>728</v>
      </c>
      <c r="I17" s="1958">
        <v>4725477</v>
      </c>
      <c r="J17" s="1958">
        <v>0</v>
      </c>
      <c r="K17" s="1958">
        <f t="shared" si="0"/>
        <v>4725477</v>
      </c>
    </row>
    <row r="18" spans="1:11">
      <c r="A18" s="1958" t="s">
        <v>877</v>
      </c>
      <c r="B18" s="1958">
        <v>187</v>
      </c>
      <c r="C18" s="1958">
        <v>2023</v>
      </c>
      <c r="D18" s="1958">
        <v>12</v>
      </c>
      <c r="E18" s="1958">
        <v>17</v>
      </c>
      <c r="F18" s="1958">
        <v>0</v>
      </c>
      <c r="G18" s="1958" t="s">
        <v>520</v>
      </c>
      <c r="H18" s="1958" t="s">
        <v>728</v>
      </c>
      <c r="I18" s="1958">
        <v>0</v>
      </c>
      <c r="J18" s="1958">
        <v>0</v>
      </c>
      <c r="K18" s="1958">
        <f t="shared" si="0"/>
        <v>0</v>
      </c>
    </row>
    <row r="19" spans="1:11">
      <c r="A19" s="1958" t="s">
        <v>877</v>
      </c>
      <c r="B19" s="1958">
        <v>187</v>
      </c>
      <c r="C19" s="1958">
        <v>2023</v>
      </c>
      <c r="D19" s="1958">
        <v>12</v>
      </c>
      <c r="E19" s="1958">
        <v>18</v>
      </c>
      <c r="F19" s="1958">
        <v>0</v>
      </c>
      <c r="G19" s="1958" t="s">
        <v>2133</v>
      </c>
      <c r="H19" s="1958" t="s">
        <v>728</v>
      </c>
      <c r="I19" s="1958">
        <f>SUM(I13:I18)</f>
        <v>10440242</v>
      </c>
      <c r="J19" s="1958">
        <v>0</v>
      </c>
      <c r="K19" s="1958">
        <f t="shared" si="0"/>
        <v>10440242</v>
      </c>
    </row>
    <row r="20" spans="1:11">
      <c r="A20" s="1958" t="s">
        <v>877</v>
      </c>
      <c r="B20" s="1958">
        <v>187</v>
      </c>
      <c r="C20" s="1958">
        <v>2023</v>
      </c>
      <c r="D20" s="1958">
        <v>12</v>
      </c>
      <c r="E20" s="1958">
        <v>19</v>
      </c>
      <c r="F20" s="1958">
        <v>0</v>
      </c>
      <c r="G20" s="1958" t="s">
        <v>2115</v>
      </c>
      <c r="H20" s="1958" t="s">
        <v>728</v>
      </c>
      <c r="I20" s="1958">
        <v>0</v>
      </c>
      <c r="J20" s="1958">
        <v>0</v>
      </c>
      <c r="K20" s="1958">
        <f t="shared" si="0"/>
        <v>0</v>
      </c>
    </row>
    <row r="21" spans="1:11">
      <c r="A21" s="1958" t="s">
        <v>877</v>
      </c>
      <c r="B21" s="1958">
        <v>187</v>
      </c>
      <c r="C21" s="1958">
        <v>2023</v>
      </c>
      <c r="D21" s="1958">
        <v>12</v>
      </c>
      <c r="E21" s="1958">
        <v>20</v>
      </c>
      <c r="F21" s="1958">
        <v>0</v>
      </c>
      <c r="G21" s="1958" t="s">
        <v>2132</v>
      </c>
      <c r="H21" s="1958" t="s">
        <v>728</v>
      </c>
      <c r="I21" s="1958">
        <v>19893844</v>
      </c>
      <c r="J21" s="1958">
        <v>0</v>
      </c>
      <c r="K21" s="1958">
        <f t="shared" si="0"/>
        <v>19893844</v>
      </c>
    </row>
    <row r="22" spans="1:11">
      <c r="A22" s="1958" t="s">
        <v>877</v>
      </c>
      <c r="B22" s="1958">
        <v>187</v>
      </c>
      <c r="C22" s="1958">
        <v>2023</v>
      </c>
      <c r="D22" s="1958">
        <v>12</v>
      </c>
      <c r="E22" s="1958">
        <v>21</v>
      </c>
      <c r="F22" s="1958">
        <v>0</v>
      </c>
      <c r="G22" s="1958" t="s">
        <v>2131</v>
      </c>
      <c r="H22" s="1958" t="s">
        <v>728</v>
      </c>
      <c r="I22" s="1958">
        <v>6611795</v>
      </c>
      <c r="J22" s="1958">
        <v>0</v>
      </c>
      <c r="K22" s="1958">
        <f t="shared" si="0"/>
        <v>6611795</v>
      </c>
    </row>
    <row r="23" spans="1:11">
      <c r="A23" s="1958" t="s">
        <v>877</v>
      </c>
      <c r="B23" s="1958">
        <v>187</v>
      </c>
      <c r="C23" s="1958">
        <v>2023</v>
      </c>
      <c r="D23" s="1958">
        <v>12</v>
      </c>
      <c r="E23" s="1958">
        <v>22</v>
      </c>
      <c r="F23" s="1958">
        <v>0</v>
      </c>
      <c r="G23" s="1958" t="s">
        <v>2130</v>
      </c>
      <c r="H23" s="1958" t="s">
        <v>728</v>
      </c>
      <c r="I23" s="1958">
        <v>0</v>
      </c>
      <c r="J23" s="1958">
        <v>0</v>
      </c>
      <c r="K23" s="1958">
        <f t="shared" si="0"/>
        <v>0</v>
      </c>
    </row>
    <row r="24" spans="1:11">
      <c r="A24" s="1958" t="s">
        <v>877</v>
      </c>
      <c r="B24" s="1958">
        <v>187</v>
      </c>
      <c r="C24" s="1958">
        <v>2023</v>
      </c>
      <c r="D24" s="1958">
        <v>12</v>
      </c>
      <c r="E24" s="1958">
        <v>23</v>
      </c>
      <c r="F24" s="1958">
        <v>0</v>
      </c>
      <c r="G24" s="1958" t="s">
        <v>2129</v>
      </c>
      <c r="H24" s="1958" t="s">
        <v>728</v>
      </c>
      <c r="I24" s="1958">
        <v>17025418</v>
      </c>
      <c r="J24" s="1958">
        <v>0</v>
      </c>
      <c r="K24" s="1958">
        <f t="shared" si="0"/>
        <v>17025418</v>
      </c>
    </row>
    <row r="25" spans="1:11">
      <c r="A25" s="1958" t="s">
        <v>877</v>
      </c>
      <c r="B25" s="1958">
        <v>187</v>
      </c>
      <c r="C25" s="1958">
        <v>2023</v>
      </c>
      <c r="D25" s="1958">
        <v>12</v>
      </c>
      <c r="E25" s="1958">
        <v>24</v>
      </c>
      <c r="F25" s="1958">
        <v>0</v>
      </c>
      <c r="G25" s="1958" t="s">
        <v>2128</v>
      </c>
      <c r="H25" s="1958" t="s">
        <v>728</v>
      </c>
      <c r="I25" s="1958">
        <v>6507117</v>
      </c>
      <c r="J25" s="1958">
        <v>0</v>
      </c>
      <c r="K25" s="1958">
        <f t="shared" si="0"/>
        <v>6507117</v>
      </c>
    </row>
    <row r="26" spans="1:11">
      <c r="A26" s="1958" t="s">
        <v>877</v>
      </c>
      <c r="B26" s="1958">
        <v>187</v>
      </c>
      <c r="C26" s="1958">
        <v>2023</v>
      </c>
      <c r="D26" s="1958">
        <v>12</v>
      </c>
      <c r="E26" s="1958">
        <v>25</v>
      </c>
      <c r="F26" s="1958">
        <v>0</v>
      </c>
      <c r="G26" s="1958" t="s">
        <v>2127</v>
      </c>
      <c r="H26" s="1958" t="s">
        <v>728</v>
      </c>
      <c r="I26" s="1958">
        <v>422600</v>
      </c>
      <c r="J26" s="1958">
        <v>0</v>
      </c>
      <c r="K26" s="1958">
        <f t="shared" si="0"/>
        <v>422600</v>
      </c>
    </row>
    <row r="27" spans="1:11">
      <c r="A27" s="1958" t="s">
        <v>877</v>
      </c>
      <c r="B27" s="1958">
        <v>187</v>
      </c>
      <c r="C27" s="1958">
        <v>2023</v>
      </c>
      <c r="D27" s="1958">
        <v>12</v>
      </c>
      <c r="E27" s="1958">
        <v>26</v>
      </c>
      <c r="F27" s="1958">
        <v>0</v>
      </c>
      <c r="G27" s="1958" t="s">
        <v>2126</v>
      </c>
      <c r="H27" s="1958" t="s">
        <v>728</v>
      </c>
      <c r="I27" s="1958">
        <v>0</v>
      </c>
      <c r="J27" s="1958">
        <v>0</v>
      </c>
      <c r="K27" s="1958">
        <f t="shared" si="0"/>
        <v>0</v>
      </c>
    </row>
    <row r="28" spans="1:11">
      <c r="A28" s="1958" t="s">
        <v>877</v>
      </c>
      <c r="B28" s="1958">
        <v>187</v>
      </c>
      <c r="C28" s="1958">
        <v>2023</v>
      </c>
      <c r="D28" s="1958">
        <v>12</v>
      </c>
      <c r="E28" s="1958">
        <v>27</v>
      </c>
      <c r="F28" s="1958">
        <v>0</v>
      </c>
      <c r="G28" s="1958" t="s">
        <v>2125</v>
      </c>
      <c r="H28" s="1958" t="s">
        <v>728</v>
      </c>
      <c r="I28" s="1958">
        <v>29427473</v>
      </c>
      <c r="J28" s="1958">
        <v>0</v>
      </c>
      <c r="K28" s="1958">
        <f t="shared" si="0"/>
        <v>29427473</v>
      </c>
    </row>
    <row r="29" spans="1:11">
      <c r="A29" s="1958" t="s">
        <v>877</v>
      </c>
      <c r="B29" s="1958">
        <v>187</v>
      </c>
      <c r="C29" s="1958">
        <v>2023</v>
      </c>
      <c r="D29" s="1958">
        <v>12</v>
      </c>
      <c r="E29" s="1958">
        <v>28</v>
      </c>
      <c r="F29" s="1958">
        <v>0</v>
      </c>
      <c r="G29" s="1958" t="s">
        <v>2124</v>
      </c>
      <c r="H29" s="1958" t="s">
        <v>728</v>
      </c>
      <c r="I29" s="1958">
        <f>SUM(I21:I28)</f>
        <v>79888247</v>
      </c>
      <c r="J29" s="1958">
        <v>9629046</v>
      </c>
      <c r="K29" s="1958">
        <f t="shared" si="0"/>
        <v>89517293</v>
      </c>
    </row>
    <row r="30" spans="1:11">
      <c r="A30" s="1958" t="s">
        <v>877</v>
      </c>
      <c r="B30" s="1958">
        <v>187</v>
      </c>
      <c r="C30" s="1958">
        <v>2023</v>
      </c>
      <c r="D30" s="1958">
        <v>12</v>
      </c>
      <c r="E30" s="1958">
        <v>29</v>
      </c>
      <c r="F30" s="1958">
        <v>0</v>
      </c>
      <c r="G30" s="1958" t="s">
        <v>2123</v>
      </c>
      <c r="H30" s="1958" t="s">
        <v>728</v>
      </c>
      <c r="I30" s="1958">
        <v>0</v>
      </c>
      <c r="J30" s="1958">
        <v>0</v>
      </c>
      <c r="K30" s="1958">
        <f t="shared" si="0"/>
        <v>0</v>
      </c>
    </row>
    <row r="31" spans="1:11">
      <c r="A31" s="1958" t="s">
        <v>877</v>
      </c>
      <c r="B31" s="1958">
        <v>187</v>
      </c>
      <c r="C31" s="1958">
        <v>2023</v>
      </c>
      <c r="D31" s="1958">
        <v>12</v>
      </c>
      <c r="E31" s="1958">
        <v>30</v>
      </c>
      <c r="F31" s="1958">
        <v>0</v>
      </c>
      <c r="G31" s="1958" t="s">
        <v>441</v>
      </c>
      <c r="H31" s="1958" t="s">
        <v>728</v>
      </c>
      <c r="I31" s="1958">
        <v>0</v>
      </c>
      <c r="J31" s="1958">
        <v>0</v>
      </c>
      <c r="K31" s="1958">
        <f t="shared" si="0"/>
        <v>0</v>
      </c>
    </row>
    <row r="32" spans="1:11">
      <c r="A32" s="1958" t="s">
        <v>877</v>
      </c>
      <c r="B32" s="1958">
        <v>187</v>
      </c>
      <c r="C32" s="1958">
        <v>2023</v>
      </c>
      <c r="D32" s="1958">
        <v>12</v>
      </c>
      <c r="E32" s="1958">
        <v>31</v>
      </c>
      <c r="F32" s="1958">
        <v>0</v>
      </c>
      <c r="G32" s="1958" t="s">
        <v>2120</v>
      </c>
      <c r="H32" s="1958" t="s">
        <v>728</v>
      </c>
      <c r="I32" s="1958">
        <v>0</v>
      </c>
      <c r="J32" s="1958">
        <v>0</v>
      </c>
      <c r="K32" s="1958">
        <f t="shared" si="0"/>
        <v>0</v>
      </c>
    </row>
    <row r="33" spans="1:11">
      <c r="A33" s="1958" t="s">
        <v>877</v>
      </c>
      <c r="B33" s="1958">
        <v>187</v>
      </c>
      <c r="C33" s="1958">
        <v>2023</v>
      </c>
      <c r="D33" s="1958">
        <v>12</v>
      </c>
      <c r="E33" s="1958">
        <v>32</v>
      </c>
      <c r="F33" s="1958">
        <v>0</v>
      </c>
      <c r="G33" s="1958" t="s">
        <v>2122</v>
      </c>
      <c r="H33" s="1958" t="s">
        <v>728</v>
      </c>
      <c r="I33" s="1958">
        <v>0</v>
      </c>
      <c r="J33" s="1958">
        <v>0</v>
      </c>
      <c r="K33" s="1958">
        <f t="shared" si="0"/>
        <v>0</v>
      </c>
    </row>
    <row r="34" spans="1:11">
      <c r="A34" s="1958" t="s">
        <v>877</v>
      </c>
      <c r="B34" s="1958">
        <v>187</v>
      </c>
      <c r="C34" s="1958">
        <v>2023</v>
      </c>
      <c r="D34" s="1958">
        <v>12</v>
      </c>
      <c r="E34" s="1958">
        <v>33</v>
      </c>
      <c r="F34" s="1958">
        <v>0</v>
      </c>
      <c r="G34" s="1958" t="s">
        <v>2118</v>
      </c>
      <c r="H34" s="1958" t="s">
        <v>728</v>
      </c>
      <c r="I34" s="1958">
        <v>1176409</v>
      </c>
      <c r="J34" s="1958">
        <v>0</v>
      </c>
      <c r="K34" s="1958">
        <f t="shared" ref="K34:K65" si="1">SUM(I34:J34)</f>
        <v>1176409</v>
      </c>
    </row>
    <row r="35" spans="1:11">
      <c r="A35" s="1958" t="s">
        <v>877</v>
      </c>
      <c r="B35" s="1958">
        <v>187</v>
      </c>
      <c r="C35" s="1958">
        <v>2023</v>
      </c>
      <c r="D35" s="1958">
        <v>12</v>
      </c>
      <c r="E35" s="1958">
        <v>34</v>
      </c>
      <c r="F35" s="1958">
        <v>0</v>
      </c>
      <c r="G35" s="1958" t="s">
        <v>2117</v>
      </c>
      <c r="H35" s="1958" t="s">
        <v>728</v>
      </c>
      <c r="I35" s="1958">
        <v>0</v>
      </c>
      <c r="J35" s="1958">
        <v>0</v>
      </c>
      <c r="K35" s="1958">
        <f t="shared" si="1"/>
        <v>0</v>
      </c>
    </row>
    <row r="36" spans="1:11">
      <c r="A36" s="1958" t="s">
        <v>877</v>
      </c>
      <c r="B36" s="1958">
        <v>187</v>
      </c>
      <c r="C36" s="1958">
        <v>2023</v>
      </c>
      <c r="D36" s="1958">
        <v>12</v>
      </c>
      <c r="E36" s="1958">
        <v>35</v>
      </c>
      <c r="F36" s="1958">
        <v>0</v>
      </c>
      <c r="G36" s="1958" t="s">
        <v>106</v>
      </c>
      <c r="H36" s="1958" t="s">
        <v>728</v>
      </c>
      <c r="I36" s="1958">
        <v>0</v>
      </c>
      <c r="J36" s="1958">
        <v>0</v>
      </c>
      <c r="K36" s="1958">
        <f t="shared" si="1"/>
        <v>0</v>
      </c>
    </row>
    <row r="37" spans="1:11">
      <c r="A37" s="1958" t="s">
        <v>877</v>
      </c>
      <c r="B37" s="1958">
        <v>187</v>
      </c>
      <c r="C37" s="1958">
        <v>2023</v>
      </c>
      <c r="D37" s="1958">
        <v>12</v>
      </c>
      <c r="E37" s="1958">
        <v>36</v>
      </c>
      <c r="F37" s="1958">
        <v>0</v>
      </c>
      <c r="G37" s="1958" t="s">
        <v>516</v>
      </c>
      <c r="H37" s="1958" t="s">
        <v>728</v>
      </c>
      <c r="I37" s="1958">
        <v>9858961</v>
      </c>
      <c r="J37" s="1958">
        <v>0</v>
      </c>
      <c r="K37" s="1958">
        <f t="shared" si="1"/>
        <v>9858961</v>
      </c>
    </row>
    <row r="38" spans="1:11">
      <c r="A38" s="1958" t="s">
        <v>877</v>
      </c>
      <c r="B38" s="1958">
        <v>187</v>
      </c>
      <c r="C38" s="1958">
        <v>2023</v>
      </c>
      <c r="D38" s="1958">
        <v>12</v>
      </c>
      <c r="E38" s="1958">
        <v>37</v>
      </c>
      <c r="F38" s="1958">
        <v>0</v>
      </c>
      <c r="G38" s="1958" t="s">
        <v>517</v>
      </c>
      <c r="H38" s="1958" t="s">
        <v>728</v>
      </c>
      <c r="I38" s="1958">
        <v>3088460</v>
      </c>
      <c r="J38" s="1958">
        <v>0</v>
      </c>
      <c r="K38" s="1958">
        <f t="shared" si="1"/>
        <v>3088460</v>
      </c>
    </row>
    <row r="39" spans="1:11">
      <c r="A39" s="1958" t="s">
        <v>877</v>
      </c>
      <c r="B39" s="1958">
        <v>187</v>
      </c>
      <c r="C39" s="1958">
        <v>2023</v>
      </c>
      <c r="D39" s="1958">
        <v>12</v>
      </c>
      <c r="E39" s="1958">
        <v>38</v>
      </c>
      <c r="F39" s="1958">
        <v>0</v>
      </c>
      <c r="G39" s="1958" t="s">
        <v>518</v>
      </c>
      <c r="H39" s="1958" t="s">
        <v>728</v>
      </c>
      <c r="I39" s="1958">
        <v>288019</v>
      </c>
      <c r="J39" s="1958">
        <v>0</v>
      </c>
      <c r="K39" s="1958">
        <f t="shared" si="1"/>
        <v>288019</v>
      </c>
    </row>
    <row r="40" spans="1:11">
      <c r="A40" s="1958" t="s">
        <v>877</v>
      </c>
      <c r="B40" s="1958">
        <v>187</v>
      </c>
      <c r="C40" s="1958">
        <v>2023</v>
      </c>
      <c r="D40" s="1958">
        <v>12</v>
      </c>
      <c r="E40" s="1958">
        <v>39</v>
      </c>
      <c r="F40" s="1958">
        <v>0</v>
      </c>
      <c r="G40" s="1958" t="s">
        <v>519</v>
      </c>
      <c r="H40" s="1958" t="s">
        <v>728</v>
      </c>
      <c r="I40" s="1958">
        <v>0</v>
      </c>
      <c r="J40" s="1958">
        <v>0</v>
      </c>
      <c r="K40" s="1958">
        <f t="shared" si="1"/>
        <v>0</v>
      </c>
    </row>
    <row r="41" spans="1:11">
      <c r="A41" s="1958" t="s">
        <v>877</v>
      </c>
      <c r="B41" s="1958">
        <v>187</v>
      </c>
      <c r="C41" s="1958">
        <v>2023</v>
      </c>
      <c r="D41" s="1958">
        <v>12</v>
      </c>
      <c r="E41" s="1958">
        <v>40</v>
      </c>
      <c r="F41" s="1958">
        <v>0</v>
      </c>
      <c r="G41" s="1958" t="s">
        <v>520</v>
      </c>
      <c r="H41" s="1958" t="s">
        <v>728</v>
      </c>
      <c r="I41" s="1958">
        <v>11927195</v>
      </c>
      <c r="J41" s="1958">
        <v>0</v>
      </c>
      <c r="K41" s="1958">
        <f t="shared" si="1"/>
        <v>11927195</v>
      </c>
    </row>
    <row r="42" spans="1:11">
      <c r="A42" s="1958" t="s">
        <v>877</v>
      </c>
      <c r="B42" s="1958">
        <v>187</v>
      </c>
      <c r="C42" s="1958">
        <v>2023</v>
      </c>
      <c r="D42" s="1958">
        <v>12</v>
      </c>
      <c r="E42" s="1958">
        <v>41</v>
      </c>
      <c r="F42" s="1958">
        <v>0</v>
      </c>
      <c r="G42" s="1958" t="s">
        <v>2121</v>
      </c>
      <c r="H42" s="1958" t="s">
        <v>728</v>
      </c>
      <c r="I42" s="1958">
        <f>SUM(I34:I41)</f>
        <v>26339044</v>
      </c>
      <c r="J42" s="1958">
        <v>0</v>
      </c>
      <c r="K42" s="1958">
        <f t="shared" si="1"/>
        <v>26339044</v>
      </c>
    </row>
    <row r="43" spans="1:11">
      <c r="A43" s="1958" t="s">
        <v>877</v>
      </c>
      <c r="B43" s="1958">
        <v>187</v>
      </c>
      <c r="C43" s="1958">
        <v>2023</v>
      </c>
      <c r="D43" s="1958">
        <v>12</v>
      </c>
      <c r="E43" s="1958">
        <v>42</v>
      </c>
      <c r="F43" s="1958">
        <v>0</v>
      </c>
      <c r="G43" s="1958" t="s">
        <v>442</v>
      </c>
      <c r="H43" s="1958" t="s">
        <v>728</v>
      </c>
      <c r="I43" s="1958">
        <v>0</v>
      </c>
      <c r="J43" s="1958">
        <v>0</v>
      </c>
      <c r="K43" s="1958">
        <f t="shared" si="1"/>
        <v>0</v>
      </c>
    </row>
    <row r="44" spans="1:11">
      <c r="A44" s="1958" t="s">
        <v>877</v>
      </c>
      <c r="B44" s="1958">
        <v>187</v>
      </c>
      <c r="C44" s="1958">
        <v>2023</v>
      </c>
      <c r="D44" s="1958">
        <v>12</v>
      </c>
      <c r="E44" s="1958">
        <v>43</v>
      </c>
      <c r="F44" s="1958">
        <v>0</v>
      </c>
      <c r="G44" s="1958" t="s">
        <v>2120</v>
      </c>
      <c r="H44" s="1958" t="s">
        <v>728</v>
      </c>
      <c r="I44" s="1958">
        <v>0</v>
      </c>
      <c r="J44" s="1958">
        <v>0</v>
      </c>
      <c r="K44" s="1958">
        <f t="shared" si="1"/>
        <v>0</v>
      </c>
    </row>
    <row r="45" spans="1:11">
      <c r="A45" s="1958" t="s">
        <v>877</v>
      </c>
      <c r="B45" s="1958">
        <v>187</v>
      </c>
      <c r="C45" s="1958">
        <v>2023</v>
      </c>
      <c r="D45" s="1958">
        <v>12</v>
      </c>
      <c r="E45" s="1958">
        <v>44</v>
      </c>
      <c r="F45" s="1958">
        <v>0</v>
      </c>
      <c r="G45" s="1958" t="s">
        <v>2119</v>
      </c>
      <c r="H45" s="1958" t="s">
        <v>728</v>
      </c>
      <c r="I45" s="1958">
        <v>0</v>
      </c>
      <c r="J45" s="1958">
        <v>0</v>
      </c>
      <c r="K45" s="1958">
        <f t="shared" si="1"/>
        <v>0</v>
      </c>
    </row>
    <row r="46" spans="1:11">
      <c r="A46" s="1958" t="s">
        <v>877</v>
      </c>
      <c r="B46" s="1958">
        <v>187</v>
      </c>
      <c r="C46" s="1958">
        <v>2023</v>
      </c>
      <c r="D46" s="1958">
        <v>12</v>
      </c>
      <c r="E46" s="1958">
        <v>45</v>
      </c>
      <c r="F46" s="1958">
        <v>0</v>
      </c>
      <c r="G46" s="1958" t="s">
        <v>2118</v>
      </c>
      <c r="H46" s="1958" t="s">
        <v>728</v>
      </c>
      <c r="I46" s="1958">
        <v>0</v>
      </c>
      <c r="J46" s="1958">
        <v>0</v>
      </c>
      <c r="K46" s="1958">
        <f t="shared" si="1"/>
        <v>0</v>
      </c>
    </row>
    <row r="47" spans="1:11">
      <c r="A47" s="1958" t="s">
        <v>877</v>
      </c>
      <c r="B47" s="1958">
        <v>187</v>
      </c>
      <c r="C47" s="1958">
        <v>2023</v>
      </c>
      <c r="D47" s="1958">
        <v>12</v>
      </c>
      <c r="E47" s="1958">
        <v>46</v>
      </c>
      <c r="F47" s="1958">
        <v>0</v>
      </c>
      <c r="G47" s="1958" t="s">
        <v>2117</v>
      </c>
      <c r="H47" s="1958" t="s">
        <v>728</v>
      </c>
      <c r="I47" s="1958">
        <v>0</v>
      </c>
      <c r="J47" s="1958">
        <v>0</v>
      </c>
      <c r="K47" s="1958">
        <f t="shared" si="1"/>
        <v>0</v>
      </c>
    </row>
    <row r="48" spans="1:11">
      <c r="A48" s="1958" t="s">
        <v>877</v>
      </c>
      <c r="B48" s="1958">
        <v>187</v>
      </c>
      <c r="C48" s="1958">
        <v>2023</v>
      </c>
      <c r="D48" s="1958">
        <v>12</v>
      </c>
      <c r="E48" s="1958">
        <v>47</v>
      </c>
      <c r="F48" s="1958">
        <v>0</v>
      </c>
      <c r="G48" s="1958" t="s">
        <v>106</v>
      </c>
      <c r="H48" s="1958" t="s">
        <v>728</v>
      </c>
      <c r="I48" s="1958">
        <v>2433655</v>
      </c>
      <c r="J48" s="1958">
        <v>0</v>
      </c>
      <c r="K48" s="1958">
        <f t="shared" si="1"/>
        <v>2433655</v>
      </c>
    </row>
    <row r="49" spans="1:11">
      <c r="A49" s="1958" t="s">
        <v>877</v>
      </c>
      <c r="B49" s="1958">
        <v>187</v>
      </c>
      <c r="C49" s="1958">
        <v>2023</v>
      </c>
      <c r="D49" s="1958">
        <v>12</v>
      </c>
      <c r="E49" s="1958">
        <v>48</v>
      </c>
      <c r="F49" s="1958">
        <v>0</v>
      </c>
      <c r="G49" s="1958" t="s">
        <v>516</v>
      </c>
      <c r="H49" s="1958" t="s">
        <v>728</v>
      </c>
      <c r="I49" s="1958">
        <v>3689066</v>
      </c>
      <c r="J49" s="1958">
        <v>0</v>
      </c>
      <c r="K49" s="1958">
        <f t="shared" si="1"/>
        <v>3689066</v>
      </c>
    </row>
    <row r="50" spans="1:11">
      <c r="A50" s="1958" t="s">
        <v>877</v>
      </c>
      <c r="B50" s="1958">
        <v>187</v>
      </c>
      <c r="C50" s="1958">
        <v>2023</v>
      </c>
      <c r="D50" s="1958">
        <v>12</v>
      </c>
      <c r="E50" s="1958">
        <v>49</v>
      </c>
      <c r="F50" s="1958">
        <v>0</v>
      </c>
      <c r="G50" s="1958" t="s">
        <v>520</v>
      </c>
      <c r="H50" s="1958" t="s">
        <v>728</v>
      </c>
      <c r="I50" s="1958">
        <v>0</v>
      </c>
      <c r="J50" s="1958">
        <v>0</v>
      </c>
      <c r="K50" s="1958">
        <f t="shared" si="1"/>
        <v>0</v>
      </c>
    </row>
    <row r="51" spans="1:11">
      <c r="A51" s="1958" t="s">
        <v>877</v>
      </c>
      <c r="B51" s="1958">
        <v>187</v>
      </c>
      <c r="C51" s="1958">
        <v>2023</v>
      </c>
      <c r="D51" s="1958">
        <v>12</v>
      </c>
      <c r="E51" s="1958">
        <v>50</v>
      </c>
      <c r="F51" s="1958">
        <v>0</v>
      </c>
      <c r="G51" s="1958" t="s">
        <v>2116</v>
      </c>
      <c r="H51" s="1958" t="s">
        <v>728</v>
      </c>
      <c r="I51" s="1958">
        <f>SUM(I48:I50)</f>
        <v>6122721</v>
      </c>
      <c r="J51" s="1958">
        <v>0</v>
      </c>
      <c r="K51" s="1958">
        <f t="shared" si="1"/>
        <v>6122721</v>
      </c>
    </row>
    <row r="52" spans="1:11">
      <c r="A52" s="1958" t="s">
        <v>877</v>
      </c>
      <c r="B52" s="1958">
        <v>187</v>
      </c>
      <c r="C52" s="1958">
        <v>2023</v>
      </c>
      <c r="D52" s="1958">
        <v>12</v>
      </c>
      <c r="E52" s="1958">
        <v>51</v>
      </c>
      <c r="F52" s="1958">
        <v>0</v>
      </c>
      <c r="G52" s="1958" t="s">
        <v>2115</v>
      </c>
      <c r="H52" s="1958" t="s">
        <v>728</v>
      </c>
      <c r="I52" s="1958">
        <v>0</v>
      </c>
      <c r="J52" s="1958">
        <v>0</v>
      </c>
      <c r="K52" s="1958">
        <f t="shared" si="1"/>
        <v>0</v>
      </c>
    </row>
    <row r="53" spans="1:11">
      <c r="A53" s="1958" t="s">
        <v>877</v>
      </c>
      <c r="B53" s="1958">
        <v>187</v>
      </c>
      <c r="C53" s="1958">
        <v>2023</v>
      </c>
      <c r="D53" s="1958">
        <v>12</v>
      </c>
      <c r="E53" s="1958">
        <v>52</v>
      </c>
      <c r="F53" s="1958">
        <v>0</v>
      </c>
      <c r="G53" s="1958" t="s">
        <v>2114</v>
      </c>
      <c r="H53" s="1958" t="s">
        <v>728</v>
      </c>
      <c r="I53" s="1958">
        <v>0</v>
      </c>
      <c r="J53" s="1958">
        <v>0</v>
      </c>
      <c r="K53" s="1958">
        <f t="shared" si="1"/>
        <v>0</v>
      </c>
    </row>
    <row r="54" spans="1:11">
      <c r="A54" s="1958" t="s">
        <v>877</v>
      </c>
      <c r="B54" s="1958">
        <v>187</v>
      </c>
      <c r="C54" s="1958">
        <v>2023</v>
      </c>
      <c r="D54" s="1958">
        <v>12</v>
      </c>
      <c r="E54" s="1958">
        <v>53</v>
      </c>
      <c r="F54" s="1958">
        <v>0</v>
      </c>
      <c r="G54" s="1958" t="s">
        <v>2113</v>
      </c>
      <c r="H54" s="1958" t="s">
        <v>728</v>
      </c>
      <c r="I54" s="1958">
        <v>0</v>
      </c>
      <c r="J54" s="1958">
        <v>0</v>
      </c>
      <c r="K54" s="1958">
        <f t="shared" si="1"/>
        <v>0</v>
      </c>
    </row>
    <row r="55" spans="1:11">
      <c r="A55" s="1958" t="s">
        <v>877</v>
      </c>
      <c r="B55" s="1958">
        <v>187</v>
      </c>
      <c r="C55" s="1958">
        <v>2023</v>
      </c>
      <c r="D55" s="1958">
        <v>12</v>
      </c>
      <c r="E55" s="1958">
        <v>54</v>
      </c>
      <c r="F55" s="1958">
        <v>0</v>
      </c>
      <c r="G55" s="1958" t="s">
        <v>2112</v>
      </c>
      <c r="H55" s="1958" t="s">
        <v>728</v>
      </c>
      <c r="I55" s="1958">
        <v>1176409</v>
      </c>
      <c r="J55" s="1958">
        <v>0</v>
      </c>
      <c r="K55" s="1958">
        <f t="shared" si="1"/>
        <v>1176409</v>
      </c>
    </row>
    <row r="56" spans="1:11">
      <c r="A56" s="1958" t="s">
        <v>877</v>
      </c>
      <c r="B56" s="1958">
        <v>187</v>
      </c>
      <c r="C56" s="1958">
        <v>2023</v>
      </c>
      <c r="D56" s="1958">
        <v>12</v>
      </c>
      <c r="E56" s="1958">
        <v>55</v>
      </c>
      <c r="F56" s="1958">
        <v>0</v>
      </c>
      <c r="G56" s="1958" t="s">
        <v>2111</v>
      </c>
      <c r="H56" s="1958" t="s">
        <v>728</v>
      </c>
      <c r="I56" s="1958">
        <v>0</v>
      </c>
      <c r="J56" s="1958">
        <v>0</v>
      </c>
      <c r="K56" s="1958">
        <f t="shared" si="1"/>
        <v>0</v>
      </c>
    </row>
    <row r="57" spans="1:11">
      <c r="A57" s="1958" t="s">
        <v>877</v>
      </c>
      <c r="B57" s="1958">
        <v>187</v>
      </c>
      <c r="C57" s="1958">
        <v>2023</v>
      </c>
      <c r="D57" s="1958">
        <v>12</v>
      </c>
      <c r="E57" s="1958">
        <v>56</v>
      </c>
      <c r="F57" s="1958">
        <v>0</v>
      </c>
      <c r="G57" s="1958" t="s">
        <v>2110</v>
      </c>
      <c r="H57" s="1958" t="s">
        <v>728</v>
      </c>
      <c r="I57" s="1958">
        <v>2433655</v>
      </c>
      <c r="J57" s="1958">
        <v>0</v>
      </c>
      <c r="K57" s="1958">
        <f t="shared" si="1"/>
        <v>2433655</v>
      </c>
    </row>
    <row r="58" spans="1:11">
      <c r="A58" s="1958" t="s">
        <v>877</v>
      </c>
      <c r="B58" s="1958">
        <v>187</v>
      </c>
      <c r="C58" s="1958">
        <v>2023</v>
      </c>
      <c r="D58" s="1958">
        <v>12</v>
      </c>
      <c r="E58" s="1958">
        <v>57</v>
      </c>
      <c r="F58" s="1958">
        <v>0</v>
      </c>
      <c r="G58" s="1958" t="s">
        <v>2109</v>
      </c>
      <c r="H58" s="1958" t="s">
        <v>728</v>
      </c>
      <c r="I58" s="1958">
        <v>13548027</v>
      </c>
      <c r="J58" s="1958">
        <v>0</v>
      </c>
      <c r="K58" s="1958">
        <f t="shared" si="1"/>
        <v>13548027</v>
      </c>
    </row>
    <row r="59" spans="1:11">
      <c r="A59" s="1958" t="s">
        <v>877</v>
      </c>
      <c r="B59" s="1958">
        <v>187</v>
      </c>
      <c r="C59" s="1958">
        <v>2023</v>
      </c>
      <c r="D59" s="1958">
        <v>12</v>
      </c>
      <c r="E59" s="1958">
        <v>58</v>
      </c>
      <c r="F59" s="1958">
        <v>0</v>
      </c>
      <c r="G59" s="1958" t="s">
        <v>2108</v>
      </c>
      <c r="H59" s="1958" t="s">
        <v>728</v>
      </c>
      <c r="I59" s="1958">
        <v>3088460</v>
      </c>
      <c r="J59" s="1958">
        <v>0</v>
      </c>
      <c r="K59" s="1958">
        <f t="shared" si="1"/>
        <v>3088460</v>
      </c>
    </row>
    <row r="60" spans="1:11">
      <c r="A60" s="1958" t="s">
        <v>877</v>
      </c>
      <c r="B60" s="1958">
        <v>187</v>
      </c>
      <c r="C60" s="1958">
        <v>2023</v>
      </c>
      <c r="D60" s="1958">
        <v>12</v>
      </c>
      <c r="E60" s="1958">
        <v>59</v>
      </c>
      <c r="F60" s="1958">
        <v>0</v>
      </c>
      <c r="G60" s="1958" t="s">
        <v>2107</v>
      </c>
      <c r="H60" s="1958" t="s">
        <v>728</v>
      </c>
      <c r="I60" s="1958">
        <v>288019</v>
      </c>
      <c r="J60" s="1958">
        <v>0</v>
      </c>
      <c r="K60" s="1958">
        <f t="shared" si="1"/>
        <v>288019</v>
      </c>
    </row>
    <row r="61" spans="1:11">
      <c r="A61" s="1958" t="s">
        <v>877</v>
      </c>
      <c r="B61" s="1958">
        <v>187</v>
      </c>
      <c r="C61" s="1958">
        <v>2023</v>
      </c>
      <c r="D61" s="1958">
        <v>12</v>
      </c>
      <c r="E61" s="1958">
        <v>60</v>
      </c>
      <c r="F61" s="1958">
        <v>0</v>
      </c>
      <c r="G61" s="1958" t="s">
        <v>2106</v>
      </c>
      <c r="H61" s="1958" t="s">
        <v>728</v>
      </c>
      <c r="I61" s="1958">
        <v>0</v>
      </c>
      <c r="J61" s="1958">
        <v>0</v>
      </c>
      <c r="K61" s="1958">
        <f t="shared" si="1"/>
        <v>0</v>
      </c>
    </row>
    <row r="62" spans="1:11">
      <c r="A62" s="1958" t="s">
        <v>877</v>
      </c>
      <c r="B62" s="1958">
        <v>187</v>
      </c>
      <c r="C62" s="1958">
        <v>2023</v>
      </c>
      <c r="D62" s="1958">
        <v>12</v>
      </c>
      <c r="E62" s="1958">
        <v>61</v>
      </c>
      <c r="F62" s="1958">
        <v>0</v>
      </c>
      <c r="G62" s="1958" t="s">
        <v>2105</v>
      </c>
      <c r="H62" s="1958" t="s">
        <v>728</v>
      </c>
      <c r="I62" s="1958">
        <v>11927195</v>
      </c>
      <c r="J62" s="1958">
        <v>0</v>
      </c>
      <c r="K62" s="1958">
        <f t="shared" si="1"/>
        <v>11927195</v>
      </c>
    </row>
    <row r="63" spans="1:11">
      <c r="A63" s="1958" t="s">
        <v>877</v>
      </c>
      <c r="B63" s="1958">
        <v>187</v>
      </c>
      <c r="C63" s="1958">
        <v>2023</v>
      </c>
      <c r="D63" s="1958">
        <v>12</v>
      </c>
      <c r="E63" s="1958">
        <v>62</v>
      </c>
      <c r="F63" s="1958">
        <v>0</v>
      </c>
      <c r="G63" s="1958" t="s">
        <v>2104</v>
      </c>
      <c r="H63" s="1958" t="s">
        <v>728</v>
      </c>
      <c r="I63" s="1958">
        <f>SUM(I52:I62)</f>
        <v>32461765</v>
      </c>
      <c r="J63" s="1958">
        <v>2737908</v>
      </c>
      <c r="K63" s="1958">
        <f t="shared" si="1"/>
        <v>35199673</v>
      </c>
    </row>
    <row r="64" spans="1:11">
      <c r="A64" s="1958" t="s">
        <v>877</v>
      </c>
      <c r="B64" s="1958">
        <v>187</v>
      </c>
      <c r="C64" s="1958">
        <v>2023</v>
      </c>
      <c r="D64" s="1958">
        <v>12</v>
      </c>
      <c r="E64" s="1958">
        <v>63</v>
      </c>
      <c r="F64" s="1958">
        <v>0</v>
      </c>
      <c r="G64" s="1958" t="s">
        <v>2103</v>
      </c>
      <c r="H64" s="1958" t="s">
        <v>728</v>
      </c>
      <c r="I64" s="1958">
        <v>0</v>
      </c>
      <c r="J64" s="1958">
        <v>0</v>
      </c>
      <c r="K64" s="1958">
        <f t="shared" si="1"/>
        <v>0</v>
      </c>
    </row>
    <row r="65" spans="1:11">
      <c r="A65" s="1958" t="s">
        <v>877</v>
      </c>
      <c r="B65" s="1958">
        <v>187</v>
      </c>
      <c r="C65" s="1958">
        <v>2023</v>
      </c>
      <c r="D65" s="1958">
        <v>12</v>
      </c>
      <c r="E65" s="1958">
        <v>64</v>
      </c>
      <c r="F65" s="1958">
        <v>0</v>
      </c>
      <c r="G65" s="1958" t="s">
        <v>279</v>
      </c>
      <c r="H65" s="1958" t="s">
        <v>728</v>
      </c>
      <c r="I65" s="1958">
        <v>0</v>
      </c>
      <c r="J65" s="1958">
        <v>0</v>
      </c>
      <c r="K65" s="1958">
        <f t="shared" si="1"/>
        <v>0</v>
      </c>
    </row>
    <row r="66" spans="1:11">
      <c r="A66" s="1958" t="s">
        <v>877</v>
      </c>
      <c r="B66" s="1958">
        <v>187</v>
      </c>
      <c r="C66" s="1958">
        <v>2023</v>
      </c>
      <c r="D66" s="1958">
        <v>12</v>
      </c>
      <c r="E66" s="1958">
        <v>65</v>
      </c>
      <c r="F66" s="1958">
        <v>0</v>
      </c>
      <c r="G66" s="1958" t="s">
        <v>2102</v>
      </c>
      <c r="H66" s="1958" t="s">
        <v>728</v>
      </c>
      <c r="I66" s="1979">
        <f>SUM(I29,I63)</f>
        <v>112350012</v>
      </c>
      <c r="J66" s="1958">
        <f>SUM(J29,J63)</f>
        <v>12366954</v>
      </c>
      <c r="K66" s="1958">
        <f t="shared" ref="K66:K95" si="2">SUM(I66:J66)</f>
        <v>124716966</v>
      </c>
    </row>
    <row r="67" spans="1:11">
      <c r="A67" s="1958" t="s">
        <v>877</v>
      </c>
      <c r="B67" s="1958">
        <v>187</v>
      </c>
      <c r="C67" s="1958">
        <v>2023</v>
      </c>
      <c r="D67" s="1958">
        <v>12</v>
      </c>
      <c r="E67" s="1958">
        <v>66</v>
      </c>
      <c r="F67" s="1958">
        <v>0</v>
      </c>
      <c r="G67" s="1958" t="s">
        <v>274</v>
      </c>
      <c r="H67" s="1958" t="s">
        <v>728</v>
      </c>
      <c r="I67" s="1958">
        <v>0</v>
      </c>
      <c r="J67" s="1958">
        <v>0</v>
      </c>
      <c r="K67" s="1958">
        <f t="shared" si="2"/>
        <v>0</v>
      </c>
    </row>
    <row r="68" spans="1:11">
      <c r="A68" s="1958" t="s">
        <v>877</v>
      </c>
      <c r="B68" s="1958">
        <v>187</v>
      </c>
      <c r="C68" s="1958">
        <v>2023</v>
      </c>
      <c r="D68" s="1958">
        <v>12</v>
      </c>
      <c r="E68" s="1958">
        <v>67</v>
      </c>
      <c r="F68" s="1958">
        <v>0</v>
      </c>
      <c r="G68" s="1958" t="s">
        <v>2101</v>
      </c>
      <c r="H68" s="1958" t="s">
        <v>728</v>
      </c>
      <c r="I68" s="1958">
        <v>0</v>
      </c>
      <c r="J68" s="1958">
        <v>0</v>
      </c>
      <c r="K68" s="1958">
        <f t="shared" si="2"/>
        <v>0</v>
      </c>
    </row>
    <row r="69" spans="1:11">
      <c r="A69" s="1958" t="s">
        <v>877</v>
      </c>
      <c r="B69" s="1958">
        <v>187</v>
      </c>
      <c r="C69" s="1958">
        <v>2023</v>
      </c>
      <c r="D69" s="1958">
        <v>12</v>
      </c>
      <c r="E69" s="1958">
        <v>68</v>
      </c>
      <c r="F69" s="1958">
        <v>0</v>
      </c>
      <c r="G69" s="1958" t="s">
        <v>2098</v>
      </c>
      <c r="H69" s="1958" t="s">
        <v>728</v>
      </c>
      <c r="I69" s="1958">
        <v>53228480</v>
      </c>
      <c r="J69" s="1958">
        <v>8231597</v>
      </c>
      <c r="K69" s="1958">
        <f t="shared" si="2"/>
        <v>61460077</v>
      </c>
    </row>
    <row r="70" spans="1:11">
      <c r="A70" s="1958" t="s">
        <v>877</v>
      </c>
      <c r="B70" s="1958">
        <v>187</v>
      </c>
      <c r="C70" s="1958">
        <v>2023</v>
      </c>
      <c r="D70" s="1958">
        <v>12</v>
      </c>
      <c r="E70" s="1958">
        <v>69</v>
      </c>
      <c r="F70" s="1958">
        <v>0</v>
      </c>
      <c r="G70" s="1958" t="s">
        <v>2097</v>
      </c>
      <c r="H70" s="1958" t="s">
        <v>728</v>
      </c>
      <c r="I70" s="1958">
        <v>15228319</v>
      </c>
      <c r="J70" s="1958">
        <v>2355006</v>
      </c>
      <c r="K70" s="1958">
        <f t="shared" si="2"/>
        <v>17583325</v>
      </c>
    </row>
    <row r="71" spans="1:11">
      <c r="A71" s="1958" t="s">
        <v>877</v>
      </c>
      <c r="B71" s="1958">
        <v>187</v>
      </c>
      <c r="C71" s="1958">
        <v>2023</v>
      </c>
      <c r="D71" s="1958">
        <v>12</v>
      </c>
      <c r="E71" s="1958">
        <v>70</v>
      </c>
      <c r="F71" s="1958">
        <v>0</v>
      </c>
      <c r="G71" s="1958" t="s">
        <v>1201</v>
      </c>
      <c r="H71" s="1958" t="s">
        <v>728</v>
      </c>
      <c r="I71" s="1958">
        <v>0</v>
      </c>
      <c r="J71" s="1958">
        <v>0</v>
      </c>
      <c r="K71" s="1958">
        <f t="shared" si="2"/>
        <v>0</v>
      </c>
    </row>
    <row r="72" spans="1:11">
      <c r="A72" s="1958" t="s">
        <v>877</v>
      </c>
      <c r="B72" s="1958">
        <v>187</v>
      </c>
      <c r="C72" s="1958">
        <v>2023</v>
      </c>
      <c r="D72" s="1958">
        <v>12</v>
      </c>
      <c r="E72" s="1958">
        <v>71</v>
      </c>
      <c r="F72" s="1958">
        <v>0</v>
      </c>
      <c r="G72" s="1958" t="s">
        <v>2100</v>
      </c>
      <c r="H72" s="1958" t="s">
        <v>728</v>
      </c>
      <c r="I72" s="1979">
        <f>SUM(I69:I71)</f>
        <v>68456799</v>
      </c>
      <c r="J72" s="1958">
        <f>SUM(J69:J71)</f>
        <v>10586603</v>
      </c>
      <c r="K72" s="1958">
        <f t="shared" si="2"/>
        <v>79043402</v>
      </c>
    </row>
    <row r="73" spans="1:11">
      <c r="A73" s="1958" t="s">
        <v>877</v>
      </c>
      <c r="B73" s="1958">
        <v>187</v>
      </c>
      <c r="C73" s="1958">
        <v>2023</v>
      </c>
      <c r="D73" s="1958">
        <v>12</v>
      </c>
      <c r="E73" s="1958">
        <v>72</v>
      </c>
      <c r="F73" s="1958">
        <v>0</v>
      </c>
      <c r="G73" s="1958" t="s">
        <v>2099</v>
      </c>
      <c r="H73" s="1958" t="s">
        <v>728</v>
      </c>
      <c r="I73" s="1958">
        <v>0</v>
      </c>
      <c r="J73" s="1958">
        <v>0</v>
      </c>
      <c r="K73" s="1958">
        <f t="shared" si="2"/>
        <v>0</v>
      </c>
    </row>
    <row r="74" spans="1:11">
      <c r="A74" s="1958" t="s">
        <v>877</v>
      </c>
      <c r="B74" s="1958">
        <v>187</v>
      </c>
      <c r="C74" s="1958">
        <v>2023</v>
      </c>
      <c r="D74" s="1958">
        <v>12</v>
      </c>
      <c r="E74" s="1958">
        <v>73</v>
      </c>
      <c r="F74" s="1958">
        <v>0</v>
      </c>
      <c r="G74" s="1958" t="s">
        <v>2098</v>
      </c>
      <c r="H74" s="1958" t="s">
        <v>728</v>
      </c>
      <c r="I74" s="1958">
        <v>2754050</v>
      </c>
      <c r="J74" s="1958">
        <v>219243</v>
      </c>
      <c r="K74" s="1958">
        <f t="shared" si="2"/>
        <v>2973293</v>
      </c>
    </row>
    <row r="75" spans="1:11">
      <c r="A75" s="1958" t="s">
        <v>877</v>
      </c>
      <c r="B75" s="1958">
        <v>187</v>
      </c>
      <c r="C75" s="1958">
        <v>2023</v>
      </c>
      <c r="D75" s="1958">
        <v>12</v>
      </c>
      <c r="E75" s="1958">
        <v>74</v>
      </c>
      <c r="F75" s="1958">
        <v>0</v>
      </c>
      <c r="G75" s="1958" t="s">
        <v>2097</v>
      </c>
      <c r="H75" s="1958" t="s">
        <v>728</v>
      </c>
      <c r="I75" s="1958">
        <v>991983</v>
      </c>
      <c r="J75" s="1958">
        <v>78969</v>
      </c>
      <c r="K75" s="1958">
        <f t="shared" si="2"/>
        <v>1070952</v>
      </c>
    </row>
    <row r="76" spans="1:11">
      <c r="A76" s="1958" t="s">
        <v>877</v>
      </c>
      <c r="B76" s="1958">
        <v>187</v>
      </c>
      <c r="C76" s="1958">
        <v>2023</v>
      </c>
      <c r="D76" s="1958">
        <v>12</v>
      </c>
      <c r="E76" s="1958">
        <v>75</v>
      </c>
      <c r="F76" s="1958">
        <v>0</v>
      </c>
      <c r="G76" s="1958" t="s">
        <v>1201</v>
      </c>
      <c r="H76" s="1958" t="s">
        <v>728</v>
      </c>
      <c r="I76" s="1958">
        <v>0</v>
      </c>
      <c r="J76" s="1958">
        <v>0</v>
      </c>
      <c r="K76" s="1958">
        <f t="shared" si="2"/>
        <v>0</v>
      </c>
    </row>
    <row r="77" spans="1:11">
      <c r="A77" s="1958" t="s">
        <v>877</v>
      </c>
      <c r="B77" s="1958">
        <v>187</v>
      </c>
      <c r="C77" s="1958">
        <v>2023</v>
      </c>
      <c r="D77" s="1958">
        <v>12</v>
      </c>
      <c r="E77" s="1958">
        <v>76</v>
      </c>
      <c r="F77" s="1958">
        <v>0</v>
      </c>
      <c r="G77" s="1958" t="s">
        <v>2096</v>
      </c>
      <c r="H77" s="1958" t="s">
        <v>728</v>
      </c>
      <c r="I77" s="1979">
        <f>SUM(I74:I76)</f>
        <v>3746033</v>
      </c>
      <c r="J77" s="1958">
        <f>SUM(J74:J76)</f>
        <v>298212</v>
      </c>
      <c r="K77" s="1958">
        <f t="shared" si="2"/>
        <v>4044245</v>
      </c>
    </row>
    <row r="78" spans="1:11">
      <c r="A78" s="1958" t="s">
        <v>877</v>
      </c>
      <c r="B78" s="1958">
        <v>187</v>
      </c>
      <c r="C78" s="1958">
        <v>2023</v>
      </c>
      <c r="D78" s="1958">
        <v>12</v>
      </c>
      <c r="E78" s="1958">
        <v>77</v>
      </c>
      <c r="F78" s="1958">
        <v>0</v>
      </c>
      <c r="G78" s="1958" t="s">
        <v>2095</v>
      </c>
      <c r="H78" s="1958" t="s">
        <v>728</v>
      </c>
      <c r="I78" s="1958">
        <v>0</v>
      </c>
      <c r="J78" s="1958">
        <v>0</v>
      </c>
      <c r="K78" s="1958">
        <f t="shared" si="2"/>
        <v>0</v>
      </c>
    </row>
    <row r="79" spans="1:11">
      <c r="A79" s="1958" t="s">
        <v>877</v>
      </c>
      <c r="B79" s="1958">
        <v>187</v>
      </c>
      <c r="C79" s="1958">
        <v>2023</v>
      </c>
      <c r="D79" s="1958">
        <v>12</v>
      </c>
      <c r="E79" s="1958">
        <v>78</v>
      </c>
      <c r="F79" s="1958">
        <v>0</v>
      </c>
      <c r="G79" s="1958" t="s">
        <v>2094</v>
      </c>
      <c r="H79" s="1958" t="s">
        <v>2094</v>
      </c>
      <c r="I79" s="1958">
        <v>3033814</v>
      </c>
      <c r="J79" s="1958">
        <v>-3033814</v>
      </c>
      <c r="K79" s="1958">
        <f t="shared" si="2"/>
        <v>0</v>
      </c>
    </row>
    <row r="80" spans="1:11">
      <c r="A80" s="1958" t="s">
        <v>877</v>
      </c>
      <c r="B80" s="1958">
        <v>187</v>
      </c>
      <c r="C80" s="1958">
        <v>2023</v>
      </c>
      <c r="D80" s="1958">
        <v>12</v>
      </c>
      <c r="E80" s="1958">
        <v>79</v>
      </c>
      <c r="F80" s="1958">
        <v>0</v>
      </c>
      <c r="G80" s="1958" t="s">
        <v>2093</v>
      </c>
      <c r="H80" s="1958" t="s">
        <v>2093</v>
      </c>
      <c r="I80" s="1958">
        <v>5526184</v>
      </c>
      <c r="J80" s="1958">
        <v>-5526184</v>
      </c>
      <c r="K80" s="1958">
        <f t="shared" si="2"/>
        <v>0</v>
      </c>
    </row>
    <row r="81" spans="1:11">
      <c r="A81" s="1958" t="s">
        <v>877</v>
      </c>
      <c r="B81" s="1958">
        <v>187</v>
      </c>
      <c r="C81" s="1958">
        <v>2023</v>
      </c>
      <c r="D81" s="1958">
        <v>12</v>
      </c>
      <c r="E81" s="1958">
        <v>80</v>
      </c>
      <c r="F81" s="1958">
        <v>0</v>
      </c>
      <c r="G81" s="1958" t="s">
        <v>887</v>
      </c>
      <c r="H81" s="1958" t="s">
        <v>887</v>
      </c>
      <c r="I81" s="1958">
        <v>1274251</v>
      </c>
      <c r="J81" s="1958">
        <v>0</v>
      </c>
      <c r="K81" s="1958">
        <f t="shared" si="2"/>
        <v>1274251</v>
      </c>
    </row>
    <row r="82" spans="1:11">
      <c r="A82" s="1958" t="s">
        <v>877</v>
      </c>
      <c r="B82" s="1958">
        <v>187</v>
      </c>
      <c r="C82" s="1958">
        <v>2023</v>
      </c>
      <c r="D82" s="1958">
        <v>12</v>
      </c>
      <c r="E82" s="1958">
        <v>81</v>
      </c>
      <c r="F82" s="1958">
        <v>0</v>
      </c>
      <c r="G82" s="1958" t="s">
        <v>2092</v>
      </c>
      <c r="H82" s="1958" t="s">
        <v>2092</v>
      </c>
      <c r="I82" s="1958">
        <v>743935</v>
      </c>
      <c r="J82" s="1958">
        <v>0</v>
      </c>
      <c r="K82" s="1958">
        <f t="shared" si="2"/>
        <v>743935</v>
      </c>
    </row>
    <row r="83" spans="1:11">
      <c r="A83" s="1958" t="s">
        <v>877</v>
      </c>
      <c r="B83" s="1958">
        <v>187</v>
      </c>
      <c r="C83" s="1958">
        <v>2023</v>
      </c>
      <c r="D83" s="1958">
        <v>12</v>
      </c>
      <c r="E83" s="1958">
        <v>82</v>
      </c>
      <c r="F83" s="1958">
        <v>0</v>
      </c>
      <c r="G83" s="1958" t="s">
        <v>2091</v>
      </c>
      <c r="H83" s="1958" t="s">
        <v>2091</v>
      </c>
      <c r="I83" s="1958">
        <v>39474</v>
      </c>
      <c r="J83" s="1958">
        <v>0</v>
      </c>
      <c r="K83" s="1958">
        <f t="shared" si="2"/>
        <v>39474</v>
      </c>
    </row>
    <row r="84" spans="1:11">
      <c r="A84" s="1958" t="s">
        <v>877</v>
      </c>
      <c r="B84" s="1958">
        <v>187</v>
      </c>
      <c r="C84" s="1958">
        <v>2023</v>
      </c>
      <c r="D84" s="1958">
        <v>12</v>
      </c>
      <c r="E84" s="1958">
        <v>83</v>
      </c>
      <c r="F84" s="1958">
        <v>0</v>
      </c>
      <c r="G84" s="1958" t="s">
        <v>2090</v>
      </c>
      <c r="H84" s="1958" t="s">
        <v>2090</v>
      </c>
      <c r="I84" s="1958">
        <v>974987</v>
      </c>
      <c r="J84" s="1958">
        <v>0</v>
      </c>
      <c r="K84" s="1958">
        <f t="shared" si="2"/>
        <v>974987</v>
      </c>
    </row>
    <row r="85" spans="1:11">
      <c r="A85" s="1958" t="s">
        <v>877</v>
      </c>
      <c r="B85" s="1958">
        <v>187</v>
      </c>
      <c r="C85" s="1958">
        <v>2023</v>
      </c>
      <c r="D85" s="1958">
        <v>12</v>
      </c>
      <c r="E85" s="1958">
        <v>84</v>
      </c>
      <c r="F85" s="1958">
        <v>0</v>
      </c>
      <c r="G85" s="1958" t="s">
        <v>2089</v>
      </c>
      <c r="H85" s="1958" t="s">
        <v>2089</v>
      </c>
      <c r="I85" s="1958">
        <v>12261080</v>
      </c>
      <c r="J85" s="1958">
        <v>-12261080</v>
      </c>
      <c r="K85" s="1958">
        <f t="shared" si="2"/>
        <v>0</v>
      </c>
    </row>
    <row r="86" spans="1:11">
      <c r="A86" s="1958" t="s">
        <v>877</v>
      </c>
      <c r="B86" s="1958">
        <v>187</v>
      </c>
      <c r="C86" s="1958">
        <v>2023</v>
      </c>
      <c r="D86" s="1958">
        <v>12</v>
      </c>
      <c r="E86" s="1958">
        <v>85</v>
      </c>
      <c r="F86" s="1958">
        <v>0</v>
      </c>
      <c r="G86" s="1958" t="s">
        <v>1653</v>
      </c>
      <c r="H86" s="1958" t="s">
        <v>1653</v>
      </c>
      <c r="I86" s="1958">
        <v>2430691</v>
      </c>
      <c r="J86" s="1958">
        <v>-2430691</v>
      </c>
      <c r="K86" s="1958">
        <f t="shared" si="2"/>
        <v>0</v>
      </c>
    </row>
    <row r="87" spans="1:11">
      <c r="A87" s="1958" t="s">
        <v>877</v>
      </c>
      <c r="B87" s="1958">
        <v>187</v>
      </c>
      <c r="C87" s="1958">
        <v>2023</v>
      </c>
      <c r="D87" s="1958">
        <v>12</v>
      </c>
      <c r="E87" s="1958">
        <v>86</v>
      </c>
      <c r="F87" s="1958">
        <v>0</v>
      </c>
      <c r="G87" s="1958" t="s">
        <v>2088</v>
      </c>
      <c r="H87" s="1958" t="s">
        <v>2088</v>
      </c>
      <c r="I87" s="1958">
        <v>250528</v>
      </c>
      <c r="J87" s="1958">
        <v>0</v>
      </c>
      <c r="K87" s="1958">
        <f t="shared" si="2"/>
        <v>250528</v>
      </c>
    </row>
    <row r="88" spans="1:11">
      <c r="A88" s="1958" t="s">
        <v>877</v>
      </c>
      <c r="B88" s="1958">
        <v>187</v>
      </c>
      <c r="C88" s="1958">
        <v>2023</v>
      </c>
      <c r="D88" s="1958">
        <v>12</v>
      </c>
      <c r="E88" s="1958">
        <v>87</v>
      </c>
      <c r="F88" s="1958">
        <v>0</v>
      </c>
      <c r="G88" s="1958" t="s">
        <v>2087</v>
      </c>
      <c r="H88" s="1958" t="s">
        <v>2087</v>
      </c>
      <c r="I88" s="1958">
        <v>29517696</v>
      </c>
      <c r="J88" s="1958">
        <v>0</v>
      </c>
      <c r="K88" s="1958">
        <f t="shared" si="2"/>
        <v>29517696</v>
      </c>
    </row>
    <row r="89" spans="1:11">
      <c r="A89" s="1958" t="s">
        <v>877</v>
      </c>
      <c r="B89" s="1958">
        <v>187</v>
      </c>
      <c r="C89" s="1958">
        <v>2023</v>
      </c>
      <c r="D89" s="1958">
        <v>12</v>
      </c>
      <c r="E89" s="1958">
        <v>88</v>
      </c>
      <c r="F89" s="1958">
        <v>0</v>
      </c>
      <c r="G89" s="1958" t="s">
        <v>728</v>
      </c>
      <c r="H89" s="1958" t="s">
        <v>728</v>
      </c>
      <c r="I89" s="1958">
        <v>0</v>
      </c>
      <c r="J89" s="1958">
        <v>0</v>
      </c>
      <c r="K89" s="1958">
        <f t="shared" si="2"/>
        <v>0</v>
      </c>
    </row>
    <row r="90" spans="1:11">
      <c r="A90" s="1958" t="s">
        <v>877</v>
      </c>
      <c r="B90" s="1958">
        <v>187</v>
      </c>
      <c r="C90" s="1958">
        <v>2023</v>
      </c>
      <c r="D90" s="1958">
        <v>12</v>
      </c>
      <c r="E90" s="1958">
        <v>89</v>
      </c>
      <c r="F90" s="1958">
        <v>0</v>
      </c>
      <c r="G90" s="1958" t="s">
        <v>728</v>
      </c>
      <c r="H90" s="1958" t="s">
        <v>728</v>
      </c>
      <c r="I90" s="1958">
        <v>0</v>
      </c>
      <c r="J90" s="1958">
        <v>0</v>
      </c>
      <c r="K90" s="1958">
        <f t="shared" si="2"/>
        <v>0</v>
      </c>
    </row>
    <row r="91" spans="1:11">
      <c r="A91" s="1958" t="s">
        <v>877</v>
      </c>
      <c r="B91" s="1958">
        <v>187</v>
      </c>
      <c r="C91" s="1958">
        <v>2023</v>
      </c>
      <c r="D91" s="1958">
        <v>12</v>
      </c>
      <c r="E91" s="1958">
        <v>90</v>
      </c>
      <c r="F91" s="1958">
        <v>0</v>
      </c>
      <c r="G91" s="1958" t="s">
        <v>728</v>
      </c>
      <c r="H91" s="1958" t="s">
        <v>728</v>
      </c>
      <c r="I91" s="1958">
        <v>0</v>
      </c>
      <c r="J91" s="1958">
        <v>0</v>
      </c>
      <c r="K91" s="1958">
        <f t="shared" si="2"/>
        <v>0</v>
      </c>
    </row>
    <row r="92" spans="1:11">
      <c r="A92" s="1958" t="s">
        <v>877</v>
      </c>
      <c r="B92" s="1958">
        <v>187</v>
      </c>
      <c r="C92" s="1958">
        <v>2023</v>
      </c>
      <c r="D92" s="1958">
        <v>12</v>
      </c>
      <c r="E92" s="1958">
        <v>91</v>
      </c>
      <c r="F92" s="1958">
        <v>0</v>
      </c>
      <c r="G92" s="1958" t="s">
        <v>728</v>
      </c>
      <c r="H92" s="1958" t="s">
        <v>728</v>
      </c>
      <c r="I92" s="1958">
        <v>0</v>
      </c>
      <c r="J92" s="1958">
        <v>0</v>
      </c>
      <c r="K92" s="1958">
        <f t="shared" si="2"/>
        <v>0</v>
      </c>
    </row>
    <row r="93" spans="1:11">
      <c r="A93" s="1958" t="s">
        <v>877</v>
      </c>
      <c r="B93" s="1958">
        <v>187</v>
      </c>
      <c r="C93" s="1958">
        <v>2023</v>
      </c>
      <c r="D93" s="1958">
        <v>12</v>
      </c>
      <c r="E93" s="1958">
        <v>92</v>
      </c>
      <c r="F93" s="1958">
        <v>0</v>
      </c>
      <c r="G93" s="1958" t="s">
        <v>728</v>
      </c>
      <c r="H93" s="1958" t="s">
        <v>728</v>
      </c>
      <c r="I93" s="1958">
        <v>0</v>
      </c>
      <c r="J93" s="1958">
        <v>0</v>
      </c>
      <c r="K93" s="1958">
        <f t="shared" si="2"/>
        <v>0</v>
      </c>
    </row>
    <row r="94" spans="1:11">
      <c r="A94" s="1958" t="s">
        <v>877</v>
      </c>
      <c r="B94" s="1958">
        <v>187</v>
      </c>
      <c r="C94" s="1958">
        <v>2023</v>
      </c>
      <c r="D94" s="1958">
        <v>12</v>
      </c>
      <c r="E94" s="1958">
        <v>93</v>
      </c>
      <c r="F94" s="1958">
        <v>0</v>
      </c>
      <c r="G94" s="1958" t="s">
        <v>728</v>
      </c>
      <c r="H94" s="1958" t="s">
        <v>728</v>
      </c>
      <c r="I94" s="1958">
        <v>0</v>
      </c>
      <c r="J94" s="1958">
        <v>0</v>
      </c>
      <c r="K94" s="1958">
        <f t="shared" si="2"/>
        <v>0</v>
      </c>
    </row>
    <row r="95" spans="1:11">
      <c r="A95" s="1958" t="s">
        <v>877</v>
      </c>
      <c r="B95" s="1958">
        <v>187</v>
      </c>
      <c r="C95" s="1958">
        <v>2023</v>
      </c>
      <c r="D95" s="1958">
        <v>12</v>
      </c>
      <c r="E95" s="1958">
        <v>94</v>
      </c>
      <c r="F95" s="1958">
        <v>0</v>
      </c>
      <c r="G95" s="1958" t="s">
        <v>728</v>
      </c>
      <c r="H95" s="1958" t="s">
        <v>728</v>
      </c>
      <c r="I95" s="1958">
        <v>0</v>
      </c>
      <c r="J95" s="1958">
        <v>0</v>
      </c>
      <c r="K95" s="1958">
        <f t="shared" si="2"/>
        <v>0</v>
      </c>
    </row>
    <row r="96" spans="1:11">
      <c r="A96" s="1958" t="s">
        <v>877</v>
      </c>
      <c r="B96" s="1958">
        <v>187</v>
      </c>
      <c r="C96" s="1958">
        <v>2023</v>
      </c>
      <c r="D96" s="1958">
        <v>12</v>
      </c>
      <c r="E96" s="1958">
        <v>95</v>
      </c>
      <c r="F96" s="1958">
        <v>0</v>
      </c>
      <c r="G96" s="1958" t="s">
        <v>2086</v>
      </c>
      <c r="H96" s="1958" t="s">
        <v>728</v>
      </c>
      <c r="I96" s="1979">
        <f>SUM(I79:I95)</f>
        <v>56052640</v>
      </c>
      <c r="J96" s="1958">
        <f>SUM(J79:J95)</f>
        <v>-23251769</v>
      </c>
      <c r="K96" s="1958">
        <f>SUM(K79:K95)</f>
        <v>32800871</v>
      </c>
    </row>
    <row r="97" spans="1:11">
      <c r="A97" s="1958" t="s">
        <v>877</v>
      </c>
      <c r="B97" s="1958">
        <v>187</v>
      </c>
      <c r="C97" s="1958">
        <v>2023</v>
      </c>
      <c r="D97" s="1958">
        <v>12</v>
      </c>
      <c r="E97" s="1958">
        <v>96</v>
      </c>
      <c r="F97" s="1958">
        <v>0</v>
      </c>
      <c r="G97" s="1958" t="s">
        <v>2085</v>
      </c>
      <c r="H97" s="1958" t="s">
        <v>728</v>
      </c>
      <c r="I97" s="1958">
        <f>SUM(I66,I72,I77,I96)</f>
        <v>240605484</v>
      </c>
      <c r="K97" s="1958">
        <f>I97+J97</f>
        <v>240605484</v>
      </c>
    </row>
  </sheetData>
  <pageMargins left="0.75" right="0.75" top="1" bottom="1" header="0.5" footer="0.5"/>
  <pageSetup orientation="portrait" r:id="rId1"/>
  <customProperties>
    <customPr name="xxe4aPID" r:id="rId2"/>
  </customPropertie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17575-D457-4F30-A28F-96F22B11A0CE}">
  <sheetPr codeName="Sheet72">
    <tabColor rgb="FF92D050"/>
  </sheetPr>
  <dimension ref="A1:J29"/>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56.25" style="1958" bestFit="1" customWidth="1"/>
    <col min="8" max="10" width="12.375" style="1958" bestFit="1" customWidth="1"/>
    <col min="11" max="16384" width="9" style="1958"/>
  </cols>
  <sheetData>
    <row r="1" spans="1:10">
      <c r="A1" s="1974" t="s">
        <v>984</v>
      </c>
      <c r="B1" s="1974" t="s">
        <v>983</v>
      </c>
      <c r="C1" s="1974" t="s">
        <v>982</v>
      </c>
      <c r="D1" s="1974" t="s">
        <v>981</v>
      </c>
      <c r="E1" s="1974" t="s">
        <v>980</v>
      </c>
      <c r="F1" s="1974" t="s">
        <v>979</v>
      </c>
      <c r="G1" s="1974" t="s">
        <v>978</v>
      </c>
      <c r="H1" s="1974" t="s">
        <v>2164</v>
      </c>
      <c r="I1" s="1974" t="s">
        <v>2163</v>
      </c>
      <c r="J1" s="1974" t="s">
        <v>2162</v>
      </c>
    </row>
    <row r="2" spans="1:10">
      <c r="A2" s="1958" t="s">
        <v>877</v>
      </c>
      <c r="B2" s="1958">
        <v>187</v>
      </c>
      <c r="C2" s="1958">
        <v>2023</v>
      </c>
      <c r="D2" s="1958">
        <v>12</v>
      </c>
      <c r="E2" s="1958">
        <v>1</v>
      </c>
      <c r="F2" s="1958">
        <v>0</v>
      </c>
      <c r="G2" s="1958" t="s">
        <v>2161</v>
      </c>
      <c r="H2" s="1963">
        <v>0</v>
      </c>
      <c r="I2" s="1963">
        <v>0</v>
      </c>
      <c r="J2" s="1963">
        <v>0</v>
      </c>
    </row>
    <row r="3" spans="1:10">
      <c r="A3" s="1958" t="s">
        <v>877</v>
      </c>
      <c r="B3" s="1958">
        <v>187</v>
      </c>
      <c r="C3" s="1958">
        <v>2023</v>
      </c>
      <c r="D3" s="1958">
        <v>12</v>
      </c>
      <c r="E3" s="1958">
        <v>2</v>
      </c>
      <c r="F3" s="1958">
        <v>0</v>
      </c>
      <c r="G3" s="1958" t="s">
        <v>2160</v>
      </c>
      <c r="H3" s="1963">
        <v>0</v>
      </c>
      <c r="I3" s="1963">
        <v>0</v>
      </c>
      <c r="J3" s="1963">
        <v>0</v>
      </c>
    </row>
    <row r="4" spans="1:10">
      <c r="A4" s="1958" t="s">
        <v>877</v>
      </c>
      <c r="B4" s="1958">
        <v>187</v>
      </c>
      <c r="C4" s="1958">
        <v>2023</v>
      </c>
      <c r="D4" s="1958">
        <v>12</v>
      </c>
      <c r="E4" s="1958">
        <v>3</v>
      </c>
      <c r="F4" s="1958">
        <v>0</v>
      </c>
      <c r="G4" s="1958" t="s">
        <v>673</v>
      </c>
      <c r="H4" s="1963">
        <v>1950137</v>
      </c>
      <c r="I4" s="1963">
        <v>1950137</v>
      </c>
      <c r="J4" s="1963">
        <v>0</v>
      </c>
    </row>
    <row r="5" spans="1:10">
      <c r="A5" s="1958" t="s">
        <v>877</v>
      </c>
      <c r="B5" s="1958">
        <v>187</v>
      </c>
      <c r="C5" s="1958">
        <v>2023</v>
      </c>
      <c r="D5" s="1958">
        <v>12</v>
      </c>
      <c r="E5" s="1958">
        <v>4</v>
      </c>
      <c r="F5" s="1958">
        <v>0</v>
      </c>
      <c r="G5" s="1958" t="s">
        <v>682</v>
      </c>
      <c r="H5" s="1963">
        <v>0</v>
      </c>
      <c r="I5" s="1963">
        <v>0</v>
      </c>
      <c r="J5" s="1963">
        <v>0</v>
      </c>
    </row>
    <row r="6" spans="1:10">
      <c r="A6" s="1958" t="s">
        <v>877</v>
      </c>
      <c r="B6" s="1958">
        <v>187</v>
      </c>
      <c r="C6" s="1958">
        <v>2023</v>
      </c>
      <c r="D6" s="1958">
        <v>12</v>
      </c>
      <c r="E6" s="1958">
        <v>5</v>
      </c>
      <c r="F6" s="1958">
        <v>0</v>
      </c>
      <c r="G6" s="1958" t="s">
        <v>2159</v>
      </c>
      <c r="H6" s="1963">
        <v>3024124</v>
      </c>
      <c r="I6" s="1963">
        <v>3024124</v>
      </c>
      <c r="J6" s="1963">
        <v>0</v>
      </c>
    </row>
    <row r="7" spans="1:10">
      <c r="A7" s="1958" t="s">
        <v>877</v>
      </c>
      <c r="B7" s="1958">
        <v>187</v>
      </c>
      <c r="C7" s="1958">
        <v>2023</v>
      </c>
      <c r="D7" s="1958">
        <v>12</v>
      </c>
      <c r="E7" s="1958">
        <v>6</v>
      </c>
      <c r="F7" s="1958">
        <v>0</v>
      </c>
      <c r="G7" s="1958" t="s">
        <v>2158</v>
      </c>
      <c r="H7" s="1963">
        <v>0</v>
      </c>
      <c r="I7" s="1963">
        <v>0</v>
      </c>
      <c r="J7" s="1963">
        <v>0</v>
      </c>
    </row>
    <row r="8" spans="1:10">
      <c r="A8" s="1958" t="s">
        <v>877</v>
      </c>
      <c r="B8" s="1958">
        <v>187</v>
      </c>
      <c r="C8" s="1958">
        <v>2023</v>
      </c>
      <c r="D8" s="1958">
        <v>12</v>
      </c>
      <c r="E8" s="1958">
        <v>7</v>
      </c>
      <c r="F8" s="1958">
        <v>0</v>
      </c>
      <c r="G8" s="1958" t="s">
        <v>107</v>
      </c>
      <c r="H8" s="1963">
        <v>3134299</v>
      </c>
      <c r="I8" s="1963">
        <v>3134299</v>
      </c>
      <c r="J8" s="1963">
        <v>0</v>
      </c>
    </row>
    <row r="9" spans="1:10">
      <c r="A9" s="1958" t="s">
        <v>877</v>
      </c>
      <c r="B9" s="1958">
        <v>187</v>
      </c>
      <c r="C9" s="1958">
        <v>2023</v>
      </c>
      <c r="D9" s="1958">
        <v>12</v>
      </c>
      <c r="E9" s="1958">
        <v>8</v>
      </c>
      <c r="F9" s="1958">
        <v>0</v>
      </c>
      <c r="G9" s="1958" t="s">
        <v>2157</v>
      </c>
      <c r="H9" s="1963">
        <v>0</v>
      </c>
      <c r="I9" s="1963">
        <v>0</v>
      </c>
      <c r="J9" s="1963">
        <v>0</v>
      </c>
    </row>
    <row r="10" spans="1:10">
      <c r="A10" s="1958" t="s">
        <v>877</v>
      </c>
      <c r="B10" s="1958">
        <v>187</v>
      </c>
      <c r="C10" s="1958">
        <v>2023</v>
      </c>
      <c r="D10" s="1958">
        <v>12</v>
      </c>
      <c r="E10" s="1958">
        <v>9</v>
      </c>
      <c r="F10" s="1958">
        <v>0</v>
      </c>
      <c r="G10" s="1958" t="s">
        <v>2156</v>
      </c>
      <c r="H10" s="1963">
        <v>8108560</v>
      </c>
      <c r="I10" s="1963">
        <v>8108560</v>
      </c>
      <c r="J10" s="1963">
        <v>0</v>
      </c>
    </row>
    <row r="11" spans="1:10">
      <c r="A11" s="1958" t="s">
        <v>877</v>
      </c>
      <c r="B11" s="1958">
        <v>187</v>
      </c>
      <c r="C11" s="1958">
        <v>2023</v>
      </c>
      <c r="D11" s="1958">
        <v>12</v>
      </c>
      <c r="E11" s="1958">
        <v>10</v>
      </c>
      <c r="F11" s="1958">
        <v>0</v>
      </c>
      <c r="G11" s="1958" t="s">
        <v>2155</v>
      </c>
      <c r="H11" s="1963">
        <v>5601050</v>
      </c>
      <c r="I11" s="1963">
        <v>5601050</v>
      </c>
      <c r="J11" s="1963">
        <v>0</v>
      </c>
    </row>
    <row r="12" spans="1:10">
      <c r="A12" s="1958" t="s">
        <v>877</v>
      </c>
      <c r="B12" s="1958">
        <v>187</v>
      </c>
      <c r="C12" s="1958">
        <v>2023</v>
      </c>
      <c r="D12" s="1958">
        <v>12</v>
      </c>
      <c r="E12" s="1958">
        <v>11</v>
      </c>
      <c r="F12" s="1958">
        <v>0</v>
      </c>
      <c r="G12" s="1958" t="s">
        <v>2154</v>
      </c>
      <c r="H12" s="1963">
        <v>0</v>
      </c>
      <c r="I12" s="1963">
        <v>0</v>
      </c>
      <c r="J12" s="1963">
        <v>0</v>
      </c>
    </row>
    <row r="13" spans="1:10">
      <c r="A13" s="1958" t="s">
        <v>877</v>
      </c>
      <c r="B13" s="1958">
        <v>187</v>
      </c>
      <c r="C13" s="1958">
        <v>2023</v>
      </c>
      <c r="D13" s="1958">
        <v>12</v>
      </c>
      <c r="E13" s="1958">
        <v>12</v>
      </c>
      <c r="F13" s="1958">
        <v>0</v>
      </c>
      <c r="G13" s="1958" t="s">
        <v>2151</v>
      </c>
      <c r="H13" s="1963">
        <v>11825</v>
      </c>
      <c r="I13" s="1963">
        <v>11825</v>
      </c>
      <c r="J13" s="1963">
        <v>0</v>
      </c>
    </row>
    <row r="14" spans="1:10">
      <c r="A14" s="1958" t="s">
        <v>877</v>
      </c>
      <c r="B14" s="1958">
        <v>187</v>
      </c>
      <c r="C14" s="1958">
        <v>2023</v>
      </c>
      <c r="D14" s="1958">
        <v>12</v>
      </c>
      <c r="E14" s="1958">
        <v>13</v>
      </c>
      <c r="F14" s="1958">
        <v>0</v>
      </c>
      <c r="G14" s="1958" t="s">
        <v>2150</v>
      </c>
      <c r="H14" s="1963">
        <v>421689</v>
      </c>
      <c r="I14" s="1963">
        <v>421689</v>
      </c>
      <c r="J14" s="1963">
        <v>0</v>
      </c>
    </row>
    <row r="15" spans="1:10">
      <c r="A15" s="1958" t="s">
        <v>877</v>
      </c>
      <c r="B15" s="1958">
        <v>187</v>
      </c>
      <c r="C15" s="1958">
        <v>2023</v>
      </c>
      <c r="D15" s="1958">
        <v>12</v>
      </c>
      <c r="E15" s="1958">
        <v>14</v>
      </c>
      <c r="F15" s="1958">
        <v>0</v>
      </c>
      <c r="G15" s="1958" t="s">
        <v>2153</v>
      </c>
      <c r="H15" s="1963">
        <v>-409864</v>
      </c>
      <c r="I15" s="1963">
        <v>-409864</v>
      </c>
      <c r="J15" s="1963">
        <v>0</v>
      </c>
    </row>
    <row r="16" spans="1:10">
      <c r="A16" s="1958" t="s">
        <v>877</v>
      </c>
      <c r="B16" s="1958">
        <v>187</v>
      </c>
      <c r="C16" s="1958">
        <v>2023</v>
      </c>
      <c r="D16" s="1958">
        <v>12</v>
      </c>
      <c r="E16" s="1958">
        <v>15</v>
      </c>
      <c r="F16" s="1958">
        <v>0</v>
      </c>
      <c r="G16" s="1958" t="s">
        <v>2152</v>
      </c>
      <c r="H16" s="1963">
        <v>0</v>
      </c>
      <c r="I16" s="1963">
        <v>0</v>
      </c>
      <c r="J16" s="1963">
        <v>0</v>
      </c>
    </row>
    <row r="17" spans="1:10">
      <c r="A17" s="1958" t="s">
        <v>877</v>
      </c>
      <c r="B17" s="1958">
        <v>187</v>
      </c>
      <c r="C17" s="1958">
        <v>2023</v>
      </c>
      <c r="D17" s="1958">
        <v>12</v>
      </c>
      <c r="E17" s="1958">
        <v>16</v>
      </c>
      <c r="F17" s="1958">
        <v>0</v>
      </c>
      <c r="G17" s="1958" t="s">
        <v>2151</v>
      </c>
      <c r="H17" s="1963">
        <v>4446353</v>
      </c>
      <c r="I17" s="1963">
        <v>4446353</v>
      </c>
      <c r="J17" s="1963">
        <v>0</v>
      </c>
    </row>
    <row r="18" spans="1:10">
      <c r="A18" s="1958" t="s">
        <v>877</v>
      </c>
      <c r="B18" s="1958">
        <v>187</v>
      </c>
      <c r="C18" s="1958">
        <v>2023</v>
      </c>
      <c r="D18" s="1958">
        <v>12</v>
      </c>
      <c r="E18" s="1958">
        <v>17</v>
      </c>
      <c r="F18" s="1958">
        <v>0</v>
      </c>
      <c r="G18" s="1958" t="s">
        <v>2150</v>
      </c>
      <c r="H18" s="1963">
        <v>4446353</v>
      </c>
      <c r="I18" s="1963">
        <v>4446353</v>
      </c>
      <c r="J18" s="1963">
        <v>0</v>
      </c>
    </row>
    <row r="19" spans="1:10">
      <c r="A19" s="1958" t="s">
        <v>877</v>
      </c>
      <c r="B19" s="1958">
        <v>187</v>
      </c>
      <c r="C19" s="1958">
        <v>2023</v>
      </c>
      <c r="D19" s="1958">
        <v>12</v>
      </c>
      <c r="E19" s="1958">
        <v>18</v>
      </c>
      <c r="F19" s="1958">
        <v>0</v>
      </c>
      <c r="G19" s="1958" t="s">
        <v>2149</v>
      </c>
      <c r="H19" s="1963">
        <v>0</v>
      </c>
      <c r="I19" s="1963">
        <v>0</v>
      </c>
      <c r="J19" s="1963">
        <v>0</v>
      </c>
    </row>
    <row r="20" spans="1:10">
      <c r="A20" s="1958" t="s">
        <v>877</v>
      </c>
      <c r="B20" s="1958">
        <v>187</v>
      </c>
      <c r="C20" s="1958">
        <v>2023</v>
      </c>
      <c r="D20" s="1958">
        <v>12</v>
      </c>
      <c r="E20" s="1958">
        <v>19</v>
      </c>
      <c r="F20" s="1958">
        <v>0</v>
      </c>
      <c r="G20" s="1958" t="s">
        <v>2148</v>
      </c>
      <c r="H20" s="1963">
        <v>0</v>
      </c>
      <c r="I20" s="1963">
        <v>0</v>
      </c>
      <c r="J20" s="1963">
        <v>0</v>
      </c>
    </row>
    <row r="21" spans="1:10">
      <c r="A21" s="1958" t="s">
        <v>877</v>
      </c>
      <c r="B21" s="1958">
        <v>187</v>
      </c>
      <c r="C21" s="1958">
        <v>2023</v>
      </c>
      <c r="D21" s="1958">
        <v>12</v>
      </c>
      <c r="E21" s="1958">
        <v>20</v>
      </c>
      <c r="F21" s="1958">
        <v>0</v>
      </c>
      <c r="G21" s="1958" t="s">
        <v>2147</v>
      </c>
      <c r="H21" s="1963">
        <v>13299746</v>
      </c>
      <c r="I21" s="1963">
        <v>13299746</v>
      </c>
      <c r="J21" s="1963">
        <v>0</v>
      </c>
    </row>
    <row r="22" spans="1:10">
      <c r="A22" s="1958" t="s">
        <v>877</v>
      </c>
      <c r="B22" s="1958">
        <v>187</v>
      </c>
      <c r="C22" s="1958">
        <v>2023</v>
      </c>
      <c r="D22" s="1958">
        <v>12</v>
      </c>
      <c r="E22" s="1958">
        <v>21</v>
      </c>
      <c r="F22" s="1958">
        <v>0</v>
      </c>
      <c r="G22" s="1958" t="s">
        <v>2146</v>
      </c>
      <c r="H22" s="1963">
        <v>0</v>
      </c>
      <c r="I22" s="1963">
        <v>0</v>
      </c>
      <c r="J22" s="1963">
        <v>0</v>
      </c>
    </row>
    <row r="23" spans="1:10">
      <c r="A23" s="1965" t="s">
        <v>877</v>
      </c>
      <c r="B23" s="1965">
        <v>187</v>
      </c>
      <c r="C23" s="1958">
        <v>2023</v>
      </c>
      <c r="D23" s="1965">
        <v>12</v>
      </c>
      <c r="E23" s="1965">
        <v>22</v>
      </c>
      <c r="F23" s="1965">
        <v>0</v>
      </c>
      <c r="G23" s="1965" t="s">
        <v>2145</v>
      </c>
      <c r="H23" s="1964">
        <v>9307869</v>
      </c>
      <c r="I23" s="1964">
        <v>0</v>
      </c>
      <c r="J23" s="1982">
        <v>9307869</v>
      </c>
    </row>
    <row r="24" spans="1:10">
      <c r="A24" s="1958" t="s">
        <v>877</v>
      </c>
      <c r="B24" s="1958">
        <v>187</v>
      </c>
      <c r="C24" s="1958">
        <v>2023</v>
      </c>
      <c r="D24" s="1958">
        <v>12</v>
      </c>
      <c r="E24" s="1958">
        <v>23</v>
      </c>
      <c r="F24" s="1958">
        <v>0</v>
      </c>
      <c r="G24" s="1958" t="s">
        <v>2144</v>
      </c>
      <c r="H24" s="1963">
        <v>0</v>
      </c>
      <c r="I24" s="1963">
        <v>0</v>
      </c>
      <c r="J24" s="1963">
        <v>0</v>
      </c>
    </row>
    <row r="25" spans="1:10">
      <c r="A25" s="1958" t="s">
        <v>877</v>
      </c>
      <c r="B25" s="1958">
        <v>187</v>
      </c>
      <c r="C25" s="1958">
        <v>2023</v>
      </c>
      <c r="D25" s="1958">
        <v>12</v>
      </c>
      <c r="E25" s="1958">
        <v>24</v>
      </c>
      <c r="F25" s="1958">
        <v>0</v>
      </c>
      <c r="G25" s="1958" t="s">
        <v>2143</v>
      </c>
      <c r="H25" s="1963">
        <v>3521491</v>
      </c>
      <c r="I25" s="1963">
        <v>0</v>
      </c>
      <c r="J25" s="1963">
        <v>3521491</v>
      </c>
    </row>
    <row r="26" spans="1:10">
      <c r="A26" s="1958" t="s">
        <v>877</v>
      </c>
      <c r="B26" s="1958">
        <v>187</v>
      </c>
      <c r="C26" s="1958">
        <v>2023</v>
      </c>
      <c r="D26" s="1958">
        <v>12</v>
      </c>
      <c r="E26" s="1958">
        <v>25</v>
      </c>
      <c r="F26" s="1958">
        <v>0</v>
      </c>
      <c r="G26" s="1958" t="s">
        <v>2142</v>
      </c>
      <c r="H26" s="1963">
        <v>0</v>
      </c>
      <c r="I26" s="1963">
        <v>0</v>
      </c>
      <c r="J26" s="1963">
        <v>0</v>
      </c>
    </row>
    <row r="27" spans="1:10">
      <c r="A27" s="1958" t="s">
        <v>877</v>
      </c>
      <c r="B27" s="1958">
        <v>187</v>
      </c>
      <c r="C27" s="1958">
        <v>2023</v>
      </c>
      <c r="D27" s="1958">
        <v>12</v>
      </c>
      <c r="E27" s="1958">
        <v>26</v>
      </c>
      <c r="F27" s="1958">
        <v>0</v>
      </c>
      <c r="G27" s="1958" t="s">
        <v>2141</v>
      </c>
      <c r="H27" s="1963">
        <v>13342</v>
      </c>
      <c r="I27" s="1963">
        <v>0</v>
      </c>
      <c r="J27" s="1963">
        <v>13342</v>
      </c>
    </row>
    <row r="28" spans="1:10">
      <c r="A28" s="1958" t="s">
        <v>877</v>
      </c>
      <c r="B28" s="1958">
        <v>187</v>
      </c>
      <c r="C28" s="1958">
        <v>2023</v>
      </c>
      <c r="D28" s="1958">
        <v>12</v>
      </c>
      <c r="E28" s="1958">
        <v>27</v>
      </c>
      <c r="F28" s="1958">
        <v>0</v>
      </c>
      <c r="G28" s="1958" t="s">
        <v>2140</v>
      </c>
      <c r="H28" s="1963">
        <v>457044</v>
      </c>
      <c r="I28" s="1963">
        <v>0</v>
      </c>
      <c r="J28" s="1963">
        <v>457044</v>
      </c>
    </row>
    <row r="29" spans="1:10">
      <c r="A29" s="1958" t="s">
        <v>877</v>
      </c>
      <c r="B29" s="1958">
        <v>187</v>
      </c>
      <c r="C29" s="1958">
        <v>2023</v>
      </c>
      <c r="D29" s="1958">
        <v>12</v>
      </c>
      <c r="E29" s="1958">
        <v>28</v>
      </c>
      <c r="F29" s="1958">
        <v>0</v>
      </c>
      <c r="G29" s="1958" t="s">
        <v>2139</v>
      </c>
      <c r="H29" s="1963">
        <v>13299746</v>
      </c>
      <c r="I29" s="1963">
        <v>0</v>
      </c>
      <c r="J29" s="1963">
        <v>13299746</v>
      </c>
    </row>
  </sheetData>
  <pageMargins left="0.75" right="0.75" top="1" bottom="1" header="0.5" footer="0.5"/>
  <pageSetup orientation="portrait" r:id="rId1"/>
  <customProperties>
    <customPr name="xxe4aPID" r:id="rId2"/>
  </customPropertie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F7D3F-C0EF-4F58-8E5C-3E73A6A1E633}">
  <sheetPr codeName="Sheet73">
    <tabColor rgb="FF92D050"/>
  </sheetPr>
  <dimension ref="A1:M13"/>
  <sheetViews>
    <sheetView workbookViewId="0">
      <selection activeCell="D400" sqref="D400"/>
    </sheetView>
  </sheetViews>
  <sheetFormatPr defaultColWidth="9" defaultRowHeight="12.75"/>
  <cols>
    <col min="1" max="1" width="14.25" style="1958" bestFit="1" customWidth="1"/>
    <col min="2" max="2" width="6.25" style="1958" bestFit="1" customWidth="1"/>
    <col min="3" max="3" width="7.375" style="1958" bestFit="1" customWidth="1"/>
    <col min="4" max="4" width="8.25" style="1958" bestFit="1" customWidth="1"/>
    <col min="5" max="5" width="9.75" style="1958" bestFit="1" customWidth="1"/>
    <col min="6" max="6" width="10.75" style="1958" bestFit="1" customWidth="1"/>
    <col min="7" max="7" width="8.875" style="1958" bestFit="1" customWidth="1"/>
    <col min="8" max="8" width="11.25" style="1958" bestFit="1" customWidth="1"/>
    <col min="9" max="9" width="10.875" style="1958" bestFit="1" customWidth="1"/>
    <col min="10" max="10" width="13.75" style="1958" bestFit="1" customWidth="1"/>
    <col min="11" max="11" width="8.875" style="1958" bestFit="1" customWidth="1"/>
    <col min="12" max="12" width="11.125" style="1958" bestFit="1" customWidth="1"/>
    <col min="13" max="13" width="4.5" style="1983" bestFit="1" customWidth="1"/>
    <col min="14" max="16384" width="9" style="1958"/>
  </cols>
  <sheetData>
    <row r="1" spans="1:13">
      <c r="A1" s="1958" t="s">
        <v>984</v>
      </c>
      <c r="B1" s="1958" t="s">
        <v>983</v>
      </c>
      <c r="C1" s="1958" t="s">
        <v>982</v>
      </c>
      <c r="D1" s="1958" t="s">
        <v>981</v>
      </c>
      <c r="E1" s="1958" t="s">
        <v>980</v>
      </c>
      <c r="F1" s="1958" t="s">
        <v>979</v>
      </c>
      <c r="G1" s="1958" t="s">
        <v>978</v>
      </c>
      <c r="H1" s="1958" t="s">
        <v>2183</v>
      </c>
      <c r="I1" s="1958" t="s">
        <v>2182</v>
      </c>
      <c r="J1" s="1958" t="s">
        <v>2181</v>
      </c>
      <c r="K1" s="1958" t="s">
        <v>2180</v>
      </c>
      <c r="L1" s="1958" t="s">
        <v>2179</v>
      </c>
      <c r="M1" s="1983" t="s">
        <v>2178</v>
      </c>
    </row>
    <row r="2" spans="1:13">
      <c r="A2" s="1958" t="s">
        <v>877</v>
      </c>
      <c r="B2" s="1958">
        <v>187</v>
      </c>
      <c r="C2" s="1958">
        <v>2023</v>
      </c>
      <c r="D2" s="1958">
        <v>12</v>
      </c>
      <c r="E2" s="1958">
        <v>29</v>
      </c>
      <c r="F2" s="1958">
        <v>0</v>
      </c>
      <c r="G2" s="1958" t="s">
        <v>2177</v>
      </c>
      <c r="H2" s="1958" t="s">
        <v>728</v>
      </c>
      <c r="I2" s="1958">
        <v>1090534</v>
      </c>
      <c r="J2" s="1958">
        <v>144645</v>
      </c>
      <c r="K2" s="1958">
        <v>1771</v>
      </c>
      <c r="L2" s="1958">
        <v>30</v>
      </c>
      <c r="M2" s="1983" t="s">
        <v>2173</v>
      </c>
    </row>
    <row r="3" spans="1:13">
      <c r="A3" s="1958" t="s">
        <v>877</v>
      </c>
      <c r="B3" s="1958">
        <v>187</v>
      </c>
      <c r="C3" s="1958">
        <v>2023</v>
      </c>
      <c r="D3" s="1958">
        <v>12</v>
      </c>
      <c r="E3" s="1958">
        <v>30</v>
      </c>
      <c r="F3" s="1958">
        <v>0</v>
      </c>
      <c r="G3" s="1958" t="s">
        <v>2176</v>
      </c>
      <c r="H3" s="1958" t="s">
        <v>728</v>
      </c>
      <c r="I3" s="1958">
        <v>1015923</v>
      </c>
      <c r="J3" s="1958">
        <v>154156</v>
      </c>
      <c r="K3" s="1958">
        <v>1726</v>
      </c>
      <c r="L3" s="1958">
        <v>23</v>
      </c>
      <c r="M3" s="1984" t="s">
        <v>2167</v>
      </c>
    </row>
    <row r="4" spans="1:13">
      <c r="A4" s="1958" t="s">
        <v>877</v>
      </c>
      <c r="B4" s="1958">
        <v>187</v>
      </c>
      <c r="C4" s="1958">
        <v>2023</v>
      </c>
      <c r="D4" s="1958">
        <v>12</v>
      </c>
      <c r="E4" s="1958">
        <v>31</v>
      </c>
      <c r="F4" s="1958">
        <v>0</v>
      </c>
      <c r="G4" s="1958" t="s">
        <v>2175</v>
      </c>
      <c r="H4" s="1958" t="s">
        <v>728</v>
      </c>
      <c r="I4" s="1958">
        <v>1126304</v>
      </c>
      <c r="J4" s="1958">
        <v>267999</v>
      </c>
      <c r="K4" s="1958">
        <v>1515</v>
      </c>
      <c r="L4" s="1958">
        <v>1</v>
      </c>
      <c r="M4" s="1984" t="s">
        <v>2173</v>
      </c>
    </row>
    <row r="5" spans="1:13">
      <c r="A5" s="1958" t="s">
        <v>877</v>
      </c>
      <c r="B5" s="1958">
        <v>187</v>
      </c>
      <c r="C5" s="1958">
        <v>2023</v>
      </c>
      <c r="D5" s="1958">
        <v>12</v>
      </c>
      <c r="E5" s="1958">
        <v>32</v>
      </c>
      <c r="F5" s="1958">
        <v>0</v>
      </c>
      <c r="G5" s="1958" t="s">
        <v>2174</v>
      </c>
      <c r="H5" s="1958" t="s">
        <v>728</v>
      </c>
      <c r="I5" s="1958">
        <v>1115577</v>
      </c>
      <c r="J5" s="1958">
        <v>374774</v>
      </c>
      <c r="K5" s="1958">
        <v>1394</v>
      </c>
      <c r="L5" s="1958">
        <v>5</v>
      </c>
      <c r="M5" s="1984" t="s">
        <v>2173</v>
      </c>
    </row>
    <row r="6" spans="1:13">
      <c r="A6" s="1958" t="s">
        <v>877</v>
      </c>
      <c r="B6" s="1958">
        <v>187</v>
      </c>
      <c r="C6" s="1958">
        <v>2023</v>
      </c>
      <c r="D6" s="1958">
        <v>12</v>
      </c>
      <c r="E6" s="1958">
        <v>33</v>
      </c>
      <c r="F6" s="1958">
        <v>0</v>
      </c>
      <c r="G6" s="1958" t="s">
        <v>285</v>
      </c>
      <c r="H6" s="1958" t="s">
        <v>728</v>
      </c>
      <c r="I6" s="1958">
        <v>1247605</v>
      </c>
      <c r="J6" s="1958">
        <v>513971</v>
      </c>
      <c r="K6" s="1958">
        <v>1438</v>
      </c>
      <c r="L6" s="1958">
        <v>19</v>
      </c>
      <c r="M6" s="1984">
        <v>1800</v>
      </c>
    </row>
    <row r="7" spans="1:13">
      <c r="A7" s="1958" t="s">
        <v>877</v>
      </c>
      <c r="B7" s="1958">
        <v>187</v>
      </c>
      <c r="C7" s="1958">
        <v>2023</v>
      </c>
      <c r="D7" s="1958">
        <v>12</v>
      </c>
      <c r="E7" s="1958">
        <v>34</v>
      </c>
      <c r="F7" s="1958">
        <v>0</v>
      </c>
      <c r="G7" s="1958" t="s">
        <v>2172</v>
      </c>
      <c r="H7" s="1958" t="s">
        <v>728</v>
      </c>
      <c r="I7" s="1958">
        <v>1258860</v>
      </c>
      <c r="J7" s="1958">
        <v>503470</v>
      </c>
      <c r="K7" s="1958">
        <v>1535</v>
      </c>
      <c r="L7" s="1958">
        <v>29</v>
      </c>
      <c r="M7" s="1983">
        <v>1700</v>
      </c>
    </row>
    <row r="8" spans="1:13">
      <c r="A8" s="1958" t="s">
        <v>877</v>
      </c>
      <c r="B8" s="1958">
        <v>187</v>
      </c>
      <c r="C8" s="1958">
        <v>2023</v>
      </c>
      <c r="D8" s="1958">
        <v>12</v>
      </c>
      <c r="E8" s="1958">
        <v>35</v>
      </c>
      <c r="F8" s="1958">
        <v>0</v>
      </c>
      <c r="G8" s="1958" t="s">
        <v>2171</v>
      </c>
      <c r="H8" s="1958" t="s">
        <v>728</v>
      </c>
      <c r="I8" s="1958">
        <v>1108405</v>
      </c>
      <c r="J8" s="1958">
        <v>243144</v>
      </c>
      <c r="K8" s="1958">
        <v>1716</v>
      </c>
      <c r="L8" s="1958">
        <v>21</v>
      </c>
      <c r="M8" s="1983">
        <v>1800</v>
      </c>
    </row>
    <row r="9" spans="1:13">
      <c r="A9" s="1958" t="s">
        <v>877</v>
      </c>
      <c r="B9" s="1958">
        <v>187</v>
      </c>
      <c r="C9" s="1958">
        <v>2023</v>
      </c>
      <c r="D9" s="1958">
        <v>12</v>
      </c>
      <c r="E9" s="1958">
        <v>36</v>
      </c>
      <c r="F9" s="1958">
        <v>0</v>
      </c>
      <c r="G9" s="1958" t="s">
        <v>2170</v>
      </c>
      <c r="H9" s="1958" t="s">
        <v>728</v>
      </c>
      <c r="I9" s="1958">
        <v>1051266</v>
      </c>
      <c r="J9" s="1958">
        <v>207705</v>
      </c>
      <c r="K9" s="1958">
        <v>1809</v>
      </c>
      <c r="L9" s="1958">
        <v>15</v>
      </c>
      <c r="M9" s="1983">
        <v>1700</v>
      </c>
    </row>
    <row r="10" spans="1:13">
      <c r="A10" s="1958" t="s">
        <v>877</v>
      </c>
      <c r="B10" s="1958">
        <v>187</v>
      </c>
      <c r="C10" s="1958">
        <v>2023</v>
      </c>
      <c r="D10" s="1958">
        <v>12</v>
      </c>
      <c r="E10" s="1958">
        <v>37</v>
      </c>
      <c r="F10" s="1958">
        <v>0</v>
      </c>
      <c r="G10" s="1958" t="s">
        <v>2169</v>
      </c>
      <c r="H10" s="1958" t="s">
        <v>728</v>
      </c>
      <c r="I10" s="1958">
        <v>977324</v>
      </c>
      <c r="J10" s="1958">
        <v>284691</v>
      </c>
      <c r="K10" s="1958">
        <v>1309</v>
      </c>
      <c r="L10" s="1958">
        <v>10</v>
      </c>
      <c r="M10" s="1983">
        <v>1800</v>
      </c>
    </row>
    <row r="11" spans="1:13">
      <c r="A11" s="1958" t="s">
        <v>877</v>
      </c>
      <c r="B11" s="1958">
        <v>187</v>
      </c>
      <c r="C11" s="1958">
        <v>2023</v>
      </c>
      <c r="D11" s="1958">
        <v>12</v>
      </c>
      <c r="E11" s="1958">
        <v>38</v>
      </c>
      <c r="F11" s="1958">
        <v>0</v>
      </c>
      <c r="G11" s="1958" t="s">
        <v>2168</v>
      </c>
      <c r="H11" s="1958" t="s">
        <v>728</v>
      </c>
      <c r="I11" s="1958">
        <v>1018136</v>
      </c>
      <c r="J11" s="1958">
        <v>285864</v>
      </c>
      <c r="K11" s="1958">
        <v>1402</v>
      </c>
      <c r="L11" s="1958">
        <v>30</v>
      </c>
      <c r="M11" s="1984" t="s">
        <v>2167</v>
      </c>
    </row>
    <row r="12" spans="1:13">
      <c r="A12" s="1958" t="s">
        <v>877</v>
      </c>
      <c r="B12" s="1958">
        <v>187</v>
      </c>
      <c r="C12" s="1958">
        <v>2023</v>
      </c>
      <c r="D12" s="1958">
        <v>12</v>
      </c>
      <c r="E12" s="1958">
        <v>39</v>
      </c>
      <c r="F12" s="1958">
        <v>0</v>
      </c>
      <c r="G12" s="1958" t="s">
        <v>2166</v>
      </c>
      <c r="H12" s="1958" t="s">
        <v>728</v>
      </c>
      <c r="I12" s="1958">
        <v>1111401</v>
      </c>
      <c r="J12" s="1958">
        <v>264324</v>
      </c>
      <c r="K12" s="1958">
        <v>1546</v>
      </c>
      <c r="L12" s="1958">
        <v>29</v>
      </c>
      <c r="M12" s="1983">
        <v>1800</v>
      </c>
    </row>
    <row r="13" spans="1:13">
      <c r="A13" s="1958" t="s">
        <v>877</v>
      </c>
      <c r="B13" s="1958">
        <v>187</v>
      </c>
      <c r="C13" s="1958">
        <v>2023</v>
      </c>
      <c r="D13" s="1958">
        <v>12</v>
      </c>
      <c r="E13" s="1958">
        <v>40</v>
      </c>
      <c r="F13" s="1958">
        <v>0</v>
      </c>
      <c r="G13" s="1958" t="s">
        <v>2165</v>
      </c>
      <c r="H13" s="1958" t="s">
        <v>728</v>
      </c>
      <c r="I13" s="1958">
        <v>1178411</v>
      </c>
      <c r="J13" s="1958">
        <v>276748</v>
      </c>
      <c r="K13" s="1958">
        <v>1463</v>
      </c>
      <c r="L13" s="1958">
        <v>1</v>
      </c>
      <c r="M13" s="1983">
        <v>1800</v>
      </c>
    </row>
  </sheetData>
  <pageMargins left="0.75" right="0.75" top="1" bottom="1" header="0.5" footer="0.5"/>
  <pageSetup orientation="portrait" r:id="rId1"/>
  <customProperties>
    <customPr name="xxe4aPID" r:id="rId2"/>
  </customPropertie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E7A97-14E0-41EF-8A71-B4FAF98343F7}">
  <sheetPr codeName="Sheet69"/>
  <dimension ref="A1:H41"/>
  <sheetViews>
    <sheetView topLeftCell="A8" workbookViewId="0">
      <selection activeCell="D400" sqref="D400"/>
    </sheetView>
  </sheetViews>
  <sheetFormatPr defaultColWidth="9" defaultRowHeight="15.75"/>
  <cols>
    <col min="1" max="1" width="6.5" style="2115" bestFit="1" customWidth="1"/>
    <col min="2" max="2" width="46.75" style="2115" bestFit="1" customWidth="1"/>
    <col min="3" max="3" width="12.25" style="2115" bestFit="1" customWidth="1"/>
    <col min="4" max="4" width="11.5" style="2115" bestFit="1" customWidth="1"/>
    <col min="5" max="5" width="14.5" style="2115" bestFit="1" customWidth="1"/>
    <col min="6" max="6" width="11.5" style="2115" bestFit="1" customWidth="1"/>
    <col min="7" max="8" width="12.75" style="2115" bestFit="1" customWidth="1"/>
    <col min="9" max="16384" width="9" style="2115"/>
  </cols>
  <sheetData>
    <row r="1" spans="1:8">
      <c r="A1" s="2115" t="s">
        <v>3104</v>
      </c>
      <c r="B1" s="2115" t="s">
        <v>3103</v>
      </c>
      <c r="C1" s="2115" t="s">
        <v>3102</v>
      </c>
      <c r="D1" s="2115" t="s">
        <v>3101</v>
      </c>
      <c r="E1" s="2115" t="s">
        <v>2082</v>
      </c>
      <c r="F1" s="2115" t="s">
        <v>2084</v>
      </c>
      <c r="G1" s="2115" t="s">
        <v>3100</v>
      </c>
      <c r="H1" s="2115" t="s">
        <v>2962</v>
      </c>
    </row>
    <row r="2" spans="1:8">
      <c r="A2" s="2115">
        <v>1</v>
      </c>
      <c r="B2" s="2115" t="s">
        <v>3099</v>
      </c>
      <c r="C2" s="2115" t="s">
        <v>3098</v>
      </c>
      <c r="D2" s="2115" t="s">
        <v>673</v>
      </c>
      <c r="E2" s="2115" t="s">
        <v>3097</v>
      </c>
      <c r="F2" s="2115" t="s">
        <v>673</v>
      </c>
      <c r="G2" s="2115" t="s">
        <v>3097</v>
      </c>
      <c r="H2" s="2115" t="s">
        <v>3097</v>
      </c>
    </row>
    <row r="3" spans="1:8">
      <c r="A3" s="2115">
        <v>2</v>
      </c>
      <c r="B3" s="2115" t="s">
        <v>3096</v>
      </c>
      <c r="C3" s="2115" t="s">
        <v>3095</v>
      </c>
      <c r="D3" s="2115" t="s">
        <v>3095</v>
      </c>
      <c r="E3" s="2115" t="s">
        <v>3094</v>
      </c>
      <c r="F3" s="2115" t="s">
        <v>3095</v>
      </c>
      <c r="G3" s="2115" t="s">
        <v>3094</v>
      </c>
      <c r="H3" s="2115" t="s">
        <v>3094</v>
      </c>
    </row>
    <row r="4" spans="1:8">
      <c r="A4" s="2115">
        <v>3</v>
      </c>
      <c r="B4" s="2115" t="s">
        <v>774</v>
      </c>
      <c r="C4" s="2115" t="s">
        <v>3093</v>
      </c>
      <c r="D4" s="2115" t="s">
        <v>3092</v>
      </c>
      <c r="E4" s="2115" t="s">
        <v>3091</v>
      </c>
      <c r="F4" s="2115" t="s">
        <v>3090</v>
      </c>
      <c r="G4" s="2115" t="s">
        <v>3089</v>
      </c>
      <c r="H4" s="2115" t="s">
        <v>3088</v>
      </c>
    </row>
    <row r="5" spans="1:8">
      <c r="A5" s="2115">
        <v>4</v>
      </c>
      <c r="B5" s="2115" t="s">
        <v>775</v>
      </c>
      <c r="C5" s="2115" t="s">
        <v>3093</v>
      </c>
      <c r="D5" s="2115" t="s">
        <v>3092</v>
      </c>
      <c r="E5" s="2115" t="s">
        <v>3091</v>
      </c>
      <c r="F5" s="2115" t="s">
        <v>3090</v>
      </c>
      <c r="G5" s="2115" t="s">
        <v>3089</v>
      </c>
      <c r="H5" s="2115" t="s">
        <v>3088</v>
      </c>
    </row>
    <row r="6" spans="1:8">
      <c r="A6" s="2115">
        <v>5</v>
      </c>
      <c r="B6" s="2115" t="s">
        <v>3087</v>
      </c>
      <c r="C6" s="2115">
        <v>25</v>
      </c>
      <c r="D6" s="2115">
        <v>233</v>
      </c>
      <c r="E6" s="2115">
        <v>286</v>
      </c>
      <c r="F6" s="2115">
        <v>51</v>
      </c>
      <c r="G6" s="2115">
        <v>167</v>
      </c>
      <c r="H6" s="2115">
        <v>62</v>
      </c>
    </row>
    <row r="7" spans="1:8">
      <c r="A7" s="2115">
        <v>6</v>
      </c>
      <c r="B7" s="2115" t="s">
        <v>3086</v>
      </c>
      <c r="C7" s="2115">
        <v>26</v>
      </c>
      <c r="D7" s="2115">
        <v>228</v>
      </c>
      <c r="E7" s="2115">
        <v>319</v>
      </c>
      <c r="F7" s="2115">
        <v>95</v>
      </c>
      <c r="G7" s="2115">
        <v>172</v>
      </c>
      <c r="H7" s="2115">
        <v>53</v>
      </c>
    </row>
    <row r="8" spans="1:8">
      <c r="A8" s="2115">
        <v>7</v>
      </c>
      <c r="B8" s="2115" t="s">
        <v>3085</v>
      </c>
      <c r="C8" s="2115">
        <v>3221</v>
      </c>
      <c r="D8" s="2115">
        <v>8758</v>
      </c>
      <c r="E8" s="2115">
        <v>8011</v>
      </c>
      <c r="F8" s="2115">
        <v>7209</v>
      </c>
      <c r="G8" s="2115">
        <v>6063</v>
      </c>
      <c r="H8" s="2115">
        <v>3</v>
      </c>
    </row>
    <row r="9" spans="1:8">
      <c r="A9" s="2115">
        <v>8</v>
      </c>
      <c r="B9" s="2115" t="s">
        <v>3084</v>
      </c>
      <c r="C9" s="2115">
        <v>25</v>
      </c>
      <c r="D9" s="2115">
        <v>222</v>
      </c>
      <c r="E9" s="2115">
        <v>322</v>
      </c>
      <c r="F9" s="2115">
        <v>54</v>
      </c>
      <c r="G9" s="2115">
        <v>167</v>
      </c>
      <c r="H9" s="2115">
        <v>65</v>
      </c>
    </row>
    <row r="10" spans="1:8">
      <c r="A10" s="2115">
        <v>9</v>
      </c>
      <c r="B10" s="2115" t="s">
        <v>3083</v>
      </c>
      <c r="C10" s="2115">
        <v>0</v>
      </c>
      <c r="D10" s="2115">
        <v>222</v>
      </c>
      <c r="E10" s="2115">
        <v>322</v>
      </c>
      <c r="F10" s="2115">
        <v>54</v>
      </c>
      <c r="G10" s="2115">
        <v>0</v>
      </c>
      <c r="H10" s="2115">
        <v>0</v>
      </c>
    </row>
    <row r="11" spans="1:8">
      <c r="A11" s="2115">
        <v>10</v>
      </c>
      <c r="B11" s="2115" t="s">
        <v>3082</v>
      </c>
      <c r="C11" s="2115">
        <v>0</v>
      </c>
      <c r="D11" s="2115">
        <v>222</v>
      </c>
      <c r="E11" s="2115">
        <v>322</v>
      </c>
      <c r="F11" s="2115">
        <v>54</v>
      </c>
      <c r="G11" s="2115">
        <v>0</v>
      </c>
      <c r="H11" s="2115">
        <v>0</v>
      </c>
    </row>
    <row r="12" spans="1:8">
      <c r="A12" s="2115">
        <v>11</v>
      </c>
      <c r="B12" s="2115" t="s">
        <v>780</v>
      </c>
      <c r="C12" s="2115">
        <v>2</v>
      </c>
      <c r="D12" s="2115">
        <v>252</v>
      </c>
      <c r="E12" s="2115">
        <v>32</v>
      </c>
      <c r="F12" s="2115">
        <v>26</v>
      </c>
      <c r="G12" s="2115">
        <v>1</v>
      </c>
      <c r="H12" s="2115">
        <v>1</v>
      </c>
    </row>
    <row r="13" spans="1:8" s="2146" customFormat="1">
      <c r="A13" s="2146">
        <v>12</v>
      </c>
      <c r="B13" s="2146" t="s">
        <v>3081</v>
      </c>
      <c r="C13" s="2146">
        <v>63905000</v>
      </c>
      <c r="D13" s="2146">
        <v>1641846000</v>
      </c>
      <c r="E13" s="2146">
        <v>2265353000</v>
      </c>
      <c r="F13" s="2146">
        <v>308291000</v>
      </c>
      <c r="G13" s="2146">
        <v>779307000</v>
      </c>
      <c r="H13" s="2146">
        <v>112000</v>
      </c>
    </row>
    <row r="14" spans="1:8">
      <c r="A14" s="2115">
        <v>13</v>
      </c>
      <c r="B14" s="2115" t="s">
        <v>782</v>
      </c>
      <c r="C14" s="2115">
        <v>144733</v>
      </c>
      <c r="D14" s="2115">
        <v>1289395</v>
      </c>
      <c r="E14" s="2115">
        <v>0</v>
      </c>
      <c r="F14" s="2115">
        <v>2568188</v>
      </c>
      <c r="G14" s="2115">
        <v>621682</v>
      </c>
      <c r="H14" s="2115">
        <v>138753</v>
      </c>
    </row>
    <row r="15" spans="1:8">
      <c r="A15" s="2115">
        <v>14</v>
      </c>
      <c r="B15" s="2115" t="s">
        <v>126</v>
      </c>
      <c r="C15" s="2115">
        <v>1312452</v>
      </c>
      <c r="D15" s="2115">
        <v>111860988</v>
      </c>
      <c r="E15" s="2115">
        <v>11800944</v>
      </c>
      <c r="F15" s="2115">
        <v>29619893</v>
      </c>
      <c r="G15" s="2115">
        <v>3739982</v>
      </c>
      <c r="H15" s="2115">
        <v>746178</v>
      </c>
    </row>
    <row r="16" spans="1:8">
      <c r="A16" s="2115">
        <v>15</v>
      </c>
      <c r="B16" s="2115" t="s">
        <v>783</v>
      </c>
      <c r="C16" s="2115">
        <v>32775846</v>
      </c>
      <c r="D16" s="2115">
        <v>220053648</v>
      </c>
      <c r="E16" s="2115">
        <v>192808126</v>
      </c>
      <c r="F16" s="2115">
        <v>113479534</v>
      </c>
      <c r="G16" s="2115">
        <v>61667377</v>
      </c>
      <c r="H16" s="2115">
        <v>13596464</v>
      </c>
    </row>
    <row r="17" spans="1:8">
      <c r="A17" s="2115">
        <v>16</v>
      </c>
      <c r="B17" s="2115" t="s">
        <v>784</v>
      </c>
      <c r="C17" s="2115">
        <v>0</v>
      </c>
      <c r="D17" s="2115">
        <v>17139710</v>
      </c>
      <c r="E17" s="2115">
        <v>351682</v>
      </c>
      <c r="F17" s="2115">
        <v>323787</v>
      </c>
      <c r="G17" s="2115">
        <v>0</v>
      </c>
      <c r="H17" s="2115">
        <v>0</v>
      </c>
    </row>
    <row r="18" spans="1:8" s="2146" customFormat="1">
      <c r="A18" s="2146">
        <v>17</v>
      </c>
      <c r="B18" s="2146" t="s">
        <v>3080</v>
      </c>
      <c r="C18" s="2146">
        <v>34233031</v>
      </c>
      <c r="D18" s="2146">
        <v>350343741</v>
      </c>
      <c r="E18" s="2146">
        <v>204960752</v>
      </c>
      <c r="F18" s="2146">
        <v>145991402</v>
      </c>
      <c r="G18" s="2146">
        <v>66029041</v>
      </c>
      <c r="H18" s="2146">
        <v>14481395</v>
      </c>
    </row>
    <row r="19" spans="1:8">
      <c r="A19" s="2115">
        <v>18</v>
      </c>
      <c r="B19" s="2115" t="s">
        <v>3079</v>
      </c>
      <c r="C19" s="2115">
        <v>1369.32</v>
      </c>
      <c r="D19" s="2115">
        <v>1503.62</v>
      </c>
      <c r="E19" s="2115">
        <v>716.65</v>
      </c>
      <c r="F19" s="2115">
        <v>2862.58</v>
      </c>
      <c r="G19" s="2115">
        <v>395.38</v>
      </c>
      <c r="H19" s="2115">
        <v>233.57</v>
      </c>
    </row>
    <row r="20" spans="1:8">
      <c r="A20" s="2115">
        <v>19</v>
      </c>
      <c r="B20" s="2115" t="s">
        <v>787</v>
      </c>
      <c r="C20" s="2115">
        <v>24753</v>
      </c>
      <c r="D20" s="2115">
        <v>74600</v>
      </c>
      <c r="E20" s="2115">
        <v>660721</v>
      </c>
      <c r="F20" s="2115">
        <v>102576</v>
      </c>
      <c r="G20" s="2115">
        <v>23440</v>
      </c>
      <c r="H20" s="2115">
        <v>22796</v>
      </c>
    </row>
    <row r="21" spans="1:8" s="2146" customFormat="1">
      <c r="A21" s="2146">
        <v>20</v>
      </c>
      <c r="B21" s="2146" t="s">
        <v>563</v>
      </c>
      <c r="C21" s="2146">
        <v>1982207</v>
      </c>
      <c r="D21" s="2146">
        <v>34049395</v>
      </c>
      <c r="E21" s="2146">
        <v>46437759</v>
      </c>
      <c r="F21" s="2146">
        <v>11997451</v>
      </c>
      <c r="G21" s="2146">
        <v>28638414</v>
      </c>
      <c r="H21" s="2146">
        <v>-4255</v>
      </c>
    </row>
    <row r="22" spans="1:8">
      <c r="A22" s="2115">
        <v>21</v>
      </c>
      <c r="B22" s="2115" t="s">
        <v>3078</v>
      </c>
    </row>
    <row r="23" spans="1:8">
      <c r="A23" s="2115">
        <v>22</v>
      </c>
      <c r="B23" s="2115" t="s">
        <v>3077</v>
      </c>
      <c r="C23" s="2115">
        <v>0</v>
      </c>
      <c r="D23" s="2115">
        <v>3592098</v>
      </c>
      <c r="E23" s="2115">
        <v>0</v>
      </c>
      <c r="F23" s="2115">
        <v>629880</v>
      </c>
      <c r="G23" s="2115">
        <v>0</v>
      </c>
      <c r="H23" s="2115">
        <v>0</v>
      </c>
    </row>
    <row r="24" spans="1:8">
      <c r="A24" s="2115">
        <v>23</v>
      </c>
      <c r="B24" s="2115" t="s">
        <v>3076</v>
      </c>
      <c r="C24" s="2115">
        <v>0</v>
      </c>
      <c r="D24" s="2115">
        <v>0</v>
      </c>
      <c r="E24" s="2115">
        <v>0</v>
      </c>
      <c r="F24" s="2115">
        <v>0</v>
      </c>
      <c r="G24" s="2115">
        <v>0</v>
      </c>
      <c r="H24" s="2115">
        <v>0</v>
      </c>
    </row>
    <row r="25" spans="1:8">
      <c r="A25" s="2115">
        <v>24</v>
      </c>
      <c r="B25" s="2115" t="s">
        <v>3075</v>
      </c>
      <c r="C25" s="2115">
        <v>0</v>
      </c>
      <c r="D25" s="2115">
        <v>0</v>
      </c>
      <c r="E25" s="2115">
        <v>0</v>
      </c>
      <c r="F25" s="2115">
        <v>0</v>
      </c>
      <c r="G25" s="2115">
        <v>0</v>
      </c>
      <c r="H25" s="2115">
        <v>0</v>
      </c>
    </row>
    <row r="26" spans="1:8">
      <c r="A26" s="2115">
        <v>25</v>
      </c>
      <c r="B26" s="2115" t="s">
        <v>788</v>
      </c>
      <c r="C26" s="2115">
        <v>246972</v>
      </c>
      <c r="D26" s="2115">
        <v>-144667</v>
      </c>
      <c r="E26" s="2115">
        <v>3281653</v>
      </c>
      <c r="F26" s="2115">
        <v>896152</v>
      </c>
      <c r="G26" s="2115">
        <v>232300</v>
      </c>
      <c r="H26" s="2115">
        <v>25137</v>
      </c>
    </row>
    <row r="27" spans="1:8">
      <c r="A27" s="2115">
        <v>26</v>
      </c>
      <c r="B27" s="2115" t="s">
        <v>3074</v>
      </c>
      <c r="C27" s="2115">
        <v>30548</v>
      </c>
      <c r="D27" s="2115">
        <v>5887656</v>
      </c>
      <c r="E27" s="2115">
        <v>594939</v>
      </c>
      <c r="F27" s="2115">
        <v>481021</v>
      </c>
      <c r="G27" s="2115">
        <v>23881</v>
      </c>
      <c r="H27" s="2115">
        <v>9010</v>
      </c>
    </row>
    <row r="28" spans="1:8">
      <c r="A28" s="2115">
        <v>27</v>
      </c>
      <c r="B28" s="2115" t="s">
        <v>496</v>
      </c>
      <c r="C28" s="2115">
        <v>0</v>
      </c>
      <c r="D28" s="2115">
        <v>0</v>
      </c>
      <c r="E28" s="2115">
        <v>103105</v>
      </c>
      <c r="F28" s="2115">
        <v>0</v>
      </c>
      <c r="G28" s="2115">
        <v>0</v>
      </c>
      <c r="H28" s="2115">
        <v>0</v>
      </c>
    </row>
    <row r="29" spans="1:8">
      <c r="A29" s="2115">
        <v>28</v>
      </c>
      <c r="B29" s="2115" t="s">
        <v>790</v>
      </c>
      <c r="C29" s="2115">
        <v>0</v>
      </c>
      <c r="D29" s="2115">
        <v>0</v>
      </c>
      <c r="E29" s="2115">
        <v>0</v>
      </c>
      <c r="F29" s="2115">
        <v>0</v>
      </c>
      <c r="G29" s="2115">
        <v>0</v>
      </c>
      <c r="H29" s="2115">
        <v>0</v>
      </c>
    </row>
    <row r="30" spans="1:8" customFormat="1">
      <c r="A30">
        <v>29</v>
      </c>
      <c r="B30" t="s">
        <v>791</v>
      </c>
      <c r="C30" s="1553">
        <v>66187</v>
      </c>
      <c r="D30" s="1553">
        <v>274399</v>
      </c>
      <c r="E30" s="1553">
        <v>295267</v>
      </c>
      <c r="F30" s="1553">
        <v>99377</v>
      </c>
      <c r="G30" s="1553">
        <v>83153</v>
      </c>
      <c r="H30" s="1553">
        <v>28570</v>
      </c>
    </row>
    <row r="31" spans="1:8" customFormat="1">
      <c r="A31">
        <v>30</v>
      </c>
      <c r="B31" t="s">
        <v>792</v>
      </c>
      <c r="C31" s="1553">
        <v>2577</v>
      </c>
      <c r="D31" s="1553">
        <v>744875</v>
      </c>
      <c r="E31" s="1553">
        <v>89483</v>
      </c>
      <c r="F31" s="1553">
        <v>125790</v>
      </c>
      <c r="G31" s="1553">
        <v>46898</v>
      </c>
      <c r="H31" s="1553">
        <v>91</v>
      </c>
    </row>
    <row r="32" spans="1:8" customFormat="1">
      <c r="A32">
        <v>31</v>
      </c>
      <c r="B32" t="s">
        <v>3073</v>
      </c>
      <c r="C32" s="1553">
        <v>0</v>
      </c>
      <c r="D32" s="1553">
        <v>5125679</v>
      </c>
      <c r="E32" s="1553">
        <v>0</v>
      </c>
      <c r="F32" s="1553">
        <v>1964813</v>
      </c>
      <c r="G32" s="1553">
        <v>0</v>
      </c>
      <c r="H32" s="1553">
        <v>0</v>
      </c>
    </row>
    <row r="33" spans="1:8" customFormat="1">
      <c r="A33">
        <v>32</v>
      </c>
      <c r="B33" t="s">
        <v>3072</v>
      </c>
      <c r="C33" s="1553">
        <v>537456</v>
      </c>
      <c r="D33" s="1553">
        <v>632517</v>
      </c>
      <c r="E33" s="1553">
        <v>1248997</v>
      </c>
      <c r="F33" s="1553">
        <v>217091</v>
      </c>
      <c r="G33" s="1553">
        <v>143872</v>
      </c>
      <c r="H33" s="1553">
        <v>31300</v>
      </c>
    </row>
    <row r="34" spans="1:8" customFormat="1">
      <c r="A34">
        <v>33</v>
      </c>
      <c r="B34" t="s">
        <v>3071</v>
      </c>
      <c r="C34" s="1553">
        <v>131656</v>
      </c>
      <c r="D34" s="1553">
        <v>901840</v>
      </c>
      <c r="E34" s="1553">
        <v>651821</v>
      </c>
      <c r="F34" s="1553">
        <v>443266</v>
      </c>
      <c r="G34" s="1553">
        <v>51734</v>
      </c>
      <c r="H34" s="1553">
        <v>16945</v>
      </c>
    </row>
    <row r="35" spans="1:8">
      <c r="A35" s="2115">
        <v>34</v>
      </c>
      <c r="B35" s="2115" t="s">
        <v>3070</v>
      </c>
      <c r="C35" s="2115">
        <v>3022356</v>
      </c>
      <c r="D35" s="2115">
        <v>51138392</v>
      </c>
      <c r="E35" s="2115">
        <v>53363745</v>
      </c>
      <c r="F35" s="2115">
        <v>16957417</v>
      </c>
      <c r="G35" s="2115">
        <v>29243692</v>
      </c>
      <c r="H35" s="2115">
        <v>129594</v>
      </c>
    </row>
    <row r="36" spans="1:8">
      <c r="A36" s="2115">
        <v>35</v>
      </c>
      <c r="B36" s="2115" t="s">
        <v>3069</v>
      </c>
      <c r="C36" s="2115">
        <v>0.05</v>
      </c>
      <c r="D36" s="2115">
        <v>0.03</v>
      </c>
      <c r="E36" s="2115">
        <v>0.02</v>
      </c>
      <c r="F36" s="2115">
        <v>0.06</v>
      </c>
      <c r="G36" s="2115">
        <v>0.04</v>
      </c>
      <c r="H36" s="2115">
        <v>1.1599999999999999</v>
      </c>
    </row>
    <row r="39" spans="1:8" customFormat="1">
      <c r="A39" t="s">
        <v>3105</v>
      </c>
    </row>
    <row r="40" spans="1:8" customFormat="1">
      <c r="B40" t="s">
        <v>3106</v>
      </c>
      <c r="C40" s="1553">
        <f t="shared" ref="C40:H40" si="0">SUM(C30:C34)</f>
        <v>737876</v>
      </c>
      <c r="D40" s="1553">
        <f t="shared" si="0"/>
        <v>7679310</v>
      </c>
      <c r="E40" s="1553">
        <f t="shared" si="0"/>
        <v>2285568</v>
      </c>
      <c r="F40" s="1553">
        <f t="shared" si="0"/>
        <v>2850337</v>
      </c>
      <c r="G40" s="1553">
        <f t="shared" si="0"/>
        <v>325657</v>
      </c>
      <c r="H40" s="1553">
        <f t="shared" si="0"/>
        <v>76906</v>
      </c>
    </row>
    <row r="41" spans="1:8" customFormat="1">
      <c r="B41" t="s">
        <v>3107</v>
      </c>
      <c r="C41">
        <f t="shared" ref="C41:H41" si="1">+C35-C40-C21</f>
        <v>302273</v>
      </c>
      <c r="D41">
        <f t="shared" si="1"/>
        <v>9409687</v>
      </c>
      <c r="E41">
        <f t="shared" si="1"/>
        <v>4640418</v>
      </c>
      <c r="F41">
        <f t="shared" si="1"/>
        <v>2109629</v>
      </c>
      <c r="G41">
        <f t="shared" si="1"/>
        <v>279621</v>
      </c>
      <c r="H41">
        <f t="shared" si="1"/>
        <v>56943</v>
      </c>
    </row>
  </sheetData>
  <pageMargins left="0.7" right="0.7" top="0.75" bottom="0.75" header="0.3" footer="0.3"/>
  <customProperties>
    <customPr name="xxe4aPID" r:id="rId1"/>
  </customPropertie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10268-7A2A-45D0-AD6B-F3520DD67DC0}">
  <sheetPr codeName="Sheet74">
    <tabColor rgb="FF00B050"/>
  </sheetPr>
  <dimension ref="A1:K393"/>
  <sheetViews>
    <sheetView topLeftCell="A264" zoomScale="90" zoomScaleNormal="90" workbookViewId="0">
      <selection activeCell="D400" sqref="D400"/>
    </sheetView>
  </sheetViews>
  <sheetFormatPr defaultRowHeight="15.75"/>
  <cols>
    <col min="1" max="1" width="23.125" style="1211" customWidth="1"/>
    <col min="2" max="2" width="54.25" style="1211" customWidth="1"/>
    <col min="3" max="6" width="13" style="1211" customWidth="1"/>
    <col min="7" max="7" width="15.875" style="1211" customWidth="1"/>
    <col min="8" max="8" width="18.375" style="1211" customWidth="1"/>
    <col min="9" max="10" width="15.5" style="1211" customWidth="1"/>
  </cols>
  <sheetData>
    <row r="1" spans="1:11" ht="16.5" thickTop="1">
      <c r="A1" s="83" t="str">
        <f>'[1]Sch 1- Rate Base '!A1:J1</f>
        <v>BONNEVILLE POWER ADMINISTRATION</v>
      </c>
      <c r="B1" s="1660"/>
      <c r="C1" s="1661"/>
      <c r="D1" s="1661"/>
      <c r="E1" s="1661"/>
      <c r="F1" s="1661"/>
      <c r="G1" s="1661"/>
      <c r="H1" s="1661"/>
      <c r="I1" s="1661"/>
      <c r="J1" s="1662"/>
    </row>
    <row r="2" spans="1:11">
      <c r="A2" s="83" t="str">
        <f>'[1]Sch 1- Rate Base '!A2:J2</f>
        <v>RESIDENTIAL PURCHASE AND SALES AGREEMENT</v>
      </c>
      <c r="B2" s="83"/>
      <c r="C2" s="1663"/>
      <c r="D2" s="1663"/>
      <c r="E2" s="1663"/>
      <c r="F2" s="1663"/>
      <c r="G2" s="1663"/>
      <c r="H2" s="1663"/>
      <c r="I2" s="1663"/>
      <c r="J2" s="1664"/>
    </row>
    <row r="3" spans="1:11">
      <c r="A3" s="83" t="str">
        <f>'[1]Sch 1- Rate Base '!A3:J3</f>
        <v>2008 Average System Cost Methodology (ASCM) Appendix 1</v>
      </c>
      <c r="B3" s="3"/>
      <c r="C3" s="2"/>
      <c r="D3" s="2"/>
      <c r="E3" s="3"/>
      <c r="F3" s="3"/>
      <c r="G3" s="4"/>
      <c r="H3" s="5"/>
      <c r="I3" s="5"/>
      <c r="J3" s="159"/>
    </row>
    <row r="4" spans="1:11" ht="16.5" thickBot="1">
      <c r="A4" s="158"/>
      <c r="B4" s="3"/>
      <c r="C4" s="2"/>
      <c r="D4" s="2"/>
      <c r="E4" s="3"/>
      <c r="F4" s="3"/>
      <c r="G4" s="4"/>
      <c r="H4" s="5"/>
      <c r="I4" s="5"/>
      <c r="J4" s="159"/>
    </row>
    <row r="5" spans="1:11">
      <c r="A5" s="1665"/>
      <c r="B5" s="180"/>
      <c r="C5" s="180"/>
      <c r="D5" s="502" t="str">
        <f>'[1]Sch 1- Rate Base '!D5</f>
        <v>UTILITY NAME:</v>
      </c>
      <c r="E5" s="868" t="str">
        <f>'[1]Sch 1- Rate Base '!E5:G5</f>
        <v>Avista Corp</v>
      </c>
      <c r="F5" s="869"/>
      <c r="G5" s="870"/>
      <c r="H5" s="180"/>
      <c r="I5" s="180"/>
      <c r="J5" s="1666"/>
    </row>
    <row r="6" spans="1:11">
      <c r="A6" s="1667"/>
      <c r="B6" s="180"/>
      <c r="C6" s="180"/>
      <c r="D6" s="502" t="str">
        <f>'[1]Sch 1- Rate Base '!D6</f>
        <v>End of Year Report Period:</v>
      </c>
      <c r="E6" s="872">
        <f>'[1]Sch 1- Rate Base '!E6:G6</f>
        <v>2023</v>
      </c>
      <c r="F6" s="873"/>
      <c r="G6" s="874"/>
      <c r="H6" s="180"/>
      <c r="I6" s="180"/>
      <c r="J6" s="1666"/>
    </row>
    <row r="7" spans="1:11" ht="16.5" thickBot="1">
      <c r="A7" s="1667"/>
      <c r="B7" s="180"/>
      <c r="C7" s="180"/>
      <c r="D7" s="502" t="str">
        <f>'[1]Sch 1- Rate Base '!D7</f>
        <v>ASC Filing Date:</v>
      </c>
      <c r="E7" s="875">
        <f>'[1]Sch 1- Rate Base '!E7:G7</f>
        <v>45474</v>
      </c>
      <c r="F7" s="876"/>
      <c r="G7" s="877"/>
      <c r="H7" s="180"/>
      <c r="I7" s="180"/>
      <c r="J7" s="1666"/>
    </row>
    <row r="8" spans="1:11">
      <c r="A8" s="1668"/>
      <c r="B8" s="3"/>
      <c r="C8" s="2"/>
      <c r="D8" s="2"/>
      <c r="E8" s="3"/>
      <c r="F8" s="3"/>
      <c r="G8" s="4"/>
      <c r="H8" s="5"/>
      <c r="I8" s="5"/>
      <c r="J8" s="1669"/>
    </row>
    <row r="9" spans="1:11">
      <c r="A9" s="1670"/>
      <c r="B9" s="1671"/>
      <c r="C9" s="1672"/>
      <c r="D9" s="1671"/>
      <c r="E9" s="147"/>
      <c r="F9" s="147"/>
      <c r="G9" s="4"/>
      <c r="J9" s="1673"/>
    </row>
    <row r="10" spans="1:11">
      <c r="A10" s="1670"/>
      <c r="H10" s="1674">
        <f>E6</f>
        <v>2023</v>
      </c>
      <c r="I10" s="1675" t="str">
        <f>"End-of-Year  -  " &amp; H10</f>
        <v>End-of-Year  -  2023</v>
      </c>
      <c r="J10" s="1676"/>
    </row>
    <row r="11" spans="1:11" ht="16.5" thickBot="1">
      <c r="A11" s="1670"/>
      <c r="J11" s="1673"/>
    </row>
    <row r="12" spans="1:11" ht="16.5" thickBot="1">
      <c r="A12" s="2285" t="s">
        <v>100</v>
      </c>
      <c r="B12" s="2286"/>
      <c r="C12" s="327" t="s">
        <v>276</v>
      </c>
      <c r="D12" s="328"/>
      <c r="E12" s="317" t="s">
        <v>354</v>
      </c>
      <c r="F12" s="318"/>
      <c r="G12" s="2289" t="s">
        <v>104</v>
      </c>
      <c r="H12" s="2289" t="s">
        <v>105</v>
      </c>
      <c r="I12" s="2289" t="s">
        <v>106</v>
      </c>
      <c r="J12" s="2313" t="s">
        <v>731</v>
      </c>
      <c r="K12" s="2501"/>
    </row>
    <row r="13" spans="1:11" ht="16.5" thickBot="1">
      <c r="A13" s="2287"/>
      <c r="B13" s="2288"/>
      <c r="C13" s="308" t="s">
        <v>272</v>
      </c>
      <c r="D13" s="308" t="s">
        <v>96</v>
      </c>
      <c r="E13" s="319" t="s">
        <v>454</v>
      </c>
      <c r="F13" s="320"/>
      <c r="G13" s="2290"/>
      <c r="H13" s="2290"/>
      <c r="I13" s="2290"/>
      <c r="J13" s="2314"/>
      <c r="K13" s="2501"/>
    </row>
    <row r="14" spans="1:11" ht="16.5" thickBot="1">
      <c r="A14" s="2287"/>
      <c r="B14" s="2288"/>
      <c r="C14" s="308" t="s">
        <v>273</v>
      </c>
      <c r="D14" s="308" t="s">
        <v>252</v>
      </c>
      <c r="E14" s="308" t="s">
        <v>352</v>
      </c>
      <c r="F14" s="308" t="s">
        <v>353</v>
      </c>
      <c r="G14" s="2290"/>
      <c r="H14" s="2290"/>
      <c r="I14" s="2290"/>
      <c r="J14" s="2315"/>
      <c r="K14" s="2501"/>
    </row>
    <row r="15" spans="1:11" ht="16.5" thickTop="1">
      <c r="A15" s="199" t="s">
        <v>477</v>
      </c>
      <c r="B15" s="157"/>
      <c r="C15" s="1519"/>
      <c r="D15" s="1519"/>
      <c r="E15" s="1519"/>
      <c r="F15" s="1519"/>
      <c r="G15" s="1520"/>
      <c r="H15" s="1520"/>
      <c r="I15" s="1520"/>
      <c r="J15" s="1521"/>
    </row>
    <row r="16" spans="1:11">
      <c r="A16" s="886"/>
      <c r="B16" s="220" t="s">
        <v>145</v>
      </c>
      <c r="C16" s="248" t="str">
        <f>'[1]Sch 1- Rate Base '!C16</f>
        <v>204-207</v>
      </c>
      <c r="D16" s="181">
        <f>'[1]Sch 1- Rate Base '!D16</f>
        <v>301</v>
      </c>
      <c r="E16" s="184" t="str">
        <f>'[1]Sch 1- Rate Base '!E16</f>
        <v>DIST</v>
      </c>
      <c r="F16" s="184" t="str">
        <f>'[1]Sch 1- Rate Base '!F16</f>
        <v xml:space="preserve"> </v>
      </c>
      <c r="G16" s="249">
        <f>'[1]Sch 1- Rate Base '!G16</f>
        <v>0</v>
      </c>
      <c r="H16" s="249">
        <f>'[1]Sch 1- Rate Base '!H16</f>
        <v>0</v>
      </c>
      <c r="I16" s="249">
        <f>'[1]Sch 1- Rate Base '!I16</f>
        <v>0</v>
      </c>
      <c r="J16" s="1344">
        <f>'[1]Sch 1- Rate Base '!J16</f>
        <v>0</v>
      </c>
    </row>
    <row r="17" spans="1:10">
      <c r="A17" s="886"/>
      <c r="B17" s="220" t="s">
        <v>146</v>
      </c>
      <c r="C17" s="248" t="str">
        <f>'[1]Sch 1- Rate Base '!C17</f>
        <v>204-207</v>
      </c>
      <c r="D17" s="181">
        <f>'[1]Sch 1- Rate Base '!D17</f>
        <v>302</v>
      </c>
      <c r="E17" s="184" t="str">
        <f>'[1]Sch 1- Rate Base '!E17</f>
        <v>DIRECT</v>
      </c>
      <c r="F17" s="184" t="str">
        <f>'[1]Sch 1- Rate Base '!F17</f>
        <v>PTD</v>
      </c>
      <c r="G17" s="1677">
        <f>'[1]Sch 1- Rate Base '!G17</f>
        <v>46804271</v>
      </c>
      <c r="H17" s="249">
        <f>'[1]Sch 1- Rate Base '!H17</f>
        <v>42107007.580000006</v>
      </c>
      <c r="I17" s="249">
        <f>'[1]Sch 1- Rate Base '!I17</f>
        <v>1942210.47</v>
      </c>
      <c r="J17" s="1344">
        <f>'[1]Sch 1- Rate Base '!J17</f>
        <v>0</v>
      </c>
    </row>
    <row r="18" spans="1:10">
      <c r="A18" s="886"/>
      <c r="B18" s="220" t="s">
        <v>147</v>
      </c>
      <c r="C18" s="248" t="str">
        <f>'[1]Sch 1- Rate Base '!C18</f>
        <v>204-207</v>
      </c>
      <c r="D18" s="181">
        <f>'[1]Sch 1- Rate Base '!D18</f>
        <v>303</v>
      </c>
      <c r="E18" s="184" t="str">
        <f>'[1]Sch 1- Rate Base '!E18</f>
        <v>DIRECT</v>
      </c>
      <c r="F18" s="184" t="str">
        <f>'[1]Sch 1- Rate Base '!F18</f>
        <v>DIST</v>
      </c>
      <c r="G18" s="1677">
        <f>'[1]Sch 1- Rate Base '!G18</f>
        <v>57840902</v>
      </c>
      <c r="H18" s="249">
        <f>'[1]Sch 1- Rate Base '!H18</f>
        <v>14357987.999335889</v>
      </c>
      <c r="I18" s="249">
        <f>'[1]Sch 1- Rate Base '!I18</f>
        <v>7595698.8665776234</v>
      </c>
      <c r="J18" s="1344">
        <f>'[1]Sch 1- Rate Base '!J18</f>
        <v>3774072.5440864898</v>
      </c>
    </row>
    <row r="19" spans="1:10">
      <c r="A19" s="163" t="s">
        <v>443</v>
      </c>
      <c r="B19" s="64"/>
      <c r="C19" s="484"/>
      <c r="D19" s="485"/>
      <c r="E19" s="485"/>
      <c r="F19" s="486"/>
      <c r="G19" s="581">
        <f>'[1]Sch 1- Rate Base '!G19</f>
        <v>104645173</v>
      </c>
      <c r="H19" s="581">
        <f>'[1]Sch 1- Rate Base '!H19</f>
        <v>56464995.579335898</v>
      </c>
      <c r="I19" s="581">
        <f>'[1]Sch 1- Rate Base '!I19</f>
        <v>9537909.3365776241</v>
      </c>
      <c r="J19" s="1346">
        <f>'[1]Sch 1- Rate Base '!J19</f>
        <v>3774072.5440864898</v>
      </c>
    </row>
    <row r="20" spans="1:10">
      <c r="A20" s="906"/>
      <c r="B20" s="1678"/>
      <c r="C20" s="1679"/>
      <c r="D20" s="1679"/>
      <c r="E20" s="908"/>
      <c r="F20" s="908"/>
      <c r="G20" s="1680"/>
      <c r="H20" s="1680"/>
      <c r="I20" s="1680"/>
      <c r="J20" s="1681"/>
    </row>
    <row r="21" spans="1:10">
      <c r="A21" s="199" t="s">
        <v>110</v>
      </c>
      <c r="B21" s="157"/>
      <c r="C21" s="50"/>
      <c r="D21" s="50"/>
      <c r="E21" s="50"/>
      <c r="F21" s="50"/>
      <c r="G21" s="142"/>
      <c r="H21" s="142"/>
      <c r="I21" s="142"/>
      <c r="J21" s="1348"/>
    </row>
    <row r="22" spans="1:10">
      <c r="A22" s="912"/>
      <c r="B22" s="913" t="s">
        <v>111</v>
      </c>
      <c r="C22" s="248" t="str">
        <f>'[1]Sch 1- Rate Base '!C22</f>
        <v>204-207</v>
      </c>
      <c r="D22" s="181" t="str">
        <f>'[1]Sch 1- Rate Base '!D22</f>
        <v>310-317</v>
      </c>
      <c r="E22" s="184" t="str">
        <f>'[1]Sch 1- Rate Base '!E22</f>
        <v>PROD</v>
      </c>
      <c r="F22" s="184">
        <f>'[1]Sch 1- Rate Base '!F22</f>
        <v>0</v>
      </c>
      <c r="G22" s="1677">
        <f>'[1]Sch 1- Rate Base '!G22</f>
        <v>494693042</v>
      </c>
      <c r="H22" s="249">
        <f>'[1]Sch 1- Rate Base '!H22</f>
        <v>494693042</v>
      </c>
      <c r="I22" s="249">
        <f>'[1]Sch 1- Rate Base '!I22</f>
        <v>0</v>
      </c>
      <c r="J22" s="1344">
        <f>'[1]Sch 1- Rate Base '!J22</f>
        <v>0</v>
      </c>
    </row>
    <row r="23" spans="1:10">
      <c r="A23" s="912"/>
      <c r="B23" s="913" t="s">
        <v>113</v>
      </c>
      <c r="C23" s="248" t="str">
        <f>'[1]Sch 1- Rate Base '!C23</f>
        <v>204-207</v>
      </c>
      <c r="D23" s="181" t="str">
        <f>'[1]Sch 1- Rate Base '!D23</f>
        <v>320-326</v>
      </c>
      <c r="E23" s="184" t="str">
        <f>'[1]Sch 1- Rate Base '!E23</f>
        <v>PROD</v>
      </c>
      <c r="F23" s="184">
        <f>'[1]Sch 1- Rate Base '!F23</f>
        <v>0</v>
      </c>
      <c r="G23" s="1677">
        <f>'[1]Sch 1- Rate Base '!G23</f>
        <v>0</v>
      </c>
      <c r="H23" s="249">
        <f>'[1]Sch 1- Rate Base '!H23</f>
        <v>0</v>
      </c>
      <c r="I23" s="249">
        <f>'[1]Sch 1- Rate Base '!I23</f>
        <v>0</v>
      </c>
      <c r="J23" s="1344">
        <f>'[1]Sch 1- Rate Base '!J23</f>
        <v>0</v>
      </c>
    </row>
    <row r="24" spans="1:10">
      <c r="A24" s="912"/>
      <c r="B24" s="913" t="s">
        <v>115</v>
      </c>
      <c r="C24" s="248" t="str">
        <f>'[1]Sch 1- Rate Base '!C24</f>
        <v>204-207</v>
      </c>
      <c r="D24" s="181" t="str">
        <f>'[1]Sch 1- Rate Base '!D24</f>
        <v>330-337</v>
      </c>
      <c r="E24" s="184" t="str">
        <f>'[1]Sch 1- Rate Base '!E24</f>
        <v>PROD</v>
      </c>
      <c r="F24" s="184">
        <f>'[1]Sch 1- Rate Base '!F24</f>
        <v>0</v>
      </c>
      <c r="G24" s="1677">
        <f>'[1]Sch 1- Rate Base '!G24</f>
        <v>791656686</v>
      </c>
      <c r="H24" s="249">
        <f>'[1]Sch 1- Rate Base '!H24</f>
        <v>791656686</v>
      </c>
      <c r="I24" s="249">
        <f>'[1]Sch 1- Rate Base '!I24</f>
        <v>0</v>
      </c>
      <c r="J24" s="1344">
        <f>'[1]Sch 1- Rate Base '!J24</f>
        <v>0</v>
      </c>
    </row>
    <row r="25" spans="1:10">
      <c r="A25" s="912"/>
      <c r="B25" s="913" t="s">
        <v>117</v>
      </c>
      <c r="C25" s="248" t="str">
        <f>'[1]Sch 1- Rate Base '!C25</f>
        <v>204-207</v>
      </c>
      <c r="D25" s="181" t="str">
        <f>'[1]Sch 1- Rate Base '!D25</f>
        <v>340-347</v>
      </c>
      <c r="E25" s="184" t="str">
        <f>'[1]Sch 1- Rate Base '!E25</f>
        <v>PROD</v>
      </c>
      <c r="F25" s="184">
        <f>'[1]Sch 1- Rate Base '!F25</f>
        <v>0</v>
      </c>
      <c r="G25" s="1677">
        <f>'[1]Sch 1- Rate Base '!G25</f>
        <v>327526210</v>
      </c>
      <c r="H25" s="249">
        <f>'[1]Sch 1- Rate Base '!H25</f>
        <v>327526210</v>
      </c>
      <c r="I25" s="249">
        <f>'[1]Sch 1- Rate Base '!I25</f>
        <v>0</v>
      </c>
      <c r="J25" s="1344">
        <f>'[1]Sch 1- Rate Base '!J25</f>
        <v>0</v>
      </c>
    </row>
    <row r="26" spans="1:10">
      <c r="A26" s="163" t="s">
        <v>119</v>
      </c>
      <c r="B26" s="64"/>
      <c r="C26" s="484"/>
      <c r="D26" s="485"/>
      <c r="E26" s="485"/>
      <c r="F26" s="486"/>
      <c r="G26" s="474">
        <f>'[1]Sch 1- Rate Base '!G26</f>
        <v>1613875938</v>
      </c>
      <c r="H26" s="474">
        <f>'[1]Sch 1- Rate Base '!H26</f>
        <v>1613875938</v>
      </c>
      <c r="I26" s="482">
        <f>'[1]Sch 1- Rate Base '!I26</f>
        <v>0</v>
      </c>
      <c r="J26" s="1350">
        <f>'[1]Sch 1- Rate Base '!J26</f>
        <v>0</v>
      </c>
    </row>
    <row r="27" spans="1:10">
      <c r="A27" s="906"/>
      <c r="B27" s="1678"/>
      <c r="C27" s="1679"/>
      <c r="D27" s="1679"/>
      <c r="E27" s="908"/>
      <c r="F27" s="908"/>
      <c r="G27" s="1682"/>
      <c r="H27" s="1682"/>
      <c r="I27" s="1682"/>
      <c r="J27" s="1683"/>
    </row>
    <row r="28" spans="1:10">
      <c r="A28" s="199" t="s">
        <v>142</v>
      </c>
      <c r="B28" s="220"/>
      <c r="C28" s="55"/>
      <c r="D28" s="55"/>
      <c r="E28" s="180"/>
      <c r="F28" s="180"/>
      <c r="G28" s="910"/>
      <c r="H28" s="910"/>
      <c r="I28" s="910"/>
      <c r="J28" s="911"/>
    </row>
    <row r="29" spans="1:10">
      <c r="A29" s="912"/>
      <c r="B29" s="913" t="s">
        <v>501</v>
      </c>
      <c r="C29" s="248" t="str">
        <f>'[1]Sch 1- Rate Base '!C29</f>
        <v>204-207</v>
      </c>
      <c r="D29" s="181" t="str">
        <f>'[1]Sch 1- Rate Base '!D29</f>
        <v>350-359.1</v>
      </c>
      <c r="E29" s="184" t="str">
        <f>'[1]Sch 1- Rate Base '!E29</f>
        <v>TRANS</v>
      </c>
      <c r="F29" s="184">
        <f>'[1]Sch 1- Rate Base '!F29</f>
        <v>0</v>
      </c>
      <c r="G29" s="1677">
        <f>'[1]Sch 1- Rate Base '!G29</f>
        <v>1057719030</v>
      </c>
      <c r="H29" s="249">
        <f>'[1]Sch 1- Rate Base '!H29</f>
        <v>0</v>
      </c>
      <c r="I29" s="249">
        <f>'[1]Sch 1- Rate Base '!I29</f>
        <v>1057719030</v>
      </c>
      <c r="J29" s="1344">
        <f>'[1]Sch 1- Rate Base '!J29</f>
        <v>0</v>
      </c>
    </row>
    <row r="30" spans="1:10">
      <c r="A30" s="163" t="s">
        <v>121</v>
      </c>
      <c r="B30" s="64"/>
      <c r="C30" s="914"/>
      <c r="D30" s="915"/>
      <c r="E30" s="915"/>
      <c r="F30" s="916"/>
      <c r="G30" s="1684"/>
      <c r="H30" s="1684"/>
      <c r="I30" s="1684"/>
      <c r="J30" s="1685"/>
    </row>
    <row r="31" spans="1:10">
      <c r="A31" s="163"/>
      <c r="B31" s="64"/>
      <c r="C31" s="55"/>
      <c r="D31" s="55"/>
      <c r="E31" s="55"/>
      <c r="F31" s="55"/>
      <c r="G31" s="917"/>
      <c r="H31" s="917"/>
      <c r="I31" s="917"/>
      <c r="J31" s="918"/>
    </row>
    <row r="32" spans="1:10">
      <c r="A32" s="199" t="s">
        <v>476</v>
      </c>
      <c r="B32" s="220"/>
      <c r="C32" s="55"/>
      <c r="D32" s="55"/>
      <c r="E32" s="64"/>
      <c r="F32" s="64"/>
      <c r="G32" s="910"/>
      <c r="H32" s="910"/>
      <c r="I32" s="910"/>
      <c r="J32" s="911"/>
    </row>
    <row r="33" spans="1:10">
      <c r="A33" s="912"/>
      <c r="B33" s="913" t="s">
        <v>140</v>
      </c>
      <c r="C33" s="248" t="str">
        <f>'[1]Sch 1- Rate Base '!C33</f>
        <v>204-207</v>
      </c>
      <c r="D33" s="181" t="str">
        <f>'[1]Sch 1- Rate Base '!D33</f>
        <v>360-374</v>
      </c>
      <c r="E33" s="184" t="str">
        <f>'[1]Sch 1- Rate Base '!E33</f>
        <v>DIST</v>
      </c>
      <c r="F33" s="184">
        <f>'[1]Sch 1- Rate Base '!F33</f>
        <v>0</v>
      </c>
      <c r="G33" s="1677">
        <f>'[1]Sch 1- Rate Base '!G33</f>
        <v>2407306658</v>
      </c>
      <c r="H33" s="249">
        <f>'[1]Sch 1- Rate Base '!H33</f>
        <v>0</v>
      </c>
      <c r="I33" s="249">
        <f>'[1]Sch 1- Rate Base '!I33</f>
        <v>0</v>
      </c>
      <c r="J33" s="1344">
        <f>'[1]Sch 1- Rate Base '!J33</f>
        <v>2407306658</v>
      </c>
    </row>
    <row r="34" spans="1:10">
      <c r="A34" s="209" t="s">
        <v>122</v>
      </c>
      <c r="B34" s="220"/>
      <c r="C34" s="914"/>
      <c r="D34" s="915"/>
      <c r="E34" s="915"/>
      <c r="F34" s="916"/>
      <c r="G34" s="1684"/>
      <c r="H34" s="1684"/>
      <c r="I34" s="1684"/>
      <c r="J34" s="1685"/>
    </row>
    <row r="35" spans="1:10">
      <c r="A35" s="209"/>
      <c r="B35" s="220"/>
      <c r="C35" s="55"/>
      <c r="D35" s="55"/>
      <c r="E35" s="55"/>
      <c r="F35" s="55"/>
      <c r="G35" s="919"/>
      <c r="H35" s="919"/>
      <c r="I35" s="919"/>
      <c r="J35" s="920"/>
    </row>
    <row r="36" spans="1:10">
      <c r="A36" s="199" t="s">
        <v>124</v>
      </c>
      <c r="B36" s="64"/>
      <c r="C36" s="55"/>
      <c r="D36" s="196"/>
      <c r="E36" s="196"/>
      <c r="F36" s="196"/>
      <c r="G36" s="221"/>
      <c r="H36" s="221"/>
      <c r="I36" s="221"/>
      <c r="J36" s="222"/>
    </row>
    <row r="37" spans="1:10">
      <c r="A37" s="912"/>
      <c r="B37" s="10" t="s">
        <v>125</v>
      </c>
      <c r="C37" s="248" t="str">
        <f>'[1]Sch 1- Rate Base '!C37</f>
        <v>204-207</v>
      </c>
      <c r="D37" s="181">
        <f>'[1]Sch 1- Rate Base '!D37</f>
        <v>389</v>
      </c>
      <c r="E37" s="184" t="str">
        <f>'[1]Sch 1- Rate Base '!E37</f>
        <v>PTD</v>
      </c>
      <c r="F37" s="184"/>
      <c r="G37" s="1677">
        <f>'[1]Sch 1- Rate Base '!G37</f>
        <v>1083006</v>
      </c>
      <c r="H37" s="249">
        <f>'[1]Sch 1- Rate Base '!H37</f>
        <v>344136.87305185618</v>
      </c>
      <c r="I37" s="249">
        <f>'[1]Sch 1- Rate Base '!I37</f>
        <v>225544.05266288968</v>
      </c>
      <c r="J37" s="1344">
        <f>'[1]Sch 1- Rate Base '!J37</f>
        <v>513325.07428525412</v>
      </c>
    </row>
    <row r="38" spans="1:10">
      <c r="A38" s="912"/>
      <c r="B38" s="10" t="s">
        <v>126</v>
      </c>
      <c r="C38" s="248" t="str">
        <f>'[1]Sch 1- Rate Base '!C38</f>
        <v>204-207</v>
      </c>
      <c r="D38" s="181">
        <f>'[1]Sch 1- Rate Base '!D38</f>
        <v>390</v>
      </c>
      <c r="E38" s="184" t="str">
        <f>'[1]Sch 1- Rate Base '!E38</f>
        <v>PTD</v>
      </c>
      <c r="F38" s="184"/>
      <c r="G38" s="1677">
        <f>'[1]Sch 1- Rate Base '!G38</f>
        <v>21045508</v>
      </c>
      <c r="H38" s="249">
        <f>'[1]Sch 1- Rate Base '!H38</f>
        <v>6687437.8488280065</v>
      </c>
      <c r="I38" s="249">
        <f>'[1]Sch 1- Rate Base '!I38</f>
        <v>4382883.5340425316</v>
      </c>
      <c r="J38" s="1344">
        <f>'[1]Sch 1- Rate Base '!J38</f>
        <v>9975186.6171294618</v>
      </c>
    </row>
    <row r="39" spans="1:10">
      <c r="A39" s="912"/>
      <c r="B39" s="10" t="s">
        <v>127</v>
      </c>
      <c r="C39" s="248" t="str">
        <f>'[1]Sch 1- Rate Base '!C39</f>
        <v>204-207</v>
      </c>
      <c r="D39" s="181">
        <f>'[1]Sch 1- Rate Base '!D39</f>
        <v>391</v>
      </c>
      <c r="E39" s="184" t="str">
        <f>'[1]Sch 1- Rate Base '!E39</f>
        <v>LABOR</v>
      </c>
      <c r="F39" s="184"/>
      <c r="G39" s="1677">
        <f>'[1]Sch 1- Rate Base '!G39</f>
        <v>3976622</v>
      </c>
      <c r="H39" s="249">
        <f>'[1]Sch 1- Rate Base '!H39</f>
        <v>1455724.5705582532</v>
      </c>
      <c r="I39" s="249">
        <f>'[1]Sch 1- Rate Base '!I39</f>
        <v>634177.11378421984</v>
      </c>
      <c r="J39" s="1344">
        <f>'[1]Sch 1- Rate Base '!J39</f>
        <v>1886720.3156575267</v>
      </c>
    </row>
    <row r="40" spans="1:10">
      <c r="A40" s="912"/>
      <c r="B40" s="10" t="s">
        <v>128</v>
      </c>
      <c r="C40" s="248" t="str">
        <f>'[1]Sch 1- Rate Base '!C40</f>
        <v>204-207</v>
      </c>
      <c r="D40" s="181">
        <f>'[1]Sch 1- Rate Base '!D40</f>
        <v>392</v>
      </c>
      <c r="E40" s="184" t="str">
        <f>'[1]Sch 1- Rate Base '!E40</f>
        <v>TD</v>
      </c>
      <c r="F40" s="184"/>
      <c r="G40" s="1677">
        <f>'[1]Sch 1- Rate Base '!G40</f>
        <v>62357831</v>
      </c>
      <c r="H40" s="249">
        <f>'[1]Sch 1- Rate Base '!H40</f>
        <v>0</v>
      </c>
      <c r="I40" s="249">
        <f>'[1]Sch 1- Rate Base '!I40</f>
        <v>19035086.737349443</v>
      </c>
      <c r="J40" s="1344">
        <f>'[1]Sch 1- Rate Base '!J40</f>
        <v>43322744.262650557</v>
      </c>
    </row>
    <row r="41" spans="1:10">
      <c r="A41" s="912"/>
      <c r="B41" s="10" t="s">
        <v>129</v>
      </c>
      <c r="C41" s="248" t="str">
        <f>'[1]Sch 1- Rate Base '!C41</f>
        <v>204-207</v>
      </c>
      <c r="D41" s="181">
        <f>'[1]Sch 1- Rate Base '!D41</f>
        <v>393</v>
      </c>
      <c r="E41" s="184" t="str">
        <f>'[1]Sch 1- Rate Base '!E41</f>
        <v>PTD</v>
      </c>
      <c r="F41" s="184"/>
      <c r="G41" s="1677">
        <f>'[1]Sch 1- Rate Base '!G41</f>
        <v>472784</v>
      </c>
      <c r="H41" s="249">
        <f>'[1]Sch 1- Rate Base '!H41</f>
        <v>150232.23083616229</v>
      </c>
      <c r="I41" s="249">
        <f>'[1]Sch 1- Rate Base '!I41</f>
        <v>98460.78359138513</v>
      </c>
      <c r="J41" s="1344">
        <f>'[1]Sch 1- Rate Base '!J41</f>
        <v>224090.9855724526</v>
      </c>
    </row>
    <row r="42" spans="1:10">
      <c r="A42" s="912"/>
      <c r="B42" s="10" t="s">
        <v>130</v>
      </c>
      <c r="C42" s="248" t="str">
        <f>'[1]Sch 1- Rate Base '!C42</f>
        <v>204-207</v>
      </c>
      <c r="D42" s="181">
        <f>'[1]Sch 1- Rate Base '!D42</f>
        <v>394</v>
      </c>
      <c r="E42" s="184" t="str">
        <f>'[1]Sch 1- Rate Base '!E42</f>
        <v>PTD</v>
      </c>
      <c r="F42" s="184"/>
      <c r="G42" s="1677">
        <f>'[1]Sch 1- Rate Base '!G42</f>
        <v>9005539</v>
      </c>
      <c r="H42" s="249">
        <f>'[1]Sch 1- Rate Base '!H42</f>
        <v>2861607.4441014547</v>
      </c>
      <c r="I42" s="249">
        <f>'[1]Sch 1- Rate Base '!I42</f>
        <v>1875470.4613582075</v>
      </c>
      <c r="J42" s="1344">
        <f>'[1]Sch 1- Rate Base '!J42</f>
        <v>4268461.094540338</v>
      </c>
    </row>
    <row r="43" spans="1:10">
      <c r="A43" s="912"/>
      <c r="B43" s="10" t="s">
        <v>131</v>
      </c>
      <c r="C43" s="248" t="str">
        <f>'[1]Sch 1- Rate Base '!C43</f>
        <v>204-207</v>
      </c>
      <c r="D43" s="181">
        <f>'[1]Sch 1- Rate Base '!D43</f>
        <v>395</v>
      </c>
      <c r="E43" s="184" t="str">
        <f>'[1]Sch 1- Rate Base '!E43</f>
        <v>PTD</v>
      </c>
      <c r="F43" s="184"/>
      <c r="G43" s="1677">
        <f>'[1]Sch 1- Rate Base '!G43</f>
        <v>3305287</v>
      </c>
      <c r="H43" s="249">
        <f>'[1]Sch 1- Rate Base '!H43</f>
        <v>1050290.7026544178</v>
      </c>
      <c r="I43" s="249">
        <f>'[1]Sch 1- Rate Base '!I43</f>
        <v>688350.59565133031</v>
      </c>
      <c r="J43" s="1344">
        <f>'[1]Sch 1- Rate Base '!J43</f>
        <v>1566645.7016942517</v>
      </c>
    </row>
    <row r="44" spans="1:10">
      <c r="A44" s="912"/>
      <c r="B44" s="10" t="s">
        <v>132</v>
      </c>
      <c r="C44" s="248" t="str">
        <f>'[1]Sch 1- Rate Base '!C44</f>
        <v>204-207</v>
      </c>
      <c r="D44" s="181">
        <f>'[1]Sch 1- Rate Base '!D44</f>
        <v>396</v>
      </c>
      <c r="E44" s="184" t="str">
        <f>'[1]Sch 1- Rate Base '!E44</f>
        <v>TD</v>
      </c>
      <c r="F44" s="184"/>
      <c r="G44" s="1677">
        <f>'[1]Sch 1- Rate Base '!G44</f>
        <v>25432532</v>
      </c>
      <c r="H44" s="249">
        <f>'[1]Sch 1- Rate Base '!H44</f>
        <v>0</v>
      </c>
      <c r="I44" s="249">
        <f>'[1]Sch 1- Rate Base '!I44</f>
        <v>7763426.7389835175</v>
      </c>
      <c r="J44" s="1344">
        <f>'[1]Sch 1- Rate Base '!J44</f>
        <v>17669105.261016481</v>
      </c>
    </row>
    <row r="45" spans="1:10">
      <c r="A45" s="912"/>
      <c r="B45" s="10" t="s">
        <v>133</v>
      </c>
      <c r="C45" s="248" t="str">
        <f>'[1]Sch 1- Rate Base '!C45</f>
        <v>204-207</v>
      </c>
      <c r="D45" s="181">
        <f>'[1]Sch 1- Rate Base '!D45</f>
        <v>397</v>
      </c>
      <c r="E45" s="184" t="str">
        <f>'[1]Sch 1- Rate Base '!E45</f>
        <v>PTD</v>
      </c>
      <c r="F45" s="184"/>
      <c r="G45" s="1677">
        <f>'[1]Sch 1- Rate Base '!G45</f>
        <v>42279271</v>
      </c>
      <c r="H45" s="249">
        <f>'[1]Sch 1- Rate Base '!H45</f>
        <v>13434695.760551672</v>
      </c>
      <c r="I45" s="249">
        <f>'[1]Sch 1- Rate Base '!I45</f>
        <v>8804972.5716871228</v>
      </c>
      <c r="J45" s="1344">
        <f>'[1]Sch 1- Rate Base '!J45</f>
        <v>20039602.667761203</v>
      </c>
    </row>
    <row r="46" spans="1:10">
      <c r="A46" s="912"/>
      <c r="B46" s="10" t="s">
        <v>134</v>
      </c>
      <c r="C46" s="248" t="str">
        <f>'[1]Sch 1- Rate Base '!C46</f>
        <v>204-207</v>
      </c>
      <c r="D46" s="181">
        <f>'[1]Sch 1- Rate Base '!D46</f>
        <v>398</v>
      </c>
      <c r="E46" s="184" t="str">
        <f>'[1]Sch 1- Rate Base '!E46</f>
        <v>PTD</v>
      </c>
      <c r="F46" s="184"/>
      <c r="G46" s="1677">
        <f>'[1]Sch 1- Rate Base '!G46</f>
        <v>258773</v>
      </c>
      <c r="H46" s="249">
        <f>'[1]Sch 1- Rate Base '!H46</f>
        <v>82227.920297992794</v>
      </c>
      <c r="I46" s="249">
        <f>'[1]Sch 1- Rate Base '!I46</f>
        <v>53891.401469367622</v>
      </c>
      <c r="J46" s="1344">
        <f>'[1]Sch 1- Rate Base '!J46</f>
        <v>122653.67823263959</v>
      </c>
    </row>
    <row r="47" spans="1:10">
      <c r="A47" s="912"/>
      <c r="B47" s="10" t="s">
        <v>256</v>
      </c>
      <c r="C47" s="248" t="str">
        <f>'[1]Sch 1- Rate Base '!C47</f>
        <v>204-207</v>
      </c>
      <c r="D47" s="181">
        <f>'[1]Sch 1- Rate Base '!D47</f>
        <v>399</v>
      </c>
      <c r="E47" s="184" t="str">
        <f>'[1]Sch 1- Rate Base '!E47</f>
        <v>DIRECT</v>
      </c>
      <c r="F47" s="184" t="str">
        <f>'[1]Sch 1- Rate Base '!F47</f>
        <v>PTD</v>
      </c>
      <c r="G47" s="1677">
        <f>'[1]Sch 1- Rate Base '!G47</f>
        <v>0</v>
      </c>
      <c r="H47" s="249">
        <f>'[1]Sch 1- Rate Base '!H47</f>
        <v>0</v>
      </c>
      <c r="I47" s="249">
        <f>'[1]Sch 1- Rate Base '!I47</f>
        <v>0</v>
      </c>
      <c r="J47" s="1344">
        <f>'[1]Sch 1- Rate Base '!J47</f>
        <v>0</v>
      </c>
    </row>
    <row r="48" spans="1:10">
      <c r="A48" s="912"/>
      <c r="B48" s="10" t="s">
        <v>446</v>
      </c>
      <c r="C48" s="248" t="str">
        <f>'[1]Sch 1- Rate Base '!C48</f>
        <v>204-208</v>
      </c>
      <c r="D48" s="181">
        <f>'[1]Sch 1- Rate Base '!D48</f>
        <v>399.1</v>
      </c>
      <c r="E48" s="184" t="str">
        <f>'[1]Sch 1- Rate Base '!E48</f>
        <v>PTD</v>
      </c>
      <c r="F48" s="184"/>
      <c r="G48" s="1677">
        <f>'[1]Sch 1- Rate Base '!G48</f>
        <v>0</v>
      </c>
      <c r="H48" s="249">
        <f>'[1]Sch 1- Rate Base '!H48</f>
        <v>0</v>
      </c>
      <c r="I48" s="249">
        <f>'[1]Sch 1- Rate Base '!I48</f>
        <v>0</v>
      </c>
      <c r="J48" s="1344">
        <f>'[1]Sch 1- Rate Base '!J48</f>
        <v>0</v>
      </c>
    </row>
    <row r="49" spans="1:10">
      <c r="A49" s="160"/>
      <c r="B49" s="10"/>
      <c r="C49" s="55"/>
      <c r="D49" s="196"/>
      <c r="E49" s="196"/>
      <c r="F49" s="196"/>
      <c r="G49" s="921"/>
      <c r="H49" s="198"/>
      <c r="I49" s="198"/>
      <c r="J49" s="200"/>
    </row>
    <row r="50" spans="1:10" ht="16.5" thickBot="1">
      <c r="A50" s="209" t="s">
        <v>135</v>
      </c>
      <c r="B50" s="64"/>
      <c r="C50" s="914"/>
      <c r="D50" s="914"/>
      <c r="E50" s="914"/>
      <c r="F50" s="914"/>
      <c r="G50" s="615">
        <f>'[1]Sch 1- Rate Base '!G50</f>
        <v>169217153</v>
      </c>
      <c r="H50" s="615">
        <f>'[1]Sch 1- Rate Base '!H50</f>
        <v>26066353.350879814</v>
      </c>
      <c r="I50" s="615">
        <f>'[1]Sch 1- Rate Base '!I50</f>
        <v>43562263.990580015</v>
      </c>
      <c r="J50" s="615">
        <f>'[1]Sch 1- Rate Base '!J50</f>
        <v>99588535.658540159</v>
      </c>
    </row>
    <row r="51" spans="1:10" ht="16.5" thickTop="1">
      <c r="A51" s="922"/>
      <c r="B51" s="64"/>
      <c r="C51" s="55"/>
      <c r="D51" s="55"/>
      <c r="E51" s="64"/>
      <c r="F51" s="64"/>
      <c r="G51" s="221"/>
      <c r="H51" s="221"/>
      <c r="I51" s="221"/>
      <c r="J51" s="222"/>
    </row>
    <row r="52" spans="1:10" ht="16.5" thickBot="1">
      <c r="A52" s="209" t="s">
        <v>136</v>
      </c>
      <c r="B52" s="64"/>
      <c r="C52" s="914"/>
      <c r="D52" s="914"/>
      <c r="E52" s="914"/>
      <c r="F52" s="914"/>
      <c r="G52" s="615">
        <f>'[1]Sch 1- Rate Base '!G52</f>
        <v>5352763952</v>
      </c>
      <c r="H52" s="615">
        <f>'[1]Sch 1- Rate Base '!H52</f>
        <v>1696407286.9302158</v>
      </c>
      <c r="I52" s="615">
        <f>'[1]Sch 1- Rate Base '!I52</f>
        <v>1110819203.3271577</v>
      </c>
      <c r="J52" s="615">
        <f>'[1]Sch 1- Rate Base '!J52</f>
        <v>2510669266.2026267</v>
      </c>
    </row>
    <row r="53" spans="1:10" ht="16.5" thickTop="1">
      <c r="A53" s="213" t="s">
        <v>444</v>
      </c>
      <c r="B53" s="64"/>
      <c r="C53" s="55"/>
      <c r="D53" s="55"/>
      <c r="E53" s="64"/>
      <c r="F53" s="64"/>
      <c r="G53" s="221"/>
      <c r="H53" s="221"/>
      <c r="I53" s="221"/>
      <c r="J53" s="222"/>
    </row>
    <row r="54" spans="1:10">
      <c r="A54" s="199"/>
      <c r="B54" s="220"/>
      <c r="C54" s="55"/>
      <c r="D54" s="55"/>
      <c r="E54" s="55"/>
      <c r="F54" s="55"/>
      <c r="G54" s="221"/>
      <c r="H54" s="221"/>
      <c r="I54" s="221"/>
      <c r="J54" s="222"/>
    </row>
    <row r="55" spans="1:10">
      <c r="A55" s="199" t="s">
        <v>478</v>
      </c>
      <c r="B55" s="220"/>
      <c r="C55" s="55"/>
      <c r="D55" s="55"/>
      <c r="E55" s="55"/>
      <c r="F55" s="55"/>
      <c r="G55" s="910"/>
      <c r="H55" s="910"/>
      <c r="I55" s="910"/>
      <c r="J55" s="911"/>
    </row>
    <row r="56" spans="1:10">
      <c r="A56" s="199" t="s">
        <v>624</v>
      </c>
      <c r="B56" s="220"/>
      <c r="C56" s="55"/>
      <c r="D56" s="55"/>
      <c r="E56" s="55"/>
      <c r="F56" s="55"/>
      <c r="G56" s="910"/>
      <c r="H56" s="910"/>
      <c r="I56" s="910"/>
      <c r="J56" s="911"/>
    </row>
    <row r="57" spans="1:10">
      <c r="A57" s="912"/>
      <c r="B57" s="913" t="s">
        <v>88</v>
      </c>
      <c r="C57" s="248">
        <f>'[1]Sch 1- Rate Base '!C57</f>
        <v>219</v>
      </c>
      <c r="D57" s="181">
        <f>'[1]Sch 1- Rate Base '!D57</f>
        <v>108</v>
      </c>
      <c r="E57" s="184" t="str">
        <f>'[1]Sch 1- Rate Base '!E57</f>
        <v>PROD</v>
      </c>
      <c r="F57" s="184"/>
      <c r="G57" s="1677">
        <f>'[1]Sch 1- Rate Base '!G57</f>
        <v>394650809</v>
      </c>
      <c r="H57" s="249">
        <f>'[1]Sch 1- Rate Base '!H57</f>
        <v>394650809</v>
      </c>
      <c r="I57" s="249">
        <f>'[1]Sch 1- Rate Base '!I57</f>
        <v>0</v>
      </c>
      <c r="J57" s="1344">
        <f>'[1]Sch 1- Rate Base '!J57</f>
        <v>0</v>
      </c>
    </row>
    <row r="58" spans="1:10">
      <c r="A58" s="912"/>
      <c r="B58" s="913" t="s">
        <v>89</v>
      </c>
      <c r="C58" s="248">
        <f>'[1]Sch 1- Rate Base '!C58</f>
        <v>219</v>
      </c>
      <c r="D58" s="181">
        <f>'[1]Sch 1- Rate Base '!D58</f>
        <v>108</v>
      </c>
      <c r="E58" s="184" t="str">
        <f>'[1]Sch 1- Rate Base '!E58</f>
        <v>PROD</v>
      </c>
      <c r="F58" s="184"/>
      <c r="G58" s="1677">
        <f>'[1]Sch 1- Rate Base '!G58</f>
        <v>0</v>
      </c>
      <c r="H58" s="249">
        <f>'[1]Sch 1- Rate Base '!H58</f>
        <v>0</v>
      </c>
      <c r="I58" s="249">
        <f>'[1]Sch 1- Rate Base '!I58</f>
        <v>0</v>
      </c>
      <c r="J58" s="1344">
        <f>'[1]Sch 1- Rate Base '!J58</f>
        <v>0</v>
      </c>
    </row>
    <row r="59" spans="1:10">
      <c r="A59" s="912"/>
      <c r="B59" s="913" t="s">
        <v>326</v>
      </c>
      <c r="C59" s="248">
        <f>'[1]Sch 1- Rate Base '!C59</f>
        <v>219</v>
      </c>
      <c r="D59" s="181">
        <f>'[1]Sch 1- Rate Base '!D59</f>
        <v>108</v>
      </c>
      <c r="E59" s="184" t="str">
        <f>'[1]Sch 1- Rate Base '!E59</f>
        <v>PROD</v>
      </c>
      <c r="F59" s="184"/>
      <c r="G59" s="1677">
        <f>'[1]Sch 1- Rate Base '!G59</f>
        <v>202979974</v>
      </c>
      <c r="H59" s="249">
        <f>'[1]Sch 1- Rate Base '!H59</f>
        <v>202979974</v>
      </c>
      <c r="I59" s="249">
        <f>'[1]Sch 1- Rate Base '!I59</f>
        <v>0</v>
      </c>
      <c r="J59" s="1344">
        <f>'[1]Sch 1- Rate Base '!J59</f>
        <v>0</v>
      </c>
    </row>
    <row r="60" spans="1:10">
      <c r="A60" s="912"/>
      <c r="B60" s="913" t="s">
        <v>137</v>
      </c>
      <c r="C60" s="248">
        <f>'[1]Sch 1- Rate Base '!C60</f>
        <v>219</v>
      </c>
      <c r="D60" s="181">
        <f>'[1]Sch 1- Rate Base '!D60</f>
        <v>108</v>
      </c>
      <c r="E60" s="184" t="str">
        <f>'[1]Sch 1- Rate Base '!E60</f>
        <v>PROD</v>
      </c>
      <c r="F60" s="184"/>
      <c r="G60" s="1677">
        <f>'[1]Sch 1- Rate Base '!G60</f>
        <v>177969738</v>
      </c>
      <c r="H60" s="249">
        <f>'[1]Sch 1- Rate Base '!H60</f>
        <v>177969738</v>
      </c>
      <c r="I60" s="249">
        <f>'[1]Sch 1- Rate Base '!I60</f>
        <v>0</v>
      </c>
      <c r="J60" s="1344">
        <f>'[1]Sch 1- Rate Base '!J60</f>
        <v>0</v>
      </c>
    </row>
    <row r="61" spans="1:10">
      <c r="A61" s="912"/>
      <c r="B61" s="913" t="s">
        <v>143</v>
      </c>
      <c r="C61" s="248">
        <f>'[1]Sch 1- Rate Base '!C61</f>
        <v>219</v>
      </c>
      <c r="D61" s="181">
        <f>'[1]Sch 1- Rate Base '!D61</f>
        <v>108</v>
      </c>
      <c r="E61" s="184" t="str">
        <f>'[1]Sch 1- Rate Base '!E61</f>
        <v>TRANS</v>
      </c>
      <c r="F61" s="184"/>
      <c r="G61" s="1677">
        <f>'[1]Sch 1- Rate Base '!G61</f>
        <v>285851148</v>
      </c>
      <c r="H61" s="249">
        <f>'[1]Sch 1- Rate Base '!H61</f>
        <v>0</v>
      </c>
      <c r="I61" s="249">
        <f>'[1]Sch 1- Rate Base '!I61</f>
        <v>285851148</v>
      </c>
      <c r="J61" s="1344">
        <f>'[1]Sch 1- Rate Base '!J61</f>
        <v>0</v>
      </c>
    </row>
    <row r="62" spans="1:10">
      <c r="A62" s="912"/>
      <c r="B62" s="913" t="s">
        <v>474</v>
      </c>
      <c r="C62" s="248">
        <f>'[1]Sch 1- Rate Base '!C62</f>
        <v>219</v>
      </c>
      <c r="D62" s="181">
        <f>'[1]Sch 1- Rate Base '!D62</f>
        <v>108</v>
      </c>
      <c r="E62" s="184" t="str">
        <f>'[1]Sch 1- Rate Base '!E62</f>
        <v>DIST</v>
      </c>
      <c r="F62" s="184"/>
      <c r="G62" s="1677">
        <f>'[1]Sch 1- Rate Base '!G62</f>
        <v>788670773</v>
      </c>
      <c r="H62" s="249">
        <f>'[1]Sch 1- Rate Base '!H62</f>
        <v>0</v>
      </c>
      <c r="I62" s="249">
        <f>'[1]Sch 1- Rate Base '!I62</f>
        <v>0</v>
      </c>
      <c r="J62" s="1344">
        <f>'[1]Sch 1- Rate Base '!J62</f>
        <v>788670773</v>
      </c>
    </row>
    <row r="63" spans="1:10">
      <c r="A63" s="912"/>
      <c r="B63" s="913" t="s">
        <v>92</v>
      </c>
      <c r="C63" s="248">
        <f>'[1]Sch 1- Rate Base '!C63</f>
        <v>219</v>
      </c>
      <c r="D63" s="181">
        <f>'[1]Sch 1- Rate Base '!D63</f>
        <v>108</v>
      </c>
      <c r="E63" s="184" t="str">
        <f>'[1]Sch 1- Rate Base '!E63</f>
        <v>GP</v>
      </c>
      <c r="F63" s="184"/>
      <c r="G63" s="1677">
        <f>'[1]Sch 1- Rate Base '!G63</f>
        <v>78045959</v>
      </c>
      <c r="H63" s="249">
        <f>'[1]Sch 1- Rate Base '!H63</f>
        <v>12022265.525896648</v>
      </c>
      <c r="I63" s="249">
        <f>'[1]Sch 1- Rate Base '!I63</f>
        <v>20091690.5235723</v>
      </c>
      <c r="J63" s="1344">
        <f>'[1]Sch 1- Rate Base '!J63</f>
        <v>45932002.950531043</v>
      </c>
    </row>
    <row r="64" spans="1:10">
      <c r="A64" s="912"/>
      <c r="B64" s="913" t="s">
        <v>373</v>
      </c>
      <c r="C64" s="248">
        <f>'[1]Sch 1- Rate Base '!C64</f>
        <v>219</v>
      </c>
      <c r="D64" s="181">
        <f>'[1]Sch 1- Rate Base '!D64</f>
        <v>111</v>
      </c>
      <c r="E64" s="184" t="str">
        <f>'[1]Sch 1- Rate Base '!E64</f>
        <v>DIST</v>
      </c>
      <c r="F64" s="184" t="str">
        <f>'[1]Sch 1- Rate Base '!F64</f>
        <v xml:space="preserve"> </v>
      </c>
      <c r="G64" s="1677">
        <f>'[1]Sch 1- Rate Base '!G64</f>
        <v>0</v>
      </c>
      <c r="H64" s="249">
        <f>'[1]Sch 1- Rate Base '!H64</f>
        <v>0</v>
      </c>
      <c r="I64" s="249">
        <f>'[1]Sch 1- Rate Base '!I64</f>
        <v>0</v>
      </c>
      <c r="J64" s="1344">
        <f>'[1]Sch 1- Rate Base '!J64</f>
        <v>0</v>
      </c>
    </row>
    <row r="65" spans="1:10">
      <c r="A65" s="912"/>
      <c r="B65" s="913" t="s">
        <v>374</v>
      </c>
      <c r="C65" s="248">
        <f>'[1]Sch 1- Rate Base '!C65</f>
        <v>219</v>
      </c>
      <c r="D65" s="181">
        <f>'[1]Sch 1- Rate Base '!D65</f>
        <v>111</v>
      </c>
      <c r="E65" s="184" t="str">
        <f>'[1]Sch 1- Rate Base '!E65</f>
        <v>DIRECT</v>
      </c>
      <c r="F65" s="184" t="str">
        <f>'[1]Sch 1- Rate Base '!F65</f>
        <v>PTD</v>
      </c>
      <c r="G65" s="1677">
        <f>'[1]Sch 1- Rate Base '!G65</f>
        <v>9306035.6400000025</v>
      </c>
      <c r="H65" s="249">
        <f>'[1]Sch 1- Rate Base '!H65</f>
        <v>8402719.4400000013</v>
      </c>
      <c r="I65" s="249">
        <f>'[1]Sch 1- Rate Base '!I65</f>
        <v>903316.2</v>
      </c>
      <c r="J65" s="1344">
        <f>'[1]Sch 1- Rate Base '!J65</f>
        <v>0</v>
      </c>
    </row>
    <row r="66" spans="1:10">
      <c r="A66" s="912"/>
      <c r="B66" s="913" t="s">
        <v>403</v>
      </c>
      <c r="C66" s="248">
        <f>'[1]Sch 1- Rate Base '!C66</f>
        <v>219</v>
      </c>
      <c r="D66" s="181">
        <f>'[1]Sch 1- Rate Base '!D66</f>
        <v>111</v>
      </c>
      <c r="E66" s="184" t="str">
        <f>'[1]Sch 1- Rate Base '!E66</f>
        <v>DIRECT</v>
      </c>
      <c r="F66" s="184" t="str">
        <f>'[1]Sch 1- Rate Base '!F66</f>
        <v>DIST</v>
      </c>
      <c r="G66" s="1677">
        <f>'[1]Sch 1- Rate Base '!G66</f>
        <v>8218633.7199999997</v>
      </c>
      <c r="H66" s="249">
        <f>'[1]Sch 1- Rate Base '!H66</f>
        <v>4395779.3655016273</v>
      </c>
      <c r="I66" s="249">
        <f>'[1]Sch 1- Rate Base '!I66</f>
        <v>2285513.0223982604</v>
      </c>
      <c r="J66" s="1344">
        <f>'[1]Sch 1- Rate Base '!J66</f>
        <v>1537340.8888029039</v>
      </c>
    </row>
    <row r="67" spans="1:10">
      <c r="A67" s="912"/>
      <c r="B67" s="913" t="s">
        <v>253</v>
      </c>
      <c r="C67" s="248">
        <f>'[1]Sch 1- Rate Base '!C67</f>
        <v>219</v>
      </c>
      <c r="D67" s="181">
        <f>'[1]Sch 1- Rate Base '!D67</f>
        <v>108</v>
      </c>
      <c r="E67" s="184" t="str">
        <f>'[1]Sch 1- Rate Base '!E67</f>
        <v>PROD</v>
      </c>
      <c r="F67" s="184"/>
      <c r="G67" s="1677">
        <f>'[1]Sch 1- Rate Base '!G67</f>
        <v>0</v>
      </c>
      <c r="H67" s="249">
        <f>'[1]Sch 1- Rate Base '!H67</f>
        <v>0</v>
      </c>
      <c r="I67" s="249">
        <f>'[1]Sch 1- Rate Base '!I67</f>
        <v>0</v>
      </c>
      <c r="J67" s="1344">
        <f>'[1]Sch 1- Rate Base '!J67</f>
        <v>0</v>
      </c>
    </row>
    <row r="68" spans="1:10">
      <c r="A68" s="912"/>
      <c r="B68" s="913" t="s">
        <v>28</v>
      </c>
      <c r="C68" s="248">
        <f>'[1]Sch 1- Rate Base '!C68</f>
        <v>219</v>
      </c>
      <c r="D68" s="181">
        <f>'[1]Sch 1- Rate Base '!D68</f>
        <v>111</v>
      </c>
      <c r="E68" s="184" t="str">
        <f>'[1]Sch 1- Rate Base '!E68</f>
        <v>DIST</v>
      </c>
      <c r="F68" s="184"/>
      <c r="G68" s="1677">
        <f>'[1]Sch 1- Rate Base '!G68</f>
        <v>0</v>
      </c>
      <c r="H68" s="249">
        <f>'[1]Sch 1- Rate Base '!H68</f>
        <v>0</v>
      </c>
      <c r="I68" s="249">
        <f>'[1]Sch 1- Rate Base '!I68</f>
        <v>0</v>
      </c>
      <c r="J68" s="1344">
        <f>'[1]Sch 1- Rate Base '!J68</f>
        <v>0</v>
      </c>
    </row>
    <row r="69" spans="1:10">
      <c r="A69" s="912"/>
      <c r="B69" s="913" t="s">
        <v>29</v>
      </c>
      <c r="C69" s="248">
        <f>'[1]Sch 1- Rate Base '!C69</f>
        <v>219</v>
      </c>
      <c r="D69" s="181">
        <f>'[1]Sch 1- Rate Base '!D69</f>
        <v>108</v>
      </c>
      <c r="E69" s="184" t="str">
        <f>'[1]Sch 1- Rate Base '!E69</f>
        <v>DIRECT</v>
      </c>
      <c r="F69" s="184" t="str">
        <f>'[1]Sch 1- Rate Base '!F69</f>
        <v>PTD</v>
      </c>
      <c r="G69" s="1677">
        <f>'[1]Sch 1- Rate Base '!G69</f>
        <v>0</v>
      </c>
      <c r="H69" s="249">
        <f>'[1]Sch 1- Rate Base '!H69</f>
        <v>0</v>
      </c>
      <c r="I69" s="249">
        <f>'[1]Sch 1- Rate Base '!I69</f>
        <v>0</v>
      </c>
      <c r="J69" s="1344">
        <f>'[1]Sch 1- Rate Base '!J69</f>
        <v>0</v>
      </c>
    </row>
    <row r="70" spans="1:10">
      <c r="A70" s="912"/>
      <c r="B70" s="913" t="s">
        <v>162</v>
      </c>
      <c r="C70" s="248" t="str">
        <f>'[1]Sch 1- Rate Base '!C70</f>
        <v>200-201</v>
      </c>
      <c r="D70" s="181">
        <f>'[1]Sch 1- Rate Base '!D70</f>
        <v>108</v>
      </c>
      <c r="E70" s="184" t="str">
        <f>'[1]Sch 1- Rate Base '!E70</f>
        <v>DIRECT</v>
      </c>
      <c r="F70" s="184" t="str">
        <f>'[1]Sch 1- Rate Base '!F70</f>
        <v>DIST</v>
      </c>
      <c r="G70" s="1677">
        <f>'[1]Sch 1- Rate Base '!G70</f>
        <v>0</v>
      </c>
      <c r="H70" s="249">
        <f>'[1]Sch 1- Rate Base '!H70</f>
        <v>0</v>
      </c>
      <c r="I70" s="249">
        <f>'[1]Sch 1- Rate Base '!I70</f>
        <v>0</v>
      </c>
      <c r="J70" s="1344">
        <f>'[1]Sch 1- Rate Base '!J70</f>
        <v>0</v>
      </c>
    </row>
    <row r="71" spans="1:10">
      <c r="A71" s="912"/>
      <c r="B71" s="913" t="s">
        <v>404</v>
      </c>
      <c r="C71" s="248" t="str">
        <f>'[1]Sch 1- Rate Base '!C71</f>
        <v>200-201</v>
      </c>
      <c r="D71" s="181">
        <f>'[1]Sch 1- Rate Base '!D71</f>
        <v>108</v>
      </c>
      <c r="E71" s="184" t="str">
        <f>'[1]Sch 1- Rate Base '!E71</f>
        <v>DIRECT</v>
      </c>
      <c r="F71" s="184" t="str">
        <f>'[1]Sch 1- Rate Base '!F71</f>
        <v>PTD</v>
      </c>
      <c r="G71" s="1677">
        <f>'[1]Sch 1- Rate Base '!G71</f>
        <v>223974060</v>
      </c>
      <c r="H71" s="249">
        <f>'[1]Sch 1- Rate Base '!H71</f>
        <v>62712736.800000004</v>
      </c>
      <c r="I71" s="249">
        <f>'[1]Sch 1- Rate Base '!I71</f>
        <v>31356368.400000002</v>
      </c>
      <c r="J71" s="1344">
        <f>'[1]Sch 1- Rate Base '!J71</f>
        <v>129904954.8</v>
      </c>
    </row>
    <row r="72" spans="1:10">
      <c r="A72" s="912"/>
      <c r="B72" s="913" t="s">
        <v>405</v>
      </c>
      <c r="C72" s="248" t="str">
        <f>'[1]Sch 1- Rate Base '!C72</f>
        <v>200-201</v>
      </c>
      <c r="D72" s="181">
        <f>'[1]Sch 1- Rate Base '!D72</f>
        <v>108</v>
      </c>
      <c r="E72" s="184" t="str">
        <f>'[1]Sch 1- Rate Base '!E72</f>
        <v>DIRECT</v>
      </c>
      <c r="F72" s="184" t="str">
        <f>'[1]Sch 1- Rate Base '!F72</f>
        <v>DIST</v>
      </c>
      <c r="G72" s="1677">
        <f>'[1]Sch 1- Rate Base '!G72</f>
        <v>0</v>
      </c>
      <c r="H72" s="249">
        <f>'[1]Sch 1- Rate Base '!H72</f>
        <v>0</v>
      </c>
      <c r="I72" s="249">
        <f>'[1]Sch 1- Rate Base '!I72</f>
        <v>0</v>
      </c>
      <c r="J72" s="1344">
        <f>'[1]Sch 1- Rate Base '!J72</f>
        <v>0</v>
      </c>
    </row>
    <row r="73" spans="1:10">
      <c r="A73" s="912"/>
      <c r="B73" s="913" t="s">
        <v>551</v>
      </c>
      <c r="C73" s="248" t="str">
        <f>'[1]Sch 1- Rate Base '!C73</f>
        <v>200-201</v>
      </c>
      <c r="D73" s="181">
        <f>'[1]Sch 1- Rate Base '!D73</f>
        <v>115</v>
      </c>
      <c r="E73" s="184" t="str">
        <f>'[1]Sch 1- Rate Base '!E73</f>
        <v>DIRECT</v>
      </c>
      <c r="F73" s="184" t="str">
        <f>'[1]Sch 1- Rate Base '!F73</f>
        <v>DIST</v>
      </c>
      <c r="G73" s="1677">
        <f>'[1]Sch 1- Rate Base '!G73</f>
        <v>0</v>
      </c>
      <c r="H73" s="249">
        <f>'[1]Sch 1- Rate Base '!H73</f>
        <v>0</v>
      </c>
      <c r="I73" s="249">
        <f>'[1]Sch 1- Rate Base '!I73</f>
        <v>0</v>
      </c>
      <c r="J73" s="1344">
        <f>'[1]Sch 1- Rate Base '!J73</f>
        <v>0</v>
      </c>
    </row>
    <row r="74" spans="1:10">
      <c r="A74" s="912"/>
      <c r="B74" s="913"/>
      <c r="C74" s="55"/>
      <c r="D74" s="196"/>
      <c r="E74" s="196"/>
      <c r="F74" s="196"/>
      <c r="G74" s="924"/>
      <c r="H74" s="198"/>
      <c r="I74" s="198"/>
      <c r="J74" s="200"/>
    </row>
    <row r="75" spans="1:10">
      <c r="A75" s="199" t="s">
        <v>211</v>
      </c>
      <c r="B75" s="913"/>
      <c r="C75" s="888"/>
      <c r="D75" s="888"/>
      <c r="E75" s="182" t="str">
        <f>'[1]Sch 1- Rate Base '!E75</f>
        <v>DIRECT</v>
      </c>
      <c r="F75" s="182">
        <f>'[1]Sch 1- Rate Base '!F75</f>
        <v>0</v>
      </c>
      <c r="G75" s="182">
        <f>'[1]Sch 1- Rate Base '!G75</f>
        <v>0</v>
      </c>
      <c r="H75" s="182">
        <f>'[1]Sch 1- Rate Base '!H75</f>
        <v>0</v>
      </c>
      <c r="I75" s="182">
        <f>'[1]Sch 1- Rate Base '!I75</f>
        <v>0</v>
      </c>
      <c r="J75" s="182">
        <f>'[1]Sch 1- Rate Base '!J75</f>
        <v>0</v>
      </c>
    </row>
    <row r="76" spans="1:10">
      <c r="A76" s="925"/>
      <c r="B76" s="913"/>
      <c r="C76" s="55"/>
      <c r="D76" s="196"/>
      <c r="E76" s="196"/>
      <c r="F76" s="196"/>
      <c r="G76" s="917"/>
      <c r="H76" s="198"/>
      <c r="I76" s="198"/>
      <c r="J76" s="200"/>
    </row>
    <row r="77" spans="1:10">
      <c r="A77" s="209" t="s">
        <v>223</v>
      </c>
      <c r="B77" s="64"/>
      <c r="C77" s="914"/>
      <c r="D77" s="915"/>
      <c r="E77" s="915"/>
      <c r="F77" s="916"/>
      <c r="G77" s="1684">
        <f>'[1]Sch 1- Rate Base '!G77</f>
        <v>2169667130.3600001</v>
      </c>
      <c r="H77" s="1684"/>
      <c r="I77" s="1684"/>
      <c r="J77" s="1684"/>
    </row>
    <row r="78" spans="1:10">
      <c r="A78" s="925"/>
      <c r="B78" s="926"/>
      <c r="C78" s="55"/>
      <c r="D78" s="196"/>
      <c r="E78" s="196"/>
      <c r="F78" s="196"/>
      <c r="G78" s="927"/>
      <c r="H78" s="927"/>
      <c r="I78" s="927"/>
      <c r="J78" s="928"/>
    </row>
    <row r="79" spans="1:10">
      <c r="A79" s="209" t="s">
        <v>479</v>
      </c>
      <c r="B79" s="64"/>
      <c r="C79" s="914"/>
      <c r="D79" s="915"/>
      <c r="E79" s="915"/>
      <c r="F79" s="916"/>
      <c r="G79" s="1684">
        <f>'[1]Sch 1- Rate Base '!G79</f>
        <v>3183096821.6399999</v>
      </c>
      <c r="H79" s="1684"/>
      <c r="I79" s="1684"/>
      <c r="J79" s="1685"/>
    </row>
    <row r="80" spans="1:10">
      <c r="A80" s="213" t="s">
        <v>84</v>
      </c>
      <c r="B80" s="64"/>
      <c r="C80" s="55"/>
      <c r="D80" s="55"/>
      <c r="E80" s="929"/>
      <c r="F80" s="929"/>
      <c r="G80" s="910"/>
      <c r="H80" s="910"/>
      <c r="I80" s="910"/>
      <c r="J80" s="222"/>
    </row>
    <row r="81" spans="1:10" ht="16.5" thickBot="1">
      <c r="A81" s="930"/>
      <c r="B81" s="931"/>
      <c r="C81" s="932"/>
      <c r="D81" s="932"/>
      <c r="E81" s="933"/>
      <c r="F81" s="933"/>
      <c r="G81" s="934"/>
      <c r="H81" s="934"/>
      <c r="I81" s="934"/>
      <c r="J81" s="935"/>
    </row>
    <row r="82" spans="1:10" ht="16.5" thickTop="1">
      <c r="A82" s="160" t="s">
        <v>76</v>
      </c>
      <c r="B82" s="64"/>
      <c r="C82" s="55"/>
      <c r="D82" s="55"/>
      <c r="E82" s="929"/>
      <c r="F82" s="929"/>
      <c r="G82" s="910"/>
      <c r="H82" s="910"/>
      <c r="I82" s="910"/>
      <c r="J82" s="222"/>
    </row>
    <row r="83" spans="1:10">
      <c r="A83" s="160"/>
      <c r="B83" s="64"/>
      <c r="C83" s="55"/>
      <c r="D83" s="55"/>
      <c r="E83" s="929"/>
      <c r="F83" s="929"/>
      <c r="G83" s="1686"/>
      <c r="H83" s="1686"/>
      <c r="I83" s="1686"/>
      <c r="J83" s="1687"/>
    </row>
    <row r="84" spans="1:10">
      <c r="A84" s="267" t="s">
        <v>144</v>
      </c>
      <c r="B84" s="937"/>
      <c r="C84" s="888" t="s">
        <v>625</v>
      </c>
      <c r="D84" s="888"/>
      <c r="E84" s="182"/>
      <c r="F84" s="889"/>
      <c r="G84" s="182" t="e">
        <f>'[1]Sch 1- Rate Base '!G84</f>
        <v>#REF!</v>
      </c>
      <c r="H84" s="182" t="e">
        <f>'[1]Sch 1- Rate Base '!H84</f>
        <v>#REF!</v>
      </c>
      <c r="I84" s="182" t="e">
        <f>'[1]Sch 1- Rate Base '!I84</f>
        <v>#REF!</v>
      </c>
      <c r="J84" s="182" t="e">
        <f>'[1]Sch 1- Rate Base '!J84</f>
        <v>#REF!</v>
      </c>
    </row>
    <row r="85" spans="1:10">
      <c r="A85" s="912"/>
      <c r="B85" s="1688" t="s">
        <v>756</v>
      </c>
      <c r="C85" s="55"/>
      <c r="D85" s="55"/>
      <c r="E85" s="196"/>
      <c r="F85" s="196"/>
      <c r="G85" s="182">
        <f>'[1]Sch 1A - Cash Working Capital'!G30</f>
        <v>28986993</v>
      </c>
      <c r="H85" s="182">
        <f>'[1]Sch 1A - Cash Working Capital'!H30</f>
        <v>28986993</v>
      </c>
      <c r="I85" s="938"/>
      <c r="J85" s="939"/>
    </row>
    <row r="86" spans="1:10">
      <c r="A86" s="268" t="s">
        <v>274</v>
      </c>
      <c r="B86" s="79"/>
      <c r="C86" s="940"/>
      <c r="D86" s="196"/>
      <c r="E86" s="196"/>
      <c r="F86" s="196"/>
      <c r="G86" s="941"/>
      <c r="H86" s="942"/>
      <c r="I86" s="942"/>
      <c r="J86" s="943"/>
    </row>
    <row r="87" spans="1:10">
      <c r="A87" s="1689"/>
      <c r="B87" s="10" t="s">
        <v>437</v>
      </c>
      <c r="C87" s="181" t="str">
        <f>'[1]Sch 1- Rate Base '!C87</f>
        <v>200-201</v>
      </c>
      <c r="D87" s="181">
        <f>'[1]Sch 1- Rate Base '!D87</f>
        <v>105</v>
      </c>
      <c r="E87" s="184" t="str">
        <f>'[1]Sch 1- Rate Base '!E87</f>
        <v>DIST</v>
      </c>
      <c r="F87" s="184"/>
      <c r="G87" s="1690">
        <f>'[1]Sch 1- Rate Base '!G87</f>
        <v>2928319</v>
      </c>
      <c r="H87" s="249">
        <f>'[1]Sch 1- Rate Base '!H87</f>
        <v>0</v>
      </c>
      <c r="I87" s="249">
        <f>'[1]Sch 1- Rate Base '!I87</f>
        <v>0</v>
      </c>
      <c r="J87" s="1344">
        <f>'[1]Sch 1- Rate Base '!J87</f>
        <v>2928319</v>
      </c>
    </row>
    <row r="88" spans="1:10">
      <c r="A88" s="1689"/>
      <c r="B88" s="10" t="s">
        <v>77</v>
      </c>
      <c r="C88" s="181" t="str">
        <f>'[1]Sch 1- Rate Base '!C88</f>
        <v>200-201</v>
      </c>
      <c r="D88" s="181">
        <f>'[1]Sch 1- Rate Base '!D88</f>
        <v>106</v>
      </c>
      <c r="E88" s="300" t="str">
        <f>'[1]Sch 1- Rate Base '!E88</f>
        <v>PTD</v>
      </c>
      <c r="F88" s="184"/>
      <c r="G88" s="1690">
        <f>'[1]Sch 1- Rate Base '!G88</f>
        <v>0</v>
      </c>
      <c r="H88" s="249">
        <f>'[1]Sch 1- Rate Base '!H88</f>
        <v>0</v>
      </c>
      <c r="I88" s="249">
        <f>'[1]Sch 1- Rate Base '!I88</f>
        <v>0</v>
      </c>
      <c r="J88" s="1344">
        <f>'[1]Sch 1- Rate Base '!J88</f>
        <v>0</v>
      </c>
    </row>
    <row r="89" spans="1:10">
      <c r="A89" s="1689"/>
      <c r="B89" s="64" t="s">
        <v>480</v>
      </c>
      <c r="C89" s="181">
        <f>'[1]Sch 1- Rate Base '!C89</f>
        <v>0</v>
      </c>
      <c r="D89" s="181" t="str">
        <f>'[1]Sch 1- Rate Base '!D89</f>
        <v>120.1-120.6</v>
      </c>
      <c r="E89" s="184" t="str">
        <f>'[1]Sch 1- Rate Base '!E89</f>
        <v>PROD</v>
      </c>
      <c r="F89" s="184"/>
      <c r="G89" s="1690">
        <f>'[1]Sch 1- Rate Base '!G89</f>
        <v>0</v>
      </c>
      <c r="H89" s="249">
        <f>'[1]Sch 1- Rate Base '!H89</f>
        <v>0</v>
      </c>
      <c r="I89" s="249">
        <f>'[1]Sch 1- Rate Base '!I89</f>
        <v>0</v>
      </c>
      <c r="J89" s="1344">
        <f>'[1]Sch 1- Rate Base '!J89</f>
        <v>0</v>
      </c>
    </row>
    <row r="90" spans="1:10">
      <c r="A90" s="1689"/>
      <c r="B90" s="10" t="s">
        <v>80</v>
      </c>
      <c r="C90" s="181" t="str">
        <f>'[1]Sch 1- Rate Base '!C90</f>
        <v>200-201</v>
      </c>
      <c r="D90" s="181" t="str">
        <f>'[1]Sch 1- Rate Base '!D90</f>
        <v>107 &amp; 120.1</v>
      </c>
      <c r="E90" s="184" t="str">
        <f>'[1]Sch 1- Rate Base '!E90</f>
        <v>DIST</v>
      </c>
      <c r="F90" s="184"/>
      <c r="G90" s="1690">
        <f>'[1]Sch 1- Rate Base '!G90</f>
        <v>132548007</v>
      </c>
      <c r="H90" s="249">
        <f>'[1]Sch 1- Rate Base '!H90</f>
        <v>0</v>
      </c>
      <c r="I90" s="249">
        <f>'[1]Sch 1- Rate Base '!I90</f>
        <v>0</v>
      </c>
      <c r="J90" s="1344">
        <f>'[1]Sch 1- Rate Base '!J90</f>
        <v>132548007</v>
      </c>
    </row>
    <row r="91" spans="1:10">
      <c r="A91" s="1689"/>
      <c r="B91" s="10" t="s">
        <v>224</v>
      </c>
      <c r="C91" s="181" t="str">
        <f>'[1]Sch 1- Rate Base '!C91</f>
        <v>356 &amp; 356.1</v>
      </c>
      <c r="D91" s="181">
        <f>'[1]Sch 1- Rate Base '!D91</f>
        <v>0</v>
      </c>
      <c r="E91" s="184" t="str">
        <f>'[1]Sch 1- Rate Base '!E91</f>
        <v>DIRECT</v>
      </c>
      <c r="F91" s="184"/>
      <c r="G91" s="1690">
        <f>'[1]Sch 1- Rate Base '!G91</f>
        <v>527520424</v>
      </c>
      <c r="H91" s="249">
        <f>'[1]Sch 1- Rate Base '!H91</f>
        <v>95603687.228371158</v>
      </c>
      <c r="I91" s="249">
        <f>'[1]Sch 1- Rate Base '!I91</f>
        <v>62247387.814652018</v>
      </c>
      <c r="J91" s="1344">
        <f>'[1]Sch 1- Rate Base '!J91</f>
        <v>369669348.95697683</v>
      </c>
    </row>
    <row r="92" spans="1:10">
      <c r="A92" s="1689"/>
      <c r="B92" s="10" t="s">
        <v>71</v>
      </c>
      <c r="C92" s="181" t="str">
        <f>'[1]Sch 1- Rate Base '!C92</f>
        <v>200-201</v>
      </c>
      <c r="D92" s="181">
        <f>'[1]Sch 1- Rate Base '!D92</f>
        <v>114</v>
      </c>
      <c r="E92" s="184" t="str">
        <f>'[1]Sch 1- Rate Base '!E92</f>
        <v>DIST</v>
      </c>
      <c r="F92" s="184" t="str">
        <f>'[1]Sch 1- Rate Base '!F92</f>
        <v>DIST</v>
      </c>
      <c r="G92" s="1690">
        <f>'[1]Sch 1- Rate Base '!G92</f>
        <v>256800</v>
      </c>
      <c r="H92" s="249">
        <f>'[1]Sch 1- Rate Base '!H92</f>
        <v>0</v>
      </c>
      <c r="I92" s="249">
        <f>'[1]Sch 1- Rate Base '!I92</f>
        <v>0</v>
      </c>
      <c r="J92" s="1344">
        <f>'[1]Sch 1- Rate Base '!J92</f>
        <v>256800</v>
      </c>
    </row>
    <row r="93" spans="1:10">
      <c r="A93" s="1689"/>
      <c r="B93" s="847" t="s">
        <v>104</v>
      </c>
      <c r="C93" s="492"/>
      <c r="D93" s="485"/>
      <c r="E93" s="485"/>
      <c r="F93" s="486"/>
      <c r="G93" s="493">
        <f>'[1]Sch 1- Rate Base '!G93</f>
        <v>663253550</v>
      </c>
      <c r="H93" s="493">
        <f>'[1]Sch 1- Rate Base '!H93</f>
        <v>95603687.228371158</v>
      </c>
      <c r="I93" s="493">
        <f>'[1]Sch 1- Rate Base '!I93</f>
        <v>62247387.814652018</v>
      </c>
      <c r="J93" s="1366">
        <f>'[1]Sch 1- Rate Base '!J93</f>
        <v>505402474.95697683</v>
      </c>
    </row>
    <row r="94" spans="1:10">
      <c r="A94" s="1689"/>
      <c r="B94" s="847"/>
      <c r="C94" s="73"/>
      <c r="D94" s="73"/>
      <c r="E94" s="73"/>
      <c r="F94" s="73"/>
      <c r="G94" s="334"/>
      <c r="H94" s="334"/>
      <c r="I94" s="334"/>
      <c r="J94" s="1367"/>
    </row>
    <row r="95" spans="1:10">
      <c r="A95" s="269" t="s">
        <v>275</v>
      </c>
      <c r="B95" s="79"/>
      <c r="C95" s="80"/>
      <c r="D95" s="48"/>
      <c r="E95" s="48"/>
      <c r="F95" s="48"/>
      <c r="G95" s="335"/>
      <c r="H95" s="335"/>
      <c r="I95" s="335"/>
      <c r="J95" s="1369"/>
    </row>
    <row r="96" spans="1:10">
      <c r="A96" s="912"/>
      <c r="B96" s="913" t="s">
        <v>448</v>
      </c>
      <c r="C96" s="181" t="str">
        <f>'[1]Sch 1- Rate Base '!C96</f>
        <v>110-111</v>
      </c>
      <c r="D96" s="181">
        <f>'[1]Sch 1- Rate Base '!D96</f>
        <v>123</v>
      </c>
      <c r="E96" s="184" t="str">
        <f>'[1]Sch 1- Rate Base '!E96</f>
        <v>DIRECT</v>
      </c>
      <c r="F96" s="184" t="str">
        <f>'[1]Sch 1- Rate Base '!F96</f>
        <v>DIST</v>
      </c>
      <c r="G96" s="1690">
        <f>'[1]Sch 1- Rate Base '!G96</f>
        <v>11547000</v>
      </c>
      <c r="H96" s="249">
        <f>'[1]Sch 1- Rate Base '!H96</f>
        <v>0</v>
      </c>
      <c r="I96" s="249">
        <f>'[1]Sch 1- Rate Base '!I96</f>
        <v>0</v>
      </c>
      <c r="J96" s="1344">
        <f>'[1]Sch 1- Rate Base '!J96</f>
        <v>11547000</v>
      </c>
    </row>
    <row r="97" spans="1:10">
      <c r="A97" s="912"/>
      <c r="B97" s="10" t="s">
        <v>481</v>
      </c>
      <c r="C97" s="181" t="str">
        <f>'[1]Sch 1- Rate Base '!C97</f>
        <v>110-111</v>
      </c>
      <c r="D97" s="181">
        <f>'[1]Sch 1- Rate Base '!D97</f>
        <v>124</v>
      </c>
      <c r="E97" s="184" t="str">
        <f>'[1]Sch 1- Rate Base '!E97</f>
        <v>DIST</v>
      </c>
      <c r="F97" s="184"/>
      <c r="G97" s="1690">
        <f>'[1]Sch 1- Rate Base '!G97</f>
        <v>14093.53</v>
      </c>
      <c r="H97" s="249">
        <f>'[1]Sch 1- Rate Base '!H97</f>
        <v>0</v>
      </c>
      <c r="I97" s="249">
        <f>'[1]Sch 1- Rate Base '!I97</f>
        <v>0</v>
      </c>
      <c r="J97" s="1344">
        <f>'[1]Sch 1- Rate Base '!J97</f>
        <v>14093.53</v>
      </c>
    </row>
    <row r="98" spans="1:10">
      <c r="A98" s="912"/>
      <c r="B98" s="79" t="s">
        <v>6</v>
      </c>
      <c r="C98" s="181" t="str">
        <f>'[1]Sch 1- Rate Base '!C98</f>
        <v>110-111</v>
      </c>
      <c r="D98" s="181">
        <f>'[1]Sch 1- Rate Base '!D98</f>
        <v>175</v>
      </c>
      <c r="E98" s="184" t="str">
        <f>'[1]Sch 1- Rate Base '!E98</f>
        <v>DIST</v>
      </c>
      <c r="F98" s="184"/>
      <c r="G98" s="333">
        <f>'[1]Sch 1- Rate Base '!G98</f>
        <v>0</v>
      </c>
      <c r="H98" s="249">
        <f>'[1]Sch 1- Rate Base '!H98</f>
        <v>0</v>
      </c>
      <c r="I98" s="249">
        <f>'[1]Sch 1- Rate Base '!I98</f>
        <v>0</v>
      </c>
      <c r="J98" s="1344">
        <f>'[1]Sch 1- Rate Base '!J98</f>
        <v>0</v>
      </c>
    </row>
    <row r="99" spans="1:10">
      <c r="A99" s="912"/>
      <c r="B99" s="79" t="s">
        <v>375</v>
      </c>
      <c r="C99" s="181" t="str">
        <f>'[1]Sch 1- Rate Base '!C99</f>
        <v>110-111</v>
      </c>
      <c r="D99" s="181">
        <f>'[1]Sch 1- Rate Base '!D99</f>
        <v>176</v>
      </c>
      <c r="E99" s="184" t="str">
        <f>'[1]Sch 1- Rate Base '!E99</f>
        <v>DIST</v>
      </c>
      <c r="F99" s="184"/>
      <c r="G99" s="333">
        <f>'[1]Sch 1- Rate Base '!G99</f>
        <v>0</v>
      </c>
      <c r="H99" s="249">
        <f>'[1]Sch 1- Rate Base '!H99</f>
        <v>0</v>
      </c>
      <c r="I99" s="249">
        <f>'[1]Sch 1- Rate Base '!I99</f>
        <v>0</v>
      </c>
      <c r="J99" s="1344">
        <f>'[1]Sch 1- Rate Base '!J99</f>
        <v>0</v>
      </c>
    </row>
    <row r="100" spans="1:10">
      <c r="A100" s="912"/>
      <c r="B100" s="847" t="s">
        <v>104</v>
      </c>
      <c r="C100" s="181"/>
      <c r="D100" s="485"/>
      <c r="E100" s="485"/>
      <c r="F100" s="486"/>
      <c r="G100" s="493">
        <f>'[1]Sch 1- Rate Base '!G100</f>
        <v>11561093.529999999</v>
      </c>
      <c r="H100" s="493">
        <f>'[1]Sch 1- Rate Base '!H100</f>
        <v>0</v>
      </c>
      <c r="I100" s="493">
        <f>'[1]Sch 1- Rate Base '!I100</f>
        <v>0</v>
      </c>
      <c r="J100" s="1366">
        <f>'[1]Sch 1- Rate Base '!J100</f>
        <v>11561093.529999999</v>
      </c>
    </row>
    <row r="101" spans="1:10">
      <c r="A101" s="951"/>
      <c r="B101" s="947"/>
      <c r="C101" s="181"/>
      <c r="D101" s="947"/>
      <c r="E101" s="947"/>
      <c r="F101" s="947"/>
      <c r="G101" s="947"/>
      <c r="H101" s="947"/>
      <c r="I101" s="947"/>
      <c r="J101" s="948"/>
    </row>
    <row r="102" spans="1:10">
      <c r="A102" s="268" t="s">
        <v>177</v>
      </c>
      <c r="B102" s="79"/>
      <c r="C102" s="80"/>
      <c r="D102" s="48"/>
      <c r="E102" s="48"/>
      <c r="F102" s="48"/>
      <c r="G102" s="382"/>
      <c r="H102" s="382"/>
      <c r="I102" s="382"/>
      <c r="J102" s="1370"/>
    </row>
    <row r="103" spans="1:10">
      <c r="A103" s="912"/>
      <c r="B103" s="10" t="s">
        <v>440</v>
      </c>
      <c r="C103" s="181" t="str">
        <f>'[1]Sch 1- Rate Base '!C103</f>
        <v>110-111</v>
      </c>
      <c r="D103" s="181">
        <f>'[1]Sch 1- Rate Base '!D103</f>
        <v>151</v>
      </c>
      <c r="E103" s="184" t="str">
        <f>'[1]Sch 1- Rate Base '!E103</f>
        <v>PROD</v>
      </c>
      <c r="F103" s="184"/>
      <c r="G103" s="1690">
        <f>'[1]Sch 1- Rate Base '!G103</f>
        <v>4683150.17</v>
      </c>
      <c r="H103" s="249">
        <f>'[1]Sch 1- Rate Base '!H103</f>
        <v>4683150.17</v>
      </c>
      <c r="I103" s="249">
        <f>'[1]Sch 1- Rate Base '!I103</f>
        <v>0</v>
      </c>
      <c r="J103" s="1344">
        <f>'[1]Sch 1- Rate Base '!J103</f>
        <v>0</v>
      </c>
    </row>
    <row r="104" spans="1:10">
      <c r="A104" s="912"/>
      <c r="B104" s="79" t="s">
        <v>7</v>
      </c>
      <c r="C104" s="181" t="str">
        <f>'[1]Sch 1- Rate Base '!C104</f>
        <v>110-111</v>
      </c>
      <c r="D104" s="181">
        <f>'[1]Sch 1- Rate Base '!D104</f>
        <v>152</v>
      </c>
      <c r="E104" s="184" t="str">
        <f>'[1]Sch 1- Rate Base '!E104</f>
        <v>PROD</v>
      </c>
      <c r="F104" s="184"/>
      <c r="G104" s="1690">
        <f>'[1]Sch 1- Rate Base '!G104</f>
        <v>0</v>
      </c>
      <c r="H104" s="249">
        <f>'[1]Sch 1- Rate Base '!H104</f>
        <v>0</v>
      </c>
      <c r="I104" s="249">
        <f>'[1]Sch 1- Rate Base '!I104</f>
        <v>0</v>
      </c>
      <c r="J104" s="1344">
        <f>'[1]Sch 1- Rate Base '!J104</f>
        <v>0</v>
      </c>
    </row>
    <row r="105" spans="1:10">
      <c r="A105" s="912"/>
      <c r="B105" s="10" t="s">
        <v>79</v>
      </c>
      <c r="C105" s="181" t="str">
        <f>'[1]Sch 1- Rate Base '!C105</f>
        <v>110-111</v>
      </c>
      <c r="D105" s="181">
        <f>'[1]Sch 1- Rate Base '!D105</f>
        <v>154</v>
      </c>
      <c r="E105" s="184" t="str">
        <f>'[1]Sch 1- Rate Base '!E105</f>
        <v>PTD</v>
      </c>
      <c r="F105" s="184"/>
      <c r="G105" s="1690">
        <f>'[1]Sch 1- Rate Base '!G105</f>
        <v>79492527.939999998</v>
      </c>
      <c r="H105" s="249">
        <f>'[1]Sch 1- Rate Base '!H105</f>
        <v>25259610.746624589</v>
      </c>
      <c r="I105" s="249">
        <f>'[1]Sch 1- Rate Base '!I105</f>
        <v>16554910.044824857</v>
      </c>
      <c r="J105" s="1344">
        <f>'[1]Sch 1- Rate Base '!J105</f>
        <v>37678007.148550555</v>
      </c>
    </row>
    <row r="106" spans="1:10">
      <c r="A106" s="912"/>
      <c r="B106" s="10" t="s">
        <v>355</v>
      </c>
      <c r="C106" s="181" t="str">
        <f>'[1]Sch 1- Rate Base '!C106</f>
        <v>110-112</v>
      </c>
      <c r="D106" s="181">
        <f>'[1]Sch 1- Rate Base '!D106</f>
        <v>155</v>
      </c>
      <c r="E106" s="184" t="str">
        <f>'[1]Sch 1- Rate Base '!E106</f>
        <v>DIST</v>
      </c>
      <c r="F106" s="184"/>
      <c r="G106" s="1690">
        <f>'[1]Sch 1- Rate Base '!G106</f>
        <v>0</v>
      </c>
      <c r="H106" s="249">
        <f>'[1]Sch 1- Rate Base '!H106</f>
        <v>0</v>
      </c>
      <c r="I106" s="249">
        <f>'[1]Sch 1- Rate Base '!I106</f>
        <v>0</v>
      </c>
      <c r="J106" s="1344">
        <f>'[1]Sch 1- Rate Base '!J106</f>
        <v>0</v>
      </c>
    </row>
    <row r="107" spans="1:10">
      <c r="A107" s="912"/>
      <c r="B107" s="10" t="s">
        <v>356</v>
      </c>
      <c r="C107" s="181" t="str">
        <f>'[1]Sch 1- Rate Base '!C107</f>
        <v>110-111</v>
      </c>
      <c r="D107" s="181">
        <f>'[1]Sch 1- Rate Base '!D107</f>
        <v>156</v>
      </c>
      <c r="E107" s="184" t="str">
        <f>'[1]Sch 1- Rate Base '!E107</f>
        <v>DIST</v>
      </c>
      <c r="F107" s="184"/>
      <c r="G107" s="1690">
        <f>'[1]Sch 1- Rate Base '!G107</f>
        <v>0</v>
      </c>
      <c r="H107" s="249">
        <f>'[1]Sch 1- Rate Base '!H107</f>
        <v>0</v>
      </c>
      <c r="I107" s="249">
        <f>'[1]Sch 1- Rate Base '!I107</f>
        <v>0</v>
      </c>
      <c r="J107" s="1344">
        <f>'[1]Sch 1- Rate Base '!J107</f>
        <v>0</v>
      </c>
    </row>
    <row r="108" spans="1:10">
      <c r="A108" s="912"/>
      <c r="B108" s="10" t="s">
        <v>357</v>
      </c>
      <c r="C108" s="181" t="str">
        <f>'[1]Sch 1- Rate Base '!C108</f>
        <v>110-112</v>
      </c>
      <c r="D108" s="181">
        <f>'[1]Sch 1- Rate Base '!D108</f>
        <v>158.1</v>
      </c>
      <c r="E108" s="184" t="str">
        <f>'[1]Sch 1- Rate Base '!E108</f>
        <v>PROD</v>
      </c>
      <c r="F108" s="184"/>
      <c r="G108" s="1690">
        <f>'[1]Sch 1- Rate Base '!G108</f>
        <v>30071678.350000001</v>
      </c>
      <c r="H108" s="249">
        <f>'[1]Sch 1- Rate Base '!H108</f>
        <v>30071678.350000001</v>
      </c>
      <c r="I108" s="249">
        <f>'[1]Sch 1- Rate Base '!I108</f>
        <v>0</v>
      </c>
      <c r="J108" s="1344">
        <f>'[1]Sch 1- Rate Base '!J108</f>
        <v>0</v>
      </c>
    </row>
    <row r="109" spans="1:10">
      <c r="A109" s="912"/>
      <c r="B109" s="10" t="s">
        <v>178</v>
      </c>
      <c r="C109" s="181" t="str">
        <f>'[1]Sch 1- Rate Base '!C109</f>
        <v>110-112</v>
      </c>
      <c r="D109" s="181">
        <f>'[1]Sch 1- Rate Base '!D109</f>
        <v>158.19999999999999</v>
      </c>
      <c r="E109" s="184" t="str">
        <f>'[1]Sch 1- Rate Base '!E109</f>
        <v>PROD</v>
      </c>
      <c r="F109" s="184"/>
      <c r="G109" s="1690">
        <f>'[1]Sch 1- Rate Base '!G109</f>
        <v>0</v>
      </c>
      <c r="H109" s="249">
        <f>'[1]Sch 1- Rate Base '!H109</f>
        <v>0</v>
      </c>
      <c r="I109" s="249">
        <f>'[1]Sch 1- Rate Base '!I109</f>
        <v>0</v>
      </c>
      <c r="J109" s="1344">
        <f>'[1]Sch 1- Rate Base '!J109</f>
        <v>0</v>
      </c>
    </row>
    <row r="110" spans="1:10">
      <c r="A110" s="912"/>
      <c r="B110" s="10" t="s">
        <v>55</v>
      </c>
      <c r="C110" s="181" t="str">
        <f>'[1]Sch 1- Rate Base '!C110</f>
        <v>110-111</v>
      </c>
      <c r="D110" s="181">
        <f>'[1]Sch 1- Rate Base '!D110</f>
        <v>163</v>
      </c>
      <c r="E110" s="184" t="str">
        <f>'[1]Sch 1- Rate Base '!E110</f>
        <v>PTD</v>
      </c>
      <c r="F110" s="184"/>
      <c r="G110" s="1690">
        <f>'[1]Sch 1- Rate Base '!G110</f>
        <v>0</v>
      </c>
      <c r="H110" s="249">
        <f>'[1]Sch 1- Rate Base '!H110</f>
        <v>0</v>
      </c>
      <c r="I110" s="249">
        <f>'[1]Sch 1- Rate Base '!I110</f>
        <v>0</v>
      </c>
      <c r="J110" s="1344">
        <f>'[1]Sch 1- Rate Base '!J110</f>
        <v>0</v>
      </c>
    </row>
    <row r="111" spans="1:10">
      <c r="A111" s="912"/>
      <c r="B111" s="10" t="s">
        <v>8</v>
      </c>
      <c r="C111" s="181" t="str">
        <f>'[1]Sch 1- Rate Base '!C111</f>
        <v>110-111</v>
      </c>
      <c r="D111" s="181">
        <f>'[1]Sch 1- Rate Base '!D111</f>
        <v>165</v>
      </c>
      <c r="E111" s="184" t="str">
        <f>'[1]Sch 1- Rate Base '!E111</f>
        <v>PTD</v>
      </c>
      <c r="F111" s="184"/>
      <c r="G111" s="1690">
        <f>'[1]Sch 1- Rate Base '!G111</f>
        <v>50221551.920000002</v>
      </c>
      <c r="H111" s="249">
        <f>'[1]Sch 1- Rate Base '!H111</f>
        <v>15958441.446825081</v>
      </c>
      <c r="I111" s="249">
        <f>'[1]Sch 1- Rate Base '!I111</f>
        <v>10459011.631566703</v>
      </c>
      <c r="J111" s="1344">
        <f>'[1]Sch 1- Rate Base '!J111</f>
        <v>23804098.841608215</v>
      </c>
    </row>
    <row r="112" spans="1:10">
      <c r="A112" s="912"/>
      <c r="B112" s="79" t="s">
        <v>9</v>
      </c>
      <c r="C112" s="181" t="str">
        <f>'[1]Sch 1- Rate Base '!C112</f>
        <v>110-111</v>
      </c>
      <c r="D112" s="181">
        <f>'[1]Sch 1- Rate Base '!D112</f>
        <v>175</v>
      </c>
      <c r="E112" s="184" t="str">
        <f>'[1]Sch 1- Rate Base '!E112</f>
        <v>DIST</v>
      </c>
      <c r="F112" s="184"/>
      <c r="G112" s="1690">
        <f>'[1]Sch 1- Rate Base '!G112</f>
        <v>11821032.84</v>
      </c>
      <c r="H112" s="249">
        <f>'[1]Sch 1- Rate Base '!H112</f>
        <v>0</v>
      </c>
      <c r="I112" s="249">
        <f>'[1]Sch 1- Rate Base '!I112</f>
        <v>0</v>
      </c>
      <c r="J112" s="1344">
        <f>'[1]Sch 1- Rate Base '!J112</f>
        <v>11821032.84</v>
      </c>
    </row>
    <row r="113" spans="1:10">
      <c r="A113" s="912"/>
      <c r="B113" s="79" t="s">
        <v>626</v>
      </c>
      <c r="C113" s="181" t="str">
        <f>'[1]Sch 1- Rate Base '!C113</f>
        <v>110-112</v>
      </c>
      <c r="D113" s="181">
        <f>'[1]Sch 1- Rate Base '!D113</f>
        <v>175</v>
      </c>
      <c r="E113" s="184" t="str">
        <f>'[1]Sch 1- Rate Base '!E113</f>
        <v>DIST</v>
      </c>
      <c r="F113" s="184"/>
      <c r="G113" s="1690">
        <f>'[1]Sch 1- Rate Base '!G113</f>
        <v>0</v>
      </c>
      <c r="H113" s="249">
        <f>'[1]Sch 1- Rate Base '!H113</f>
        <v>0</v>
      </c>
      <c r="I113" s="249">
        <f>'[1]Sch 1- Rate Base '!I113</f>
        <v>0</v>
      </c>
      <c r="J113" s="1344">
        <f>'[1]Sch 1- Rate Base '!J113</f>
        <v>0</v>
      </c>
    </row>
    <row r="114" spans="1:10">
      <c r="A114" s="912"/>
      <c r="B114" s="79" t="s">
        <v>334</v>
      </c>
      <c r="C114" s="89" t="str">
        <f>'[1]Sch 1- Rate Base '!C114</f>
        <v>110-111</v>
      </c>
      <c r="D114" s="89">
        <f>'[1]Sch 1- Rate Base '!D114</f>
        <v>176</v>
      </c>
      <c r="E114" s="250" t="str">
        <f>'[1]Sch 1- Rate Base '!E114</f>
        <v>DIST</v>
      </c>
      <c r="F114" s="184"/>
      <c r="G114" s="1690">
        <f>'[1]Sch 1- Rate Base '!G114</f>
        <v>0</v>
      </c>
      <c r="H114" s="249">
        <f>'[1]Sch 1- Rate Base '!H114</f>
        <v>0</v>
      </c>
      <c r="I114" s="249">
        <f>'[1]Sch 1- Rate Base '!I114</f>
        <v>0</v>
      </c>
      <c r="J114" s="1344">
        <f>'[1]Sch 1- Rate Base '!J114</f>
        <v>0</v>
      </c>
    </row>
    <row r="115" spans="1:10">
      <c r="A115" s="912"/>
      <c r="B115" s="79" t="s">
        <v>627</v>
      </c>
      <c r="C115" s="89" t="str">
        <f>'[1]Sch 1- Rate Base '!C115</f>
        <v>110-112</v>
      </c>
      <c r="D115" s="89">
        <f>'[1]Sch 1- Rate Base '!D115</f>
        <v>176</v>
      </c>
      <c r="E115" s="250" t="str">
        <f>'[1]Sch 1- Rate Base '!E115</f>
        <v>DIST</v>
      </c>
      <c r="F115" s="184"/>
      <c r="G115" s="1690">
        <f>'[1]Sch 1- Rate Base '!G115</f>
        <v>0</v>
      </c>
      <c r="H115" s="249">
        <f>'[1]Sch 1- Rate Base '!H115</f>
        <v>0</v>
      </c>
      <c r="I115" s="249">
        <f>'[1]Sch 1- Rate Base '!I115</f>
        <v>0</v>
      </c>
      <c r="J115" s="1344">
        <f>'[1]Sch 1- Rate Base '!J115</f>
        <v>0</v>
      </c>
    </row>
    <row r="116" spans="1:10" ht="16.5" thickBot="1">
      <c r="A116" s="912"/>
      <c r="B116" s="847" t="s">
        <v>104</v>
      </c>
      <c r="C116" s="1985"/>
      <c r="D116" s="1508"/>
      <c r="E116" s="1508"/>
      <c r="F116" s="1509"/>
      <c r="G116" s="1510"/>
      <c r="H116" s="1510"/>
      <c r="I116" s="1510"/>
      <c r="J116" s="1511"/>
    </row>
    <row r="117" spans="1:10" ht="17.25" thickTop="1" thickBot="1">
      <c r="A117" s="955"/>
      <c r="B117" s="956"/>
      <c r="C117" s="1514"/>
      <c r="D117" s="1514"/>
      <c r="E117" s="1514"/>
      <c r="F117" s="1514"/>
      <c r="G117" s="1515"/>
      <c r="H117" s="1515"/>
      <c r="I117" s="1515"/>
      <c r="J117" s="1516"/>
    </row>
    <row r="118" spans="1:10" ht="16.5" thickTop="1">
      <c r="A118" s="960" t="s">
        <v>179</v>
      </c>
      <c r="B118" s="79"/>
      <c r="C118" s="80"/>
      <c r="D118" s="48"/>
      <c r="E118" s="48"/>
      <c r="F118" s="48"/>
      <c r="G118" s="336"/>
      <c r="H118" s="337"/>
      <c r="I118" s="337"/>
      <c r="J118" s="1355"/>
    </row>
    <row r="119" spans="1:10">
      <c r="A119" s="912"/>
      <c r="B119" s="79" t="s">
        <v>10</v>
      </c>
      <c r="C119" s="181" t="str">
        <f>'[1]Sch 1- Rate Base '!C119</f>
        <v>110-111</v>
      </c>
      <c r="D119" s="181">
        <f>'[1]Sch 1- Rate Base '!D119</f>
        <v>181</v>
      </c>
      <c r="E119" s="184" t="str">
        <f>'[1]Sch 1- Rate Base '!E119</f>
        <v>PTDG</v>
      </c>
      <c r="F119" s="184"/>
      <c r="G119" s="1690">
        <f>'[1]Sch 1- Rate Base '!G119</f>
        <v>21586300.960000001</v>
      </c>
      <c r="H119" s="249">
        <f>'[1]Sch 1- Rate Base '!H119</f>
        <v>6841168.1469216254</v>
      </c>
      <c r="I119" s="249">
        <f>'[1]Sch 1- Rate Base '!I119</f>
        <v>4479644.1334216082</v>
      </c>
      <c r="J119" s="1344">
        <f>'[1]Sch 1- Rate Base '!J119</f>
        <v>10124874.341044407</v>
      </c>
    </row>
    <row r="120" spans="1:10">
      <c r="A120" s="912"/>
      <c r="B120" s="79" t="s">
        <v>11</v>
      </c>
      <c r="C120" s="181" t="str">
        <f>'[1]Sch 1- Rate Base '!C120</f>
        <v>110-111</v>
      </c>
      <c r="D120" s="181">
        <f>'[1]Sch 1- Rate Base '!D120</f>
        <v>182.1</v>
      </c>
      <c r="E120" s="184" t="str">
        <f>'[1]Sch 1- Rate Base '!E120</f>
        <v>DIRECT</v>
      </c>
      <c r="F120" s="184" t="str">
        <f>'[1]Sch 1- Rate Base '!F120</f>
        <v>DIST</v>
      </c>
      <c r="G120" s="1690">
        <f>'[1]Sch 1- Rate Base '!G120</f>
        <v>0</v>
      </c>
      <c r="H120" s="249">
        <f>'[1]Sch 1- Rate Base '!H120</f>
        <v>0</v>
      </c>
      <c r="I120" s="249">
        <f>'[1]Sch 1- Rate Base '!I120</f>
        <v>0</v>
      </c>
      <c r="J120" s="1344">
        <f>'[1]Sch 1- Rate Base '!J120</f>
        <v>0</v>
      </c>
    </row>
    <row r="121" spans="1:10">
      <c r="A121" s="912"/>
      <c r="B121" s="79" t="s">
        <v>12</v>
      </c>
      <c r="C121" s="181" t="str">
        <f>'[1]Sch 1- Rate Base '!C121</f>
        <v>110-111</v>
      </c>
      <c r="D121" s="181">
        <f>'[1]Sch 1- Rate Base '!D121</f>
        <v>182.2</v>
      </c>
      <c r="E121" s="184" t="str">
        <f>'[1]Sch 1- Rate Base '!E121</f>
        <v>DIRECT</v>
      </c>
      <c r="F121" s="184" t="str">
        <f>'[1]Sch 1- Rate Base '!F121</f>
        <v>DIST</v>
      </c>
      <c r="G121" s="1690">
        <f>'[1]Sch 1- Rate Base '!G121</f>
        <v>0</v>
      </c>
      <c r="H121" s="249">
        <f>'[1]Sch 1- Rate Base '!H121</f>
        <v>0</v>
      </c>
      <c r="I121" s="249">
        <f>'[1]Sch 1- Rate Base '!I121</f>
        <v>0</v>
      </c>
      <c r="J121" s="1344">
        <f>'[1]Sch 1- Rate Base '!J121</f>
        <v>0</v>
      </c>
    </row>
    <row r="122" spans="1:10">
      <c r="A122" s="912"/>
      <c r="B122" s="79" t="s">
        <v>13</v>
      </c>
      <c r="C122" s="181" t="str">
        <f>'[1]Sch 1- Rate Base '!C122</f>
        <v>110-111</v>
      </c>
      <c r="D122" s="181">
        <f>'[1]Sch 1- Rate Base '!D122</f>
        <v>182.3</v>
      </c>
      <c r="E122" s="184" t="str">
        <f>'[1]Sch 1- Rate Base '!E122</f>
        <v>DIRECT</v>
      </c>
      <c r="F122" s="184" t="str">
        <f>'[1]Sch 1- Rate Base '!F122</f>
        <v>DIST</v>
      </c>
      <c r="G122" s="1690">
        <f>'[1]Sch 1- Rate Base '!G122</f>
        <v>898192106.79999995</v>
      </c>
      <c r="H122" s="249">
        <f>'[1]Sch 1- Rate Base '!H122</f>
        <v>36692352</v>
      </c>
      <c r="I122" s="249">
        <f>'[1]Sch 1- Rate Base '!I122</f>
        <v>0</v>
      </c>
      <c r="J122" s="1344">
        <f>'[1]Sch 1- Rate Base '!J122</f>
        <v>530735617</v>
      </c>
    </row>
    <row r="123" spans="1:10">
      <c r="A123" s="912"/>
      <c r="B123" s="79" t="s">
        <v>628</v>
      </c>
      <c r="C123" s="181" t="str">
        <f>'[1]Sch 1- Rate Base '!C123</f>
        <v>110-111</v>
      </c>
      <c r="D123" s="181">
        <f>'[1]Sch 1- Rate Base '!D123</f>
        <v>183</v>
      </c>
      <c r="E123" s="184" t="str">
        <f>'[1]Sch 1- Rate Base '!E123</f>
        <v>DIST</v>
      </c>
      <c r="F123" s="184"/>
      <c r="G123" s="1690">
        <f>'[1]Sch 1- Rate Base '!G123</f>
        <v>0</v>
      </c>
      <c r="H123" s="249">
        <f>'[1]Sch 1- Rate Base '!H123</f>
        <v>0</v>
      </c>
      <c r="I123" s="249">
        <f>'[1]Sch 1- Rate Base '!I123</f>
        <v>0</v>
      </c>
      <c r="J123" s="1344">
        <f>'[1]Sch 1- Rate Base '!J123</f>
        <v>0</v>
      </c>
    </row>
    <row r="124" spans="1:10">
      <c r="A124" s="912"/>
      <c r="B124" s="79" t="s">
        <v>14</v>
      </c>
      <c r="C124" s="181" t="str">
        <f>'[1]Sch 1- Rate Base '!C124</f>
        <v>110-111</v>
      </c>
      <c r="D124" s="181">
        <f>'[1]Sch 1- Rate Base '!D124</f>
        <v>183.1</v>
      </c>
      <c r="E124" s="184" t="str">
        <f>'[1]Sch 1- Rate Base '!E124</f>
        <v>DIST</v>
      </c>
      <c r="F124" s="184"/>
      <c r="G124" s="1690">
        <f>'[1]Sch 1- Rate Base '!G124</f>
        <v>0</v>
      </c>
      <c r="H124" s="249">
        <f>'[1]Sch 1- Rate Base '!H124</f>
        <v>0</v>
      </c>
      <c r="I124" s="249">
        <f>'[1]Sch 1- Rate Base '!I124</f>
        <v>0</v>
      </c>
      <c r="J124" s="1344">
        <f>'[1]Sch 1- Rate Base '!J124</f>
        <v>0</v>
      </c>
    </row>
    <row r="125" spans="1:10">
      <c r="A125" s="912"/>
      <c r="B125" s="79" t="s">
        <v>449</v>
      </c>
      <c r="C125" s="181" t="str">
        <f>'[1]Sch 1- Rate Base '!C125</f>
        <v>110-111</v>
      </c>
      <c r="D125" s="181">
        <f>'[1]Sch 1- Rate Base '!D125</f>
        <v>183.2</v>
      </c>
      <c r="E125" s="184" t="str">
        <f>'[1]Sch 1- Rate Base '!E125</f>
        <v>DIST</v>
      </c>
      <c r="F125" s="184"/>
      <c r="G125" s="1690">
        <f>'[1]Sch 1- Rate Base '!G125</f>
        <v>0</v>
      </c>
      <c r="H125" s="249">
        <f>'[1]Sch 1- Rate Base '!H125</f>
        <v>0</v>
      </c>
      <c r="I125" s="249">
        <f>'[1]Sch 1- Rate Base '!I125</f>
        <v>0</v>
      </c>
      <c r="J125" s="1344">
        <f>'[1]Sch 1- Rate Base '!J125</f>
        <v>0</v>
      </c>
    </row>
    <row r="126" spans="1:10">
      <c r="A126" s="912"/>
      <c r="B126" s="79" t="s">
        <v>15</v>
      </c>
      <c r="C126" s="181" t="str">
        <f>'[1]Sch 1- Rate Base '!C126</f>
        <v>110-111</v>
      </c>
      <c r="D126" s="181">
        <f>'[1]Sch 1- Rate Base '!D126</f>
        <v>184</v>
      </c>
      <c r="E126" s="184" t="str">
        <f>'[1]Sch 1- Rate Base '!E126</f>
        <v>DIST</v>
      </c>
      <c r="F126" s="184"/>
      <c r="G126" s="1690">
        <f>'[1]Sch 1- Rate Base '!G126</f>
        <v>858506.23</v>
      </c>
      <c r="H126" s="249">
        <f>'[1]Sch 1- Rate Base '!H126</f>
        <v>0</v>
      </c>
      <c r="I126" s="249">
        <f>'[1]Sch 1- Rate Base '!I126</f>
        <v>0</v>
      </c>
      <c r="J126" s="1344">
        <f>'[1]Sch 1- Rate Base '!J126</f>
        <v>858506.23</v>
      </c>
    </row>
    <row r="127" spans="1:10">
      <c r="A127" s="912"/>
      <c r="B127" s="79" t="s">
        <v>16</v>
      </c>
      <c r="C127" s="181" t="str">
        <f>'[1]Sch 1- Rate Base '!C127</f>
        <v>110-111</v>
      </c>
      <c r="D127" s="181">
        <f>'[1]Sch 1- Rate Base '!D127</f>
        <v>185</v>
      </c>
      <c r="E127" s="184" t="str">
        <f>'[1]Sch 1- Rate Base '!E127</f>
        <v>PTDG</v>
      </c>
      <c r="F127" s="184"/>
      <c r="G127" s="1690">
        <f>'[1]Sch 1- Rate Base '!G127</f>
        <v>0</v>
      </c>
      <c r="H127" s="249">
        <f>'[1]Sch 1- Rate Base '!H127</f>
        <v>0</v>
      </c>
      <c r="I127" s="249">
        <f>'[1]Sch 1- Rate Base '!I127</f>
        <v>0</v>
      </c>
      <c r="J127" s="1344">
        <f>'[1]Sch 1- Rate Base '!J127</f>
        <v>0</v>
      </c>
    </row>
    <row r="128" spans="1:10">
      <c r="A128" s="912"/>
      <c r="B128" s="79" t="s">
        <v>17</v>
      </c>
      <c r="C128" s="181" t="str">
        <f>'[1]Sch 1- Rate Base '!C128</f>
        <v>110-111</v>
      </c>
      <c r="D128" s="181">
        <f>'[1]Sch 1- Rate Base '!D128</f>
        <v>186</v>
      </c>
      <c r="E128" s="184" t="str">
        <f>'[1]Sch 1- Rate Base '!E128</f>
        <v>DIRECT</v>
      </c>
      <c r="F128" s="184" t="str">
        <f>'[1]Sch 1- Rate Base '!F128</f>
        <v>DIST</v>
      </c>
      <c r="G128" s="1690">
        <f>'[1]Sch 1- Rate Base '!G128</f>
        <v>87517903.719999999</v>
      </c>
      <c r="H128" s="249">
        <f>'[1]Sch 1- Rate Base '!H128</f>
        <v>3570010.1583954575</v>
      </c>
      <c r="I128" s="249">
        <f>'[1]Sch 1- Rate Base '!I128</f>
        <v>119794.59485533467</v>
      </c>
      <c r="J128" s="1344">
        <f>'[1]Sch 1- Rate Base '!J128</f>
        <v>14794581.246749207</v>
      </c>
    </row>
    <row r="129" spans="1:10">
      <c r="A129" s="912"/>
      <c r="B129" s="79" t="s">
        <v>18</v>
      </c>
      <c r="C129" s="181" t="str">
        <f>'[1]Sch 1- Rate Base '!C129</f>
        <v>110-111</v>
      </c>
      <c r="D129" s="181">
        <f>'[1]Sch 1- Rate Base '!D129</f>
        <v>187</v>
      </c>
      <c r="E129" s="184" t="str">
        <f>'[1]Sch 1- Rate Base '!E129</f>
        <v>DIRECT</v>
      </c>
      <c r="F129" s="184"/>
      <c r="G129" s="1690">
        <f>'[1]Sch 1- Rate Base '!G129</f>
        <v>0</v>
      </c>
      <c r="H129" s="249">
        <f>'[1]Sch 1- Rate Base '!H129</f>
        <v>0</v>
      </c>
      <c r="I129" s="249">
        <f>'[1]Sch 1- Rate Base '!I129</f>
        <v>0</v>
      </c>
      <c r="J129" s="1344">
        <f>'[1]Sch 1- Rate Base '!J129</f>
        <v>0</v>
      </c>
    </row>
    <row r="130" spans="1:10">
      <c r="A130" s="912"/>
      <c r="B130" s="79" t="s">
        <v>19</v>
      </c>
      <c r="C130" s="181" t="str">
        <f>'[1]Sch 1- Rate Base '!C130</f>
        <v>110-111</v>
      </c>
      <c r="D130" s="181">
        <f>'[1]Sch 1- Rate Base '!D130</f>
        <v>188</v>
      </c>
      <c r="E130" s="184" t="str">
        <f>'[1]Sch 1- Rate Base '!E130</f>
        <v>DIST</v>
      </c>
      <c r="F130" s="184"/>
      <c r="G130" s="1690">
        <f>'[1]Sch 1- Rate Base '!G130</f>
        <v>0</v>
      </c>
      <c r="H130" s="249">
        <f>'[1]Sch 1- Rate Base '!H130</f>
        <v>0</v>
      </c>
      <c r="I130" s="249">
        <f>'[1]Sch 1- Rate Base '!I130</f>
        <v>0</v>
      </c>
      <c r="J130" s="1344">
        <f>'[1]Sch 1- Rate Base '!J130</f>
        <v>0</v>
      </c>
    </row>
    <row r="131" spans="1:10">
      <c r="A131" s="912"/>
      <c r="B131" s="79" t="s">
        <v>20</v>
      </c>
      <c r="C131" s="181" t="str">
        <f>'[1]Sch 1- Rate Base '!C131</f>
        <v>110-111</v>
      </c>
      <c r="D131" s="181">
        <f>'[1]Sch 1- Rate Base '!D131</f>
        <v>189</v>
      </c>
      <c r="E131" s="184" t="str">
        <f>'[1]Sch 1- Rate Base '!E131</f>
        <v>PTDG</v>
      </c>
      <c r="F131" s="184"/>
      <c r="G131" s="1690">
        <f>'[1]Sch 1- Rate Base '!G131</f>
        <v>5701050.9199999999</v>
      </c>
      <c r="H131" s="249">
        <f>'[1]Sch 1- Rate Base '!H131</f>
        <v>1806787.0002439837</v>
      </c>
      <c r="I131" s="249">
        <f>'[1]Sch 1- Rate Base '!I131</f>
        <v>1183096.601656751</v>
      </c>
      <c r="J131" s="1344">
        <f>'[1]Sch 1- Rate Base '!J131</f>
        <v>2674030.3623050945</v>
      </c>
    </row>
    <row r="132" spans="1:10">
      <c r="A132" s="912"/>
      <c r="B132" s="79" t="s">
        <v>21</v>
      </c>
      <c r="C132" s="181" t="str">
        <f>'[1]Sch 1- Rate Base '!C132</f>
        <v>110-111</v>
      </c>
      <c r="D132" s="181">
        <f>'[1]Sch 1- Rate Base '!D132</f>
        <v>190</v>
      </c>
      <c r="E132" s="184" t="str">
        <f>'[1]Sch 1- Rate Base '!E132</f>
        <v>DIST</v>
      </c>
      <c r="F132" s="184"/>
      <c r="G132" s="1690">
        <f>'[1]Sch 1- Rate Base '!G132</f>
        <v>214152187.74000001</v>
      </c>
      <c r="H132" s="249">
        <f>'[1]Sch 1- Rate Base '!H132</f>
        <v>0</v>
      </c>
      <c r="I132" s="249">
        <f>'[1]Sch 1- Rate Base '!I132</f>
        <v>0</v>
      </c>
      <c r="J132" s="1344">
        <f>'[1]Sch 1- Rate Base '!J132</f>
        <v>214152187.74000001</v>
      </c>
    </row>
    <row r="133" spans="1:10">
      <c r="A133" s="160"/>
      <c r="B133" s="847" t="s">
        <v>104</v>
      </c>
      <c r="C133" s="492"/>
      <c r="D133" s="485"/>
      <c r="E133" s="485"/>
      <c r="F133" s="486"/>
      <c r="G133" s="493">
        <f>'[1]Sch 1- Rate Base '!G133</f>
        <v>1228008056.3699999</v>
      </c>
      <c r="H133" s="493">
        <f>'[1]Sch 1- Rate Base '!H133</f>
        <v>48910317.305561066</v>
      </c>
      <c r="I133" s="493">
        <f>'[1]Sch 1- Rate Base '!I133</f>
        <v>5782535.3299336936</v>
      </c>
      <c r="J133" s="1366">
        <f>'[1]Sch 1- Rate Base '!J133</f>
        <v>773339796.92009866</v>
      </c>
    </row>
    <row r="134" spans="1:10">
      <c r="A134" s="961"/>
      <c r="B134" s="937"/>
      <c r="C134" s="81"/>
      <c r="D134" s="34"/>
      <c r="E134" s="34"/>
      <c r="F134" s="34"/>
      <c r="G134" s="142"/>
      <c r="H134" s="337"/>
      <c r="I134" s="337"/>
      <c r="J134" s="1355"/>
    </row>
    <row r="135" spans="1:10">
      <c r="A135" s="963" t="s">
        <v>74</v>
      </c>
      <c r="B135" s="64"/>
      <c r="C135" s="492"/>
      <c r="D135" s="485"/>
      <c r="E135" s="485"/>
      <c r="F135" s="486"/>
      <c r="G135" s="493" t="e">
        <f>'[1]Sch 1- Rate Base '!G135</f>
        <v>#REF!</v>
      </c>
      <c r="H135" s="493" t="e">
        <f>'[1]Sch 1- Rate Base '!H135</f>
        <v>#REF!</v>
      </c>
      <c r="I135" s="493" t="e">
        <f>'[1]Sch 1- Rate Base '!I135</f>
        <v>#REF!</v>
      </c>
      <c r="J135" s="1366" t="e">
        <f>'[1]Sch 1- Rate Base '!J135</f>
        <v>#REF!</v>
      </c>
    </row>
    <row r="136" spans="1:10" ht="16.5" thickBot="1">
      <c r="A136" s="964"/>
      <c r="B136" s="931"/>
      <c r="C136" s="174"/>
      <c r="D136" s="174"/>
      <c r="E136" s="190"/>
      <c r="F136" s="190"/>
      <c r="G136" s="383"/>
      <c r="H136" s="383"/>
      <c r="I136" s="383"/>
      <c r="J136" s="1371"/>
    </row>
    <row r="137" spans="1:10" ht="16.5" thickTop="1">
      <c r="A137" s="967" t="s">
        <v>75</v>
      </c>
      <c r="B137" s="64"/>
      <c r="C137" s="8"/>
      <c r="D137" s="34"/>
      <c r="E137" s="34"/>
      <c r="F137" s="34"/>
      <c r="G137" s="142"/>
      <c r="H137" s="142"/>
      <c r="I137" s="142"/>
      <c r="J137" s="1348"/>
    </row>
    <row r="138" spans="1:10">
      <c r="A138" s="912"/>
      <c r="B138" s="847" t="s">
        <v>438</v>
      </c>
      <c r="C138" s="48"/>
      <c r="D138" s="75"/>
      <c r="E138" s="48"/>
      <c r="F138" s="48"/>
      <c r="G138" s="1529"/>
      <c r="H138" s="337"/>
      <c r="I138" s="337"/>
      <c r="J138" s="1355"/>
    </row>
    <row r="139" spans="1:10">
      <c r="A139" s="1689"/>
      <c r="B139" s="79" t="s">
        <v>332</v>
      </c>
      <c r="C139" s="181" t="str">
        <f>'[1]Sch 1- Rate Base '!C139</f>
        <v>112-113</v>
      </c>
      <c r="D139" s="181">
        <f>'[1]Sch 1- Rate Base '!D139</f>
        <v>244</v>
      </c>
      <c r="E139" s="184" t="str">
        <f>'[1]Sch 1- Rate Base '!E139</f>
        <v>DIST</v>
      </c>
      <c r="F139" s="184"/>
      <c r="G139" s="1690">
        <f>'[1]Sch 1- Rate Base '!G139</f>
        <v>35118959.25</v>
      </c>
      <c r="H139" s="249">
        <f>'[1]Sch 1- Rate Base '!H139</f>
        <v>0</v>
      </c>
      <c r="I139" s="249">
        <f>'[1]Sch 1- Rate Base '!I139</f>
        <v>0</v>
      </c>
      <c r="J139" s="1344">
        <f>'[1]Sch 1- Rate Base '!J139</f>
        <v>35118959.25</v>
      </c>
    </row>
    <row r="140" spans="1:10">
      <c r="A140" s="1689"/>
      <c r="B140" s="969" t="s">
        <v>2188</v>
      </c>
      <c r="C140" s="181" t="str">
        <f>'[1]Sch 1- Rate Base '!C140</f>
        <v>112-114</v>
      </c>
      <c r="D140" s="181">
        <f>'[1]Sch 1- Rate Base '!D140</f>
        <v>244</v>
      </c>
      <c r="E140" s="184" t="str">
        <f>'[1]Sch 1- Rate Base '!E140</f>
        <v>DIST</v>
      </c>
      <c r="F140" s="184"/>
      <c r="G140" s="1690">
        <f>'[1]Sch 1- Rate Base '!G140</f>
        <v>17902180</v>
      </c>
      <c r="H140" s="249">
        <f>'[1]Sch 1- Rate Base '!H140</f>
        <v>0</v>
      </c>
      <c r="I140" s="249">
        <f>'[1]Sch 1- Rate Base '!I140</f>
        <v>0</v>
      </c>
      <c r="J140" s="1344">
        <f>'[1]Sch 1- Rate Base '!J140</f>
        <v>17902180</v>
      </c>
    </row>
    <row r="141" spans="1:10">
      <c r="A141" s="1689"/>
      <c r="B141" s="79" t="s">
        <v>333</v>
      </c>
      <c r="C141" s="181" t="str">
        <f>'[1]Sch 1- Rate Base '!C141</f>
        <v>112-115</v>
      </c>
      <c r="D141" s="181">
        <f>'[1]Sch 1- Rate Base '!D141</f>
        <v>245</v>
      </c>
      <c r="E141" s="184" t="str">
        <f>'[1]Sch 1- Rate Base '!E141</f>
        <v>DIST</v>
      </c>
      <c r="F141" s="184"/>
      <c r="G141" s="1690">
        <f>'[1]Sch 1- Rate Base '!G141</f>
        <v>0</v>
      </c>
      <c r="H141" s="249">
        <f>'[1]Sch 1- Rate Base '!H141</f>
        <v>0</v>
      </c>
      <c r="I141" s="249">
        <f>'[1]Sch 1- Rate Base '!I141</f>
        <v>0</v>
      </c>
      <c r="J141" s="1344">
        <f>'[1]Sch 1- Rate Base '!J141</f>
        <v>0</v>
      </c>
    </row>
    <row r="142" spans="1:10">
      <c r="A142" s="1689"/>
      <c r="B142" s="969" t="s">
        <v>2187</v>
      </c>
      <c r="C142" s="181" t="str">
        <f>'[1]Sch 1- Rate Base '!C142</f>
        <v>112-114</v>
      </c>
      <c r="D142" s="181">
        <f>'[1]Sch 1- Rate Base '!D142</f>
        <v>245</v>
      </c>
      <c r="E142" s="184" t="str">
        <f>'[1]Sch 1- Rate Base '!E142</f>
        <v>DIST</v>
      </c>
      <c r="F142" s="184"/>
      <c r="G142" s="1690">
        <f>'[1]Sch 1- Rate Base '!G142</f>
        <v>0</v>
      </c>
      <c r="H142" s="249">
        <f>'[1]Sch 1- Rate Base '!H142</f>
        <v>0</v>
      </c>
      <c r="I142" s="249">
        <f>'[1]Sch 1- Rate Base '!I142</f>
        <v>0</v>
      </c>
      <c r="J142" s="1344">
        <f>'[1]Sch 1- Rate Base '!J142</f>
        <v>0</v>
      </c>
    </row>
    <row r="143" spans="1:10">
      <c r="A143" s="1689"/>
      <c r="B143" s="847" t="s">
        <v>104</v>
      </c>
      <c r="C143" s="492"/>
      <c r="D143" s="485"/>
      <c r="E143" s="485"/>
      <c r="F143" s="486"/>
      <c r="G143" s="493">
        <f>'[1]Sch 1- Rate Base '!G143</f>
        <v>17216779.25</v>
      </c>
      <c r="H143" s="493">
        <f>'[1]Sch 1- Rate Base '!H143</f>
        <v>0</v>
      </c>
      <c r="I143" s="493">
        <f>'[1]Sch 1- Rate Base '!I143</f>
        <v>0</v>
      </c>
      <c r="J143" s="1366">
        <f>'[1]Sch 1- Rate Base '!J143</f>
        <v>17216779.25</v>
      </c>
    </row>
    <row r="144" spans="1:10">
      <c r="A144" s="1689"/>
      <c r="B144" s="847" t="s">
        <v>439</v>
      </c>
      <c r="C144" s="48"/>
      <c r="D144" s="75"/>
      <c r="E144" s="48"/>
      <c r="F144" s="48"/>
      <c r="G144" s="142"/>
      <c r="H144" s="337"/>
      <c r="I144" s="337"/>
      <c r="J144" s="1355"/>
    </row>
    <row r="145" spans="1:10">
      <c r="A145" s="912"/>
      <c r="B145" s="79" t="s">
        <v>377</v>
      </c>
      <c r="C145" s="181" t="str">
        <f>'[1]Sch 1- Rate Base '!C145</f>
        <v>112-113</v>
      </c>
      <c r="D145" s="181">
        <f>'[1]Sch 1- Rate Base '!D145</f>
        <v>244</v>
      </c>
      <c r="E145" s="184" t="str">
        <f>'[1]Sch 1- Rate Base '!E145</f>
        <v>DIST</v>
      </c>
      <c r="F145" s="184"/>
      <c r="G145" s="333">
        <f>'[1]Sch 1- Rate Base '!G145</f>
        <v>0</v>
      </c>
      <c r="H145" s="249">
        <f>'[1]Sch 1- Rate Base '!H145</f>
        <v>0</v>
      </c>
      <c r="I145" s="249">
        <f>'[1]Sch 1- Rate Base '!I145</f>
        <v>0</v>
      </c>
      <c r="J145" s="1344">
        <f>'[1]Sch 1- Rate Base '!J145</f>
        <v>0</v>
      </c>
    </row>
    <row r="146" spans="1:10">
      <c r="A146" s="912"/>
      <c r="B146" s="79" t="s">
        <v>378</v>
      </c>
      <c r="C146" s="181" t="str">
        <f>'[1]Sch 1- Rate Base '!C146</f>
        <v>112-114</v>
      </c>
      <c r="D146" s="181">
        <f>'[1]Sch 1- Rate Base '!D146</f>
        <v>245</v>
      </c>
      <c r="E146" s="184" t="str">
        <f>'[1]Sch 1- Rate Base '!E146</f>
        <v>DIST</v>
      </c>
      <c r="F146" s="184"/>
      <c r="G146" s="333">
        <f>'[1]Sch 1- Rate Base '!G146</f>
        <v>0</v>
      </c>
      <c r="H146" s="249">
        <f>'[1]Sch 1- Rate Base '!H146</f>
        <v>0</v>
      </c>
      <c r="I146" s="249">
        <f>'[1]Sch 1- Rate Base '!I146</f>
        <v>0</v>
      </c>
      <c r="J146" s="1344">
        <f>'[1]Sch 1- Rate Base '!J146</f>
        <v>0</v>
      </c>
    </row>
    <row r="147" spans="1:10">
      <c r="A147" s="912"/>
      <c r="B147" s="79" t="s">
        <v>22</v>
      </c>
      <c r="C147" s="181" t="str">
        <f>'[1]Sch 1- Rate Base '!C147</f>
        <v>112-113</v>
      </c>
      <c r="D147" s="181">
        <f>'[1]Sch 1- Rate Base '!D147</f>
        <v>252</v>
      </c>
      <c r="E147" s="184" t="str">
        <f>'[1]Sch 1- Rate Base '!E147</f>
        <v>DIST</v>
      </c>
      <c r="F147" s="184"/>
      <c r="G147" s="1690">
        <f>'[1]Sch 1- Rate Base '!G147</f>
        <v>4436512.88</v>
      </c>
      <c r="H147" s="249">
        <f>'[1]Sch 1- Rate Base '!H147</f>
        <v>0</v>
      </c>
      <c r="I147" s="249">
        <f>'[1]Sch 1- Rate Base '!I147</f>
        <v>0</v>
      </c>
      <c r="J147" s="1344">
        <f>'[1]Sch 1- Rate Base '!J147</f>
        <v>4436512.88</v>
      </c>
    </row>
    <row r="148" spans="1:10">
      <c r="A148" s="912"/>
      <c r="B148" s="79" t="s">
        <v>25</v>
      </c>
      <c r="C148" s="181" t="str">
        <f>'[1]Sch 1- Rate Base '!C148</f>
        <v>112-113</v>
      </c>
      <c r="D148" s="181">
        <f>'[1]Sch 1- Rate Base '!D148</f>
        <v>253</v>
      </c>
      <c r="E148" s="184" t="str">
        <f>'[1]Sch 1- Rate Base '!E148</f>
        <v>DIRECT</v>
      </c>
      <c r="F148" s="184" t="str">
        <f>'[1]Sch 1- Rate Base '!F148</f>
        <v>DIST</v>
      </c>
      <c r="G148" s="1690">
        <f>'[1]Sch 1- Rate Base '!G148</f>
        <v>32918242.530000001</v>
      </c>
      <c r="H148" s="249">
        <f>'[1]Sch 1- Rate Base '!H148</f>
        <v>297078</v>
      </c>
      <c r="I148" s="249">
        <f>'[1]Sch 1- Rate Base '!I148</f>
        <v>0</v>
      </c>
      <c r="J148" s="1344">
        <f>'[1]Sch 1- Rate Base '!J148</f>
        <v>29362480</v>
      </c>
    </row>
    <row r="149" spans="1:10">
      <c r="A149" s="912"/>
      <c r="B149" s="79" t="s">
        <v>26</v>
      </c>
      <c r="C149" s="181" t="str">
        <f>'[1]Sch 1- Rate Base '!C149</f>
        <v>112-113</v>
      </c>
      <c r="D149" s="181">
        <f>'[1]Sch 1- Rate Base '!D149</f>
        <v>254</v>
      </c>
      <c r="E149" s="184" t="str">
        <f>'[1]Sch 1- Rate Base '!E149</f>
        <v>DIRECT</v>
      </c>
      <c r="F149" s="184" t="str">
        <f>'[1]Sch 1- Rate Base '!F149</f>
        <v>DIST</v>
      </c>
      <c r="G149" s="1690">
        <f>'[1]Sch 1- Rate Base '!G149</f>
        <v>479233915.16999996</v>
      </c>
      <c r="H149" s="249">
        <f>'[1]Sch 1- Rate Base '!H149</f>
        <v>528308</v>
      </c>
      <c r="I149" s="249">
        <f>'[1]Sch 1- Rate Base '!I149</f>
        <v>0</v>
      </c>
      <c r="J149" s="1344">
        <f>'[1]Sch 1- Rate Base '!J149</f>
        <v>480678825</v>
      </c>
    </row>
    <row r="150" spans="1:10">
      <c r="A150" s="912"/>
      <c r="B150" s="79" t="s">
        <v>23</v>
      </c>
      <c r="C150" s="181" t="str">
        <f>'[1]Sch 1- Rate Base '!C150</f>
        <v>112-113</v>
      </c>
      <c r="D150" s="181">
        <f>'[1]Sch 1- Rate Base '!D150</f>
        <v>255</v>
      </c>
      <c r="E150" s="184" t="str">
        <f>'[1]Sch 1- Rate Base '!E150</f>
        <v>DIST</v>
      </c>
      <c r="F150" s="184"/>
      <c r="G150" s="1690">
        <f>'[1]Sch 1- Rate Base '!G150</f>
        <v>28233162.039999999</v>
      </c>
      <c r="H150" s="249">
        <f>'[1]Sch 1- Rate Base '!H150</f>
        <v>0</v>
      </c>
      <c r="I150" s="249">
        <f>'[1]Sch 1- Rate Base '!I150</f>
        <v>0</v>
      </c>
      <c r="J150" s="1344">
        <f>'[1]Sch 1- Rate Base '!J150</f>
        <v>28233162.039999999</v>
      </c>
    </row>
    <row r="151" spans="1:10">
      <c r="A151" s="912"/>
      <c r="B151" s="79" t="s">
        <v>24</v>
      </c>
      <c r="C151" s="181" t="str">
        <f>'[1]Sch 1- Rate Base '!C151</f>
        <v>112-113</v>
      </c>
      <c r="D151" s="181">
        <f>'[1]Sch 1- Rate Base '!D151</f>
        <v>256</v>
      </c>
      <c r="E151" s="184" t="str">
        <f>'[1]Sch 1- Rate Base '!E151</f>
        <v>DIRECT</v>
      </c>
      <c r="F151" s="184"/>
      <c r="G151" s="1690">
        <f>'[1]Sch 1- Rate Base '!G151</f>
        <v>0</v>
      </c>
      <c r="H151" s="249">
        <f>'[1]Sch 1- Rate Base '!H151</f>
        <v>0</v>
      </c>
      <c r="I151" s="249">
        <f>'[1]Sch 1- Rate Base '!I151</f>
        <v>0</v>
      </c>
      <c r="J151" s="1344">
        <f>'[1]Sch 1- Rate Base '!J151</f>
        <v>0</v>
      </c>
    </row>
    <row r="152" spans="1:10">
      <c r="A152" s="912"/>
      <c r="B152" s="79" t="s">
        <v>27</v>
      </c>
      <c r="C152" s="181" t="str">
        <f>'[1]Sch 1- Rate Base '!C152</f>
        <v>112-113</v>
      </c>
      <c r="D152" s="181">
        <f>'[1]Sch 1- Rate Base '!D152</f>
        <v>257</v>
      </c>
      <c r="E152" s="184" t="str">
        <f>'[1]Sch 1- Rate Base '!E152</f>
        <v>PTDG</v>
      </c>
      <c r="F152" s="184"/>
      <c r="G152" s="1690">
        <f>'[1]Sch 1- Rate Base '!G152</f>
        <v>942383.92</v>
      </c>
      <c r="H152" s="249">
        <f>'[1]Sch 1- Rate Base '!H152</f>
        <v>298661.95545135852</v>
      </c>
      <c r="I152" s="249">
        <f>'[1]Sch 1- Rate Base '!I152</f>
        <v>195565.91036516606</v>
      </c>
      <c r="J152" s="1344">
        <f>'[1]Sch 1- Rate Base '!J152</f>
        <v>442017.31406884105</v>
      </c>
    </row>
    <row r="153" spans="1:10">
      <c r="A153" s="912"/>
      <c r="B153" s="79" t="s">
        <v>31</v>
      </c>
      <c r="C153" s="181" t="str">
        <f>'[1]Sch 1- Rate Base '!C153</f>
        <v>112-113</v>
      </c>
      <c r="D153" s="181">
        <f>'[1]Sch 1- Rate Base '!D153</f>
        <v>281</v>
      </c>
      <c r="E153" s="184" t="str">
        <f>'[1]Sch 1- Rate Base '!E153</f>
        <v>DIST</v>
      </c>
      <c r="F153" s="184"/>
      <c r="G153" s="1690">
        <f>'[1]Sch 1- Rate Base '!G153</f>
        <v>0</v>
      </c>
      <c r="H153" s="249">
        <f>'[1]Sch 1- Rate Base '!H153</f>
        <v>0</v>
      </c>
      <c r="I153" s="249">
        <f>'[1]Sch 1- Rate Base '!I153</f>
        <v>0</v>
      </c>
      <c r="J153" s="1344">
        <f>'[1]Sch 1- Rate Base '!J153</f>
        <v>0</v>
      </c>
    </row>
    <row r="154" spans="1:10">
      <c r="A154" s="912"/>
      <c r="B154" s="79" t="s">
        <v>32</v>
      </c>
      <c r="C154" s="181" t="str">
        <f>'[1]Sch 1- Rate Base '!C154</f>
        <v>112-113</v>
      </c>
      <c r="D154" s="181">
        <f>'[1]Sch 1- Rate Base '!D154</f>
        <v>282</v>
      </c>
      <c r="E154" s="184" t="str">
        <f>'[1]Sch 1- Rate Base '!E154</f>
        <v>DIST</v>
      </c>
      <c r="F154" s="184"/>
      <c r="G154" s="1690">
        <f>'[1]Sch 1- Rate Base '!G154</f>
        <v>653219869.71000004</v>
      </c>
      <c r="H154" s="249">
        <f>'[1]Sch 1- Rate Base '!H154</f>
        <v>0</v>
      </c>
      <c r="I154" s="249">
        <f>'[1]Sch 1- Rate Base '!I154</f>
        <v>0</v>
      </c>
      <c r="J154" s="1344">
        <f>'[1]Sch 1- Rate Base '!J154</f>
        <v>653219869.71000004</v>
      </c>
    </row>
    <row r="155" spans="1:10">
      <c r="A155" s="912"/>
      <c r="B155" s="79" t="s">
        <v>33</v>
      </c>
      <c r="C155" s="181" t="str">
        <f>'[1]Sch 1- Rate Base '!C155</f>
        <v>112-113</v>
      </c>
      <c r="D155" s="181">
        <f>'[1]Sch 1- Rate Base '!D155</f>
        <v>283</v>
      </c>
      <c r="E155" s="184" t="str">
        <f>'[1]Sch 1- Rate Base '!E155</f>
        <v>DIST</v>
      </c>
      <c r="F155" s="184"/>
      <c r="G155" s="1690">
        <f>'[1]Sch 1- Rate Base '!G155</f>
        <v>256710715.16</v>
      </c>
      <c r="H155" s="249">
        <f>'[1]Sch 1- Rate Base '!H155</f>
        <v>0</v>
      </c>
      <c r="I155" s="249">
        <f>'[1]Sch 1- Rate Base '!I155</f>
        <v>0</v>
      </c>
      <c r="J155" s="1344">
        <f>'[1]Sch 1- Rate Base '!J155</f>
        <v>256710715.16</v>
      </c>
    </row>
    <row r="156" spans="1:10">
      <c r="A156" s="912"/>
      <c r="B156" s="847" t="s">
        <v>104</v>
      </c>
      <c r="C156" s="492"/>
      <c r="D156" s="485"/>
      <c r="E156" s="485"/>
      <c r="F156" s="486"/>
      <c r="G156" s="493">
        <f>'[1]Sch 1- Rate Base '!G156</f>
        <v>1455694801.4100001</v>
      </c>
      <c r="H156" s="493">
        <f>'[1]Sch 1- Rate Base '!H156</f>
        <v>1124047.9554513586</v>
      </c>
      <c r="I156" s="493">
        <f>'[1]Sch 1- Rate Base '!I156</f>
        <v>195565.91036516606</v>
      </c>
      <c r="J156" s="1366">
        <f>'[1]Sch 1- Rate Base '!J156</f>
        <v>1453083582.104069</v>
      </c>
    </row>
    <row r="157" spans="1:10">
      <c r="A157" s="912"/>
      <c r="B157" s="79"/>
      <c r="C157" s="34"/>
      <c r="D157" s="82"/>
      <c r="E157" s="34"/>
      <c r="F157" s="34"/>
      <c r="G157" s="384"/>
      <c r="H157" s="385"/>
      <c r="I157" s="385"/>
      <c r="J157" s="1372"/>
    </row>
    <row r="158" spans="1:10">
      <c r="A158" s="209" t="s">
        <v>73</v>
      </c>
      <c r="B158" s="64"/>
      <c r="C158" s="492"/>
      <c r="D158" s="485"/>
      <c r="E158" s="485"/>
      <c r="F158" s="486"/>
      <c r="G158" s="493">
        <f>'[1]Sch 1- Rate Base '!G158</f>
        <v>1472911580.6600001</v>
      </c>
      <c r="H158" s="493">
        <f>'[1]Sch 1- Rate Base '!H158</f>
        <v>1124047.9554513586</v>
      </c>
      <c r="I158" s="493">
        <f>'[1]Sch 1- Rate Base '!I158</f>
        <v>195565.91036516606</v>
      </c>
      <c r="J158" s="1366">
        <f>'[1]Sch 1- Rate Base '!J158</f>
        <v>1470300361.354069</v>
      </c>
    </row>
    <row r="159" spans="1:10">
      <c r="A159" s="228"/>
      <c r="B159" s="64"/>
      <c r="C159" s="8"/>
      <c r="D159" s="8"/>
      <c r="E159" s="8"/>
      <c r="F159" s="8"/>
      <c r="G159" s="142"/>
      <c r="H159" s="142"/>
      <c r="I159" s="142"/>
      <c r="J159" s="1348"/>
    </row>
    <row r="160" spans="1:10">
      <c r="A160" s="170"/>
      <c r="B160" s="79"/>
      <c r="C160" s="82"/>
      <c r="D160" s="82"/>
      <c r="E160" s="79"/>
      <c r="F160" s="79"/>
      <c r="G160" s="338"/>
      <c r="H160" s="338"/>
      <c r="I160" s="338"/>
      <c r="J160" s="1375"/>
    </row>
    <row r="161" spans="1:10">
      <c r="A161" s="163" t="s">
        <v>482</v>
      </c>
      <c r="B161" s="64"/>
      <c r="C161" s="494"/>
      <c r="D161" s="495"/>
      <c r="E161" s="495"/>
      <c r="F161" s="496"/>
      <c r="G161" s="497" t="e">
        <f>'[1]Sch 1- Rate Base '!G161</f>
        <v>#REF!</v>
      </c>
      <c r="H161" s="497" t="e">
        <f>'[1]Sch 1- Rate Base '!H161</f>
        <v>#REF!</v>
      </c>
      <c r="I161" s="497" t="e">
        <f>'[1]Sch 1- Rate Base '!I161</f>
        <v>#REF!</v>
      </c>
      <c r="J161" s="1376" t="e">
        <f>'[1]Sch 1- Rate Base '!J161</f>
        <v>#REF!</v>
      </c>
    </row>
    <row r="162" spans="1:10">
      <c r="A162" s="922" t="s">
        <v>83</v>
      </c>
      <c r="B162" s="64"/>
      <c r="C162" s="8"/>
      <c r="D162" s="8"/>
      <c r="E162" s="8"/>
      <c r="F162" s="8"/>
      <c r="G162" s="35"/>
      <c r="H162" s="23"/>
      <c r="I162" s="30"/>
      <c r="J162" s="1691"/>
    </row>
    <row r="163" spans="1:10" ht="16.5" thickBot="1">
      <c r="A163" s="930"/>
      <c r="B163" s="931"/>
      <c r="C163" s="932"/>
      <c r="D163" s="932"/>
      <c r="E163" s="932"/>
      <c r="F163" s="932"/>
      <c r="G163" s="934"/>
      <c r="H163" s="1692"/>
      <c r="I163" s="976"/>
      <c r="J163" s="1693"/>
    </row>
    <row r="164" spans="1:10" ht="16.5" thickTop="1">
      <c r="A164" s="922"/>
      <c r="B164" s="64"/>
      <c r="C164" s="55"/>
      <c r="D164" s="55"/>
      <c r="E164" s="55"/>
      <c r="F164" s="55"/>
      <c r="G164" s="910"/>
      <c r="H164" s="1686"/>
      <c r="I164" s="56"/>
      <c r="J164" s="1694"/>
    </row>
    <row r="165" spans="1:10">
      <c r="A165" s="906" t="s">
        <v>63</v>
      </c>
      <c r="G165" s="977">
        <f>'[1]Sch 2 -Rate of Return'!E97</f>
        <v>8.6892728165347516E-2</v>
      </c>
      <c r="H165" s="977">
        <f>'[1]Sch 2 -Rate of Return'!F97</f>
        <v>8.6892728165347516E-2</v>
      </c>
      <c r="I165" s="977">
        <f>'[1]Sch 2 -Rate of Return'!G97</f>
        <v>8.6892728165347516E-2</v>
      </c>
      <c r="J165" s="977">
        <f>'[1]Sch 2 -Rate of Return'!H97</f>
        <v>8.6892728165347516E-2</v>
      </c>
    </row>
    <row r="166" spans="1:10">
      <c r="A166" s="1670"/>
      <c r="J166" s="1673"/>
    </row>
    <row r="167" spans="1:10">
      <c r="A167" s="978" t="s">
        <v>141</v>
      </c>
      <c r="G167" s="979" t="e">
        <f>'[1]Sch 2 -Rate of Return'!E98</f>
        <v>#REF!</v>
      </c>
      <c r="H167" s="979" t="e">
        <f>'[1]Sch 2 -Rate of Return'!F98</f>
        <v>#REF!</v>
      </c>
      <c r="I167" s="979" t="e">
        <f>'[1]Sch 2 -Rate of Return'!G98</f>
        <v>#REF!</v>
      </c>
      <c r="J167" s="979" t="e">
        <f>'[1]Sch 2 -Rate of Return'!H98</f>
        <v>#REF!</v>
      </c>
    </row>
    <row r="168" spans="1:10">
      <c r="A168" s="1670"/>
      <c r="J168" s="1673"/>
    </row>
    <row r="169" spans="1:10" ht="16.5" thickBot="1">
      <c r="A169" s="1670"/>
      <c r="J169" s="1673"/>
    </row>
    <row r="170" spans="1:10" ht="17.25" thickTop="1" thickBot="1">
      <c r="A170" s="981" t="s">
        <v>82</v>
      </c>
      <c r="B170" s="982"/>
      <c r="C170" s="982"/>
      <c r="D170" s="982"/>
      <c r="E170" s="983"/>
      <c r="F170" s="983"/>
      <c r="G170" s="984"/>
      <c r="H170" s="985"/>
      <c r="I170" s="985"/>
      <c r="J170" s="986"/>
    </row>
    <row r="171" spans="1:10" ht="17.25" thickTop="1" thickBot="1">
      <c r="A171" s="987"/>
      <c r="B171" s="2382" t="s">
        <v>100</v>
      </c>
      <c r="C171" s="325" t="s">
        <v>323</v>
      </c>
      <c r="D171" s="325"/>
      <c r="E171" s="2465" t="s">
        <v>354</v>
      </c>
      <c r="F171" s="2466"/>
      <c r="G171" s="2469" t="s">
        <v>104</v>
      </c>
      <c r="H171" s="2472" t="s">
        <v>105</v>
      </c>
      <c r="I171" s="2475" t="s">
        <v>106</v>
      </c>
      <c r="J171" s="326"/>
    </row>
    <row r="172" spans="1:10" ht="16.5" thickBot="1">
      <c r="A172" s="864"/>
      <c r="B172" s="2463"/>
      <c r="C172" s="322" t="s">
        <v>272</v>
      </c>
      <c r="D172" s="322" t="s">
        <v>96</v>
      </c>
      <c r="E172" s="2467"/>
      <c r="F172" s="2468"/>
      <c r="G172" s="2470"/>
      <c r="H172" s="2473"/>
      <c r="I172" s="2461"/>
      <c r="J172" s="310" t="s">
        <v>98</v>
      </c>
    </row>
    <row r="173" spans="1:10" ht="16.5" thickBot="1">
      <c r="A173" s="988"/>
      <c r="B173" s="2464"/>
      <c r="C173" s="311" t="s">
        <v>273</v>
      </c>
      <c r="D173" s="311" t="s">
        <v>252</v>
      </c>
      <c r="E173" s="311" t="s">
        <v>454</v>
      </c>
      <c r="F173" s="311" t="s">
        <v>623</v>
      </c>
      <c r="G173" s="2471"/>
      <c r="H173" s="2474"/>
      <c r="I173" s="2476"/>
      <c r="J173" s="314" t="s">
        <v>107</v>
      </c>
    </row>
    <row r="174" spans="1:10" ht="16.5" thickTop="1">
      <c r="A174" s="160" t="s">
        <v>460</v>
      </c>
      <c r="B174" s="64"/>
      <c r="C174" s="55"/>
      <c r="D174" s="55"/>
      <c r="E174" s="55"/>
      <c r="F174" s="55"/>
      <c r="G174" s="989"/>
      <c r="H174" s="1686"/>
      <c r="I174" s="1686"/>
      <c r="J174" s="1687"/>
    </row>
    <row r="175" spans="1:10">
      <c r="A175" s="912"/>
      <c r="B175" s="180" t="s">
        <v>461</v>
      </c>
      <c r="C175" s="55"/>
      <c r="D175" s="55"/>
      <c r="E175" s="55"/>
      <c r="F175" s="55"/>
      <c r="G175" s="989"/>
      <c r="H175" s="1686"/>
      <c r="I175" s="1686"/>
      <c r="J175" s="1687"/>
    </row>
    <row r="176" spans="1:10">
      <c r="A176" s="912"/>
      <c r="B176" s="220" t="s">
        <v>259</v>
      </c>
      <c r="C176" s="888" t="str">
        <f>'[1]Sch 3 - Expenses'!C16</f>
        <v>320-323</v>
      </c>
      <c r="D176" s="888">
        <f>'[1]Sch 3 - Expenses'!D16</f>
        <v>501</v>
      </c>
      <c r="E176" s="182" t="str">
        <f>'[1]Sch 3 - Expenses'!E16</f>
        <v>PROD</v>
      </c>
      <c r="F176" s="889"/>
      <c r="G176" s="182">
        <f>'[1]Sch 3 - Expenses'!G16</f>
        <v>46052299</v>
      </c>
      <c r="H176" s="182">
        <f>'[1]Sch 3 - Expenses'!H16</f>
        <v>46052299</v>
      </c>
      <c r="I176" s="182">
        <f>'[1]Sch 3 - Expenses'!I16</f>
        <v>0</v>
      </c>
      <c r="J176" s="182">
        <f>'[1]Sch 3 - Expenses'!J16</f>
        <v>0</v>
      </c>
    </row>
    <row r="177" spans="1:10">
      <c r="A177" s="912"/>
      <c r="B177" s="220" t="s">
        <v>260</v>
      </c>
      <c r="C177" s="888" t="str">
        <f>'[1]Sch 3 - Expenses'!C17</f>
        <v>320-323</v>
      </c>
      <c r="D177" s="888" t="str">
        <f>'[1]Sch 3 - Expenses'!D17</f>
        <v>500-509</v>
      </c>
      <c r="E177" s="182" t="str">
        <f>'[1]Sch 3 - Expenses'!E17</f>
        <v>PROD</v>
      </c>
      <c r="F177" s="889"/>
      <c r="G177" s="182">
        <f>'[1]Sch 3 - Expenses'!G17</f>
        <v>12263177</v>
      </c>
      <c r="H177" s="182">
        <f>'[1]Sch 3 - Expenses'!H17</f>
        <v>12263177</v>
      </c>
      <c r="I177" s="182">
        <f>'[1]Sch 3 - Expenses'!I17</f>
        <v>0</v>
      </c>
      <c r="J177" s="182">
        <f>'[1]Sch 3 - Expenses'!J17</f>
        <v>0</v>
      </c>
    </row>
    <row r="178" spans="1:10">
      <c r="A178" s="912"/>
      <c r="B178" s="220" t="s">
        <v>261</v>
      </c>
      <c r="C178" s="888" t="str">
        <f>'[1]Sch 3 - Expenses'!C18</f>
        <v>320-323</v>
      </c>
      <c r="D178" s="888" t="str">
        <f>'[1]Sch 3 - Expenses'!D18</f>
        <v>510-515</v>
      </c>
      <c r="E178" s="182" t="str">
        <f>'[1]Sch 3 - Expenses'!E18</f>
        <v>PROD</v>
      </c>
      <c r="F178" s="889"/>
      <c r="G178" s="182">
        <f>'[1]Sch 3 - Expenses'!G18</f>
        <v>10563065</v>
      </c>
      <c r="H178" s="182">
        <f>'[1]Sch 3 - Expenses'!H18</f>
        <v>10563065</v>
      </c>
      <c r="I178" s="182">
        <f>'[1]Sch 3 - Expenses'!I18</f>
        <v>0</v>
      </c>
      <c r="J178" s="182">
        <f>'[1]Sch 3 - Expenses'!J18</f>
        <v>0</v>
      </c>
    </row>
    <row r="179" spans="1:10">
      <c r="A179" s="912"/>
      <c r="B179" s="990" t="s">
        <v>462</v>
      </c>
      <c r="C179" s="55"/>
      <c r="D179" s="55"/>
      <c r="E179" s="196"/>
      <c r="F179" s="196"/>
      <c r="G179" s="68"/>
      <c r="H179" s="68"/>
      <c r="I179" s="68"/>
      <c r="J179" s="991"/>
    </row>
    <row r="180" spans="1:10">
      <c r="A180" s="912"/>
      <c r="B180" s="220" t="s">
        <v>85</v>
      </c>
      <c r="C180" s="888" t="str">
        <f>'[1]Sch 3 - Expenses'!C20</f>
        <v>320-323</v>
      </c>
      <c r="D180" s="888">
        <f>'[1]Sch 3 - Expenses'!D20</f>
        <v>518</v>
      </c>
      <c r="E180" s="182" t="str">
        <f>'[1]Sch 3 - Expenses'!E20</f>
        <v>PROD</v>
      </c>
      <c r="F180" s="889"/>
      <c r="G180" s="182">
        <f>'[1]Sch 3 - Expenses'!G20</f>
        <v>0</v>
      </c>
      <c r="H180" s="182">
        <f>'[1]Sch 3 - Expenses'!H20</f>
        <v>0</v>
      </c>
      <c r="I180" s="182">
        <f>'[1]Sch 3 - Expenses'!I20</f>
        <v>0</v>
      </c>
      <c r="J180" s="182">
        <f>'[1]Sch 3 - Expenses'!J20</f>
        <v>0</v>
      </c>
    </row>
    <row r="181" spans="1:10">
      <c r="A181" s="912"/>
      <c r="B181" s="913" t="s">
        <v>264</v>
      </c>
      <c r="C181" s="888" t="str">
        <f>'[1]Sch 3 - Expenses'!C21</f>
        <v>320-323</v>
      </c>
      <c r="D181" s="888" t="str">
        <f>'[1]Sch 3 - Expenses'!D21</f>
        <v>517-525</v>
      </c>
      <c r="E181" s="182" t="str">
        <f>'[1]Sch 3 - Expenses'!E21</f>
        <v>PROD</v>
      </c>
      <c r="F181" s="889"/>
      <c r="G181" s="182">
        <f>'[1]Sch 3 - Expenses'!G21</f>
        <v>0</v>
      </c>
      <c r="H181" s="182">
        <f>'[1]Sch 3 - Expenses'!H21</f>
        <v>0</v>
      </c>
      <c r="I181" s="182">
        <f>'[1]Sch 3 - Expenses'!I21</f>
        <v>0</v>
      </c>
      <c r="J181" s="182">
        <f>'[1]Sch 3 - Expenses'!J21</f>
        <v>0</v>
      </c>
    </row>
    <row r="182" spans="1:10">
      <c r="A182" s="912"/>
      <c r="B182" s="10" t="s">
        <v>483</v>
      </c>
      <c r="C182" s="888" t="str">
        <f>'[1]Sch 3 - Expenses'!C22</f>
        <v>320-323</v>
      </c>
      <c r="D182" s="888" t="str">
        <f>'[1]Sch 3 - Expenses'!D22</f>
        <v>528-532</v>
      </c>
      <c r="E182" s="182" t="str">
        <f>'[1]Sch 3 - Expenses'!E22</f>
        <v>PROD</v>
      </c>
      <c r="F182" s="889"/>
      <c r="G182" s="182">
        <f>'[1]Sch 3 - Expenses'!G22</f>
        <v>0</v>
      </c>
      <c r="H182" s="182">
        <f>'[1]Sch 3 - Expenses'!H22</f>
        <v>0</v>
      </c>
      <c r="I182" s="182">
        <f>'[1]Sch 3 - Expenses'!I22</f>
        <v>0</v>
      </c>
      <c r="J182" s="182">
        <f>'[1]Sch 3 - Expenses'!J22</f>
        <v>0</v>
      </c>
    </row>
    <row r="183" spans="1:10">
      <c r="A183" s="912"/>
      <c r="B183" s="990" t="s">
        <v>463</v>
      </c>
      <c r="C183" s="55"/>
      <c r="D183" s="55"/>
      <c r="E183" s="196"/>
      <c r="F183" s="196"/>
      <c r="G183" s="68"/>
      <c r="H183" s="68"/>
      <c r="I183" s="68"/>
      <c r="J183" s="991"/>
    </row>
    <row r="184" spans="1:10">
      <c r="A184" s="912"/>
      <c r="B184" s="913" t="s">
        <v>86</v>
      </c>
      <c r="C184" s="888" t="str">
        <f>'[1]Sch 3 - Expenses'!C24</f>
        <v>320-323</v>
      </c>
      <c r="D184" s="888" t="str">
        <f>'[1]Sch 3 - Expenses'!D24</f>
        <v>535-540.1</v>
      </c>
      <c r="E184" s="182" t="str">
        <f>'[1]Sch 3 - Expenses'!E24</f>
        <v>PROD</v>
      </c>
      <c r="F184" s="889"/>
      <c r="G184" s="182">
        <f>'[1]Sch 3 - Expenses'!G24</f>
        <v>29951984</v>
      </c>
      <c r="H184" s="182">
        <f>'[1]Sch 3 - Expenses'!H24</f>
        <v>29951984</v>
      </c>
      <c r="I184" s="182">
        <f>'[1]Sch 3 - Expenses'!I24</f>
        <v>0</v>
      </c>
      <c r="J184" s="182">
        <f>'[1]Sch 3 - Expenses'!J24</f>
        <v>0</v>
      </c>
    </row>
    <row r="185" spans="1:10">
      <c r="A185" s="912"/>
      <c r="B185" s="913" t="s">
        <v>87</v>
      </c>
      <c r="C185" s="888" t="str">
        <f>'[1]Sch 3 - Expenses'!C25</f>
        <v>320-323</v>
      </c>
      <c r="D185" s="888" t="str">
        <f>'[1]Sch 3 - Expenses'!D25</f>
        <v>541-545.1</v>
      </c>
      <c r="E185" s="182" t="str">
        <f>'[1]Sch 3 - Expenses'!E25</f>
        <v>PROD</v>
      </c>
      <c r="F185" s="889"/>
      <c r="G185" s="182">
        <f>'[1]Sch 3 - Expenses'!G25</f>
        <v>5501093</v>
      </c>
      <c r="H185" s="182">
        <f>'[1]Sch 3 - Expenses'!H25</f>
        <v>5501093</v>
      </c>
      <c r="I185" s="182">
        <f>'[1]Sch 3 - Expenses'!I25</f>
        <v>0</v>
      </c>
      <c r="J185" s="182">
        <f>'[1]Sch 3 - Expenses'!J25</f>
        <v>0</v>
      </c>
    </row>
    <row r="186" spans="1:10">
      <c r="A186" s="912"/>
      <c r="B186" s="990" t="s">
        <v>464</v>
      </c>
      <c r="C186" s="55"/>
      <c r="D186" s="55"/>
      <c r="E186" s="196"/>
      <c r="F186" s="196"/>
      <c r="G186" s="68"/>
      <c r="H186" s="68"/>
      <c r="I186" s="68"/>
      <c r="J186" s="991"/>
    </row>
    <row r="187" spans="1:10">
      <c r="A187" s="912"/>
      <c r="B187" s="220" t="s">
        <v>455</v>
      </c>
      <c r="C187" s="888" t="str">
        <f>'[1]Sch 3 - Expenses'!C27</f>
        <v>320-323</v>
      </c>
      <c r="D187" s="888">
        <f>'[1]Sch 3 - Expenses'!D27</f>
        <v>547</v>
      </c>
      <c r="E187" s="182" t="str">
        <f>'[1]Sch 3 - Expenses'!E27</f>
        <v>PROD</v>
      </c>
      <c r="F187" s="889"/>
      <c r="G187" s="182">
        <f>'[1]Sch 3 - Expenses'!G27</f>
        <v>116227146</v>
      </c>
      <c r="H187" s="182">
        <f>'[1]Sch 3 - Expenses'!H27</f>
        <v>116227146</v>
      </c>
      <c r="I187" s="182">
        <f>'[1]Sch 3 - Expenses'!I27</f>
        <v>0</v>
      </c>
      <c r="J187" s="182">
        <f>'[1]Sch 3 - Expenses'!J27</f>
        <v>0</v>
      </c>
    </row>
    <row r="188" spans="1:10">
      <c r="A188" s="912"/>
      <c r="B188" s="913" t="s">
        <v>263</v>
      </c>
      <c r="C188" s="888" t="str">
        <f>'[1]Sch 3 - Expenses'!C28</f>
        <v>320-323</v>
      </c>
      <c r="D188" s="888" t="str">
        <f>'[1]Sch 3 - Expenses'!D28</f>
        <v>546-550.1</v>
      </c>
      <c r="E188" s="182" t="str">
        <f>'[1]Sch 3 - Expenses'!E28</f>
        <v>PROD</v>
      </c>
      <c r="F188" s="889"/>
      <c r="G188" s="182">
        <f>'[1]Sch 3 - Expenses'!G28</f>
        <v>5842028</v>
      </c>
      <c r="H188" s="182">
        <f>'[1]Sch 3 - Expenses'!H28</f>
        <v>5842028</v>
      </c>
      <c r="I188" s="182">
        <f>'[1]Sch 3 - Expenses'!I28</f>
        <v>0</v>
      </c>
      <c r="J188" s="182">
        <f>'[1]Sch 3 - Expenses'!J28</f>
        <v>0</v>
      </c>
    </row>
    <row r="189" spans="1:10">
      <c r="A189" s="912"/>
      <c r="B189" s="913" t="s">
        <v>265</v>
      </c>
      <c r="C189" s="888" t="str">
        <f>'[1]Sch 3 - Expenses'!C29</f>
        <v>320-323</v>
      </c>
      <c r="D189" s="888" t="str">
        <f>'[1]Sch 3 - Expenses'!D29</f>
        <v>551-554.1</v>
      </c>
      <c r="E189" s="182" t="str">
        <f>'[1]Sch 3 - Expenses'!E29</f>
        <v>PROD</v>
      </c>
      <c r="F189" s="889"/>
      <c r="G189" s="182">
        <f>'[1]Sch 3 - Expenses'!G29</f>
        <v>3782274</v>
      </c>
      <c r="H189" s="182">
        <f>'[1]Sch 3 - Expenses'!H29</f>
        <v>3782274</v>
      </c>
      <c r="I189" s="182">
        <f>'[1]Sch 3 - Expenses'!I29</f>
        <v>0</v>
      </c>
      <c r="J189" s="182">
        <f>'[1]Sch 3 - Expenses'!J29</f>
        <v>0</v>
      </c>
    </row>
    <row r="190" spans="1:10">
      <c r="A190" s="912"/>
      <c r="B190" s="990" t="s">
        <v>458</v>
      </c>
      <c r="C190" s="55"/>
      <c r="D190" s="55"/>
      <c r="E190" s="196"/>
      <c r="F190" s="196"/>
      <c r="G190" s="68"/>
      <c r="H190" s="68"/>
      <c r="I190" s="68"/>
      <c r="J190" s="991"/>
    </row>
    <row r="191" spans="1:10">
      <c r="A191" s="912"/>
      <c r="B191" s="220" t="s">
        <v>266</v>
      </c>
      <c r="C191" s="888" t="str">
        <f>'[1]Sch 3 - Expenses'!C31</f>
        <v>320-323</v>
      </c>
      <c r="D191" s="888">
        <f>'[1]Sch 3 - Expenses'!D31</f>
        <v>555</v>
      </c>
      <c r="E191" s="182" t="str">
        <f>'[1]Sch 3 - Expenses'!E31</f>
        <v>PROD</v>
      </c>
      <c r="F191" s="889"/>
      <c r="G191" s="182" t="e">
        <f>'[1]Sch 3 - Expenses'!G31</f>
        <v>#REF!</v>
      </c>
      <c r="H191" s="182" t="e">
        <f>'[1]Sch 3 - Expenses'!H31</f>
        <v>#REF!</v>
      </c>
      <c r="I191" s="182" t="e">
        <f>'[1]Sch 3 - Expenses'!I31</f>
        <v>#REF!</v>
      </c>
      <c r="J191" s="182" t="e">
        <f>'[1]Sch 3 - Expenses'!J31</f>
        <v>#REF!</v>
      </c>
    </row>
    <row r="192" spans="1:10">
      <c r="A192" s="912"/>
      <c r="B192" s="913" t="s">
        <v>459</v>
      </c>
      <c r="C192" s="888" t="str">
        <f>'[1]Sch 3 - Expenses'!C32</f>
        <v>320-323</v>
      </c>
      <c r="D192" s="888">
        <f>'[1]Sch 3 - Expenses'!D32</f>
        <v>556</v>
      </c>
      <c r="E192" s="182" t="str">
        <f>'[1]Sch 3 - Expenses'!E32</f>
        <v>PROD</v>
      </c>
      <c r="F192" s="889"/>
      <c r="G192" s="182">
        <f>'[1]Sch 3 - Expenses'!G32</f>
        <v>764664</v>
      </c>
      <c r="H192" s="182">
        <f>'[1]Sch 3 - Expenses'!H32</f>
        <v>764664</v>
      </c>
      <c r="I192" s="182">
        <f>'[1]Sch 3 - Expenses'!I32</f>
        <v>0</v>
      </c>
      <c r="J192" s="182">
        <f>'[1]Sch 3 - Expenses'!J32</f>
        <v>0</v>
      </c>
    </row>
    <row r="193" spans="1:10">
      <c r="A193" s="912"/>
      <c r="B193" s="913" t="s">
        <v>267</v>
      </c>
      <c r="C193" s="888" t="str">
        <f>'[1]Sch 3 - Expenses'!C33</f>
        <v>320-323</v>
      </c>
      <c r="D193" s="888">
        <f>'[1]Sch 3 - Expenses'!D33</f>
        <v>557</v>
      </c>
      <c r="E193" s="182" t="str">
        <f>'[1]Sch 3 - Expenses'!E33</f>
        <v>PROD</v>
      </c>
      <c r="F193" s="889"/>
      <c r="G193" s="182">
        <f>'[1]Sch 3 - Expenses'!G33</f>
        <v>38247947</v>
      </c>
      <c r="H193" s="182">
        <f>'[1]Sch 3 - Expenses'!H33</f>
        <v>38247947</v>
      </c>
      <c r="I193" s="182">
        <f>'[1]Sch 3 - Expenses'!I33</f>
        <v>0</v>
      </c>
      <c r="J193" s="182">
        <f>'[1]Sch 3 - Expenses'!J33</f>
        <v>0</v>
      </c>
    </row>
    <row r="194" spans="1:10">
      <c r="A194" s="912"/>
      <c r="B194" s="220" t="s">
        <v>52</v>
      </c>
      <c r="C194" s="888">
        <f>'[1]Sch 3 - Expenses'!C34</f>
        <v>327</v>
      </c>
      <c r="D194" s="888">
        <f>'[1]Sch 3 - Expenses'!D34</f>
        <v>555</v>
      </c>
      <c r="E194" s="182" t="str">
        <f>'[1]Sch 3 - Expenses'!E34</f>
        <v>PROD</v>
      </c>
      <c r="F194" s="889"/>
      <c r="G194" s="182">
        <f>'[1]Sch 3 - Expenses'!G34</f>
        <v>0</v>
      </c>
      <c r="H194" s="182">
        <f>'[1]Sch 3 - Expenses'!H34</f>
        <v>0</v>
      </c>
      <c r="I194" s="182">
        <f>'[1]Sch 3 - Expenses'!I34</f>
        <v>0</v>
      </c>
      <c r="J194" s="182">
        <f>'[1]Sch 3 - Expenses'!J34</f>
        <v>0</v>
      </c>
    </row>
    <row r="195" spans="1:10">
      <c r="A195" s="912"/>
      <c r="B195" s="913" t="s">
        <v>506</v>
      </c>
      <c r="C195" s="888">
        <f>'[1]Sch 3 - Expenses'!C35</f>
        <v>0</v>
      </c>
      <c r="D195" s="889">
        <f>'[1]Sch 3 - Expenses'!D35</f>
        <v>0</v>
      </c>
      <c r="E195" s="182" t="str">
        <f>'[1]Sch 3 - Expenses'!E35</f>
        <v>DIRECT</v>
      </c>
      <c r="F195" s="889" t="str">
        <f>'[1]Sch 3 - Expenses'!F35</f>
        <v>DIST</v>
      </c>
      <c r="G195" s="182">
        <f>'[1]Sch 3 - Expenses'!G35</f>
        <v>0</v>
      </c>
      <c r="H195" s="182">
        <f>'[1]Sch 3 - Expenses'!H35</f>
        <v>0</v>
      </c>
      <c r="I195" s="182">
        <f>'[1]Sch 3 - Expenses'!I35</f>
        <v>0</v>
      </c>
      <c r="J195" s="182">
        <f>'[1]Sch 3 - Expenses'!J35</f>
        <v>0</v>
      </c>
    </row>
    <row r="196" spans="1:10">
      <c r="A196" s="163" t="s">
        <v>485</v>
      </c>
      <c r="B196" s="10"/>
      <c r="C196" s="914"/>
      <c r="D196" s="915"/>
      <c r="E196" s="915"/>
      <c r="F196" s="916"/>
      <c r="G196" s="1684" t="e">
        <f>'[1]Sch 3 - Expenses'!G36</f>
        <v>#REF!</v>
      </c>
      <c r="H196" s="1684" t="e">
        <f>'[1]Sch 3 - Expenses'!H36</f>
        <v>#REF!</v>
      </c>
      <c r="I196" s="1684" t="e">
        <f>'[1]Sch 3 - Expenses'!I36</f>
        <v>#REF!</v>
      </c>
      <c r="J196" s="1685" t="e">
        <f>'[1]Sch 3 - Expenses'!J36</f>
        <v>#REF!</v>
      </c>
    </row>
    <row r="197" spans="1:10">
      <c r="A197" s="228"/>
      <c r="B197" s="10"/>
      <c r="C197" s="55"/>
      <c r="D197" s="55"/>
      <c r="E197" s="64"/>
      <c r="F197" s="64"/>
      <c r="G197" s="989"/>
      <c r="H197" s="1686"/>
      <c r="I197" s="1686"/>
      <c r="J197" s="1687"/>
    </row>
    <row r="198" spans="1:10">
      <c r="A198" s="160" t="s">
        <v>505</v>
      </c>
      <c r="B198" s="10"/>
      <c r="C198" s="55"/>
      <c r="D198" s="196"/>
      <c r="E198" s="10"/>
      <c r="F198" s="10"/>
      <c r="G198" s="989"/>
      <c r="H198" s="1686"/>
      <c r="I198" s="1686"/>
      <c r="J198" s="1687"/>
    </row>
    <row r="199" spans="1:10">
      <c r="A199" s="912"/>
      <c r="B199" s="913" t="s">
        <v>402</v>
      </c>
      <c r="C199" s="888" t="str">
        <f>'[1]Sch 3 - Expenses'!C39</f>
        <v>320-323</v>
      </c>
      <c r="D199" s="888" t="str">
        <f>'[1]Sch 3 - Expenses'!D39</f>
        <v>565</v>
      </c>
      <c r="E199" s="182" t="str">
        <f>'[1]Sch 3 - Expenses'!E39</f>
        <v>TRANS</v>
      </c>
      <c r="F199" s="889"/>
      <c r="G199" s="182">
        <f>'[1]Sch 3 - Expenses'!G39</f>
        <v>19063436</v>
      </c>
      <c r="H199" s="182">
        <f>'[1]Sch 3 - Expenses'!H39</f>
        <v>0</v>
      </c>
      <c r="I199" s="182">
        <f>'[1]Sch 3 - Expenses'!I39</f>
        <v>19063436</v>
      </c>
      <c r="J199" s="182">
        <f>'[1]Sch 3 - Expenses'!J39</f>
        <v>0</v>
      </c>
    </row>
    <row r="200" spans="1:10">
      <c r="A200" s="912"/>
      <c r="B200" s="913" t="s">
        <v>465</v>
      </c>
      <c r="C200" s="888" t="str">
        <f>'[1]Sch 3 - Expenses'!C40</f>
        <v>320-323</v>
      </c>
      <c r="D200" s="888" t="str">
        <f>'[1]Sch 3 - Expenses'!D40</f>
        <v>560-567.1</v>
      </c>
      <c r="E200" s="182" t="str">
        <f>'[1]Sch 3 - Expenses'!E40</f>
        <v>TRANS</v>
      </c>
      <c r="F200" s="889"/>
      <c r="G200" s="182">
        <f>'[1]Sch 3 - Expenses'!G40</f>
        <v>10227273</v>
      </c>
      <c r="H200" s="182">
        <f>'[1]Sch 3 - Expenses'!H40</f>
        <v>0</v>
      </c>
      <c r="I200" s="182">
        <f>'[1]Sch 3 - Expenses'!I40</f>
        <v>10227273</v>
      </c>
      <c r="J200" s="182">
        <f>'[1]Sch 3 - Expenses'!J40</f>
        <v>0</v>
      </c>
    </row>
    <row r="201" spans="1:10">
      <c r="A201" s="912"/>
      <c r="B201" s="913" t="s">
        <v>466</v>
      </c>
      <c r="C201" s="888" t="str">
        <f>'[1]Sch 3 - Expenses'!C41</f>
        <v>320-323</v>
      </c>
      <c r="D201" s="888" t="str">
        <f>'[1]Sch 3 - Expenses'!D41</f>
        <v>568-574</v>
      </c>
      <c r="E201" s="182" t="str">
        <f>'[1]Sch 3 - Expenses'!E41</f>
        <v>TRANS</v>
      </c>
      <c r="F201" s="889"/>
      <c r="G201" s="182">
        <f>'[1]Sch 3 - Expenses'!G41</f>
        <v>4374909</v>
      </c>
      <c r="H201" s="182">
        <f>'[1]Sch 3 - Expenses'!H41</f>
        <v>0</v>
      </c>
      <c r="I201" s="182">
        <f>'[1]Sch 3 - Expenses'!I41</f>
        <v>4374909</v>
      </c>
      <c r="J201" s="182">
        <f>'[1]Sch 3 - Expenses'!J41</f>
        <v>0</v>
      </c>
    </row>
    <row r="202" spans="1:10">
      <c r="A202" s="163" t="s">
        <v>487</v>
      </c>
      <c r="B202" s="10"/>
      <c r="C202" s="914"/>
      <c r="D202" s="915"/>
      <c r="E202" s="915"/>
      <c r="F202" s="916"/>
      <c r="G202" s="1684">
        <f>'[1]Sch 3 - Expenses'!G42</f>
        <v>33665618</v>
      </c>
      <c r="H202" s="1684">
        <f>'[1]Sch 3 - Expenses'!H42</f>
        <v>0</v>
      </c>
      <c r="I202" s="1684">
        <f>'[1]Sch 3 - Expenses'!I42</f>
        <v>33665618</v>
      </c>
      <c r="J202" s="1685">
        <f>'[1]Sch 3 - Expenses'!J42</f>
        <v>0</v>
      </c>
    </row>
    <row r="203" spans="1:10" ht="16.5" thickBot="1">
      <c r="A203" s="994"/>
      <c r="B203" s="995"/>
      <c r="C203" s="932"/>
      <c r="D203" s="932"/>
      <c r="E203" s="931"/>
      <c r="F203" s="931"/>
      <c r="G203" s="996"/>
      <c r="H203" s="1692"/>
      <c r="I203" s="1692"/>
      <c r="J203" s="1695"/>
    </row>
    <row r="204" spans="1:10" ht="16.5" thickTop="1">
      <c r="A204" s="160" t="s">
        <v>488</v>
      </c>
      <c r="B204" s="10"/>
      <c r="C204" s="55"/>
      <c r="D204" s="196"/>
      <c r="E204" s="10"/>
      <c r="F204" s="10"/>
      <c r="G204" s="989"/>
      <c r="H204" s="1686"/>
      <c r="I204" s="1686"/>
      <c r="J204" s="1687"/>
    </row>
    <row r="205" spans="1:10">
      <c r="A205" s="912"/>
      <c r="B205" s="913" t="s">
        <v>467</v>
      </c>
      <c r="C205" s="888" t="str">
        <f>'[1]Sch 3 - Expenses'!C45</f>
        <v>320-323</v>
      </c>
      <c r="D205" s="888" t="str">
        <f>'[1]Sch 3 - Expenses'!D45</f>
        <v>580-589</v>
      </c>
      <c r="E205" s="182" t="str">
        <f>'[1]Sch 3 - Expenses'!E45</f>
        <v>DIST</v>
      </c>
      <c r="F205" s="889"/>
      <c r="G205" s="182">
        <f>'[1]Sch 3 - Expenses'!G45</f>
        <v>23429072</v>
      </c>
      <c r="H205" s="182">
        <f>'[1]Sch 3 - Expenses'!H45</f>
        <v>0</v>
      </c>
      <c r="I205" s="182">
        <f>'[1]Sch 3 - Expenses'!I45</f>
        <v>0</v>
      </c>
      <c r="J205" s="182">
        <f>'[1]Sch 3 - Expenses'!J45</f>
        <v>23429072</v>
      </c>
    </row>
    <row r="206" spans="1:10">
      <c r="A206" s="912"/>
      <c r="B206" s="913" t="s">
        <v>466</v>
      </c>
      <c r="C206" s="888" t="str">
        <f>'[1]Sch 3 - Expenses'!C46</f>
        <v>320-323</v>
      </c>
      <c r="D206" s="888" t="str">
        <f>'[1]Sch 3 - Expenses'!D46</f>
        <v>590-598</v>
      </c>
      <c r="E206" s="182" t="str">
        <f>'[1]Sch 3 - Expenses'!E46</f>
        <v>DIST</v>
      </c>
      <c r="F206" s="889"/>
      <c r="G206" s="182">
        <f>'[1]Sch 3 - Expenses'!G46</f>
        <v>32595713.199999999</v>
      </c>
      <c r="H206" s="182">
        <f>'[1]Sch 3 - Expenses'!H46</f>
        <v>0</v>
      </c>
      <c r="I206" s="182">
        <f>'[1]Sch 3 - Expenses'!I46</f>
        <v>0</v>
      </c>
      <c r="J206" s="182">
        <f>'[1]Sch 3 - Expenses'!J46</f>
        <v>32595713.199999999</v>
      </c>
    </row>
    <row r="207" spans="1:10">
      <c r="A207" s="163" t="s">
        <v>491</v>
      </c>
      <c r="B207" s="10"/>
      <c r="C207" s="914"/>
      <c r="D207" s="915"/>
      <c r="E207" s="915"/>
      <c r="F207" s="916"/>
      <c r="G207" s="1684">
        <f>'[1]Sch 3 - Expenses'!G47</f>
        <v>56024785.200000003</v>
      </c>
      <c r="H207" s="1684">
        <f>'[1]Sch 3 - Expenses'!H47</f>
        <v>0</v>
      </c>
      <c r="I207" s="1684">
        <f>'[1]Sch 3 - Expenses'!I47</f>
        <v>0</v>
      </c>
      <c r="J207" s="1685">
        <f>'[1]Sch 3 - Expenses'!J47</f>
        <v>56024785.200000003</v>
      </c>
    </row>
    <row r="208" spans="1:10">
      <c r="A208" s="228"/>
      <c r="B208" s="10"/>
      <c r="C208" s="55"/>
      <c r="D208" s="55"/>
      <c r="E208" s="55"/>
      <c r="F208" s="55"/>
      <c r="G208" s="998"/>
      <c r="H208" s="56"/>
      <c r="I208" s="56"/>
      <c r="J208" s="999"/>
    </row>
    <row r="209" spans="1:10">
      <c r="A209" s="160" t="s">
        <v>492</v>
      </c>
      <c r="B209" s="10"/>
      <c r="C209" s="55"/>
      <c r="D209" s="55"/>
      <c r="E209" s="55"/>
      <c r="F209" s="55"/>
      <c r="G209" s="998"/>
      <c r="H209" s="56"/>
      <c r="I209" s="56"/>
      <c r="J209" s="999"/>
    </row>
    <row r="210" spans="1:10">
      <c r="A210" s="912"/>
      <c r="B210" s="913" t="s">
        <v>468</v>
      </c>
      <c r="C210" s="888" t="str">
        <f>'[1]Sch 3 - Expenses'!C50</f>
        <v>320-323</v>
      </c>
      <c r="D210" s="888" t="str">
        <f>'[1]Sch 3 - Expenses'!D50</f>
        <v>901-905</v>
      </c>
      <c r="E210" s="182" t="str">
        <f>'[1]Sch 3 - Expenses'!E50</f>
        <v>DIST</v>
      </c>
      <c r="F210" s="889"/>
      <c r="G210" s="182">
        <f>'[1]Sch 3 - Expenses'!G50</f>
        <v>10411205</v>
      </c>
      <c r="H210" s="182">
        <f>'[1]Sch 3 - Expenses'!H50</f>
        <v>0</v>
      </c>
      <c r="I210" s="182">
        <f>'[1]Sch 3 - Expenses'!I50</f>
        <v>0</v>
      </c>
      <c r="J210" s="182">
        <f>'[1]Sch 3 - Expenses'!J50</f>
        <v>10411205</v>
      </c>
    </row>
    <row r="211" spans="1:10">
      <c r="A211" s="912"/>
      <c r="B211" s="913" t="s">
        <v>172</v>
      </c>
      <c r="C211" s="888" t="str">
        <f>'[1]Sch 3 - Expenses'!C51</f>
        <v>320-323</v>
      </c>
      <c r="D211" s="888" t="str">
        <f>'[1]Sch 3 - Expenses'!D51</f>
        <v>906-907</v>
      </c>
      <c r="E211" s="182" t="str">
        <f>'[1]Sch 3 - Expenses'!E51</f>
        <v>DIST</v>
      </c>
      <c r="F211" s="889"/>
      <c r="G211" s="182">
        <f>'[1]Sch 3 - Expenses'!G51</f>
        <v>0</v>
      </c>
      <c r="H211" s="182">
        <f>'[1]Sch 3 - Expenses'!H51</f>
        <v>0</v>
      </c>
      <c r="I211" s="182">
        <f>'[1]Sch 3 - Expenses'!I51</f>
        <v>0</v>
      </c>
      <c r="J211" s="182">
        <f>'[1]Sch 3 - Expenses'!J51</f>
        <v>0</v>
      </c>
    </row>
    <row r="212" spans="1:10">
      <c r="A212" s="912"/>
      <c r="B212" s="913" t="s">
        <v>631</v>
      </c>
      <c r="C212" s="888" t="str">
        <f>'[1]Sch 3 - Expenses'!C52</f>
        <v>320-323</v>
      </c>
      <c r="D212" s="888">
        <f>'[1]Sch 3 - Expenses'!D52</f>
        <v>908</v>
      </c>
      <c r="E212" s="182" t="str">
        <f>'[1]Sch 3 - Expenses'!E52</f>
        <v>DIRECT</v>
      </c>
      <c r="F212" s="889" t="str">
        <f>'[1]Sch 3 - Expenses'!F52</f>
        <v>DIRECT</v>
      </c>
      <c r="G212" s="182">
        <f>'[1]Sch 3 - Expenses'!G52</f>
        <v>31870071.329999998</v>
      </c>
      <c r="H212" s="182">
        <f>'[1]Sch 3 - Expenses'!H52</f>
        <v>31287134.193455175</v>
      </c>
      <c r="I212" s="182">
        <f>'[1]Sch 3 - Expenses'!I52</f>
        <v>0</v>
      </c>
      <c r="J212" s="182">
        <f>'[1]Sch 3 - Expenses'!J52</f>
        <v>6399224.8113431837</v>
      </c>
    </row>
    <row r="213" spans="1:10">
      <c r="A213" s="912"/>
      <c r="B213" s="913" t="s">
        <v>172</v>
      </c>
      <c r="C213" s="888" t="str">
        <f>'[1]Sch 3 - Expenses'!C53</f>
        <v>320-323</v>
      </c>
      <c r="D213" s="888" t="str">
        <f>'[1]Sch 3 - Expenses'!D53</f>
        <v>909-910</v>
      </c>
      <c r="E213" s="182" t="str">
        <f>'[1]Sch 3 - Expenses'!E53</f>
        <v>DIST</v>
      </c>
      <c r="F213" s="889" t="str">
        <f>'[1]Sch 3 - Expenses'!F53</f>
        <v>DIRECT</v>
      </c>
      <c r="G213" s="182">
        <f>'[1]Sch 3 - Expenses'!G53</f>
        <v>1095949.52</v>
      </c>
      <c r="H213" s="182">
        <f>'[1]Sch 3 - Expenses'!H53</f>
        <v>0</v>
      </c>
      <c r="I213" s="182">
        <f>'[1]Sch 3 - Expenses'!I53</f>
        <v>0</v>
      </c>
      <c r="J213" s="182">
        <f>'[1]Sch 3 - Expenses'!J53</f>
        <v>1095949.52</v>
      </c>
    </row>
    <row r="214" spans="1:10">
      <c r="A214" s="912"/>
      <c r="B214" s="913" t="s">
        <v>400</v>
      </c>
      <c r="C214" s="888" t="str">
        <f>'[1]Sch 3 - Expenses'!C54</f>
        <v>320-323</v>
      </c>
      <c r="D214" s="888" t="str">
        <f>'[1]Sch 3 - Expenses'!D54</f>
        <v>911-917</v>
      </c>
      <c r="E214" s="182" t="str">
        <f>'[1]Sch 3 - Expenses'!E54</f>
        <v>DIST</v>
      </c>
      <c r="F214" s="889"/>
      <c r="G214" s="182">
        <f>'[1]Sch 3 - Expenses'!G54</f>
        <v>43646</v>
      </c>
      <c r="H214" s="182">
        <f>'[1]Sch 3 - Expenses'!H54</f>
        <v>0</v>
      </c>
      <c r="I214" s="182">
        <f>'[1]Sch 3 - Expenses'!I54</f>
        <v>0</v>
      </c>
      <c r="J214" s="182">
        <f>'[1]Sch 3 - Expenses'!J54</f>
        <v>43646</v>
      </c>
    </row>
    <row r="215" spans="1:10">
      <c r="A215" s="163" t="s">
        <v>494</v>
      </c>
      <c r="B215" s="10"/>
      <c r="C215" s="914"/>
      <c r="D215" s="915"/>
      <c r="E215" s="915"/>
      <c r="F215" s="916"/>
      <c r="G215" s="1684">
        <f>'[1]Sch 3 - Expenses'!G55</f>
        <v>43420871.850000001</v>
      </c>
      <c r="H215" s="1684">
        <f>'[1]Sch 3 - Expenses'!H55</f>
        <v>31287134.193455175</v>
      </c>
      <c r="I215" s="1684">
        <f>'[1]Sch 3 - Expenses'!I55</f>
        <v>0</v>
      </c>
      <c r="J215" s="1685">
        <f>'[1]Sch 3 - Expenses'!J55</f>
        <v>17950025.331343185</v>
      </c>
    </row>
    <row r="216" spans="1:10">
      <c r="A216" s="228"/>
      <c r="B216" s="10"/>
      <c r="C216" s="55"/>
      <c r="D216" s="196"/>
      <c r="E216" s="196"/>
      <c r="F216" s="196"/>
      <c r="G216" s="998"/>
      <c r="H216" s="56"/>
      <c r="I216" s="56"/>
      <c r="J216" s="999"/>
    </row>
    <row r="217" spans="1:10">
      <c r="A217" s="160" t="s">
        <v>495</v>
      </c>
      <c r="B217" s="10"/>
      <c r="C217" s="55"/>
      <c r="D217" s="196"/>
      <c r="E217" s="10"/>
      <c r="F217" s="10"/>
      <c r="G217" s="989"/>
      <c r="H217" s="1686"/>
      <c r="I217" s="1686"/>
      <c r="J217" s="1687"/>
    </row>
    <row r="218" spans="1:10">
      <c r="A218" s="160"/>
      <c r="B218" s="990" t="s">
        <v>441</v>
      </c>
      <c r="C218" s="55"/>
      <c r="D218" s="196"/>
      <c r="E218" s="10"/>
      <c r="F218" s="10"/>
      <c r="G218" s="989"/>
      <c r="H218" s="1686"/>
      <c r="I218" s="1686"/>
      <c r="J218" s="1687"/>
    </row>
    <row r="219" spans="1:10">
      <c r="A219" s="912"/>
      <c r="B219" s="913" t="s">
        <v>163</v>
      </c>
      <c r="C219" s="888" t="str">
        <f>'[1]Sch 3 - Expenses'!C59</f>
        <v>320-323</v>
      </c>
      <c r="D219" s="888">
        <f>'[1]Sch 3 - Expenses'!D59</f>
        <v>920</v>
      </c>
      <c r="E219" s="182" t="str">
        <f>'[1]Sch 3 - Expenses'!E59</f>
        <v>LABOR</v>
      </c>
      <c r="F219" s="889"/>
      <c r="G219" s="182">
        <f>'[1]Sch 3 - Expenses'!G59</f>
        <v>32491999.100000001</v>
      </c>
      <c r="H219" s="182">
        <f>'[1]Sch 3 - Expenses'!H59</f>
        <v>11894366.986961963</v>
      </c>
      <c r="I219" s="182">
        <f>'[1]Sch 3 - Expenses'!I59</f>
        <v>5181705.0276132524</v>
      </c>
      <c r="J219" s="182">
        <f>'[1]Sch 3 - Expenses'!J59</f>
        <v>15415927.085424785</v>
      </c>
    </row>
    <row r="220" spans="1:10">
      <c r="A220" s="912"/>
      <c r="B220" s="913" t="s">
        <v>164</v>
      </c>
      <c r="C220" s="888" t="str">
        <f>'[1]Sch 3 - Expenses'!C60</f>
        <v>320-323</v>
      </c>
      <c r="D220" s="888">
        <f>'[1]Sch 3 - Expenses'!D60</f>
        <v>921</v>
      </c>
      <c r="E220" s="182" t="str">
        <f>'[1]Sch 3 - Expenses'!E60</f>
        <v>LABOR</v>
      </c>
      <c r="F220" s="889"/>
      <c r="G220" s="182">
        <f>'[1]Sch 3 - Expenses'!G60</f>
        <v>3924957.88</v>
      </c>
      <c r="H220" s="182">
        <f>'[1]Sch 3 - Expenses'!H60</f>
        <v>1436811.8529551544</v>
      </c>
      <c r="I220" s="182">
        <f>'[1]Sch 3 - Expenses'!I60</f>
        <v>625937.90912564239</v>
      </c>
      <c r="J220" s="182">
        <f>'[1]Sch 3 - Expenses'!J60</f>
        <v>1862208.1179192031</v>
      </c>
    </row>
    <row r="221" spans="1:10">
      <c r="A221" s="912"/>
      <c r="B221" s="913" t="s">
        <v>165</v>
      </c>
      <c r="C221" s="888" t="str">
        <f>'[1]Sch 3 - Expenses'!C61</f>
        <v>320-323</v>
      </c>
      <c r="D221" s="888">
        <f>'[1]Sch 3 - Expenses'!D61</f>
        <v>922</v>
      </c>
      <c r="E221" s="182" t="str">
        <f>'[1]Sch 3 - Expenses'!E61</f>
        <v>LABOR</v>
      </c>
      <c r="F221" s="889"/>
      <c r="G221" s="182">
        <f>'[1]Sch 3 - Expenses'!G61</f>
        <v>-114021.94</v>
      </c>
      <c r="H221" s="182">
        <f>'[1]Sch 3 - Expenses'!H61</f>
        <v>-41740.084836003756</v>
      </c>
      <c r="I221" s="182">
        <f>'[1]Sch 3 - Expenses'!I61</f>
        <v>-18183.801431787451</v>
      </c>
      <c r="J221" s="182">
        <f>'[1]Sch 3 - Expenses'!J61</f>
        <v>-54098.053732208791</v>
      </c>
    </row>
    <row r="222" spans="1:10">
      <c r="A222" s="912"/>
      <c r="B222" s="913" t="s">
        <v>166</v>
      </c>
      <c r="C222" s="888" t="str">
        <f>'[1]Sch 3 - Expenses'!C62</f>
        <v>320-323</v>
      </c>
      <c r="D222" s="888">
        <f>'[1]Sch 3 - Expenses'!D62</f>
        <v>923</v>
      </c>
      <c r="E222" s="182" t="str">
        <f>'[1]Sch 3 - Expenses'!E62</f>
        <v>LABOR</v>
      </c>
      <c r="F222" s="889"/>
      <c r="G222" s="182">
        <f>'[1]Sch 3 - Expenses'!G62</f>
        <v>14933868.609999999</v>
      </c>
      <c r="H222" s="182">
        <f>'[1]Sch 3 - Expenses'!H62</f>
        <v>5466850.8772183098</v>
      </c>
      <c r="I222" s="182">
        <f>'[1]Sch 3 - Expenses'!I62</f>
        <v>2381598.6766462987</v>
      </c>
      <c r="J222" s="182">
        <f>'[1]Sch 3 - Expenses'!J62</f>
        <v>7085419.0561353909</v>
      </c>
    </row>
    <row r="223" spans="1:10">
      <c r="A223" s="912"/>
      <c r="B223" s="913" t="s">
        <v>167</v>
      </c>
      <c r="C223" s="888" t="str">
        <f>'[1]Sch 3 - Expenses'!C63</f>
        <v>320-323</v>
      </c>
      <c r="D223" s="888">
        <f>'[1]Sch 3 - Expenses'!D63</f>
        <v>924</v>
      </c>
      <c r="E223" s="182" t="str">
        <f>'[1]Sch 3 - Expenses'!E63</f>
        <v>PTDG</v>
      </c>
      <c r="F223" s="889"/>
      <c r="G223" s="182">
        <f>'[1]Sch 3 - Expenses'!G63</f>
        <v>2806700.76</v>
      </c>
      <c r="H223" s="182">
        <f>'[1]Sch 3 - Expenses'!H63</f>
        <v>889504.49976737075</v>
      </c>
      <c r="I223" s="182">
        <f>'[1]Sch 3 - Expenses'!I63</f>
        <v>582453.68750774465</v>
      </c>
      <c r="J223" s="182">
        <f>'[1]Sch 3 - Expenses'!J63</f>
        <v>1316459.571307387</v>
      </c>
    </row>
    <row r="224" spans="1:10">
      <c r="A224" s="912"/>
      <c r="B224" s="913" t="s">
        <v>469</v>
      </c>
      <c r="C224" s="888" t="str">
        <f>'[1]Sch 3 - Expenses'!C64</f>
        <v>320-323</v>
      </c>
      <c r="D224" s="888">
        <f>'[1]Sch 3 - Expenses'!D64</f>
        <v>925</v>
      </c>
      <c r="E224" s="182" t="str">
        <f>'[1]Sch 3 - Expenses'!E64</f>
        <v>LABOR</v>
      </c>
      <c r="F224" s="889"/>
      <c r="G224" s="182">
        <f>'[1]Sch 3 - Expenses'!G64</f>
        <v>10784298.52</v>
      </c>
      <c r="H224" s="182">
        <f>'[1]Sch 3 - Expenses'!H64</f>
        <v>3947815.0882329289</v>
      </c>
      <c r="I224" s="182">
        <f>'[1]Sch 3 - Expenses'!I64</f>
        <v>1719840.4348215729</v>
      </c>
      <c r="J224" s="182">
        <f>'[1]Sch 3 - Expenses'!J64</f>
        <v>5116642.9969454976</v>
      </c>
    </row>
    <row r="225" spans="1:10">
      <c r="A225" s="912"/>
      <c r="B225" s="913" t="s">
        <v>470</v>
      </c>
      <c r="C225" s="888" t="str">
        <f>'[1]Sch 3 - Expenses'!C65</f>
        <v>320-323</v>
      </c>
      <c r="D225" s="888">
        <f>'[1]Sch 3 - Expenses'!D65</f>
        <v>926</v>
      </c>
      <c r="E225" s="182" t="str">
        <f>'[1]Sch 3 - Expenses'!E65</f>
        <v>LABOR</v>
      </c>
      <c r="F225" s="889"/>
      <c r="G225" s="182">
        <f>'[1]Sch 3 - Expenses'!G65</f>
        <v>28096653.760000002</v>
      </c>
      <c r="H225" s="182">
        <f>'[1]Sch 3 - Expenses'!H65</f>
        <v>10285360.094296098</v>
      </c>
      <c r="I225" s="182">
        <f>'[1]Sch 3 - Expenses'!I65</f>
        <v>4480751.4489713497</v>
      </c>
      <c r="J225" s="182">
        <f>'[1]Sch 3 - Expenses'!J65</f>
        <v>13330542.216732554</v>
      </c>
    </row>
    <row r="226" spans="1:10">
      <c r="A226" s="912"/>
      <c r="B226" s="913" t="s">
        <v>471</v>
      </c>
      <c r="C226" s="888" t="str">
        <f>'[1]Sch 3 - Expenses'!C66</f>
        <v>320-323</v>
      </c>
      <c r="D226" s="888">
        <f>'[1]Sch 3 - Expenses'!D66</f>
        <v>927</v>
      </c>
      <c r="E226" s="182" t="str">
        <f>'[1]Sch 3 - Expenses'!E66</f>
        <v>DIST</v>
      </c>
      <c r="F226" s="889"/>
      <c r="G226" s="182">
        <f>'[1]Sch 3 - Expenses'!G66</f>
        <v>1200</v>
      </c>
      <c r="H226" s="182">
        <f>'[1]Sch 3 - Expenses'!H66</f>
        <v>0</v>
      </c>
      <c r="I226" s="182">
        <f>'[1]Sch 3 - Expenses'!I66</f>
        <v>0</v>
      </c>
      <c r="J226" s="182">
        <f>'[1]Sch 3 - Expenses'!J66</f>
        <v>1200</v>
      </c>
    </row>
    <row r="227" spans="1:10">
      <c r="A227" s="912"/>
      <c r="B227" s="913" t="s">
        <v>473</v>
      </c>
      <c r="C227" s="888" t="str">
        <f>'[1]Sch 3 - Expenses'!C67</f>
        <v>320-323</v>
      </c>
      <c r="D227" s="888">
        <f>'[1]Sch 3 - Expenses'!D67</f>
        <v>928</v>
      </c>
      <c r="E227" s="182" t="str">
        <f>'[1]Sch 3 - Expenses'!E67</f>
        <v>DIST</v>
      </c>
      <c r="F227" s="889"/>
      <c r="G227" s="182">
        <f>'[1]Sch 3 - Expenses'!G67</f>
        <v>8387545.0899999999</v>
      </c>
      <c r="H227" s="182">
        <f>'[1]Sch 3 - Expenses'!H67</f>
        <v>0</v>
      </c>
      <c r="I227" s="182">
        <f>'[1]Sch 3 - Expenses'!I67</f>
        <v>0</v>
      </c>
      <c r="J227" s="182">
        <f>'[1]Sch 3 - Expenses'!J67</f>
        <v>8387545.0899999999</v>
      </c>
    </row>
    <row r="228" spans="1:10">
      <c r="A228" s="912"/>
      <c r="B228" s="913" t="s">
        <v>168</v>
      </c>
      <c r="C228" s="888" t="str">
        <f>'[1]Sch 3 - Expenses'!C68</f>
        <v>320-323</v>
      </c>
      <c r="D228" s="888">
        <f>'[1]Sch 3 - Expenses'!D68</f>
        <v>929</v>
      </c>
      <c r="E228" s="182" t="str">
        <f>'[1]Sch 3 - Expenses'!E68</f>
        <v>PTDG</v>
      </c>
      <c r="F228" s="889"/>
      <c r="G228" s="182">
        <f>'[1]Sch 3 - Expenses'!G68</f>
        <v>0</v>
      </c>
      <c r="H228" s="182">
        <f>'[1]Sch 3 - Expenses'!H68</f>
        <v>0</v>
      </c>
      <c r="I228" s="182">
        <f>'[1]Sch 3 - Expenses'!I68</f>
        <v>0</v>
      </c>
      <c r="J228" s="182">
        <f>'[1]Sch 3 - Expenses'!J68</f>
        <v>0</v>
      </c>
    </row>
    <row r="229" spans="1:10">
      <c r="A229" s="912"/>
      <c r="B229" s="913" t="s">
        <v>169</v>
      </c>
      <c r="C229" s="888" t="str">
        <f>'[1]Sch 3 - Expenses'!C69</f>
        <v>320-323</v>
      </c>
      <c r="D229" s="888">
        <f>'[1]Sch 3 - Expenses'!D69</f>
        <v>930.1</v>
      </c>
      <c r="E229" s="182" t="str">
        <f>'[1]Sch 3 - Expenses'!E69</f>
        <v>DIST</v>
      </c>
      <c r="F229" s="889" t="str">
        <f>'[1]Sch 3 - Expenses'!F69</f>
        <v>DIRECT</v>
      </c>
      <c r="G229" s="182">
        <f>'[1]Sch 3 - Expenses'!G69</f>
        <v>0</v>
      </c>
      <c r="H229" s="182">
        <f>'[1]Sch 3 - Expenses'!H69</f>
        <v>0</v>
      </c>
      <c r="I229" s="182">
        <f>'[1]Sch 3 - Expenses'!I69</f>
        <v>0</v>
      </c>
      <c r="J229" s="182">
        <f>'[1]Sch 3 - Expenses'!J69</f>
        <v>0</v>
      </c>
    </row>
    <row r="230" spans="1:10">
      <c r="A230" s="912"/>
      <c r="B230" s="913" t="s">
        <v>472</v>
      </c>
      <c r="C230" s="888" t="str">
        <f>'[1]Sch 3 - Expenses'!C70</f>
        <v>320-323</v>
      </c>
      <c r="D230" s="888">
        <f>'[1]Sch 3 - Expenses'!D70</f>
        <v>930.2</v>
      </c>
      <c r="E230" s="182" t="str">
        <f>'[1]Sch 3 - Expenses'!E70</f>
        <v>DIST</v>
      </c>
      <c r="F230" s="889" t="str">
        <f>'[1]Sch 3 - Expenses'!F70</f>
        <v>DIRECT</v>
      </c>
      <c r="G230" s="182">
        <f>'[1]Sch 3 - Expenses'!G70</f>
        <v>5644866</v>
      </c>
      <c r="H230" s="182">
        <f>'[1]Sch 3 - Expenses'!H70</f>
        <v>0</v>
      </c>
      <c r="I230" s="182">
        <f>'[1]Sch 3 - Expenses'!I70</f>
        <v>0</v>
      </c>
      <c r="J230" s="182">
        <f>'[1]Sch 3 - Expenses'!J70</f>
        <v>5644866</v>
      </c>
    </row>
    <row r="231" spans="1:10">
      <c r="A231" s="912"/>
      <c r="B231" s="913" t="s">
        <v>496</v>
      </c>
      <c r="C231" s="888" t="str">
        <f>'[1]Sch 3 - Expenses'!C71</f>
        <v>320-323</v>
      </c>
      <c r="D231" s="888">
        <f>'[1]Sch 3 - Expenses'!D71</f>
        <v>931</v>
      </c>
      <c r="E231" s="182" t="str">
        <f>'[1]Sch 3 - Expenses'!E71</f>
        <v>DIST</v>
      </c>
      <c r="F231" s="889"/>
      <c r="G231" s="182">
        <f>'[1]Sch 3 - Expenses'!G71</f>
        <v>938930</v>
      </c>
      <c r="H231" s="182">
        <f>'[1]Sch 3 - Expenses'!H71</f>
        <v>0</v>
      </c>
      <c r="I231" s="182">
        <f>'[1]Sch 3 - Expenses'!I71</f>
        <v>0</v>
      </c>
      <c r="J231" s="182">
        <f>'[1]Sch 3 - Expenses'!J71</f>
        <v>938930</v>
      </c>
    </row>
    <row r="232" spans="1:10">
      <c r="A232" s="912"/>
      <c r="B232" s="913" t="s">
        <v>269</v>
      </c>
      <c r="C232" s="888" t="str">
        <f>'[1]Sch 3 - Expenses'!C72</f>
        <v>320-324</v>
      </c>
      <c r="D232" s="888">
        <f>'[1]Sch 3 - Expenses'!D72</f>
        <v>933</v>
      </c>
      <c r="E232" s="182" t="str">
        <f>'[1]Sch 3 - Expenses'!E72</f>
        <v>DIST</v>
      </c>
      <c r="F232" s="889"/>
      <c r="G232" s="182">
        <f>'[1]Sch 3 - Expenses'!G72</f>
        <v>0</v>
      </c>
      <c r="H232" s="182">
        <f>'[1]Sch 3 - Expenses'!H72</f>
        <v>0</v>
      </c>
      <c r="I232" s="182">
        <f>'[1]Sch 3 - Expenses'!I72</f>
        <v>0</v>
      </c>
      <c r="J232" s="182">
        <f>'[1]Sch 3 - Expenses'!J72</f>
        <v>0</v>
      </c>
    </row>
    <row r="233" spans="1:10">
      <c r="A233" s="912"/>
      <c r="B233" s="990" t="s">
        <v>442</v>
      </c>
      <c r="C233" s="55"/>
      <c r="D233" s="196"/>
      <c r="E233" s="196"/>
      <c r="F233" s="196"/>
      <c r="G233" s="68"/>
      <c r="H233" s="68"/>
      <c r="I233" s="68"/>
      <c r="J233" s="991"/>
    </row>
    <row r="234" spans="1:10">
      <c r="A234" s="912"/>
      <c r="B234" s="913" t="s">
        <v>94</v>
      </c>
      <c r="C234" s="888" t="str">
        <f>'[1]Sch 3 - Expenses'!C74</f>
        <v>320-323</v>
      </c>
      <c r="D234" s="888">
        <f>'[1]Sch 3 - Expenses'!D74</f>
        <v>935</v>
      </c>
      <c r="E234" s="182" t="str">
        <f>'[1]Sch 3 - Expenses'!E74</f>
        <v>GPM</v>
      </c>
      <c r="F234" s="889"/>
      <c r="G234" s="182">
        <f>'[1]Sch 3 - Expenses'!G74</f>
        <v>14630422</v>
      </c>
      <c r="H234" s="182">
        <f>'[1]Sch 3 - Expenses'!H74</f>
        <v>4690577.0284544546</v>
      </c>
      <c r="I234" s="182">
        <f>'[1]Sch 3 - Expenses'!I74</f>
        <v>3004886.1751773297</v>
      </c>
      <c r="J234" s="182">
        <f>'[1]Sch 3 - Expenses'!J74</f>
        <v>6934958.7963682162</v>
      </c>
    </row>
    <row r="235" spans="1:10">
      <c r="A235" s="163" t="s">
        <v>497</v>
      </c>
      <c r="B235" s="10"/>
      <c r="C235" s="914"/>
      <c r="D235" s="915"/>
      <c r="E235" s="915"/>
      <c r="F235" s="916"/>
      <c r="G235" s="614">
        <f>'[1]Sch 3 - Expenses'!G75</f>
        <v>122755463.66000001</v>
      </c>
      <c r="H235" s="614"/>
      <c r="I235" s="614"/>
      <c r="J235" s="614"/>
    </row>
    <row r="236" spans="1:10" ht="16.5" thickBot="1">
      <c r="A236" s="191"/>
      <c r="B236" s="995"/>
      <c r="C236" s="932"/>
      <c r="D236" s="1000"/>
      <c r="E236" s="1000"/>
      <c r="F236" s="1000"/>
      <c r="G236" s="1001"/>
      <c r="H236" s="1002"/>
      <c r="I236" s="1002"/>
      <c r="J236" s="935"/>
    </row>
    <row r="237" spans="1:10" ht="16.5" thickTop="1">
      <c r="A237" s="163" t="s">
        <v>498</v>
      </c>
      <c r="B237" s="10"/>
      <c r="C237" s="914"/>
      <c r="D237" s="915"/>
      <c r="E237" s="915"/>
      <c r="F237" s="916"/>
      <c r="G237" s="1684" t="e">
        <f>'[1]Sch 3 - Expenses'!G77</f>
        <v>#REF!</v>
      </c>
      <c r="H237" s="1684" t="e">
        <f>'[1]Sch 3 - Expenses'!H77</f>
        <v>#REF!</v>
      </c>
      <c r="I237" s="1684" t="e">
        <f>'[1]Sch 3 - Expenses'!I77</f>
        <v>#REF!</v>
      </c>
      <c r="J237" s="1685" t="e">
        <f>'[1]Sch 3 - Expenses'!J77</f>
        <v>#REF!</v>
      </c>
    </row>
    <row r="238" spans="1:10">
      <c r="A238" s="167" t="s">
        <v>433</v>
      </c>
      <c r="B238" s="1003"/>
      <c r="C238" s="85"/>
      <c r="D238" s="913"/>
      <c r="E238" s="913"/>
      <c r="F238" s="913"/>
      <c r="G238" s="998"/>
      <c r="H238" s="1696"/>
      <c r="I238" s="1696"/>
      <c r="J238" s="1697"/>
    </row>
    <row r="239" spans="1:10">
      <c r="A239" s="951"/>
      <c r="B239" s="947"/>
      <c r="C239" s="1698"/>
      <c r="D239" s="1007"/>
      <c r="E239" s="1698"/>
      <c r="F239" s="1698"/>
      <c r="G239" s="1008"/>
      <c r="H239" s="1009"/>
      <c r="I239" s="1009"/>
      <c r="J239" s="1010"/>
    </row>
    <row r="240" spans="1:10">
      <c r="A240" s="160" t="s">
        <v>40</v>
      </c>
      <c r="B240" s="1011"/>
      <c r="C240" s="1699"/>
      <c r="D240" s="1699"/>
      <c r="E240" s="1699"/>
      <c r="F240" s="10"/>
      <c r="G240" s="1013"/>
      <c r="H240" s="989"/>
      <c r="I240" s="989"/>
      <c r="J240" s="1014"/>
    </row>
    <row r="241" spans="1:10">
      <c r="A241" s="1689"/>
      <c r="B241" s="913" t="s">
        <v>373</v>
      </c>
      <c r="C241" s="888">
        <f>'[1]Sch 3 - Expenses'!C81</f>
        <v>336</v>
      </c>
      <c r="D241" s="888">
        <f>'[1]Sch 3 - Expenses'!D81</f>
        <v>404</v>
      </c>
      <c r="E241" s="182" t="str">
        <f>'[1]Sch 3 - Expenses'!E81</f>
        <v>DIST</v>
      </c>
      <c r="F241" s="889" t="str">
        <f>'[1]Sch 3 - Expenses'!F81</f>
        <v xml:space="preserve"> </v>
      </c>
      <c r="G241" s="182">
        <f>'[1]Sch 3 - Expenses'!G81</f>
        <v>0</v>
      </c>
      <c r="H241" s="182">
        <f>'[1]Sch 3 - Expenses'!H81</f>
        <v>0</v>
      </c>
      <c r="I241" s="182">
        <f>'[1]Sch 3 - Expenses'!I81</f>
        <v>0</v>
      </c>
      <c r="J241" s="182">
        <f>'[1]Sch 3 - Expenses'!J81</f>
        <v>0</v>
      </c>
    </row>
    <row r="242" spans="1:10">
      <c r="A242" s="1689"/>
      <c r="B242" s="913" t="s">
        <v>374</v>
      </c>
      <c r="C242" s="888">
        <f>'[1]Sch 3 - Expenses'!C82</f>
        <v>336</v>
      </c>
      <c r="D242" s="888">
        <f>'[1]Sch 3 - Expenses'!D82</f>
        <v>404</v>
      </c>
      <c r="E242" s="182" t="str">
        <f>'[1]Sch 3 - Expenses'!E82</f>
        <v>DIRECT</v>
      </c>
      <c r="F242" s="889" t="str">
        <f>'[1]Sch 3 - Expenses'!F82</f>
        <v>PTD</v>
      </c>
      <c r="G242" s="182">
        <f>'[1]Sch 3 - Expenses'!G82</f>
        <v>942553</v>
      </c>
      <c r="H242" s="182">
        <f>'[1]Sch 3 - Expenses'!H82</f>
        <v>851061.47480113443</v>
      </c>
      <c r="I242" s="182">
        <f>'[1]Sch 3 - Expenses'!I82</f>
        <v>91491.52519886542</v>
      </c>
      <c r="J242" s="182">
        <f>'[1]Sch 3 - Expenses'!J82</f>
        <v>0</v>
      </c>
    </row>
    <row r="243" spans="1:10">
      <c r="A243" s="1689"/>
      <c r="B243" s="913" t="s">
        <v>403</v>
      </c>
      <c r="C243" s="888">
        <f>'[1]Sch 3 - Expenses'!C83</f>
        <v>336</v>
      </c>
      <c r="D243" s="888">
        <f>'[1]Sch 3 - Expenses'!D83</f>
        <v>404</v>
      </c>
      <c r="E243" s="182" t="str">
        <f>'[1]Sch 3 - Expenses'!E83</f>
        <v>DIRECT</v>
      </c>
      <c r="F243" s="889" t="str">
        <f>'[1]Sch 3 - Expenses'!F83</f>
        <v>DIST</v>
      </c>
      <c r="G243" s="182">
        <f>'[1]Sch 3 - Expenses'!G83</f>
        <v>3221870</v>
      </c>
      <c r="H243" s="182">
        <f>'[1]Sch 3 - Expenses'!H83</f>
        <v>2352974.4555752077</v>
      </c>
      <c r="I243" s="182">
        <f>'[1]Sch 3 - Expenses'!I83</f>
        <v>586258.89000899706</v>
      </c>
      <c r="J243" s="182">
        <f>'[1]Sch 3 - Expenses'!J83</f>
        <v>282636.57291662658</v>
      </c>
    </row>
    <row r="244" spans="1:10">
      <c r="A244" s="1689"/>
      <c r="B244" s="913" t="s">
        <v>88</v>
      </c>
      <c r="C244" s="888">
        <f>'[1]Sch 3 - Expenses'!C84</f>
        <v>336</v>
      </c>
      <c r="D244" s="888">
        <f>'[1]Sch 3 - Expenses'!D84</f>
        <v>403</v>
      </c>
      <c r="E244" s="182" t="str">
        <f>'[1]Sch 3 - Expenses'!E84</f>
        <v>PROD</v>
      </c>
      <c r="F244" s="889"/>
      <c r="G244" s="182">
        <f>'[1]Sch 3 - Expenses'!G84</f>
        <v>17056563</v>
      </c>
      <c r="H244" s="182">
        <f>'[1]Sch 3 - Expenses'!H84</f>
        <v>17056563</v>
      </c>
      <c r="I244" s="182">
        <f>'[1]Sch 3 - Expenses'!I84</f>
        <v>0</v>
      </c>
      <c r="J244" s="182">
        <f>'[1]Sch 3 - Expenses'!J84</f>
        <v>0</v>
      </c>
    </row>
    <row r="245" spans="1:10">
      <c r="A245" s="1689"/>
      <c r="B245" s="913" t="s">
        <v>89</v>
      </c>
      <c r="C245" s="888">
        <f>'[1]Sch 3 - Expenses'!C85</f>
        <v>336</v>
      </c>
      <c r="D245" s="888">
        <f>'[1]Sch 3 - Expenses'!D85</f>
        <v>403</v>
      </c>
      <c r="E245" s="182" t="str">
        <f>'[1]Sch 3 - Expenses'!E85</f>
        <v>PROD</v>
      </c>
      <c r="F245" s="889"/>
      <c r="G245" s="182">
        <f>'[1]Sch 3 - Expenses'!G85</f>
        <v>0</v>
      </c>
      <c r="H245" s="182">
        <f>'[1]Sch 3 - Expenses'!H85</f>
        <v>0</v>
      </c>
      <c r="I245" s="182">
        <f>'[1]Sch 3 - Expenses'!I85</f>
        <v>0</v>
      </c>
      <c r="J245" s="182">
        <f>'[1]Sch 3 - Expenses'!J85</f>
        <v>0</v>
      </c>
    </row>
    <row r="246" spans="1:10">
      <c r="A246" s="1689"/>
      <c r="B246" s="913" t="s">
        <v>434</v>
      </c>
      <c r="C246" s="888">
        <f>'[1]Sch 3 - Expenses'!C86</f>
        <v>336</v>
      </c>
      <c r="D246" s="888">
        <f>'[1]Sch 3 - Expenses'!D86</f>
        <v>403</v>
      </c>
      <c r="E246" s="182" t="str">
        <f>'[1]Sch 3 - Expenses'!E86</f>
        <v>PROD</v>
      </c>
      <c r="F246" s="889"/>
      <c r="G246" s="182">
        <f>'[1]Sch 3 - Expenses'!G86</f>
        <v>16632247</v>
      </c>
      <c r="H246" s="182">
        <f>'[1]Sch 3 - Expenses'!H86</f>
        <v>16632247</v>
      </c>
      <c r="I246" s="182">
        <f>'[1]Sch 3 - Expenses'!I86</f>
        <v>0</v>
      </c>
      <c r="J246" s="182">
        <f>'[1]Sch 3 - Expenses'!J86</f>
        <v>0</v>
      </c>
    </row>
    <row r="247" spans="1:10">
      <c r="A247" s="1689"/>
      <c r="B247" s="913" t="s">
        <v>435</v>
      </c>
      <c r="C247" s="888">
        <f>'[1]Sch 3 - Expenses'!C87</f>
        <v>336</v>
      </c>
      <c r="D247" s="888">
        <f>'[1]Sch 3 - Expenses'!D87</f>
        <v>403</v>
      </c>
      <c r="E247" s="182" t="str">
        <f>'[1]Sch 3 - Expenses'!E87</f>
        <v>PROD</v>
      </c>
      <c r="F247" s="889"/>
      <c r="G247" s="182">
        <f>'[1]Sch 3 - Expenses'!G87</f>
        <v>0</v>
      </c>
      <c r="H247" s="182">
        <f>'[1]Sch 3 - Expenses'!H87</f>
        <v>0</v>
      </c>
      <c r="I247" s="182">
        <f>'[1]Sch 3 - Expenses'!I87</f>
        <v>0</v>
      </c>
      <c r="J247" s="182">
        <f>'[1]Sch 3 - Expenses'!J87</f>
        <v>0</v>
      </c>
    </row>
    <row r="248" spans="1:10">
      <c r="A248" s="1689"/>
      <c r="B248" s="913" t="s">
        <v>137</v>
      </c>
      <c r="C248" s="888">
        <f>'[1]Sch 3 - Expenses'!C88</f>
        <v>336</v>
      </c>
      <c r="D248" s="888">
        <f>'[1]Sch 3 - Expenses'!D88</f>
        <v>403</v>
      </c>
      <c r="E248" s="182" t="str">
        <f>'[1]Sch 3 - Expenses'!E88</f>
        <v>PROD</v>
      </c>
      <c r="F248" s="889"/>
      <c r="G248" s="182">
        <f>'[1]Sch 3 - Expenses'!G88</f>
        <v>11041726</v>
      </c>
      <c r="H248" s="182">
        <f>'[1]Sch 3 - Expenses'!H88</f>
        <v>11041726</v>
      </c>
      <c r="I248" s="182">
        <f>'[1]Sch 3 - Expenses'!I88</f>
        <v>0</v>
      </c>
      <c r="J248" s="182">
        <f>'[1]Sch 3 - Expenses'!J88</f>
        <v>0</v>
      </c>
    </row>
    <row r="249" spans="1:10">
      <c r="A249" s="1689"/>
      <c r="B249" s="913" t="s">
        <v>143</v>
      </c>
      <c r="C249" s="888">
        <f>'[1]Sch 3 - Expenses'!C89</f>
        <v>336</v>
      </c>
      <c r="D249" s="888">
        <f>'[1]Sch 3 - Expenses'!D89</f>
        <v>403</v>
      </c>
      <c r="E249" s="182" t="str">
        <f>'[1]Sch 3 - Expenses'!E89</f>
        <v>TRANS</v>
      </c>
      <c r="F249" s="889"/>
      <c r="G249" s="182">
        <f>'[1]Sch 3 - Expenses'!G89</f>
        <v>21064671</v>
      </c>
      <c r="H249" s="182">
        <f>'[1]Sch 3 - Expenses'!H89</f>
        <v>0</v>
      </c>
      <c r="I249" s="182">
        <f>'[1]Sch 3 - Expenses'!I89</f>
        <v>21064671</v>
      </c>
      <c r="J249" s="182">
        <f>'[1]Sch 3 - Expenses'!J89</f>
        <v>0</v>
      </c>
    </row>
    <row r="250" spans="1:10">
      <c r="A250" s="1689"/>
      <c r="B250" s="913" t="s">
        <v>474</v>
      </c>
      <c r="C250" s="888">
        <f>'[1]Sch 3 - Expenses'!C90</f>
        <v>336</v>
      </c>
      <c r="D250" s="888">
        <f>'[1]Sch 3 - Expenses'!D90</f>
        <v>403</v>
      </c>
      <c r="E250" s="182" t="str">
        <f>'[1]Sch 3 - Expenses'!E90</f>
        <v>DIST</v>
      </c>
      <c r="F250" s="889"/>
      <c r="G250" s="182">
        <f>'[1]Sch 3 - Expenses'!G90</f>
        <v>60509580</v>
      </c>
      <c r="H250" s="182">
        <f>'[1]Sch 3 - Expenses'!H90</f>
        <v>0</v>
      </c>
      <c r="I250" s="182">
        <f>'[1]Sch 3 - Expenses'!I90</f>
        <v>0</v>
      </c>
      <c r="J250" s="182">
        <f>'[1]Sch 3 - Expenses'!J90</f>
        <v>60509580</v>
      </c>
    </row>
    <row r="251" spans="1:10">
      <c r="A251" s="1689"/>
      <c r="B251" s="913" t="s">
        <v>92</v>
      </c>
      <c r="C251" s="888">
        <f>'[1]Sch 3 - Expenses'!C91</f>
        <v>336</v>
      </c>
      <c r="D251" s="888">
        <f>'[1]Sch 3 - Expenses'!D91</f>
        <v>403</v>
      </c>
      <c r="E251" s="182" t="str">
        <f>'[1]Sch 3 - Expenses'!E91</f>
        <v>GP</v>
      </c>
      <c r="F251" s="889"/>
      <c r="G251" s="182">
        <f>'[1]Sch 3 - Expenses'!G91</f>
        <v>5172455</v>
      </c>
      <c r="H251" s="182">
        <f>'[1]Sch 3 - Expenses'!H91</f>
        <v>796769.34241722547</v>
      </c>
      <c r="I251" s="182">
        <f>'[1]Sch 3 - Expenses'!I91</f>
        <v>1331566.2519708953</v>
      </c>
      <c r="J251" s="182">
        <f>'[1]Sch 3 - Expenses'!J91</f>
        <v>3044119.4056118787</v>
      </c>
    </row>
    <row r="252" spans="1:10">
      <c r="A252" s="1689"/>
      <c r="B252" s="913" t="s">
        <v>436</v>
      </c>
      <c r="C252" s="888">
        <f>'[1]Sch 3 - Expenses'!C92</f>
        <v>336</v>
      </c>
      <c r="D252" s="888">
        <f>'[1]Sch 3 - Expenses'!D92</f>
        <v>403</v>
      </c>
      <c r="E252" s="182" t="str">
        <f>'[1]Sch 3 - Expenses'!E92</f>
        <v>DIRECT</v>
      </c>
      <c r="F252" s="889"/>
      <c r="G252" s="182">
        <f>'[1]Sch 3 - Expenses'!G92</f>
        <v>18217879</v>
      </c>
      <c r="H252" s="182">
        <f>'[1]Sch 3 - Expenses'!H92</f>
        <v>5092813.8800000008</v>
      </c>
      <c r="I252" s="182">
        <f>'[1]Sch 3 - Expenses'!I92</f>
        <v>2546406.9400000004</v>
      </c>
      <c r="J252" s="182">
        <f>'[1]Sch 3 - Expenses'!J92</f>
        <v>10549400.18</v>
      </c>
    </row>
    <row r="253" spans="1:10">
      <c r="A253" s="1689"/>
      <c r="B253" s="913" t="s">
        <v>436</v>
      </c>
      <c r="C253" s="888">
        <f>'[1]Sch 3 - Expenses'!C93</f>
        <v>336</v>
      </c>
      <c r="D253" s="888">
        <f>'[1]Sch 3 - Expenses'!D93</f>
        <v>404</v>
      </c>
      <c r="E253" s="182" t="str">
        <f>'[1]Sch 3 - Expenses'!E93</f>
        <v>DIRECT</v>
      </c>
      <c r="F253" s="889"/>
      <c r="G253" s="182">
        <f>'[1]Sch 3 - Expenses'!G93</f>
        <v>36465620</v>
      </c>
      <c r="H253" s="182">
        <f>'[1]Sch 3 - Expenses'!H93</f>
        <v>6916522.7600000007</v>
      </c>
      <c r="I253" s="182">
        <f>'[1]Sch 3 - Expenses'!I93</f>
        <v>3458261.3800000004</v>
      </c>
      <c r="J253" s="182">
        <f>'[1]Sch 3 - Expenses'!J93</f>
        <v>14327082.859999999</v>
      </c>
    </row>
    <row r="254" spans="1:10">
      <c r="A254" s="1689"/>
      <c r="B254" s="913" t="s">
        <v>568</v>
      </c>
      <c r="C254" s="888">
        <f>'[1]Sch 3 - Expenses'!C94</f>
        <v>336</v>
      </c>
      <c r="D254" s="888">
        <f>'[1]Sch 3 - Expenses'!D94</f>
        <v>403.1</v>
      </c>
      <c r="E254" s="182" t="str">
        <f>'[1]Sch 3 - Expenses'!E94</f>
        <v>DIRECT</v>
      </c>
      <c r="F254" s="889"/>
      <c r="G254" s="182">
        <f>'[1]Sch 3 - Expenses'!G94</f>
        <v>0</v>
      </c>
      <c r="H254" s="182">
        <f>'[1]Sch 3 - Expenses'!H94</f>
        <v>0</v>
      </c>
      <c r="I254" s="182">
        <f>'[1]Sch 3 - Expenses'!I94</f>
        <v>0</v>
      </c>
      <c r="J254" s="182">
        <f>'[1]Sch 3 - Expenses'!J94</f>
        <v>0</v>
      </c>
    </row>
    <row r="255" spans="1:10">
      <c r="A255" s="1689"/>
      <c r="B255" s="913" t="s">
        <v>569</v>
      </c>
      <c r="C255" s="888">
        <f>'[1]Sch 3 - Expenses'!C95</f>
        <v>336</v>
      </c>
      <c r="D255" s="888">
        <f>'[1]Sch 3 - Expenses'!D95</f>
        <v>404</v>
      </c>
      <c r="E255" s="182" t="str">
        <f>'[1]Sch 3 - Expenses'!E95</f>
        <v>DIRECT</v>
      </c>
      <c r="F255" s="889"/>
      <c r="G255" s="182">
        <f>'[1]Sch 3 - Expenses'!G95</f>
        <v>0</v>
      </c>
      <c r="H255" s="182">
        <f>'[1]Sch 3 - Expenses'!H95</f>
        <v>0</v>
      </c>
      <c r="I255" s="182">
        <f>'[1]Sch 3 - Expenses'!I95</f>
        <v>0</v>
      </c>
      <c r="J255" s="182">
        <f>'[1]Sch 3 - Expenses'!J95</f>
        <v>0</v>
      </c>
    </row>
    <row r="256" spans="1:10">
      <c r="A256" s="1689"/>
      <c r="B256" s="913" t="s">
        <v>30</v>
      </c>
      <c r="C256" s="888" t="str">
        <f>'[1]Sch 3 - Expenses'!C96</f>
        <v>200-201</v>
      </c>
      <c r="D256" s="888">
        <f>'[1]Sch 3 - Expenses'!D96</f>
        <v>406</v>
      </c>
      <c r="E256" s="182" t="str">
        <f>'[1]Sch 3 - Expenses'!E96</f>
        <v>DIRECT</v>
      </c>
      <c r="F256" s="889"/>
      <c r="G256" s="182">
        <f>'[1]Sch 3 - Expenses'!G96</f>
        <v>0</v>
      </c>
      <c r="H256" s="182">
        <f>'[1]Sch 3 - Expenses'!H96</f>
        <v>0</v>
      </c>
      <c r="I256" s="182">
        <f>'[1]Sch 3 - Expenses'!I96</f>
        <v>0</v>
      </c>
      <c r="J256" s="182">
        <f>'[1]Sch 3 - Expenses'!J96</f>
        <v>0</v>
      </c>
    </row>
    <row r="257" spans="1:10">
      <c r="A257" s="163" t="s">
        <v>475</v>
      </c>
      <c r="B257" s="10"/>
      <c r="C257" s="914"/>
      <c r="D257" s="915"/>
      <c r="E257" s="915"/>
      <c r="F257" s="916"/>
      <c r="G257" s="1684">
        <f>'[1]Sch 3 - Expenses'!G97</f>
        <v>190325164</v>
      </c>
      <c r="H257" s="1684">
        <f>'[1]Sch 3 - Expenses'!H97</f>
        <v>60740677.912793569</v>
      </c>
      <c r="I257" s="1684">
        <f>'[1]Sch 3 - Expenses'!I97</f>
        <v>29078655.987178758</v>
      </c>
      <c r="J257" s="1685">
        <f>'[1]Sch 3 - Expenses'!J97</f>
        <v>88712819.018528506</v>
      </c>
    </row>
    <row r="258" spans="1:10">
      <c r="A258" s="163"/>
      <c r="B258" s="10"/>
      <c r="C258" s="55"/>
      <c r="D258" s="196"/>
      <c r="E258" s="10"/>
      <c r="F258" s="10"/>
      <c r="G258" s="1016"/>
      <c r="H258" s="1017"/>
      <c r="I258" s="1017"/>
      <c r="J258" s="1018"/>
    </row>
    <row r="259" spans="1:10">
      <c r="A259" s="170"/>
      <c r="B259" s="79"/>
      <c r="C259" s="79"/>
      <c r="D259" s="79"/>
      <c r="E259" s="79"/>
      <c r="F259" s="79"/>
      <c r="G259" s="1011"/>
      <c r="J259" s="1673"/>
    </row>
    <row r="260" spans="1:10">
      <c r="A260" s="163" t="s">
        <v>50</v>
      </c>
      <c r="B260" s="64"/>
      <c r="C260" s="914"/>
      <c r="D260" s="915"/>
      <c r="E260" s="915"/>
      <c r="F260" s="916"/>
      <c r="G260" s="1684" t="e">
        <f>'[1]Sch 3 - Expenses'!G100</f>
        <v>#REF!</v>
      </c>
      <c r="H260" s="1684" t="e">
        <f>'[1]Sch 3 - Expenses'!H100</f>
        <v>#REF!</v>
      </c>
      <c r="I260" s="1684" t="e">
        <f>'[1]Sch 3 - Expenses'!I100</f>
        <v>#REF!</v>
      </c>
      <c r="J260" s="1685" t="e">
        <f>'[1]Sch 3 - Expenses'!J100</f>
        <v>#REF!</v>
      </c>
    </row>
    <row r="261" spans="1:10" ht="16.5" thickBot="1">
      <c r="A261" s="172"/>
      <c r="B261" s="931"/>
      <c r="C261" s="932"/>
      <c r="D261" s="932"/>
      <c r="E261" s="932"/>
      <c r="F261" s="932"/>
      <c r="G261" s="1001"/>
      <c r="H261" s="1002"/>
      <c r="I261" s="1002"/>
      <c r="J261" s="935"/>
    </row>
    <row r="262" spans="1:10" ht="16.5" thickTop="1">
      <c r="G262" s="1011"/>
      <c r="H262" s="1011"/>
      <c r="I262" s="1011"/>
      <c r="J262" s="1011"/>
    </row>
    <row r="263" spans="1:10" ht="16.5" thickBot="1">
      <c r="A263" s="332" t="s">
        <v>148</v>
      </c>
      <c r="B263" s="1671"/>
      <c r="C263" s="1671"/>
      <c r="D263" s="1671"/>
      <c r="E263" s="147"/>
      <c r="F263" s="4"/>
      <c r="G263" s="1700"/>
      <c r="H263" s="1700"/>
      <c r="I263" s="1021"/>
      <c r="J263" s="52"/>
    </row>
    <row r="264" spans="1:10" ht="17.25" thickTop="1" thickBot="1">
      <c r="A264" s="987"/>
      <c r="B264" s="2382" t="s">
        <v>100</v>
      </c>
      <c r="C264" s="325" t="s">
        <v>323</v>
      </c>
      <c r="D264" s="325"/>
      <c r="E264" s="2490" t="s">
        <v>354</v>
      </c>
      <c r="F264" s="2481"/>
      <c r="G264" s="2482" t="s">
        <v>104</v>
      </c>
      <c r="H264" s="2484" t="s">
        <v>105</v>
      </c>
      <c r="I264" s="2460" t="s">
        <v>106</v>
      </c>
      <c r="J264" s="326"/>
    </row>
    <row r="265" spans="1:10" ht="16.5" thickBot="1">
      <c r="A265" s="864"/>
      <c r="B265" s="2463"/>
      <c r="C265" s="322" t="s">
        <v>272</v>
      </c>
      <c r="D265" s="322" t="s">
        <v>96</v>
      </c>
      <c r="E265" s="2467"/>
      <c r="F265" s="2468"/>
      <c r="G265" s="2470"/>
      <c r="H265" s="2473"/>
      <c r="I265" s="2461"/>
      <c r="J265" s="310" t="s">
        <v>98</v>
      </c>
    </row>
    <row r="266" spans="1:10" ht="16.5" thickBot="1">
      <c r="A266" s="988"/>
      <c r="B266" s="2464"/>
      <c r="C266" s="311" t="s">
        <v>273</v>
      </c>
      <c r="D266" s="311" t="s">
        <v>252</v>
      </c>
      <c r="E266" s="311" t="s">
        <v>454</v>
      </c>
      <c r="F266" s="311" t="s">
        <v>623</v>
      </c>
      <c r="G266" s="2471"/>
      <c r="H266" s="2474"/>
      <c r="I266" s="2476"/>
      <c r="J266" s="314" t="s">
        <v>107</v>
      </c>
    </row>
    <row r="267" spans="1:10" ht="16.5" thickTop="1">
      <c r="A267" s="199" t="s">
        <v>149</v>
      </c>
      <c r="B267" s="79"/>
      <c r="C267" s="150"/>
      <c r="D267" s="195"/>
      <c r="E267" s="196"/>
      <c r="F267" s="196"/>
      <c r="G267" s="197"/>
      <c r="H267" s="198"/>
      <c r="I267" s="198"/>
      <c r="J267" s="200"/>
    </row>
    <row r="268" spans="1:10">
      <c r="A268" s="170"/>
      <c r="B268" s="63" t="s">
        <v>35</v>
      </c>
      <c r="C268" s="1022">
        <f>'[1]Sch 3A - Taxes'!C16</f>
        <v>262</v>
      </c>
      <c r="D268" s="888">
        <f>'[1]Sch 3A - Taxes'!D16</f>
        <v>409.1</v>
      </c>
      <c r="E268" s="182" t="str">
        <f>'[1]Sch 3A - Taxes'!E16</f>
        <v>DIST</v>
      </c>
      <c r="F268" s="889"/>
      <c r="G268" s="182">
        <f>'[1]Sch 3A - Taxes'!F16</f>
        <v>15013915</v>
      </c>
      <c r="H268" s="182">
        <f>'[1]Sch 3A - Taxes'!G16</f>
        <v>0</v>
      </c>
      <c r="I268" s="182">
        <f>'[1]Sch 3A - Taxes'!H16</f>
        <v>0</v>
      </c>
      <c r="J268" s="182">
        <f>'[1]Sch 3A - Taxes'!I16</f>
        <v>15013915</v>
      </c>
    </row>
    <row r="269" spans="1:10">
      <c r="A269" s="170"/>
      <c r="B269" s="63" t="s">
        <v>150</v>
      </c>
      <c r="C269" s="1022">
        <f>'[1]Sch 3A - Taxes'!C17</f>
        <v>262</v>
      </c>
      <c r="D269" s="888">
        <f>'[1]Sch 3A - Taxes'!D17</f>
        <v>408.1</v>
      </c>
      <c r="E269" s="182" t="str">
        <f>'[1]Sch 3A - Taxes'!E17</f>
        <v>LABOR</v>
      </c>
      <c r="F269" s="889"/>
      <c r="G269" s="182">
        <f>'[1]Sch 3A - Taxes'!F17</f>
        <v>0</v>
      </c>
      <c r="H269" s="182">
        <f>'[1]Sch 3A - Taxes'!G17</f>
        <v>0</v>
      </c>
      <c r="I269" s="182">
        <f>'[1]Sch 3A - Taxes'!H17</f>
        <v>0</v>
      </c>
      <c r="J269" s="182">
        <f>'[1]Sch 3A - Taxes'!I17</f>
        <v>0</v>
      </c>
    </row>
    <row r="270" spans="1:10">
      <c r="A270" s="170"/>
      <c r="B270" s="63" t="s">
        <v>151</v>
      </c>
      <c r="C270" s="1022">
        <f>'[1]Sch 3A - Taxes'!C18</f>
        <v>262</v>
      </c>
      <c r="D270" s="888">
        <f>'[1]Sch 3A - Taxes'!D18</f>
        <v>408.1</v>
      </c>
      <c r="E270" s="182" t="str">
        <f>'[1]Sch 3A - Taxes'!E18</f>
        <v>DIST</v>
      </c>
      <c r="F270" s="889"/>
      <c r="G270" s="182">
        <f>'[1]Sch 3A - Taxes'!F18</f>
        <v>0</v>
      </c>
      <c r="H270" s="182">
        <f>'[1]Sch 3A - Taxes'!G18</f>
        <v>0</v>
      </c>
      <c r="I270" s="182">
        <f>'[1]Sch 3A - Taxes'!H18</f>
        <v>0</v>
      </c>
      <c r="J270" s="182">
        <f>'[1]Sch 3A - Taxes'!I18</f>
        <v>0</v>
      </c>
    </row>
    <row r="271" spans="1:10">
      <c r="A271" s="201" t="s">
        <v>37</v>
      </c>
      <c r="B271" s="58"/>
      <c r="C271" s="914"/>
      <c r="D271" s="915"/>
      <c r="E271" s="915"/>
      <c r="F271" s="916"/>
      <c r="G271" s="1684">
        <f>'[1]Sch 3A - Taxes'!F19</f>
        <v>15013915</v>
      </c>
      <c r="H271" s="1684">
        <f>'[1]Sch 3A - Taxes'!G19</f>
        <v>0</v>
      </c>
      <c r="I271" s="1684">
        <f>'[1]Sch 3A - Taxes'!H19</f>
        <v>0</v>
      </c>
      <c r="J271" s="1684">
        <f>'[1]Sch 3A - Taxes'!I19</f>
        <v>15013915</v>
      </c>
    </row>
    <row r="272" spans="1:10">
      <c r="A272" s="201"/>
      <c r="B272" s="58"/>
      <c r="C272" s="1701"/>
      <c r="D272" s="1702"/>
      <c r="E272" s="196"/>
      <c r="F272" s="196"/>
      <c r="G272" s="197"/>
      <c r="H272" s="197"/>
      <c r="I272" s="197"/>
      <c r="J272" s="1026"/>
    </row>
    <row r="273" spans="1:10">
      <c r="A273" s="202" t="s">
        <v>38</v>
      </c>
      <c r="B273" s="63"/>
      <c r="C273" s="150"/>
      <c r="D273" s="195"/>
      <c r="E273" s="196"/>
      <c r="F273" s="196"/>
      <c r="G273" s="197"/>
      <c r="H273" s="197"/>
      <c r="I273" s="197"/>
      <c r="J273" s="1026"/>
    </row>
    <row r="274" spans="1:10">
      <c r="A274" s="170"/>
      <c r="B274" s="63" t="s">
        <v>571</v>
      </c>
      <c r="C274" s="1022">
        <f>'[1]Sch 3A - Taxes'!C22</f>
        <v>262</v>
      </c>
      <c r="D274" s="888">
        <f>'[1]Sch 3A - Taxes'!D22</f>
        <v>408.1</v>
      </c>
      <c r="E274" s="182" t="str">
        <f>'[1]Sch 3A - Taxes'!E22</f>
        <v>PTDG</v>
      </c>
      <c r="F274" s="889"/>
      <c r="G274" s="182">
        <f>'[1]Sch 3A - Taxes'!F22</f>
        <v>37863278</v>
      </c>
      <c r="H274" s="182">
        <f>'[1]Sch 3A - Taxes'!G22</f>
        <v>11999696.097614231</v>
      </c>
      <c r="I274" s="182">
        <f>'[1]Sch 3A - Taxes'!H22</f>
        <v>7857483.8495539734</v>
      </c>
      <c r="J274" s="182">
        <f>'[1]Sch 3A - Taxes'!I22</f>
        <v>17759454.600415763</v>
      </c>
    </row>
    <row r="275" spans="1:10">
      <c r="A275" s="170"/>
      <c r="B275" s="63" t="s">
        <v>152</v>
      </c>
      <c r="C275" s="1022">
        <f>'[1]Sch 3A - Taxes'!C23</f>
        <v>262</v>
      </c>
      <c r="D275" s="888">
        <f>'[1]Sch 3A - Taxes'!D23</f>
        <v>408.1</v>
      </c>
      <c r="E275" s="182" t="str">
        <f>'[1]Sch 3A - Taxes'!E23</f>
        <v>LABOR</v>
      </c>
      <c r="F275" s="889"/>
      <c r="G275" s="182">
        <f>'[1]Sch 3A - Taxes'!F23</f>
        <v>0</v>
      </c>
      <c r="H275" s="182">
        <f>'[1]Sch 3A - Taxes'!G23</f>
        <v>0</v>
      </c>
      <c r="I275" s="182">
        <f>'[1]Sch 3A - Taxes'!H23</f>
        <v>0</v>
      </c>
      <c r="J275" s="182">
        <f>'[1]Sch 3A - Taxes'!I23</f>
        <v>0</v>
      </c>
    </row>
    <row r="276" spans="1:10">
      <c r="A276" s="170"/>
      <c r="B276" s="63" t="s">
        <v>572</v>
      </c>
      <c r="C276" s="1022">
        <f>'[1]Sch 3A - Taxes'!C24</f>
        <v>262</v>
      </c>
      <c r="D276" s="888">
        <f>'[1]Sch 3A - Taxes'!D24</f>
        <v>409.1</v>
      </c>
      <c r="E276" s="182" t="str">
        <f>'[1]Sch 3A - Taxes'!E24</f>
        <v>DIST</v>
      </c>
      <c r="F276" s="889"/>
      <c r="G276" s="182">
        <f>'[1]Sch 3A - Taxes'!F24</f>
        <v>39401059</v>
      </c>
      <c r="H276" s="182">
        <f>'[1]Sch 3A - Taxes'!G24</f>
        <v>0</v>
      </c>
      <c r="I276" s="182">
        <f>'[1]Sch 3A - Taxes'!H24</f>
        <v>0</v>
      </c>
      <c r="J276" s="182">
        <f>'[1]Sch 3A - Taxes'!I24</f>
        <v>39401059</v>
      </c>
    </row>
    <row r="277" spans="1:10">
      <c r="A277" s="170"/>
      <c r="B277" s="63" t="s">
        <v>573</v>
      </c>
      <c r="C277" s="1022">
        <f>'[1]Sch 3A - Taxes'!C25</f>
        <v>262</v>
      </c>
      <c r="D277" s="888">
        <f>'[1]Sch 3A - Taxes'!D25</f>
        <v>408.1</v>
      </c>
      <c r="E277" s="182" t="str">
        <f>'[1]Sch 3A - Taxes'!E25</f>
        <v>DIST</v>
      </c>
      <c r="F277" s="889"/>
      <c r="G277" s="182">
        <f>'[1]Sch 3A - Taxes'!F25</f>
        <v>11526477</v>
      </c>
      <c r="H277" s="182">
        <f>'[1]Sch 3A - Taxes'!G25</f>
        <v>0</v>
      </c>
      <c r="I277" s="182">
        <f>'[1]Sch 3A - Taxes'!H25</f>
        <v>0</v>
      </c>
      <c r="J277" s="182">
        <f>'[1]Sch 3A - Taxes'!I25</f>
        <v>11526477</v>
      </c>
    </row>
    <row r="278" spans="1:10">
      <c r="A278" s="170"/>
      <c r="B278" s="63" t="s">
        <v>153</v>
      </c>
      <c r="C278" s="1022">
        <f>'[1]Sch 3A - Taxes'!C26</f>
        <v>262</v>
      </c>
      <c r="D278" s="888">
        <f>'[1]Sch 3A - Taxes'!D26</f>
        <v>408.1</v>
      </c>
      <c r="E278" s="182" t="str">
        <f>'[1]Sch 3A - Taxes'!E26</f>
        <v>DIST</v>
      </c>
      <c r="F278" s="889"/>
      <c r="G278" s="182">
        <f>'[1]Sch 3A - Taxes'!F26</f>
        <v>240</v>
      </c>
      <c r="H278" s="182">
        <f>'[1]Sch 3A - Taxes'!G26</f>
        <v>0</v>
      </c>
      <c r="I278" s="182">
        <f>'[1]Sch 3A - Taxes'!H26</f>
        <v>0</v>
      </c>
      <c r="J278" s="182">
        <f>'[1]Sch 3A - Taxes'!I26</f>
        <v>240</v>
      </c>
    </row>
    <row r="279" spans="1:10">
      <c r="A279" s="170"/>
      <c r="B279" s="63" t="s">
        <v>574</v>
      </c>
      <c r="C279" s="1022">
        <f>'[1]Sch 3A - Taxes'!C27</f>
        <v>262</v>
      </c>
      <c r="D279" s="888">
        <f>'[1]Sch 3A - Taxes'!D27</f>
        <v>408.1</v>
      </c>
      <c r="E279" s="182" t="str">
        <f>'[1]Sch 3A - Taxes'!E27</f>
        <v>DIST</v>
      </c>
      <c r="F279" s="889"/>
      <c r="G279" s="182">
        <f>'[1]Sch 3A - Taxes'!F27</f>
        <v>29955592</v>
      </c>
      <c r="H279" s="182">
        <f>'[1]Sch 3A - Taxes'!G27</f>
        <v>0</v>
      </c>
      <c r="I279" s="182">
        <f>'[1]Sch 3A - Taxes'!H27</f>
        <v>0</v>
      </c>
      <c r="J279" s="182">
        <f>'[1]Sch 3A - Taxes'!I27</f>
        <v>29955592</v>
      </c>
    </row>
    <row r="280" spans="1:10">
      <c r="A280" s="170"/>
      <c r="B280" s="63" t="s">
        <v>107</v>
      </c>
      <c r="C280" s="1022">
        <f>'[1]Sch 3A - Taxes'!C28</f>
        <v>262</v>
      </c>
      <c r="D280" s="888">
        <f>'[1]Sch 3A - Taxes'!D28</f>
        <v>408.1</v>
      </c>
      <c r="E280" s="182" t="str">
        <f>'[1]Sch 3A - Taxes'!E28</f>
        <v>DIST</v>
      </c>
      <c r="F280" s="889"/>
      <c r="G280" s="182">
        <f>'[1]Sch 3A - Taxes'!F28</f>
        <v>2014671</v>
      </c>
      <c r="H280" s="182">
        <f>'[1]Sch 3A - Taxes'!G28</f>
        <v>0</v>
      </c>
      <c r="I280" s="182">
        <f>'[1]Sch 3A - Taxes'!H28</f>
        <v>0</v>
      </c>
      <c r="J280" s="182">
        <f>'[1]Sch 3A - Taxes'!I28</f>
        <v>2014671</v>
      </c>
    </row>
    <row r="281" spans="1:10">
      <c r="A281" s="201" t="s">
        <v>36</v>
      </c>
      <c r="B281" s="63"/>
      <c r="C281" s="914"/>
      <c r="D281" s="915"/>
      <c r="E281" s="915"/>
      <c r="F281" s="916"/>
      <c r="G281" s="1684">
        <f>'[1]Sch 3A - Taxes'!F29</f>
        <v>120761317</v>
      </c>
      <c r="H281" s="1684">
        <f>'[1]Sch 3A - Taxes'!G29</f>
        <v>11999696.097614231</v>
      </c>
      <c r="I281" s="1684">
        <f>'[1]Sch 3A - Taxes'!H29</f>
        <v>7857483.8495539734</v>
      </c>
      <c r="J281" s="1685">
        <f>'[1]Sch 3A - Taxes'!I29</f>
        <v>100657493.60041577</v>
      </c>
    </row>
    <row r="282" spans="1:10">
      <c r="A282" s="170"/>
      <c r="B282" s="63"/>
      <c r="C282" s="150"/>
      <c r="D282" s="195"/>
      <c r="E282" s="196"/>
      <c r="F282" s="196"/>
      <c r="G282" s="1027"/>
      <c r="H282" s="1027"/>
      <c r="I282" s="1027"/>
      <c r="J282" s="1028"/>
    </row>
    <row r="283" spans="1:10">
      <c r="A283" s="201" t="s">
        <v>575</v>
      </c>
      <c r="B283" s="79"/>
      <c r="C283" s="914"/>
      <c r="D283" s="915"/>
      <c r="E283" s="915"/>
      <c r="F283" s="916"/>
      <c r="G283" s="1684">
        <f>'[1]Sch 3A - Taxes'!F31</f>
        <v>135775232</v>
      </c>
      <c r="H283" s="1684">
        <f>'[1]Sch 3A - Taxes'!G31</f>
        <v>11999696.097614231</v>
      </c>
      <c r="I283" s="1684">
        <f>'[1]Sch 3A - Taxes'!H31</f>
        <v>7857483.8495539734</v>
      </c>
      <c r="J283" s="1685">
        <f>'[1]Sch 3A - Taxes'!I31</f>
        <v>115671408.60041577</v>
      </c>
    </row>
    <row r="284" spans="1:10" ht="16.5" thickBot="1">
      <c r="A284" s="191"/>
      <c r="B284" s="203"/>
      <c r="C284" s="203"/>
      <c r="D284" s="203"/>
      <c r="E284" s="203"/>
      <c r="F284" s="203"/>
      <c r="G284" s="203"/>
      <c r="H284" s="203"/>
      <c r="I284" s="203"/>
      <c r="J284" s="1029"/>
    </row>
    <row r="285" spans="1:10" ht="16.5" thickTop="1"/>
    <row r="286" spans="1:10" ht="16.5" thickBot="1">
      <c r="A286" s="332" t="s">
        <v>632</v>
      </c>
      <c r="B286" s="1671"/>
      <c r="C286" s="1671"/>
      <c r="D286" s="1671"/>
      <c r="E286" s="147"/>
      <c r="F286" s="4"/>
      <c r="G286" s="1700"/>
      <c r="H286" s="1700"/>
      <c r="I286" s="1021"/>
      <c r="J286" s="52"/>
    </row>
    <row r="287" spans="1:10" ht="17.25" thickTop="1" thickBot="1">
      <c r="A287" s="987"/>
      <c r="B287" s="2382" t="s">
        <v>100</v>
      </c>
      <c r="C287" s="325" t="s">
        <v>323</v>
      </c>
      <c r="D287" s="325"/>
      <c r="E287" s="2490" t="s">
        <v>354</v>
      </c>
      <c r="F287" s="2481"/>
      <c r="G287" s="2482" t="s">
        <v>104</v>
      </c>
      <c r="H287" s="2484" t="s">
        <v>105</v>
      </c>
      <c r="I287" s="2460" t="s">
        <v>106</v>
      </c>
      <c r="J287" s="326"/>
    </row>
    <row r="288" spans="1:10" ht="16.5" thickBot="1">
      <c r="A288" s="864"/>
      <c r="B288" s="2463"/>
      <c r="C288" s="322" t="s">
        <v>272</v>
      </c>
      <c r="D288" s="322" t="s">
        <v>96</v>
      </c>
      <c r="E288" s="2467"/>
      <c r="F288" s="2468"/>
      <c r="G288" s="2470"/>
      <c r="H288" s="2473"/>
      <c r="I288" s="2461"/>
      <c r="J288" s="310" t="s">
        <v>98</v>
      </c>
    </row>
    <row r="289" spans="1:10" ht="16.5" thickBot="1">
      <c r="A289" s="988"/>
      <c r="B289" s="2464"/>
      <c r="C289" s="311" t="s">
        <v>273</v>
      </c>
      <c r="D289" s="311" t="s">
        <v>252</v>
      </c>
      <c r="E289" s="311" t="s">
        <v>454</v>
      </c>
      <c r="F289" s="311" t="s">
        <v>623</v>
      </c>
      <c r="G289" s="2471"/>
      <c r="H289" s="2474"/>
      <c r="I289" s="2476"/>
      <c r="J289" s="314" t="s">
        <v>107</v>
      </c>
    </row>
    <row r="290" spans="1:10" ht="16.5" thickTop="1">
      <c r="A290" s="199" t="s">
        <v>41</v>
      </c>
      <c r="B290" s="10"/>
      <c r="C290" s="1679"/>
      <c r="D290" s="1703"/>
      <c r="E290" s="55"/>
      <c r="F290" s="55"/>
      <c r="G290" s="221"/>
      <c r="H290" s="221"/>
      <c r="I290" s="221"/>
      <c r="J290" s="222"/>
    </row>
    <row r="291" spans="1:10">
      <c r="A291" s="199"/>
      <c r="B291" s="1030" t="s">
        <v>570</v>
      </c>
      <c r="C291" s="888">
        <f>'[1]Sch 3B - Other Items'!C15</f>
        <v>114</v>
      </c>
      <c r="D291" s="888">
        <f>'[1]Sch 3B - Other Items'!D15</f>
        <v>407.4</v>
      </c>
      <c r="E291" s="182" t="str">
        <f>'[1]Sch 3B - Other Items'!E15</f>
        <v>DIRECT</v>
      </c>
      <c r="F291" s="889" t="str">
        <f>'[1]Sch 3B - Other Items'!F15</f>
        <v>PROD</v>
      </c>
      <c r="G291" s="182">
        <f>'[1]Sch 3B - Other Items'!G15</f>
        <v>43048247.780000001</v>
      </c>
      <c r="H291" s="182" t="e">
        <f>'[1]Sch 3B - Other Items'!H15</f>
        <v>#REF!</v>
      </c>
      <c r="I291" s="182" t="e">
        <f>'[1]Sch 3B - Other Items'!I15</f>
        <v>#REF!</v>
      </c>
      <c r="J291" s="182" t="e">
        <f>'[1]Sch 3B - Other Items'!J15</f>
        <v>#REF!</v>
      </c>
    </row>
    <row r="292" spans="1:10">
      <c r="A292" s="199"/>
      <c r="B292" s="1031" t="s">
        <v>2186</v>
      </c>
      <c r="C292" s="888">
        <f>'[1]Sch 3B - Other Items'!C16</f>
        <v>114</v>
      </c>
      <c r="D292" s="888">
        <f>'[1]Sch 3B - Other Items'!D16</f>
        <v>407.3</v>
      </c>
      <c r="E292" s="182" t="str">
        <f>'[1]Sch 3B - Other Items'!E16</f>
        <v>DIRECT</v>
      </c>
      <c r="F292" s="889" t="str">
        <f>'[1]Sch 3B - Other Items'!F16</f>
        <v>DIST</v>
      </c>
      <c r="G292" s="182">
        <f>'[1]Sch 3B - Other Items'!G16</f>
        <v>21751021.41</v>
      </c>
      <c r="H292" s="182" t="e">
        <f>'[1]Sch 3B - Other Items'!H16</f>
        <v>#REF!</v>
      </c>
      <c r="I292" s="182">
        <f>'[1]Sch 3B - Other Items'!I16</f>
        <v>2066864.3947057775</v>
      </c>
      <c r="J292" s="182">
        <f>'[1]Sch 3B - Other Items'!J16</f>
        <v>-2055829.8014101069</v>
      </c>
    </row>
    <row r="293" spans="1:10">
      <c r="A293" s="912"/>
      <c r="B293" s="1032" t="s">
        <v>393</v>
      </c>
      <c r="C293" s="888">
        <f>'[1]Sch 3B - Other Items'!C17</f>
        <v>114</v>
      </c>
      <c r="D293" s="888">
        <f>'[1]Sch 3B - Other Items'!D17</f>
        <v>411.6</v>
      </c>
      <c r="E293" s="182" t="str">
        <f>'[1]Sch 3B - Other Items'!E17</f>
        <v>DIRECT</v>
      </c>
      <c r="F293" s="889" t="str">
        <f>'[1]Sch 3B - Other Items'!F17</f>
        <v>PROD</v>
      </c>
      <c r="G293" s="182">
        <f>'[1]Sch 3B - Other Items'!G17</f>
        <v>0</v>
      </c>
      <c r="H293" s="182">
        <f>'[1]Sch 3B - Other Items'!H17</f>
        <v>0</v>
      </c>
      <c r="I293" s="182">
        <f>'[1]Sch 3B - Other Items'!I17</f>
        <v>0</v>
      </c>
      <c r="J293" s="182">
        <f>'[1]Sch 3B - Other Items'!J17</f>
        <v>0</v>
      </c>
    </row>
    <row r="294" spans="1:10">
      <c r="A294" s="912"/>
      <c r="B294" s="1033" t="s">
        <v>2185</v>
      </c>
      <c r="C294" s="888">
        <f>'[1]Sch 3B - Other Items'!C18</f>
        <v>114</v>
      </c>
      <c r="D294" s="888" t="str">
        <f>'[1]Sch 3B - Other Items'!D18</f>
        <v>411.7</v>
      </c>
      <c r="E294" s="182" t="str">
        <f>'[1]Sch 3B - Other Items'!E18</f>
        <v>DIRECT</v>
      </c>
      <c r="F294" s="889" t="str">
        <f>'[1]Sch 3B - Other Items'!F18</f>
        <v>DIST</v>
      </c>
      <c r="G294" s="182">
        <f>'[1]Sch 3B - Other Items'!G18</f>
        <v>0</v>
      </c>
      <c r="H294" s="182">
        <f>'[1]Sch 3B - Other Items'!H18</f>
        <v>0</v>
      </c>
      <c r="I294" s="182">
        <f>'[1]Sch 3B - Other Items'!I18</f>
        <v>0</v>
      </c>
      <c r="J294" s="182">
        <f>'[1]Sch 3B - Other Items'!J18</f>
        <v>0</v>
      </c>
    </row>
    <row r="295" spans="1:10">
      <c r="A295" s="912"/>
      <c r="B295" s="1032" t="s">
        <v>394</v>
      </c>
      <c r="C295" s="888">
        <f>'[1]Sch 3B - Other Items'!C19</f>
        <v>114</v>
      </c>
      <c r="D295" s="888">
        <f>'[1]Sch 3B - Other Items'!D19</f>
        <v>411.8</v>
      </c>
      <c r="E295" s="182" t="str">
        <f>'[1]Sch 3B - Other Items'!E19</f>
        <v>PROD</v>
      </c>
      <c r="F295" s="889">
        <f>'[1]Sch 3B - Other Items'!F19</f>
        <v>0</v>
      </c>
      <c r="G295" s="182">
        <f>'[1]Sch 3B - Other Items'!G19</f>
        <v>0</v>
      </c>
      <c r="H295" s="182">
        <f>'[1]Sch 3B - Other Items'!H19</f>
        <v>0</v>
      </c>
      <c r="I295" s="182">
        <f>'[1]Sch 3B - Other Items'!I19</f>
        <v>0</v>
      </c>
      <c r="J295" s="182">
        <f>'[1]Sch 3B - Other Items'!J19</f>
        <v>0</v>
      </c>
    </row>
    <row r="296" spans="1:10">
      <c r="A296" s="912"/>
      <c r="B296" s="1033" t="s">
        <v>2184</v>
      </c>
      <c r="C296" s="888">
        <f>'[1]Sch 3B - Other Items'!C20</f>
        <v>114</v>
      </c>
      <c r="D296" s="888">
        <f>'[1]Sch 3B - Other Items'!D20</f>
        <v>411.9</v>
      </c>
      <c r="E296" s="182" t="str">
        <f>'[1]Sch 3B - Other Items'!E20</f>
        <v>PROD</v>
      </c>
      <c r="F296" s="889">
        <f>'[1]Sch 3B - Other Items'!F20</f>
        <v>0</v>
      </c>
      <c r="G296" s="182">
        <f>'[1]Sch 3B - Other Items'!G20</f>
        <v>0</v>
      </c>
      <c r="H296" s="182">
        <f>'[1]Sch 3B - Other Items'!H20</f>
        <v>0</v>
      </c>
      <c r="I296" s="182">
        <f>'[1]Sch 3B - Other Items'!I20</f>
        <v>0</v>
      </c>
      <c r="J296" s="182">
        <f>'[1]Sch 3B - Other Items'!J20</f>
        <v>0</v>
      </c>
    </row>
    <row r="297" spans="1:10">
      <c r="A297" s="912"/>
      <c r="B297" s="1032" t="s">
        <v>181</v>
      </c>
      <c r="C297" s="888">
        <f>'[1]Sch 3B - Other Items'!C21</f>
        <v>114</v>
      </c>
      <c r="D297" s="888">
        <f>'[1]Sch 3B - Other Items'!D21</f>
        <v>421</v>
      </c>
      <c r="E297" s="182" t="str">
        <f>'[1]Sch 3B - Other Items'!E21</f>
        <v>DIRECT</v>
      </c>
      <c r="F297" s="889" t="str">
        <f>'[1]Sch 3B - Other Items'!F21</f>
        <v>PROD</v>
      </c>
      <c r="G297" s="182">
        <f>'[1]Sch 3B - Other Items'!G21</f>
        <v>0</v>
      </c>
      <c r="H297" s="182">
        <f>'[1]Sch 3B - Other Items'!H21</f>
        <v>0</v>
      </c>
      <c r="I297" s="182">
        <f>'[1]Sch 3B - Other Items'!I21</f>
        <v>0</v>
      </c>
      <c r="J297" s="182">
        <f>'[1]Sch 3B - Other Items'!J21</f>
        <v>0</v>
      </c>
    </row>
    <row r="298" spans="1:10">
      <c r="A298" s="209" t="s">
        <v>49</v>
      </c>
      <c r="B298" s="220"/>
      <c r="C298" s="914"/>
      <c r="D298" s="915"/>
      <c r="E298" s="915"/>
      <c r="F298" s="916"/>
      <c r="G298" s="1684">
        <f>'[1]Sch 3B - Other Items'!G22</f>
        <v>21297226.370000001</v>
      </c>
      <c r="H298" s="1684" t="e">
        <f>'[1]Sch 3B - Other Items'!H22</f>
        <v>#REF!</v>
      </c>
      <c r="I298" s="1684" t="e">
        <f>'[1]Sch 3B - Other Items'!I22</f>
        <v>#REF!</v>
      </c>
      <c r="J298" s="1684" t="e">
        <f>'[1]Sch 3B - Other Items'!J22</f>
        <v>#REF!</v>
      </c>
    </row>
    <row r="299" spans="1:10">
      <c r="A299" s="1704"/>
      <c r="B299" s="220"/>
      <c r="C299" s="1679"/>
      <c r="D299" s="1679"/>
      <c r="E299" s="55"/>
      <c r="F299" s="55"/>
      <c r="G299" s="221"/>
      <c r="H299" s="221"/>
      <c r="I299" s="221"/>
      <c r="J299" s="222"/>
    </row>
    <row r="300" spans="1:10">
      <c r="A300" s="199" t="s">
        <v>636</v>
      </c>
      <c r="B300" s="220"/>
      <c r="C300" s="55"/>
      <c r="D300" s="55"/>
      <c r="E300" s="55"/>
      <c r="F300" s="55"/>
      <c r="G300" s="221"/>
      <c r="H300" s="221"/>
      <c r="I300" s="221"/>
      <c r="J300" s="222"/>
    </row>
    <row r="301" spans="1:10">
      <c r="A301" s="199"/>
      <c r="B301" s="913" t="s">
        <v>64</v>
      </c>
      <c r="C301" s="888">
        <f>'[1]Sch 3B - Other Items'!C25</f>
        <v>310</v>
      </c>
      <c r="D301" s="888">
        <f>'[1]Sch 3B - Other Items'!D25</f>
        <v>447</v>
      </c>
      <c r="E301" s="182" t="str">
        <f>'[1]Sch 3B - Other Items'!E25</f>
        <v>PROD</v>
      </c>
      <c r="F301" s="889">
        <f>'[1]Sch 3B - Other Items'!F25</f>
        <v>0</v>
      </c>
      <c r="G301" s="182" t="e">
        <f>'[1]Sch 3B - Other Items'!G25</f>
        <v>#REF!</v>
      </c>
      <c r="H301" s="182" t="e">
        <f>'[1]Sch 3B - Other Items'!H25</f>
        <v>#REF!</v>
      </c>
      <c r="I301" s="182" t="e">
        <f>'[1]Sch 3B - Other Items'!I25</f>
        <v>#REF!</v>
      </c>
      <c r="J301" s="182" t="e">
        <f>'[1]Sch 3B - Other Items'!J25</f>
        <v>#REF!</v>
      </c>
    </row>
    <row r="302" spans="1:10">
      <c r="A302" s="163" t="s">
        <v>65</v>
      </c>
      <c r="B302" s="64"/>
      <c r="C302" s="914"/>
      <c r="D302" s="915"/>
      <c r="E302" s="915"/>
      <c r="F302" s="916"/>
      <c r="G302" s="1684" t="e">
        <f>'[1]Sch 3B - Other Items'!G26</f>
        <v>#REF!</v>
      </c>
      <c r="H302" s="1684" t="e">
        <f>'[1]Sch 3B - Other Items'!H26</f>
        <v>#REF!</v>
      </c>
      <c r="I302" s="1684" t="e">
        <f>'[1]Sch 3B - Other Items'!I26</f>
        <v>#REF!</v>
      </c>
      <c r="J302" s="1685" t="e">
        <f>'[1]Sch 3B - Other Items'!J26</f>
        <v>#REF!</v>
      </c>
    </row>
    <row r="303" spans="1:10">
      <c r="A303" s="228"/>
      <c r="B303" s="64"/>
      <c r="C303" s="55"/>
      <c r="D303" s="55"/>
      <c r="E303" s="55"/>
      <c r="F303" s="55"/>
      <c r="G303" s="221"/>
      <c r="H303" s="221"/>
      <c r="I303" s="221"/>
      <c r="J303" s="222"/>
    </row>
    <row r="304" spans="1:10">
      <c r="A304" s="160" t="s">
        <v>43</v>
      </c>
      <c r="B304" s="64"/>
      <c r="C304" s="55"/>
      <c r="D304" s="55"/>
      <c r="E304" s="55"/>
      <c r="F304" s="55"/>
      <c r="G304" s="221"/>
      <c r="H304" s="221"/>
      <c r="I304" s="221"/>
      <c r="J304" s="222"/>
    </row>
    <row r="305" spans="1:10">
      <c r="A305" s="912"/>
      <c r="B305" s="79" t="s">
        <v>327</v>
      </c>
      <c r="C305" s="888">
        <f>'[1]Sch 3B - Other Items'!C29</f>
        <v>300</v>
      </c>
      <c r="D305" s="888">
        <f>'[1]Sch 3B - Other Items'!D29</f>
        <v>450</v>
      </c>
      <c r="E305" s="182" t="str">
        <f>'[1]Sch 3B - Other Items'!E29</f>
        <v>DIST</v>
      </c>
      <c r="F305" s="889">
        <f>'[1]Sch 3B - Other Items'!F29</f>
        <v>0</v>
      </c>
      <c r="G305" s="182">
        <f>'[1]Sch 3B - Other Items'!G29</f>
        <v>0</v>
      </c>
      <c r="H305" s="182">
        <f>'[1]Sch 3B - Other Items'!H29</f>
        <v>0</v>
      </c>
      <c r="I305" s="182">
        <f>'[1]Sch 3B - Other Items'!I29</f>
        <v>0</v>
      </c>
      <c r="J305" s="182">
        <f>'[1]Sch 3B - Other Items'!J29</f>
        <v>0</v>
      </c>
    </row>
    <row r="306" spans="1:10">
      <c r="A306" s="912"/>
      <c r="B306" s="79" t="s">
        <v>550</v>
      </c>
      <c r="C306" s="888">
        <f>'[1]Sch 3B - Other Items'!C30</f>
        <v>300</v>
      </c>
      <c r="D306" s="888" t="str">
        <f>'[1]Sch 3B - Other Items'!D30</f>
        <v>451</v>
      </c>
      <c r="E306" s="182" t="str">
        <f>'[1]Sch 3B - Other Items'!E30</f>
        <v>DIST</v>
      </c>
      <c r="F306" s="889">
        <f>'[1]Sch 3B - Other Items'!F30</f>
        <v>0</v>
      </c>
      <c r="G306" s="182">
        <f>'[1]Sch 3B - Other Items'!G30</f>
        <v>129396</v>
      </c>
      <c r="H306" s="182">
        <f>'[1]Sch 3B - Other Items'!H30</f>
        <v>0</v>
      </c>
      <c r="I306" s="182">
        <f>'[1]Sch 3B - Other Items'!I30</f>
        <v>0</v>
      </c>
      <c r="J306" s="182">
        <f>'[1]Sch 3B - Other Items'!J30</f>
        <v>129396</v>
      </c>
    </row>
    <row r="307" spans="1:10">
      <c r="A307" s="912"/>
      <c r="B307" s="79" t="s">
        <v>549</v>
      </c>
      <c r="C307" s="888">
        <f>'[1]Sch 3B - Other Items'!C31</f>
        <v>300</v>
      </c>
      <c r="D307" s="888" t="str">
        <f>'[1]Sch 3B - Other Items'!D31</f>
        <v>453</v>
      </c>
      <c r="E307" s="182" t="str">
        <f>'[1]Sch 3B - Other Items'!E31</f>
        <v>PROD</v>
      </c>
      <c r="F307" s="889">
        <f>'[1]Sch 3B - Other Items'!F31</f>
        <v>0</v>
      </c>
      <c r="G307" s="182">
        <f>'[1]Sch 3B - Other Items'!G31</f>
        <v>688332</v>
      </c>
      <c r="H307" s="182">
        <f>'[1]Sch 3B - Other Items'!H31</f>
        <v>688332</v>
      </c>
      <c r="I307" s="182">
        <f>'[1]Sch 3B - Other Items'!I31</f>
        <v>0</v>
      </c>
      <c r="J307" s="182">
        <f>'[1]Sch 3B - Other Items'!J31</f>
        <v>0</v>
      </c>
    </row>
    <row r="308" spans="1:10">
      <c r="A308" s="912"/>
      <c r="B308" s="79" t="s">
        <v>548</v>
      </c>
      <c r="C308" s="888">
        <f>'[1]Sch 3B - Other Items'!C32</f>
        <v>300</v>
      </c>
      <c r="D308" s="888" t="str">
        <f>'[1]Sch 3B - Other Items'!D32</f>
        <v>454</v>
      </c>
      <c r="E308" s="182" t="str">
        <f>'[1]Sch 3B - Other Items'!E32</f>
        <v>TD</v>
      </c>
      <c r="F308" s="889">
        <f>'[1]Sch 3B - Other Items'!F32</f>
        <v>0</v>
      </c>
      <c r="G308" s="182">
        <f>'[1]Sch 3B - Other Items'!G32</f>
        <v>7542853</v>
      </c>
      <c r="H308" s="182">
        <f>'[1]Sch 3B - Other Items'!H32</f>
        <v>0</v>
      </c>
      <c r="I308" s="182">
        <f>'[1]Sch 3B - Other Items'!I32</f>
        <v>2302499.2819598946</v>
      </c>
      <c r="J308" s="182">
        <f>'[1]Sch 3B - Other Items'!J32</f>
        <v>5240353.718040105</v>
      </c>
    </row>
    <row r="309" spans="1:10">
      <c r="A309" s="912"/>
      <c r="B309" s="79" t="s">
        <v>329</v>
      </c>
      <c r="C309" s="888">
        <f>'[1]Sch 3B - Other Items'!C33</f>
        <v>300</v>
      </c>
      <c r="D309" s="888">
        <f>'[1]Sch 3B - Other Items'!D33</f>
        <v>455</v>
      </c>
      <c r="E309" s="182" t="str">
        <f>'[1]Sch 3B - Other Items'!E33</f>
        <v>DIST</v>
      </c>
      <c r="F309" s="889">
        <f>'[1]Sch 3B - Other Items'!F33</f>
        <v>0</v>
      </c>
      <c r="G309" s="182">
        <f>'[1]Sch 3B - Other Items'!G33</f>
        <v>0</v>
      </c>
      <c r="H309" s="182">
        <f>'[1]Sch 3B - Other Items'!H33</f>
        <v>0</v>
      </c>
      <c r="I309" s="182">
        <f>'[1]Sch 3B - Other Items'!I33</f>
        <v>0</v>
      </c>
      <c r="J309" s="182">
        <f>'[1]Sch 3B - Other Items'!J33</f>
        <v>0</v>
      </c>
    </row>
    <row r="310" spans="1:10">
      <c r="A310" s="912"/>
      <c r="B310" s="79" t="s">
        <v>328</v>
      </c>
      <c r="C310" s="888">
        <f>'[1]Sch 3B - Other Items'!C34</f>
        <v>300</v>
      </c>
      <c r="D310" s="888" t="str">
        <f>'[1]Sch 3B - Other Items'!D34</f>
        <v>456</v>
      </c>
      <c r="E310" s="182" t="str">
        <f>'[1]Sch 3B - Other Items'!E34</f>
        <v>DIRECT</v>
      </c>
      <c r="F310" s="889" t="str">
        <f>'[1]Sch 3B - Other Items'!F34</f>
        <v>PROD</v>
      </c>
      <c r="G310" s="182">
        <f>'[1]Sch 3B - Other Items'!G34</f>
        <v>2198927</v>
      </c>
      <c r="H310" s="182">
        <f>'[1]Sch 3B - Other Items'!H34</f>
        <v>-5823888</v>
      </c>
      <c r="I310" s="182">
        <f>'[1]Sch 3B - Other Items'!I34</f>
        <v>1057573</v>
      </c>
      <c r="J310" s="182">
        <f>'[1]Sch 3B - Other Items'!J34</f>
        <v>73945213</v>
      </c>
    </row>
    <row r="311" spans="1:10">
      <c r="A311" s="912"/>
      <c r="B311" s="79" t="s">
        <v>507</v>
      </c>
      <c r="C311" s="888">
        <f>'[1]Sch 3B - Other Items'!C35</f>
        <v>330</v>
      </c>
      <c r="D311" s="888">
        <f>'[1]Sch 3B - Other Items'!D35</f>
        <v>456.1</v>
      </c>
      <c r="E311" s="182" t="str">
        <f>'[1]Sch 3B - Other Items'!E35</f>
        <v>TRANS</v>
      </c>
      <c r="F311" s="889">
        <f>'[1]Sch 3B - Other Items'!F35</f>
        <v>0</v>
      </c>
      <c r="G311" s="182">
        <f>'[1]Sch 3B - Other Items'!G35</f>
        <v>30969981</v>
      </c>
      <c r="H311" s="182">
        <f>'[1]Sch 3B - Other Items'!H35</f>
        <v>0</v>
      </c>
      <c r="I311" s="182">
        <f>'[1]Sch 3B - Other Items'!I35</f>
        <v>30969981</v>
      </c>
      <c r="J311" s="182">
        <f>'[1]Sch 3B - Other Items'!J35</f>
        <v>0</v>
      </c>
    </row>
    <row r="312" spans="1:10">
      <c r="A312" s="199"/>
      <c r="B312" s="79"/>
      <c r="C312" s="55"/>
      <c r="D312" s="196"/>
      <c r="E312" s="55"/>
      <c r="F312" s="55"/>
      <c r="G312" s="221"/>
      <c r="H312" s="221"/>
      <c r="I312" s="221"/>
      <c r="J312" s="222"/>
    </row>
    <row r="313" spans="1:10">
      <c r="A313" s="163" t="s">
        <v>48</v>
      </c>
      <c r="B313" s="64"/>
      <c r="C313" s="914"/>
      <c r="D313" s="915"/>
      <c r="E313" s="915"/>
      <c r="F313" s="916"/>
      <c r="G313" s="1684">
        <f>'[1]Sch 3B - Other Items'!G37</f>
        <v>41529489</v>
      </c>
      <c r="H313" s="1684">
        <f>'[1]Sch 3B - Other Items'!H37</f>
        <v>-5135556</v>
      </c>
      <c r="I313" s="1684">
        <f>'[1]Sch 3B - Other Items'!I37</f>
        <v>34330053.281959891</v>
      </c>
      <c r="J313" s="1685">
        <f>'[1]Sch 3B - Other Items'!J37</f>
        <v>79314962.718040109</v>
      </c>
    </row>
    <row r="314" spans="1:10">
      <c r="A314" s="163"/>
      <c r="B314" s="64"/>
      <c r="C314" s="55"/>
      <c r="D314" s="55"/>
      <c r="E314" s="55"/>
      <c r="F314" s="55"/>
      <c r="G314" s="1035"/>
      <c r="H314" s="1035"/>
      <c r="I314" s="1035"/>
      <c r="J314" s="1036"/>
    </row>
    <row r="315" spans="1:10">
      <c r="A315" s="163" t="s">
        <v>49</v>
      </c>
      <c r="B315" s="64"/>
      <c r="C315" s="914"/>
      <c r="D315" s="915"/>
      <c r="E315" s="915"/>
      <c r="F315" s="916"/>
      <c r="G315" s="1684" t="e">
        <f>'[1]Sch 3B - Other Items'!G39</f>
        <v>#REF!</v>
      </c>
      <c r="H315" s="1684" t="e">
        <f>'[1]Sch 3B - Other Items'!H39</f>
        <v>#REF!</v>
      </c>
      <c r="I315" s="1684" t="e">
        <f>'[1]Sch 3B - Other Items'!I39</f>
        <v>#REF!</v>
      </c>
      <c r="J315" s="1685" t="e">
        <f>'[1]Sch 3B - Other Items'!J39</f>
        <v>#REF!</v>
      </c>
    </row>
    <row r="316" spans="1:10">
      <c r="A316" s="922" t="s">
        <v>67</v>
      </c>
      <c r="B316" s="64"/>
      <c r="C316" s="79"/>
      <c r="D316" s="79"/>
      <c r="E316" s="79"/>
      <c r="F316" s="79"/>
      <c r="G316" s="79"/>
      <c r="H316" s="79"/>
      <c r="I316" s="79"/>
      <c r="J316" s="1037"/>
    </row>
    <row r="317" spans="1:10" ht="16.5" thickBot="1">
      <c r="A317" s="1705"/>
      <c r="B317" s="1706"/>
      <c r="C317" s="1706"/>
      <c r="D317" s="1706"/>
      <c r="E317" s="1706"/>
      <c r="F317" s="1706"/>
      <c r="G317" s="1706"/>
      <c r="H317" s="1706"/>
      <c r="I317" s="1706"/>
      <c r="J317" s="204"/>
    </row>
    <row r="318" spans="1:10" ht="17.25" thickTop="1" thickBot="1">
      <c r="A318" s="1038" t="s">
        <v>66</v>
      </c>
      <c r="B318" s="1039"/>
      <c r="C318" s="1039"/>
      <c r="D318" s="1039"/>
      <c r="E318" s="1039"/>
      <c r="F318" s="1040"/>
      <c r="G318" s="1040"/>
      <c r="H318" s="1040"/>
      <c r="I318" s="1039"/>
      <c r="J318" s="1039"/>
    </row>
    <row r="319" spans="1:10">
      <c r="A319" s="1041"/>
      <c r="B319" s="1707"/>
      <c r="C319" s="1708"/>
      <c r="D319" s="1708"/>
      <c r="E319" s="1708"/>
      <c r="F319" s="1708"/>
      <c r="G319" s="1707"/>
      <c r="H319" s="1707"/>
      <c r="I319" s="1707"/>
      <c r="J319" s="1709"/>
    </row>
    <row r="320" spans="1:10" ht="16.5" thickBot="1">
      <c r="A320" s="1045"/>
      <c r="B320" s="1671"/>
      <c r="G320" s="1046"/>
      <c r="H320" s="1046"/>
      <c r="I320" s="1046"/>
      <c r="J320" s="1047"/>
    </row>
    <row r="321" spans="1:10" ht="16.5" thickBot="1">
      <c r="A321" s="1710"/>
      <c r="G321" s="305" t="str">
        <f>'[1]Sch 4 - Average System Cost'!C12</f>
        <v>Total</v>
      </c>
      <c r="H321" s="305" t="str">
        <f>'[1]Sch 4 - Average System Cost'!D12</f>
        <v>Production</v>
      </c>
      <c r="I321" s="305" t="str">
        <f>'[1]Sch 4 - Average System Cost'!E12</f>
        <v>Transmission</v>
      </c>
      <c r="J321" s="305" t="str">
        <f>'[1]Sch 4 - Average System Cost'!F12</f>
        <v>Distribution/Other</v>
      </c>
    </row>
    <row r="322" spans="1:10" ht="16.5" thickBot="1">
      <c r="A322" s="1049" t="s">
        <v>50</v>
      </c>
      <c r="B322" s="1679"/>
      <c r="G322" s="1711" t="e">
        <f>'[1]Sch 4 - Average System Cost'!C13</f>
        <v>#REF!</v>
      </c>
      <c r="H322" s="1711" t="e">
        <f>'[1]Sch 4 - Average System Cost'!D13</f>
        <v>#REF!</v>
      </c>
      <c r="I322" s="1711" t="e">
        <f>'[1]Sch 4 - Average System Cost'!E13</f>
        <v>#REF!</v>
      </c>
      <c r="J322" s="1711" t="e">
        <f>'[1]Sch 4 - Average System Cost'!F13</f>
        <v>#REF!</v>
      </c>
    </row>
    <row r="323" spans="1:10">
      <c r="A323" s="1050" t="s">
        <v>68</v>
      </c>
      <c r="B323" s="1679"/>
      <c r="G323" s="221"/>
      <c r="H323" s="221"/>
      <c r="I323" s="221"/>
      <c r="J323" s="1051"/>
    </row>
    <row r="324" spans="1:10" ht="16.5" thickBot="1">
      <c r="A324" s="1050"/>
      <c r="B324" s="1679"/>
      <c r="G324" s="221"/>
      <c r="H324" s="221"/>
      <c r="I324" s="221"/>
      <c r="J324" s="1051"/>
    </row>
    <row r="325" spans="1:10" ht="16.5" thickBot="1">
      <c r="A325" s="1049" t="s">
        <v>141</v>
      </c>
      <c r="B325" s="1679"/>
      <c r="G325" s="1711" t="e">
        <f>'[1]Sch 4 - Average System Cost'!C16</f>
        <v>#REF!</v>
      </c>
      <c r="H325" s="1711" t="e">
        <f>'[1]Sch 4 - Average System Cost'!D16</f>
        <v>#REF!</v>
      </c>
      <c r="I325" s="1711" t="e">
        <f>'[1]Sch 4 - Average System Cost'!E16</f>
        <v>#REF!</v>
      </c>
      <c r="J325" s="1711" t="e">
        <f>'[1]Sch 4 - Average System Cost'!F16</f>
        <v>#REF!</v>
      </c>
    </row>
    <row r="326" spans="1:10">
      <c r="A326" s="1050" t="s">
        <v>254</v>
      </c>
      <c r="B326" s="1679"/>
      <c r="G326" s="221"/>
      <c r="H326" s="221"/>
      <c r="I326" s="221"/>
      <c r="J326" s="1051"/>
    </row>
    <row r="327" spans="1:10" ht="16.5" thickBot="1">
      <c r="A327" s="1050"/>
      <c r="B327" s="1679"/>
      <c r="G327" s="221"/>
      <c r="H327" s="221"/>
      <c r="I327" s="221"/>
      <c r="J327" s="1051"/>
    </row>
    <row r="328" spans="1:10" ht="16.5" thickBot="1">
      <c r="A328" s="1049" t="s">
        <v>39</v>
      </c>
      <c r="B328" s="1679"/>
      <c r="G328" s="1711">
        <f>'[1]Sch 4 - Average System Cost'!C19</f>
        <v>135775232</v>
      </c>
      <c r="H328" s="1711">
        <f>'[1]Sch 4 - Average System Cost'!D19</f>
        <v>11999696.097614231</v>
      </c>
      <c r="I328" s="1711">
        <f>'[1]Sch 4 - Average System Cost'!E19</f>
        <v>7857483.8495539734</v>
      </c>
      <c r="J328" s="1711">
        <f>'[1]Sch 4 - Average System Cost'!F19</f>
        <v>115671408.60041577</v>
      </c>
    </row>
    <row r="329" spans="1:10">
      <c r="A329" s="1050" t="s">
        <v>161</v>
      </c>
      <c r="B329" s="1679"/>
      <c r="G329" s="221"/>
      <c r="H329" s="221"/>
      <c r="I329" s="221"/>
      <c r="J329" s="1051"/>
    </row>
    <row r="330" spans="1:10" ht="16.5" thickBot="1">
      <c r="A330" s="1050"/>
      <c r="B330" s="1679"/>
      <c r="G330" s="221"/>
      <c r="H330" s="221"/>
      <c r="I330" s="221"/>
      <c r="J330" s="1051"/>
    </row>
    <row r="331" spans="1:10" ht="16.5" thickBot="1">
      <c r="A331" s="1049" t="s">
        <v>49</v>
      </c>
      <c r="B331" s="1679"/>
      <c r="G331" s="1711" t="e">
        <f>'[1]Sch 4 - Average System Cost'!C22</f>
        <v>#REF!</v>
      </c>
      <c r="H331" s="1711" t="e">
        <f>'[1]Sch 4 - Average System Cost'!D22</f>
        <v>#REF!</v>
      </c>
      <c r="I331" s="1711" t="e">
        <f>'[1]Sch 4 - Average System Cost'!E22</f>
        <v>#REF!</v>
      </c>
      <c r="J331" s="1711" t="e">
        <f>'[1]Sch 4 - Average System Cost'!F22</f>
        <v>#REF!</v>
      </c>
    </row>
    <row r="332" spans="1:10">
      <c r="A332" s="1050" t="s">
        <v>508</v>
      </c>
      <c r="B332" s="1679"/>
      <c r="G332" s="221"/>
      <c r="H332" s="221"/>
      <c r="I332" s="221"/>
      <c r="J332" s="1051"/>
    </row>
    <row r="333" spans="1:10" ht="16.5" thickBot="1">
      <c r="A333" s="1050"/>
      <c r="B333" s="1679"/>
      <c r="G333" s="221"/>
      <c r="H333" s="221"/>
      <c r="I333" s="221"/>
      <c r="J333" s="1051"/>
    </row>
    <row r="334" spans="1:10" ht="16.5" thickBot="1">
      <c r="A334" s="1049" t="s">
        <v>51</v>
      </c>
      <c r="B334" s="1679"/>
      <c r="G334" s="1712" t="e">
        <f>'[1]Sch 4 - Average System Cost'!C25</f>
        <v>#REF!</v>
      </c>
      <c r="H334" s="1712" t="e">
        <f>'[1]Sch 4 - Average System Cost'!D25</f>
        <v>#REF!</v>
      </c>
      <c r="I334" s="1712" t="e">
        <f>'[1]Sch 4 - Average System Cost'!E25</f>
        <v>#REF!</v>
      </c>
      <c r="J334" s="1712" t="e">
        <f>'[1]Sch 4 - Average System Cost'!F25</f>
        <v>#REF!</v>
      </c>
    </row>
    <row r="335" spans="1:10">
      <c r="A335" s="1050" t="s">
        <v>251</v>
      </c>
      <c r="B335" s="64"/>
      <c r="G335" s="1713"/>
      <c r="H335" s="1679"/>
      <c r="I335" s="1679"/>
      <c r="J335" s="1714"/>
    </row>
    <row r="336" spans="1:10">
      <c r="A336" s="1710"/>
      <c r="J336" s="1715"/>
    </row>
    <row r="337" spans="1:10" ht="16.5" thickBot="1">
      <c r="A337" s="1716"/>
      <c r="B337" s="1717"/>
      <c r="C337" s="1717"/>
      <c r="D337" s="1717"/>
      <c r="E337" s="1717"/>
      <c r="F337" s="1717"/>
      <c r="G337" s="1717"/>
      <c r="H337" s="1717"/>
      <c r="I337" s="1717"/>
      <c r="J337" s="1718"/>
    </row>
    <row r="338" spans="1:10" ht="16.5" thickBot="1">
      <c r="A338" s="1719" t="s">
        <v>509</v>
      </c>
      <c r="B338" s="1719"/>
      <c r="C338" s="1679"/>
      <c r="D338" s="1679"/>
      <c r="E338" s="1679"/>
      <c r="F338" s="1679"/>
      <c r="G338" s="1679"/>
      <c r="H338" s="1679"/>
      <c r="I338" s="1679"/>
      <c r="J338" s="1679"/>
    </row>
    <row r="339" spans="1:10">
      <c r="A339" s="228" t="s">
        <v>319</v>
      </c>
      <c r="B339" s="1679"/>
      <c r="G339" s="1679"/>
      <c r="H339" s="1720" t="e">
        <f>'[1]Sch 4 - Average System Cost'!D32</f>
        <v>#REF!</v>
      </c>
      <c r="I339" s="1679"/>
      <c r="J339" s="1679"/>
    </row>
    <row r="340" spans="1:10">
      <c r="A340" s="228" t="s">
        <v>106</v>
      </c>
      <c r="B340" s="1679"/>
      <c r="G340" s="1679"/>
      <c r="H340" s="229" t="e">
        <f>'[1]Sch 4 - Average System Cost'!D33</f>
        <v>#REF!</v>
      </c>
      <c r="I340" s="1679"/>
      <c r="J340" s="1679"/>
    </row>
    <row r="341" spans="1:10">
      <c r="A341" s="228" t="s">
        <v>513</v>
      </c>
      <c r="B341" s="1679"/>
      <c r="G341" s="1679"/>
      <c r="H341" s="229" t="e">
        <f>'[1]Sch 4 - Average System Cost'!D34</f>
        <v>#REF!</v>
      </c>
      <c r="I341" s="1679"/>
      <c r="J341" s="1679"/>
    </row>
    <row r="342" spans="1:10" ht="16.5" thickBot="1">
      <c r="A342" s="228" t="s">
        <v>854</v>
      </c>
      <c r="B342" s="1679"/>
      <c r="G342" s="1679"/>
      <c r="H342" s="229" t="e">
        <f>'[1]Sch 4 - Average System Cost'!D35</f>
        <v>#REF!</v>
      </c>
      <c r="I342" s="1679"/>
      <c r="J342" s="1679"/>
    </row>
    <row r="343" spans="1:10" ht="16.5" thickBot="1">
      <c r="A343" s="160" t="s">
        <v>510</v>
      </c>
      <c r="B343" s="1679"/>
      <c r="G343" s="1679"/>
      <c r="H343" s="1712" t="e">
        <f>'[1]Sch 4 - Average System Cost'!D36</f>
        <v>#REF!</v>
      </c>
      <c r="I343" s="1679"/>
      <c r="J343" s="1679"/>
    </row>
    <row r="344" spans="1:10" ht="16.5" thickBot="1">
      <c r="A344" s="228"/>
      <c r="B344" s="1679"/>
      <c r="G344" s="1679"/>
      <c r="H344" s="592"/>
      <c r="I344" s="1679"/>
      <c r="J344" s="1679"/>
    </row>
    <row r="345" spans="1:10" ht="16.5" thickBot="1">
      <c r="A345" s="1719" t="s">
        <v>511</v>
      </c>
      <c r="B345" s="1719"/>
      <c r="G345" s="1679"/>
      <c r="H345"/>
      <c r="I345" s="1679"/>
      <c r="J345" s="1679"/>
    </row>
    <row r="346" spans="1:10">
      <c r="A346" s="228" t="s">
        <v>320</v>
      </c>
      <c r="B346" s="1679"/>
      <c r="G346" s="1679"/>
      <c r="H346" s="1721">
        <f>'[1]Sch 4 - Average System Cost'!D39</f>
        <v>9307869</v>
      </c>
      <c r="I346"/>
      <c r="J346"/>
    </row>
    <row r="347" spans="1:10">
      <c r="A347" s="228" t="s">
        <v>321</v>
      </c>
      <c r="B347" s="1679"/>
      <c r="G347" s="1679"/>
      <c r="H347" s="1722" t="e">
        <f>'[1]Sch 4 - Average System Cost'!D40</f>
        <v>#REF!</v>
      </c>
      <c r="I347" s="1064" t="s">
        <v>637</v>
      </c>
      <c r="J347" s="1063">
        <f>'[1]Sch 4 - Average System Cost'!F45</f>
        <v>132849.682</v>
      </c>
    </row>
    <row r="348" spans="1:10">
      <c r="A348" s="228" t="s">
        <v>514</v>
      </c>
      <c r="B348" s="1679"/>
      <c r="G348" s="1679"/>
      <c r="H348" s="1722" t="e">
        <f>'[1]Sch 4 - Average System Cost'!D41</f>
        <v>#REF!</v>
      </c>
      <c r="I348" s="1723"/>
      <c r="J348" s="1679"/>
    </row>
    <row r="349" spans="1:10">
      <c r="A349" s="228" t="s">
        <v>176</v>
      </c>
      <c r="B349" s="1679"/>
      <c r="G349" s="1679"/>
      <c r="H349" s="1722">
        <f>'[1]Sch 4 - Average System Cost'!D42</f>
        <v>343088.52337068028</v>
      </c>
      <c r="I349" s="1723" t="s">
        <v>855</v>
      </c>
      <c r="J349"/>
    </row>
    <row r="350" spans="1:10" ht="16.5" thickBot="1">
      <c r="A350" s="228" t="s">
        <v>747</v>
      </c>
      <c r="B350" s="1679"/>
      <c r="G350" s="1679"/>
      <c r="H350" s="1722" t="e">
        <f>'[1]Sch 4 - Average System Cost'!D43</f>
        <v>#REF!</v>
      </c>
      <c r="I350" s="1064" t="s">
        <v>856</v>
      </c>
      <c r="J350" s="1063">
        <f>'[1]Sch 4 - Average System Cost'!F48</f>
        <v>0</v>
      </c>
    </row>
    <row r="351" spans="1:10" ht="16.5" thickBot="1">
      <c r="A351" s="1719" t="s">
        <v>512</v>
      </c>
      <c r="B351" s="1719"/>
      <c r="G351" s="1724"/>
      <c r="H351" s="1725" t="e">
        <f>'[1]Sch 4 - Average System Cost'!D44</f>
        <v>#REF!</v>
      </c>
      <c r="I351" s="1724"/>
      <c r="J351" s="1724"/>
    </row>
    <row r="352" spans="1:10" ht="16.5" thickBot="1">
      <c r="A352" s="165"/>
      <c r="B352" s="1679"/>
      <c r="G352" s="1679"/>
      <c r="H352" s="1726"/>
      <c r="I352" s="1679"/>
      <c r="J352" s="1679"/>
    </row>
    <row r="353" spans="1:10" ht="19.5" thickBot="1">
      <c r="A353" s="1727" t="s">
        <v>322</v>
      </c>
      <c r="B353" s="1727"/>
      <c r="G353" s="1679"/>
      <c r="H353" s="1728" t="e">
        <f>'[1]Sch 4 - Average System Cost'!D46</f>
        <v>#REF!</v>
      </c>
      <c r="I353" s="1679"/>
      <c r="J353" s="1679"/>
    </row>
    <row r="354" spans="1:10">
      <c r="A354" s="600"/>
      <c r="B354" s="1679"/>
      <c r="G354" s="1679"/>
      <c r="H354" s="1726"/>
      <c r="I354" s="1679"/>
      <c r="J354" s="1679"/>
    </row>
    <row r="355" spans="1:10">
      <c r="A355" s="600"/>
      <c r="B355" s="1679"/>
      <c r="G355" s="1679"/>
      <c r="H355" s="1726"/>
      <c r="I355" s="1679"/>
      <c r="J355" s="1679"/>
    </row>
    <row r="356" spans="1:10">
      <c r="A356" s="600"/>
      <c r="B356" s="1679"/>
      <c r="G356" s="1679"/>
      <c r="H356" s="1726"/>
      <c r="I356" s="1679"/>
      <c r="J356" s="1679"/>
    </row>
    <row r="357" spans="1:10">
      <c r="A357" s="600"/>
      <c r="B357" s="1679"/>
      <c r="G357" s="1679"/>
      <c r="H357" s="1726"/>
      <c r="I357" s="1679"/>
      <c r="J357" s="1679"/>
    </row>
    <row r="358" spans="1:10">
      <c r="A358" s="600"/>
      <c r="B358" s="1679"/>
      <c r="G358" s="1679"/>
      <c r="H358" s="1726"/>
      <c r="I358" s="1679"/>
      <c r="J358" s="1679"/>
    </row>
    <row r="359" spans="1:10">
      <c r="A359" s="600"/>
      <c r="B359" s="1679"/>
      <c r="G359" s="1679"/>
      <c r="H359" s="1726"/>
      <c r="I359" s="1679"/>
      <c r="J359" s="1679"/>
    </row>
    <row r="361" spans="1:10" ht="16.5" thickBot="1"/>
    <row r="362" spans="1:10" ht="16.5" thickTop="1">
      <c r="A362" s="1729"/>
      <c r="E362" s="2465" t="s">
        <v>354</v>
      </c>
      <c r="F362" s="2466"/>
      <c r="G362" s="2469" t="s">
        <v>104</v>
      </c>
      <c r="H362" s="2472" t="s">
        <v>105</v>
      </c>
      <c r="I362" s="2475" t="s">
        <v>106</v>
      </c>
      <c r="J362" s="326"/>
    </row>
    <row r="363" spans="1:10" ht="16.5" thickBot="1">
      <c r="A363" s="1730"/>
      <c r="B363" s="1731"/>
      <c r="C363" s="1731"/>
      <c r="D363" s="1731"/>
      <c r="E363" s="2467"/>
      <c r="F363" s="2468"/>
      <c r="G363" s="2470"/>
      <c r="H363" s="2473"/>
      <c r="I363" s="2461"/>
      <c r="J363" s="310" t="s">
        <v>98</v>
      </c>
    </row>
    <row r="364" spans="1:10" ht="16.5" thickBot="1">
      <c r="A364" s="107" t="s">
        <v>521</v>
      </c>
      <c r="B364" s="108"/>
      <c r="C364" s="1731"/>
      <c r="D364" s="1731"/>
      <c r="E364" s="311" t="s">
        <v>454</v>
      </c>
      <c r="F364" s="311" t="s">
        <v>623</v>
      </c>
      <c r="G364" s="2471"/>
      <c r="H364" s="2474"/>
      <c r="I364" s="2476"/>
      <c r="J364" s="314" t="s">
        <v>107</v>
      </c>
    </row>
    <row r="365" spans="1:10" ht="16.5" thickTop="1">
      <c r="A365" s="107"/>
      <c r="B365" s="108" t="s">
        <v>105</v>
      </c>
      <c r="C365" s="1731"/>
      <c r="D365" s="1731"/>
      <c r="E365" s="182" t="str">
        <f>[1]Ratios!C13</f>
        <v>PROD</v>
      </c>
      <c r="F365" s="889"/>
      <c r="G365" s="182">
        <f>[1]Ratios!D13</f>
        <v>19893844</v>
      </c>
      <c r="H365" s="182">
        <f>[1]Ratios!E13</f>
        <v>19893844</v>
      </c>
      <c r="I365" s="182">
        <f>[1]Ratios!F13</f>
        <v>0</v>
      </c>
      <c r="J365" s="182">
        <f>[1]Ratios!G13</f>
        <v>0</v>
      </c>
    </row>
    <row r="366" spans="1:10">
      <c r="A366" s="107"/>
      <c r="B366" s="108" t="s">
        <v>106</v>
      </c>
      <c r="C366" s="1731"/>
      <c r="D366" s="1731"/>
      <c r="E366" s="182" t="str">
        <f>[1]Ratios!C14</f>
        <v>TRANS</v>
      </c>
      <c r="F366" s="888"/>
      <c r="G366" s="182">
        <f>[1]Ratios!D14</f>
        <v>6611795</v>
      </c>
      <c r="H366" s="182">
        <f>[1]Ratios!E14</f>
        <v>0</v>
      </c>
      <c r="I366" s="182">
        <f>[1]Ratios!F14</f>
        <v>6611795</v>
      </c>
      <c r="J366" s="182">
        <f>[1]Ratios!G14</f>
        <v>0</v>
      </c>
    </row>
    <row r="367" spans="1:10">
      <c r="A367" s="107"/>
      <c r="B367" s="108" t="s">
        <v>516</v>
      </c>
      <c r="C367" s="1731"/>
      <c r="D367" s="1731"/>
      <c r="E367" s="182" t="str">
        <f>[1]Ratios!C15</f>
        <v>DIST</v>
      </c>
      <c r="F367" s="888"/>
      <c r="G367" s="182">
        <f>[1]Ratios!D15</f>
        <v>17025418</v>
      </c>
      <c r="H367" s="182">
        <f>[1]Ratios!E15</f>
        <v>0</v>
      </c>
      <c r="I367" s="182">
        <f>[1]Ratios!F15</f>
        <v>0</v>
      </c>
      <c r="J367" s="182">
        <f>[1]Ratios!G15</f>
        <v>17025418</v>
      </c>
    </row>
    <row r="368" spans="1:10">
      <c r="A368" s="107"/>
      <c r="B368" s="108" t="s">
        <v>517</v>
      </c>
      <c r="C368" s="1731"/>
      <c r="D368" s="1731"/>
      <c r="E368" s="182" t="str">
        <f>[1]Ratios!C16</f>
        <v>DIST</v>
      </c>
      <c r="F368" s="888"/>
      <c r="G368" s="182">
        <f>[1]Ratios!D16</f>
        <v>6507117</v>
      </c>
      <c r="H368" s="182">
        <f>[1]Ratios!E16</f>
        <v>0</v>
      </c>
      <c r="I368" s="182">
        <f>[1]Ratios!F16</f>
        <v>0</v>
      </c>
      <c r="J368" s="182">
        <f>[1]Ratios!G16</f>
        <v>6507117</v>
      </c>
    </row>
    <row r="369" spans="1:10">
      <c r="A369" s="107"/>
      <c r="B369" s="108" t="s">
        <v>518</v>
      </c>
      <c r="C369" s="1731"/>
      <c r="D369" s="1731"/>
      <c r="E369" s="182" t="str">
        <f>[1]Ratios!C17</f>
        <v>DIST</v>
      </c>
      <c r="F369" s="888"/>
      <c r="G369" s="182">
        <f>[1]Ratios!D17</f>
        <v>422600</v>
      </c>
      <c r="H369" s="182">
        <f>[1]Ratios!E17</f>
        <v>0</v>
      </c>
      <c r="I369" s="182">
        <f>[1]Ratios!F17</f>
        <v>0</v>
      </c>
      <c r="J369" s="182">
        <f>[1]Ratios!G17</f>
        <v>422600</v>
      </c>
    </row>
    <row r="370" spans="1:10">
      <c r="A370" s="107"/>
      <c r="B370" s="108" t="s">
        <v>519</v>
      </c>
      <c r="C370" s="1731"/>
      <c r="D370" s="1731"/>
      <c r="E370" s="182" t="str">
        <f>[1]Ratios!C18</f>
        <v>DIST</v>
      </c>
      <c r="F370" s="888"/>
      <c r="G370" s="182">
        <f>[1]Ratios!D18</f>
        <v>0</v>
      </c>
      <c r="H370" s="182">
        <f>[1]Ratios!E18</f>
        <v>0</v>
      </c>
      <c r="I370" s="182">
        <f>[1]Ratios!F18</f>
        <v>0</v>
      </c>
      <c r="J370" s="182">
        <f>[1]Ratios!G18</f>
        <v>0</v>
      </c>
    </row>
    <row r="371" spans="1:10">
      <c r="A371" s="107"/>
      <c r="B371" s="108" t="s">
        <v>522</v>
      </c>
      <c r="C371" s="1731"/>
      <c r="D371" s="1731"/>
      <c r="E371" s="182" t="str">
        <f>[1]Ratios!C19</f>
        <v>PTD</v>
      </c>
      <c r="F371" s="888"/>
      <c r="G371" s="182">
        <f>[1]Ratios!D19</f>
        <v>29427473</v>
      </c>
      <c r="H371" s="182">
        <f>[1]Ratios!E19</f>
        <v>9350897.9082645196</v>
      </c>
      <c r="I371" s="182">
        <f>[1]Ratios!F19</f>
        <v>6128490.0730446223</v>
      </c>
      <c r="J371" s="182">
        <f>[1]Ratios!G19</f>
        <v>13948085.018690856</v>
      </c>
    </row>
    <row r="372" spans="1:10">
      <c r="A372" s="1732"/>
      <c r="B372" s="838"/>
      <c r="C372" s="1731"/>
      <c r="D372" s="1731"/>
      <c r="E372" s="1731"/>
      <c r="F372" s="1731"/>
      <c r="G372" s="1733"/>
      <c r="H372" s="1733"/>
      <c r="I372" s="1733"/>
      <c r="J372" s="1733"/>
    </row>
    <row r="373" spans="1:10">
      <c r="A373" s="107" t="s">
        <v>523</v>
      </c>
      <c r="B373" s="108"/>
      <c r="C373" s="1731"/>
      <c r="D373" s="1731"/>
      <c r="E373" s="1734"/>
      <c r="F373" s="1735"/>
      <c r="G373" s="1736">
        <f>[1]Ratios!D21</f>
        <v>79888247</v>
      </c>
      <c r="H373" s="1736">
        <f>[1]Ratios!E21</f>
        <v>29244741.908264518</v>
      </c>
      <c r="I373" s="1736">
        <f>[1]Ratios!F21</f>
        <v>12740285.073044622</v>
      </c>
      <c r="J373" s="1736">
        <f>[1]Ratios!G21</f>
        <v>37903220.018690854</v>
      </c>
    </row>
    <row r="374" spans="1:10">
      <c r="A374" s="1730"/>
      <c r="B374" s="1731"/>
      <c r="C374" s="1731"/>
      <c r="D374" s="1731"/>
      <c r="E374" s="1731"/>
      <c r="F374" s="1731"/>
      <c r="G374" s="1737">
        <f>[1]Ratios!D22</f>
        <v>1</v>
      </c>
      <c r="H374" s="1737">
        <f>[1]Ratios!E22</f>
        <v>0.36607064250971133</v>
      </c>
      <c r="I374" s="1737">
        <f>[1]Ratios!F22</f>
        <v>0.15947633790292862</v>
      </c>
      <c r="J374" s="1737">
        <f>[1]Ratios!G22</f>
        <v>0.47445301958736003</v>
      </c>
    </row>
    <row r="375" spans="1:10">
      <c r="A375" s="1730"/>
      <c r="B375" s="1731"/>
      <c r="C375" s="1731"/>
      <c r="D375" s="1731"/>
      <c r="E375" s="1731"/>
      <c r="F375" s="1731"/>
      <c r="G375" s="1738"/>
      <c r="H375" s="1739"/>
      <c r="I375" s="1739"/>
      <c r="J375" s="1739"/>
    </row>
    <row r="376" spans="1:10">
      <c r="A376" s="1730"/>
      <c r="B376" s="1731"/>
      <c r="C376" s="1731"/>
      <c r="D376" s="1731"/>
      <c r="E376" s="1731"/>
      <c r="F376" s="1731"/>
      <c r="G376" s="1738"/>
      <c r="H376" s="1739"/>
      <c r="I376" s="1739"/>
      <c r="J376" s="1739"/>
    </row>
    <row r="377" spans="1:10" ht="16.5" thickBot="1">
      <c r="A377" s="1730"/>
      <c r="B377" s="1731"/>
      <c r="C377" s="10"/>
      <c r="D377" s="196"/>
      <c r="E377" s="1731"/>
      <c r="F377" s="1731"/>
      <c r="G377" s="1738"/>
      <c r="H377" s="1739"/>
      <c r="I377" s="1739"/>
      <c r="J377" s="1739"/>
    </row>
    <row r="378" spans="1:10" ht="17.25" thickTop="1" thickBot="1">
      <c r="A378" s="1730"/>
      <c r="B378" s="1740" t="s">
        <v>347</v>
      </c>
      <c r="C378" s="1741"/>
      <c r="D378" s="1081"/>
      <c r="E378" s="1081"/>
      <c r="F378" s="1081"/>
      <c r="G378" s="1082"/>
      <c r="H378" s="1739"/>
      <c r="I378" s="1739"/>
      <c r="J378" s="1739"/>
    </row>
    <row r="379" spans="1:10" ht="16.5" thickBot="1">
      <c r="A379" s="1730"/>
      <c r="B379" s="107"/>
      <c r="C379" s="108"/>
      <c r="D379" s="1742"/>
      <c r="E379" s="1086"/>
      <c r="F379" s="1086"/>
      <c r="G379" s="1086"/>
      <c r="H379" s="1739"/>
      <c r="I379" s="1739"/>
      <c r="J379" s="1739"/>
    </row>
    <row r="380" spans="1:10" ht="16.5" thickBot="1">
      <c r="A380" s="1730"/>
      <c r="B380" s="107" t="s">
        <v>536</v>
      </c>
      <c r="C380" s="108"/>
      <c r="D380" s="1743" t="str">
        <f>[1]Ratios!D78</f>
        <v>DIST</v>
      </c>
      <c r="E380" s="1086">
        <f>[1]Ratios!E78</f>
        <v>0</v>
      </c>
      <c r="F380" s="1086">
        <f>[1]Ratios!F78</f>
        <v>0</v>
      </c>
      <c r="G380" s="1086">
        <f>[1]Ratios!G78</f>
        <v>1</v>
      </c>
      <c r="H380" s="1739"/>
      <c r="I380" s="1739"/>
      <c r="J380" s="1739"/>
    </row>
    <row r="381" spans="1:10" ht="16.5" thickBot="1">
      <c r="A381" s="1730"/>
      <c r="B381" s="107" t="s">
        <v>537</v>
      </c>
      <c r="C381" s="108"/>
      <c r="D381" s="1743" t="str">
        <f>[1]Ratios!D79</f>
        <v>PROD</v>
      </c>
      <c r="E381" s="1086">
        <f>[1]Ratios!E79</f>
        <v>1</v>
      </c>
      <c r="F381" s="1086">
        <f>[1]Ratios!F79</f>
        <v>0</v>
      </c>
      <c r="G381" s="1086">
        <f>[1]Ratios!G79</f>
        <v>0</v>
      </c>
      <c r="H381" s="1739"/>
      <c r="I381" s="1739"/>
      <c r="J381" s="1739"/>
    </row>
    <row r="382" spans="1:10" ht="16.5" thickBot="1">
      <c r="A382" s="1730"/>
      <c r="B382" s="107" t="s">
        <v>538</v>
      </c>
      <c r="C382" s="108"/>
      <c r="D382" s="1743" t="str">
        <f>[1]Ratios!D80</f>
        <v>TRANS</v>
      </c>
      <c r="E382" s="1086">
        <f>[1]Ratios!E80</f>
        <v>0</v>
      </c>
      <c r="F382" s="1086">
        <f>[1]Ratios!F80</f>
        <v>1</v>
      </c>
      <c r="G382" s="1086">
        <f>[1]Ratios!G80</f>
        <v>0</v>
      </c>
      <c r="H382" s="1739"/>
      <c r="I382" s="1739"/>
      <c r="J382" s="1739"/>
    </row>
    <row r="383" spans="1:10" ht="16.5" thickBot="1">
      <c r="A383" s="1730"/>
      <c r="B383" s="107" t="s">
        <v>539</v>
      </c>
      <c r="C383" s="108"/>
      <c r="D383" s="1743" t="str">
        <f>[1]Ratios!D81</f>
        <v>DIRECT</v>
      </c>
      <c r="E383" s="1086">
        <f>[1]Ratios!E81</f>
        <v>0</v>
      </c>
      <c r="F383" s="1086">
        <f>[1]Ratios!F81</f>
        <v>0</v>
      </c>
      <c r="G383" s="1086">
        <f>[1]Ratios!G81</f>
        <v>0</v>
      </c>
      <c r="H383" s="1739"/>
      <c r="I383" s="1739"/>
      <c r="J383" s="1739"/>
    </row>
    <row r="384" spans="1:10" ht="16.5" thickBot="1">
      <c r="A384" s="1730"/>
      <c r="B384" s="107" t="s">
        <v>92</v>
      </c>
      <c r="C384" s="108"/>
      <c r="D384" s="1743" t="str">
        <f>[1]Ratios!D82</f>
        <v>GP</v>
      </c>
      <c r="E384" s="1086">
        <f>[1]Ratios!E82</f>
        <v>0.15404084567525972</v>
      </c>
      <c r="F384" s="1086">
        <f>[1]Ratios!F82</f>
        <v>0.25743409115611354</v>
      </c>
      <c r="G384" s="1086">
        <f>[1]Ratios!G82</f>
        <v>0.58852506316862663</v>
      </c>
      <c r="H384" s="1739"/>
      <c r="I384" s="1739"/>
      <c r="J384" s="1739"/>
    </row>
    <row r="385" spans="1:10" ht="16.5" thickBot="1">
      <c r="A385" s="1730"/>
      <c r="B385" s="107" t="s">
        <v>94</v>
      </c>
      <c r="C385" s="108"/>
      <c r="D385" s="1743" t="str">
        <f>[1]Ratios!D83</f>
        <v>GPM</v>
      </c>
      <c r="E385" s="1086">
        <f>[1]Ratios!E83</f>
        <v>0.32060435635106455</v>
      </c>
      <c r="F385" s="1086">
        <f>[1]Ratios!F83</f>
        <v>0.20538615872989377</v>
      </c>
      <c r="G385" s="1086">
        <f>[1]Ratios!G83</f>
        <v>0.47400948491904171</v>
      </c>
      <c r="H385" s="1739"/>
      <c r="I385" s="1739"/>
      <c r="J385" s="1739"/>
    </row>
    <row r="386" spans="1:10" ht="16.5" thickBot="1">
      <c r="A386" s="1730"/>
      <c r="B386" s="107" t="s">
        <v>127</v>
      </c>
      <c r="C386" s="108"/>
      <c r="D386" s="1743" t="str">
        <f>[1]Ratios!D84</f>
        <v>LABOR</v>
      </c>
      <c r="E386" s="1086">
        <f>[1]Ratios!E84</f>
        <v>0.36607064250971133</v>
      </c>
      <c r="F386" s="1086">
        <f>[1]Ratios!F84</f>
        <v>0.15947633790292862</v>
      </c>
      <c r="G386" s="1086">
        <f>[1]Ratios!G84</f>
        <v>0.47445301958736003</v>
      </c>
      <c r="H386" s="1739"/>
      <c r="I386" s="1739"/>
      <c r="J386" s="1739"/>
    </row>
    <row r="387" spans="1:10" ht="16.5" thickBot="1">
      <c r="A387" s="1730"/>
      <c r="B387" s="107" t="s">
        <v>529</v>
      </c>
      <c r="C387" s="108"/>
      <c r="D387" s="1743" t="str">
        <f>[1]Ratios!D85</f>
        <v>PTD</v>
      </c>
      <c r="E387" s="1086">
        <f>[1]Ratios!E85</f>
        <v>0.31776081854750221</v>
      </c>
      <c r="F387" s="1086">
        <f>[1]Ratios!F85</f>
        <v>0.2082574359356178</v>
      </c>
      <c r="G387" s="1086">
        <f>[1]Ratios!G85</f>
        <v>0.47398174551687999</v>
      </c>
      <c r="H387" s="1739"/>
      <c r="I387" s="1739"/>
      <c r="J387" s="1739"/>
    </row>
    <row r="388" spans="1:10" ht="16.5" thickBot="1">
      <c r="A388" s="1730"/>
      <c r="B388" s="107" t="s">
        <v>540</v>
      </c>
      <c r="C388" s="108"/>
      <c r="D388" s="1743" t="str">
        <f>[1]Ratios!D86</f>
        <v>PTDG</v>
      </c>
      <c r="E388" s="1086">
        <f>[1]Ratios!E86</f>
        <v>0.31692174400785456</v>
      </c>
      <c r="F388" s="1086">
        <f>[1]Ratios!F86</f>
        <v>0.20752254597591824</v>
      </c>
      <c r="G388" s="1086">
        <f>[1]Ratios!G86</f>
        <v>0.46904165562252065</v>
      </c>
      <c r="H388" s="1739"/>
      <c r="I388" s="1739"/>
      <c r="J388" s="1739"/>
    </row>
    <row r="389" spans="1:10" ht="16.5" thickBot="1">
      <c r="A389" s="1730"/>
      <c r="B389" s="114" t="s">
        <v>534</v>
      </c>
      <c r="C389" s="115"/>
      <c r="D389" s="1744" t="str">
        <f>[1]Ratios!D87</f>
        <v>TD</v>
      </c>
      <c r="E389" s="1086">
        <f>[1]Ratios!E87</f>
        <v>0</v>
      </c>
      <c r="F389" s="1086">
        <f>[1]Ratios!F87</f>
        <v>0.30525575428288138</v>
      </c>
      <c r="G389" s="1086">
        <f>[1]Ratios!G87</f>
        <v>0.69474424571711857</v>
      </c>
      <c r="H389" s="1739"/>
      <c r="I389" s="1739"/>
      <c r="J389" s="1739"/>
    </row>
    <row r="390" spans="1:10" ht="16.5" thickTop="1">
      <c r="A390" s="1730"/>
      <c r="B390" s="1731"/>
      <c r="C390" s="1731"/>
      <c r="D390" s="1731"/>
      <c r="E390" s="1731"/>
      <c r="F390" s="1731"/>
      <c r="G390" s="1745"/>
      <c r="H390" s="1745"/>
      <c r="I390" s="1745"/>
      <c r="J390" s="1745"/>
    </row>
    <row r="391" spans="1:10">
      <c r="A391" s="1730"/>
      <c r="B391" s="1731"/>
      <c r="C391" s="1731"/>
      <c r="D391" s="1731"/>
      <c r="E391" s="1731"/>
      <c r="F391" s="1731"/>
      <c r="G391" s="1739"/>
      <c r="H391" s="1739"/>
      <c r="I391" s="1739"/>
      <c r="J391" s="1739"/>
    </row>
    <row r="392" spans="1:10">
      <c r="A392" s="1730"/>
      <c r="B392" s="1731"/>
      <c r="C392" s="1731"/>
      <c r="D392" s="1731"/>
      <c r="E392" s="1731"/>
      <c r="F392" s="1731"/>
      <c r="G392" s="1738"/>
      <c r="H392" s="1739"/>
      <c r="I392" s="1739"/>
      <c r="J392" s="1739"/>
    </row>
    <row r="393" spans="1:10">
      <c r="A393" s="1730"/>
      <c r="B393" s="1731"/>
      <c r="C393" s="1731"/>
      <c r="D393" s="1731"/>
      <c r="E393" s="1731"/>
      <c r="F393" s="1731"/>
      <c r="G393" s="1738"/>
      <c r="H393" s="1739"/>
      <c r="I393" s="1739"/>
      <c r="J393" s="1739"/>
    </row>
  </sheetData>
  <mergeCells count="25">
    <mergeCell ref="B171:B173"/>
    <mergeCell ref="E171:F172"/>
    <mergeCell ref="A12:B14"/>
    <mergeCell ref="G12:G14"/>
    <mergeCell ref="H12:H14"/>
    <mergeCell ref="G171:G173"/>
    <mergeCell ref="H171:H173"/>
    <mergeCell ref="I171:I173"/>
    <mergeCell ref="H264:H266"/>
    <mergeCell ref="K12:K14"/>
    <mergeCell ref="J12:J14"/>
    <mergeCell ref="I12:I14"/>
    <mergeCell ref="I362:I364"/>
    <mergeCell ref="B264:B266"/>
    <mergeCell ref="E264:F265"/>
    <mergeCell ref="G264:G266"/>
    <mergeCell ref="I287:I289"/>
    <mergeCell ref="E287:F288"/>
    <mergeCell ref="G287:G289"/>
    <mergeCell ref="H287:H289"/>
    <mergeCell ref="E362:F363"/>
    <mergeCell ref="G362:G364"/>
    <mergeCell ref="H362:H364"/>
    <mergeCell ref="I264:I266"/>
    <mergeCell ref="B287:B289"/>
  </mergeCells>
  <pageMargins left="0.7" right="0.7" top="0.75" bottom="0.75" header="0.3" footer="0.3"/>
  <pageSetup orientation="portrait" r:id="rId1"/>
  <customProperties>
    <customPr name="xxe4aPID" r:id="rId2"/>
  </customPropertie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dimension ref="A1:T393"/>
  <sheetViews>
    <sheetView topLeftCell="A19" workbookViewId="0">
      <selection activeCell="G16" sqref="G16"/>
    </sheetView>
  </sheetViews>
  <sheetFormatPr defaultRowHeight="15.75"/>
  <cols>
    <col min="1" max="1" width="23.125" style="1211" customWidth="1"/>
    <col min="2" max="2" width="54.25" style="1211" customWidth="1"/>
    <col min="3" max="6" width="13" style="1211" customWidth="1"/>
    <col min="7" max="7" width="15.875" style="1211" customWidth="1"/>
    <col min="8" max="8" width="18.375" style="1211" customWidth="1"/>
    <col min="9" max="10" width="15.5" style="1211" customWidth="1"/>
  </cols>
  <sheetData>
    <row r="1" spans="1:20" ht="16.5" thickTop="1">
      <c r="A1" s="83" t="str">
        <f>'Sch 1- Rate Base '!A1:J1</f>
        <v>BONNEVILLE POWER ADMINISTRATION</v>
      </c>
      <c r="B1" s="1660"/>
      <c r="C1" s="1661"/>
      <c r="D1" s="1661"/>
      <c r="E1" s="1661"/>
      <c r="F1" s="1661"/>
      <c r="G1" s="1661"/>
      <c r="H1" s="1661"/>
      <c r="I1" s="1661"/>
      <c r="J1" s="1662"/>
    </row>
    <row r="2" spans="1:20">
      <c r="A2" s="83" t="str">
        <f>'Sch 1- Rate Base '!A2:J2</f>
        <v>RESIDENTIAL PURCHASE AND SALES AGREEMENT</v>
      </c>
      <c r="B2" s="83"/>
      <c r="C2" s="1663"/>
      <c r="D2" s="1663"/>
      <c r="E2" s="1663"/>
      <c r="F2" s="1663"/>
      <c r="G2" s="1663"/>
      <c r="H2" s="1663"/>
      <c r="I2" s="1663"/>
      <c r="J2" s="1664"/>
    </row>
    <row r="3" spans="1:20">
      <c r="A3" s="83" t="str">
        <f>'Sch 1- Rate Base '!A3:J3</f>
        <v>2008 Average System Cost Methodology (ASCM) Appendix 1</v>
      </c>
      <c r="B3" s="3"/>
      <c r="C3" s="2"/>
      <c r="D3" s="2"/>
      <c r="E3" s="3"/>
      <c r="F3" s="3"/>
      <c r="G3" s="4"/>
      <c r="H3" s="5"/>
      <c r="I3" s="5"/>
      <c r="J3" s="159"/>
    </row>
    <row r="4" spans="1:20" ht="16.5" thickBot="1">
      <c r="A4" s="158"/>
      <c r="B4" s="3"/>
      <c r="C4" s="2"/>
      <c r="D4" s="2"/>
      <c r="E4" s="3"/>
      <c r="F4" s="3"/>
      <c r="G4" s="4"/>
      <c r="H4" s="5"/>
      <c r="I4" s="5"/>
      <c r="J4" s="159"/>
    </row>
    <row r="5" spans="1:20">
      <c r="A5" s="1665"/>
      <c r="B5" s="180"/>
      <c r="C5" s="180"/>
      <c r="D5" s="502" t="str">
        <f>'Sch 1- Rate Base '!D5</f>
        <v>UTILITY NAME:</v>
      </c>
      <c r="E5" s="868" t="str">
        <f>'Sch 1- Rate Base '!E5:G5</f>
        <v>Utility Name</v>
      </c>
      <c r="F5" s="869"/>
      <c r="G5" s="870"/>
      <c r="H5" s="180"/>
      <c r="I5" s="180"/>
      <c r="J5" s="1666"/>
    </row>
    <row r="6" spans="1:20">
      <c r="A6" s="1667"/>
      <c r="B6" s="180"/>
      <c r="C6" s="180"/>
      <c r="D6" s="502" t="str">
        <f>'Sch 1- Rate Base '!D6</f>
        <v>End of Year Report Period:</v>
      </c>
      <c r="E6" s="872">
        <f>'Sch 1- Rate Base '!E6:G6</f>
        <v>2023</v>
      </c>
      <c r="F6" s="873"/>
      <c r="G6" s="874"/>
      <c r="H6" s="180"/>
      <c r="I6" s="180"/>
      <c r="J6" s="1666"/>
    </row>
    <row r="7" spans="1:20" ht="16.5" thickBot="1">
      <c r="A7" s="1667"/>
      <c r="B7" s="180"/>
      <c r="C7" s="180"/>
      <c r="D7" s="502" t="str">
        <f>'Sch 1- Rate Base '!D7</f>
        <v>ASC Filing Date:</v>
      </c>
      <c r="E7" s="875">
        <f>'Sch 1- Rate Base '!E7:G7</f>
        <v>45446</v>
      </c>
      <c r="F7" s="876"/>
      <c r="G7" s="877"/>
      <c r="H7" s="180"/>
      <c r="I7" s="180"/>
      <c r="J7" s="1666"/>
      <c r="M7" t="s">
        <v>272</v>
      </c>
      <c r="N7" t="s">
        <v>96</v>
      </c>
      <c r="O7" s="1211" t="s">
        <v>838</v>
      </c>
      <c r="P7" s="1211" t="s">
        <v>839</v>
      </c>
      <c r="Q7" t="s">
        <v>104</v>
      </c>
      <c r="R7" t="s">
        <v>105</v>
      </c>
      <c r="S7" t="s">
        <v>106</v>
      </c>
      <c r="T7" s="1211" t="s">
        <v>516</v>
      </c>
    </row>
    <row r="8" spans="1:20">
      <c r="A8" s="1668"/>
      <c r="B8" s="3"/>
      <c r="C8" s="2"/>
      <c r="D8" s="2"/>
      <c r="E8" s="3"/>
      <c r="F8" s="3"/>
      <c r="G8" s="4"/>
      <c r="H8" s="5"/>
      <c r="I8" s="5"/>
      <c r="J8" s="1669"/>
    </row>
    <row r="9" spans="1:20">
      <c r="A9" s="1670"/>
      <c r="B9" s="1671"/>
      <c r="C9" s="1672"/>
      <c r="D9" s="1671"/>
      <c r="E9" s="147"/>
      <c r="F9" s="147"/>
      <c r="G9" s="4"/>
      <c r="J9" s="1673"/>
    </row>
    <row r="10" spans="1:20">
      <c r="A10" s="1670"/>
      <c r="H10" s="1674">
        <f>E6</f>
        <v>2023</v>
      </c>
      <c r="I10" s="1675" t="str">
        <f>"End-of-Year  -  " &amp; H10</f>
        <v>End-of-Year  -  2023</v>
      </c>
      <c r="J10" s="1676"/>
    </row>
    <row r="11" spans="1:20" ht="16.5" thickBot="1">
      <c r="A11" s="1670"/>
      <c r="J11" s="1673"/>
    </row>
    <row r="12" spans="1:20" ht="16.5" thickBot="1">
      <c r="A12" s="2285" t="s">
        <v>100</v>
      </c>
      <c r="B12" s="2286"/>
      <c r="C12" s="327" t="s">
        <v>276</v>
      </c>
      <c r="D12" s="328"/>
      <c r="E12" s="317" t="s">
        <v>354</v>
      </c>
      <c r="F12" s="318"/>
      <c r="G12" s="2289" t="s">
        <v>104</v>
      </c>
      <c r="H12" s="2289" t="s">
        <v>105</v>
      </c>
      <c r="I12" s="2289" t="s">
        <v>106</v>
      </c>
      <c r="J12" s="2313" t="s">
        <v>731</v>
      </c>
      <c r="K12" s="2501"/>
    </row>
    <row r="13" spans="1:20" ht="16.5" thickBot="1">
      <c r="A13" s="2287"/>
      <c r="B13" s="2288"/>
      <c r="C13" s="308" t="s">
        <v>272</v>
      </c>
      <c r="D13" s="308" t="s">
        <v>96</v>
      </c>
      <c r="E13" s="319" t="s">
        <v>454</v>
      </c>
      <c r="F13" s="320"/>
      <c r="G13" s="2290"/>
      <c r="H13" s="2290"/>
      <c r="I13" s="2290"/>
      <c r="J13" s="2314"/>
      <c r="K13" s="2501"/>
    </row>
    <row r="14" spans="1:20" ht="16.5" thickBot="1">
      <c r="A14" s="2287"/>
      <c r="B14" s="2288"/>
      <c r="C14" s="308" t="s">
        <v>273</v>
      </c>
      <c r="D14" s="308" t="s">
        <v>252</v>
      </c>
      <c r="E14" s="308" t="s">
        <v>352</v>
      </c>
      <c r="F14" s="308" t="s">
        <v>353</v>
      </c>
      <c r="G14" s="2290"/>
      <c r="H14" s="2290"/>
      <c r="I14" s="2290"/>
      <c r="J14" s="2315"/>
      <c r="K14" s="2501"/>
    </row>
    <row r="15" spans="1:20" ht="16.5" thickTop="1">
      <c r="A15" s="199" t="s">
        <v>477</v>
      </c>
      <c r="B15" s="157"/>
      <c r="C15" s="1519"/>
      <c r="D15" s="1519"/>
      <c r="E15" s="1519"/>
      <c r="F15" s="1519"/>
      <c r="G15" s="1520"/>
      <c r="H15" s="1520"/>
      <c r="I15" s="1520"/>
      <c r="J15" s="1521"/>
    </row>
    <row r="16" spans="1:20">
      <c r="A16" s="886"/>
      <c r="B16" s="220" t="s">
        <v>145</v>
      </c>
      <c r="C16" s="248" t="str">
        <f>'Sch 1- Rate Base '!C16</f>
        <v>204-207</v>
      </c>
      <c r="D16" s="181">
        <f>'Sch 1- Rate Base '!D16</f>
        <v>301</v>
      </c>
      <c r="E16" s="184" t="str">
        <f>'Sch 1- Rate Base '!E16</f>
        <v>DIST</v>
      </c>
      <c r="F16" s="184" t="str">
        <f>'Sch 1- Rate Base '!F16</f>
        <v xml:space="preserve"> </v>
      </c>
      <c r="G16" s="249">
        <f>'Sch 1- Rate Base '!G16</f>
        <v>0</v>
      </c>
      <c r="H16" s="249">
        <f>'Sch 1- Rate Base '!H16</f>
        <v>0</v>
      </c>
      <c r="I16" s="249">
        <f>'Sch 1- Rate Base '!I16</f>
        <v>0</v>
      </c>
      <c r="J16" s="1344">
        <f>'Sch 1- Rate Base '!J16</f>
        <v>0</v>
      </c>
    </row>
    <row r="17" spans="1:10">
      <c r="A17" s="886"/>
      <c r="B17" s="220" t="s">
        <v>146</v>
      </c>
      <c r="C17" s="248" t="str">
        <f>'Sch 1- Rate Base '!C17</f>
        <v>204-207</v>
      </c>
      <c r="D17" s="181">
        <f>'Sch 1- Rate Base '!D17</f>
        <v>302</v>
      </c>
      <c r="E17" s="184" t="str">
        <f>'Sch 1- Rate Base '!E17</f>
        <v>DIRECT</v>
      </c>
      <c r="F17" s="184" t="str">
        <f>'Sch 1- Rate Base '!F17</f>
        <v>PTD</v>
      </c>
      <c r="G17" s="1677">
        <f>'Sch 1- Rate Base '!G17</f>
        <v>46804271</v>
      </c>
      <c r="H17" s="249">
        <f>'Sch 1- Rate Base '!H17</f>
        <v>42107007.580000006</v>
      </c>
      <c r="I17" s="249">
        <f>'Sch 1- Rate Base '!I17</f>
        <v>0</v>
      </c>
      <c r="J17" s="1344">
        <f>'Sch 1- Rate Base '!J17</f>
        <v>4697263.32</v>
      </c>
    </row>
    <row r="18" spans="1:10">
      <c r="A18" s="886"/>
      <c r="B18" s="220" t="s">
        <v>147</v>
      </c>
      <c r="C18" s="248" t="str">
        <f>'Sch 1- Rate Base '!C18</f>
        <v>204-207</v>
      </c>
      <c r="D18" s="181">
        <f>'Sch 1- Rate Base '!D18</f>
        <v>303</v>
      </c>
      <c r="E18" s="184" t="str">
        <f>'Sch 1- Rate Base '!E18</f>
        <v>DIRECT</v>
      </c>
      <c r="F18" s="184" t="str">
        <f>'Sch 1- Rate Base '!F18</f>
        <v>DIST</v>
      </c>
      <c r="G18" s="1677">
        <f>'Sch 1- Rate Base '!G18</f>
        <v>57840902</v>
      </c>
      <c r="H18" s="249">
        <f>'Sch 1- Rate Base '!H18</f>
        <v>21321712.686072055</v>
      </c>
      <c r="I18" s="249">
        <f>'Sch 1- Rate Base '!I18</f>
        <v>0</v>
      </c>
      <c r="J18" s="1344">
        <f>'Sch 1- Rate Base '!J18</f>
        <v>36519188.863927945</v>
      </c>
    </row>
    <row r="19" spans="1:10">
      <c r="A19" s="163" t="s">
        <v>443</v>
      </c>
      <c r="B19" s="64"/>
      <c r="C19" s="484"/>
      <c r="D19" s="485"/>
      <c r="E19" s="485"/>
      <c r="F19" s="486"/>
      <c r="G19" s="581">
        <f>'Sch 1- Rate Base '!G19</f>
        <v>104645173</v>
      </c>
      <c r="H19" s="581">
        <f>'Sch 1- Rate Base '!H19</f>
        <v>63428720.266072065</v>
      </c>
      <c r="I19" s="581">
        <f>'Sch 1- Rate Base '!I19</f>
        <v>0</v>
      </c>
      <c r="J19" s="1346">
        <f>'Sch 1- Rate Base '!J19</f>
        <v>41216452.183927946</v>
      </c>
    </row>
    <row r="20" spans="1:10">
      <c r="A20" s="906"/>
      <c r="B20" s="1678"/>
      <c r="C20" s="1679"/>
      <c r="D20" s="1679"/>
      <c r="E20" s="908"/>
      <c r="F20" s="908"/>
      <c r="G20" s="1680"/>
      <c r="H20" s="1680"/>
      <c r="I20" s="1680"/>
      <c r="J20" s="1681"/>
    </row>
    <row r="21" spans="1:10">
      <c r="A21" s="199" t="s">
        <v>110</v>
      </c>
      <c r="B21" s="157"/>
      <c r="C21" s="50"/>
      <c r="D21" s="50"/>
      <c r="E21" s="50"/>
      <c r="F21" s="50"/>
      <c r="G21" s="142"/>
      <c r="H21" s="142"/>
      <c r="I21" s="142"/>
      <c r="J21" s="1348"/>
    </row>
    <row r="22" spans="1:10">
      <c r="A22" s="912"/>
      <c r="B22" s="913" t="s">
        <v>111</v>
      </c>
      <c r="C22" s="248" t="str">
        <f>'Sch 1- Rate Base '!C22</f>
        <v>204-207</v>
      </c>
      <c r="D22" s="181" t="str">
        <f>'Sch 1- Rate Base '!D22</f>
        <v>310-317</v>
      </c>
      <c r="E22" s="184" t="str">
        <f>'Sch 1- Rate Base '!E22</f>
        <v>PROD</v>
      </c>
      <c r="F22" s="184">
        <f>'Sch 1- Rate Base '!F22</f>
        <v>0</v>
      </c>
      <c r="G22" s="1677">
        <f>'Sch 1- Rate Base '!G22</f>
        <v>494693042</v>
      </c>
      <c r="H22" s="249">
        <f>'Sch 1- Rate Base '!H22</f>
        <v>494693042</v>
      </c>
      <c r="I22" s="249">
        <f>'Sch 1- Rate Base '!I22</f>
        <v>0</v>
      </c>
      <c r="J22" s="1344">
        <f>'Sch 1- Rate Base '!J22</f>
        <v>0</v>
      </c>
    </row>
    <row r="23" spans="1:10">
      <c r="A23" s="912"/>
      <c r="B23" s="913" t="s">
        <v>113</v>
      </c>
      <c r="C23" s="248" t="str">
        <f>'Sch 1- Rate Base '!C23</f>
        <v>204-207</v>
      </c>
      <c r="D23" s="181" t="str">
        <f>'Sch 1- Rate Base '!D23</f>
        <v>320-326</v>
      </c>
      <c r="E23" s="184" t="str">
        <f>'Sch 1- Rate Base '!E23</f>
        <v>PROD</v>
      </c>
      <c r="F23" s="184">
        <f>'Sch 1- Rate Base '!F23</f>
        <v>0</v>
      </c>
      <c r="G23" s="1677">
        <f>'Sch 1- Rate Base '!G23</f>
        <v>0</v>
      </c>
      <c r="H23" s="249">
        <f>'Sch 1- Rate Base '!H23</f>
        <v>0</v>
      </c>
      <c r="I23" s="249">
        <f>'Sch 1- Rate Base '!I23</f>
        <v>0</v>
      </c>
      <c r="J23" s="1344">
        <f>'Sch 1- Rate Base '!J23</f>
        <v>0</v>
      </c>
    </row>
    <row r="24" spans="1:10">
      <c r="A24" s="912"/>
      <c r="B24" s="913" t="s">
        <v>115</v>
      </c>
      <c r="C24" s="248" t="str">
        <f>'Sch 1- Rate Base '!C24</f>
        <v>204-207</v>
      </c>
      <c r="D24" s="181" t="str">
        <f>'Sch 1- Rate Base '!D24</f>
        <v>330-337</v>
      </c>
      <c r="E24" s="184" t="str">
        <f>'Sch 1- Rate Base '!E24</f>
        <v>PROD</v>
      </c>
      <c r="F24" s="184">
        <f>'Sch 1- Rate Base '!F24</f>
        <v>0</v>
      </c>
      <c r="G24" s="1677">
        <f>'Sch 1- Rate Base '!G24</f>
        <v>791656686</v>
      </c>
      <c r="H24" s="249">
        <f>'Sch 1- Rate Base '!H24</f>
        <v>791656686</v>
      </c>
      <c r="I24" s="249">
        <f>'Sch 1- Rate Base '!I24</f>
        <v>0</v>
      </c>
      <c r="J24" s="1344">
        <f>'Sch 1- Rate Base '!J24</f>
        <v>0</v>
      </c>
    </row>
    <row r="25" spans="1:10">
      <c r="A25" s="912"/>
      <c r="B25" s="913" t="s">
        <v>117</v>
      </c>
      <c r="C25" s="248" t="str">
        <f>'Sch 1- Rate Base '!C25</f>
        <v>204-207</v>
      </c>
      <c r="D25" s="181" t="str">
        <f>'Sch 1- Rate Base '!D25</f>
        <v>340-348</v>
      </c>
      <c r="E25" s="184" t="str">
        <f>'Sch 1- Rate Base '!E25</f>
        <v>PROD</v>
      </c>
      <c r="F25" s="184">
        <f>'Sch 1- Rate Base '!F25</f>
        <v>0</v>
      </c>
      <c r="G25" s="1677">
        <f>'Sch 1- Rate Base '!G25</f>
        <v>327526210</v>
      </c>
      <c r="H25" s="249">
        <f>'Sch 1- Rate Base '!H25</f>
        <v>327526210</v>
      </c>
      <c r="I25" s="249">
        <f>'Sch 1- Rate Base '!I25</f>
        <v>0</v>
      </c>
      <c r="J25" s="1344">
        <f>'Sch 1- Rate Base '!J25</f>
        <v>0</v>
      </c>
    </row>
    <row r="26" spans="1:10">
      <c r="A26" s="163" t="s">
        <v>119</v>
      </c>
      <c r="B26" s="64"/>
      <c r="C26" s="484"/>
      <c r="D26" s="485"/>
      <c r="E26" s="485"/>
      <c r="F26" s="486"/>
      <c r="G26" s="474">
        <f>'Sch 1- Rate Base '!G26</f>
        <v>1613875938</v>
      </c>
      <c r="H26" s="474">
        <f>'Sch 1- Rate Base '!H26</f>
        <v>1613875938</v>
      </c>
      <c r="I26" s="482">
        <f>'Sch 1- Rate Base '!I26</f>
        <v>0</v>
      </c>
      <c r="J26" s="1350">
        <f>'Sch 1- Rate Base '!J26</f>
        <v>0</v>
      </c>
    </row>
    <row r="27" spans="1:10">
      <c r="A27" s="906"/>
      <c r="B27" s="1678"/>
      <c r="C27" s="1679"/>
      <c r="D27" s="1679"/>
      <c r="E27" s="908"/>
      <c r="F27" s="908"/>
      <c r="G27" s="1682"/>
      <c r="H27" s="1682"/>
      <c r="I27" s="1682"/>
      <c r="J27" s="1683"/>
    </row>
    <row r="28" spans="1:10">
      <c r="A28" s="199" t="s">
        <v>142</v>
      </c>
      <c r="B28" s="220"/>
      <c r="C28" s="55"/>
      <c r="D28" s="55"/>
      <c r="E28" s="180"/>
      <c r="F28" s="180"/>
      <c r="G28" s="910"/>
      <c r="H28" s="910"/>
      <c r="I28" s="910"/>
      <c r="J28" s="911"/>
    </row>
    <row r="29" spans="1:10">
      <c r="A29" s="912"/>
      <c r="B29" s="913" t="s">
        <v>501</v>
      </c>
      <c r="C29" s="248" t="str">
        <f>'Sch 1- Rate Base '!C29</f>
        <v>204-207</v>
      </c>
      <c r="D29" s="181" t="str">
        <f>'Sch 1- Rate Base '!D29</f>
        <v>350-359.1</v>
      </c>
      <c r="E29" s="184" t="str">
        <f>'Sch 1- Rate Base '!E29</f>
        <v>TRANS</v>
      </c>
      <c r="F29" s="184">
        <f>'Sch 1- Rate Base '!F29</f>
        <v>0</v>
      </c>
      <c r="G29" s="1677">
        <f>'Sch 1- Rate Base '!G29</f>
        <v>1057719030</v>
      </c>
      <c r="H29" s="249">
        <f>'Sch 1- Rate Base '!H29</f>
        <v>0</v>
      </c>
      <c r="I29" s="249">
        <f>'Sch 1- Rate Base '!I29</f>
        <v>0</v>
      </c>
      <c r="J29" s="1344">
        <f>'Sch 1- Rate Base '!J29</f>
        <v>1057719030</v>
      </c>
    </row>
    <row r="30" spans="1:10">
      <c r="A30" s="163" t="s">
        <v>121</v>
      </c>
      <c r="B30" s="64"/>
      <c r="C30" s="914"/>
      <c r="D30" s="915"/>
      <c r="E30" s="915"/>
      <c r="F30" s="916"/>
      <c r="G30" s="1684"/>
      <c r="H30" s="1684"/>
      <c r="I30" s="1684"/>
      <c r="J30" s="1685"/>
    </row>
    <row r="31" spans="1:10">
      <c r="A31" s="163"/>
      <c r="B31" s="64"/>
      <c r="C31" s="55"/>
      <c r="D31" s="55"/>
      <c r="E31" s="55"/>
      <c r="F31" s="55"/>
      <c r="G31" s="917"/>
      <c r="H31" s="917"/>
      <c r="I31" s="917"/>
      <c r="J31" s="918"/>
    </row>
    <row r="32" spans="1:10">
      <c r="A32" s="199" t="s">
        <v>476</v>
      </c>
      <c r="B32" s="220"/>
      <c r="C32" s="55"/>
      <c r="D32" s="55"/>
      <c r="E32" s="64"/>
      <c r="F32" s="64"/>
      <c r="G32" s="910"/>
      <c r="H32" s="910"/>
      <c r="I32" s="910"/>
      <c r="J32" s="911"/>
    </row>
    <row r="33" spans="1:10">
      <c r="A33" s="912"/>
      <c r="B33" s="913" t="s">
        <v>140</v>
      </c>
      <c r="C33" s="248" t="str">
        <f>'Sch 1- Rate Base '!C33</f>
        <v>204-207</v>
      </c>
      <c r="D33" s="181" t="str">
        <f>'Sch 1- Rate Base '!D33</f>
        <v>360-374</v>
      </c>
      <c r="E33" s="184" t="str">
        <f>'Sch 1- Rate Base '!E33</f>
        <v>DIST</v>
      </c>
      <c r="F33" s="184">
        <f>'Sch 1- Rate Base '!F33</f>
        <v>0</v>
      </c>
      <c r="G33" s="1677">
        <f>'Sch 1- Rate Base '!G33</f>
        <v>2407306658</v>
      </c>
      <c r="H33" s="249">
        <f>'Sch 1- Rate Base '!H33</f>
        <v>0</v>
      </c>
      <c r="I33" s="249">
        <f>'Sch 1- Rate Base '!I33</f>
        <v>0</v>
      </c>
      <c r="J33" s="1344">
        <f>'Sch 1- Rate Base '!J33</f>
        <v>2407306658</v>
      </c>
    </row>
    <row r="34" spans="1:10">
      <c r="A34" s="209" t="s">
        <v>122</v>
      </c>
      <c r="B34" s="220"/>
      <c r="C34" s="914"/>
      <c r="D34" s="915"/>
      <c r="E34" s="915"/>
      <c r="F34" s="916"/>
      <c r="G34" s="1684"/>
      <c r="H34" s="1684"/>
      <c r="I34" s="1684"/>
      <c r="J34" s="1685"/>
    </row>
    <row r="35" spans="1:10">
      <c r="A35" s="209"/>
      <c r="B35" s="220"/>
      <c r="C35" s="55"/>
      <c r="D35" s="55"/>
      <c r="E35" s="55"/>
      <c r="F35" s="55"/>
      <c r="G35" s="919"/>
      <c r="H35" s="919"/>
      <c r="I35" s="919"/>
      <c r="J35" s="920"/>
    </row>
    <row r="36" spans="1:10">
      <c r="A36" s="199" t="s">
        <v>124</v>
      </c>
      <c r="B36" s="64"/>
      <c r="C36" s="55"/>
      <c r="D36" s="196"/>
      <c r="E36" s="196"/>
      <c r="F36" s="196"/>
      <c r="G36" s="221"/>
      <c r="H36" s="221"/>
      <c r="I36" s="221"/>
      <c r="J36" s="222"/>
    </row>
    <row r="37" spans="1:10">
      <c r="A37" s="912"/>
      <c r="B37" s="10" t="s">
        <v>125</v>
      </c>
      <c r="C37" s="248" t="str">
        <f>'Sch 1- Rate Base '!C37</f>
        <v>204-207</v>
      </c>
      <c r="D37" s="181">
        <f>'Sch 1- Rate Base '!D37</f>
        <v>389</v>
      </c>
      <c r="E37" s="184" t="str">
        <f>'Sch 1- Rate Base '!E37</f>
        <v>PTD</v>
      </c>
      <c r="F37" s="184"/>
      <c r="G37" s="1677">
        <f>'Sch 1- Rate Base '!G37</f>
        <v>1083006</v>
      </c>
      <c r="H37" s="249">
        <f>'Sch 1- Rate Base '!H37</f>
        <v>344136.87305185618</v>
      </c>
      <c r="I37" s="249">
        <f>'Sch 1- Rate Base '!I37</f>
        <v>0</v>
      </c>
      <c r="J37" s="1344">
        <f>'Sch 1- Rate Base '!J37</f>
        <v>738869.1269481437</v>
      </c>
    </row>
    <row r="38" spans="1:10">
      <c r="A38" s="912"/>
      <c r="B38" s="10" t="s">
        <v>126</v>
      </c>
      <c r="C38" s="248" t="str">
        <f>'Sch 1- Rate Base '!C38</f>
        <v>204-207</v>
      </c>
      <c r="D38" s="181">
        <f>'Sch 1- Rate Base '!D38</f>
        <v>390</v>
      </c>
      <c r="E38" s="184" t="str">
        <f>'Sch 1- Rate Base '!E38</f>
        <v>PTD</v>
      </c>
      <c r="F38" s="184"/>
      <c r="G38" s="1677">
        <f>'Sch 1- Rate Base '!G38</f>
        <v>21045508</v>
      </c>
      <c r="H38" s="249">
        <f>'Sch 1- Rate Base '!H38</f>
        <v>6687437.8488280065</v>
      </c>
      <c r="I38" s="249">
        <f>'Sch 1- Rate Base '!I38</f>
        <v>0</v>
      </c>
      <c r="J38" s="1344">
        <f>'Sch 1- Rate Base '!J38</f>
        <v>14358070.151171993</v>
      </c>
    </row>
    <row r="39" spans="1:10">
      <c r="A39" s="912"/>
      <c r="B39" s="10" t="s">
        <v>127</v>
      </c>
      <c r="C39" s="248" t="str">
        <f>'Sch 1- Rate Base '!C39</f>
        <v>204-207</v>
      </c>
      <c r="D39" s="181">
        <f>'Sch 1- Rate Base '!D39</f>
        <v>391</v>
      </c>
      <c r="E39" s="184" t="str">
        <f>'Sch 1- Rate Base '!E39</f>
        <v>LABOR</v>
      </c>
      <c r="F39" s="184"/>
      <c r="G39" s="1677">
        <f>'Sch 1- Rate Base '!G39</f>
        <v>3976622</v>
      </c>
      <c r="H39" s="249">
        <f>'Sch 1- Rate Base '!H39</f>
        <v>1455724.5705582532</v>
      </c>
      <c r="I39" s="249">
        <f>'Sch 1- Rate Base '!I39</f>
        <v>0</v>
      </c>
      <c r="J39" s="1344">
        <f>'Sch 1- Rate Base '!J39</f>
        <v>2520897.4294417468</v>
      </c>
    </row>
    <row r="40" spans="1:10">
      <c r="A40" s="912"/>
      <c r="B40" s="10" t="s">
        <v>128</v>
      </c>
      <c r="C40" s="248" t="str">
        <f>'Sch 1- Rate Base '!C40</f>
        <v>204-207</v>
      </c>
      <c r="D40" s="181">
        <f>'Sch 1- Rate Base '!D40</f>
        <v>392</v>
      </c>
      <c r="E40" s="184" t="str">
        <f>'Sch 1- Rate Base '!E40</f>
        <v>TD</v>
      </c>
      <c r="F40" s="184"/>
      <c r="G40" s="1677">
        <f>'Sch 1- Rate Base '!G40</f>
        <v>62357831</v>
      </c>
      <c r="H40" s="249">
        <f>'Sch 1- Rate Base '!H40</f>
        <v>0</v>
      </c>
      <c r="I40" s="249">
        <f>'Sch 1- Rate Base '!I40</f>
        <v>0</v>
      </c>
      <c r="J40" s="1344">
        <f>'Sch 1- Rate Base '!J40</f>
        <v>62357831</v>
      </c>
    </row>
    <row r="41" spans="1:10">
      <c r="A41" s="912"/>
      <c r="B41" s="10" t="s">
        <v>129</v>
      </c>
      <c r="C41" s="248" t="str">
        <f>'Sch 1- Rate Base '!C41</f>
        <v>204-207</v>
      </c>
      <c r="D41" s="181">
        <f>'Sch 1- Rate Base '!D41</f>
        <v>393</v>
      </c>
      <c r="E41" s="184" t="str">
        <f>'Sch 1- Rate Base '!E41</f>
        <v>PTD</v>
      </c>
      <c r="F41" s="184"/>
      <c r="G41" s="1677">
        <f>'Sch 1- Rate Base '!G41</f>
        <v>472784</v>
      </c>
      <c r="H41" s="249">
        <f>'Sch 1- Rate Base '!H41</f>
        <v>150232.23083616229</v>
      </c>
      <c r="I41" s="249">
        <f>'Sch 1- Rate Base '!I41</f>
        <v>0</v>
      </c>
      <c r="J41" s="1344">
        <f>'Sch 1- Rate Base '!J41</f>
        <v>322551.76916383771</v>
      </c>
    </row>
    <row r="42" spans="1:10">
      <c r="A42" s="912"/>
      <c r="B42" s="10" t="s">
        <v>130</v>
      </c>
      <c r="C42" s="248" t="str">
        <f>'Sch 1- Rate Base '!C42</f>
        <v>204-207</v>
      </c>
      <c r="D42" s="181">
        <f>'Sch 1- Rate Base '!D42</f>
        <v>394</v>
      </c>
      <c r="E42" s="184" t="str">
        <f>'Sch 1- Rate Base '!E42</f>
        <v>PTD</v>
      </c>
      <c r="F42" s="184"/>
      <c r="G42" s="1677">
        <f>'Sch 1- Rate Base '!G42</f>
        <v>9005539</v>
      </c>
      <c r="H42" s="249">
        <f>'Sch 1- Rate Base '!H42</f>
        <v>2861607.4441014547</v>
      </c>
      <c r="I42" s="249">
        <f>'Sch 1- Rate Base '!I42</f>
        <v>0</v>
      </c>
      <c r="J42" s="1344">
        <f>'Sch 1- Rate Base '!J42</f>
        <v>6143931.5558985453</v>
      </c>
    </row>
    <row r="43" spans="1:10">
      <c r="A43" s="912"/>
      <c r="B43" s="10" t="s">
        <v>131</v>
      </c>
      <c r="C43" s="248" t="str">
        <f>'Sch 1- Rate Base '!C43</f>
        <v>204-207</v>
      </c>
      <c r="D43" s="181">
        <f>'Sch 1- Rate Base '!D43</f>
        <v>395</v>
      </c>
      <c r="E43" s="184" t="str">
        <f>'Sch 1- Rate Base '!E43</f>
        <v>PTD</v>
      </c>
      <c r="F43" s="184"/>
      <c r="G43" s="1677">
        <f>'Sch 1- Rate Base '!G43</f>
        <v>3305287</v>
      </c>
      <c r="H43" s="249">
        <f>'Sch 1- Rate Base '!H43</f>
        <v>1050290.7026544178</v>
      </c>
      <c r="I43" s="249">
        <f>'Sch 1- Rate Base '!I43</f>
        <v>0</v>
      </c>
      <c r="J43" s="1344">
        <f>'Sch 1- Rate Base '!J43</f>
        <v>2254996.2973455819</v>
      </c>
    </row>
    <row r="44" spans="1:10">
      <c r="A44" s="912"/>
      <c r="B44" s="10" t="s">
        <v>132</v>
      </c>
      <c r="C44" s="248" t="str">
        <f>'Sch 1- Rate Base '!C44</f>
        <v>204-207</v>
      </c>
      <c r="D44" s="181">
        <f>'Sch 1- Rate Base '!D44</f>
        <v>396</v>
      </c>
      <c r="E44" s="184" t="str">
        <f>'Sch 1- Rate Base '!E44</f>
        <v>TD</v>
      </c>
      <c r="F44" s="184"/>
      <c r="G44" s="1677">
        <f>'Sch 1- Rate Base '!G44</f>
        <v>25432532</v>
      </c>
      <c r="H44" s="249">
        <f>'Sch 1- Rate Base '!H44</f>
        <v>0</v>
      </c>
      <c r="I44" s="249">
        <f>'Sch 1- Rate Base '!I44</f>
        <v>0</v>
      </c>
      <c r="J44" s="1344">
        <f>'Sch 1- Rate Base '!J44</f>
        <v>25432532</v>
      </c>
    </row>
    <row r="45" spans="1:10">
      <c r="A45" s="912"/>
      <c r="B45" s="10" t="s">
        <v>133</v>
      </c>
      <c r="C45" s="248" t="str">
        <f>'Sch 1- Rate Base '!C45</f>
        <v>204-207</v>
      </c>
      <c r="D45" s="181">
        <f>'Sch 1- Rate Base '!D45</f>
        <v>397</v>
      </c>
      <c r="E45" s="184" t="str">
        <f>'Sch 1- Rate Base '!E45</f>
        <v>PTD</v>
      </c>
      <c r="F45" s="184"/>
      <c r="G45" s="1677">
        <f>'Sch 1- Rate Base '!G45</f>
        <v>42279271</v>
      </c>
      <c r="H45" s="249">
        <f>'Sch 1- Rate Base '!H45</f>
        <v>13434695.760551672</v>
      </c>
      <c r="I45" s="249">
        <f>'Sch 1- Rate Base '!I45</f>
        <v>0</v>
      </c>
      <c r="J45" s="1344">
        <f>'Sch 1- Rate Base '!J45</f>
        <v>28844575.239448324</v>
      </c>
    </row>
    <row r="46" spans="1:10">
      <c r="A46" s="912"/>
      <c r="B46" s="10" t="s">
        <v>134</v>
      </c>
      <c r="C46" s="248" t="str">
        <f>'Sch 1- Rate Base '!C46</f>
        <v>204-207</v>
      </c>
      <c r="D46" s="181">
        <f>'Sch 1- Rate Base '!D46</f>
        <v>398</v>
      </c>
      <c r="E46" s="184" t="str">
        <f>'Sch 1- Rate Base '!E46</f>
        <v>PTD</v>
      </c>
      <c r="F46" s="184"/>
      <c r="G46" s="1677">
        <f>'Sch 1- Rate Base '!G46</f>
        <v>258773</v>
      </c>
      <c r="H46" s="249">
        <f>'Sch 1- Rate Base '!H46</f>
        <v>82227.920297992794</v>
      </c>
      <c r="I46" s="249">
        <f>'Sch 1- Rate Base '!I46</f>
        <v>0</v>
      </c>
      <c r="J46" s="1344">
        <f>'Sch 1- Rate Base '!J46</f>
        <v>176545.07970200721</v>
      </c>
    </row>
    <row r="47" spans="1:10">
      <c r="A47" s="912"/>
      <c r="B47" s="10" t="s">
        <v>256</v>
      </c>
      <c r="C47" s="248" t="str">
        <f>'Sch 1- Rate Base '!C47</f>
        <v>204-207</v>
      </c>
      <c r="D47" s="181">
        <f>'Sch 1- Rate Base '!D47</f>
        <v>399</v>
      </c>
      <c r="E47" s="184" t="str">
        <f>'Sch 1- Rate Base '!E47</f>
        <v>DIRECT</v>
      </c>
      <c r="F47" s="184" t="str">
        <f>'Sch 1- Rate Base '!F47</f>
        <v>PTD</v>
      </c>
      <c r="G47" s="1677">
        <f>'Sch 1- Rate Base '!G47</f>
        <v>0</v>
      </c>
      <c r="H47" s="249">
        <f>'Sch 1- Rate Base '!H47</f>
        <v>0</v>
      </c>
      <c r="I47" s="249">
        <f>'Sch 1- Rate Base '!I47</f>
        <v>0</v>
      </c>
      <c r="J47" s="1344">
        <f>'Sch 1- Rate Base '!J47</f>
        <v>0</v>
      </c>
    </row>
    <row r="48" spans="1:10">
      <c r="A48" s="912"/>
      <c r="B48" s="10" t="s">
        <v>446</v>
      </c>
      <c r="C48" s="248" t="str">
        <f>'Sch 1- Rate Base '!C48</f>
        <v>204-207</v>
      </c>
      <c r="D48" s="181">
        <f>'Sch 1- Rate Base '!D48</f>
        <v>399.1</v>
      </c>
      <c r="E48" s="184" t="str">
        <f>'Sch 1- Rate Base '!E48</f>
        <v>PTD</v>
      </c>
      <c r="F48" s="184"/>
      <c r="G48" s="1677">
        <f>'Sch 1- Rate Base '!G48</f>
        <v>0</v>
      </c>
      <c r="H48" s="249">
        <f>'Sch 1- Rate Base '!H48</f>
        <v>0</v>
      </c>
      <c r="I48" s="249">
        <f>'Sch 1- Rate Base '!I48</f>
        <v>0</v>
      </c>
      <c r="J48" s="1344">
        <f>'Sch 1- Rate Base '!J48</f>
        <v>0</v>
      </c>
    </row>
    <row r="49" spans="1:10">
      <c r="A49" s="160"/>
      <c r="B49" s="10"/>
      <c r="C49" s="55"/>
      <c r="D49" s="196"/>
      <c r="E49" s="196"/>
      <c r="F49" s="196"/>
      <c r="G49" s="921"/>
      <c r="H49" s="198"/>
      <c r="I49" s="198"/>
      <c r="J49" s="200"/>
    </row>
    <row r="50" spans="1:10" ht="16.5" thickBot="1">
      <c r="A50" s="209" t="s">
        <v>135</v>
      </c>
      <c r="B50" s="64"/>
      <c r="C50" s="1749"/>
      <c r="D50" s="914"/>
      <c r="E50" s="914"/>
      <c r="F50" s="914"/>
      <c r="G50" s="615">
        <f>'Sch 1- Rate Base '!G50</f>
        <v>169217153</v>
      </c>
      <c r="H50" s="615">
        <f>'Sch 1- Rate Base '!H50</f>
        <v>26066353.350879814</v>
      </c>
      <c r="I50" s="615">
        <f>'Sch 1- Rate Base '!I50</f>
        <v>0</v>
      </c>
      <c r="J50" s="615">
        <f>'Sch 1- Rate Base '!J50</f>
        <v>143150799.64912018</v>
      </c>
    </row>
    <row r="51" spans="1:10" ht="16.5" thickTop="1">
      <c r="A51" s="922"/>
      <c r="B51" s="64"/>
      <c r="C51" s="55"/>
      <c r="D51" s="55"/>
      <c r="E51" s="64"/>
      <c r="F51" s="64"/>
      <c r="G51" s="221"/>
      <c r="H51" s="221"/>
      <c r="I51" s="221"/>
      <c r="J51" s="222"/>
    </row>
    <row r="52" spans="1:10" ht="16.5" thickBot="1">
      <c r="A52" s="209" t="s">
        <v>136</v>
      </c>
      <c r="B52" s="64"/>
      <c r="C52" s="914"/>
      <c r="D52" s="914"/>
      <c r="E52" s="914"/>
      <c r="F52" s="914"/>
      <c r="G52" s="615">
        <f>'Sch 1- Rate Base '!G52</f>
        <v>5352763952</v>
      </c>
      <c r="H52" s="615">
        <f>'Sch 1- Rate Base '!H52</f>
        <v>1703371011.6169519</v>
      </c>
      <c r="I52" s="615">
        <f>'Sch 1- Rate Base '!I52</f>
        <v>0</v>
      </c>
      <c r="J52" s="615">
        <f>'Sch 1- Rate Base '!J52</f>
        <v>3649392939.8330483</v>
      </c>
    </row>
    <row r="53" spans="1:10" ht="16.5" thickTop="1">
      <c r="A53" s="213" t="s">
        <v>444</v>
      </c>
      <c r="B53" s="64"/>
      <c r="C53" s="55"/>
      <c r="D53" s="55"/>
      <c r="E53" s="64"/>
      <c r="F53" s="64"/>
      <c r="G53" s="221"/>
      <c r="H53" s="221"/>
      <c r="I53" s="221"/>
      <c r="J53" s="222"/>
    </row>
    <row r="54" spans="1:10">
      <c r="A54" s="199"/>
      <c r="B54" s="220"/>
      <c r="C54" s="55"/>
      <c r="D54" s="55"/>
      <c r="E54" s="55"/>
      <c r="F54" s="55"/>
      <c r="G54" s="221"/>
      <c r="H54" s="221"/>
      <c r="I54" s="221"/>
      <c r="J54" s="222"/>
    </row>
    <row r="55" spans="1:10">
      <c r="A55" s="199" t="s">
        <v>478</v>
      </c>
      <c r="B55" s="220"/>
      <c r="C55" s="55"/>
      <c r="D55" s="55"/>
      <c r="E55" s="55"/>
      <c r="F55" s="55"/>
      <c r="G55" s="910"/>
      <c r="H55" s="910"/>
      <c r="I55" s="910"/>
      <c r="J55" s="911"/>
    </row>
    <row r="56" spans="1:10">
      <c r="A56" s="199" t="s">
        <v>624</v>
      </c>
      <c r="B56" s="220"/>
      <c r="C56" s="55"/>
      <c r="D56" s="55"/>
      <c r="E56" s="55"/>
      <c r="F56" s="55"/>
      <c r="G56" s="910"/>
      <c r="H56" s="910"/>
      <c r="I56" s="910"/>
      <c r="J56" s="911"/>
    </row>
    <row r="57" spans="1:10">
      <c r="A57" s="912"/>
      <c r="B57" s="913" t="s">
        <v>88</v>
      </c>
      <c r="C57" s="248">
        <f>'Sch 1- Rate Base '!C57</f>
        <v>219</v>
      </c>
      <c r="D57" s="181">
        <f>'Sch 1- Rate Base '!D57</f>
        <v>108</v>
      </c>
      <c r="E57" s="184" t="str">
        <f>'Sch 1- Rate Base '!E57</f>
        <v>PROD</v>
      </c>
      <c r="F57" s="184"/>
      <c r="G57" s="1677">
        <f>'Sch 1- Rate Base '!G57</f>
        <v>394650809</v>
      </c>
      <c r="H57" s="249">
        <f>'Sch 1- Rate Base '!H57</f>
        <v>394650809</v>
      </c>
      <c r="I57" s="249">
        <f>'Sch 1- Rate Base '!I57</f>
        <v>0</v>
      </c>
      <c r="J57" s="1344">
        <f>'Sch 1- Rate Base '!J57</f>
        <v>0</v>
      </c>
    </row>
    <row r="58" spans="1:10">
      <c r="A58" s="912"/>
      <c r="B58" s="913" t="s">
        <v>89</v>
      </c>
      <c r="C58" s="248">
        <f>'Sch 1- Rate Base '!C58</f>
        <v>219</v>
      </c>
      <c r="D58" s="181">
        <f>'Sch 1- Rate Base '!D58</f>
        <v>108</v>
      </c>
      <c r="E58" s="184" t="str">
        <f>'Sch 1- Rate Base '!E58</f>
        <v>PROD</v>
      </c>
      <c r="F58" s="184"/>
      <c r="G58" s="1677">
        <f>'Sch 1- Rate Base '!G58</f>
        <v>0</v>
      </c>
      <c r="H58" s="249">
        <f>'Sch 1- Rate Base '!H58</f>
        <v>0</v>
      </c>
      <c r="I58" s="249">
        <f>'Sch 1- Rate Base '!I58</f>
        <v>0</v>
      </c>
      <c r="J58" s="1344">
        <f>'Sch 1- Rate Base '!J58</f>
        <v>0</v>
      </c>
    </row>
    <row r="59" spans="1:10">
      <c r="A59" s="912"/>
      <c r="B59" s="913" t="s">
        <v>326</v>
      </c>
      <c r="C59" s="248">
        <f>'Sch 1- Rate Base '!C59</f>
        <v>219</v>
      </c>
      <c r="D59" s="181">
        <f>'Sch 1- Rate Base '!D59</f>
        <v>108</v>
      </c>
      <c r="E59" s="184" t="str">
        <f>'Sch 1- Rate Base '!E59</f>
        <v>PROD</v>
      </c>
      <c r="F59" s="184"/>
      <c r="G59" s="1677">
        <f>'Sch 1- Rate Base '!G59</f>
        <v>202979974</v>
      </c>
      <c r="H59" s="249">
        <f>'Sch 1- Rate Base '!H59</f>
        <v>202979974</v>
      </c>
      <c r="I59" s="249">
        <f>'Sch 1- Rate Base '!I59</f>
        <v>0</v>
      </c>
      <c r="J59" s="1344">
        <f>'Sch 1- Rate Base '!J59</f>
        <v>0</v>
      </c>
    </row>
    <row r="60" spans="1:10">
      <c r="A60" s="912"/>
      <c r="B60" s="913" t="s">
        <v>137</v>
      </c>
      <c r="C60" s="248">
        <f>'Sch 1- Rate Base '!C60</f>
        <v>219</v>
      </c>
      <c r="D60" s="181">
        <f>'Sch 1- Rate Base '!D60</f>
        <v>108</v>
      </c>
      <c r="E60" s="184" t="str">
        <f>'Sch 1- Rate Base '!E60</f>
        <v>PROD</v>
      </c>
      <c r="F60" s="184"/>
      <c r="G60" s="1677">
        <f>'Sch 1- Rate Base '!G60</f>
        <v>177969738</v>
      </c>
      <c r="H60" s="249">
        <f>'Sch 1- Rate Base '!H60</f>
        <v>177969738</v>
      </c>
      <c r="I60" s="249">
        <f>'Sch 1- Rate Base '!I60</f>
        <v>0</v>
      </c>
      <c r="J60" s="1344">
        <f>'Sch 1- Rate Base '!J60</f>
        <v>0</v>
      </c>
    </row>
    <row r="61" spans="1:10">
      <c r="A61" s="912"/>
      <c r="B61" s="913" t="s">
        <v>143</v>
      </c>
      <c r="C61" s="248">
        <f>'Sch 1- Rate Base '!C61</f>
        <v>219</v>
      </c>
      <c r="D61" s="181">
        <f>'Sch 1- Rate Base '!D61</f>
        <v>108</v>
      </c>
      <c r="E61" s="184" t="str">
        <f>'Sch 1- Rate Base '!E61</f>
        <v>TRANS</v>
      </c>
      <c r="F61" s="184"/>
      <c r="G61" s="1677">
        <f>'Sch 1- Rate Base '!G61</f>
        <v>285851148</v>
      </c>
      <c r="H61" s="249">
        <f>'Sch 1- Rate Base '!H61</f>
        <v>0</v>
      </c>
      <c r="I61" s="249">
        <f>'Sch 1- Rate Base '!I61</f>
        <v>0</v>
      </c>
      <c r="J61" s="1344">
        <f>'Sch 1- Rate Base '!J61</f>
        <v>285851148</v>
      </c>
    </row>
    <row r="62" spans="1:10">
      <c r="A62" s="912"/>
      <c r="B62" s="913" t="s">
        <v>840</v>
      </c>
      <c r="C62" s="248">
        <f>'Sch 1- Rate Base '!C62</f>
        <v>219</v>
      </c>
      <c r="D62" s="181">
        <f>'Sch 1- Rate Base '!D62</f>
        <v>108</v>
      </c>
      <c r="E62" s="184" t="str">
        <f>'Sch 1- Rate Base '!E62</f>
        <v>DIST</v>
      </c>
      <c r="F62" s="184"/>
      <c r="G62" s="1677">
        <f>'Sch 1- Rate Base '!G62</f>
        <v>788670773</v>
      </c>
      <c r="H62" s="249">
        <f>'Sch 1- Rate Base '!H62</f>
        <v>0</v>
      </c>
      <c r="I62" s="249">
        <f>'Sch 1- Rate Base '!I62</f>
        <v>0</v>
      </c>
      <c r="J62" s="1344">
        <f>'Sch 1- Rate Base '!J62</f>
        <v>788670773</v>
      </c>
    </row>
    <row r="63" spans="1:10">
      <c r="A63" s="912"/>
      <c r="B63" s="913" t="s">
        <v>92</v>
      </c>
      <c r="C63" s="248">
        <f>'Sch 1- Rate Base '!C63</f>
        <v>219</v>
      </c>
      <c r="D63" s="181">
        <f>'Sch 1- Rate Base '!D63</f>
        <v>108</v>
      </c>
      <c r="E63" s="184" t="str">
        <f>'Sch 1- Rate Base '!E63</f>
        <v>GP</v>
      </c>
      <c r="F63" s="184"/>
      <c r="G63" s="1677">
        <f>'Sch 1- Rate Base '!G63</f>
        <v>78045959</v>
      </c>
      <c r="H63" s="249">
        <f>'Sch 1- Rate Base '!H63</f>
        <v>12022265.525896648</v>
      </c>
      <c r="I63" s="249">
        <f>'Sch 1- Rate Base '!I63</f>
        <v>0</v>
      </c>
      <c r="J63" s="1344">
        <f>'Sch 1- Rate Base '!J63</f>
        <v>66023693.474103346</v>
      </c>
    </row>
    <row r="64" spans="1:10">
      <c r="A64" s="912"/>
      <c r="B64" s="913" t="s">
        <v>373</v>
      </c>
      <c r="C64" s="248">
        <f>'Sch 1- Rate Base '!C64</f>
        <v>219</v>
      </c>
      <c r="D64" s="181">
        <f>'Sch 1- Rate Base '!D64</f>
        <v>111</v>
      </c>
      <c r="E64" s="184" t="str">
        <f>'Sch 1- Rate Base '!E64</f>
        <v>DIST</v>
      </c>
      <c r="F64" s="286" t="str">
        <f>'Sch 1- Rate Base '!F64</f>
        <v xml:space="preserve"> </v>
      </c>
      <c r="G64" s="1677">
        <f>'Sch 1- Rate Base '!G64</f>
        <v>0</v>
      </c>
      <c r="H64" s="249">
        <f>'Sch 1- Rate Base '!H64</f>
        <v>0</v>
      </c>
      <c r="I64" s="249">
        <f>'Sch 1- Rate Base '!I64</f>
        <v>0</v>
      </c>
      <c r="J64" s="1344">
        <f>'Sch 1- Rate Base '!J64</f>
        <v>0</v>
      </c>
    </row>
    <row r="65" spans="1:10">
      <c r="A65" s="912"/>
      <c r="B65" s="913" t="s">
        <v>374</v>
      </c>
      <c r="C65" s="248">
        <f>'Sch 1- Rate Base '!C65</f>
        <v>219</v>
      </c>
      <c r="D65" s="181">
        <f>'Sch 1- Rate Base '!D65</f>
        <v>111</v>
      </c>
      <c r="E65" s="184" t="str">
        <f>'Sch 1- Rate Base '!E65</f>
        <v>DIRECT</v>
      </c>
      <c r="F65" s="286" t="str">
        <f>'Sch 1- Rate Base '!F65</f>
        <v>PTD</v>
      </c>
      <c r="G65" s="1677">
        <f>'Sch 1- Rate Base '!G65</f>
        <v>9306035.6400000025</v>
      </c>
      <c r="H65" s="249">
        <f>'Sch 1- Rate Base '!H65</f>
        <v>8402719.4400000013</v>
      </c>
      <c r="I65" s="249">
        <f>'Sch 1- Rate Base '!I65</f>
        <v>0</v>
      </c>
      <c r="J65" s="1344">
        <f>'Sch 1- Rate Base '!J65</f>
        <v>903316.2</v>
      </c>
    </row>
    <row r="66" spans="1:10">
      <c r="A66" s="912"/>
      <c r="B66" s="913" t="s">
        <v>403</v>
      </c>
      <c r="C66" s="248">
        <f>'Sch 1- Rate Base '!C66</f>
        <v>219</v>
      </c>
      <c r="D66" s="181">
        <f>'Sch 1- Rate Base '!D66</f>
        <v>111</v>
      </c>
      <c r="E66" s="184" t="str">
        <f>'Sch 1- Rate Base '!E66</f>
        <v>DIRECT</v>
      </c>
      <c r="F66" s="286" t="str">
        <f>'Sch 1- Rate Base '!F66</f>
        <v>DIST</v>
      </c>
      <c r="G66" s="1677">
        <f>'Sch 1- Rate Base '!G66</f>
        <v>8218633.7199999997</v>
      </c>
      <c r="H66" s="249">
        <f>'Sch 1- Rate Base '!H66</f>
        <v>4395779.3655016273</v>
      </c>
      <c r="I66" s="249">
        <f>'Sch 1- Rate Base '!I66</f>
        <v>0</v>
      </c>
      <c r="J66" s="1344">
        <f>'Sch 1- Rate Base '!J66</f>
        <v>3822854.3512011645</v>
      </c>
    </row>
    <row r="67" spans="1:10">
      <c r="A67" s="912"/>
      <c r="B67" s="913" t="s">
        <v>253</v>
      </c>
      <c r="C67" s="248">
        <f>'Sch 1- Rate Base '!C67</f>
        <v>219</v>
      </c>
      <c r="D67" s="181">
        <f>'Sch 1- Rate Base '!D67</f>
        <v>108</v>
      </c>
      <c r="E67" s="184" t="str">
        <f>'Sch 1- Rate Base '!E67</f>
        <v>PROD</v>
      </c>
      <c r="F67" s="184"/>
      <c r="G67" s="1677">
        <f>'Sch 1- Rate Base '!G67</f>
        <v>0</v>
      </c>
      <c r="H67" s="249">
        <f>'Sch 1- Rate Base '!H67</f>
        <v>0</v>
      </c>
      <c r="I67" s="249">
        <f>'Sch 1- Rate Base '!I67</f>
        <v>0</v>
      </c>
      <c r="J67" s="1344">
        <f>'Sch 1- Rate Base '!J67</f>
        <v>0</v>
      </c>
    </row>
    <row r="68" spans="1:10">
      <c r="A68" s="912"/>
      <c r="B68" s="913" t="s">
        <v>28</v>
      </c>
      <c r="C68" s="248">
        <f>'Sch 1- Rate Base '!C68</f>
        <v>219</v>
      </c>
      <c r="D68" s="181">
        <f>'Sch 1- Rate Base '!D68</f>
        <v>111</v>
      </c>
      <c r="E68" s="184" t="str">
        <f>'Sch 1- Rate Base '!E68</f>
        <v>DIST</v>
      </c>
      <c r="F68" s="184"/>
      <c r="G68" s="1677">
        <f>'Sch 1- Rate Base '!G68</f>
        <v>0</v>
      </c>
      <c r="H68" s="249">
        <f>'Sch 1- Rate Base '!H68</f>
        <v>0</v>
      </c>
      <c r="I68" s="249">
        <f>'Sch 1- Rate Base '!I68</f>
        <v>0</v>
      </c>
      <c r="J68" s="1344">
        <f>'Sch 1- Rate Base '!J68</f>
        <v>0</v>
      </c>
    </row>
    <row r="69" spans="1:10">
      <c r="A69" s="912"/>
      <c r="B69" s="913" t="s">
        <v>29</v>
      </c>
      <c r="C69" s="248">
        <f>'Sch 1- Rate Base '!C69</f>
        <v>219</v>
      </c>
      <c r="D69" s="181">
        <f>'Sch 1- Rate Base '!D69</f>
        <v>108</v>
      </c>
      <c r="E69" s="184" t="str">
        <f>'Sch 1- Rate Base '!E69</f>
        <v>DIRECT</v>
      </c>
      <c r="F69" s="286" t="str">
        <f>'Sch 1- Rate Base '!F69</f>
        <v>PTD</v>
      </c>
      <c r="G69" s="1677">
        <f>'Sch 1- Rate Base '!G69</f>
        <v>0</v>
      </c>
      <c r="H69" s="249">
        <f>'Sch 1- Rate Base '!H69</f>
        <v>0</v>
      </c>
      <c r="I69" s="249">
        <f>'Sch 1- Rate Base '!I69</f>
        <v>0</v>
      </c>
      <c r="J69" s="1344">
        <f>'Sch 1- Rate Base '!J69</f>
        <v>0</v>
      </c>
    </row>
    <row r="70" spans="1:10">
      <c r="A70" s="912"/>
      <c r="B70" s="913" t="s">
        <v>162</v>
      </c>
      <c r="C70" s="248" t="str">
        <f>'Sch 1- Rate Base '!C70</f>
        <v>200-201</v>
      </c>
      <c r="D70" s="181">
        <f>'Sch 1- Rate Base '!D70</f>
        <v>108</v>
      </c>
      <c r="E70" s="184" t="str">
        <f>'Sch 1- Rate Base '!E70</f>
        <v>DIRECT</v>
      </c>
      <c r="F70" s="184" t="str">
        <f>'Sch 1- Rate Base '!F70</f>
        <v>DIST</v>
      </c>
      <c r="G70" s="1677">
        <f>'Sch 1- Rate Base '!G70</f>
        <v>0</v>
      </c>
      <c r="H70" s="249">
        <f>'Sch 1- Rate Base '!H70</f>
        <v>0</v>
      </c>
      <c r="I70" s="249">
        <f>'Sch 1- Rate Base '!I70</f>
        <v>0</v>
      </c>
      <c r="J70" s="1344">
        <f>'Sch 1- Rate Base '!J70</f>
        <v>0</v>
      </c>
    </row>
    <row r="71" spans="1:10">
      <c r="A71" s="912"/>
      <c r="B71" s="913" t="s">
        <v>404</v>
      </c>
      <c r="C71" s="248" t="str">
        <f>'Sch 1- Rate Base '!C71</f>
        <v>200-201</v>
      </c>
      <c r="D71" s="181">
        <f>'Sch 1- Rate Base '!D71</f>
        <v>108</v>
      </c>
      <c r="E71" s="184" t="str">
        <f>'Sch 1- Rate Base '!E71</f>
        <v>DIRECT</v>
      </c>
      <c r="F71" s="286" t="str">
        <f>'Sch 1- Rate Base '!F71</f>
        <v>PTD</v>
      </c>
      <c r="G71" s="1677">
        <f>'Sch 1- Rate Base '!G71</f>
        <v>219309854</v>
      </c>
      <c r="H71" s="249">
        <f>'Sch 1- Rate Base '!H71</f>
        <v>61406759.120000005</v>
      </c>
      <c r="I71" s="249">
        <f>'Sch 1- Rate Base '!I71</f>
        <v>0</v>
      </c>
      <c r="J71" s="1344">
        <f>'Sch 1- Rate Base '!J71</f>
        <v>157903094.88</v>
      </c>
    </row>
    <row r="72" spans="1:10">
      <c r="A72" s="912"/>
      <c r="B72" s="913" t="s">
        <v>405</v>
      </c>
      <c r="C72" s="248" t="str">
        <f>'Sch 1- Rate Base '!C72</f>
        <v>200-201</v>
      </c>
      <c r="D72" s="181">
        <f>'Sch 1- Rate Base '!D72</f>
        <v>108</v>
      </c>
      <c r="E72" s="184" t="str">
        <f>'Sch 1- Rate Base '!E72</f>
        <v>DIRECT</v>
      </c>
      <c r="F72" s="184" t="str">
        <f>'Sch 1- Rate Base '!F72</f>
        <v>DIST</v>
      </c>
      <c r="G72" s="1677">
        <f>'Sch 1- Rate Base '!G72</f>
        <v>0</v>
      </c>
      <c r="H72" s="249">
        <f>'Sch 1- Rate Base '!H72</f>
        <v>0</v>
      </c>
      <c r="I72" s="249">
        <f>'Sch 1- Rate Base '!I72</f>
        <v>0</v>
      </c>
      <c r="J72" s="1344">
        <f>'Sch 1- Rate Base '!J72</f>
        <v>0</v>
      </c>
    </row>
    <row r="73" spans="1:10">
      <c r="A73" s="912"/>
      <c r="B73" s="913" t="s">
        <v>551</v>
      </c>
      <c r="C73" s="248" t="str">
        <f>'Sch 1- Rate Base '!C73</f>
        <v>200-201</v>
      </c>
      <c r="D73" s="181">
        <f>'Sch 1- Rate Base '!D73</f>
        <v>115</v>
      </c>
      <c r="E73" s="184" t="str">
        <f>'Sch 1- Rate Base '!E73</f>
        <v>DIRECT</v>
      </c>
      <c r="F73" s="184" t="str">
        <f>'Sch 1- Rate Base '!F73</f>
        <v>DIST</v>
      </c>
      <c r="G73" s="1677">
        <f>'Sch 1- Rate Base '!G73</f>
        <v>0</v>
      </c>
      <c r="H73" s="249">
        <f>'Sch 1- Rate Base '!H73</f>
        <v>0</v>
      </c>
      <c r="I73" s="249">
        <f>'Sch 1- Rate Base '!I73</f>
        <v>0</v>
      </c>
      <c r="J73" s="1344">
        <f>'Sch 1- Rate Base '!J73</f>
        <v>0</v>
      </c>
    </row>
    <row r="74" spans="1:10">
      <c r="A74" s="912"/>
      <c r="B74" s="913"/>
      <c r="C74" s="55"/>
      <c r="D74" s="196"/>
      <c r="E74" s="196"/>
      <c r="F74" s="196"/>
      <c r="G74" s="924"/>
      <c r="H74" s="198"/>
      <c r="I74" s="198"/>
      <c r="J74" s="200"/>
    </row>
    <row r="75" spans="1:10">
      <c r="A75" s="199" t="s">
        <v>211</v>
      </c>
      <c r="B75" s="913"/>
      <c r="C75" s="888"/>
      <c r="D75" s="888"/>
      <c r="E75" s="182" t="str">
        <f>'Sch 1- Rate Base '!E75</f>
        <v>DIRECT</v>
      </c>
      <c r="F75" s="182">
        <f>'Sch 1- Rate Base '!F75</f>
        <v>0</v>
      </c>
      <c r="G75" s="182">
        <f>'Sch 1- Rate Base '!G75</f>
        <v>0</v>
      </c>
      <c r="H75" s="182">
        <f>'Sch 1- Rate Base '!H75</f>
        <v>0</v>
      </c>
      <c r="I75" s="182">
        <f>'Sch 1- Rate Base '!I75</f>
        <v>0</v>
      </c>
      <c r="J75" s="182">
        <f>'Sch 1- Rate Base '!J75</f>
        <v>0</v>
      </c>
    </row>
    <row r="76" spans="1:10">
      <c r="A76" s="925"/>
      <c r="B76" s="913"/>
      <c r="C76" s="55"/>
      <c r="D76" s="196"/>
      <c r="E76" s="196"/>
      <c r="F76" s="196"/>
      <c r="G76" s="917"/>
      <c r="H76" s="198"/>
      <c r="I76" s="198"/>
      <c r="J76" s="200"/>
    </row>
    <row r="77" spans="1:10">
      <c r="A77" s="209" t="s">
        <v>223</v>
      </c>
      <c r="B77" s="64"/>
      <c r="C77" s="914"/>
      <c r="D77" s="915"/>
      <c r="E77" s="915"/>
      <c r="F77" s="916"/>
      <c r="G77" s="1684">
        <f>'Sch 1- Rate Base '!G77</f>
        <v>2165002924.3600001</v>
      </c>
      <c r="H77" s="1684"/>
      <c r="I77" s="1684"/>
      <c r="J77" s="1684"/>
    </row>
    <row r="78" spans="1:10">
      <c r="A78" s="925"/>
      <c r="B78" s="926"/>
      <c r="C78" s="55"/>
      <c r="D78" s="196"/>
      <c r="E78" s="196"/>
      <c r="F78" s="196"/>
      <c r="G78" s="927"/>
      <c r="H78" s="927"/>
      <c r="I78" s="927"/>
      <c r="J78" s="928"/>
    </row>
    <row r="79" spans="1:10">
      <c r="A79" s="209" t="s">
        <v>479</v>
      </c>
      <c r="B79" s="64"/>
      <c r="C79" s="914"/>
      <c r="D79" s="915"/>
      <c r="E79" s="915"/>
      <c r="F79" s="916"/>
      <c r="G79" s="1684">
        <f>'Sch 1- Rate Base '!G79</f>
        <v>3187761027.6399999</v>
      </c>
      <c r="H79" s="1684"/>
      <c r="I79" s="1684"/>
      <c r="J79" s="1685"/>
    </row>
    <row r="80" spans="1:10">
      <c r="A80" s="213" t="s">
        <v>84</v>
      </c>
      <c r="B80" s="64"/>
      <c r="C80" s="55"/>
      <c r="D80" s="55"/>
      <c r="E80" s="929"/>
      <c r="F80" s="929"/>
      <c r="G80" s="910"/>
      <c r="H80" s="910"/>
      <c r="I80" s="910"/>
      <c r="J80" s="222"/>
    </row>
    <row r="81" spans="1:10" ht="16.5" thickBot="1">
      <c r="A81" s="930"/>
      <c r="B81" s="931"/>
      <c r="C81" s="932"/>
      <c r="D81" s="932"/>
      <c r="E81" s="933"/>
      <c r="F81" s="933"/>
      <c r="G81" s="934"/>
      <c r="H81" s="934"/>
      <c r="I81" s="934"/>
      <c r="J81" s="935"/>
    </row>
    <row r="82" spans="1:10" ht="16.5" thickTop="1">
      <c r="A82" s="160" t="s">
        <v>76</v>
      </c>
      <c r="B82" s="64"/>
      <c r="C82" s="55"/>
      <c r="D82" s="55"/>
      <c r="E82" s="929"/>
      <c r="F82" s="929"/>
      <c r="G82" s="910"/>
      <c r="H82" s="910"/>
      <c r="I82" s="910"/>
      <c r="J82" s="222"/>
    </row>
    <row r="83" spans="1:10">
      <c r="A83" s="160"/>
      <c r="B83" s="64"/>
      <c r="C83" s="55"/>
      <c r="D83" s="55"/>
      <c r="E83" s="929"/>
      <c r="F83" s="929"/>
      <c r="G83" s="1686"/>
      <c r="H83" s="1686"/>
      <c r="I83" s="1686"/>
      <c r="J83" s="1687"/>
    </row>
    <row r="84" spans="1:10">
      <c r="A84" s="267" t="s">
        <v>144</v>
      </c>
      <c r="B84" s="937" t="s">
        <v>144</v>
      </c>
      <c r="C84" s="888" t="s">
        <v>625</v>
      </c>
      <c r="D84" s="888"/>
      <c r="E84" s="182"/>
      <c r="F84" s="889"/>
      <c r="G84" s="182">
        <f>'Sch 1- Rate Base '!G84</f>
        <v>41593656.978750005</v>
      </c>
      <c r="H84" s="182">
        <f>'Sch 1- Rate Base '!H84</f>
        <v>16843399.343093246</v>
      </c>
      <c r="I84" s="182">
        <f>'Sch 1- Rate Base '!I84</f>
        <v>0</v>
      </c>
      <c r="J84" s="182">
        <f>'Sch 1- Rate Base '!J84</f>
        <v>24750257.635620713</v>
      </c>
    </row>
    <row r="85" spans="1:10">
      <c r="A85" s="912"/>
      <c r="B85" s="1688" t="s">
        <v>756</v>
      </c>
      <c r="C85" s="55"/>
      <c r="D85" s="55"/>
      <c r="E85" s="196"/>
      <c r="F85" s="196"/>
      <c r="G85" s="182">
        <f>'Sch 1A - Cash Working Capital'!G30</f>
        <v>29805671</v>
      </c>
      <c r="H85" s="182">
        <f>'Sch 1A - Cash Working Capital'!H30</f>
        <v>29805671</v>
      </c>
      <c r="I85" s="938"/>
      <c r="J85" s="939"/>
    </row>
    <row r="86" spans="1:10">
      <c r="A86" s="268" t="s">
        <v>274</v>
      </c>
      <c r="B86" s="79"/>
      <c r="C86" s="940"/>
      <c r="D86" s="196"/>
      <c r="E86" s="196"/>
      <c r="F86" s="196"/>
      <c r="G86" s="941"/>
      <c r="H86" s="942"/>
      <c r="I86" s="942"/>
      <c r="J86" s="943"/>
    </row>
    <row r="87" spans="1:10">
      <c r="A87" s="1689"/>
      <c r="B87" s="10" t="s">
        <v>437</v>
      </c>
      <c r="C87" s="181" t="str">
        <f>'Sch 1- Rate Base '!C87</f>
        <v>200-201</v>
      </c>
      <c r="D87" s="181">
        <f>'Sch 1- Rate Base '!D87</f>
        <v>105</v>
      </c>
      <c r="E87" s="184" t="str">
        <f>'Sch 1- Rate Base '!E87</f>
        <v>DIST</v>
      </c>
      <c r="F87" s="184"/>
      <c r="G87" s="1690">
        <f>'Sch 1- Rate Base '!G87</f>
        <v>2928319</v>
      </c>
      <c r="H87" s="249">
        <f>'Sch 1- Rate Base '!H87</f>
        <v>0</v>
      </c>
      <c r="I87" s="249">
        <f>'Sch 1- Rate Base '!I87</f>
        <v>0</v>
      </c>
      <c r="J87" s="1344">
        <f>'Sch 1- Rate Base '!J87</f>
        <v>2928319</v>
      </c>
    </row>
    <row r="88" spans="1:10">
      <c r="A88" s="1689"/>
      <c r="B88" s="10" t="s">
        <v>77</v>
      </c>
      <c r="C88" s="181" t="str">
        <f>'Sch 1- Rate Base '!C88</f>
        <v>200-201</v>
      </c>
      <c r="D88" s="181">
        <f>'Sch 1- Rate Base '!D88</f>
        <v>106</v>
      </c>
      <c r="E88" s="300" t="str">
        <f>'Sch 1- Rate Base '!E88</f>
        <v>PTD</v>
      </c>
      <c r="F88" s="184"/>
      <c r="G88" s="1690">
        <f>'Sch 1- Rate Base '!G88</f>
        <v>0</v>
      </c>
      <c r="H88" s="249">
        <f>'Sch 1- Rate Base '!H88</f>
        <v>0</v>
      </c>
      <c r="I88" s="249">
        <f>'Sch 1- Rate Base '!I88</f>
        <v>0</v>
      </c>
      <c r="J88" s="1344">
        <f>'Sch 1- Rate Base '!J88</f>
        <v>0</v>
      </c>
    </row>
    <row r="89" spans="1:10">
      <c r="A89" s="1689"/>
      <c r="B89" s="64" t="s">
        <v>480</v>
      </c>
      <c r="C89" s="181" t="str">
        <f>'Sch 1- Rate Base '!C89</f>
        <v>320-323</v>
      </c>
      <c r="D89" s="181" t="str">
        <f>'Sch 1- Rate Base '!D89</f>
        <v>120.1-120.6</v>
      </c>
      <c r="E89" s="184" t="str">
        <f>'Sch 1- Rate Base '!E89</f>
        <v>PROD</v>
      </c>
      <c r="F89" s="184"/>
      <c r="G89" s="1690">
        <f>'Sch 1- Rate Base '!G89</f>
        <v>0</v>
      </c>
      <c r="H89" s="249">
        <f>'Sch 1- Rate Base '!H89</f>
        <v>0</v>
      </c>
      <c r="I89" s="249">
        <f>'Sch 1- Rate Base '!I89</f>
        <v>0</v>
      </c>
      <c r="J89" s="1344">
        <f>'Sch 1- Rate Base '!J89</f>
        <v>0</v>
      </c>
    </row>
    <row r="90" spans="1:10">
      <c r="A90" s="1689"/>
      <c r="B90" s="10" t="s">
        <v>80</v>
      </c>
      <c r="C90" s="181" t="str">
        <f>'Sch 1- Rate Base '!C90</f>
        <v>200-201</v>
      </c>
      <c r="D90" s="181" t="str">
        <f>'Sch 1- Rate Base '!D90</f>
        <v>107 &amp; 120.1</v>
      </c>
      <c r="E90" s="184" t="str">
        <f>'Sch 1- Rate Base '!E90</f>
        <v>DIST</v>
      </c>
      <c r="F90" s="184"/>
      <c r="G90" s="1690">
        <f>'Sch 1- Rate Base '!G90</f>
        <v>132548007</v>
      </c>
      <c r="H90" s="249">
        <f>'Sch 1- Rate Base '!H90</f>
        <v>0</v>
      </c>
      <c r="I90" s="249">
        <f>'Sch 1- Rate Base '!I90</f>
        <v>0</v>
      </c>
      <c r="J90" s="1344">
        <f>'Sch 1- Rate Base '!J90</f>
        <v>132548007</v>
      </c>
    </row>
    <row r="91" spans="1:10">
      <c r="A91" s="1689"/>
      <c r="B91" s="10" t="s">
        <v>224</v>
      </c>
      <c r="C91" s="181">
        <f>'Sch 1- Rate Base '!C91</f>
        <v>356</v>
      </c>
      <c r="D91" s="181">
        <f>'Sch 1- Rate Base '!D91</f>
        <v>0</v>
      </c>
      <c r="E91" s="184" t="str">
        <f>'Sch 1- Rate Base '!E91</f>
        <v>DIRECT</v>
      </c>
      <c r="F91" s="184"/>
      <c r="G91" s="1690">
        <f>'Sch 1- Rate Base '!G91</f>
        <v>527520424</v>
      </c>
      <c r="H91" s="249">
        <f>'Sch 1- Rate Base '!H91</f>
        <v>95603687.228371158</v>
      </c>
      <c r="I91" s="249">
        <f>'Sch 1- Rate Base '!I91</f>
        <v>0</v>
      </c>
      <c r="J91" s="1344">
        <f>'Sch 1- Rate Base '!J91</f>
        <v>431916736.77162886</v>
      </c>
    </row>
    <row r="92" spans="1:10">
      <c r="A92" s="1689"/>
      <c r="B92" s="10" t="s">
        <v>71</v>
      </c>
      <c r="C92" s="181" t="str">
        <f>'Sch 1- Rate Base '!C92</f>
        <v>200-201</v>
      </c>
      <c r="D92" s="181">
        <f>'Sch 1- Rate Base '!D92</f>
        <v>114</v>
      </c>
      <c r="E92" s="184" t="str">
        <f>'Sch 1- Rate Base '!E92</f>
        <v>DIRECT</v>
      </c>
      <c r="F92" s="184" t="str">
        <f>'Sch 1- Rate Base '!F92</f>
        <v>DIST</v>
      </c>
      <c r="G92" s="1690">
        <f>'Sch 1- Rate Base '!G92</f>
        <v>256800</v>
      </c>
      <c r="H92" s="249">
        <f>'Sch 1- Rate Base '!H92</f>
        <v>0</v>
      </c>
      <c r="I92" s="249">
        <f>'Sch 1- Rate Base '!I92</f>
        <v>0</v>
      </c>
      <c r="J92" s="1344">
        <f>'Sch 1- Rate Base '!J92</f>
        <v>256800</v>
      </c>
    </row>
    <row r="93" spans="1:10">
      <c r="A93" s="1689"/>
      <c r="B93" s="847" t="s">
        <v>104</v>
      </c>
      <c r="C93" s="492"/>
      <c r="D93" s="485"/>
      <c r="E93" s="485"/>
      <c r="F93" s="486"/>
      <c r="G93" s="493">
        <f>'Sch 1- Rate Base '!G93</f>
        <v>663253550</v>
      </c>
      <c r="H93" s="493">
        <f>'Sch 1- Rate Base '!H93</f>
        <v>95603687.228371158</v>
      </c>
      <c r="I93" s="493">
        <f>'Sch 1- Rate Base '!I93</f>
        <v>0</v>
      </c>
      <c r="J93" s="1366">
        <f>'Sch 1- Rate Base '!J93</f>
        <v>567649862.77162886</v>
      </c>
    </row>
    <row r="94" spans="1:10">
      <c r="A94" s="1689"/>
      <c r="B94" s="847"/>
      <c r="C94" s="73"/>
      <c r="D94" s="73"/>
      <c r="E94" s="73"/>
      <c r="F94" s="73"/>
      <c r="G94" s="334"/>
      <c r="H94" s="334"/>
      <c r="I94" s="334"/>
      <c r="J94" s="1367"/>
    </row>
    <row r="95" spans="1:10">
      <c r="A95" s="269" t="s">
        <v>275</v>
      </c>
      <c r="B95" s="79"/>
      <c r="C95" s="80"/>
      <c r="D95" s="48"/>
      <c r="E95" s="48"/>
      <c r="F95" s="48"/>
      <c r="G95" s="335"/>
      <c r="H95" s="335"/>
      <c r="I95" s="335"/>
      <c r="J95" s="1369"/>
    </row>
    <row r="96" spans="1:10">
      <c r="A96" s="912"/>
      <c r="B96" s="913" t="s">
        <v>448</v>
      </c>
      <c r="C96" s="181" t="str">
        <f>'Sch 1- Rate Base '!C96</f>
        <v>110-111</v>
      </c>
      <c r="D96" s="181">
        <f>'Sch 1- Rate Base '!D96</f>
        <v>123</v>
      </c>
      <c r="E96" s="184" t="str">
        <f>'Sch 1- Rate Base '!E96</f>
        <v>DIRECT</v>
      </c>
      <c r="F96" s="184" t="str">
        <f>'Sch 1- Rate Base '!F96</f>
        <v>DIST</v>
      </c>
      <c r="G96" s="1690">
        <f>'Sch 1- Rate Base '!G96</f>
        <v>11547000</v>
      </c>
      <c r="H96" s="249">
        <f>'Sch 1- Rate Base '!H96</f>
        <v>0</v>
      </c>
      <c r="I96" s="249">
        <f>'Sch 1- Rate Base '!I96</f>
        <v>0</v>
      </c>
      <c r="J96" s="1344">
        <f>'Sch 1- Rate Base '!J96</f>
        <v>11547000</v>
      </c>
    </row>
    <row r="97" spans="1:10">
      <c r="A97" s="912"/>
      <c r="B97" s="10" t="s">
        <v>481</v>
      </c>
      <c r="C97" s="181" t="str">
        <f>'Sch 1- Rate Base '!C97</f>
        <v>110-111</v>
      </c>
      <c r="D97" s="181">
        <f>'Sch 1- Rate Base '!D97</f>
        <v>124</v>
      </c>
      <c r="E97" s="184" t="str">
        <f>'Sch 1- Rate Base '!E97</f>
        <v>DIST</v>
      </c>
      <c r="F97" s="184"/>
      <c r="G97" s="1690">
        <f>'Sch 1- Rate Base '!G97</f>
        <v>14093.53</v>
      </c>
      <c r="H97" s="249">
        <f>'Sch 1- Rate Base '!H97</f>
        <v>0</v>
      </c>
      <c r="I97" s="249">
        <f>'Sch 1- Rate Base '!I97</f>
        <v>0</v>
      </c>
      <c r="J97" s="1344">
        <f>'Sch 1- Rate Base '!J97</f>
        <v>14093.53</v>
      </c>
    </row>
    <row r="98" spans="1:10">
      <c r="A98" s="912"/>
      <c r="B98" s="79" t="s">
        <v>6</v>
      </c>
      <c r="C98" s="181" t="str">
        <f>'Sch 1- Rate Base '!C98</f>
        <v>110-111</v>
      </c>
      <c r="D98" s="181">
        <f>'Sch 1- Rate Base '!D98</f>
        <v>175</v>
      </c>
      <c r="E98" s="184" t="str">
        <f>'Sch 1- Rate Base '!E98</f>
        <v>DIST</v>
      </c>
      <c r="F98" s="184"/>
      <c r="G98" s="333">
        <f>'Sch 1- Rate Base '!G98</f>
        <v>0</v>
      </c>
      <c r="H98" s="249">
        <f>'Sch 1- Rate Base '!H98</f>
        <v>0</v>
      </c>
      <c r="I98" s="249">
        <f>'Sch 1- Rate Base '!I98</f>
        <v>0</v>
      </c>
      <c r="J98" s="1344">
        <f>'Sch 1- Rate Base '!J98</f>
        <v>0</v>
      </c>
    </row>
    <row r="99" spans="1:10">
      <c r="A99" s="912"/>
      <c r="B99" s="79" t="s">
        <v>375</v>
      </c>
      <c r="C99" s="181" t="str">
        <f>'Sch 1- Rate Base '!C99</f>
        <v>110-111</v>
      </c>
      <c r="D99" s="181">
        <f>'Sch 1- Rate Base '!D99</f>
        <v>176</v>
      </c>
      <c r="E99" s="184" t="str">
        <f>'Sch 1- Rate Base '!E99</f>
        <v>DIST</v>
      </c>
      <c r="F99" s="184"/>
      <c r="G99" s="333">
        <f>'Sch 1- Rate Base '!G99</f>
        <v>0</v>
      </c>
      <c r="H99" s="249">
        <f>'Sch 1- Rate Base '!H99</f>
        <v>0</v>
      </c>
      <c r="I99" s="249">
        <f>'Sch 1- Rate Base '!I99</f>
        <v>0</v>
      </c>
      <c r="J99" s="1344">
        <f>'Sch 1- Rate Base '!J99</f>
        <v>0</v>
      </c>
    </row>
    <row r="100" spans="1:10">
      <c r="A100" s="912"/>
      <c r="B100" s="847" t="s">
        <v>104</v>
      </c>
      <c r="C100" s="181"/>
      <c r="D100" s="485"/>
      <c r="E100" s="485"/>
      <c r="F100" s="486"/>
      <c r="G100" s="493">
        <f>'Sch 1- Rate Base '!G100</f>
        <v>11561093.529999999</v>
      </c>
      <c r="H100" s="493">
        <f>'Sch 1- Rate Base '!H100</f>
        <v>0</v>
      </c>
      <c r="I100" s="493">
        <f>'Sch 1- Rate Base '!I100</f>
        <v>0</v>
      </c>
      <c r="J100" s="1366">
        <f>'Sch 1- Rate Base '!J100</f>
        <v>11561093.529999999</v>
      </c>
    </row>
    <row r="101" spans="1:10">
      <c r="A101" s="951"/>
      <c r="B101" s="947"/>
      <c r="C101" s="181"/>
      <c r="D101" s="947"/>
      <c r="E101" s="947"/>
      <c r="F101" s="947"/>
      <c r="G101" s="947"/>
      <c r="H101" s="947"/>
      <c r="I101" s="947"/>
      <c r="J101" s="948"/>
    </row>
    <row r="102" spans="1:10">
      <c r="A102" s="268" t="s">
        <v>177</v>
      </c>
      <c r="B102" s="79"/>
      <c r="C102" s="80"/>
      <c r="D102" s="48"/>
      <c r="E102" s="48"/>
      <c r="F102" s="48"/>
      <c r="G102" s="382"/>
      <c r="H102" s="382"/>
      <c r="I102" s="382"/>
      <c r="J102" s="1370"/>
    </row>
    <row r="103" spans="1:10">
      <c r="A103" s="912"/>
      <c r="B103" s="10" t="s">
        <v>440</v>
      </c>
      <c r="C103" s="181" t="str">
        <f>'Sch 1- Rate Base '!C103</f>
        <v>110-111</v>
      </c>
      <c r="D103" s="181">
        <f>'Sch 1- Rate Base '!D103</f>
        <v>151</v>
      </c>
      <c r="E103" s="184" t="str">
        <f>'Sch 1- Rate Base '!E103</f>
        <v>PROD</v>
      </c>
      <c r="F103" s="184"/>
      <c r="G103" s="1690">
        <f>'Sch 1- Rate Base '!G103</f>
        <v>4683150.17</v>
      </c>
      <c r="H103" s="249">
        <f>'Sch 1- Rate Base '!H103</f>
        <v>4683150.17</v>
      </c>
      <c r="I103" s="249">
        <f>'Sch 1- Rate Base '!I103</f>
        <v>0</v>
      </c>
      <c r="J103" s="1344">
        <f>'Sch 1- Rate Base '!J103</f>
        <v>0</v>
      </c>
    </row>
    <row r="104" spans="1:10">
      <c r="A104" s="912"/>
      <c r="B104" s="79" t="s">
        <v>7</v>
      </c>
      <c r="C104" s="181" t="str">
        <f>'Sch 1- Rate Base '!C104</f>
        <v>110-111</v>
      </c>
      <c r="D104" s="181">
        <f>'Sch 1- Rate Base '!D104</f>
        <v>152</v>
      </c>
      <c r="E104" s="184" t="str">
        <f>'Sch 1- Rate Base '!E104</f>
        <v>PROD</v>
      </c>
      <c r="F104" s="184"/>
      <c r="G104" s="1690">
        <f>'Sch 1- Rate Base '!G104</f>
        <v>0</v>
      </c>
      <c r="H104" s="249">
        <f>'Sch 1- Rate Base '!H104</f>
        <v>0</v>
      </c>
      <c r="I104" s="249">
        <f>'Sch 1- Rate Base '!I104</f>
        <v>0</v>
      </c>
      <c r="J104" s="1344">
        <f>'Sch 1- Rate Base '!J104</f>
        <v>0</v>
      </c>
    </row>
    <row r="105" spans="1:10">
      <c r="A105" s="912"/>
      <c r="B105" s="10" t="s">
        <v>79</v>
      </c>
      <c r="C105" s="181" t="str">
        <f>'Sch 1- Rate Base '!C105</f>
        <v>110-111</v>
      </c>
      <c r="D105" s="181">
        <f>'Sch 1- Rate Base '!D105</f>
        <v>154</v>
      </c>
      <c r="E105" s="184" t="str">
        <f>'Sch 1- Rate Base '!E105</f>
        <v>PTD</v>
      </c>
      <c r="F105" s="184"/>
      <c r="G105" s="1690">
        <f>'Sch 1- Rate Base '!G105</f>
        <v>79492527.939999998</v>
      </c>
      <c r="H105" s="249">
        <f>'Sch 1- Rate Base '!H105</f>
        <v>25259610.746624589</v>
      </c>
      <c r="I105" s="249">
        <f>'Sch 1- Rate Base '!I105</f>
        <v>0</v>
      </c>
      <c r="J105" s="1344">
        <f>'Sch 1- Rate Base '!J105</f>
        <v>54232917.193375401</v>
      </c>
    </row>
    <row r="106" spans="1:10">
      <c r="A106" s="912"/>
      <c r="B106" s="10" t="s">
        <v>355</v>
      </c>
      <c r="C106" s="181" t="str">
        <f>'Sch 1- Rate Base '!C106</f>
        <v>110-111</v>
      </c>
      <c r="D106" s="181">
        <f>'Sch 1- Rate Base '!D106</f>
        <v>155</v>
      </c>
      <c r="E106" s="184" t="str">
        <f>'Sch 1- Rate Base '!E106</f>
        <v>DIST</v>
      </c>
      <c r="F106" s="184"/>
      <c r="G106" s="1690">
        <f>'Sch 1- Rate Base '!G106</f>
        <v>0</v>
      </c>
      <c r="H106" s="249">
        <f>'Sch 1- Rate Base '!H106</f>
        <v>0</v>
      </c>
      <c r="I106" s="249">
        <f>'Sch 1- Rate Base '!I106</f>
        <v>0</v>
      </c>
      <c r="J106" s="1344">
        <f>'Sch 1- Rate Base '!J106</f>
        <v>0</v>
      </c>
    </row>
    <row r="107" spans="1:10">
      <c r="A107" s="912"/>
      <c r="B107" s="10" t="s">
        <v>356</v>
      </c>
      <c r="C107" s="181" t="str">
        <f>'Sch 1- Rate Base '!C107</f>
        <v>110-111</v>
      </c>
      <c r="D107" s="181">
        <f>'Sch 1- Rate Base '!D107</f>
        <v>156</v>
      </c>
      <c r="E107" s="184" t="str">
        <f>'Sch 1- Rate Base '!E107</f>
        <v>DIST</v>
      </c>
      <c r="F107" s="184"/>
      <c r="G107" s="1690">
        <f>'Sch 1- Rate Base '!G107</f>
        <v>0</v>
      </c>
      <c r="H107" s="249">
        <f>'Sch 1- Rate Base '!H107</f>
        <v>0</v>
      </c>
      <c r="I107" s="249">
        <f>'Sch 1- Rate Base '!I107</f>
        <v>0</v>
      </c>
      <c r="J107" s="1344">
        <f>'Sch 1- Rate Base '!J107</f>
        <v>0</v>
      </c>
    </row>
    <row r="108" spans="1:10">
      <c r="A108" s="912"/>
      <c r="B108" s="10" t="s">
        <v>357</v>
      </c>
      <c r="C108" s="181" t="str">
        <f>'Sch 1- Rate Base '!C108</f>
        <v>110-111</v>
      </c>
      <c r="D108" s="181">
        <f>'Sch 1- Rate Base '!D108</f>
        <v>158.1</v>
      </c>
      <c r="E108" s="184" t="str">
        <f>'Sch 1- Rate Base '!E108</f>
        <v>PROD</v>
      </c>
      <c r="F108" s="184"/>
      <c r="G108" s="1690">
        <f>'Sch 1- Rate Base '!G108</f>
        <v>30071678.350000001</v>
      </c>
      <c r="H108" s="249">
        <f>'Sch 1- Rate Base '!H108</f>
        <v>30071678.350000001</v>
      </c>
      <c r="I108" s="249">
        <f>'Sch 1- Rate Base '!I108</f>
        <v>0</v>
      </c>
      <c r="J108" s="1344">
        <f>'Sch 1- Rate Base '!J108</f>
        <v>0</v>
      </c>
    </row>
    <row r="109" spans="1:10">
      <c r="A109" s="912"/>
      <c r="B109" s="10" t="s">
        <v>178</v>
      </c>
      <c r="C109" s="181" t="str">
        <f>'Sch 1- Rate Base '!C109</f>
        <v>110-111</v>
      </c>
      <c r="D109" s="181">
        <f>'Sch 1- Rate Base '!D109</f>
        <v>158.19999999999999</v>
      </c>
      <c r="E109" s="184" t="str">
        <f>'Sch 1- Rate Base '!E109</f>
        <v>PROD</v>
      </c>
      <c r="F109" s="184"/>
      <c r="G109" s="1690">
        <f>'Sch 1- Rate Base '!G109</f>
        <v>0</v>
      </c>
      <c r="H109" s="249">
        <f>'Sch 1- Rate Base '!H109</f>
        <v>0</v>
      </c>
      <c r="I109" s="249">
        <f>'Sch 1- Rate Base '!I109</f>
        <v>0</v>
      </c>
      <c r="J109" s="1344">
        <f>'Sch 1- Rate Base '!J109</f>
        <v>0</v>
      </c>
    </row>
    <row r="110" spans="1:10">
      <c r="A110" s="912"/>
      <c r="B110" s="10" t="s">
        <v>55</v>
      </c>
      <c r="C110" s="181" t="str">
        <f>'Sch 1- Rate Base '!C110</f>
        <v>110-111</v>
      </c>
      <c r="D110" s="181">
        <f>'Sch 1- Rate Base '!D110</f>
        <v>163</v>
      </c>
      <c r="E110" s="184" t="str">
        <f>'Sch 1- Rate Base '!E110</f>
        <v>PTD</v>
      </c>
      <c r="F110" s="184"/>
      <c r="G110" s="1690">
        <f>'Sch 1- Rate Base '!G110</f>
        <v>0</v>
      </c>
      <c r="H110" s="249">
        <f>'Sch 1- Rate Base '!H110</f>
        <v>0</v>
      </c>
      <c r="I110" s="249">
        <f>'Sch 1- Rate Base '!I110</f>
        <v>0</v>
      </c>
      <c r="J110" s="1344">
        <f>'Sch 1- Rate Base '!J110</f>
        <v>0</v>
      </c>
    </row>
    <row r="111" spans="1:10">
      <c r="A111" s="912"/>
      <c r="B111" s="10" t="s">
        <v>8</v>
      </c>
      <c r="C111" s="181" t="str">
        <f>'Sch 1- Rate Base '!C111</f>
        <v>110-111</v>
      </c>
      <c r="D111" s="181">
        <f>'Sch 1- Rate Base '!D111</f>
        <v>165</v>
      </c>
      <c r="E111" s="184" t="str">
        <f>'Sch 1- Rate Base '!E111</f>
        <v>PTD</v>
      </c>
      <c r="F111" s="184"/>
      <c r="G111" s="1690">
        <f>'Sch 1- Rate Base '!G111</f>
        <v>50221551.920000002</v>
      </c>
      <c r="H111" s="249">
        <f>'Sch 1- Rate Base '!H111</f>
        <v>15958441.446825081</v>
      </c>
      <c r="I111" s="249">
        <f>'Sch 1- Rate Base '!I111</f>
        <v>0</v>
      </c>
      <c r="J111" s="1344">
        <f>'Sch 1- Rate Base '!J111</f>
        <v>34263110.473174915</v>
      </c>
    </row>
    <row r="112" spans="1:10">
      <c r="A112" s="912"/>
      <c r="B112" s="79" t="s">
        <v>9</v>
      </c>
      <c r="C112" s="181" t="str">
        <f>'Sch 1- Rate Base '!C112</f>
        <v>110-111</v>
      </c>
      <c r="D112" s="181">
        <f>'Sch 1- Rate Base '!D112</f>
        <v>175</v>
      </c>
      <c r="E112" s="184" t="str">
        <f>'Sch 1- Rate Base '!E112</f>
        <v>DIST</v>
      </c>
      <c r="F112" s="184"/>
      <c r="G112" s="1690">
        <f>'Sch 1- Rate Base '!G112</f>
        <v>11821032.84</v>
      </c>
      <c r="H112" s="249">
        <f>'Sch 1- Rate Base '!H112</f>
        <v>0</v>
      </c>
      <c r="I112" s="249">
        <f>'Sch 1- Rate Base '!I112</f>
        <v>0</v>
      </c>
      <c r="J112" s="1344">
        <f>'Sch 1- Rate Base '!J112</f>
        <v>11821032.84</v>
      </c>
    </row>
    <row r="113" spans="1:10">
      <c r="A113" s="912"/>
      <c r="B113" s="79" t="s">
        <v>626</v>
      </c>
      <c r="C113" s="181" t="str">
        <f>'Sch 1- Rate Base '!C113</f>
        <v>110-111</v>
      </c>
      <c r="D113" s="181">
        <f>'Sch 1- Rate Base '!D113</f>
        <v>175</v>
      </c>
      <c r="E113" s="184" t="str">
        <f>'Sch 1- Rate Base '!E113</f>
        <v>DIST</v>
      </c>
      <c r="F113" s="184"/>
      <c r="G113" s="1690">
        <f>'Sch 1- Rate Base '!G113</f>
        <v>0</v>
      </c>
      <c r="H113" s="249">
        <f>'Sch 1- Rate Base '!H113</f>
        <v>0</v>
      </c>
      <c r="I113" s="249">
        <f>'Sch 1- Rate Base '!I113</f>
        <v>0</v>
      </c>
      <c r="J113" s="1344">
        <f>'Sch 1- Rate Base '!J113</f>
        <v>0</v>
      </c>
    </row>
    <row r="114" spans="1:10">
      <c r="A114" s="912"/>
      <c r="B114" s="79" t="s">
        <v>334</v>
      </c>
      <c r="C114" s="89" t="str">
        <f>'Sch 1- Rate Base '!C114</f>
        <v>110-111</v>
      </c>
      <c r="D114" s="89">
        <f>'Sch 1- Rate Base '!D114</f>
        <v>176</v>
      </c>
      <c r="E114" s="250" t="str">
        <f>'Sch 1- Rate Base '!E114</f>
        <v>DIST</v>
      </c>
      <c r="F114" s="184"/>
      <c r="G114" s="1690">
        <f>'Sch 1- Rate Base '!G114</f>
        <v>0</v>
      </c>
      <c r="H114" s="249">
        <f>'Sch 1- Rate Base '!H114</f>
        <v>0</v>
      </c>
      <c r="I114" s="249">
        <f>'Sch 1- Rate Base '!I114</f>
        <v>0</v>
      </c>
      <c r="J114" s="1344">
        <f>'Sch 1- Rate Base '!J114</f>
        <v>0</v>
      </c>
    </row>
    <row r="115" spans="1:10">
      <c r="A115" s="912"/>
      <c r="B115" s="79" t="s">
        <v>627</v>
      </c>
      <c r="C115" s="89" t="str">
        <f>'Sch 1- Rate Base '!C115</f>
        <v>110-111</v>
      </c>
      <c r="D115" s="89">
        <f>'Sch 1- Rate Base '!D115</f>
        <v>176</v>
      </c>
      <c r="E115" s="250" t="str">
        <f>'Sch 1- Rate Base '!E115</f>
        <v>DIST</v>
      </c>
      <c r="F115" s="184"/>
      <c r="G115" s="1690">
        <f>'Sch 1- Rate Base '!G115</f>
        <v>0</v>
      </c>
      <c r="H115" s="249">
        <f>'Sch 1- Rate Base '!H115</f>
        <v>0</v>
      </c>
      <c r="I115" s="249">
        <f>'Sch 1- Rate Base '!I115</f>
        <v>0</v>
      </c>
      <c r="J115" s="1344">
        <f>'Sch 1- Rate Base '!J115</f>
        <v>0</v>
      </c>
    </row>
    <row r="116" spans="1:10" ht="16.5" thickBot="1">
      <c r="A116" s="912"/>
      <c r="B116" s="847" t="s">
        <v>104</v>
      </c>
      <c r="C116" s="1748"/>
      <c r="D116" s="1508"/>
      <c r="E116" s="1508"/>
      <c r="F116" s="1509"/>
      <c r="G116" s="1510"/>
      <c r="H116" s="1510"/>
      <c r="I116" s="1510"/>
      <c r="J116" s="1511"/>
    </row>
    <row r="117" spans="1:10" ht="17.25" thickTop="1" thickBot="1">
      <c r="A117" s="955"/>
      <c r="B117" s="956"/>
      <c r="C117" s="1514"/>
      <c r="D117" s="1514"/>
      <c r="E117" s="1514"/>
      <c r="F117" s="1514"/>
      <c r="G117" s="1515"/>
      <c r="H117" s="1515"/>
      <c r="I117" s="1515"/>
      <c r="J117" s="1516"/>
    </row>
    <row r="118" spans="1:10" ht="16.5" thickTop="1">
      <c r="A118" s="960" t="s">
        <v>179</v>
      </c>
      <c r="B118" s="79"/>
      <c r="C118" s="80"/>
      <c r="D118" s="48"/>
      <c r="E118" s="48"/>
      <c r="F118" s="48"/>
      <c r="G118" s="336"/>
      <c r="H118" s="337"/>
      <c r="I118" s="337"/>
      <c r="J118" s="1355"/>
    </row>
    <row r="119" spans="1:10">
      <c r="A119" s="912"/>
      <c r="B119" s="79" t="s">
        <v>10</v>
      </c>
      <c r="C119" s="181" t="str">
        <f>'Sch 1- Rate Base '!C119</f>
        <v>110-111</v>
      </c>
      <c r="D119" s="181">
        <f>'Sch 1- Rate Base '!D119</f>
        <v>181</v>
      </c>
      <c r="E119" s="184" t="str">
        <f>'Sch 1- Rate Base '!E119</f>
        <v>PTDG</v>
      </c>
      <c r="F119" s="184"/>
      <c r="G119" s="1690">
        <f>'Sch 1- Rate Base '!G119</f>
        <v>21586300.960000001</v>
      </c>
      <c r="H119" s="249">
        <f>'Sch 1- Rate Base '!H119</f>
        <v>6869251.0323689282</v>
      </c>
      <c r="I119" s="249">
        <f>'Sch 1- Rate Base '!I119</f>
        <v>0</v>
      </c>
      <c r="J119" s="1344">
        <f>'Sch 1- Rate Base '!J119</f>
        <v>14717049.925413068</v>
      </c>
    </row>
    <row r="120" spans="1:10">
      <c r="A120" s="912"/>
      <c r="B120" s="79" t="s">
        <v>11</v>
      </c>
      <c r="C120" s="181" t="str">
        <f>'Sch 1- Rate Base '!C120</f>
        <v>110-111</v>
      </c>
      <c r="D120" s="181">
        <f>'Sch 1- Rate Base '!D120</f>
        <v>182.1</v>
      </c>
      <c r="E120" s="184" t="str">
        <f>'Sch 1- Rate Base '!E120</f>
        <v>DIRECT</v>
      </c>
      <c r="F120" s="184" t="str">
        <f>'Sch 1- Rate Base '!F120</f>
        <v>DIST</v>
      </c>
      <c r="G120" s="1690">
        <f>'Sch 1- Rate Base '!G120</f>
        <v>0</v>
      </c>
      <c r="H120" s="249">
        <f>'Sch 1- Rate Base '!H120</f>
        <v>0</v>
      </c>
      <c r="I120" s="249">
        <f>'Sch 1- Rate Base '!I120</f>
        <v>0</v>
      </c>
      <c r="J120" s="1344">
        <f>'Sch 1- Rate Base '!J120</f>
        <v>0</v>
      </c>
    </row>
    <row r="121" spans="1:10">
      <c r="A121" s="912"/>
      <c r="B121" s="79" t="s">
        <v>12</v>
      </c>
      <c r="C121" s="181" t="str">
        <f>'Sch 1- Rate Base '!C121</f>
        <v>110-111</v>
      </c>
      <c r="D121" s="181">
        <f>'Sch 1- Rate Base '!D121</f>
        <v>182.2</v>
      </c>
      <c r="E121" s="184" t="str">
        <f>'Sch 1- Rate Base '!E121</f>
        <v>DIRECT</v>
      </c>
      <c r="F121" s="184" t="str">
        <f>'Sch 1- Rate Base '!F121</f>
        <v>DIST</v>
      </c>
      <c r="G121" s="1690">
        <f>'Sch 1- Rate Base '!G121</f>
        <v>0</v>
      </c>
      <c r="H121" s="249">
        <f>'Sch 1- Rate Base '!H121</f>
        <v>0</v>
      </c>
      <c r="I121" s="249">
        <f>'Sch 1- Rate Base '!I121</f>
        <v>0</v>
      </c>
      <c r="J121" s="1344">
        <f>'Sch 1- Rate Base '!J121</f>
        <v>0</v>
      </c>
    </row>
    <row r="122" spans="1:10">
      <c r="A122" s="912"/>
      <c r="B122" s="79" t="s">
        <v>13</v>
      </c>
      <c r="C122" s="181" t="str">
        <f>'Sch 1- Rate Base '!C122</f>
        <v>110-111</v>
      </c>
      <c r="D122" s="181">
        <f>'Sch 1- Rate Base '!D122</f>
        <v>182.3</v>
      </c>
      <c r="E122" s="184" t="str">
        <f>'Sch 1- Rate Base '!E122</f>
        <v>DIRECT</v>
      </c>
      <c r="F122" s="184" t="str">
        <f>'Sch 1- Rate Base '!F122</f>
        <v>DIST</v>
      </c>
      <c r="G122" s="1690">
        <f>'Sch 1- Rate Base '!G122</f>
        <v>898192106.79999995</v>
      </c>
      <c r="H122" s="249">
        <f>'Sch 1- Rate Base '!H122</f>
        <v>60503537</v>
      </c>
      <c r="I122" s="249">
        <f>'Sch 1- Rate Base '!I122</f>
        <v>0</v>
      </c>
      <c r="J122" s="1344">
        <f>'Sch 1- Rate Base '!J122</f>
        <v>837688570</v>
      </c>
    </row>
    <row r="123" spans="1:10">
      <c r="A123" s="912"/>
      <c r="B123" s="79" t="s">
        <v>628</v>
      </c>
      <c r="C123" s="181" t="str">
        <f>'Sch 1- Rate Base '!C123</f>
        <v>110-111</v>
      </c>
      <c r="D123" s="181">
        <f>'Sch 1- Rate Base '!D123</f>
        <v>183</v>
      </c>
      <c r="E123" s="184" t="str">
        <f>'Sch 1- Rate Base '!E123</f>
        <v>DIST</v>
      </c>
      <c r="F123" s="184"/>
      <c r="G123" s="1690">
        <f>'Sch 1- Rate Base '!G123</f>
        <v>0</v>
      </c>
      <c r="H123" s="249">
        <f>'Sch 1- Rate Base '!H123</f>
        <v>0</v>
      </c>
      <c r="I123" s="249">
        <f>'Sch 1- Rate Base '!I123</f>
        <v>0</v>
      </c>
      <c r="J123" s="1344">
        <f>'Sch 1- Rate Base '!J123</f>
        <v>0</v>
      </c>
    </row>
    <row r="124" spans="1:10">
      <c r="A124" s="912"/>
      <c r="B124" s="79" t="s">
        <v>14</v>
      </c>
      <c r="C124" s="181" t="str">
        <f>'Sch 1- Rate Base '!C124</f>
        <v>110-111</v>
      </c>
      <c r="D124" s="181">
        <f>'Sch 1- Rate Base '!D124</f>
        <v>183.1</v>
      </c>
      <c r="E124" s="184" t="str">
        <f>'Sch 1- Rate Base '!E124</f>
        <v>DIST</v>
      </c>
      <c r="F124" s="184"/>
      <c r="G124" s="1690">
        <f>'Sch 1- Rate Base '!G124</f>
        <v>0</v>
      </c>
      <c r="H124" s="249">
        <f>'Sch 1- Rate Base '!H124</f>
        <v>0</v>
      </c>
      <c r="I124" s="249">
        <f>'Sch 1- Rate Base '!I124</f>
        <v>0</v>
      </c>
      <c r="J124" s="1344">
        <f>'Sch 1- Rate Base '!J124</f>
        <v>0</v>
      </c>
    </row>
    <row r="125" spans="1:10">
      <c r="A125" s="912"/>
      <c r="B125" s="79" t="s">
        <v>449</v>
      </c>
      <c r="C125" s="181" t="str">
        <f>'Sch 1- Rate Base '!C125</f>
        <v>110-111</v>
      </c>
      <c r="D125" s="181">
        <f>'Sch 1- Rate Base '!D125</f>
        <v>183.2</v>
      </c>
      <c r="E125" s="184" t="str">
        <f>'Sch 1- Rate Base '!E125</f>
        <v>DIST</v>
      </c>
      <c r="F125" s="184"/>
      <c r="G125" s="1690">
        <f>'Sch 1- Rate Base '!G125</f>
        <v>0</v>
      </c>
      <c r="H125" s="249">
        <f>'Sch 1- Rate Base '!H125</f>
        <v>0</v>
      </c>
      <c r="I125" s="249">
        <f>'Sch 1- Rate Base '!I125</f>
        <v>0</v>
      </c>
      <c r="J125" s="1344">
        <f>'Sch 1- Rate Base '!J125</f>
        <v>0</v>
      </c>
    </row>
    <row r="126" spans="1:10">
      <c r="A126" s="912"/>
      <c r="B126" s="79" t="s">
        <v>15</v>
      </c>
      <c r="C126" s="181" t="str">
        <f>'Sch 1- Rate Base '!C126</f>
        <v>110-111</v>
      </c>
      <c r="D126" s="181">
        <f>'Sch 1- Rate Base '!D126</f>
        <v>184</v>
      </c>
      <c r="E126" s="184" t="str">
        <f>'Sch 1- Rate Base '!E126</f>
        <v>DIST</v>
      </c>
      <c r="F126" s="184"/>
      <c r="G126" s="1690">
        <f>'Sch 1- Rate Base '!G126</f>
        <v>858506.23</v>
      </c>
      <c r="H126" s="249">
        <f>'Sch 1- Rate Base '!H126</f>
        <v>0</v>
      </c>
      <c r="I126" s="249">
        <f>'Sch 1- Rate Base '!I126</f>
        <v>0</v>
      </c>
      <c r="J126" s="1344">
        <f>'Sch 1- Rate Base '!J126</f>
        <v>858506.23</v>
      </c>
    </row>
    <row r="127" spans="1:10">
      <c r="A127" s="912"/>
      <c r="B127" s="79" t="s">
        <v>16</v>
      </c>
      <c r="C127" s="181" t="str">
        <f>'Sch 1- Rate Base '!C127</f>
        <v>110-111</v>
      </c>
      <c r="D127" s="181">
        <f>'Sch 1- Rate Base '!D127</f>
        <v>185</v>
      </c>
      <c r="E127" s="184" t="str">
        <f>'Sch 1- Rate Base '!E127</f>
        <v>PTDG</v>
      </c>
      <c r="F127" s="184"/>
      <c r="G127" s="1690">
        <f>'Sch 1- Rate Base '!G127</f>
        <v>0</v>
      </c>
      <c r="H127" s="249">
        <f>'Sch 1- Rate Base '!H127</f>
        <v>0</v>
      </c>
      <c r="I127" s="249">
        <f>'Sch 1- Rate Base '!I127</f>
        <v>0</v>
      </c>
      <c r="J127" s="1344">
        <f>'Sch 1- Rate Base '!J127</f>
        <v>0</v>
      </c>
    </row>
    <row r="128" spans="1:10">
      <c r="A128" s="912"/>
      <c r="B128" s="79" t="s">
        <v>17</v>
      </c>
      <c r="C128" s="181" t="str">
        <f>'Sch 1- Rate Base '!C128</f>
        <v>110-111</v>
      </c>
      <c r="D128" s="181">
        <f>'Sch 1- Rate Base '!D128</f>
        <v>186</v>
      </c>
      <c r="E128" s="184" t="str">
        <f>'Sch 1- Rate Base '!E128</f>
        <v>DIRECT</v>
      </c>
      <c r="F128" s="184" t="str">
        <f>'Sch 1- Rate Base '!F128</f>
        <v>DIST</v>
      </c>
      <c r="G128" s="1690">
        <f>'Sch 1- Rate Base '!G128</f>
        <v>87517903.719999999</v>
      </c>
      <c r="H128" s="249">
        <f>'Sch 1- Rate Base '!H128</f>
        <v>744171.25</v>
      </c>
      <c r="I128" s="249">
        <f>'Sch 1- Rate Base '!I128</f>
        <v>0</v>
      </c>
      <c r="J128" s="1344">
        <f>'Sch 1- Rate Base '!J128</f>
        <v>86773731.969999999</v>
      </c>
    </row>
    <row r="129" spans="1:10">
      <c r="A129" s="912"/>
      <c r="B129" s="79" t="s">
        <v>18</v>
      </c>
      <c r="C129" s="181" t="str">
        <f>'Sch 1- Rate Base '!C129</f>
        <v>110-111</v>
      </c>
      <c r="D129" s="181">
        <f>'Sch 1- Rate Base '!D129</f>
        <v>187</v>
      </c>
      <c r="E129" s="184" t="str">
        <f>'Sch 1- Rate Base '!E129</f>
        <v>DIRECT</v>
      </c>
      <c r="F129" s="184"/>
      <c r="G129" s="1690">
        <f>'Sch 1- Rate Base '!G129</f>
        <v>0</v>
      </c>
      <c r="H129" s="249">
        <f>'Sch 1- Rate Base '!H129</f>
        <v>0</v>
      </c>
      <c r="I129" s="249">
        <f>'Sch 1- Rate Base '!I129</f>
        <v>0</v>
      </c>
      <c r="J129" s="1344">
        <f>'Sch 1- Rate Base '!J129</f>
        <v>0</v>
      </c>
    </row>
    <row r="130" spans="1:10">
      <c r="A130" s="912"/>
      <c r="B130" s="79" t="s">
        <v>19</v>
      </c>
      <c r="C130" s="181" t="str">
        <f>'Sch 1- Rate Base '!C130</f>
        <v>110-111</v>
      </c>
      <c r="D130" s="181">
        <f>'Sch 1- Rate Base '!D130</f>
        <v>188</v>
      </c>
      <c r="E130" s="184" t="str">
        <f>'Sch 1- Rate Base '!E130</f>
        <v>DIST</v>
      </c>
      <c r="F130" s="184"/>
      <c r="G130" s="1690">
        <f>'Sch 1- Rate Base '!G130</f>
        <v>0</v>
      </c>
      <c r="H130" s="249">
        <f>'Sch 1- Rate Base '!H130</f>
        <v>0</v>
      </c>
      <c r="I130" s="249">
        <f>'Sch 1- Rate Base '!I130</f>
        <v>0</v>
      </c>
      <c r="J130" s="1344">
        <f>'Sch 1- Rate Base '!J130</f>
        <v>0</v>
      </c>
    </row>
    <row r="131" spans="1:10">
      <c r="A131" s="912"/>
      <c r="B131" s="79" t="s">
        <v>20</v>
      </c>
      <c r="C131" s="181" t="str">
        <f>'Sch 1- Rate Base '!C131</f>
        <v>110-111</v>
      </c>
      <c r="D131" s="181">
        <f>'Sch 1- Rate Base '!D131</f>
        <v>189</v>
      </c>
      <c r="E131" s="184" t="str">
        <f>'Sch 1- Rate Base '!E131</f>
        <v>PTDG</v>
      </c>
      <c r="F131" s="184"/>
      <c r="G131" s="1690">
        <f>'Sch 1- Rate Base '!G131</f>
        <v>5701050.9199999999</v>
      </c>
      <c r="H131" s="249">
        <f>'Sch 1- Rate Base '!H131</f>
        <v>1814203.8318823581</v>
      </c>
      <c r="I131" s="249">
        <f>'Sch 1- Rate Base '!I131</f>
        <v>0</v>
      </c>
      <c r="J131" s="1344">
        <f>'Sch 1- Rate Base '!J131</f>
        <v>3886847.0875318553</v>
      </c>
    </row>
    <row r="132" spans="1:10">
      <c r="A132" s="912"/>
      <c r="B132" s="79" t="s">
        <v>21</v>
      </c>
      <c r="C132" s="181" t="str">
        <f>'Sch 1- Rate Base '!C132</f>
        <v>110-111</v>
      </c>
      <c r="D132" s="181">
        <f>'Sch 1- Rate Base '!D132</f>
        <v>190</v>
      </c>
      <c r="E132" s="184" t="str">
        <f>'Sch 1- Rate Base '!E132</f>
        <v>DIST</v>
      </c>
      <c r="F132" s="184"/>
      <c r="G132" s="1690">
        <f>'Sch 1- Rate Base '!G132</f>
        <v>214152187.74000001</v>
      </c>
      <c r="H132" s="249">
        <f>'Sch 1- Rate Base '!H132</f>
        <v>0</v>
      </c>
      <c r="I132" s="249">
        <f>'Sch 1- Rate Base '!I132</f>
        <v>0</v>
      </c>
      <c r="J132" s="1344">
        <f>'Sch 1- Rate Base '!J132</f>
        <v>214152187.74000001</v>
      </c>
    </row>
    <row r="133" spans="1:10">
      <c r="A133" s="160"/>
      <c r="B133" s="847" t="s">
        <v>104</v>
      </c>
      <c r="C133" s="492"/>
      <c r="D133" s="485"/>
      <c r="E133" s="485"/>
      <c r="F133" s="486"/>
      <c r="G133" s="493">
        <f>'Sch 1- Rate Base '!G133</f>
        <v>1228008056.3699999</v>
      </c>
      <c r="H133" s="493">
        <f>'Sch 1- Rate Base '!H133</f>
        <v>69931163.114251286</v>
      </c>
      <c r="I133" s="493">
        <f>'Sch 1- Rate Base '!I133</f>
        <v>0</v>
      </c>
      <c r="J133" s="1366">
        <f>'Sch 1- Rate Base '!J133</f>
        <v>1158076892.9529448</v>
      </c>
    </row>
    <row r="134" spans="1:10">
      <c r="A134" s="961"/>
      <c r="B134" s="937"/>
      <c r="C134" s="81"/>
      <c r="D134" s="34"/>
      <c r="E134" s="34"/>
      <c r="F134" s="34"/>
      <c r="G134" s="142"/>
      <c r="H134" s="337"/>
      <c r="I134" s="337"/>
      <c r="J134" s="1355"/>
    </row>
    <row r="135" spans="1:10">
      <c r="A135" s="963" t="s">
        <v>74</v>
      </c>
      <c r="B135" s="64"/>
      <c r="C135" s="492"/>
      <c r="D135" s="485"/>
      <c r="E135" s="485"/>
      <c r="F135" s="486"/>
      <c r="G135" s="493">
        <f>'Sch 1- Rate Base '!G135</f>
        <v>2120706298.0987499</v>
      </c>
      <c r="H135" s="493">
        <f>'Sch 1- Rate Base '!H135</f>
        <v>258351130.39916536</v>
      </c>
      <c r="I135" s="493">
        <f>'Sch 1- Rate Base '!I135</f>
        <v>0</v>
      </c>
      <c r="J135" s="1366">
        <f>'Sch 1- Rate Base '!J135</f>
        <v>1862355167.3967447</v>
      </c>
    </row>
    <row r="136" spans="1:10" ht="16.5" thickBot="1">
      <c r="A136" s="964"/>
      <c r="B136" s="931"/>
      <c r="C136" s="174"/>
      <c r="D136" s="174"/>
      <c r="E136" s="190"/>
      <c r="F136" s="190"/>
      <c r="G136" s="383"/>
      <c r="H136" s="383"/>
      <c r="I136" s="383"/>
      <c r="J136" s="1371"/>
    </row>
    <row r="137" spans="1:10" ht="16.5" thickTop="1">
      <c r="A137" s="967" t="s">
        <v>75</v>
      </c>
      <c r="B137" s="64"/>
      <c r="C137" s="8"/>
      <c r="D137" s="34"/>
      <c r="E137" s="34"/>
      <c r="F137" s="34"/>
      <c r="G137" s="142"/>
      <c r="H137" s="142"/>
      <c r="I137" s="142"/>
      <c r="J137" s="1348"/>
    </row>
    <row r="138" spans="1:10">
      <c r="A138" s="912"/>
      <c r="B138" s="847" t="s">
        <v>438</v>
      </c>
      <c r="C138" s="48"/>
      <c r="D138" s="75"/>
      <c r="E138" s="48"/>
      <c r="F138" s="48"/>
      <c r="G138" s="1529"/>
      <c r="H138" s="337"/>
      <c r="I138" s="337"/>
      <c r="J138" s="1355"/>
    </row>
    <row r="139" spans="1:10">
      <c r="A139" s="1689"/>
      <c r="B139" s="79" t="s">
        <v>332</v>
      </c>
      <c r="C139" s="181" t="str">
        <f>'Sch 1- Rate Base '!C139</f>
        <v>112-113</v>
      </c>
      <c r="D139" s="181">
        <f>'Sch 1- Rate Base '!D139</f>
        <v>175</v>
      </c>
      <c r="E139" s="184" t="str">
        <f>'Sch 1- Rate Base '!E139</f>
        <v>DIST</v>
      </c>
      <c r="F139" s="184"/>
      <c r="G139" s="1690">
        <f>'Sch 1- Rate Base '!G139</f>
        <v>35118959.25</v>
      </c>
      <c r="H139" s="249">
        <f>'Sch 1- Rate Base '!H139</f>
        <v>0</v>
      </c>
      <c r="I139" s="249">
        <f>'Sch 1- Rate Base '!I139</f>
        <v>0</v>
      </c>
      <c r="J139" s="1344">
        <f>'Sch 1- Rate Base '!J139</f>
        <v>35118959.25</v>
      </c>
    </row>
    <row r="140" spans="1:10">
      <c r="A140" s="1689"/>
      <c r="B140" s="969" t="s">
        <v>629</v>
      </c>
      <c r="C140" s="181" t="str">
        <f>'Sch 1- Rate Base '!C140</f>
        <v>112-113</v>
      </c>
      <c r="D140" s="181">
        <f>'Sch 1- Rate Base '!D140</f>
        <v>175</v>
      </c>
      <c r="E140" s="184" t="str">
        <f>'Sch 1- Rate Base '!E140</f>
        <v>DIST</v>
      </c>
      <c r="F140" s="184"/>
      <c r="G140" s="1690">
        <f>'Sch 1- Rate Base '!G140</f>
        <v>17902180</v>
      </c>
      <c r="H140" s="249">
        <f>'Sch 1- Rate Base '!H140</f>
        <v>0</v>
      </c>
      <c r="I140" s="249">
        <f>'Sch 1- Rate Base '!I140</f>
        <v>0</v>
      </c>
      <c r="J140" s="1344">
        <f>'Sch 1- Rate Base '!J140</f>
        <v>17902180</v>
      </c>
    </row>
    <row r="141" spans="1:10">
      <c r="A141" s="1689"/>
      <c r="B141" s="79" t="s">
        <v>333</v>
      </c>
      <c r="C141" s="181" t="str">
        <f>'Sch 1- Rate Base '!C141</f>
        <v>112-113</v>
      </c>
      <c r="D141" s="181">
        <f>'Sch 1- Rate Base '!D141</f>
        <v>176</v>
      </c>
      <c r="E141" s="184" t="str">
        <f>'Sch 1- Rate Base '!E141</f>
        <v>DIST</v>
      </c>
      <c r="F141" s="184"/>
      <c r="G141" s="1690">
        <f>'Sch 1- Rate Base '!G141</f>
        <v>0</v>
      </c>
      <c r="H141" s="249">
        <f>'Sch 1- Rate Base '!H141</f>
        <v>0</v>
      </c>
      <c r="I141" s="249">
        <f>'Sch 1- Rate Base '!I141</f>
        <v>0</v>
      </c>
      <c r="J141" s="1344">
        <f>'Sch 1- Rate Base '!J141</f>
        <v>0</v>
      </c>
    </row>
    <row r="142" spans="1:10">
      <c r="A142" s="1689"/>
      <c r="B142" s="969" t="s">
        <v>630</v>
      </c>
      <c r="C142" s="181" t="str">
        <f>'Sch 1- Rate Base '!C142</f>
        <v>112-113</v>
      </c>
      <c r="D142" s="181">
        <f>'Sch 1- Rate Base '!D142</f>
        <v>176</v>
      </c>
      <c r="E142" s="184" t="str">
        <f>'Sch 1- Rate Base '!E142</f>
        <v>DIST</v>
      </c>
      <c r="F142" s="184"/>
      <c r="G142" s="1690">
        <f>'Sch 1- Rate Base '!G142</f>
        <v>0</v>
      </c>
      <c r="H142" s="249">
        <f>'Sch 1- Rate Base '!H142</f>
        <v>0</v>
      </c>
      <c r="I142" s="249">
        <f>'Sch 1- Rate Base '!I142</f>
        <v>0</v>
      </c>
      <c r="J142" s="1344">
        <f>'Sch 1- Rate Base '!J142</f>
        <v>0</v>
      </c>
    </row>
    <row r="143" spans="1:10">
      <c r="A143" s="1689"/>
      <c r="B143" s="847" t="s">
        <v>104</v>
      </c>
      <c r="C143" s="1747"/>
      <c r="D143" s="485"/>
      <c r="E143" s="485"/>
      <c r="F143" s="486"/>
      <c r="G143" s="493">
        <f>'Sch 1- Rate Base '!G143</f>
        <v>17216779.25</v>
      </c>
      <c r="H143" s="493">
        <f>'Sch 1- Rate Base '!H143</f>
        <v>0</v>
      </c>
      <c r="I143" s="493">
        <f>'Sch 1- Rate Base '!I143</f>
        <v>0</v>
      </c>
      <c r="J143" s="1366">
        <f>'Sch 1- Rate Base '!J143</f>
        <v>17216779.25</v>
      </c>
    </row>
    <row r="144" spans="1:10">
      <c r="A144" s="1689"/>
      <c r="B144" s="847" t="s">
        <v>439</v>
      </c>
      <c r="C144" s="48"/>
      <c r="D144" s="75"/>
      <c r="E144" s="48"/>
      <c r="F144" s="48"/>
      <c r="G144" s="142"/>
      <c r="H144" s="337"/>
      <c r="I144" s="337"/>
      <c r="J144" s="1355"/>
    </row>
    <row r="145" spans="1:10">
      <c r="A145" s="912"/>
      <c r="B145" s="79" t="s">
        <v>377</v>
      </c>
      <c r="C145" s="181" t="str">
        <f>'Sch 1- Rate Base '!C145</f>
        <v>112-113</v>
      </c>
      <c r="D145" s="181">
        <f>'Sch 1- Rate Base '!D145</f>
        <v>244</v>
      </c>
      <c r="E145" s="184" t="str">
        <f>'Sch 1- Rate Base '!E145</f>
        <v>DIST</v>
      </c>
      <c r="F145" s="184"/>
      <c r="G145" s="333">
        <f>'Sch 1- Rate Base '!G145</f>
        <v>0</v>
      </c>
      <c r="H145" s="249">
        <f>'Sch 1- Rate Base '!H145</f>
        <v>0</v>
      </c>
      <c r="I145" s="249">
        <f>'Sch 1- Rate Base '!I145</f>
        <v>0</v>
      </c>
      <c r="J145" s="1344">
        <f>'Sch 1- Rate Base '!J145</f>
        <v>0</v>
      </c>
    </row>
    <row r="146" spans="1:10">
      <c r="A146" s="912"/>
      <c r="B146" s="79" t="s">
        <v>378</v>
      </c>
      <c r="C146" s="181" t="str">
        <f>'Sch 1- Rate Base '!C146</f>
        <v>112-113</v>
      </c>
      <c r="D146" s="181">
        <f>'Sch 1- Rate Base '!D146</f>
        <v>245</v>
      </c>
      <c r="E146" s="184" t="str">
        <f>'Sch 1- Rate Base '!E146</f>
        <v>DIST</v>
      </c>
      <c r="F146" s="184"/>
      <c r="G146" s="333">
        <f>'Sch 1- Rate Base '!G146</f>
        <v>0</v>
      </c>
      <c r="H146" s="249">
        <f>'Sch 1- Rate Base '!H146</f>
        <v>0</v>
      </c>
      <c r="I146" s="249">
        <f>'Sch 1- Rate Base '!I146</f>
        <v>0</v>
      </c>
      <c r="J146" s="1344">
        <f>'Sch 1- Rate Base '!J146</f>
        <v>0</v>
      </c>
    </row>
    <row r="147" spans="1:10">
      <c r="A147" s="912"/>
      <c r="B147" s="79" t="s">
        <v>22</v>
      </c>
      <c r="C147" s="181" t="str">
        <f>'Sch 1- Rate Base '!C147</f>
        <v>112-113</v>
      </c>
      <c r="D147" s="181">
        <f>'Sch 1- Rate Base '!D147</f>
        <v>252</v>
      </c>
      <c r="E147" s="184" t="str">
        <f>'Sch 1- Rate Base '!E147</f>
        <v>DIST</v>
      </c>
      <c r="F147" s="184"/>
      <c r="G147" s="1690">
        <f>'Sch 1- Rate Base '!G147</f>
        <v>4436512.88</v>
      </c>
      <c r="H147" s="249">
        <f>'Sch 1- Rate Base '!H147</f>
        <v>0</v>
      </c>
      <c r="I147" s="249">
        <f>'Sch 1- Rate Base '!I147</f>
        <v>0</v>
      </c>
      <c r="J147" s="1344">
        <f>'Sch 1- Rate Base '!J147</f>
        <v>4436512.88</v>
      </c>
    </row>
    <row r="148" spans="1:10">
      <c r="A148" s="912"/>
      <c r="B148" s="79" t="s">
        <v>25</v>
      </c>
      <c r="C148" s="181" t="str">
        <f>'Sch 1- Rate Base '!C148</f>
        <v>112-113</v>
      </c>
      <c r="D148" s="181">
        <f>'Sch 1- Rate Base '!D148</f>
        <v>253</v>
      </c>
      <c r="E148" s="184" t="str">
        <f>'Sch 1- Rate Base '!E148</f>
        <v>DIRECT</v>
      </c>
      <c r="F148" s="184" t="str">
        <f>'Sch 1- Rate Base '!F148</f>
        <v>DIST</v>
      </c>
      <c r="G148" s="1690">
        <f>'Sch 1- Rate Base '!G148</f>
        <v>32918242.530000001</v>
      </c>
      <c r="H148" s="249">
        <f>'Sch 1- Rate Base '!H148</f>
        <v>0</v>
      </c>
      <c r="I148" s="249">
        <f>'Sch 1- Rate Base '!I148</f>
        <v>0</v>
      </c>
      <c r="J148" s="1344">
        <f>'Sch 1- Rate Base '!J148</f>
        <v>32918243</v>
      </c>
    </row>
    <row r="149" spans="1:10">
      <c r="A149" s="912"/>
      <c r="B149" s="79" t="s">
        <v>26</v>
      </c>
      <c r="C149" s="181" t="str">
        <f>'Sch 1- Rate Base '!C149</f>
        <v>112-113</v>
      </c>
      <c r="D149" s="181">
        <f>'Sch 1- Rate Base '!D149</f>
        <v>254</v>
      </c>
      <c r="E149" s="184" t="str">
        <f>'Sch 1- Rate Base '!E149</f>
        <v>DIRECT</v>
      </c>
      <c r="F149" s="184" t="str">
        <f>'Sch 1- Rate Base '!F149</f>
        <v>DIST</v>
      </c>
      <c r="G149" s="1690">
        <f>'Sch 1- Rate Base '!G149</f>
        <v>479233915.16999996</v>
      </c>
      <c r="H149" s="249">
        <f>'Sch 1- Rate Base '!H149</f>
        <v>440276</v>
      </c>
      <c r="I149" s="249">
        <f>'Sch 1- Rate Base '!I149</f>
        <v>0</v>
      </c>
      <c r="J149" s="1344">
        <f>'Sch 1- Rate Base '!J149</f>
        <v>478793639</v>
      </c>
    </row>
    <row r="150" spans="1:10">
      <c r="A150" s="912"/>
      <c r="B150" s="79" t="s">
        <v>23</v>
      </c>
      <c r="C150" s="181" t="str">
        <f>'Sch 1- Rate Base '!C150</f>
        <v>112-113</v>
      </c>
      <c r="D150" s="181">
        <f>'Sch 1- Rate Base '!D150</f>
        <v>255</v>
      </c>
      <c r="E150" s="184" t="str">
        <f>'Sch 1- Rate Base '!E150</f>
        <v>DIST</v>
      </c>
      <c r="F150" s="184"/>
      <c r="G150" s="1690">
        <f>'Sch 1- Rate Base '!G150</f>
        <v>28233162.039999999</v>
      </c>
      <c r="H150" s="249">
        <f>'Sch 1- Rate Base '!H150</f>
        <v>0</v>
      </c>
      <c r="I150" s="249">
        <f>'Sch 1- Rate Base '!I150</f>
        <v>0</v>
      </c>
      <c r="J150" s="1344">
        <f>'Sch 1- Rate Base '!J150</f>
        <v>28233162.039999999</v>
      </c>
    </row>
    <row r="151" spans="1:10">
      <c r="A151" s="912"/>
      <c r="B151" s="79" t="s">
        <v>24</v>
      </c>
      <c r="C151" s="181" t="str">
        <f>'Sch 1- Rate Base '!C151</f>
        <v>112-113</v>
      </c>
      <c r="D151" s="181">
        <f>'Sch 1- Rate Base '!D151</f>
        <v>256</v>
      </c>
      <c r="E151" s="184" t="str">
        <f>'Sch 1- Rate Base '!E151</f>
        <v>DIRECT</v>
      </c>
      <c r="F151" s="184"/>
      <c r="G151" s="1690">
        <f>'Sch 1- Rate Base '!G151</f>
        <v>0</v>
      </c>
      <c r="H151" s="249">
        <f>'Sch 1- Rate Base '!H151</f>
        <v>0</v>
      </c>
      <c r="I151" s="249">
        <f>'Sch 1- Rate Base '!I151</f>
        <v>0</v>
      </c>
      <c r="J151" s="1344">
        <f>'Sch 1- Rate Base '!J151</f>
        <v>0</v>
      </c>
    </row>
    <row r="152" spans="1:10">
      <c r="A152" s="912"/>
      <c r="B152" s="79" t="s">
        <v>27</v>
      </c>
      <c r="C152" s="181" t="str">
        <f>'Sch 1- Rate Base '!C152</f>
        <v>112-113</v>
      </c>
      <c r="D152" s="181">
        <f>'Sch 1- Rate Base '!D152</f>
        <v>257</v>
      </c>
      <c r="E152" s="184" t="str">
        <f>'Sch 1- Rate Base '!E152</f>
        <v>PTDG</v>
      </c>
      <c r="F152" s="184"/>
      <c r="G152" s="1690">
        <f>'Sch 1- Rate Base '!G152</f>
        <v>942383.92</v>
      </c>
      <c r="H152" s="249">
        <f>'Sch 1- Rate Base '!H152</f>
        <v>299887.95798517752</v>
      </c>
      <c r="I152" s="249">
        <f>'Sch 1- Rate Base '!I152</f>
        <v>0</v>
      </c>
      <c r="J152" s="1344">
        <f>'Sch 1- Rate Base '!J152</f>
        <v>642495.96191799198</v>
      </c>
    </row>
    <row r="153" spans="1:10">
      <c r="A153" s="912"/>
      <c r="B153" s="79" t="s">
        <v>31</v>
      </c>
      <c r="C153" s="181" t="str">
        <f>'Sch 1- Rate Base '!C153</f>
        <v>112-113</v>
      </c>
      <c r="D153" s="181">
        <f>'Sch 1- Rate Base '!D153</f>
        <v>281</v>
      </c>
      <c r="E153" s="184" t="str">
        <f>'Sch 1- Rate Base '!E153</f>
        <v>DIST</v>
      </c>
      <c r="F153" s="184"/>
      <c r="G153" s="1690">
        <f>'Sch 1- Rate Base '!G153</f>
        <v>0</v>
      </c>
      <c r="H153" s="249">
        <f>'Sch 1- Rate Base '!H153</f>
        <v>0</v>
      </c>
      <c r="I153" s="249">
        <f>'Sch 1- Rate Base '!I153</f>
        <v>0</v>
      </c>
      <c r="J153" s="1344">
        <f>'Sch 1- Rate Base '!J153</f>
        <v>0</v>
      </c>
    </row>
    <row r="154" spans="1:10">
      <c r="A154" s="912"/>
      <c r="B154" s="79" t="s">
        <v>32</v>
      </c>
      <c r="C154" s="181" t="str">
        <f>'Sch 1- Rate Base '!C154</f>
        <v>112-113</v>
      </c>
      <c r="D154" s="181">
        <f>'Sch 1- Rate Base '!D154</f>
        <v>282</v>
      </c>
      <c r="E154" s="184" t="str">
        <f>'Sch 1- Rate Base '!E154</f>
        <v>DIST</v>
      </c>
      <c r="F154" s="184"/>
      <c r="G154" s="1690">
        <f>'Sch 1- Rate Base '!G154</f>
        <v>653219869.71000004</v>
      </c>
      <c r="H154" s="249">
        <f>'Sch 1- Rate Base '!H154</f>
        <v>0</v>
      </c>
      <c r="I154" s="249">
        <f>'Sch 1- Rate Base '!I154</f>
        <v>0</v>
      </c>
      <c r="J154" s="1344">
        <f>'Sch 1- Rate Base '!J154</f>
        <v>653219869.71000004</v>
      </c>
    </row>
    <row r="155" spans="1:10">
      <c r="A155" s="912"/>
      <c r="B155" s="79" t="s">
        <v>33</v>
      </c>
      <c r="C155" s="181" t="str">
        <f>'Sch 1- Rate Base '!C155</f>
        <v>112-113</v>
      </c>
      <c r="D155" s="181">
        <f>'Sch 1- Rate Base '!D155</f>
        <v>283</v>
      </c>
      <c r="E155" s="184" t="str">
        <f>'Sch 1- Rate Base '!E155</f>
        <v>DIST</v>
      </c>
      <c r="F155" s="184"/>
      <c r="G155" s="1690">
        <f>'Sch 1- Rate Base '!G155</f>
        <v>256710715.16</v>
      </c>
      <c r="H155" s="249">
        <f>'Sch 1- Rate Base '!H155</f>
        <v>0</v>
      </c>
      <c r="I155" s="249">
        <f>'Sch 1- Rate Base '!I155</f>
        <v>0</v>
      </c>
      <c r="J155" s="1344">
        <f>'Sch 1- Rate Base '!J155</f>
        <v>256710715.16</v>
      </c>
    </row>
    <row r="156" spans="1:10">
      <c r="A156" s="912"/>
      <c r="B156" s="847" t="s">
        <v>104</v>
      </c>
      <c r="C156" s="492"/>
      <c r="D156" s="485"/>
      <c r="E156" s="485"/>
      <c r="F156" s="486"/>
      <c r="G156" s="493">
        <f>'Sch 1- Rate Base '!G156</f>
        <v>1455694801.4100001</v>
      </c>
      <c r="H156" s="493">
        <f>'Sch 1- Rate Base '!H156</f>
        <v>740163.95798517752</v>
      </c>
      <c r="I156" s="493">
        <f>'Sch 1- Rate Base '!I156</f>
        <v>0</v>
      </c>
      <c r="J156" s="1366">
        <f>'Sch 1- Rate Base '!J156</f>
        <v>1454954637.7519181</v>
      </c>
    </row>
    <row r="157" spans="1:10">
      <c r="A157" s="912"/>
      <c r="B157" s="79"/>
      <c r="C157" s="34"/>
      <c r="D157" s="82"/>
      <c r="E157" s="34"/>
      <c r="F157" s="34"/>
      <c r="G157" s="384"/>
      <c r="H157" s="385"/>
      <c r="I157" s="385"/>
      <c r="J157" s="1372"/>
    </row>
    <row r="158" spans="1:10">
      <c r="A158" s="209" t="s">
        <v>73</v>
      </c>
      <c r="B158" s="64"/>
      <c r="C158" s="492"/>
      <c r="D158" s="485"/>
      <c r="E158" s="485"/>
      <c r="F158" s="486"/>
      <c r="G158" s="493">
        <f>'Sch 1- Rate Base '!G158</f>
        <v>1472911580.6600001</v>
      </c>
      <c r="H158" s="493">
        <f>'Sch 1- Rate Base '!H158</f>
        <v>740163.95798517752</v>
      </c>
      <c r="I158" s="493">
        <f>'Sch 1- Rate Base '!I158</f>
        <v>0</v>
      </c>
      <c r="J158" s="1366">
        <f>'Sch 1- Rate Base '!J158</f>
        <v>1472171417.0019181</v>
      </c>
    </row>
    <row r="159" spans="1:10">
      <c r="A159" s="228"/>
      <c r="B159" s="64"/>
      <c r="C159" s="8"/>
      <c r="D159" s="8"/>
      <c r="E159" s="8"/>
      <c r="F159" s="8"/>
      <c r="G159" s="142"/>
      <c r="H159" s="142"/>
      <c r="I159" s="142"/>
      <c r="J159" s="1348"/>
    </row>
    <row r="160" spans="1:10">
      <c r="A160" s="170"/>
      <c r="B160" s="79"/>
      <c r="C160" s="82"/>
      <c r="D160" s="82"/>
      <c r="E160" s="79"/>
      <c r="F160" s="79"/>
      <c r="G160" s="338"/>
      <c r="H160" s="338"/>
      <c r="I160" s="338"/>
      <c r="J160" s="1375"/>
    </row>
    <row r="161" spans="1:10">
      <c r="A161" s="163" t="s">
        <v>482</v>
      </c>
      <c r="B161" s="64"/>
      <c r="C161" s="494"/>
      <c r="D161" s="495"/>
      <c r="E161" s="495"/>
      <c r="F161" s="496"/>
      <c r="G161" s="497">
        <f>'Sch 1- Rate Base '!G161</f>
        <v>3835555745.0787497</v>
      </c>
      <c r="H161" s="497">
        <f>'Sch 1- Rate Base '!H161</f>
        <v>1099153933.6067338</v>
      </c>
      <c r="I161" s="497">
        <f>'Sch 1- Rate Base '!I161</f>
        <v>0</v>
      </c>
      <c r="J161" s="1376">
        <f>'Sch 1- Rate Base '!J161</f>
        <v>2736401810.3225708</v>
      </c>
    </row>
    <row r="162" spans="1:10">
      <c r="A162" s="922" t="s">
        <v>83</v>
      </c>
      <c r="B162" s="64"/>
      <c r="C162" s="8"/>
      <c r="D162" s="8"/>
      <c r="E162" s="8"/>
      <c r="F162" s="8"/>
      <c r="G162" s="35"/>
      <c r="H162" s="23"/>
      <c r="I162" s="30"/>
      <c r="J162" s="1691"/>
    </row>
    <row r="163" spans="1:10" ht="16.5" thickBot="1">
      <c r="A163" s="930"/>
      <c r="B163" s="931"/>
      <c r="C163" s="932"/>
      <c r="D163" s="932"/>
      <c r="E163" s="932"/>
      <c r="F163" s="932"/>
      <c r="G163" s="934"/>
      <c r="H163" s="1692"/>
      <c r="I163" s="976"/>
      <c r="J163" s="1693"/>
    </row>
    <row r="164" spans="1:10" ht="16.5" thickTop="1">
      <c r="A164" s="922"/>
      <c r="B164" s="64"/>
      <c r="C164" s="55"/>
      <c r="D164" s="55"/>
      <c r="E164" s="55"/>
      <c r="F164" s="55"/>
      <c r="G164" s="910"/>
      <c r="H164" s="1686"/>
      <c r="I164" s="56"/>
      <c r="J164" s="1694"/>
    </row>
    <row r="165" spans="1:10">
      <c r="A165" s="906" t="s">
        <v>63</v>
      </c>
      <c r="B165" s="1211" t="s">
        <v>63</v>
      </c>
      <c r="G165" s="977">
        <f>'Sch 2 -Rate of Return'!E97</f>
        <v>8.3054675822784807E-2</v>
      </c>
      <c r="H165" s="977">
        <f>'Sch 2 -Rate of Return'!F97</f>
        <v>8.3054675822784807E-2</v>
      </c>
      <c r="I165" s="977">
        <f>'Sch 2 -Rate of Return'!G97</f>
        <v>8.3054675822784807E-2</v>
      </c>
      <c r="J165" s="977">
        <f>'Sch 2 -Rate of Return'!H97</f>
        <v>8.3054675822784807E-2</v>
      </c>
    </row>
    <row r="166" spans="1:10">
      <c r="A166" s="1670"/>
      <c r="J166" s="1673"/>
    </row>
    <row r="167" spans="1:10">
      <c r="A167" s="978" t="s">
        <v>141</v>
      </c>
      <c r="B167" s="1211" t="s">
        <v>141</v>
      </c>
      <c r="G167" s="979">
        <f>'Sch 2 -Rate of Return'!E98</f>
        <v>318560839.00773537</v>
      </c>
      <c r="H167" s="979">
        <f>'Sch 2 -Rate of Return'!F98</f>
        <v>91289873.635046005</v>
      </c>
      <c r="I167" s="979">
        <f>'Sch 2 -Rate of Return'!G98</f>
        <v>0</v>
      </c>
      <c r="J167" s="979">
        <f>'Sch 2 -Rate of Return'!H98</f>
        <v>227270965.2772226</v>
      </c>
    </row>
    <row r="168" spans="1:10">
      <c r="A168" s="1670"/>
      <c r="J168" s="1673"/>
    </row>
    <row r="169" spans="1:10" ht="16.5" thickBot="1">
      <c r="A169" s="1670"/>
      <c r="J169" s="1673"/>
    </row>
    <row r="170" spans="1:10" ht="17.25" thickTop="1" thickBot="1">
      <c r="A170" s="981" t="s">
        <v>82</v>
      </c>
      <c r="B170" s="982"/>
      <c r="C170" s="982"/>
      <c r="D170" s="982"/>
      <c r="E170" s="983"/>
      <c r="F170" s="983"/>
      <c r="G170" s="984"/>
      <c r="H170" s="985"/>
      <c r="I170" s="985"/>
      <c r="J170" s="986"/>
    </row>
    <row r="171" spans="1:10" ht="17.25" thickTop="1" thickBot="1">
      <c r="A171" s="987"/>
      <c r="B171" s="2382" t="s">
        <v>100</v>
      </c>
      <c r="C171" s="325" t="s">
        <v>323</v>
      </c>
      <c r="D171" s="325"/>
      <c r="E171" s="2465" t="s">
        <v>354</v>
      </c>
      <c r="F171" s="2466"/>
      <c r="G171" s="2469" t="s">
        <v>104</v>
      </c>
      <c r="H171" s="2472" t="s">
        <v>105</v>
      </c>
      <c r="I171" s="2475" t="s">
        <v>106</v>
      </c>
      <c r="J171" s="326"/>
    </row>
    <row r="172" spans="1:10" ht="16.5" thickBot="1">
      <c r="A172" s="864"/>
      <c r="B172" s="2463"/>
      <c r="C172" s="322" t="s">
        <v>272</v>
      </c>
      <c r="D172" s="322" t="s">
        <v>96</v>
      </c>
      <c r="E172" s="2467"/>
      <c r="F172" s="2468"/>
      <c r="G172" s="2470"/>
      <c r="H172" s="2473"/>
      <c r="I172" s="2461"/>
      <c r="J172" s="310" t="s">
        <v>98</v>
      </c>
    </row>
    <row r="173" spans="1:10" ht="16.5" thickBot="1">
      <c r="A173" s="988"/>
      <c r="B173" s="2464"/>
      <c r="C173" s="311" t="s">
        <v>273</v>
      </c>
      <c r="D173" s="311" t="s">
        <v>252</v>
      </c>
      <c r="E173" s="311" t="s">
        <v>454</v>
      </c>
      <c r="F173" s="311" t="s">
        <v>623</v>
      </c>
      <c r="G173" s="2471"/>
      <c r="H173" s="2474"/>
      <c r="I173" s="2476"/>
      <c r="J173" s="314" t="s">
        <v>107</v>
      </c>
    </row>
    <row r="174" spans="1:10" ht="16.5" thickTop="1">
      <c r="A174" s="160" t="s">
        <v>460</v>
      </c>
      <c r="B174" s="64"/>
      <c r="C174" s="55"/>
      <c r="D174" s="55"/>
      <c r="E174" s="55"/>
      <c r="F174" s="55"/>
      <c r="G174" s="989"/>
      <c r="H174" s="1686"/>
      <c r="I174" s="1686"/>
      <c r="J174" s="1687"/>
    </row>
    <row r="175" spans="1:10">
      <c r="A175" s="912"/>
      <c r="B175" s="180" t="s">
        <v>461</v>
      </c>
      <c r="C175" s="55"/>
      <c r="D175" s="55"/>
      <c r="E175" s="55"/>
      <c r="F175" s="55"/>
      <c r="G175" s="989"/>
      <c r="H175" s="1686"/>
      <c r="I175" s="1686"/>
      <c r="J175" s="1687"/>
    </row>
    <row r="176" spans="1:10">
      <c r="A176" s="912"/>
      <c r="B176" s="220" t="s">
        <v>259</v>
      </c>
      <c r="C176" s="888" t="str">
        <f>'Sch 3 - Expenses'!C16</f>
        <v>320-323</v>
      </c>
      <c r="D176" s="888">
        <f>'Sch 3 - Expenses'!D16</f>
        <v>501</v>
      </c>
      <c r="E176" s="182" t="str">
        <f>'Sch 3 - Expenses'!E16</f>
        <v>PROD</v>
      </c>
      <c r="F176" s="889"/>
      <c r="G176" s="182">
        <f>'Sch 3 - Expenses'!G16</f>
        <v>46052299</v>
      </c>
      <c r="H176" s="182">
        <f>'Sch 3 - Expenses'!H16</f>
        <v>46052299</v>
      </c>
      <c r="I176" s="182">
        <f>'Sch 3 - Expenses'!I16</f>
        <v>0</v>
      </c>
      <c r="J176" s="182">
        <f>'Sch 3 - Expenses'!J16</f>
        <v>0</v>
      </c>
    </row>
    <row r="177" spans="1:10">
      <c r="A177" s="912"/>
      <c r="B177" s="220" t="s">
        <v>260</v>
      </c>
      <c r="C177" s="888" t="str">
        <f>'Sch 3 - Expenses'!C17</f>
        <v>320-323</v>
      </c>
      <c r="D177" s="888" t="str">
        <f>'Sch 3 - Expenses'!D17</f>
        <v>500-509</v>
      </c>
      <c r="E177" s="182" t="str">
        <f>'Sch 3 - Expenses'!E17</f>
        <v>PROD</v>
      </c>
      <c r="F177" s="889"/>
      <c r="G177" s="182">
        <f>'Sch 3 - Expenses'!G17</f>
        <v>12263177</v>
      </c>
      <c r="H177" s="182">
        <f>'Sch 3 - Expenses'!H17</f>
        <v>12263177</v>
      </c>
      <c r="I177" s="182">
        <f>'Sch 3 - Expenses'!I17</f>
        <v>0</v>
      </c>
      <c r="J177" s="182">
        <f>'Sch 3 - Expenses'!J17</f>
        <v>0</v>
      </c>
    </row>
    <row r="178" spans="1:10">
      <c r="A178" s="912"/>
      <c r="B178" s="220" t="s">
        <v>261</v>
      </c>
      <c r="C178" s="888" t="str">
        <f>'Sch 3 - Expenses'!C18</f>
        <v>320-323</v>
      </c>
      <c r="D178" s="888" t="str">
        <f>'Sch 3 - Expenses'!D18</f>
        <v>510-515</v>
      </c>
      <c r="E178" s="182" t="str">
        <f>'Sch 3 - Expenses'!E18</f>
        <v>PROD</v>
      </c>
      <c r="F178" s="889"/>
      <c r="G178" s="182">
        <f>'Sch 3 - Expenses'!G18</f>
        <v>10563065</v>
      </c>
      <c r="H178" s="182">
        <f>'Sch 3 - Expenses'!H18</f>
        <v>10563065</v>
      </c>
      <c r="I178" s="182">
        <f>'Sch 3 - Expenses'!I18</f>
        <v>0</v>
      </c>
      <c r="J178" s="182">
        <f>'Sch 3 - Expenses'!J18</f>
        <v>0</v>
      </c>
    </row>
    <row r="179" spans="1:10">
      <c r="A179" s="912"/>
      <c r="B179" s="990" t="s">
        <v>462</v>
      </c>
      <c r="C179" s="55"/>
      <c r="D179" s="55"/>
      <c r="E179" s="196"/>
      <c r="F179" s="196"/>
      <c r="G179" s="68"/>
      <c r="H179" s="68"/>
      <c r="I179" s="68"/>
      <c r="J179" s="991"/>
    </row>
    <row r="180" spans="1:10">
      <c r="A180" s="912"/>
      <c r="B180" s="220" t="s">
        <v>85</v>
      </c>
      <c r="C180" s="888" t="str">
        <f>'Sch 3 - Expenses'!C20</f>
        <v>320-323</v>
      </c>
      <c r="D180" s="888">
        <f>'Sch 3 - Expenses'!D20</f>
        <v>518</v>
      </c>
      <c r="E180" s="182" t="str">
        <f>'Sch 3 - Expenses'!E20</f>
        <v>PROD</v>
      </c>
      <c r="F180" s="889"/>
      <c r="G180" s="182">
        <f>'Sch 3 - Expenses'!G20</f>
        <v>0</v>
      </c>
      <c r="H180" s="182">
        <f>'Sch 3 - Expenses'!H20</f>
        <v>0</v>
      </c>
      <c r="I180" s="182">
        <f>'Sch 3 - Expenses'!I20</f>
        <v>0</v>
      </c>
      <c r="J180" s="182">
        <f>'Sch 3 - Expenses'!J20</f>
        <v>0</v>
      </c>
    </row>
    <row r="181" spans="1:10">
      <c r="A181" s="912"/>
      <c r="B181" s="913" t="s">
        <v>264</v>
      </c>
      <c r="C181" s="888" t="str">
        <f>'Sch 3 - Expenses'!C21</f>
        <v>320-323</v>
      </c>
      <c r="D181" s="888" t="str">
        <f>'Sch 3 - Expenses'!D21</f>
        <v>517-525</v>
      </c>
      <c r="E181" s="182" t="str">
        <f>'Sch 3 - Expenses'!E21</f>
        <v>PROD</v>
      </c>
      <c r="F181" s="889"/>
      <c r="G181" s="182">
        <f>'Sch 3 - Expenses'!G21</f>
        <v>0</v>
      </c>
      <c r="H181" s="182">
        <f>'Sch 3 - Expenses'!H21</f>
        <v>0</v>
      </c>
      <c r="I181" s="182">
        <f>'Sch 3 - Expenses'!I21</f>
        <v>0</v>
      </c>
      <c r="J181" s="182">
        <f>'Sch 3 - Expenses'!J21</f>
        <v>0</v>
      </c>
    </row>
    <row r="182" spans="1:10">
      <c r="A182" s="912"/>
      <c r="B182" s="10" t="s">
        <v>483</v>
      </c>
      <c r="C182" s="888" t="str">
        <f>'Sch 3 - Expenses'!C22</f>
        <v>320-323</v>
      </c>
      <c r="D182" s="888" t="str">
        <f>'Sch 3 - Expenses'!D22</f>
        <v>528-532</v>
      </c>
      <c r="E182" s="182" t="str">
        <f>'Sch 3 - Expenses'!E22</f>
        <v>PROD</v>
      </c>
      <c r="F182" s="889"/>
      <c r="G182" s="182">
        <f>'Sch 3 - Expenses'!G22</f>
        <v>0</v>
      </c>
      <c r="H182" s="182">
        <f>'Sch 3 - Expenses'!H22</f>
        <v>0</v>
      </c>
      <c r="I182" s="182">
        <f>'Sch 3 - Expenses'!I22</f>
        <v>0</v>
      </c>
      <c r="J182" s="182">
        <f>'Sch 3 - Expenses'!J22</f>
        <v>0</v>
      </c>
    </row>
    <row r="183" spans="1:10">
      <c r="A183" s="912"/>
      <c r="B183" s="990" t="s">
        <v>463</v>
      </c>
      <c r="C183" s="55"/>
      <c r="D183" s="55"/>
      <c r="E183" s="196"/>
      <c r="F183" s="196"/>
      <c r="G183" s="68"/>
      <c r="H183" s="68"/>
      <c r="I183" s="68"/>
      <c r="J183" s="991"/>
    </row>
    <row r="184" spans="1:10">
      <c r="A184" s="912"/>
      <c r="B184" s="913" t="s">
        <v>86</v>
      </c>
      <c r="C184" s="888" t="str">
        <f>'Sch 3 - Expenses'!C24</f>
        <v>320-323</v>
      </c>
      <c r="D184" s="888" t="str">
        <f>'Sch 3 - Expenses'!D24</f>
        <v>535-540.1</v>
      </c>
      <c r="E184" s="182" t="str">
        <f>'Sch 3 - Expenses'!E24</f>
        <v>PROD</v>
      </c>
      <c r="F184" s="889"/>
      <c r="G184" s="182">
        <f>'Sch 3 - Expenses'!G24</f>
        <v>29951984</v>
      </c>
      <c r="H184" s="182">
        <f>'Sch 3 - Expenses'!H24</f>
        <v>29951984</v>
      </c>
      <c r="I184" s="182">
        <f>'Sch 3 - Expenses'!I24</f>
        <v>0</v>
      </c>
      <c r="J184" s="182">
        <f>'Sch 3 - Expenses'!J24</f>
        <v>0</v>
      </c>
    </row>
    <row r="185" spans="1:10">
      <c r="A185" s="912"/>
      <c r="B185" s="913" t="s">
        <v>87</v>
      </c>
      <c r="C185" s="888" t="str">
        <f>'Sch 3 - Expenses'!C25</f>
        <v>320-323</v>
      </c>
      <c r="D185" s="888" t="str">
        <f>'Sch 3 - Expenses'!D25</f>
        <v>541-545.1</v>
      </c>
      <c r="E185" s="182" t="str">
        <f>'Sch 3 - Expenses'!E25</f>
        <v>PROD</v>
      </c>
      <c r="F185" s="889"/>
      <c r="G185" s="182">
        <f>'Sch 3 - Expenses'!G25</f>
        <v>5501093</v>
      </c>
      <c r="H185" s="182">
        <f>'Sch 3 - Expenses'!H25</f>
        <v>5501093</v>
      </c>
      <c r="I185" s="182">
        <f>'Sch 3 - Expenses'!I25</f>
        <v>0</v>
      </c>
      <c r="J185" s="182">
        <f>'Sch 3 - Expenses'!J25</f>
        <v>0</v>
      </c>
    </row>
    <row r="186" spans="1:10">
      <c r="A186" s="912"/>
      <c r="B186" s="990" t="s">
        <v>464</v>
      </c>
      <c r="C186" s="55"/>
      <c r="D186" s="55"/>
      <c r="E186" s="196"/>
      <c r="F186" s="196"/>
      <c r="G186" s="68"/>
      <c r="H186" s="68"/>
      <c r="I186" s="68"/>
      <c r="J186" s="991"/>
    </row>
    <row r="187" spans="1:10">
      <c r="A187" s="912"/>
      <c r="B187" s="220" t="s">
        <v>455</v>
      </c>
      <c r="C187" s="888" t="str">
        <f>'Sch 3 - Expenses'!C27</f>
        <v>320-323</v>
      </c>
      <c r="D187" s="888">
        <f>'Sch 3 - Expenses'!D27</f>
        <v>547</v>
      </c>
      <c r="E187" s="182" t="str">
        <f>'Sch 3 - Expenses'!E27</f>
        <v>PROD</v>
      </c>
      <c r="F187" s="889"/>
      <c r="G187" s="182">
        <f>'Sch 3 - Expenses'!G27</f>
        <v>116227146</v>
      </c>
      <c r="H187" s="182">
        <f>'Sch 3 - Expenses'!H27</f>
        <v>116227146</v>
      </c>
      <c r="I187" s="182">
        <f>'Sch 3 - Expenses'!I27</f>
        <v>0</v>
      </c>
      <c r="J187" s="182">
        <f>'Sch 3 - Expenses'!J27</f>
        <v>0</v>
      </c>
    </row>
    <row r="188" spans="1:10">
      <c r="A188" s="912"/>
      <c r="B188" s="913" t="s">
        <v>263</v>
      </c>
      <c r="C188" s="888" t="str">
        <f>'Sch 3 - Expenses'!C28</f>
        <v>320-323</v>
      </c>
      <c r="D188" s="888" t="str">
        <f>'Sch 3 - Expenses'!D28</f>
        <v>546-550.1</v>
      </c>
      <c r="E188" s="182" t="str">
        <f>'Sch 3 - Expenses'!E28</f>
        <v>PROD</v>
      </c>
      <c r="F188" s="889"/>
      <c r="G188" s="182">
        <f>'Sch 3 - Expenses'!G28</f>
        <v>5842028</v>
      </c>
      <c r="H188" s="182">
        <f>'Sch 3 - Expenses'!H28</f>
        <v>5842028</v>
      </c>
      <c r="I188" s="182">
        <f>'Sch 3 - Expenses'!I28</f>
        <v>0</v>
      </c>
      <c r="J188" s="182">
        <f>'Sch 3 - Expenses'!J28</f>
        <v>0</v>
      </c>
    </row>
    <row r="189" spans="1:10">
      <c r="A189" s="912"/>
      <c r="B189" s="913" t="s">
        <v>265</v>
      </c>
      <c r="C189" s="888" t="str">
        <f>'Sch 3 - Expenses'!C29</f>
        <v>320-323</v>
      </c>
      <c r="D189" s="888" t="str">
        <f>'Sch 3 - Expenses'!D29</f>
        <v>551-554.1</v>
      </c>
      <c r="E189" s="182" t="str">
        <f>'Sch 3 - Expenses'!E29</f>
        <v>PROD</v>
      </c>
      <c r="F189" s="889"/>
      <c r="G189" s="182">
        <f>'Sch 3 - Expenses'!G29</f>
        <v>3782274</v>
      </c>
      <c r="H189" s="182">
        <f>'Sch 3 - Expenses'!H29</f>
        <v>3782274</v>
      </c>
      <c r="I189" s="182">
        <f>'Sch 3 - Expenses'!I29</f>
        <v>0</v>
      </c>
      <c r="J189" s="182">
        <f>'Sch 3 - Expenses'!J29</f>
        <v>0</v>
      </c>
    </row>
    <row r="190" spans="1:10">
      <c r="A190" s="912"/>
      <c r="B190" s="990" t="s">
        <v>458</v>
      </c>
      <c r="C190" s="55"/>
      <c r="D190" s="55"/>
      <c r="E190" s="196"/>
      <c r="F190" s="196"/>
      <c r="G190" s="68"/>
      <c r="H190" s="68"/>
      <c r="I190" s="68"/>
      <c r="J190" s="991"/>
    </row>
    <row r="191" spans="1:10">
      <c r="A191" s="912"/>
      <c r="B191" s="220" t="s">
        <v>266</v>
      </c>
      <c r="C191" s="888" t="str">
        <f>'Sch 3 - Expenses'!C31</f>
        <v>320-323</v>
      </c>
      <c r="D191" s="888">
        <f>'Sch 3 - Expenses'!D31</f>
        <v>555</v>
      </c>
      <c r="E191" s="182" t="str">
        <f>'Sch 3 - Expenses'!E31</f>
        <v>PROD</v>
      </c>
      <c r="F191" s="889"/>
      <c r="G191" s="182">
        <f>'Sch 3 - Expenses'!G31</f>
        <v>216427715</v>
      </c>
      <c r="H191" s="182">
        <f>'Sch 3 - Expenses'!H31</f>
        <v>216427715</v>
      </c>
      <c r="I191" s="182">
        <f>'Sch 3 - Expenses'!I31</f>
        <v>0</v>
      </c>
      <c r="J191" s="182">
        <f>'Sch 3 - Expenses'!J31</f>
        <v>0</v>
      </c>
    </row>
    <row r="192" spans="1:10">
      <c r="A192" s="912"/>
      <c r="B192" s="913" t="s">
        <v>459</v>
      </c>
      <c r="C192" s="888" t="str">
        <f>'Sch 3 - Expenses'!C32</f>
        <v>320-323</v>
      </c>
      <c r="D192" s="888">
        <f>'Sch 3 - Expenses'!D32</f>
        <v>556</v>
      </c>
      <c r="E192" s="182" t="str">
        <f>'Sch 3 - Expenses'!E32</f>
        <v>PROD</v>
      </c>
      <c r="F192" s="889"/>
      <c r="G192" s="182">
        <f>'Sch 3 - Expenses'!G32</f>
        <v>764664</v>
      </c>
      <c r="H192" s="182">
        <f>'Sch 3 - Expenses'!H32</f>
        <v>764664</v>
      </c>
      <c r="I192" s="182">
        <f>'Sch 3 - Expenses'!I32</f>
        <v>0</v>
      </c>
      <c r="J192" s="182">
        <f>'Sch 3 - Expenses'!J32</f>
        <v>0</v>
      </c>
    </row>
    <row r="193" spans="1:10">
      <c r="A193" s="912"/>
      <c r="B193" s="913" t="s">
        <v>267</v>
      </c>
      <c r="C193" s="888" t="str">
        <f>'Sch 3 - Expenses'!C33</f>
        <v>320-323</v>
      </c>
      <c r="D193" s="888">
        <f>'Sch 3 - Expenses'!D33</f>
        <v>557</v>
      </c>
      <c r="E193" s="182" t="str">
        <f>'Sch 3 - Expenses'!E33</f>
        <v>PROD</v>
      </c>
      <c r="F193" s="889"/>
      <c r="G193" s="182">
        <f>'Sch 3 - Expenses'!G33</f>
        <v>38247947</v>
      </c>
      <c r="H193" s="182">
        <f>'Sch 3 - Expenses'!H33</f>
        <v>38247947</v>
      </c>
      <c r="I193" s="182">
        <f>'Sch 3 - Expenses'!I33</f>
        <v>0</v>
      </c>
      <c r="J193" s="182">
        <f>'Sch 3 - Expenses'!J33</f>
        <v>0</v>
      </c>
    </row>
    <row r="194" spans="1:10">
      <c r="A194" s="912"/>
      <c r="B194" s="220" t="s">
        <v>52</v>
      </c>
      <c r="C194" s="888" t="str">
        <f>'Sch 3 - Expenses'!C34</f>
        <v>326-327</v>
      </c>
      <c r="D194" s="888">
        <f>'Sch 3 - Expenses'!D34</f>
        <v>555</v>
      </c>
      <c r="E194" s="182" t="str">
        <f>'Sch 3 - Expenses'!E34</f>
        <v>PROD</v>
      </c>
      <c r="F194" s="889"/>
      <c r="G194" s="182">
        <f>'Sch 3 - Expenses'!G34</f>
        <v>0</v>
      </c>
      <c r="H194" s="182">
        <f>'Sch 3 - Expenses'!H34</f>
        <v>0</v>
      </c>
      <c r="I194" s="182">
        <f>'Sch 3 - Expenses'!I34</f>
        <v>0</v>
      </c>
      <c r="J194" s="182">
        <f>'Sch 3 - Expenses'!J34</f>
        <v>0</v>
      </c>
    </row>
    <row r="195" spans="1:10">
      <c r="A195" s="912"/>
      <c r="B195" s="913" t="s">
        <v>506</v>
      </c>
      <c r="C195" s="888">
        <f>'Sch 3 - Expenses'!C35</f>
        <v>0</v>
      </c>
      <c r="D195" s="889">
        <f>'Sch 3 - Expenses'!D35</f>
        <v>0</v>
      </c>
      <c r="E195" s="182" t="str">
        <f>'Sch 3 - Expenses'!E35</f>
        <v>DIRECT</v>
      </c>
      <c r="F195" s="889" t="str">
        <f>'Sch 3 - Expenses'!F35</f>
        <v>DIST</v>
      </c>
      <c r="G195" s="182">
        <f>'Sch 3 - Expenses'!G35</f>
        <v>0</v>
      </c>
      <c r="H195" s="182">
        <f>'Sch 3 - Expenses'!H35</f>
        <v>0</v>
      </c>
      <c r="I195" s="182">
        <f>'Sch 3 - Expenses'!I35</f>
        <v>0</v>
      </c>
      <c r="J195" s="182">
        <f>'Sch 3 - Expenses'!J35</f>
        <v>0</v>
      </c>
    </row>
    <row r="196" spans="1:10">
      <c r="A196" s="163" t="s">
        <v>485</v>
      </c>
      <c r="B196" s="10"/>
      <c r="C196" s="914"/>
      <c r="D196" s="915"/>
      <c r="E196" s="915"/>
      <c r="F196" s="916"/>
      <c r="G196" s="1684">
        <f>'Sch 3 - Expenses'!G36</f>
        <v>485623392</v>
      </c>
      <c r="H196" s="1684">
        <f>'Sch 3 - Expenses'!H36</f>
        <v>485623392</v>
      </c>
      <c r="I196" s="1684">
        <f>'Sch 3 - Expenses'!I36</f>
        <v>0</v>
      </c>
      <c r="J196" s="1685">
        <f>'Sch 3 - Expenses'!J36</f>
        <v>0</v>
      </c>
    </row>
    <row r="197" spans="1:10">
      <c r="A197" s="228"/>
      <c r="B197" s="10"/>
      <c r="C197" s="55"/>
      <c r="D197" s="55"/>
      <c r="E197" s="64"/>
      <c r="F197" s="64"/>
      <c r="G197" s="989"/>
      <c r="H197" s="1686"/>
      <c r="I197" s="1686"/>
      <c r="J197" s="1687"/>
    </row>
    <row r="198" spans="1:10">
      <c r="A198" s="160" t="s">
        <v>505</v>
      </c>
      <c r="B198" s="10"/>
      <c r="C198" s="55"/>
      <c r="D198" s="196"/>
      <c r="E198" s="10"/>
      <c r="F198" s="10"/>
      <c r="G198" s="989"/>
      <c r="H198" s="1686"/>
      <c r="I198" s="1686"/>
      <c r="J198" s="1687"/>
    </row>
    <row r="199" spans="1:10">
      <c r="A199" s="912"/>
      <c r="B199" s="913" t="s">
        <v>402</v>
      </c>
      <c r="C199" s="888" t="str">
        <f>'Sch 3 - Expenses'!C39</f>
        <v>320-323</v>
      </c>
      <c r="D199" s="888" t="str">
        <f>'Sch 3 - Expenses'!D39</f>
        <v>565</v>
      </c>
      <c r="E199" s="182" t="str">
        <f>'Sch 3 - Expenses'!E39</f>
        <v>prod</v>
      </c>
      <c r="F199" s="889"/>
      <c r="G199" s="182">
        <f>'Sch 3 - Expenses'!G39</f>
        <v>19063436</v>
      </c>
      <c r="H199" s="182">
        <f>'Sch 3 - Expenses'!H39</f>
        <v>19063436</v>
      </c>
      <c r="I199" s="182">
        <f>'Sch 3 - Expenses'!I39</f>
        <v>0</v>
      </c>
      <c r="J199" s="182">
        <f>'Sch 3 - Expenses'!J39</f>
        <v>0</v>
      </c>
    </row>
    <row r="200" spans="1:10">
      <c r="A200" s="912"/>
      <c r="B200" s="913" t="s">
        <v>465</v>
      </c>
      <c r="C200" s="888" t="str">
        <f>'Sch 3 - Expenses'!C40</f>
        <v>320-323</v>
      </c>
      <c r="D200" s="888" t="str">
        <f>'Sch 3 - Expenses'!D40</f>
        <v>560-567.1</v>
      </c>
      <c r="E200" s="182" t="str">
        <f>'Sch 3 - Expenses'!E40</f>
        <v>TRANS</v>
      </c>
      <c r="F200" s="889"/>
      <c r="G200" s="182">
        <f>'Sch 3 - Expenses'!G40</f>
        <v>10227273</v>
      </c>
      <c r="H200" s="182">
        <f>'Sch 3 - Expenses'!H40</f>
        <v>0</v>
      </c>
      <c r="I200" s="182">
        <f>'Sch 3 - Expenses'!I40</f>
        <v>0</v>
      </c>
      <c r="J200" s="182">
        <f>'Sch 3 - Expenses'!J40</f>
        <v>10227273</v>
      </c>
    </row>
    <row r="201" spans="1:10">
      <c r="A201" s="912"/>
      <c r="B201" s="913" t="s">
        <v>466</v>
      </c>
      <c r="C201" s="888" t="str">
        <f>'Sch 3 - Expenses'!C41</f>
        <v>320-323</v>
      </c>
      <c r="D201" s="888" t="str">
        <f>'Sch 3 - Expenses'!D41</f>
        <v>568-574</v>
      </c>
      <c r="E201" s="182" t="str">
        <f>'Sch 3 - Expenses'!E41</f>
        <v>TRANS</v>
      </c>
      <c r="F201" s="889"/>
      <c r="G201" s="182">
        <f>'Sch 3 - Expenses'!G41</f>
        <v>4374909</v>
      </c>
      <c r="H201" s="182">
        <f>'Sch 3 - Expenses'!H41</f>
        <v>0</v>
      </c>
      <c r="I201" s="182">
        <f>'Sch 3 - Expenses'!I41</f>
        <v>0</v>
      </c>
      <c r="J201" s="182">
        <f>'Sch 3 - Expenses'!J41</f>
        <v>4374909</v>
      </c>
    </row>
    <row r="202" spans="1:10">
      <c r="A202" s="163" t="s">
        <v>487</v>
      </c>
      <c r="B202" s="10"/>
      <c r="C202" s="914"/>
      <c r="D202" s="915"/>
      <c r="E202" s="915"/>
      <c r="F202" s="916"/>
      <c r="G202" s="1684">
        <f>'Sch 3 - Expenses'!G42</f>
        <v>33665618</v>
      </c>
      <c r="H202" s="1684">
        <f>'Sch 3 - Expenses'!H42</f>
        <v>19063436</v>
      </c>
      <c r="I202" s="1684">
        <f>'Sch 3 - Expenses'!I42</f>
        <v>0</v>
      </c>
      <c r="J202" s="1685">
        <f>'Sch 3 - Expenses'!J42</f>
        <v>14602182</v>
      </c>
    </row>
    <row r="203" spans="1:10" ht="16.5" thickBot="1">
      <c r="A203" s="994"/>
      <c r="B203" s="995"/>
      <c r="C203" s="932"/>
      <c r="D203" s="932"/>
      <c r="E203" s="931"/>
      <c r="F203" s="931"/>
      <c r="G203" s="996"/>
      <c r="H203" s="1692"/>
      <c r="I203" s="1692"/>
      <c r="J203" s="1695"/>
    </row>
    <row r="204" spans="1:10" ht="16.5" thickTop="1">
      <c r="A204" s="160" t="s">
        <v>488</v>
      </c>
      <c r="B204" s="10"/>
      <c r="C204" s="55"/>
      <c r="D204" s="196"/>
      <c r="E204" s="10"/>
      <c r="F204" s="10"/>
      <c r="G204" s="989"/>
      <c r="H204" s="1686"/>
      <c r="I204" s="1686"/>
      <c r="J204" s="1687"/>
    </row>
    <row r="205" spans="1:10">
      <c r="A205" s="912"/>
      <c r="B205" s="913" t="s">
        <v>467</v>
      </c>
      <c r="C205" s="888" t="str">
        <f>'Sch 3 - Expenses'!C45</f>
        <v>320-323</v>
      </c>
      <c r="D205" s="888" t="str">
        <f>'Sch 3 - Expenses'!D45</f>
        <v>580-589</v>
      </c>
      <c r="E205" s="182" t="str">
        <f>'Sch 3 - Expenses'!E45</f>
        <v>DIST</v>
      </c>
      <c r="F205" s="889"/>
      <c r="G205" s="182">
        <f>'Sch 3 - Expenses'!G45</f>
        <v>23429072</v>
      </c>
      <c r="H205" s="182">
        <f>'Sch 3 - Expenses'!H45</f>
        <v>0</v>
      </c>
      <c r="I205" s="182">
        <f>'Sch 3 - Expenses'!I45</f>
        <v>0</v>
      </c>
      <c r="J205" s="182">
        <f>'Sch 3 - Expenses'!J45</f>
        <v>23429072</v>
      </c>
    </row>
    <row r="206" spans="1:10">
      <c r="A206" s="912"/>
      <c r="B206" s="913" t="s">
        <v>466</v>
      </c>
      <c r="C206" s="888" t="str">
        <f>'Sch 3 - Expenses'!C46</f>
        <v>320-323</v>
      </c>
      <c r="D206" s="888" t="str">
        <f>'Sch 3 - Expenses'!D46</f>
        <v>590-598</v>
      </c>
      <c r="E206" s="182" t="str">
        <f>'Sch 3 - Expenses'!E46</f>
        <v>DIST</v>
      </c>
      <c r="F206" s="889"/>
      <c r="G206" s="182">
        <f>'Sch 3 - Expenses'!G46</f>
        <v>32595713.199999999</v>
      </c>
      <c r="H206" s="182">
        <f>'Sch 3 - Expenses'!H46</f>
        <v>0</v>
      </c>
      <c r="I206" s="182">
        <f>'Sch 3 - Expenses'!I46</f>
        <v>0</v>
      </c>
      <c r="J206" s="182">
        <f>'Sch 3 - Expenses'!J46</f>
        <v>32595713.199999999</v>
      </c>
    </row>
    <row r="207" spans="1:10">
      <c r="A207" s="163" t="s">
        <v>491</v>
      </c>
      <c r="B207" s="10"/>
      <c r="C207" s="914"/>
      <c r="D207" s="915"/>
      <c r="E207" s="915"/>
      <c r="F207" s="916"/>
      <c r="G207" s="1684">
        <f>'Sch 3 - Expenses'!G47</f>
        <v>56024785.200000003</v>
      </c>
      <c r="H207" s="1684">
        <f>'Sch 3 - Expenses'!H47</f>
        <v>0</v>
      </c>
      <c r="I207" s="1684">
        <f>'Sch 3 - Expenses'!I47</f>
        <v>0</v>
      </c>
      <c r="J207" s="1685">
        <f>'Sch 3 - Expenses'!J47</f>
        <v>56024785.200000003</v>
      </c>
    </row>
    <row r="208" spans="1:10">
      <c r="A208" s="228"/>
      <c r="B208" s="10"/>
      <c r="C208" s="55"/>
      <c r="D208" s="55"/>
      <c r="E208" s="55"/>
      <c r="F208" s="55"/>
      <c r="G208" s="998"/>
      <c r="H208" s="56"/>
      <c r="I208" s="56"/>
      <c r="J208" s="999"/>
    </row>
    <row r="209" spans="1:10">
      <c r="A209" s="160" t="s">
        <v>492</v>
      </c>
      <c r="B209" s="10"/>
      <c r="C209" s="55"/>
      <c r="D209" s="55"/>
      <c r="E209" s="55"/>
      <c r="F209" s="55"/>
      <c r="G209" s="998"/>
      <c r="H209" s="56"/>
      <c r="I209" s="56"/>
      <c r="J209" s="999"/>
    </row>
    <row r="210" spans="1:10">
      <c r="A210" s="912"/>
      <c r="B210" s="913" t="s">
        <v>468</v>
      </c>
      <c r="C210" s="888" t="str">
        <f>'Sch 3 - Expenses'!C50</f>
        <v>320-323</v>
      </c>
      <c r="D210" s="888" t="str">
        <f>'Sch 3 - Expenses'!D50</f>
        <v>901-905</v>
      </c>
      <c r="E210" s="182" t="str">
        <f>'Sch 3 - Expenses'!E50</f>
        <v>DIST</v>
      </c>
      <c r="F210" s="889"/>
      <c r="G210" s="182">
        <f>'Sch 3 - Expenses'!G50</f>
        <v>10411205</v>
      </c>
      <c r="H210" s="182">
        <f>'Sch 3 - Expenses'!H50</f>
        <v>0</v>
      </c>
      <c r="I210" s="182">
        <f>'Sch 3 - Expenses'!I50</f>
        <v>0</v>
      </c>
      <c r="J210" s="182">
        <f>'Sch 3 - Expenses'!J50</f>
        <v>10411205</v>
      </c>
    </row>
    <row r="211" spans="1:10">
      <c r="A211" s="912"/>
      <c r="B211" s="913" t="s">
        <v>841</v>
      </c>
      <c r="C211" s="888" t="str">
        <f>'Sch 3 - Expenses'!C51</f>
        <v>320-323</v>
      </c>
      <c r="D211" s="888" t="str">
        <f>'Sch 3 - Expenses'!D51</f>
        <v>906-907</v>
      </c>
      <c r="E211" s="182" t="str">
        <f>'Sch 3 - Expenses'!E51</f>
        <v>DIST</v>
      </c>
      <c r="F211" s="889"/>
      <c r="G211" s="182">
        <f>'Sch 3 - Expenses'!G51</f>
        <v>0</v>
      </c>
      <c r="H211" s="182">
        <f>'Sch 3 - Expenses'!H51</f>
        <v>0</v>
      </c>
      <c r="I211" s="182">
        <f>'Sch 3 - Expenses'!I51</f>
        <v>0</v>
      </c>
      <c r="J211" s="182">
        <f>'Sch 3 - Expenses'!J51</f>
        <v>0</v>
      </c>
    </row>
    <row r="212" spans="1:10">
      <c r="A212" s="912"/>
      <c r="B212" s="913" t="s">
        <v>631</v>
      </c>
      <c r="C212" s="888" t="str">
        <f>'Sch 3 - Expenses'!C52</f>
        <v>320-323</v>
      </c>
      <c r="D212" s="888">
        <f>'Sch 3 - Expenses'!D52</f>
        <v>908</v>
      </c>
      <c r="E212" s="182" t="str">
        <f>'Sch 3 - Expenses'!E52</f>
        <v>Direct</v>
      </c>
      <c r="F212" s="889" t="str">
        <f>'Sch 3 - Expenses'!F52</f>
        <v>DIRECT</v>
      </c>
      <c r="G212" s="182">
        <f>'Sch 3 - Expenses'!G52</f>
        <v>31870071.329999998</v>
      </c>
      <c r="H212" s="182">
        <f>'Sch 3 - Expenses'!H52</f>
        <v>0</v>
      </c>
      <c r="I212" s="182">
        <f>'Sch 3 - Expenses'!I52</f>
        <v>0</v>
      </c>
      <c r="J212" s="182">
        <f>'Sch 3 - Expenses'!J52</f>
        <v>31870071.329999998</v>
      </c>
    </row>
    <row r="213" spans="1:10">
      <c r="A213" s="912"/>
      <c r="B213" s="913" t="s">
        <v>842</v>
      </c>
      <c r="C213" s="888" t="str">
        <f>'Sch 3 - Expenses'!C53</f>
        <v>320-323</v>
      </c>
      <c r="D213" s="888" t="str">
        <f>'Sch 3 - Expenses'!D53</f>
        <v>909-910</v>
      </c>
      <c r="E213" s="182" t="str">
        <f>'Sch 3 - Expenses'!E53</f>
        <v>DIST</v>
      </c>
      <c r="F213" s="889" t="str">
        <f>'Sch 3 - Expenses'!F53</f>
        <v>DIRECT</v>
      </c>
      <c r="G213" s="182">
        <f>'Sch 3 - Expenses'!G53</f>
        <v>1095949.52</v>
      </c>
      <c r="H213" s="182">
        <f>'Sch 3 - Expenses'!H53</f>
        <v>0</v>
      </c>
      <c r="I213" s="182">
        <f>'Sch 3 - Expenses'!I53</f>
        <v>0</v>
      </c>
      <c r="J213" s="182">
        <f>'Sch 3 - Expenses'!J53</f>
        <v>1095949.52</v>
      </c>
    </row>
    <row r="214" spans="1:10">
      <c r="A214" s="912"/>
      <c r="B214" s="913" t="s">
        <v>400</v>
      </c>
      <c r="C214" s="888" t="str">
        <f>'Sch 3 - Expenses'!C54</f>
        <v>320-323</v>
      </c>
      <c r="D214" s="888" t="str">
        <f>'Sch 3 - Expenses'!D54</f>
        <v>911-917</v>
      </c>
      <c r="E214" s="182" t="str">
        <f>'Sch 3 - Expenses'!E54</f>
        <v>DIST</v>
      </c>
      <c r="F214" s="889"/>
      <c r="G214" s="182">
        <f>'Sch 3 - Expenses'!G54</f>
        <v>43646</v>
      </c>
      <c r="H214" s="182">
        <f>'Sch 3 - Expenses'!H54</f>
        <v>0</v>
      </c>
      <c r="I214" s="182">
        <f>'Sch 3 - Expenses'!I54</f>
        <v>0</v>
      </c>
      <c r="J214" s="182">
        <f>'Sch 3 - Expenses'!J54</f>
        <v>43646</v>
      </c>
    </row>
    <row r="215" spans="1:10">
      <c r="A215" s="163" t="s">
        <v>494</v>
      </c>
      <c r="B215" s="10"/>
      <c r="C215" s="914"/>
      <c r="D215" s="915"/>
      <c r="E215" s="915"/>
      <c r="F215" s="916"/>
      <c r="G215" s="1684">
        <f>'Sch 3 - Expenses'!G55</f>
        <v>43420871.850000001</v>
      </c>
      <c r="H215" s="1684">
        <f>'Sch 3 - Expenses'!H55</f>
        <v>0</v>
      </c>
      <c r="I215" s="1684">
        <f>'Sch 3 - Expenses'!I55</f>
        <v>0</v>
      </c>
      <c r="J215" s="1685">
        <f>'Sch 3 - Expenses'!J55</f>
        <v>43420871.850000001</v>
      </c>
    </row>
    <row r="216" spans="1:10">
      <c r="A216" s="228"/>
      <c r="B216" s="10"/>
      <c r="C216" s="55"/>
      <c r="D216" s="196"/>
      <c r="E216" s="196"/>
      <c r="F216" s="196"/>
      <c r="G216" s="998"/>
      <c r="H216" s="56"/>
      <c r="I216" s="56"/>
      <c r="J216" s="999"/>
    </row>
    <row r="217" spans="1:10">
      <c r="A217" s="160" t="s">
        <v>495</v>
      </c>
      <c r="B217" s="10"/>
      <c r="C217" s="55"/>
      <c r="D217" s="196"/>
      <c r="E217" s="10"/>
      <c r="F217" s="10"/>
      <c r="G217" s="989"/>
      <c r="H217" s="1686"/>
      <c r="I217" s="1686"/>
      <c r="J217" s="1687"/>
    </row>
    <row r="218" spans="1:10">
      <c r="A218" s="160"/>
      <c r="B218" s="990" t="s">
        <v>441</v>
      </c>
      <c r="C218" s="55"/>
      <c r="D218" s="196"/>
      <c r="E218" s="10"/>
      <c r="F218" s="10"/>
      <c r="G218" s="989"/>
      <c r="H218" s="1686"/>
      <c r="I218" s="1686"/>
      <c r="J218" s="1687"/>
    </row>
    <row r="219" spans="1:10">
      <c r="A219" s="912"/>
      <c r="B219" s="913" t="s">
        <v>163</v>
      </c>
      <c r="C219" s="888" t="str">
        <f>'Sch 3 - Expenses'!C59</f>
        <v>320-323</v>
      </c>
      <c r="D219" s="888">
        <f>'Sch 3 - Expenses'!D59</f>
        <v>920</v>
      </c>
      <c r="E219" s="182" t="str">
        <f>'Sch 3 - Expenses'!E59</f>
        <v>LABOR</v>
      </c>
      <c r="F219" s="889"/>
      <c r="G219" s="182">
        <f>'Sch 3 - Expenses'!G59</f>
        <v>32491999.100000001</v>
      </c>
      <c r="H219" s="182">
        <f>'Sch 3 - Expenses'!H59</f>
        <v>11894366.986961963</v>
      </c>
      <c r="I219" s="182">
        <f>'Sch 3 - Expenses'!I59</f>
        <v>0</v>
      </c>
      <c r="J219" s="182">
        <f>'Sch 3 - Expenses'!J59</f>
        <v>20597632.113038037</v>
      </c>
    </row>
    <row r="220" spans="1:10">
      <c r="A220" s="912"/>
      <c r="B220" s="913" t="s">
        <v>164</v>
      </c>
      <c r="C220" s="888" t="str">
        <f>'Sch 3 - Expenses'!C60</f>
        <v>320-323</v>
      </c>
      <c r="D220" s="888">
        <f>'Sch 3 - Expenses'!D60</f>
        <v>921</v>
      </c>
      <c r="E220" s="182" t="str">
        <f>'Sch 3 - Expenses'!E60</f>
        <v>LABOR</v>
      </c>
      <c r="F220" s="889"/>
      <c r="G220" s="182">
        <f>'Sch 3 - Expenses'!G60</f>
        <v>3924957.88</v>
      </c>
      <c r="H220" s="182">
        <f>'Sch 3 - Expenses'!H60</f>
        <v>1436811.8529551544</v>
      </c>
      <c r="I220" s="182">
        <f>'Sch 3 - Expenses'!I60</f>
        <v>0</v>
      </c>
      <c r="J220" s="182">
        <f>'Sch 3 - Expenses'!J60</f>
        <v>2488146.0270448453</v>
      </c>
    </row>
    <row r="221" spans="1:10">
      <c r="A221" s="912"/>
      <c r="B221" s="913" t="s">
        <v>165</v>
      </c>
      <c r="C221" s="888" t="str">
        <f>'Sch 3 - Expenses'!C61</f>
        <v>320-323</v>
      </c>
      <c r="D221" s="888">
        <f>'Sch 3 - Expenses'!D61</f>
        <v>922</v>
      </c>
      <c r="E221" s="182" t="str">
        <f>'Sch 3 - Expenses'!E61</f>
        <v>LABOR</v>
      </c>
      <c r="F221" s="889"/>
      <c r="G221" s="182">
        <f>'Sch 3 - Expenses'!G61</f>
        <v>114021.94</v>
      </c>
      <c r="H221" s="182">
        <f>'Sch 3 - Expenses'!H61</f>
        <v>41740.084836003756</v>
      </c>
      <c r="I221" s="182">
        <f>'Sch 3 - Expenses'!I61</f>
        <v>0</v>
      </c>
      <c r="J221" s="182">
        <f>'Sch 3 - Expenses'!J61</f>
        <v>72281.855163996253</v>
      </c>
    </row>
    <row r="222" spans="1:10">
      <c r="A222" s="912"/>
      <c r="B222" s="913" t="s">
        <v>166</v>
      </c>
      <c r="C222" s="888" t="str">
        <f>'Sch 3 - Expenses'!C62</f>
        <v>320-323</v>
      </c>
      <c r="D222" s="888">
        <f>'Sch 3 - Expenses'!D62</f>
        <v>923</v>
      </c>
      <c r="E222" s="182" t="str">
        <f>'Sch 3 - Expenses'!E62</f>
        <v>LABOR</v>
      </c>
      <c r="F222" s="889"/>
      <c r="G222" s="182">
        <f>'Sch 3 - Expenses'!G62</f>
        <v>14933868.609999999</v>
      </c>
      <c r="H222" s="182">
        <f>'Sch 3 - Expenses'!H62</f>
        <v>5466850.8772183098</v>
      </c>
      <c r="I222" s="182">
        <f>'Sch 3 - Expenses'!I62</f>
        <v>0</v>
      </c>
      <c r="J222" s="182">
        <f>'Sch 3 - Expenses'!J62</f>
        <v>9467017.7327816896</v>
      </c>
    </row>
    <row r="223" spans="1:10">
      <c r="A223" s="912"/>
      <c r="B223" s="913" t="s">
        <v>167</v>
      </c>
      <c r="C223" s="888" t="str">
        <f>'Sch 3 - Expenses'!C63</f>
        <v>320-323</v>
      </c>
      <c r="D223" s="888">
        <f>'Sch 3 - Expenses'!D63</f>
        <v>924</v>
      </c>
      <c r="E223" s="182" t="str">
        <f>'Sch 3 - Expenses'!E63</f>
        <v>PTDG</v>
      </c>
      <c r="F223" s="889"/>
      <c r="G223" s="182">
        <f>'Sch 3 - Expenses'!G63</f>
        <v>2806700.76</v>
      </c>
      <c r="H223" s="182">
        <f>'Sch 3 - Expenses'!H63</f>
        <v>893155.9014630107</v>
      </c>
      <c r="I223" s="182">
        <f>'Sch 3 - Expenses'!I63</f>
        <v>0</v>
      </c>
      <c r="J223" s="182">
        <f>'Sch 3 - Expenses'!J63</f>
        <v>1913544.8582485989</v>
      </c>
    </row>
    <row r="224" spans="1:10">
      <c r="A224" s="912"/>
      <c r="B224" s="913" t="s">
        <v>469</v>
      </c>
      <c r="C224" s="888" t="str">
        <f>'Sch 3 - Expenses'!C64</f>
        <v>320-323</v>
      </c>
      <c r="D224" s="888">
        <f>'Sch 3 - Expenses'!D64</f>
        <v>925</v>
      </c>
      <c r="E224" s="182" t="str">
        <f>'Sch 3 - Expenses'!E64</f>
        <v>labor</v>
      </c>
      <c r="F224" s="889"/>
      <c r="G224" s="182">
        <f>'Sch 3 - Expenses'!G64</f>
        <v>10784298.52</v>
      </c>
      <c r="H224" s="182">
        <f>'Sch 3 - Expenses'!H64</f>
        <v>3947815.0882329289</v>
      </c>
      <c r="I224" s="182">
        <f>'Sch 3 - Expenses'!I64</f>
        <v>0</v>
      </c>
      <c r="J224" s="182">
        <f>'Sch 3 - Expenses'!J64</f>
        <v>6836483.4317670707</v>
      </c>
    </row>
    <row r="225" spans="1:10">
      <c r="A225" s="912"/>
      <c r="B225" s="913" t="s">
        <v>470</v>
      </c>
      <c r="C225" s="888" t="str">
        <f>'Sch 3 - Expenses'!C65</f>
        <v>320-323</v>
      </c>
      <c r="D225" s="888">
        <f>'Sch 3 - Expenses'!D65</f>
        <v>926</v>
      </c>
      <c r="E225" s="182" t="str">
        <f>'Sch 3 - Expenses'!E65</f>
        <v>LABOR</v>
      </c>
      <c r="F225" s="889"/>
      <c r="G225" s="182">
        <f>'Sch 3 - Expenses'!G65</f>
        <v>28096653.760000002</v>
      </c>
      <c r="H225" s="182">
        <f>'Sch 3 - Expenses'!H65</f>
        <v>10285360.094296098</v>
      </c>
      <c r="I225" s="182">
        <f>'Sch 3 - Expenses'!I65</f>
        <v>0</v>
      </c>
      <c r="J225" s="182">
        <f>'Sch 3 - Expenses'!J65</f>
        <v>17811293.665703904</v>
      </c>
    </row>
    <row r="226" spans="1:10">
      <c r="A226" s="912"/>
      <c r="B226" s="913" t="s">
        <v>471</v>
      </c>
      <c r="C226" s="888" t="str">
        <f>'Sch 3 - Expenses'!C66</f>
        <v>320-323</v>
      </c>
      <c r="D226" s="888">
        <f>'Sch 3 - Expenses'!D66</f>
        <v>927</v>
      </c>
      <c r="E226" s="182" t="str">
        <f>'Sch 3 - Expenses'!E66</f>
        <v>DIST</v>
      </c>
      <c r="F226" s="889"/>
      <c r="G226" s="182">
        <f>'Sch 3 - Expenses'!G66</f>
        <v>1200</v>
      </c>
      <c r="H226" s="182">
        <f>'Sch 3 - Expenses'!H66</f>
        <v>0</v>
      </c>
      <c r="I226" s="182">
        <f>'Sch 3 - Expenses'!I66</f>
        <v>0</v>
      </c>
      <c r="J226" s="182">
        <f>'Sch 3 - Expenses'!J66</f>
        <v>1200</v>
      </c>
    </row>
    <row r="227" spans="1:10">
      <c r="A227" s="912"/>
      <c r="B227" s="913" t="s">
        <v>473</v>
      </c>
      <c r="C227" s="888" t="str">
        <f>'Sch 3 - Expenses'!C67</f>
        <v>320-323</v>
      </c>
      <c r="D227" s="888">
        <f>'Sch 3 - Expenses'!D67</f>
        <v>928</v>
      </c>
      <c r="E227" s="182" t="str">
        <f>'Sch 3 - Expenses'!E67</f>
        <v>DIST</v>
      </c>
      <c r="F227" s="889"/>
      <c r="G227" s="182">
        <f>'Sch 3 - Expenses'!G67</f>
        <v>8387545.0899999999</v>
      </c>
      <c r="H227" s="182">
        <f>'Sch 3 - Expenses'!H67</f>
        <v>0</v>
      </c>
      <c r="I227" s="182">
        <f>'Sch 3 - Expenses'!I67</f>
        <v>0</v>
      </c>
      <c r="J227" s="182">
        <f>'Sch 3 - Expenses'!J67</f>
        <v>8387545.0899999999</v>
      </c>
    </row>
    <row r="228" spans="1:10">
      <c r="A228" s="912"/>
      <c r="B228" s="913" t="s">
        <v>168</v>
      </c>
      <c r="C228" s="888" t="str">
        <f>'Sch 3 - Expenses'!C68</f>
        <v>320-323</v>
      </c>
      <c r="D228" s="888">
        <f>'Sch 3 - Expenses'!D68</f>
        <v>929</v>
      </c>
      <c r="E228" s="182" t="str">
        <f>'Sch 3 - Expenses'!E68</f>
        <v>PTDG</v>
      </c>
      <c r="F228" s="889"/>
      <c r="G228" s="182">
        <f>'Sch 3 - Expenses'!G68</f>
        <v>0</v>
      </c>
      <c r="H228" s="182">
        <f>'Sch 3 - Expenses'!H68</f>
        <v>0</v>
      </c>
      <c r="I228" s="182">
        <f>'Sch 3 - Expenses'!I68</f>
        <v>0</v>
      </c>
      <c r="J228" s="182">
        <f>'Sch 3 - Expenses'!J68</f>
        <v>0</v>
      </c>
    </row>
    <row r="229" spans="1:10">
      <c r="A229" s="912"/>
      <c r="B229" s="913" t="s">
        <v>169</v>
      </c>
      <c r="C229" s="888" t="str">
        <f>'Sch 3 - Expenses'!C69</f>
        <v>320-323</v>
      </c>
      <c r="D229" s="888">
        <f>'Sch 3 - Expenses'!D69</f>
        <v>930.1</v>
      </c>
      <c r="E229" s="182" t="str">
        <f>'Sch 3 - Expenses'!E69</f>
        <v>DIST</v>
      </c>
      <c r="F229" s="889" t="str">
        <f>'Sch 3 - Expenses'!F69</f>
        <v>DIRECT</v>
      </c>
      <c r="G229" s="182">
        <f>'Sch 3 - Expenses'!G69</f>
        <v>0</v>
      </c>
      <c r="H229" s="182">
        <f>'Sch 3 - Expenses'!H69</f>
        <v>0</v>
      </c>
      <c r="I229" s="182">
        <f>'Sch 3 - Expenses'!I69</f>
        <v>0</v>
      </c>
      <c r="J229" s="182">
        <f>'Sch 3 - Expenses'!J69</f>
        <v>0</v>
      </c>
    </row>
    <row r="230" spans="1:10">
      <c r="A230" s="912"/>
      <c r="B230" s="913" t="s">
        <v>472</v>
      </c>
      <c r="C230" s="888" t="str">
        <f>'Sch 3 - Expenses'!C70</f>
        <v>320-323</v>
      </c>
      <c r="D230" s="888">
        <f>'Sch 3 - Expenses'!D70</f>
        <v>930.2</v>
      </c>
      <c r="E230" s="182" t="str">
        <f>'Sch 3 - Expenses'!E70</f>
        <v>DIST</v>
      </c>
      <c r="F230" s="889" t="str">
        <f>'Sch 3 - Expenses'!F70</f>
        <v>DIRECT</v>
      </c>
      <c r="G230" s="182">
        <f>'Sch 3 - Expenses'!G70</f>
        <v>5644866</v>
      </c>
      <c r="H230" s="182">
        <f>'Sch 3 - Expenses'!H70</f>
        <v>0</v>
      </c>
      <c r="I230" s="182">
        <f>'Sch 3 - Expenses'!I70</f>
        <v>0</v>
      </c>
      <c r="J230" s="182">
        <f>'Sch 3 - Expenses'!J70</f>
        <v>5644866</v>
      </c>
    </row>
    <row r="231" spans="1:10">
      <c r="A231" s="912"/>
      <c r="B231" s="913" t="s">
        <v>496</v>
      </c>
      <c r="C231" s="888" t="str">
        <f>'Sch 3 - Expenses'!C71</f>
        <v>320-323</v>
      </c>
      <c r="D231" s="888">
        <f>'Sch 3 - Expenses'!D71</f>
        <v>931</v>
      </c>
      <c r="E231" s="182" t="str">
        <f>'Sch 3 - Expenses'!E71</f>
        <v>DIST</v>
      </c>
      <c r="F231" s="889"/>
      <c r="G231" s="182">
        <f>'Sch 3 - Expenses'!G71</f>
        <v>938930</v>
      </c>
      <c r="H231" s="182">
        <f>'Sch 3 - Expenses'!H71</f>
        <v>0</v>
      </c>
      <c r="I231" s="182">
        <f>'Sch 3 - Expenses'!I71</f>
        <v>0</v>
      </c>
      <c r="J231" s="182">
        <f>'Sch 3 - Expenses'!J71</f>
        <v>938930</v>
      </c>
    </row>
    <row r="232" spans="1:10">
      <c r="A232" s="912"/>
      <c r="B232" s="913" t="s">
        <v>269</v>
      </c>
      <c r="C232" s="888" t="str">
        <f>'Sch 3 - Expenses'!C72</f>
        <v>320-324</v>
      </c>
      <c r="D232" s="888">
        <f>'Sch 3 - Expenses'!D72</f>
        <v>933</v>
      </c>
      <c r="E232" s="182" t="str">
        <f>'Sch 3 - Expenses'!E72</f>
        <v>DIST</v>
      </c>
      <c r="F232" s="889"/>
      <c r="G232" s="182">
        <f>'Sch 3 - Expenses'!G72</f>
        <v>0</v>
      </c>
      <c r="H232" s="182">
        <f>'Sch 3 - Expenses'!H72</f>
        <v>0</v>
      </c>
      <c r="I232" s="182">
        <f>'Sch 3 - Expenses'!I72</f>
        <v>0</v>
      </c>
      <c r="J232" s="182">
        <f>'Sch 3 - Expenses'!J72</f>
        <v>0</v>
      </c>
    </row>
    <row r="233" spans="1:10">
      <c r="A233" s="912"/>
      <c r="B233" s="990" t="s">
        <v>442</v>
      </c>
      <c r="C233" s="55"/>
      <c r="D233" s="196"/>
      <c r="E233" s="196"/>
      <c r="F233" s="196"/>
      <c r="G233" s="68"/>
      <c r="H233" s="68"/>
      <c r="I233" s="68"/>
      <c r="J233" s="991"/>
    </row>
    <row r="234" spans="1:10">
      <c r="A234" s="912"/>
      <c r="B234" s="913" t="s">
        <v>94</v>
      </c>
      <c r="C234" s="888" t="str">
        <f>'Sch 3 - Expenses'!C74</f>
        <v>320-323</v>
      </c>
      <c r="D234" s="888">
        <f>'Sch 3 - Expenses'!D74</f>
        <v>935</v>
      </c>
      <c r="E234" s="182" t="str">
        <f>'Sch 3 - Expenses'!E74</f>
        <v>GPM</v>
      </c>
      <c r="F234" s="889"/>
      <c r="G234" s="182">
        <f>'Sch 3 - Expenses'!G74</f>
        <v>14630422</v>
      </c>
      <c r="H234" s="182">
        <f>'Sch 3 - Expenses'!H74</f>
        <v>4690577.0284544546</v>
      </c>
      <c r="I234" s="182">
        <f>'Sch 3 - Expenses'!I74</f>
        <v>0</v>
      </c>
      <c r="J234" s="182">
        <f>'Sch 3 - Expenses'!J74</f>
        <v>9939844.9715455435</v>
      </c>
    </row>
    <row r="235" spans="1:10">
      <c r="A235" s="163" t="s">
        <v>497</v>
      </c>
      <c r="B235" s="10"/>
      <c r="C235" s="914"/>
      <c r="D235" s="915"/>
      <c r="E235" s="915"/>
      <c r="F235" s="916"/>
      <c r="G235" s="614">
        <f>'Sch 3 - Expenses'!G75</f>
        <v>122527419.78000002</v>
      </c>
      <c r="H235" s="614"/>
      <c r="I235" s="614"/>
      <c r="J235" s="614"/>
    </row>
    <row r="236" spans="1:10" ht="16.5" thickBot="1">
      <c r="A236" s="191"/>
      <c r="B236" s="995"/>
      <c r="C236" s="932"/>
      <c r="D236" s="1000"/>
      <c r="E236" s="1000"/>
      <c r="F236" s="1000"/>
      <c r="G236" s="1001"/>
      <c r="H236" s="1002"/>
      <c r="I236" s="1002"/>
      <c r="J236" s="935"/>
    </row>
    <row r="237" spans="1:10" ht="16.5" thickTop="1">
      <c r="A237" s="163" t="s">
        <v>498</v>
      </c>
      <c r="B237" s="10"/>
      <c r="C237" s="914"/>
      <c r="D237" s="915"/>
      <c r="E237" s="915"/>
      <c r="F237" s="916"/>
      <c r="G237" s="1684">
        <f>'Sch 3 - Expenses'!G77</f>
        <v>741262086.83000004</v>
      </c>
      <c r="H237" s="1684">
        <f>'Sch 3 - Expenses'!H77</f>
        <v>543260025.74474597</v>
      </c>
      <c r="I237" s="1684">
        <f>'Sch 3 - Expenses'!I77</f>
        <v>0</v>
      </c>
      <c r="J237" s="1685">
        <f>'Sch 3 - Expenses'!J77</f>
        <v>198002061.08496571</v>
      </c>
    </row>
    <row r="238" spans="1:10">
      <c r="A238" s="167" t="s">
        <v>433</v>
      </c>
      <c r="B238" s="1003"/>
      <c r="C238" s="85"/>
      <c r="D238" s="913"/>
      <c r="E238" s="913"/>
      <c r="F238" s="913"/>
      <c r="G238" s="998"/>
      <c r="H238" s="1696"/>
      <c r="I238" s="1696"/>
      <c r="J238" s="1697"/>
    </row>
    <row r="239" spans="1:10">
      <c r="A239" s="951"/>
      <c r="B239" s="947"/>
      <c r="C239" s="1698"/>
      <c r="D239" s="1007"/>
      <c r="E239" s="1698"/>
      <c r="F239" s="1698"/>
      <c r="G239" s="1008"/>
      <c r="H239" s="1009"/>
      <c r="I239" s="1009"/>
      <c r="J239" s="1010"/>
    </row>
    <row r="240" spans="1:10">
      <c r="A240" s="160" t="s">
        <v>40</v>
      </c>
      <c r="B240" s="1011"/>
      <c r="C240" s="1699"/>
      <c r="D240" s="1699"/>
      <c r="E240" s="1699"/>
      <c r="F240" s="10"/>
      <c r="G240" s="1013"/>
      <c r="H240" s="989"/>
      <c r="I240" s="989"/>
      <c r="J240" s="1014"/>
    </row>
    <row r="241" spans="1:10">
      <c r="A241" s="1689"/>
      <c r="B241" s="913" t="s">
        <v>843</v>
      </c>
      <c r="C241" s="888">
        <f>'Sch 3 - Expenses'!C81</f>
        <v>336</v>
      </c>
      <c r="D241" s="888">
        <f>'Sch 3 - Expenses'!D81</f>
        <v>404</v>
      </c>
      <c r="E241" s="182" t="str">
        <f>'Sch 3 - Expenses'!E81</f>
        <v>DIST</v>
      </c>
      <c r="F241" s="1746" t="str">
        <f>'Sch 3 - Expenses'!F81</f>
        <v xml:space="preserve"> </v>
      </c>
      <c r="G241" s="182">
        <f>'Sch 3 - Expenses'!G81</f>
        <v>0</v>
      </c>
      <c r="H241" s="182">
        <f>'Sch 3 - Expenses'!H81</f>
        <v>0</v>
      </c>
      <c r="I241" s="182">
        <f>'Sch 3 - Expenses'!I81</f>
        <v>0</v>
      </c>
      <c r="J241" s="182">
        <f>'Sch 3 - Expenses'!J81</f>
        <v>0</v>
      </c>
    </row>
    <row r="242" spans="1:10">
      <c r="A242" s="1689"/>
      <c r="B242" s="913" t="s">
        <v>844</v>
      </c>
      <c r="C242" s="888">
        <f>'Sch 3 - Expenses'!C82</f>
        <v>336</v>
      </c>
      <c r="D242" s="888">
        <f>'Sch 3 - Expenses'!D82</f>
        <v>404</v>
      </c>
      <c r="E242" s="182" t="str">
        <f>'Sch 3 - Expenses'!E82</f>
        <v>DIRECT</v>
      </c>
      <c r="F242" s="1746" t="str">
        <f>'Sch 3 - Expenses'!F82</f>
        <v>PTD</v>
      </c>
      <c r="G242" s="182">
        <f>'Sch 3 - Expenses'!G82</f>
        <v>2226233</v>
      </c>
      <c r="H242" s="182">
        <f>'Sch 3 - Expenses'!H82</f>
        <v>2010137.6126880527</v>
      </c>
      <c r="I242" s="182">
        <f>'Sch 3 - Expenses'!I82</f>
        <v>0</v>
      </c>
      <c r="J242" s="182">
        <f>'Sch 3 - Expenses'!J82</f>
        <v>216095.50131194707</v>
      </c>
    </row>
    <row r="243" spans="1:10">
      <c r="A243" s="1689"/>
      <c r="B243" s="913" t="s">
        <v>845</v>
      </c>
      <c r="C243" s="888">
        <f>'Sch 3 - Expenses'!C83</f>
        <v>336</v>
      </c>
      <c r="D243" s="888">
        <f>'Sch 3 - Expenses'!D83</f>
        <v>404</v>
      </c>
      <c r="E243" s="182" t="str">
        <f>'Sch 3 - Expenses'!E83</f>
        <v>DIRECT</v>
      </c>
      <c r="F243" s="1746" t="str">
        <f>'Sch 3 - Expenses'!F83</f>
        <v>DIST</v>
      </c>
      <c r="G243" s="182">
        <f>'Sch 3 - Expenses'!G83</f>
        <v>7624356</v>
      </c>
      <c r="H243" s="182">
        <f>'Sch 3 - Expenses'!H83</f>
        <v>5568168.3742585769</v>
      </c>
      <c r="I243" s="182">
        <f>'Sch 3 - Expenses'!I83</f>
        <v>0</v>
      </c>
      <c r="J243" s="182">
        <f>'Sch 3 - Expenses'!J83</f>
        <v>2056187.510306925</v>
      </c>
    </row>
    <row r="244" spans="1:10">
      <c r="A244" s="1689"/>
      <c r="B244" s="913" t="s">
        <v>846</v>
      </c>
      <c r="C244" s="888">
        <f>'Sch 3 - Expenses'!C84</f>
        <v>336</v>
      </c>
      <c r="D244" s="888">
        <f>'Sch 3 - Expenses'!D84</f>
        <v>403</v>
      </c>
      <c r="E244" s="182" t="str">
        <f>'Sch 3 - Expenses'!E84</f>
        <v>PROD</v>
      </c>
      <c r="F244" s="889"/>
      <c r="G244" s="182">
        <f>'Sch 3 - Expenses'!G84</f>
        <v>17056563</v>
      </c>
      <c r="H244" s="182">
        <f>'Sch 3 - Expenses'!H84</f>
        <v>17056563</v>
      </c>
      <c r="I244" s="182">
        <f>'Sch 3 - Expenses'!I84</f>
        <v>0</v>
      </c>
      <c r="J244" s="182">
        <f>'Sch 3 - Expenses'!J84</f>
        <v>0</v>
      </c>
    </row>
    <row r="245" spans="1:10">
      <c r="A245" s="1689"/>
      <c r="B245" s="913" t="s">
        <v>847</v>
      </c>
      <c r="C245" s="888">
        <f>'Sch 3 - Expenses'!C85</f>
        <v>336</v>
      </c>
      <c r="D245" s="888">
        <f>'Sch 3 - Expenses'!D85</f>
        <v>403</v>
      </c>
      <c r="E245" s="182" t="str">
        <f>'Sch 3 - Expenses'!E85</f>
        <v>PROD</v>
      </c>
      <c r="F245" s="889"/>
      <c r="G245" s="182">
        <f>'Sch 3 - Expenses'!G85</f>
        <v>0</v>
      </c>
      <c r="H245" s="182">
        <f>'Sch 3 - Expenses'!H85</f>
        <v>0</v>
      </c>
      <c r="I245" s="182">
        <f>'Sch 3 - Expenses'!I85</f>
        <v>0</v>
      </c>
      <c r="J245" s="182">
        <f>'Sch 3 - Expenses'!J85</f>
        <v>0</v>
      </c>
    </row>
    <row r="246" spans="1:10">
      <c r="A246" s="1689"/>
      <c r="B246" s="913" t="s">
        <v>434</v>
      </c>
      <c r="C246" s="888">
        <f>'Sch 3 - Expenses'!C86</f>
        <v>336</v>
      </c>
      <c r="D246" s="888">
        <f>'Sch 3 - Expenses'!D86</f>
        <v>403</v>
      </c>
      <c r="E246" s="182" t="str">
        <f>'Sch 3 - Expenses'!E86</f>
        <v>PROD</v>
      </c>
      <c r="F246" s="889"/>
      <c r="G246" s="182">
        <f>'Sch 3 - Expenses'!G86</f>
        <v>16632247</v>
      </c>
      <c r="H246" s="182">
        <f>'Sch 3 - Expenses'!H86</f>
        <v>16632247</v>
      </c>
      <c r="I246" s="182">
        <f>'Sch 3 - Expenses'!I86</f>
        <v>0</v>
      </c>
      <c r="J246" s="182">
        <f>'Sch 3 - Expenses'!J86</f>
        <v>0</v>
      </c>
    </row>
    <row r="247" spans="1:10">
      <c r="A247" s="1689"/>
      <c r="B247" s="913" t="s">
        <v>435</v>
      </c>
      <c r="C247" s="888">
        <f>'Sch 3 - Expenses'!C87</f>
        <v>336</v>
      </c>
      <c r="D247" s="888">
        <f>'Sch 3 - Expenses'!D87</f>
        <v>403</v>
      </c>
      <c r="E247" s="182" t="str">
        <f>'Sch 3 - Expenses'!E87</f>
        <v>PROD</v>
      </c>
      <c r="F247" s="889"/>
      <c r="G247" s="182">
        <f>'Sch 3 - Expenses'!G87</f>
        <v>0</v>
      </c>
      <c r="H247" s="182">
        <f>'Sch 3 - Expenses'!H87</f>
        <v>0</v>
      </c>
      <c r="I247" s="182">
        <f>'Sch 3 - Expenses'!I87</f>
        <v>0</v>
      </c>
      <c r="J247" s="182">
        <f>'Sch 3 - Expenses'!J87</f>
        <v>0</v>
      </c>
    </row>
    <row r="248" spans="1:10">
      <c r="A248" s="1689"/>
      <c r="B248" s="913" t="s">
        <v>848</v>
      </c>
      <c r="C248" s="888">
        <f>'Sch 3 - Expenses'!C88</f>
        <v>336</v>
      </c>
      <c r="D248" s="888">
        <f>'Sch 3 - Expenses'!D88</f>
        <v>403</v>
      </c>
      <c r="E248" s="182" t="str">
        <f>'Sch 3 - Expenses'!E88</f>
        <v>PROD</v>
      </c>
      <c r="F248" s="889"/>
      <c r="G248" s="182">
        <f>'Sch 3 - Expenses'!G88</f>
        <v>11041726</v>
      </c>
      <c r="H248" s="182">
        <f>'Sch 3 - Expenses'!H88</f>
        <v>11041726</v>
      </c>
      <c r="I248" s="182">
        <f>'Sch 3 - Expenses'!I88</f>
        <v>0</v>
      </c>
      <c r="J248" s="182">
        <f>'Sch 3 - Expenses'!J88</f>
        <v>0</v>
      </c>
    </row>
    <row r="249" spans="1:10">
      <c r="A249" s="1689"/>
      <c r="B249" s="913" t="s">
        <v>849</v>
      </c>
      <c r="C249" s="888">
        <f>'Sch 3 - Expenses'!C89</f>
        <v>336</v>
      </c>
      <c r="D249" s="888">
        <f>'Sch 3 - Expenses'!D89</f>
        <v>403</v>
      </c>
      <c r="E249" s="182" t="str">
        <f>'Sch 3 - Expenses'!E89</f>
        <v>TRANS</v>
      </c>
      <c r="F249" s="889"/>
      <c r="G249" s="182">
        <f>'Sch 3 - Expenses'!G89</f>
        <v>21064671</v>
      </c>
      <c r="H249" s="182">
        <f>'Sch 3 - Expenses'!H89</f>
        <v>0</v>
      </c>
      <c r="I249" s="182">
        <f>'Sch 3 - Expenses'!I89</f>
        <v>0</v>
      </c>
      <c r="J249" s="182">
        <f>'Sch 3 - Expenses'!J89</f>
        <v>21064671</v>
      </c>
    </row>
    <row r="250" spans="1:10">
      <c r="A250" s="1689"/>
      <c r="B250" s="913" t="s">
        <v>850</v>
      </c>
      <c r="C250" s="888">
        <f>'Sch 3 - Expenses'!C90</f>
        <v>336</v>
      </c>
      <c r="D250" s="888">
        <f>'Sch 3 - Expenses'!D90</f>
        <v>403</v>
      </c>
      <c r="E250" s="182" t="str">
        <f>'Sch 3 - Expenses'!E90</f>
        <v>DIST</v>
      </c>
      <c r="F250" s="889"/>
      <c r="G250" s="182">
        <f>'Sch 3 - Expenses'!G90</f>
        <v>60509580</v>
      </c>
      <c r="H250" s="182">
        <f>'Sch 3 - Expenses'!H90</f>
        <v>0</v>
      </c>
      <c r="I250" s="182">
        <f>'Sch 3 - Expenses'!I90</f>
        <v>0</v>
      </c>
      <c r="J250" s="182">
        <f>'Sch 3 - Expenses'!J90</f>
        <v>60509580</v>
      </c>
    </row>
    <row r="251" spans="1:10">
      <c r="A251" s="1689"/>
      <c r="B251" s="913" t="s">
        <v>851</v>
      </c>
      <c r="C251" s="888">
        <f>'Sch 3 - Expenses'!C91</f>
        <v>336</v>
      </c>
      <c r="D251" s="888">
        <f>'Sch 3 - Expenses'!D91</f>
        <v>403</v>
      </c>
      <c r="E251" s="182" t="str">
        <f>'Sch 3 - Expenses'!E91</f>
        <v>GP</v>
      </c>
      <c r="F251" s="889"/>
      <c r="G251" s="182">
        <f>'Sch 3 - Expenses'!G91</f>
        <v>5172455</v>
      </c>
      <c r="H251" s="182">
        <f>'Sch 3 - Expenses'!H91</f>
        <v>796769.34241722547</v>
      </c>
      <c r="I251" s="182">
        <f>'Sch 3 - Expenses'!I91</f>
        <v>0</v>
      </c>
      <c r="J251" s="182">
        <f>'Sch 3 - Expenses'!J91</f>
        <v>4375685.6575827738</v>
      </c>
    </row>
    <row r="252" spans="1:10">
      <c r="A252" s="1689"/>
      <c r="B252" s="913" t="s">
        <v>852</v>
      </c>
      <c r="C252" s="888">
        <f>'Sch 3 - Expenses'!C92</f>
        <v>336</v>
      </c>
      <c r="D252" s="1015">
        <f>'Sch 3 - Expenses'!D92</f>
        <v>403</v>
      </c>
      <c r="E252" s="182" t="str">
        <f>'Sch 3 - Expenses'!E92</f>
        <v>DIRECT</v>
      </c>
      <c r="F252" s="889"/>
      <c r="G252" s="182">
        <f>'Sch 3 - Expenses'!G92</f>
        <v>18217879</v>
      </c>
      <c r="H252" s="182">
        <f>'Sch 3 - Expenses'!H92</f>
        <v>5101006.12</v>
      </c>
      <c r="I252" s="182">
        <f>'Sch 3 - Expenses'!I92</f>
        <v>0</v>
      </c>
      <c r="J252" s="182">
        <f>'Sch 3 - Expenses'!J92</f>
        <v>13116872.879999999</v>
      </c>
    </row>
    <row r="253" spans="1:10">
      <c r="A253" s="1689"/>
      <c r="B253" s="913" t="s">
        <v>853</v>
      </c>
      <c r="C253" s="888">
        <f>'Sch 3 - Expenses'!C93</f>
        <v>336</v>
      </c>
      <c r="D253" s="1015">
        <f>'Sch 3 - Expenses'!D93</f>
        <v>404</v>
      </c>
      <c r="E253" s="182" t="str">
        <f>'Sch 3 - Expenses'!E93</f>
        <v>DIRECT</v>
      </c>
      <c r="F253" s="889"/>
      <c r="G253" s="182">
        <f>'Sch 3 - Expenses'!G93</f>
        <v>36465620</v>
      </c>
      <c r="H253" s="182">
        <f>'Sch 3 - Expenses'!H93</f>
        <v>10210373.600000001</v>
      </c>
      <c r="I253" s="182">
        <f>'Sch 3 - Expenses'!I93</f>
        <v>0</v>
      </c>
      <c r="J253" s="182">
        <f>'Sch 3 - Expenses'!J93</f>
        <v>26255246.399999999</v>
      </c>
    </row>
    <row r="254" spans="1:10">
      <c r="A254" s="1689"/>
      <c r="B254" s="913" t="s">
        <v>568</v>
      </c>
      <c r="C254" s="888">
        <f>'Sch 3 - Expenses'!C94</f>
        <v>336</v>
      </c>
      <c r="D254" s="888">
        <f>'Sch 3 - Expenses'!D94</f>
        <v>403.1</v>
      </c>
      <c r="E254" s="182" t="str">
        <f>'Sch 3 - Expenses'!E94</f>
        <v>DIRECT</v>
      </c>
      <c r="F254" s="889"/>
      <c r="G254" s="182">
        <f>'Sch 3 - Expenses'!G94</f>
        <v>0</v>
      </c>
      <c r="H254" s="182">
        <f>'Sch 3 - Expenses'!H94</f>
        <v>0</v>
      </c>
      <c r="I254" s="182">
        <f>'Sch 3 - Expenses'!I94</f>
        <v>0</v>
      </c>
      <c r="J254" s="182">
        <f>'Sch 3 - Expenses'!J94</f>
        <v>0</v>
      </c>
    </row>
    <row r="255" spans="1:10">
      <c r="A255" s="1689"/>
      <c r="B255" s="913" t="s">
        <v>569</v>
      </c>
      <c r="C255" s="888">
        <f>'Sch 3 - Expenses'!C95</f>
        <v>336</v>
      </c>
      <c r="D255" s="1015">
        <f>'Sch 3 - Expenses'!D95</f>
        <v>404</v>
      </c>
      <c r="E255" s="182" t="str">
        <f>'Sch 3 - Expenses'!E95</f>
        <v>DIRECT</v>
      </c>
      <c r="F255" s="889"/>
      <c r="G255" s="182">
        <f>'Sch 3 - Expenses'!G95</f>
        <v>0</v>
      </c>
      <c r="H255" s="182">
        <f>'Sch 3 - Expenses'!H95</f>
        <v>0</v>
      </c>
      <c r="I255" s="182">
        <f>'Sch 3 - Expenses'!I95</f>
        <v>0</v>
      </c>
      <c r="J255" s="182">
        <f>'Sch 3 - Expenses'!J95</f>
        <v>0</v>
      </c>
    </row>
    <row r="256" spans="1:10">
      <c r="A256" s="1689"/>
      <c r="B256" s="913" t="s">
        <v>30</v>
      </c>
      <c r="C256" s="888" t="str">
        <f>'Sch 3 - Expenses'!C96</f>
        <v>200-201</v>
      </c>
      <c r="D256" s="1015">
        <f>'Sch 3 - Expenses'!D96</f>
        <v>406</v>
      </c>
      <c r="E256" s="182" t="str">
        <f>'Sch 3 - Expenses'!E96</f>
        <v>DIRECT</v>
      </c>
      <c r="F256" s="889"/>
      <c r="G256" s="182">
        <f>'Sch 3 - Expenses'!G96</f>
        <v>0</v>
      </c>
      <c r="H256" s="182">
        <f>'Sch 3 - Expenses'!H96</f>
        <v>0</v>
      </c>
      <c r="I256" s="182">
        <f>'Sch 3 - Expenses'!I96</f>
        <v>0</v>
      </c>
      <c r="J256" s="182">
        <f>'Sch 3 - Expenses'!J96</f>
        <v>0</v>
      </c>
    </row>
    <row r="257" spans="1:10">
      <c r="A257" s="163" t="s">
        <v>475</v>
      </c>
      <c r="B257" s="10"/>
      <c r="C257" s="914"/>
      <c r="D257" s="915"/>
      <c r="E257" s="915"/>
      <c r="F257" s="916"/>
      <c r="G257" s="1684">
        <f>'Sch 3 - Expenses'!G97</f>
        <v>196011330</v>
      </c>
      <c r="H257" s="1684">
        <f>'Sch 3 - Expenses'!H97</f>
        <v>68416991.049363852</v>
      </c>
      <c r="I257" s="1684">
        <f>'Sch 3 - Expenses'!I97</f>
        <v>0</v>
      </c>
      <c r="J257" s="1685">
        <f>'Sch 3 - Expenses'!J97</f>
        <v>127594338.94920164</v>
      </c>
    </row>
    <row r="258" spans="1:10">
      <c r="A258" s="163"/>
      <c r="B258" s="10"/>
      <c r="C258" s="55"/>
      <c r="D258" s="196"/>
      <c r="E258" s="10"/>
      <c r="F258" s="10"/>
      <c r="G258" s="1016"/>
      <c r="H258" s="1017"/>
      <c r="I258" s="1017"/>
      <c r="J258" s="1018"/>
    </row>
    <row r="259" spans="1:10">
      <c r="A259" s="170"/>
      <c r="B259" s="79"/>
      <c r="C259" s="79"/>
      <c r="D259" s="79"/>
      <c r="E259" s="79"/>
      <c r="F259" s="79"/>
      <c r="G259" s="1011"/>
      <c r="J259" s="1673"/>
    </row>
    <row r="260" spans="1:10">
      <c r="A260" s="163" t="s">
        <v>50</v>
      </c>
      <c r="B260" s="64"/>
      <c r="C260" s="914"/>
      <c r="D260" s="915"/>
      <c r="E260" s="915"/>
      <c r="F260" s="916"/>
      <c r="G260" s="1684">
        <f>'Sch 3 - Expenses'!G100</f>
        <v>937273416.83000004</v>
      </c>
      <c r="H260" s="1684">
        <f>'Sch 3 - Expenses'!H100</f>
        <v>611677016.79410982</v>
      </c>
      <c r="I260" s="1684">
        <f>'Sch 3 - Expenses'!I100</f>
        <v>0</v>
      </c>
      <c r="J260" s="1685">
        <f>'Sch 3 - Expenses'!J100</f>
        <v>325596400.03416735</v>
      </c>
    </row>
    <row r="261" spans="1:10" ht="16.5" thickBot="1">
      <c r="A261" s="172"/>
      <c r="B261" s="931"/>
      <c r="C261" s="932"/>
      <c r="D261" s="932"/>
      <c r="E261" s="932"/>
      <c r="F261" s="932"/>
      <c r="G261" s="1001"/>
      <c r="H261" s="1002"/>
      <c r="I261" s="1002"/>
      <c r="J261" s="935"/>
    </row>
    <row r="262" spans="1:10" ht="16.5" thickTop="1">
      <c r="G262" s="1011"/>
      <c r="H262" s="1011"/>
      <c r="I262" s="1011"/>
      <c r="J262" s="1011"/>
    </row>
    <row r="263" spans="1:10" ht="16.5" thickBot="1">
      <c r="A263" s="332" t="s">
        <v>148</v>
      </c>
      <c r="B263" s="1671"/>
      <c r="C263" s="1671"/>
      <c r="D263" s="1671"/>
      <c r="E263" s="147"/>
      <c r="F263" s="4"/>
      <c r="G263" s="1700"/>
      <c r="H263" s="1700"/>
      <c r="I263" s="1021"/>
      <c r="J263" s="52"/>
    </row>
    <row r="264" spans="1:10" ht="17.25" thickTop="1" thickBot="1">
      <c r="A264" s="987"/>
      <c r="B264" s="2382" t="s">
        <v>100</v>
      </c>
      <c r="C264" s="325" t="s">
        <v>323</v>
      </c>
      <c r="D264" s="325"/>
      <c r="E264" s="2490" t="s">
        <v>354</v>
      </c>
      <c r="F264" s="2481"/>
      <c r="G264" s="2482" t="s">
        <v>104</v>
      </c>
      <c r="H264" s="2484" t="s">
        <v>105</v>
      </c>
      <c r="I264" s="2460" t="s">
        <v>106</v>
      </c>
      <c r="J264" s="326"/>
    </row>
    <row r="265" spans="1:10" ht="16.5" thickBot="1">
      <c r="A265" s="864"/>
      <c r="B265" s="2463"/>
      <c r="C265" s="322" t="s">
        <v>272</v>
      </c>
      <c r="D265" s="322" t="s">
        <v>96</v>
      </c>
      <c r="E265" s="2467"/>
      <c r="F265" s="2468"/>
      <c r="G265" s="2470"/>
      <c r="H265" s="2473"/>
      <c r="I265" s="2461"/>
      <c r="J265" s="310" t="s">
        <v>98</v>
      </c>
    </row>
    <row r="266" spans="1:10" ht="16.5" thickBot="1">
      <c r="A266" s="988"/>
      <c r="B266" s="2464"/>
      <c r="C266" s="311" t="s">
        <v>273</v>
      </c>
      <c r="D266" s="311" t="s">
        <v>252</v>
      </c>
      <c r="E266" s="311" t="s">
        <v>454</v>
      </c>
      <c r="F266" s="311" t="s">
        <v>623</v>
      </c>
      <c r="G266" s="2471"/>
      <c r="H266" s="2474"/>
      <c r="I266" s="2476"/>
      <c r="J266" s="314" t="s">
        <v>107</v>
      </c>
    </row>
    <row r="267" spans="1:10" ht="16.5" thickTop="1">
      <c r="A267" s="199" t="s">
        <v>149</v>
      </c>
      <c r="B267" s="79"/>
      <c r="C267" s="150"/>
      <c r="D267" s="195"/>
      <c r="E267" s="196"/>
      <c r="F267" s="196"/>
      <c r="G267" s="197"/>
      <c r="H267" s="198"/>
      <c r="I267" s="198"/>
      <c r="J267" s="200"/>
    </row>
    <row r="268" spans="1:10">
      <c r="A268" s="170"/>
      <c r="B268" s="63" t="s">
        <v>35</v>
      </c>
      <c r="C268" s="1022" t="str">
        <f>'Sch 3A - Taxes'!C16</f>
        <v>262-263</v>
      </c>
      <c r="D268" s="888">
        <f>'Sch 3A - Taxes'!D16</f>
        <v>409.1</v>
      </c>
      <c r="E268" s="182" t="str">
        <f>'Sch 3A - Taxes'!E16</f>
        <v>DIST</v>
      </c>
      <c r="F268" s="889"/>
      <c r="G268" s="182">
        <f>'Sch 3A - Taxes'!F16</f>
        <v>-2240752</v>
      </c>
      <c r="H268" s="182">
        <f>'Sch 3A - Taxes'!G16</f>
        <v>0</v>
      </c>
      <c r="I268" s="182">
        <f>'Sch 3A - Taxes'!H16</f>
        <v>0</v>
      </c>
      <c r="J268" s="182">
        <f>'Sch 3A - Taxes'!I16</f>
        <v>-2240752</v>
      </c>
    </row>
    <row r="269" spans="1:10">
      <c r="A269" s="170"/>
      <c r="B269" s="63" t="s">
        <v>150</v>
      </c>
      <c r="C269" s="1022" t="str">
        <f>'Sch 3A - Taxes'!C17</f>
        <v>262-263</v>
      </c>
      <c r="D269" s="888">
        <f>'Sch 3A - Taxes'!D17</f>
        <v>408.1</v>
      </c>
      <c r="E269" s="182" t="str">
        <f>'Sch 3A - Taxes'!E17</f>
        <v>LABOR</v>
      </c>
      <c r="F269" s="889"/>
      <c r="G269" s="182">
        <f>'Sch 3A - Taxes'!F17</f>
        <v>17254667</v>
      </c>
      <c r="H269" s="182">
        <f>'Sch 3A - Taxes'!G17</f>
        <v>6316427.0349811129</v>
      </c>
      <c r="I269" s="182">
        <f>'Sch 3A - Taxes'!H17</f>
        <v>0</v>
      </c>
      <c r="J269" s="182">
        <f>'Sch 3A - Taxes'!I17</f>
        <v>10938239.965018887</v>
      </c>
    </row>
    <row r="270" spans="1:10">
      <c r="A270" s="170"/>
      <c r="B270" s="63" t="s">
        <v>151</v>
      </c>
      <c r="C270" s="1022" t="str">
        <f>'Sch 3A - Taxes'!C18</f>
        <v>262-263</v>
      </c>
      <c r="D270" s="888">
        <f>'Sch 3A - Taxes'!D18</f>
        <v>408.1</v>
      </c>
      <c r="E270" s="182" t="str">
        <f>'Sch 3A - Taxes'!E18</f>
        <v>DIST</v>
      </c>
      <c r="F270" s="889"/>
      <c r="G270" s="182">
        <f>'Sch 3A - Taxes'!F18</f>
        <v>0</v>
      </c>
      <c r="H270" s="182">
        <f>'Sch 3A - Taxes'!G18</f>
        <v>0</v>
      </c>
      <c r="I270" s="182">
        <f>'Sch 3A - Taxes'!H18</f>
        <v>0</v>
      </c>
      <c r="J270" s="182">
        <f>'Sch 3A - Taxes'!I18</f>
        <v>0</v>
      </c>
    </row>
    <row r="271" spans="1:10">
      <c r="A271" s="201" t="s">
        <v>37</v>
      </c>
      <c r="B271" s="58"/>
      <c r="C271" s="914"/>
      <c r="D271" s="915"/>
      <c r="E271" s="915"/>
      <c r="F271" s="916"/>
      <c r="G271" s="1684">
        <f>'Sch 3A - Taxes'!F19</f>
        <v>15013915</v>
      </c>
      <c r="H271" s="1684">
        <f>'Sch 3A - Taxes'!G19</f>
        <v>6316427.0349811129</v>
      </c>
      <c r="I271" s="1684">
        <f>'Sch 3A - Taxes'!H19</f>
        <v>0</v>
      </c>
      <c r="J271" s="1684">
        <f>'Sch 3A - Taxes'!I19</f>
        <v>8697487.9650188871</v>
      </c>
    </row>
    <row r="272" spans="1:10">
      <c r="A272" s="201"/>
      <c r="B272" s="58"/>
      <c r="C272" s="1701"/>
      <c r="D272" s="1702"/>
      <c r="E272" s="196"/>
      <c r="F272" s="196"/>
      <c r="G272" s="197"/>
      <c r="H272" s="197"/>
      <c r="I272" s="197"/>
      <c r="J272" s="1026"/>
    </row>
    <row r="273" spans="1:10">
      <c r="A273" s="202" t="s">
        <v>38</v>
      </c>
      <c r="B273" s="63"/>
      <c r="C273" s="150"/>
      <c r="D273" s="195"/>
      <c r="E273" s="196"/>
      <c r="F273" s="196"/>
      <c r="G273" s="197"/>
      <c r="H273" s="197"/>
      <c r="I273" s="197"/>
      <c r="J273" s="1026"/>
    </row>
    <row r="274" spans="1:10">
      <c r="A274" s="170"/>
      <c r="B274" s="63" t="s">
        <v>571</v>
      </c>
      <c r="C274" s="1022" t="str">
        <f>'Sch 3A - Taxes'!C22</f>
        <v>262-263</v>
      </c>
      <c r="D274" s="888">
        <f>'Sch 3A - Taxes'!D22</f>
        <v>408.1</v>
      </c>
      <c r="E274" s="182" t="str">
        <f>'Sch 3A - Taxes'!E22</f>
        <v>PTDG</v>
      </c>
      <c r="F274" s="889"/>
      <c r="G274" s="182">
        <f>'Sch 3A - Taxes'!F22</f>
        <v>37863278</v>
      </c>
      <c r="H274" s="182">
        <f>'Sch 3A - Taxes'!G22</f>
        <v>12048954.657508478</v>
      </c>
      <c r="I274" s="182">
        <f>'Sch 3A - Taxes'!H22</f>
        <v>0</v>
      </c>
      <c r="J274" s="182">
        <f>'Sch 3A - Taxes'!I22</f>
        <v>25814323.338601049</v>
      </c>
    </row>
    <row r="275" spans="1:10">
      <c r="A275" s="170"/>
      <c r="B275" s="63" t="s">
        <v>152</v>
      </c>
      <c r="C275" s="1022" t="str">
        <f>'Sch 3A - Taxes'!C23</f>
        <v>262-263</v>
      </c>
      <c r="D275" s="888">
        <f>'Sch 3A - Taxes'!D23</f>
        <v>408.1</v>
      </c>
      <c r="E275" s="182" t="str">
        <f>'Sch 3A - Taxes'!E23</f>
        <v>LABOR</v>
      </c>
      <c r="F275" s="889"/>
      <c r="G275" s="182">
        <f>'Sch 3A - Taxes'!F23</f>
        <v>110882</v>
      </c>
      <c r="H275" s="182">
        <f>'Sch 3A - Taxes'!G23</f>
        <v>40590.644982761813</v>
      </c>
      <c r="I275" s="182">
        <f>'Sch 3A - Taxes'!H23</f>
        <v>0</v>
      </c>
      <c r="J275" s="182">
        <f>'Sch 3A - Taxes'!I23</f>
        <v>70291.355017238195</v>
      </c>
    </row>
    <row r="276" spans="1:10">
      <c r="A276" s="170"/>
      <c r="B276" s="63" t="s">
        <v>572</v>
      </c>
      <c r="C276" s="1022" t="str">
        <f>'Sch 3A - Taxes'!C24</f>
        <v>262-263</v>
      </c>
      <c r="D276" s="888">
        <f>'Sch 3A - Taxes'!D24</f>
        <v>409.1</v>
      </c>
      <c r="E276" s="182" t="str">
        <f>'Sch 3A - Taxes'!E24</f>
        <v>DIST</v>
      </c>
      <c r="F276" s="889"/>
      <c r="G276" s="182">
        <f>'Sch 3A - Taxes'!F24</f>
        <v>43491448</v>
      </c>
      <c r="H276" s="182">
        <f>'Sch 3A - Taxes'!G24</f>
        <v>0</v>
      </c>
      <c r="I276" s="182">
        <f>'Sch 3A - Taxes'!H24</f>
        <v>0</v>
      </c>
      <c r="J276" s="182">
        <f>'Sch 3A - Taxes'!I24</f>
        <v>43491448</v>
      </c>
    </row>
    <row r="277" spans="1:10">
      <c r="A277" s="170"/>
      <c r="B277" s="63" t="s">
        <v>573</v>
      </c>
      <c r="C277" s="1022" t="str">
        <f>'Sch 3A - Taxes'!C25</f>
        <v>262-263</v>
      </c>
      <c r="D277" s="888">
        <f>'Sch 3A - Taxes'!D25</f>
        <v>408.1</v>
      </c>
      <c r="E277" s="182" t="str">
        <f>'Sch 3A - Taxes'!E25</f>
        <v>DIST</v>
      </c>
      <c r="F277" s="889"/>
      <c r="G277" s="182">
        <f>'Sch 3A - Taxes'!F25</f>
        <v>5991378</v>
      </c>
      <c r="H277" s="182">
        <f>'Sch 3A - Taxes'!G25</f>
        <v>0</v>
      </c>
      <c r="I277" s="182">
        <f>'Sch 3A - Taxes'!H25</f>
        <v>0</v>
      </c>
      <c r="J277" s="182">
        <f>'Sch 3A - Taxes'!I25</f>
        <v>5991378</v>
      </c>
    </row>
    <row r="278" spans="1:10">
      <c r="A278" s="170"/>
      <c r="B278" s="63" t="s">
        <v>153</v>
      </c>
      <c r="C278" s="1022" t="str">
        <f>'Sch 3A - Taxes'!C26</f>
        <v>262-263</v>
      </c>
      <c r="D278" s="888">
        <f>'Sch 3A - Taxes'!D26</f>
        <v>408.1</v>
      </c>
      <c r="E278" s="182" t="str">
        <f>'Sch 3A - Taxes'!E26</f>
        <v>DIST</v>
      </c>
      <c r="F278" s="889"/>
      <c r="G278" s="182">
        <f>'Sch 3A - Taxes'!F26</f>
        <v>207</v>
      </c>
      <c r="H278" s="182">
        <f>'Sch 3A - Taxes'!G26</f>
        <v>0</v>
      </c>
      <c r="I278" s="182">
        <f>'Sch 3A - Taxes'!H26</f>
        <v>0</v>
      </c>
      <c r="J278" s="182">
        <f>'Sch 3A - Taxes'!I26</f>
        <v>207</v>
      </c>
    </row>
    <row r="279" spans="1:10">
      <c r="A279" s="170"/>
      <c r="B279" s="63" t="s">
        <v>574</v>
      </c>
      <c r="C279" s="1022" t="str">
        <f>'Sch 3A - Taxes'!C27</f>
        <v>262-263</v>
      </c>
      <c r="D279" s="888">
        <f>'Sch 3A - Taxes'!D27</f>
        <v>408.1</v>
      </c>
      <c r="E279" s="182" t="str">
        <f>'Sch 3A - Taxes'!E27</f>
        <v>DIST</v>
      </c>
      <c r="F279" s="889"/>
      <c r="G279" s="182">
        <f>'Sch 3A - Taxes'!F27</f>
        <v>29955625</v>
      </c>
      <c r="H279" s="182">
        <f>'Sch 3A - Taxes'!G27</f>
        <v>0</v>
      </c>
      <c r="I279" s="182">
        <f>'Sch 3A - Taxes'!H27</f>
        <v>0</v>
      </c>
      <c r="J279" s="182">
        <f>'Sch 3A - Taxes'!I27</f>
        <v>29955625</v>
      </c>
    </row>
    <row r="280" spans="1:10">
      <c r="A280" s="170"/>
      <c r="B280" s="63" t="s">
        <v>107</v>
      </c>
      <c r="C280" s="1022" t="str">
        <f>'Sch 3A - Taxes'!C28</f>
        <v>262-263</v>
      </c>
      <c r="D280" s="888">
        <f>'Sch 3A - Taxes'!D28</f>
        <v>408.1</v>
      </c>
      <c r="E280" s="182" t="str">
        <f>'Sch 3A - Taxes'!E28</f>
        <v>DIST</v>
      </c>
      <c r="F280" s="889"/>
      <c r="G280" s="182">
        <f>'Sch 3A - Taxes'!F28</f>
        <v>3348499</v>
      </c>
      <c r="H280" s="182">
        <f>'Sch 3A - Taxes'!G28</f>
        <v>0</v>
      </c>
      <c r="I280" s="182">
        <f>'Sch 3A - Taxes'!H28</f>
        <v>0</v>
      </c>
      <c r="J280" s="182">
        <f>'Sch 3A - Taxes'!I28</f>
        <v>3348499</v>
      </c>
    </row>
    <row r="281" spans="1:10">
      <c r="A281" s="201" t="s">
        <v>36</v>
      </c>
      <c r="B281" s="63"/>
      <c r="C281" s="914"/>
      <c r="D281" s="915"/>
      <c r="E281" s="915"/>
      <c r="F281" s="916"/>
      <c r="G281" s="1684">
        <f>'Sch 3A - Taxes'!F29</f>
        <v>120761317</v>
      </c>
      <c r="H281" s="1684">
        <f>'Sch 3A - Taxes'!G29</f>
        <v>12089545.30249124</v>
      </c>
      <c r="I281" s="1684">
        <f>'Sch 3A - Taxes'!H29</f>
        <v>0</v>
      </c>
      <c r="J281" s="1685">
        <f>'Sch 3A - Taxes'!I29</f>
        <v>108671771.69361828</v>
      </c>
    </row>
    <row r="282" spans="1:10">
      <c r="A282" s="170"/>
      <c r="B282" s="63"/>
      <c r="C282" s="150"/>
      <c r="D282" s="195"/>
      <c r="E282" s="196"/>
      <c r="F282" s="196"/>
      <c r="G282" s="1027"/>
      <c r="H282" s="1027"/>
      <c r="I282" s="1027"/>
      <c r="J282" s="1028"/>
    </row>
    <row r="283" spans="1:10">
      <c r="A283" s="201" t="s">
        <v>575</v>
      </c>
      <c r="B283" s="79"/>
      <c r="C283" s="914"/>
      <c r="D283" s="915"/>
      <c r="E283" s="915"/>
      <c r="F283" s="916"/>
      <c r="G283" s="1684">
        <f>'Sch 3A - Taxes'!F31</f>
        <v>135775232</v>
      </c>
      <c r="H283" s="1684">
        <f>'Sch 3A - Taxes'!G31</f>
        <v>18405972.337472353</v>
      </c>
      <c r="I283" s="1684">
        <f>'Sch 3A - Taxes'!H31</f>
        <v>0</v>
      </c>
      <c r="J283" s="1685">
        <f>'Sch 3A - Taxes'!I31</f>
        <v>117369259.65863717</v>
      </c>
    </row>
    <row r="284" spans="1:10" ht="16.5" thickBot="1">
      <c r="A284" s="191"/>
      <c r="B284" s="203"/>
      <c r="C284" s="203"/>
      <c r="D284" s="203"/>
      <c r="E284" s="203"/>
      <c r="F284" s="203"/>
      <c r="G284" s="203"/>
      <c r="H284" s="203"/>
      <c r="I284" s="203"/>
      <c r="J284" s="1029"/>
    </row>
    <row r="285" spans="1:10" ht="16.5" thickTop="1"/>
    <row r="286" spans="1:10" ht="16.5" thickBot="1">
      <c r="A286" s="332" t="s">
        <v>632</v>
      </c>
      <c r="B286" s="1671"/>
      <c r="C286" s="1671"/>
      <c r="D286" s="1671"/>
      <c r="E286" s="147"/>
      <c r="F286" s="4"/>
      <c r="G286" s="1700"/>
      <c r="H286" s="1700"/>
      <c r="I286" s="1021"/>
      <c r="J286" s="52"/>
    </row>
    <row r="287" spans="1:10" ht="17.25" thickTop="1" thickBot="1">
      <c r="A287" s="987"/>
      <c r="B287" s="2382" t="s">
        <v>100</v>
      </c>
      <c r="C287" s="325" t="s">
        <v>323</v>
      </c>
      <c r="D287" s="325"/>
      <c r="E287" s="2490" t="s">
        <v>354</v>
      </c>
      <c r="F287" s="2481"/>
      <c r="G287" s="2482" t="s">
        <v>104</v>
      </c>
      <c r="H287" s="2484" t="s">
        <v>105</v>
      </c>
      <c r="I287" s="2460" t="s">
        <v>106</v>
      </c>
      <c r="J287" s="326"/>
    </row>
    <row r="288" spans="1:10" ht="16.5" thickBot="1">
      <c r="A288" s="864"/>
      <c r="B288" s="2463"/>
      <c r="C288" s="322" t="s">
        <v>272</v>
      </c>
      <c r="D288" s="322" t="s">
        <v>96</v>
      </c>
      <c r="E288" s="2467"/>
      <c r="F288" s="2468"/>
      <c r="G288" s="2470"/>
      <c r="H288" s="2473"/>
      <c r="I288" s="2461"/>
      <c r="J288" s="310" t="s">
        <v>98</v>
      </c>
    </row>
    <row r="289" spans="1:10" ht="16.5" thickBot="1">
      <c r="A289" s="988"/>
      <c r="B289" s="2464"/>
      <c r="C289" s="311" t="s">
        <v>273</v>
      </c>
      <c r="D289" s="311" t="s">
        <v>252</v>
      </c>
      <c r="E289" s="311" t="s">
        <v>454</v>
      </c>
      <c r="F289" s="311" t="s">
        <v>623</v>
      </c>
      <c r="G289" s="2471"/>
      <c r="H289" s="2474"/>
      <c r="I289" s="2476"/>
      <c r="J289" s="314" t="s">
        <v>107</v>
      </c>
    </row>
    <row r="290" spans="1:10" ht="16.5" thickTop="1">
      <c r="A290" s="199" t="s">
        <v>41</v>
      </c>
      <c r="B290" s="10"/>
      <c r="C290" s="1679"/>
      <c r="D290" s="1703"/>
      <c r="E290" s="55"/>
      <c r="F290" s="55"/>
      <c r="G290" s="221"/>
      <c r="H290" s="221"/>
      <c r="I290" s="221"/>
      <c r="J290" s="222"/>
    </row>
    <row r="291" spans="1:10">
      <c r="A291" s="199"/>
      <c r="B291" s="1030" t="s">
        <v>570</v>
      </c>
      <c r="C291" s="888" t="str">
        <f>'Sch 3B - Other Items'!C15</f>
        <v>114-117</v>
      </c>
      <c r="D291" s="888">
        <f>'Sch 3B - Other Items'!D15</f>
        <v>407.4</v>
      </c>
      <c r="E291" s="182" t="str">
        <f>'Sch 3B - Other Items'!E15</f>
        <v>DIRECT</v>
      </c>
      <c r="F291" s="889" t="str">
        <f>'Sch 3B - Other Items'!F15</f>
        <v>PROD</v>
      </c>
      <c r="G291" s="182">
        <f>'Sch 3B - Other Items'!G15</f>
        <v>43048247.780000001</v>
      </c>
      <c r="H291" s="182">
        <f>'Sch 3B - Other Items'!H15</f>
        <v>6528962.2342846561</v>
      </c>
      <c r="I291" s="182">
        <f>'Sch 3B - Other Items'!I15</f>
        <v>0</v>
      </c>
      <c r="J291" s="182">
        <f>'Sch 3B - Other Items'!J15</f>
        <v>36519285.765715346</v>
      </c>
    </row>
    <row r="292" spans="1:10">
      <c r="A292" s="199"/>
      <c r="B292" s="1031" t="s">
        <v>633</v>
      </c>
      <c r="C292" s="888" t="str">
        <f>'Sch 3B - Other Items'!C16</f>
        <v>114-117</v>
      </c>
      <c r="D292" s="888">
        <f>'Sch 3B - Other Items'!D16</f>
        <v>407.3</v>
      </c>
      <c r="E292" s="182" t="str">
        <f>'Sch 3B - Other Items'!E16</f>
        <v>DIRECT</v>
      </c>
      <c r="F292" s="889" t="str">
        <f>'Sch 3B - Other Items'!F16</f>
        <v>DIST</v>
      </c>
      <c r="G292" s="182">
        <f>'Sch 3B - Other Items'!G16</f>
        <v>21751021.41</v>
      </c>
      <c r="H292" s="182">
        <f>'Sch 3B - Other Items'!H16</f>
        <v>5597733.3811167059</v>
      </c>
      <c r="I292" s="182">
        <f>'Sch 3B - Other Items'!I16</f>
        <v>0</v>
      </c>
      <c r="J292" s="182">
        <f>'Sch 3B - Other Items'!J16</f>
        <v>11163861</v>
      </c>
    </row>
    <row r="293" spans="1:10">
      <c r="A293" s="912"/>
      <c r="B293" s="1032" t="s">
        <v>393</v>
      </c>
      <c r="C293" s="888" t="str">
        <f>'Sch 3B - Other Items'!C17</f>
        <v>114-117</v>
      </c>
      <c r="D293" s="888">
        <f>'Sch 3B - Other Items'!D17</f>
        <v>411.6</v>
      </c>
      <c r="E293" s="182" t="str">
        <f>'Sch 3B - Other Items'!E17</f>
        <v>DIRECT</v>
      </c>
      <c r="F293" s="889" t="str">
        <f>'Sch 3B - Other Items'!F17</f>
        <v>PROD</v>
      </c>
      <c r="G293" s="182">
        <f>'Sch 3B - Other Items'!G17</f>
        <v>0</v>
      </c>
      <c r="H293" s="182">
        <f>'Sch 3B - Other Items'!H17</f>
        <v>0</v>
      </c>
      <c r="I293" s="182">
        <f>'Sch 3B - Other Items'!I17</f>
        <v>0</v>
      </c>
      <c r="J293" s="182">
        <f>'Sch 3B - Other Items'!J17</f>
        <v>0</v>
      </c>
    </row>
    <row r="294" spans="1:10">
      <c r="A294" s="912"/>
      <c r="B294" s="1033" t="s">
        <v>634</v>
      </c>
      <c r="C294" s="888" t="str">
        <f>'Sch 3B - Other Items'!C18</f>
        <v>114-117</v>
      </c>
      <c r="D294" s="888" t="str">
        <f>'Sch 3B - Other Items'!D18</f>
        <v>411.7</v>
      </c>
      <c r="E294" s="182" t="str">
        <f>'Sch 3B - Other Items'!E18</f>
        <v>DIRECT</v>
      </c>
      <c r="F294" s="889" t="str">
        <f>'Sch 3B - Other Items'!F18</f>
        <v>DIST</v>
      </c>
      <c r="G294" s="182">
        <f>'Sch 3B - Other Items'!G18</f>
        <v>0</v>
      </c>
      <c r="H294" s="182">
        <f>'Sch 3B - Other Items'!H18</f>
        <v>0</v>
      </c>
      <c r="I294" s="182">
        <f>'Sch 3B - Other Items'!I18</f>
        <v>0</v>
      </c>
      <c r="J294" s="182">
        <f>'Sch 3B - Other Items'!J18</f>
        <v>0</v>
      </c>
    </row>
    <row r="295" spans="1:10">
      <c r="A295" s="912"/>
      <c r="B295" s="1032" t="s">
        <v>394</v>
      </c>
      <c r="C295" s="888" t="str">
        <f>'Sch 3B - Other Items'!C19</f>
        <v>114-117</v>
      </c>
      <c r="D295" s="888">
        <f>'Sch 3B - Other Items'!D19</f>
        <v>411.8</v>
      </c>
      <c r="E295" s="182" t="str">
        <f>'Sch 3B - Other Items'!E19</f>
        <v>PROD</v>
      </c>
      <c r="F295" s="889">
        <f>'Sch 3B - Other Items'!F19</f>
        <v>0</v>
      </c>
      <c r="G295" s="182">
        <f>'Sch 3B - Other Items'!G19</f>
        <v>0</v>
      </c>
      <c r="H295" s="182">
        <f>'Sch 3B - Other Items'!H19</f>
        <v>0</v>
      </c>
      <c r="I295" s="182">
        <f>'Sch 3B - Other Items'!I19</f>
        <v>0</v>
      </c>
      <c r="J295" s="182">
        <f>'Sch 3B - Other Items'!J19</f>
        <v>0</v>
      </c>
    </row>
    <row r="296" spans="1:10">
      <c r="A296" s="912"/>
      <c r="B296" s="1033" t="s">
        <v>635</v>
      </c>
      <c r="C296" s="888" t="str">
        <f>'Sch 3B - Other Items'!C20</f>
        <v>114-117</v>
      </c>
      <c r="D296" s="888">
        <f>'Sch 3B - Other Items'!D20</f>
        <v>411.9</v>
      </c>
      <c r="E296" s="182" t="str">
        <f>'Sch 3B - Other Items'!E20</f>
        <v>PROD</v>
      </c>
      <c r="F296" s="889">
        <f>'Sch 3B - Other Items'!F20</f>
        <v>0</v>
      </c>
      <c r="G296" s="182">
        <f>'Sch 3B - Other Items'!G20</f>
        <v>0</v>
      </c>
      <c r="H296" s="182">
        <f>'Sch 3B - Other Items'!H20</f>
        <v>0</v>
      </c>
      <c r="I296" s="182">
        <f>'Sch 3B - Other Items'!I20</f>
        <v>0</v>
      </c>
      <c r="J296" s="182">
        <f>'Sch 3B - Other Items'!J20</f>
        <v>0</v>
      </c>
    </row>
    <row r="297" spans="1:10">
      <c r="A297" s="912"/>
      <c r="B297" s="1032" t="s">
        <v>181</v>
      </c>
      <c r="C297" s="888" t="str">
        <f>'Sch 3B - Other Items'!C21</f>
        <v>114-117</v>
      </c>
      <c r="D297" s="888">
        <f>'Sch 3B - Other Items'!D21</f>
        <v>421</v>
      </c>
      <c r="E297" s="182" t="str">
        <f>'Sch 3B - Other Items'!E21</f>
        <v>DIRECT</v>
      </c>
      <c r="F297" s="889" t="str">
        <f>'Sch 3B - Other Items'!F21</f>
        <v>PROD</v>
      </c>
      <c r="G297" s="182">
        <f>'Sch 3B - Other Items'!G21</f>
        <v>0</v>
      </c>
      <c r="H297" s="182">
        <f>'Sch 3B - Other Items'!H21</f>
        <v>0</v>
      </c>
      <c r="I297" s="182">
        <f>'Sch 3B - Other Items'!I21</f>
        <v>0</v>
      </c>
      <c r="J297" s="182">
        <f>'Sch 3B - Other Items'!J21</f>
        <v>0</v>
      </c>
    </row>
    <row r="298" spans="1:10">
      <c r="A298" s="209" t="s">
        <v>49</v>
      </c>
      <c r="B298" s="220"/>
      <c r="C298" s="914"/>
      <c r="D298" s="915"/>
      <c r="E298" s="915"/>
      <c r="F298" s="916"/>
      <c r="G298" s="1684">
        <f>'Sch 3B - Other Items'!G22</f>
        <v>21297226.370000001</v>
      </c>
      <c r="H298" s="1684">
        <f>'Sch 3B - Other Items'!H22</f>
        <v>931228.85316795018</v>
      </c>
      <c r="I298" s="1684">
        <f>'Sch 3B - Other Items'!I22</f>
        <v>0</v>
      </c>
      <c r="J298" s="1684">
        <f>'Sch 3B - Other Items'!J22</f>
        <v>25355424.765715346</v>
      </c>
    </row>
    <row r="299" spans="1:10">
      <c r="A299" s="1704"/>
      <c r="B299" s="220"/>
      <c r="C299" s="1679"/>
      <c r="D299" s="1679"/>
      <c r="E299" s="55"/>
      <c r="F299" s="55"/>
      <c r="G299" s="221"/>
      <c r="H299" s="221"/>
      <c r="I299" s="221"/>
      <c r="J299" s="222"/>
    </row>
    <row r="300" spans="1:10">
      <c r="A300" s="199" t="s">
        <v>636</v>
      </c>
      <c r="B300" s="220"/>
      <c r="C300" s="55"/>
      <c r="D300" s="55"/>
      <c r="E300" s="55"/>
      <c r="F300" s="55"/>
      <c r="G300" s="221"/>
      <c r="H300" s="221"/>
      <c r="I300" s="221"/>
      <c r="J300" s="222"/>
    </row>
    <row r="301" spans="1:10">
      <c r="A301" s="199"/>
      <c r="B301" s="913" t="s">
        <v>64</v>
      </c>
      <c r="C301" s="888">
        <f>'Sch 3B - Other Items'!C25</f>
        <v>310</v>
      </c>
      <c r="D301" s="888">
        <f>'Sch 3B - Other Items'!D25</f>
        <v>447</v>
      </c>
      <c r="E301" s="182" t="str">
        <f>'Sch 3B - Other Items'!E25</f>
        <v>PROD</v>
      </c>
      <c r="F301" s="889">
        <f>'Sch 3B - Other Items'!F25</f>
        <v>0</v>
      </c>
      <c r="G301" s="182">
        <f>'Sch 3B - Other Items'!G25</f>
        <v>253658001</v>
      </c>
      <c r="H301" s="182">
        <f>'Sch 3B - Other Items'!H25</f>
        <v>253658001</v>
      </c>
      <c r="I301" s="182">
        <f>'Sch 3B - Other Items'!I25</f>
        <v>0</v>
      </c>
      <c r="J301" s="182">
        <f>'Sch 3B - Other Items'!J25</f>
        <v>0</v>
      </c>
    </row>
    <row r="302" spans="1:10">
      <c r="A302" s="163" t="s">
        <v>65</v>
      </c>
      <c r="B302" s="64"/>
      <c r="C302" s="914"/>
      <c r="D302" s="915"/>
      <c r="E302" s="915"/>
      <c r="F302" s="916"/>
      <c r="G302" s="1684">
        <f>'Sch 3B - Other Items'!G26</f>
        <v>253658001</v>
      </c>
      <c r="H302" s="1684">
        <f>'Sch 3B - Other Items'!H26</f>
        <v>253658001</v>
      </c>
      <c r="I302" s="1684">
        <f>'Sch 3B - Other Items'!I26</f>
        <v>0</v>
      </c>
      <c r="J302" s="1685">
        <f>'Sch 3B - Other Items'!J26</f>
        <v>0</v>
      </c>
    </row>
    <row r="303" spans="1:10">
      <c r="A303" s="228"/>
      <c r="B303" s="64"/>
      <c r="C303" s="55"/>
      <c r="D303" s="55"/>
      <c r="E303" s="55"/>
      <c r="F303" s="55"/>
      <c r="G303" s="221"/>
      <c r="H303" s="221"/>
      <c r="I303" s="221"/>
      <c r="J303" s="222"/>
    </row>
    <row r="304" spans="1:10">
      <c r="A304" s="160" t="s">
        <v>43</v>
      </c>
      <c r="B304" s="64"/>
      <c r="C304" s="55"/>
      <c r="D304" s="55"/>
      <c r="E304" s="55"/>
      <c r="F304" s="55"/>
      <c r="G304" s="221"/>
      <c r="H304" s="221"/>
      <c r="I304" s="221"/>
      <c r="J304" s="222"/>
    </row>
    <row r="305" spans="1:10">
      <c r="A305" s="912"/>
      <c r="B305" s="79" t="s">
        <v>327</v>
      </c>
      <c r="C305" s="888">
        <f>'Sch 3B - Other Items'!C29</f>
        <v>300</v>
      </c>
      <c r="D305" s="888">
        <f>'Sch 3B - Other Items'!D29</f>
        <v>450</v>
      </c>
      <c r="E305" s="182" t="str">
        <f>'Sch 3B - Other Items'!E29</f>
        <v>DIST</v>
      </c>
      <c r="F305" s="889">
        <f>'Sch 3B - Other Items'!F29</f>
        <v>0</v>
      </c>
      <c r="G305" s="182">
        <f>'Sch 3B - Other Items'!G29</f>
        <v>0</v>
      </c>
      <c r="H305" s="182">
        <f>'Sch 3B - Other Items'!H29</f>
        <v>0</v>
      </c>
      <c r="I305" s="182">
        <f>'Sch 3B - Other Items'!I29</f>
        <v>0</v>
      </c>
      <c r="J305" s="182">
        <f>'Sch 3B - Other Items'!J29</f>
        <v>0</v>
      </c>
    </row>
    <row r="306" spans="1:10">
      <c r="A306" s="912"/>
      <c r="B306" s="79" t="s">
        <v>550</v>
      </c>
      <c r="C306" s="888">
        <f>'Sch 3B - Other Items'!C30</f>
        <v>300</v>
      </c>
      <c r="D306" s="888" t="str">
        <f>'Sch 3B - Other Items'!D30</f>
        <v>451</v>
      </c>
      <c r="E306" s="182" t="str">
        <f>'Sch 3B - Other Items'!E30</f>
        <v>DIST</v>
      </c>
      <c r="F306" s="889">
        <f>'Sch 3B - Other Items'!F30</f>
        <v>0</v>
      </c>
      <c r="G306" s="182">
        <f>'Sch 3B - Other Items'!G30</f>
        <v>129396</v>
      </c>
      <c r="H306" s="182">
        <f>'Sch 3B - Other Items'!H30</f>
        <v>0</v>
      </c>
      <c r="I306" s="182">
        <f>'Sch 3B - Other Items'!I30</f>
        <v>0</v>
      </c>
      <c r="J306" s="182">
        <f>'Sch 3B - Other Items'!J30</f>
        <v>129396</v>
      </c>
    </row>
    <row r="307" spans="1:10">
      <c r="A307" s="912"/>
      <c r="B307" s="79" t="s">
        <v>549</v>
      </c>
      <c r="C307" s="888">
        <f>'Sch 3B - Other Items'!C31</f>
        <v>300</v>
      </c>
      <c r="D307" s="888" t="str">
        <f>'Sch 3B - Other Items'!D31</f>
        <v>453</v>
      </c>
      <c r="E307" s="182" t="str">
        <f>'Sch 3B - Other Items'!E31</f>
        <v>PROD</v>
      </c>
      <c r="F307" s="889">
        <f>'Sch 3B - Other Items'!F31</f>
        <v>0</v>
      </c>
      <c r="G307" s="182">
        <f>'Sch 3B - Other Items'!G31</f>
        <v>688332</v>
      </c>
      <c r="H307" s="182">
        <f>'Sch 3B - Other Items'!H31</f>
        <v>688332</v>
      </c>
      <c r="I307" s="182">
        <f>'Sch 3B - Other Items'!I31</f>
        <v>0</v>
      </c>
      <c r="J307" s="182">
        <f>'Sch 3B - Other Items'!J31</f>
        <v>0</v>
      </c>
    </row>
    <row r="308" spans="1:10">
      <c r="A308" s="912"/>
      <c r="B308" s="79" t="s">
        <v>548</v>
      </c>
      <c r="C308" s="888">
        <f>'Sch 3B - Other Items'!C32</f>
        <v>300</v>
      </c>
      <c r="D308" s="888" t="str">
        <f>'Sch 3B - Other Items'!D32</f>
        <v>454</v>
      </c>
      <c r="E308" s="182" t="str">
        <f>'Sch 3B - Other Items'!E32</f>
        <v>TD</v>
      </c>
      <c r="F308" s="889">
        <f>'Sch 3B - Other Items'!F32</f>
        <v>0</v>
      </c>
      <c r="G308" s="182">
        <f>'Sch 3B - Other Items'!G32</f>
        <v>7542853</v>
      </c>
      <c r="H308" s="182">
        <f>'Sch 3B - Other Items'!H32</f>
        <v>0</v>
      </c>
      <c r="I308" s="182">
        <f>'Sch 3B - Other Items'!I32</f>
        <v>0</v>
      </c>
      <c r="J308" s="182">
        <f>'Sch 3B - Other Items'!J32</f>
        <v>7542853</v>
      </c>
    </row>
    <row r="309" spans="1:10">
      <c r="A309" s="912"/>
      <c r="B309" s="79" t="s">
        <v>329</v>
      </c>
      <c r="C309" s="888">
        <f>'Sch 3B - Other Items'!C33</f>
        <v>300</v>
      </c>
      <c r="D309" s="888">
        <f>'Sch 3B - Other Items'!D33</f>
        <v>455</v>
      </c>
      <c r="E309" s="182" t="str">
        <f>'Sch 3B - Other Items'!E33</f>
        <v>DIST</v>
      </c>
      <c r="F309" s="889">
        <f>'Sch 3B - Other Items'!F33</f>
        <v>0</v>
      </c>
      <c r="G309" s="182">
        <f>'Sch 3B - Other Items'!G33</f>
        <v>0</v>
      </c>
      <c r="H309" s="182">
        <f>'Sch 3B - Other Items'!H33</f>
        <v>0</v>
      </c>
      <c r="I309" s="182">
        <f>'Sch 3B - Other Items'!I33</f>
        <v>0</v>
      </c>
      <c r="J309" s="182">
        <f>'Sch 3B - Other Items'!J33</f>
        <v>0</v>
      </c>
    </row>
    <row r="310" spans="1:10">
      <c r="A310" s="912"/>
      <c r="B310" s="79" t="s">
        <v>328</v>
      </c>
      <c r="C310" s="888">
        <f>'Sch 3B - Other Items'!C34</f>
        <v>300</v>
      </c>
      <c r="D310" s="888" t="str">
        <f>'Sch 3B - Other Items'!D34</f>
        <v>456</v>
      </c>
      <c r="E310" s="182" t="str">
        <f>'Sch 3B - Other Items'!E34</f>
        <v>DIRECT</v>
      </c>
      <c r="F310" s="889" t="str">
        <f>'Sch 3B - Other Items'!F34</f>
        <v>PROD</v>
      </c>
      <c r="G310" s="182">
        <f>'Sch 3B - Other Items'!G34</f>
        <v>2198927</v>
      </c>
      <c r="H310" s="182">
        <f>'Sch 3B - Other Items'!H34</f>
        <v>-52738265.199999996</v>
      </c>
      <c r="I310" s="182">
        <f>'Sch 3B - Other Items'!I34</f>
        <v>0</v>
      </c>
      <c r="J310" s="182">
        <f>'Sch 3B - Other Items'!J34</f>
        <v>54937192.220000006</v>
      </c>
    </row>
    <row r="311" spans="1:10">
      <c r="A311" s="912"/>
      <c r="B311" s="79" t="s">
        <v>507</v>
      </c>
      <c r="C311" s="888">
        <f>'Sch 3B - Other Items'!C35</f>
        <v>330</v>
      </c>
      <c r="D311" s="888">
        <f>'Sch 3B - Other Items'!D35</f>
        <v>456.1</v>
      </c>
      <c r="E311" s="182" t="str">
        <f>'Sch 3B - Other Items'!E35</f>
        <v>TRANS</v>
      </c>
      <c r="F311" s="889">
        <f>'Sch 3B - Other Items'!F35</f>
        <v>0</v>
      </c>
      <c r="G311" s="182">
        <f>'Sch 3B - Other Items'!G35</f>
        <v>30969981</v>
      </c>
      <c r="H311" s="182">
        <f>'Sch 3B - Other Items'!H35</f>
        <v>0</v>
      </c>
      <c r="I311" s="182">
        <f>'Sch 3B - Other Items'!I35</f>
        <v>0</v>
      </c>
      <c r="J311" s="182">
        <f>'Sch 3B - Other Items'!J35</f>
        <v>30969981</v>
      </c>
    </row>
    <row r="312" spans="1:10">
      <c r="A312" s="199"/>
      <c r="B312" s="79"/>
      <c r="C312" s="55"/>
      <c r="D312" s="196"/>
      <c r="E312" s="55"/>
      <c r="F312" s="55"/>
      <c r="G312" s="221"/>
      <c r="H312" s="221"/>
      <c r="I312" s="221"/>
      <c r="J312" s="222"/>
    </row>
    <row r="313" spans="1:10">
      <c r="A313" s="163" t="s">
        <v>48</v>
      </c>
      <c r="B313" s="64"/>
      <c r="C313" s="914"/>
      <c r="D313" s="915"/>
      <c r="E313" s="915"/>
      <c r="F313" s="916"/>
      <c r="G313" s="1684">
        <f>'Sch 3B - Other Items'!G37</f>
        <v>41529489</v>
      </c>
      <c r="H313" s="1684">
        <f>'Sch 3B - Other Items'!H37</f>
        <v>-52049933.199999996</v>
      </c>
      <c r="I313" s="1684">
        <f>'Sch 3B - Other Items'!I37</f>
        <v>0</v>
      </c>
      <c r="J313" s="1685">
        <f>'Sch 3B - Other Items'!J37</f>
        <v>93579422.219999999</v>
      </c>
    </row>
    <row r="314" spans="1:10">
      <c r="A314" s="163"/>
      <c r="B314" s="64"/>
      <c r="C314" s="55"/>
      <c r="D314" s="55"/>
      <c r="E314" s="55"/>
      <c r="F314" s="55"/>
      <c r="G314" s="1035"/>
      <c r="H314" s="1035"/>
      <c r="I314" s="1035"/>
      <c r="J314" s="1036"/>
    </row>
    <row r="315" spans="1:10">
      <c r="A315" s="163" t="s">
        <v>49</v>
      </c>
      <c r="B315" s="64"/>
      <c r="C315" s="914"/>
      <c r="D315" s="915"/>
      <c r="E315" s="915"/>
      <c r="F315" s="916"/>
      <c r="G315" s="1684">
        <f>'Sch 3B - Other Items'!G39</f>
        <v>316484716.37</v>
      </c>
      <c r="H315" s="1684">
        <f>'Sch 3B - Other Items'!H39</f>
        <v>202539296.65316796</v>
      </c>
      <c r="I315" s="1684">
        <f>'Sch 3B - Other Items'!I39</f>
        <v>0</v>
      </c>
      <c r="J315" s="1685">
        <f>'Sch 3B - Other Items'!J39</f>
        <v>118934846.98571534</v>
      </c>
    </row>
    <row r="316" spans="1:10">
      <c r="A316" s="922" t="s">
        <v>67</v>
      </c>
      <c r="B316" s="64"/>
      <c r="C316" s="79"/>
      <c r="D316" s="79"/>
      <c r="E316" s="79"/>
      <c r="F316" s="79"/>
      <c r="G316" s="79"/>
      <c r="H316" s="79"/>
      <c r="I316" s="79"/>
      <c r="J316" s="1037"/>
    </row>
    <row r="317" spans="1:10" ht="16.5" thickBot="1">
      <c r="A317" s="1705"/>
      <c r="B317" s="1706"/>
      <c r="C317" s="1706"/>
      <c r="D317" s="1706"/>
      <c r="E317" s="1706"/>
      <c r="F317" s="1706"/>
      <c r="G317" s="1706"/>
      <c r="H317" s="1706"/>
      <c r="I317" s="1706"/>
      <c r="J317" s="204"/>
    </row>
    <row r="318" spans="1:10" ht="17.25" thickTop="1" thickBot="1">
      <c r="A318" s="1038" t="s">
        <v>66</v>
      </c>
      <c r="B318" s="1039"/>
      <c r="C318" s="1039"/>
      <c r="D318" s="1039"/>
      <c r="E318" s="1039"/>
      <c r="F318" s="1040"/>
      <c r="G318" s="1040"/>
      <c r="H318" s="1040"/>
      <c r="I318" s="1039"/>
      <c r="J318" s="1039"/>
    </row>
    <row r="319" spans="1:10">
      <c r="A319" s="1041"/>
      <c r="B319" s="1707"/>
      <c r="C319" s="1708"/>
      <c r="D319" s="1708"/>
      <c r="E319" s="1708"/>
      <c r="F319" s="1708"/>
      <c r="G319" s="1707"/>
      <c r="H319" s="1707"/>
      <c r="I319" s="1707"/>
      <c r="J319" s="1709"/>
    </row>
    <row r="320" spans="1:10" ht="16.5" thickBot="1">
      <c r="A320" s="1045"/>
      <c r="B320" s="1671"/>
      <c r="G320" s="1046"/>
      <c r="H320" s="1046"/>
      <c r="I320" s="1046"/>
      <c r="J320" s="1047"/>
    </row>
    <row r="321" spans="1:10" ht="16.5" thickBot="1">
      <c r="A321" s="1710"/>
      <c r="G321" s="305" t="str">
        <f>'Sch 4 - Average System Cost'!C12</f>
        <v>Total</v>
      </c>
      <c r="H321" s="305" t="str">
        <f>'Sch 4 - Average System Cost'!D12</f>
        <v>Production</v>
      </c>
      <c r="I321" s="305" t="str">
        <f>'Sch 4 - Average System Cost'!E12</f>
        <v>Transmission</v>
      </c>
      <c r="J321" s="305" t="str">
        <f>'Sch 4 - Average System Cost'!F12</f>
        <v>Distribution/Other</v>
      </c>
    </row>
    <row r="322" spans="1:10" ht="16.5" thickBot="1">
      <c r="A322" s="1049" t="s">
        <v>50</v>
      </c>
      <c r="B322" s="1679"/>
      <c r="G322" s="1711">
        <f>'Sch 4 - Average System Cost'!C13</f>
        <v>937273416.83000004</v>
      </c>
      <c r="H322" s="1711">
        <f>'Sch 4 - Average System Cost'!D13</f>
        <v>611677016.79410982</v>
      </c>
      <c r="I322" s="1711">
        <f>'Sch 4 - Average System Cost'!E13</f>
        <v>0</v>
      </c>
      <c r="J322" s="1711">
        <f>'Sch 4 - Average System Cost'!F13</f>
        <v>325596400.03416735</v>
      </c>
    </row>
    <row r="323" spans="1:10">
      <c r="A323" s="1050" t="s">
        <v>68</v>
      </c>
      <c r="B323" s="1679"/>
      <c r="G323" s="221"/>
      <c r="H323" s="221"/>
      <c r="I323" s="221"/>
      <c r="J323" s="1051"/>
    </row>
    <row r="324" spans="1:10" ht="16.5" thickBot="1">
      <c r="A324" s="1050"/>
      <c r="B324" s="1679"/>
      <c r="G324" s="221"/>
      <c r="H324" s="221"/>
      <c r="I324" s="221"/>
      <c r="J324" s="1051"/>
    </row>
    <row r="325" spans="1:10" ht="16.5" thickBot="1">
      <c r="A325" s="1049" t="s">
        <v>141</v>
      </c>
      <c r="B325" s="1679"/>
      <c r="G325" s="1711">
        <f>'Sch 4 - Average System Cost'!C16</f>
        <v>318560839.00773537</v>
      </c>
      <c r="H325" s="1711">
        <f>'Sch 4 - Average System Cost'!D16</f>
        <v>91289873.635046005</v>
      </c>
      <c r="I325" s="1711">
        <f>'Sch 4 - Average System Cost'!E16</f>
        <v>0</v>
      </c>
      <c r="J325" s="1711">
        <f>'Sch 4 - Average System Cost'!F16</f>
        <v>227270965.2772226</v>
      </c>
    </row>
    <row r="326" spans="1:10">
      <c r="A326" s="1050" t="s">
        <v>254</v>
      </c>
      <c r="B326" s="1679"/>
      <c r="G326" s="221"/>
      <c r="H326" s="221"/>
      <c r="I326" s="221"/>
      <c r="J326" s="1051"/>
    </row>
    <row r="327" spans="1:10" ht="16.5" thickBot="1">
      <c r="A327" s="1050"/>
      <c r="B327" s="1679"/>
      <c r="G327" s="221"/>
      <c r="H327" s="221"/>
      <c r="I327" s="221"/>
      <c r="J327" s="1051"/>
    </row>
    <row r="328" spans="1:10" ht="16.5" thickBot="1">
      <c r="A328" s="1049" t="s">
        <v>39</v>
      </c>
      <c r="B328" s="1679"/>
      <c r="G328" s="1711">
        <f>'Sch 4 - Average System Cost'!C19</f>
        <v>135775232</v>
      </c>
      <c r="H328" s="1711">
        <f>'Sch 4 - Average System Cost'!D19</f>
        <v>18405972.337472353</v>
      </c>
      <c r="I328" s="1711">
        <f>'Sch 4 - Average System Cost'!E19</f>
        <v>0</v>
      </c>
      <c r="J328" s="1711">
        <f>'Sch 4 - Average System Cost'!F19</f>
        <v>117369259.65863717</v>
      </c>
    </row>
    <row r="329" spans="1:10">
      <c r="A329" s="1050" t="s">
        <v>161</v>
      </c>
      <c r="B329" s="1679"/>
      <c r="G329" s="221"/>
      <c r="H329" s="221"/>
      <c r="I329" s="221"/>
      <c r="J329" s="1051"/>
    </row>
    <row r="330" spans="1:10" ht="16.5" thickBot="1">
      <c r="A330" s="1050"/>
      <c r="B330" s="1679"/>
      <c r="G330" s="221"/>
      <c r="H330" s="221"/>
      <c r="I330" s="221"/>
      <c r="J330" s="1051"/>
    </row>
    <row r="331" spans="1:10" ht="16.5" thickBot="1">
      <c r="A331" s="1049" t="s">
        <v>49</v>
      </c>
      <c r="B331" s="1679"/>
      <c r="G331" s="1711">
        <f>'Sch 4 - Average System Cost'!C22</f>
        <v>316484716.37</v>
      </c>
      <c r="H331" s="1711">
        <f>'Sch 4 - Average System Cost'!D22</f>
        <v>202539296.65316796</v>
      </c>
      <c r="I331" s="1711">
        <f>'Sch 4 - Average System Cost'!E22</f>
        <v>0</v>
      </c>
      <c r="J331" s="1711">
        <f>'Sch 4 - Average System Cost'!F22</f>
        <v>118934846.98571534</v>
      </c>
    </row>
    <row r="332" spans="1:10">
      <c r="A332" s="1050" t="s">
        <v>508</v>
      </c>
      <c r="B332" s="1679"/>
      <c r="G332" s="221"/>
      <c r="H332" s="221"/>
      <c r="I332" s="221"/>
      <c r="J332" s="1051"/>
    </row>
    <row r="333" spans="1:10" ht="16.5" thickBot="1">
      <c r="A333" s="1050"/>
      <c r="B333" s="1679"/>
      <c r="G333" s="221"/>
      <c r="H333" s="221"/>
      <c r="I333" s="221"/>
      <c r="J333" s="1051"/>
    </row>
    <row r="334" spans="1:10" ht="16.5" thickBot="1">
      <c r="A334" s="1049" t="s">
        <v>51</v>
      </c>
      <c r="B334" s="1679"/>
      <c r="G334" s="1712">
        <f>'Sch 4 - Average System Cost'!C25</f>
        <v>1075124771.4677353</v>
      </c>
      <c r="H334" s="1712">
        <f>'Sch 4 - Average System Cost'!D25</f>
        <v>518833566.11346018</v>
      </c>
      <c r="I334" s="1712">
        <f>'Sch 4 - Average System Cost'!E25</f>
        <v>0</v>
      </c>
      <c r="J334" s="1712">
        <f>'Sch 4 - Average System Cost'!F25</f>
        <v>551301777.9843117</v>
      </c>
    </row>
    <row r="335" spans="1:10">
      <c r="A335" s="1050" t="s">
        <v>251</v>
      </c>
      <c r="B335" s="64"/>
      <c r="G335" s="1713"/>
      <c r="H335" s="1679"/>
      <c r="I335" s="1679"/>
      <c r="J335" s="1714"/>
    </row>
    <row r="336" spans="1:10">
      <c r="A336" s="1710"/>
      <c r="J336" s="1715"/>
    </row>
    <row r="337" spans="1:10" ht="16.5" thickBot="1">
      <c r="A337" s="1716"/>
      <c r="B337" s="1717"/>
      <c r="C337" s="1717"/>
      <c r="D337" s="1717"/>
      <c r="E337" s="1717"/>
      <c r="F337" s="1717"/>
      <c r="G337" s="1717"/>
      <c r="H337" s="1717"/>
      <c r="I337" s="1717"/>
      <c r="J337" s="1718"/>
    </row>
    <row r="338" spans="1:10" ht="16.5" thickBot="1">
      <c r="A338" s="1719" t="s">
        <v>509</v>
      </c>
      <c r="B338" s="1719" t="s">
        <v>509</v>
      </c>
      <c r="C338" s="1679"/>
      <c r="D338" s="1679"/>
      <c r="E338" s="1679"/>
      <c r="F338" s="1679"/>
      <c r="G338" s="1679"/>
      <c r="H338" s="1679"/>
      <c r="I338" s="1679"/>
      <c r="J338" s="1679"/>
    </row>
    <row r="339" spans="1:10">
      <c r="A339" s="228" t="s">
        <v>319</v>
      </c>
      <c r="B339" s="1679" t="s">
        <v>319</v>
      </c>
      <c r="G339" s="1679"/>
      <c r="H339" s="1720">
        <f>'Sch 4 - Average System Cost'!D32</f>
        <v>518833566.11346018</v>
      </c>
      <c r="I339" s="1679"/>
      <c r="J339" s="1679"/>
    </row>
    <row r="340" spans="1:10">
      <c r="A340" s="228" t="s">
        <v>106</v>
      </c>
      <c r="B340" s="1679" t="s">
        <v>106</v>
      </c>
      <c r="G340" s="1679"/>
      <c r="H340" s="229">
        <f>'Sch 4 - Average System Cost'!D33</f>
        <v>0</v>
      </c>
      <c r="I340" s="1679"/>
      <c r="J340" s="1679"/>
    </row>
    <row r="341" spans="1:10">
      <c r="A341" s="228" t="s">
        <v>513</v>
      </c>
      <c r="B341" s="1679" t="s">
        <v>513</v>
      </c>
      <c r="G341" s="1679"/>
      <c r="H341" s="229">
        <f>'Sch 4 - Average System Cost'!D34</f>
        <v>0</v>
      </c>
      <c r="I341" s="1679"/>
      <c r="J341" s="1679"/>
    </row>
    <row r="342" spans="1:10" ht="16.5" thickBot="1">
      <c r="A342" s="228" t="s">
        <v>854</v>
      </c>
      <c r="B342" s="1679" t="s">
        <v>854</v>
      </c>
      <c r="G342" s="1679"/>
      <c r="H342" s="229">
        <f>'Sch 4 - Average System Cost'!D35</f>
        <v>0</v>
      </c>
      <c r="I342" s="1679"/>
      <c r="J342" s="1679"/>
    </row>
    <row r="343" spans="1:10" ht="16.5" thickBot="1">
      <c r="A343" s="160" t="s">
        <v>510</v>
      </c>
      <c r="B343" s="1679" t="s">
        <v>510</v>
      </c>
      <c r="G343" s="1679"/>
      <c r="H343" s="1712">
        <f>'Sch 4 - Average System Cost'!D36</f>
        <v>518833566.11346018</v>
      </c>
      <c r="I343" s="1679"/>
      <c r="J343" s="1679"/>
    </row>
    <row r="344" spans="1:10" ht="16.5" thickBot="1">
      <c r="A344" s="228"/>
      <c r="B344" s="1679"/>
      <c r="G344" s="1679"/>
      <c r="H344" s="592"/>
      <c r="I344" s="1679"/>
      <c r="J344" s="1679"/>
    </row>
    <row r="345" spans="1:10" ht="16.5" thickBot="1">
      <c r="A345" s="1719" t="s">
        <v>511</v>
      </c>
      <c r="B345" s="1719" t="s">
        <v>511</v>
      </c>
      <c r="G345" s="1679"/>
      <c r="H345"/>
      <c r="I345" s="1679"/>
      <c r="J345" s="1679"/>
    </row>
    <row r="346" spans="1:10">
      <c r="A346" s="228" t="s">
        <v>320</v>
      </c>
      <c r="B346" s="1679" t="s">
        <v>320</v>
      </c>
      <c r="G346" s="1679"/>
      <c r="H346" s="1721">
        <f>'Sch 4 - Average System Cost'!D39</f>
        <v>9307869</v>
      </c>
      <c r="I346"/>
      <c r="J346"/>
    </row>
    <row r="347" spans="1:10">
      <c r="A347" s="228" t="s">
        <v>321</v>
      </c>
      <c r="B347" s="1679" t="s">
        <v>321</v>
      </c>
      <c r="G347" s="1679"/>
      <c r="H347" s="1722">
        <f>'Sch 4 - Average System Cost'!D40</f>
        <v>0</v>
      </c>
      <c r="I347" s="1064" t="s">
        <v>637</v>
      </c>
      <c r="J347" s="1063">
        <f>'Sch 4 - Average System Cost'!F45</f>
        <v>109791.504</v>
      </c>
    </row>
    <row r="348" spans="1:10">
      <c r="A348" s="228" t="s">
        <v>514</v>
      </c>
      <c r="B348" s="1679" t="s">
        <v>514</v>
      </c>
      <c r="G348" s="1679"/>
      <c r="H348" s="1722">
        <f>'Sch 4 - Average System Cost'!D41</f>
        <v>9307869</v>
      </c>
      <c r="I348" s="1723"/>
      <c r="J348" s="1679"/>
    </row>
    <row r="349" spans="1:10">
      <c r="A349" s="228" t="s">
        <v>176</v>
      </c>
      <c r="B349" s="1679" t="s">
        <v>176</v>
      </c>
      <c r="G349" s="1679"/>
      <c r="H349" s="1722">
        <f>'Sch 4 - Average System Cost'!D42</f>
        <v>298050.91444673057</v>
      </c>
      <c r="I349" s="1723" t="s">
        <v>855</v>
      </c>
      <c r="J349"/>
    </row>
    <row r="350" spans="1:10" ht="16.5" thickBot="1">
      <c r="A350" s="228" t="s">
        <v>747</v>
      </c>
      <c r="B350" s="1679" t="s">
        <v>747</v>
      </c>
      <c r="G350" s="1679"/>
      <c r="H350" s="1722">
        <f>'Sch 4 - Average System Cost'!D43</f>
        <v>0</v>
      </c>
      <c r="I350" s="1064" t="s">
        <v>856</v>
      </c>
      <c r="J350" s="1063">
        <f>'Sch 4 - Average System Cost'!F48</f>
        <v>0</v>
      </c>
    </row>
    <row r="351" spans="1:10" ht="16.5" thickBot="1">
      <c r="A351" s="1719" t="s">
        <v>512</v>
      </c>
      <c r="B351" s="1719" t="s">
        <v>512</v>
      </c>
      <c r="G351" s="1724"/>
      <c r="H351" s="1725">
        <f>'Sch 4 - Average System Cost'!D44</f>
        <v>9605919.9144467302</v>
      </c>
      <c r="I351" s="1724"/>
      <c r="J351" s="1724"/>
    </row>
    <row r="352" spans="1:10" ht="16.5" thickBot="1">
      <c r="A352" s="165"/>
      <c r="B352" s="1679"/>
      <c r="G352" s="1679"/>
      <c r="H352" s="1726"/>
      <c r="I352" s="1679"/>
      <c r="J352" s="1679"/>
    </row>
    <row r="353" spans="1:10" ht="19.5" thickBot="1">
      <c r="A353" s="1727" t="s">
        <v>322</v>
      </c>
      <c r="B353" s="1727" t="s">
        <v>322</v>
      </c>
      <c r="G353" s="1679"/>
      <c r="H353" s="1728">
        <f>'Sch 4 - Average System Cost'!D46</f>
        <v>54.011856306772394</v>
      </c>
      <c r="I353" s="1679"/>
      <c r="J353" s="1679"/>
    </row>
    <row r="354" spans="1:10">
      <c r="A354" s="600"/>
      <c r="B354" s="1679"/>
      <c r="G354" s="1679"/>
      <c r="H354" s="1726"/>
      <c r="I354" s="1679"/>
      <c r="J354" s="1679"/>
    </row>
    <row r="355" spans="1:10">
      <c r="A355" s="600"/>
      <c r="B355" s="1679"/>
      <c r="G355" s="1679"/>
      <c r="H355" s="1726"/>
      <c r="I355" s="1679"/>
      <c r="J355" s="1679"/>
    </row>
    <row r="356" spans="1:10">
      <c r="A356" s="600"/>
      <c r="B356" s="1679"/>
      <c r="G356" s="1679"/>
      <c r="H356" s="1726"/>
      <c r="I356" s="1679"/>
      <c r="J356" s="1679"/>
    </row>
    <row r="357" spans="1:10">
      <c r="A357" s="600"/>
      <c r="B357" s="1679"/>
      <c r="G357" s="1679"/>
      <c r="H357" s="1726"/>
      <c r="I357" s="1679"/>
      <c r="J357" s="1679"/>
    </row>
    <row r="358" spans="1:10">
      <c r="A358" s="600"/>
      <c r="B358" s="1679"/>
      <c r="G358" s="1679"/>
      <c r="H358" s="1726"/>
      <c r="I358" s="1679"/>
      <c r="J358" s="1679"/>
    </row>
    <row r="359" spans="1:10">
      <c r="A359" s="600"/>
      <c r="B359" s="1679"/>
      <c r="G359" s="1679"/>
      <c r="H359" s="1726"/>
      <c r="I359" s="1679"/>
      <c r="J359" s="1679"/>
    </row>
    <row r="361" spans="1:10" ht="16.5" thickBot="1"/>
    <row r="362" spans="1:10" ht="16.5" thickTop="1">
      <c r="A362" s="1729"/>
      <c r="E362" s="2465" t="s">
        <v>354</v>
      </c>
      <c r="F362" s="2466"/>
      <c r="G362" s="2469" t="s">
        <v>104</v>
      </c>
      <c r="H362" s="2472" t="s">
        <v>105</v>
      </c>
      <c r="I362" s="2475" t="s">
        <v>106</v>
      </c>
      <c r="J362" s="326"/>
    </row>
    <row r="363" spans="1:10" ht="16.5" thickBot="1">
      <c r="A363" s="1730"/>
      <c r="B363" s="1731"/>
      <c r="C363" s="1731"/>
      <c r="D363" s="1731"/>
      <c r="E363" s="2467"/>
      <c r="F363" s="2468"/>
      <c r="G363" s="2470"/>
      <c r="H363" s="2473"/>
      <c r="I363" s="2461"/>
      <c r="J363" s="310" t="s">
        <v>98</v>
      </c>
    </row>
    <row r="364" spans="1:10" ht="16.5" thickBot="1">
      <c r="A364" s="107" t="s">
        <v>521</v>
      </c>
      <c r="B364" s="108"/>
      <c r="C364" s="1731"/>
      <c r="D364" s="1731"/>
      <c r="E364" s="311" t="s">
        <v>454</v>
      </c>
      <c r="F364" s="311" t="s">
        <v>623</v>
      </c>
      <c r="G364" s="2471"/>
      <c r="H364" s="2474"/>
      <c r="I364" s="2476"/>
      <c r="J364" s="314" t="s">
        <v>107</v>
      </c>
    </row>
    <row r="365" spans="1:10" ht="16.5" thickTop="1">
      <c r="A365" s="107"/>
      <c r="B365" s="108" t="s">
        <v>857</v>
      </c>
      <c r="C365" s="1731"/>
      <c r="D365" s="1731"/>
      <c r="E365" s="182" t="str">
        <f>Ratios!C13</f>
        <v>PROD</v>
      </c>
      <c r="F365" s="889"/>
      <c r="G365" s="182">
        <f>Ratios!D13</f>
        <v>19893844</v>
      </c>
      <c r="H365" s="182">
        <f>Ratios!E13</f>
        <v>19893844</v>
      </c>
      <c r="I365" s="182">
        <f>Ratios!F13</f>
        <v>0</v>
      </c>
      <c r="J365" s="182">
        <f>Ratios!G13</f>
        <v>0</v>
      </c>
    </row>
    <row r="366" spans="1:10">
      <c r="A366" s="107"/>
      <c r="B366" s="108" t="s">
        <v>858</v>
      </c>
      <c r="C366" s="1731"/>
      <c r="D366" s="1731"/>
      <c r="E366" s="182" t="str">
        <f>Ratios!C14</f>
        <v>TRANS</v>
      </c>
      <c r="F366" s="888"/>
      <c r="G366" s="182">
        <f>Ratios!D14</f>
        <v>6611795</v>
      </c>
      <c r="H366" s="182">
        <f>Ratios!E14</f>
        <v>0</v>
      </c>
      <c r="I366" s="182">
        <f>Ratios!F14</f>
        <v>0</v>
      </c>
      <c r="J366" s="182">
        <f>Ratios!G14</f>
        <v>6611795</v>
      </c>
    </row>
    <row r="367" spans="1:10">
      <c r="A367" s="107"/>
      <c r="B367" s="108" t="s">
        <v>859</v>
      </c>
      <c r="C367" s="1731"/>
      <c r="D367" s="1731"/>
      <c r="E367" s="182" t="str">
        <f>Ratios!C15</f>
        <v>DIST</v>
      </c>
      <c r="F367" s="888"/>
      <c r="G367" s="182">
        <f>Ratios!D15</f>
        <v>17025418</v>
      </c>
      <c r="H367" s="182">
        <f>Ratios!E15</f>
        <v>0</v>
      </c>
      <c r="I367" s="182">
        <f>Ratios!F15</f>
        <v>0</v>
      </c>
      <c r="J367" s="182">
        <f>Ratios!G15</f>
        <v>17025418</v>
      </c>
    </row>
    <row r="368" spans="1:10">
      <c r="A368" s="107"/>
      <c r="B368" s="108" t="s">
        <v>860</v>
      </c>
      <c r="C368" s="1731"/>
      <c r="D368" s="1731"/>
      <c r="E368" s="182" t="str">
        <f>Ratios!C16</f>
        <v>DIST</v>
      </c>
      <c r="F368" s="888"/>
      <c r="G368" s="182">
        <f>Ratios!D16</f>
        <v>6507117</v>
      </c>
      <c r="H368" s="182">
        <f>Ratios!E16</f>
        <v>0</v>
      </c>
      <c r="I368" s="182">
        <f>Ratios!F16</f>
        <v>0</v>
      </c>
      <c r="J368" s="182">
        <f>Ratios!G16</f>
        <v>6507117</v>
      </c>
    </row>
    <row r="369" spans="1:10">
      <c r="A369" s="107"/>
      <c r="B369" s="108" t="s">
        <v>861</v>
      </c>
      <c r="C369" s="1731"/>
      <c r="D369" s="1731"/>
      <c r="E369" s="182" t="str">
        <f>Ratios!C17</f>
        <v>DIST</v>
      </c>
      <c r="F369" s="888"/>
      <c r="G369" s="182">
        <f>Ratios!D17</f>
        <v>422600</v>
      </c>
      <c r="H369" s="182">
        <f>Ratios!E17</f>
        <v>0</v>
      </c>
      <c r="I369" s="182">
        <f>Ratios!F17</f>
        <v>0</v>
      </c>
      <c r="J369" s="182">
        <f>Ratios!G17</f>
        <v>422600</v>
      </c>
    </row>
    <row r="370" spans="1:10">
      <c r="A370" s="107"/>
      <c r="B370" s="108" t="s">
        <v>862</v>
      </c>
      <c r="C370" s="1731"/>
      <c r="D370" s="1731"/>
      <c r="E370" s="182" t="str">
        <f>Ratios!C18</f>
        <v>DIST</v>
      </c>
      <c r="F370" s="888"/>
      <c r="G370" s="182">
        <f>Ratios!D18</f>
        <v>0</v>
      </c>
      <c r="H370" s="182">
        <f>Ratios!E18</f>
        <v>0</v>
      </c>
      <c r="I370" s="182">
        <f>Ratios!F18</f>
        <v>0</v>
      </c>
      <c r="J370" s="182">
        <f>Ratios!G18</f>
        <v>0</v>
      </c>
    </row>
    <row r="371" spans="1:10">
      <c r="A371" s="107"/>
      <c r="B371" s="108" t="s">
        <v>863</v>
      </c>
      <c r="C371" s="1731"/>
      <c r="D371" s="1731"/>
      <c r="E371" s="182" t="str">
        <f>Ratios!C19</f>
        <v>PTD</v>
      </c>
      <c r="F371" s="888"/>
      <c r="G371" s="182">
        <f>Ratios!D19</f>
        <v>29427473</v>
      </c>
      <c r="H371" s="182">
        <f>Ratios!E19</f>
        <v>9350897.9082645196</v>
      </c>
      <c r="I371" s="182">
        <f>Ratios!F19</f>
        <v>0</v>
      </c>
      <c r="J371" s="182">
        <f>Ratios!G19</f>
        <v>20076575.091735478</v>
      </c>
    </row>
    <row r="372" spans="1:10">
      <c r="A372" s="1732"/>
      <c r="B372" s="838"/>
      <c r="C372" s="1731"/>
      <c r="D372" s="1731"/>
      <c r="E372" s="1731"/>
      <c r="F372" s="1731"/>
      <c r="G372" s="1733"/>
      <c r="H372" s="1733"/>
      <c r="I372" s="1733"/>
      <c r="J372" s="1733"/>
    </row>
    <row r="373" spans="1:10">
      <c r="A373" s="107" t="s">
        <v>523</v>
      </c>
      <c r="B373" s="108"/>
      <c r="C373" s="1731"/>
      <c r="D373" s="1731"/>
      <c r="E373" s="1734"/>
      <c r="F373" s="1735"/>
      <c r="G373" s="1736">
        <f>Ratios!D21</f>
        <v>79888247</v>
      </c>
      <c r="H373" s="1736">
        <f>Ratios!E21</f>
        <v>29244741.908264518</v>
      </c>
      <c r="I373" s="1736">
        <f>Ratios!F21</f>
        <v>0</v>
      </c>
      <c r="J373" s="1736">
        <f>Ratios!G21</f>
        <v>50643505.091735482</v>
      </c>
    </row>
    <row r="374" spans="1:10">
      <c r="A374" s="1730"/>
      <c r="B374" s="1731"/>
      <c r="C374" s="1731"/>
      <c r="D374" s="1731"/>
      <c r="E374" s="1731"/>
      <c r="F374" s="1731"/>
      <c r="G374" s="1737">
        <f>Ratios!D22</f>
        <v>1</v>
      </c>
      <c r="H374" s="1737">
        <f>Ratios!E22</f>
        <v>0.36607064250971133</v>
      </c>
      <c r="I374" s="1737">
        <f>Ratios!F22</f>
        <v>0</v>
      </c>
      <c r="J374" s="1737">
        <f>Ratios!G22</f>
        <v>0.63392935749028867</v>
      </c>
    </row>
    <row r="375" spans="1:10">
      <c r="A375" s="1730"/>
      <c r="B375" s="1731"/>
      <c r="C375" s="1731"/>
      <c r="D375" s="1731"/>
      <c r="E375" s="1731"/>
      <c r="F375" s="1731"/>
      <c r="G375" s="1738"/>
      <c r="H375" s="1739"/>
      <c r="I375" s="1739"/>
      <c r="J375" s="1739"/>
    </row>
    <row r="376" spans="1:10">
      <c r="A376" s="1730"/>
      <c r="B376" s="1731"/>
      <c r="C376" s="1731"/>
      <c r="D376" s="1731"/>
      <c r="E376" s="1731"/>
      <c r="F376" s="1731"/>
      <c r="G376" s="1738"/>
      <c r="H376" s="1739"/>
      <c r="I376" s="1739"/>
      <c r="J376" s="1739"/>
    </row>
    <row r="377" spans="1:10" ht="16.5" thickBot="1">
      <c r="A377" s="1730"/>
      <c r="B377" s="1731"/>
      <c r="C377" s="10"/>
      <c r="D377" s="196"/>
      <c r="E377" s="1731"/>
      <c r="F377" s="1731"/>
      <c r="G377" s="1738"/>
      <c r="H377" s="1739"/>
      <c r="I377" s="1739"/>
      <c r="J377" s="1739"/>
    </row>
    <row r="378" spans="1:10" ht="17.25" thickTop="1" thickBot="1">
      <c r="A378" s="1730"/>
      <c r="B378" s="1740" t="s">
        <v>347</v>
      </c>
      <c r="C378" s="1741"/>
      <c r="D378" s="1081"/>
      <c r="E378" s="1081"/>
      <c r="F378" s="1081"/>
      <c r="G378" s="1082"/>
      <c r="H378" s="1739"/>
      <c r="I378" s="1739"/>
      <c r="J378" s="1739"/>
    </row>
    <row r="379" spans="1:10" ht="16.5" thickBot="1">
      <c r="A379" s="1730"/>
      <c r="B379" s="107"/>
      <c r="C379" s="108"/>
      <c r="D379" s="1742"/>
      <c r="E379" s="1086"/>
      <c r="F379" s="1086"/>
      <c r="G379" s="1086"/>
      <c r="H379" s="1739"/>
      <c r="I379" s="1739"/>
      <c r="J379" s="1739"/>
    </row>
    <row r="380" spans="1:10" ht="16.5" thickBot="1">
      <c r="A380" s="1730"/>
      <c r="B380" s="107" t="s">
        <v>536</v>
      </c>
      <c r="C380" s="108"/>
      <c r="D380" s="1743" t="str">
        <f>Ratios!D78</f>
        <v>DIST</v>
      </c>
      <c r="E380" s="1086">
        <f>Ratios!E78</f>
        <v>0</v>
      </c>
      <c r="F380" s="1086">
        <f>Ratios!F78</f>
        <v>0</v>
      </c>
      <c r="G380" s="1086">
        <f>Ratios!G78</f>
        <v>1</v>
      </c>
      <c r="H380" s="1739"/>
      <c r="I380" s="1739"/>
      <c r="J380" s="1739"/>
    </row>
    <row r="381" spans="1:10" ht="16.5" thickBot="1">
      <c r="A381" s="1730"/>
      <c r="B381" s="107" t="s">
        <v>537</v>
      </c>
      <c r="C381" s="108"/>
      <c r="D381" s="1743" t="str">
        <f>Ratios!D79</f>
        <v>PROD</v>
      </c>
      <c r="E381" s="1086">
        <f>Ratios!E79</f>
        <v>1</v>
      </c>
      <c r="F381" s="1086">
        <f>Ratios!F79</f>
        <v>0</v>
      </c>
      <c r="G381" s="1086">
        <f>Ratios!G79</f>
        <v>0</v>
      </c>
      <c r="H381" s="1739"/>
      <c r="I381" s="1739"/>
      <c r="J381" s="1739"/>
    </row>
    <row r="382" spans="1:10" ht="16.5" thickBot="1">
      <c r="A382" s="1730"/>
      <c r="B382" s="107" t="s">
        <v>538</v>
      </c>
      <c r="C382" s="108"/>
      <c r="D382" s="1743" t="str">
        <f>Ratios!D80</f>
        <v>TRANS</v>
      </c>
      <c r="E382" s="1086">
        <f>Ratios!E80</f>
        <v>0</v>
      </c>
      <c r="F382" s="1086">
        <f>Ratios!F80</f>
        <v>0</v>
      </c>
      <c r="G382" s="1086">
        <f>Ratios!G80</f>
        <v>1</v>
      </c>
      <c r="H382" s="1739"/>
      <c r="I382" s="1739"/>
      <c r="J382" s="1739"/>
    </row>
    <row r="383" spans="1:10" ht="16.5" thickBot="1">
      <c r="A383" s="1730"/>
      <c r="B383" s="107" t="s">
        <v>539</v>
      </c>
      <c r="C383" s="108"/>
      <c r="D383" s="1743" t="str">
        <f>Ratios!D81</f>
        <v>DIRECT</v>
      </c>
      <c r="E383" s="1086">
        <f>Ratios!E81</f>
        <v>0</v>
      </c>
      <c r="F383" s="1086">
        <f>Ratios!F81</f>
        <v>0</v>
      </c>
      <c r="G383" s="1086">
        <f>Ratios!G81</f>
        <v>0</v>
      </c>
      <c r="H383" s="1739"/>
      <c r="I383" s="1739"/>
      <c r="J383" s="1739"/>
    </row>
    <row r="384" spans="1:10" ht="16.5" thickBot="1">
      <c r="A384" s="1730"/>
      <c r="B384" s="107" t="s">
        <v>92</v>
      </c>
      <c r="C384" s="108"/>
      <c r="D384" s="1743" t="str">
        <f>Ratios!D82</f>
        <v>GP</v>
      </c>
      <c r="E384" s="1086">
        <f>Ratios!E82</f>
        <v>0.15404084567525972</v>
      </c>
      <c r="F384" s="1086">
        <f>Ratios!F82</f>
        <v>0</v>
      </c>
      <c r="G384" s="1086">
        <f>Ratios!G82</f>
        <v>0.84595915432474023</v>
      </c>
      <c r="H384" s="1739"/>
      <c r="I384" s="1739"/>
      <c r="J384" s="1739"/>
    </row>
    <row r="385" spans="1:10" ht="16.5" thickBot="1">
      <c r="A385" s="1730"/>
      <c r="B385" s="107" t="s">
        <v>94</v>
      </c>
      <c r="C385" s="108"/>
      <c r="D385" s="1743" t="str">
        <f>Ratios!D83</f>
        <v>GPM</v>
      </c>
      <c r="E385" s="1086">
        <f>Ratios!E83</f>
        <v>0.32060435635106455</v>
      </c>
      <c r="F385" s="1086">
        <f>Ratios!F83</f>
        <v>0</v>
      </c>
      <c r="G385" s="1086">
        <f>Ratios!G83</f>
        <v>0.67939564364893534</v>
      </c>
      <c r="H385" s="1739"/>
      <c r="I385" s="1739"/>
      <c r="J385" s="1739"/>
    </row>
    <row r="386" spans="1:10" ht="16.5" thickBot="1">
      <c r="A386" s="1730"/>
      <c r="B386" s="107" t="s">
        <v>127</v>
      </c>
      <c r="C386" s="108"/>
      <c r="D386" s="1743" t="str">
        <f>Ratios!D84</f>
        <v>LABOR</v>
      </c>
      <c r="E386" s="1086">
        <f>Ratios!E84</f>
        <v>0.36607064250971133</v>
      </c>
      <c r="F386" s="1086">
        <f>Ratios!F84</f>
        <v>0</v>
      </c>
      <c r="G386" s="1086">
        <f>Ratios!G84</f>
        <v>0.63392935749028867</v>
      </c>
      <c r="H386" s="1739"/>
      <c r="I386" s="1739"/>
      <c r="J386" s="1739"/>
    </row>
    <row r="387" spans="1:10" ht="16.5" thickBot="1">
      <c r="A387" s="1730"/>
      <c r="B387" s="107" t="s">
        <v>529</v>
      </c>
      <c r="C387" s="108"/>
      <c r="D387" s="1743" t="str">
        <f>Ratios!D85</f>
        <v>PTD</v>
      </c>
      <c r="E387" s="1086">
        <f>Ratios!E85</f>
        <v>0.31776081854750221</v>
      </c>
      <c r="F387" s="1086">
        <f>Ratios!F85</f>
        <v>0</v>
      </c>
      <c r="G387" s="1086">
        <f>Ratios!G85</f>
        <v>0.68223918145249773</v>
      </c>
      <c r="H387" s="1739"/>
      <c r="I387" s="1739"/>
      <c r="J387" s="1739"/>
    </row>
    <row r="388" spans="1:10" ht="16.5" thickBot="1">
      <c r="A388" s="1730"/>
      <c r="B388" s="107" t="s">
        <v>540</v>
      </c>
      <c r="C388" s="108"/>
      <c r="D388" s="1743" t="str">
        <f>Ratios!D86</f>
        <v>PTDG</v>
      </c>
      <c r="E388" s="1086">
        <f>Ratios!E86</f>
        <v>0.31822270268064157</v>
      </c>
      <c r="F388" s="1086">
        <f>Ratios!F86</f>
        <v>0</v>
      </c>
      <c r="G388" s="1086">
        <f>Ratios!G86</f>
        <v>0.68177729721660785</v>
      </c>
      <c r="H388" s="1739"/>
      <c r="I388" s="1739"/>
      <c r="J388" s="1739"/>
    </row>
    <row r="389" spans="1:10" ht="16.5" thickBot="1">
      <c r="A389" s="1730"/>
      <c r="B389" s="114" t="s">
        <v>534</v>
      </c>
      <c r="C389" s="115"/>
      <c r="D389" s="1744" t="str">
        <f>Ratios!D87</f>
        <v>TD</v>
      </c>
      <c r="E389" s="1086">
        <f>Ratios!E87</f>
        <v>0</v>
      </c>
      <c r="F389" s="1086">
        <f>Ratios!F87</f>
        <v>0</v>
      </c>
      <c r="G389" s="1086">
        <f>Ratios!G87</f>
        <v>1</v>
      </c>
      <c r="H389" s="1739"/>
      <c r="I389" s="1739"/>
      <c r="J389" s="1739"/>
    </row>
    <row r="390" spans="1:10" ht="16.5" thickTop="1">
      <c r="A390" s="1730"/>
      <c r="B390" s="1731"/>
      <c r="C390" s="1731"/>
      <c r="D390" s="1731"/>
      <c r="E390" s="1731"/>
      <c r="F390" s="1731"/>
      <c r="G390" s="1745"/>
      <c r="H390" s="1745"/>
      <c r="I390" s="1745"/>
      <c r="J390" s="1745"/>
    </row>
    <row r="391" spans="1:10">
      <c r="A391" s="1730"/>
      <c r="B391" s="1731"/>
      <c r="C391" s="1731"/>
      <c r="D391" s="1731"/>
      <c r="E391" s="1731"/>
      <c r="F391" s="1731"/>
      <c r="G391" s="1739"/>
      <c r="H391" s="1739"/>
      <c r="I391" s="1739"/>
      <c r="J391" s="1739"/>
    </row>
    <row r="392" spans="1:10">
      <c r="A392" s="1730"/>
      <c r="B392" s="1731"/>
      <c r="C392" s="1731"/>
      <c r="D392" s="1731"/>
      <c r="E392" s="1731"/>
      <c r="F392" s="1731"/>
      <c r="G392" s="1738"/>
      <c r="H392" s="1739"/>
      <c r="I392" s="1739"/>
      <c r="J392" s="1739"/>
    </row>
    <row r="393" spans="1:10">
      <c r="A393" s="1730"/>
      <c r="B393" s="1731"/>
      <c r="C393" s="1731"/>
      <c r="D393" s="1731"/>
      <c r="E393" s="1731"/>
      <c r="F393" s="1731"/>
      <c r="G393" s="1738"/>
      <c r="H393" s="1739"/>
      <c r="I393" s="1739"/>
      <c r="J393" s="1739"/>
    </row>
  </sheetData>
  <mergeCells count="25">
    <mergeCell ref="E362:F363"/>
    <mergeCell ref="G362:G364"/>
    <mergeCell ref="H362:H364"/>
    <mergeCell ref="I362:I364"/>
    <mergeCell ref="H171:H173"/>
    <mergeCell ref="I171:I173"/>
    <mergeCell ref="G287:G289"/>
    <mergeCell ref="H287:H289"/>
    <mergeCell ref="I287:I289"/>
    <mergeCell ref="B287:B289"/>
    <mergeCell ref="E287:F288"/>
    <mergeCell ref="K12:K14"/>
    <mergeCell ref="A12:B14"/>
    <mergeCell ref="G12:G14"/>
    <mergeCell ref="H12:H14"/>
    <mergeCell ref="I12:I14"/>
    <mergeCell ref="J12:J14"/>
    <mergeCell ref="B264:B266"/>
    <mergeCell ref="E264:F265"/>
    <mergeCell ref="G264:G266"/>
    <mergeCell ref="H264:H266"/>
    <mergeCell ref="I264:I266"/>
    <mergeCell ref="B171:B173"/>
    <mergeCell ref="E171:F172"/>
    <mergeCell ref="G171:G173"/>
  </mergeCells>
  <pageMargins left="0.7" right="0.7" top="0.75" bottom="0.75" header="0.3" footer="0.3"/>
  <pageSetup orientation="portrait" r:id="rId1"/>
  <headerFooter>
    <oddFooter>&amp;LFY 2016-2017 ASC Filing
&amp;F&amp;CPages &amp;P of &amp;N&amp;R&amp;A
&amp;D</oddFooter>
  </headerFooter>
  <customProperties>
    <customPr name="xxe4aPID" r:id="rId2"/>
  </customPropertie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75"/>
  <dimension ref="B1:O185"/>
  <sheetViews>
    <sheetView workbookViewId="0">
      <selection sqref="A1:O1048576"/>
    </sheetView>
  </sheetViews>
  <sheetFormatPr defaultRowHeight="15.75"/>
  <cols>
    <col min="3" max="3" width="54.875" bestFit="1" customWidth="1"/>
    <col min="4" max="4" width="11.125" customWidth="1"/>
    <col min="5" max="5" width="13.625" bestFit="1" customWidth="1"/>
    <col min="6" max="6" width="12.25" bestFit="1" customWidth="1"/>
    <col min="7" max="7" width="13.5" bestFit="1" customWidth="1"/>
    <col min="8" max="8" width="14.125" bestFit="1" customWidth="1"/>
    <col min="13" max="13" width="11.875" bestFit="1" customWidth="1"/>
  </cols>
  <sheetData>
    <row r="1" spans="2:15">
      <c r="C1" s="1211" t="s">
        <v>864</v>
      </c>
      <c r="D1" s="1211" t="s">
        <v>865</v>
      </c>
      <c r="E1" t="s">
        <v>272</v>
      </c>
      <c r="F1" t="s">
        <v>96</v>
      </c>
      <c r="G1" s="1211" t="s">
        <v>838</v>
      </c>
      <c r="H1" s="1211" t="s">
        <v>839</v>
      </c>
      <c r="I1" t="s">
        <v>104</v>
      </c>
      <c r="J1" t="s">
        <v>105</v>
      </c>
      <c r="K1" t="s">
        <v>106</v>
      </c>
      <c r="L1" s="1211" t="s">
        <v>516</v>
      </c>
      <c r="M1" s="1211" t="s">
        <v>866</v>
      </c>
      <c r="N1" s="1211" t="s">
        <v>867</v>
      </c>
      <c r="O1" s="1211" t="s">
        <v>868</v>
      </c>
    </row>
    <row r="2" spans="2:15">
      <c r="B2">
        <v>3</v>
      </c>
      <c r="C2" t="s">
        <v>145</v>
      </c>
      <c r="D2" s="1211" t="e">
        <f>'Sch 1- Rate Base '!E5:G5</f>
        <v>#VALUE!</v>
      </c>
      <c r="E2" s="1750" t="str">
        <f>+VLOOKUP($C2,ForecastImport!$B$15:$J$394,COLUMN()-3,FALSE)</f>
        <v>204-207</v>
      </c>
      <c r="F2">
        <f>+VLOOKUP($C2,ForecastImport!$B$15:$J$394,COLUMN()-3,FALSE)</f>
        <v>301</v>
      </c>
      <c r="G2" t="str">
        <f>+VLOOKUP($C2,ForecastImport!$B$15:$J$394,COLUMN()-3,FALSE)</f>
        <v>DIST</v>
      </c>
      <c r="H2" t="str">
        <f>+VLOOKUP($C2,ForecastImport!$B$15:$J$394,COLUMN()-3,FALSE)</f>
        <v xml:space="preserve"> </v>
      </c>
      <c r="I2">
        <f>+VLOOKUP($C2,ForecastImport!$B$15:$J$394,COLUMN()-3,FALSE)</f>
        <v>0</v>
      </c>
      <c r="J2">
        <f>+VLOOKUP($C2,ForecastImport!$B$15:$J$394,COLUMN()-3,FALSE)</f>
        <v>0</v>
      </c>
      <c r="K2">
        <f>+VLOOKUP($C2,ForecastImport!$B$15:$J$394,COLUMN()-3,FALSE)</f>
        <v>0</v>
      </c>
      <c r="L2">
        <f>+VLOOKUP($C2,ForecastImport!$B$15:$J$394,COLUMN()-3,FALSE)</f>
        <v>0</v>
      </c>
    </row>
    <row r="3" spans="2:15">
      <c r="B3">
        <v>4</v>
      </c>
      <c r="C3" t="s">
        <v>146</v>
      </c>
      <c r="D3" s="1211" t="e">
        <f>'Sch 1- Rate Base '!E6:G6</f>
        <v>#VALUE!</v>
      </c>
      <c r="E3" s="1750" t="str">
        <f>+VLOOKUP($C3,ForecastImport!$B$15:$J$394,COLUMN()-3,FALSE)</f>
        <v>204-207</v>
      </c>
      <c r="F3">
        <f>+VLOOKUP($C3,ForecastImport!$B$15:$J$394,COLUMN()-3,FALSE)</f>
        <v>302</v>
      </c>
      <c r="G3" t="str">
        <f>+VLOOKUP($C3,ForecastImport!$B$15:$J$394,COLUMN()-3,FALSE)</f>
        <v>DIRECT</v>
      </c>
      <c r="H3" t="str">
        <f>+VLOOKUP($C3,ForecastImport!$B$15:$J$394,COLUMN()-3,FALSE)</f>
        <v>PTD</v>
      </c>
      <c r="I3">
        <f>+VLOOKUP($C3,ForecastImport!$B$15:$J$394,COLUMN()-3,FALSE)</f>
        <v>46804271</v>
      </c>
      <c r="J3">
        <f>+VLOOKUP($C3,ForecastImport!$B$15:$J$394,COLUMN()-3,FALSE)</f>
        <v>42107007.580000006</v>
      </c>
      <c r="K3">
        <f>+VLOOKUP($C3,ForecastImport!$B$15:$J$394,COLUMN()-3,FALSE)</f>
        <v>0</v>
      </c>
      <c r="L3">
        <f>+VLOOKUP($C3,ForecastImport!$B$15:$J$394,COLUMN()-3,FALSE)</f>
        <v>4697263.32</v>
      </c>
    </row>
    <row r="4" spans="2:15">
      <c r="B4">
        <v>5</v>
      </c>
      <c r="C4" t="s">
        <v>147</v>
      </c>
      <c r="D4" s="1211" t="e">
        <f>'Sch 1- Rate Base '!E7:G7</f>
        <v>#VALUE!</v>
      </c>
      <c r="E4" s="1750" t="str">
        <f>+VLOOKUP($C4,ForecastImport!$B$15:$J$394,COLUMN()-3,FALSE)</f>
        <v>204-207</v>
      </c>
      <c r="F4">
        <f>+VLOOKUP($C4,ForecastImport!$B$15:$J$394,COLUMN()-3,FALSE)</f>
        <v>303</v>
      </c>
      <c r="G4" t="str">
        <f>+VLOOKUP($C4,ForecastImport!$B$15:$J$394,COLUMN()-3,FALSE)</f>
        <v>DIRECT</v>
      </c>
      <c r="H4" t="str">
        <f>+VLOOKUP($C4,ForecastImport!$B$15:$J$394,COLUMN()-3,FALSE)</f>
        <v>DIST</v>
      </c>
      <c r="I4">
        <f>+VLOOKUP($C4,ForecastImport!$B$15:$J$394,COLUMN()-3,FALSE)</f>
        <v>57840902</v>
      </c>
      <c r="J4">
        <f>+VLOOKUP($C4,ForecastImport!$B$15:$J$394,COLUMN()-3,FALSE)</f>
        <v>21321712.686072055</v>
      </c>
      <c r="K4">
        <f>+VLOOKUP($C4,ForecastImport!$B$15:$J$394,COLUMN()-3,FALSE)</f>
        <v>0</v>
      </c>
      <c r="L4">
        <f>+VLOOKUP($C4,ForecastImport!$B$15:$J$394,COLUMN()-3,FALSE)</f>
        <v>36519188.863927945</v>
      </c>
    </row>
    <row r="5" spans="2:15">
      <c r="B5">
        <v>9</v>
      </c>
      <c r="C5" t="s">
        <v>111</v>
      </c>
      <c r="D5" s="1211" t="e">
        <f>'Sch 1- Rate Base '!E8:G8</f>
        <v>#VALUE!</v>
      </c>
      <c r="E5" s="1750" t="str">
        <f>+VLOOKUP($C5,ForecastImport!$B$15:$J$394,COLUMN()-3,FALSE)</f>
        <v>204-207</v>
      </c>
      <c r="F5" s="1750" t="str">
        <f>+VLOOKUP($C5,ForecastImport!$B$15:$J$394,COLUMN()-3,FALSE)</f>
        <v>310-317</v>
      </c>
      <c r="G5" t="str">
        <f>+VLOOKUP($C5,ForecastImport!$B$15:$J$394,COLUMN()-3,FALSE)</f>
        <v>PROD</v>
      </c>
      <c r="H5">
        <f>+VLOOKUP($C5,ForecastImport!$B$15:$J$394,COLUMN()-3,FALSE)</f>
        <v>0</v>
      </c>
      <c r="I5">
        <f>+VLOOKUP($C5,ForecastImport!$B$15:$J$394,COLUMN()-3,FALSE)</f>
        <v>494693042</v>
      </c>
      <c r="J5">
        <f>+VLOOKUP($C5,ForecastImport!$B$15:$J$394,COLUMN()-3,FALSE)</f>
        <v>494693042</v>
      </c>
      <c r="K5">
        <f>+VLOOKUP($C5,ForecastImport!$B$15:$J$394,COLUMN()-3,FALSE)</f>
        <v>0</v>
      </c>
      <c r="L5">
        <f>+VLOOKUP($C5,ForecastImport!$B$15:$J$394,COLUMN()-3,FALSE)</f>
        <v>0</v>
      </c>
    </row>
    <row r="6" spans="2:15">
      <c r="B6">
        <v>10</v>
      </c>
      <c r="C6" t="s">
        <v>113</v>
      </c>
      <c r="D6" s="1211" t="e">
        <f>'Sch 1- Rate Base '!E9:G9</f>
        <v>#VALUE!</v>
      </c>
      <c r="E6" s="1750" t="str">
        <f>+VLOOKUP($C6,ForecastImport!$B$15:$J$394,COLUMN()-3,FALSE)</f>
        <v>204-207</v>
      </c>
      <c r="F6" s="1750" t="str">
        <f>+VLOOKUP($C6,ForecastImport!$B$15:$J$394,COLUMN()-3,FALSE)</f>
        <v>320-326</v>
      </c>
      <c r="G6" t="str">
        <f>+VLOOKUP($C6,ForecastImport!$B$15:$J$394,COLUMN()-3,FALSE)</f>
        <v>PROD</v>
      </c>
      <c r="H6">
        <f>+VLOOKUP($C6,ForecastImport!$B$15:$J$394,COLUMN()-3,FALSE)</f>
        <v>0</v>
      </c>
      <c r="I6">
        <f>+VLOOKUP($C6,ForecastImport!$B$15:$J$394,COLUMN()-3,FALSE)</f>
        <v>0</v>
      </c>
      <c r="J6">
        <f>+VLOOKUP($C6,ForecastImport!$B$15:$J$394,COLUMN()-3,FALSE)</f>
        <v>0</v>
      </c>
      <c r="K6">
        <f>+VLOOKUP($C6,ForecastImport!$B$15:$J$394,COLUMN()-3,FALSE)</f>
        <v>0</v>
      </c>
      <c r="L6">
        <f>+VLOOKUP($C6,ForecastImport!$B$15:$J$394,COLUMN()-3,FALSE)</f>
        <v>0</v>
      </c>
    </row>
    <row r="7" spans="2:15">
      <c r="B7">
        <v>11</v>
      </c>
      <c r="C7" t="s">
        <v>115</v>
      </c>
      <c r="D7" s="1211" t="e">
        <f>'Sch 1- Rate Base '!E10:G10</f>
        <v>#VALUE!</v>
      </c>
      <c r="E7" s="1750" t="str">
        <f>+VLOOKUP($C7,ForecastImport!$B$15:$J$394,COLUMN()-3,FALSE)</f>
        <v>204-207</v>
      </c>
      <c r="F7" s="1750" t="str">
        <f>+VLOOKUP($C7,ForecastImport!$B$15:$J$394,COLUMN()-3,FALSE)</f>
        <v>330-337</v>
      </c>
      <c r="G7" t="str">
        <f>+VLOOKUP($C7,ForecastImport!$B$15:$J$394,COLUMN()-3,FALSE)</f>
        <v>PROD</v>
      </c>
      <c r="H7">
        <f>+VLOOKUP($C7,ForecastImport!$B$15:$J$394,COLUMN()-3,FALSE)</f>
        <v>0</v>
      </c>
      <c r="I7">
        <f>+VLOOKUP($C7,ForecastImport!$B$15:$J$394,COLUMN()-3,FALSE)</f>
        <v>791656686</v>
      </c>
      <c r="J7">
        <f>+VLOOKUP($C7,ForecastImport!$B$15:$J$394,COLUMN()-3,FALSE)</f>
        <v>791656686</v>
      </c>
      <c r="K7">
        <f>+VLOOKUP($C7,ForecastImport!$B$15:$J$394,COLUMN()-3,FALSE)</f>
        <v>0</v>
      </c>
      <c r="L7">
        <f>+VLOOKUP($C7,ForecastImport!$B$15:$J$394,COLUMN()-3,FALSE)</f>
        <v>0</v>
      </c>
    </row>
    <row r="8" spans="2:15">
      <c r="B8">
        <v>12</v>
      </c>
      <c r="C8" t="s">
        <v>117</v>
      </c>
      <c r="D8" s="1211" t="e">
        <f>'Sch 1- Rate Base '!E11:G11</f>
        <v>#VALUE!</v>
      </c>
      <c r="E8" s="1750" t="str">
        <f>+VLOOKUP($C8,ForecastImport!$B$15:$J$394,COLUMN()-3,FALSE)</f>
        <v>204-207</v>
      </c>
      <c r="F8" s="1750" t="str">
        <f>+VLOOKUP($C8,ForecastImport!$B$15:$J$394,COLUMN()-3,FALSE)</f>
        <v>340-348</v>
      </c>
      <c r="G8" t="str">
        <f>+VLOOKUP($C8,ForecastImport!$B$15:$J$394,COLUMN()-3,FALSE)</f>
        <v>PROD</v>
      </c>
      <c r="H8">
        <f>+VLOOKUP($C8,ForecastImport!$B$15:$J$394,COLUMN()-3,FALSE)</f>
        <v>0</v>
      </c>
      <c r="I8">
        <f>+VLOOKUP($C8,ForecastImport!$B$15:$J$394,COLUMN()-3,FALSE)</f>
        <v>327526210</v>
      </c>
      <c r="J8">
        <f>+VLOOKUP($C8,ForecastImport!$B$15:$J$394,COLUMN()-3,FALSE)</f>
        <v>327526210</v>
      </c>
      <c r="K8">
        <f>+VLOOKUP($C8,ForecastImport!$B$15:$J$394,COLUMN()-3,FALSE)</f>
        <v>0</v>
      </c>
      <c r="L8">
        <f>+VLOOKUP($C8,ForecastImport!$B$15:$J$394,COLUMN()-3,FALSE)</f>
        <v>0</v>
      </c>
    </row>
    <row r="9" spans="2:15">
      <c r="B9">
        <v>16</v>
      </c>
      <c r="C9" t="s">
        <v>501</v>
      </c>
      <c r="D9" s="1211" t="e">
        <f>'Sch 1- Rate Base '!E12:G12</f>
        <v>#VALUE!</v>
      </c>
      <c r="E9" s="1750" t="str">
        <f>+VLOOKUP($C9,ForecastImport!$B$15:$J$394,COLUMN()-3,FALSE)</f>
        <v>204-207</v>
      </c>
      <c r="F9" s="1750" t="str">
        <f>+VLOOKUP($C9,ForecastImport!$B$15:$J$394,COLUMN()-3,FALSE)</f>
        <v>350-359.1</v>
      </c>
      <c r="G9" t="str">
        <f>+VLOOKUP($C9,ForecastImport!$B$15:$J$394,COLUMN()-3,FALSE)</f>
        <v>TRANS</v>
      </c>
      <c r="H9">
        <f>+VLOOKUP($C9,ForecastImport!$B$15:$J$394,COLUMN()-3,FALSE)</f>
        <v>0</v>
      </c>
      <c r="I9">
        <f>+VLOOKUP($C9,ForecastImport!$B$15:$J$394,COLUMN()-3,FALSE)</f>
        <v>1057719030</v>
      </c>
      <c r="J9">
        <f>+VLOOKUP($C9,ForecastImport!$B$15:$J$394,COLUMN()-3,FALSE)</f>
        <v>0</v>
      </c>
      <c r="K9">
        <f>+VLOOKUP($C9,ForecastImport!$B$15:$J$394,COLUMN()-3,FALSE)</f>
        <v>0</v>
      </c>
      <c r="L9">
        <f>+VLOOKUP($C9,ForecastImport!$B$15:$J$394,COLUMN()-3,FALSE)</f>
        <v>1057719030</v>
      </c>
    </row>
    <row r="10" spans="2:15">
      <c r="B10">
        <v>20</v>
      </c>
      <c r="C10" t="s">
        <v>140</v>
      </c>
      <c r="D10" s="1211" t="e">
        <f>'Sch 1- Rate Base '!E13:G13</f>
        <v>#VALUE!</v>
      </c>
      <c r="E10" s="1750" t="str">
        <f>+VLOOKUP($C10,ForecastImport!$B$15:$J$394,COLUMN()-3,FALSE)</f>
        <v>204-207</v>
      </c>
      <c r="F10" s="1750" t="str">
        <f>+VLOOKUP($C10,ForecastImport!$B$15:$J$394,COLUMN()-3,FALSE)</f>
        <v>360-374</v>
      </c>
      <c r="G10" t="str">
        <f>+VLOOKUP($C10,ForecastImport!$B$15:$J$394,COLUMN()-3,FALSE)</f>
        <v>DIST</v>
      </c>
      <c r="H10">
        <f>+VLOOKUP($C10,ForecastImport!$B$15:$J$394,COLUMN()-3,FALSE)</f>
        <v>0</v>
      </c>
      <c r="I10">
        <f>+VLOOKUP($C10,ForecastImport!$B$15:$J$394,COLUMN()-3,FALSE)</f>
        <v>2407306658</v>
      </c>
      <c r="J10">
        <f>+VLOOKUP($C10,ForecastImport!$B$15:$J$394,COLUMN()-3,FALSE)</f>
        <v>0</v>
      </c>
      <c r="K10">
        <f>+VLOOKUP($C10,ForecastImport!$B$15:$J$394,COLUMN()-3,FALSE)</f>
        <v>0</v>
      </c>
      <c r="L10">
        <f>+VLOOKUP($C10,ForecastImport!$B$15:$J$394,COLUMN()-3,FALSE)</f>
        <v>2407306658</v>
      </c>
    </row>
    <row r="11" spans="2:15">
      <c r="B11">
        <v>24</v>
      </c>
      <c r="C11" t="s">
        <v>125</v>
      </c>
      <c r="D11" s="1211" t="e">
        <f>'Sch 1- Rate Base '!E14:G14</f>
        <v>#VALUE!</v>
      </c>
      <c r="E11" s="1750" t="str">
        <f>+VLOOKUP($C11,ForecastImport!$B$15:$J$394,COLUMN()-3,FALSE)</f>
        <v>204-207</v>
      </c>
      <c r="F11">
        <f>+VLOOKUP($C11,ForecastImport!$B$15:$J$394,COLUMN()-3,FALSE)</f>
        <v>389</v>
      </c>
      <c r="G11" t="str">
        <f>+VLOOKUP($C11,ForecastImport!$B$15:$J$394,COLUMN()-3,FALSE)</f>
        <v>PTD</v>
      </c>
      <c r="H11">
        <f>+VLOOKUP($C11,ForecastImport!$B$15:$J$394,COLUMN()-3,FALSE)</f>
        <v>0</v>
      </c>
      <c r="I11">
        <f>+VLOOKUP($C11,ForecastImport!$B$15:$J$394,COLUMN()-3,FALSE)</f>
        <v>1083006</v>
      </c>
      <c r="J11">
        <f>+VLOOKUP($C11,ForecastImport!$B$15:$J$394,COLUMN()-3,FALSE)</f>
        <v>344136.87305185618</v>
      </c>
      <c r="K11">
        <f>+VLOOKUP($C11,ForecastImport!$B$15:$J$394,COLUMN()-3,FALSE)</f>
        <v>0</v>
      </c>
      <c r="L11">
        <f>+VLOOKUP($C11,ForecastImport!$B$15:$J$394,COLUMN()-3,FALSE)</f>
        <v>738869.1269481437</v>
      </c>
    </row>
    <row r="12" spans="2:15">
      <c r="B12">
        <v>25</v>
      </c>
      <c r="C12" t="s">
        <v>126</v>
      </c>
      <c r="D12" s="1211" t="e">
        <f>'Sch 1- Rate Base '!E15:G15</f>
        <v>#VALUE!</v>
      </c>
      <c r="E12" s="1750" t="str">
        <f>+VLOOKUP($C12,ForecastImport!$B$15:$J$394,COLUMN()-3,FALSE)</f>
        <v>204-207</v>
      </c>
      <c r="F12">
        <f>+VLOOKUP($C12,ForecastImport!$B$15:$J$394,COLUMN()-3,FALSE)</f>
        <v>390</v>
      </c>
      <c r="G12" t="str">
        <f>+VLOOKUP($C12,ForecastImport!$B$15:$J$394,COLUMN()-3,FALSE)</f>
        <v>PTD</v>
      </c>
      <c r="H12">
        <f>+VLOOKUP($C12,ForecastImport!$B$15:$J$394,COLUMN()-3,FALSE)</f>
        <v>0</v>
      </c>
      <c r="I12">
        <f>+VLOOKUP($C12,ForecastImport!$B$15:$J$394,COLUMN()-3,FALSE)</f>
        <v>21045508</v>
      </c>
      <c r="J12">
        <f>+VLOOKUP($C12,ForecastImport!$B$15:$J$394,COLUMN()-3,FALSE)</f>
        <v>6687437.8488280065</v>
      </c>
      <c r="K12">
        <f>+VLOOKUP($C12,ForecastImport!$B$15:$J$394,COLUMN()-3,FALSE)</f>
        <v>0</v>
      </c>
      <c r="L12">
        <f>+VLOOKUP($C12,ForecastImport!$B$15:$J$394,COLUMN()-3,FALSE)</f>
        <v>14358070.151171993</v>
      </c>
    </row>
    <row r="13" spans="2:15">
      <c r="B13">
        <v>26</v>
      </c>
      <c r="C13" t="s">
        <v>127</v>
      </c>
      <c r="D13" s="1211" t="e">
        <f>'Sch 1- Rate Base '!E16:G16</f>
        <v>#VALUE!</v>
      </c>
      <c r="E13" s="1750" t="str">
        <f>+VLOOKUP($C13,ForecastImport!$B$15:$J$394,COLUMN()-3,FALSE)</f>
        <v>204-207</v>
      </c>
      <c r="F13">
        <f>+VLOOKUP($C13,ForecastImport!$B$15:$J$394,COLUMN()-3,FALSE)</f>
        <v>391</v>
      </c>
      <c r="G13" t="str">
        <f>+VLOOKUP($C13,ForecastImport!$B$15:$J$394,COLUMN()-3,FALSE)</f>
        <v>LABOR</v>
      </c>
      <c r="H13">
        <f>+VLOOKUP($C13,ForecastImport!$B$15:$J$394,COLUMN()-3,FALSE)</f>
        <v>0</v>
      </c>
      <c r="I13">
        <f>+VLOOKUP($C13,ForecastImport!$B$15:$J$394,COLUMN()-3,FALSE)</f>
        <v>3976622</v>
      </c>
      <c r="J13">
        <f>+VLOOKUP($C13,ForecastImport!$B$15:$J$394,COLUMN()-3,FALSE)</f>
        <v>1455724.5705582532</v>
      </c>
      <c r="K13">
        <f>+VLOOKUP($C13,ForecastImport!$B$15:$J$394,COLUMN()-3,FALSE)</f>
        <v>0</v>
      </c>
      <c r="L13">
        <f>+VLOOKUP($C13,ForecastImport!$B$15:$J$394,COLUMN()-3,FALSE)</f>
        <v>2520897.4294417468</v>
      </c>
    </row>
    <row r="14" spans="2:15">
      <c r="B14">
        <v>27</v>
      </c>
      <c r="C14" t="s">
        <v>128</v>
      </c>
      <c r="D14" s="1211" t="e">
        <f>'Sch 1- Rate Base '!E17:G17</f>
        <v>#VALUE!</v>
      </c>
      <c r="E14" s="1750" t="str">
        <f>+VLOOKUP($C14,ForecastImport!$B$15:$J$394,COLUMN()-3,FALSE)</f>
        <v>204-207</v>
      </c>
      <c r="F14">
        <f>+VLOOKUP($C14,ForecastImport!$B$15:$J$394,COLUMN()-3,FALSE)</f>
        <v>392</v>
      </c>
      <c r="G14" t="str">
        <f>+VLOOKUP($C14,ForecastImport!$B$15:$J$394,COLUMN()-3,FALSE)</f>
        <v>TD</v>
      </c>
      <c r="H14">
        <f>+VLOOKUP($C14,ForecastImport!$B$15:$J$394,COLUMN()-3,FALSE)</f>
        <v>0</v>
      </c>
      <c r="I14">
        <f>+VLOOKUP($C14,ForecastImport!$B$15:$J$394,COLUMN()-3,FALSE)</f>
        <v>62357831</v>
      </c>
      <c r="J14">
        <f>+VLOOKUP($C14,ForecastImport!$B$15:$J$394,COLUMN()-3,FALSE)</f>
        <v>0</v>
      </c>
      <c r="K14">
        <f>+VLOOKUP($C14,ForecastImport!$B$15:$J$394,COLUMN()-3,FALSE)</f>
        <v>0</v>
      </c>
      <c r="L14">
        <f>+VLOOKUP($C14,ForecastImport!$B$15:$J$394,COLUMN()-3,FALSE)</f>
        <v>62357831</v>
      </c>
    </row>
    <row r="15" spans="2:15">
      <c r="B15">
        <v>28</v>
      </c>
      <c r="C15" t="s">
        <v>129</v>
      </c>
      <c r="D15" s="1211" t="e">
        <f>'Sch 1- Rate Base '!E18:G18</f>
        <v>#VALUE!</v>
      </c>
      <c r="E15" s="1750" t="str">
        <f>+VLOOKUP($C15,ForecastImport!$B$15:$J$394,COLUMN()-3,FALSE)</f>
        <v>204-207</v>
      </c>
      <c r="F15">
        <f>+VLOOKUP($C15,ForecastImport!$B$15:$J$394,COLUMN()-3,FALSE)</f>
        <v>393</v>
      </c>
      <c r="G15" t="str">
        <f>+VLOOKUP($C15,ForecastImport!$B$15:$J$394,COLUMN()-3,FALSE)</f>
        <v>PTD</v>
      </c>
      <c r="H15">
        <f>+VLOOKUP($C15,ForecastImport!$B$15:$J$394,COLUMN()-3,FALSE)</f>
        <v>0</v>
      </c>
      <c r="I15">
        <f>+VLOOKUP($C15,ForecastImport!$B$15:$J$394,COLUMN()-3,FALSE)</f>
        <v>472784</v>
      </c>
      <c r="J15">
        <f>+VLOOKUP($C15,ForecastImport!$B$15:$J$394,COLUMN()-3,FALSE)</f>
        <v>150232.23083616229</v>
      </c>
      <c r="K15">
        <f>+VLOOKUP($C15,ForecastImport!$B$15:$J$394,COLUMN()-3,FALSE)</f>
        <v>0</v>
      </c>
      <c r="L15">
        <f>+VLOOKUP($C15,ForecastImport!$B$15:$J$394,COLUMN()-3,FALSE)</f>
        <v>322551.76916383771</v>
      </c>
    </row>
    <row r="16" spans="2:15">
      <c r="B16">
        <v>29</v>
      </c>
      <c r="C16" t="s">
        <v>130</v>
      </c>
      <c r="D16" s="1211" t="e">
        <f>'Sch 1- Rate Base '!E19:G19</f>
        <v>#VALUE!</v>
      </c>
      <c r="E16" s="1750" t="str">
        <f>+VLOOKUP($C16,ForecastImport!$B$15:$J$394,COLUMN()-3,FALSE)</f>
        <v>204-207</v>
      </c>
      <c r="F16">
        <f>+VLOOKUP($C16,ForecastImport!$B$15:$J$394,COLUMN()-3,FALSE)</f>
        <v>394</v>
      </c>
      <c r="G16" t="str">
        <f>+VLOOKUP($C16,ForecastImport!$B$15:$J$394,COLUMN()-3,FALSE)</f>
        <v>PTD</v>
      </c>
      <c r="H16">
        <f>+VLOOKUP($C16,ForecastImport!$B$15:$J$394,COLUMN()-3,FALSE)</f>
        <v>0</v>
      </c>
      <c r="I16">
        <f>+VLOOKUP($C16,ForecastImport!$B$15:$J$394,COLUMN()-3,FALSE)</f>
        <v>9005539</v>
      </c>
      <c r="J16">
        <f>+VLOOKUP($C16,ForecastImport!$B$15:$J$394,COLUMN()-3,FALSE)</f>
        <v>2861607.4441014547</v>
      </c>
      <c r="K16">
        <f>+VLOOKUP($C16,ForecastImport!$B$15:$J$394,COLUMN()-3,FALSE)</f>
        <v>0</v>
      </c>
      <c r="L16">
        <f>+VLOOKUP($C16,ForecastImport!$B$15:$J$394,COLUMN()-3,FALSE)</f>
        <v>6143931.5558985453</v>
      </c>
    </row>
    <row r="17" spans="2:12">
      <c r="B17">
        <v>30</v>
      </c>
      <c r="C17" t="s">
        <v>131</v>
      </c>
      <c r="D17" s="1211" t="e">
        <f>'Sch 1- Rate Base '!E20:G20</f>
        <v>#VALUE!</v>
      </c>
      <c r="E17" s="1750" t="str">
        <f>+VLOOKUP($C17,ForecastImport!$B$15:$J$394,COLUMN()-3,FALSE)</f>
        <v>204-207</v>
      </c>
      <c r="F17">
        <f>+VLOOKUP($C17,ForecastImport!$B$15:$J$394,COLUMN()-3,FALSE)</f>
        <v>395</v>
      </c>
      <c r="G17" t="str">
        <f>+VLOOKUP($C17,ForecastImport!$B$15:$J$394,COLUMN()-3,FALSE)</f>
        <v>PTD</v>
      </c>
      <c r="H17">
        <f>+VLOOKUP($C17,ForecastImport!$B$15:$J$394,COLUMN()-3,FALSE)</f>
        <v>0</v>
      </c>
      <c r="I17">
        <f>+VLOOKUP($C17,ForecastImport!$B$15:$J$394,COLUMN()-3,FALSE)</f>
        <v>3305287</v>
      </c>
      <c r="J17">
        <f>+VLOOKUP($C17,ForecastImport!$B$15:$J$394,COLUMN()-3,FALSE)</f>
        <v>1050290.7026544178</v>
      </c>
      <c r="K17">
        <f>+VLOOKUP($C17,ForecastImport!$B$15:$J$394,COLUMN()-3,FALSE)</f>
        <v>0</v>
      </c>
      <c r="L17">
        <f>+VLOOKUP($C17,ForecastImport!$B$15:$J$394,COLUMN()-3,FALSE)</f>
        <v>2254996.2973455819</v>
      </c>
    </row>
    <row r="18" spans="2:12">
      <c r="B18">
        <v>31</v>
      </c>
      <c r="C18" t="s">
        <v>132</v>
      </c>
      <c r="D18" s="1211" t="e">
        <f>'Sch 1- Rate Base '!E21:G21</f>
        <v>#VALUE!</v>
      </c>
      <c r="E18" s="1750" t="str">
        <f>+VLOOKUP($C18,ForecastImport!$B$15:$J$394,COLUMN()-3,FALSE)</f>
        <v>204-207</v>
      </c>
      <c r="F18">
        <f>+VLOOKUP($C18,ForecastImport!$B$15:$J$394,COLUMN()-3,FALSE)</f>
        <v>396</v>
      </c>
      <c r="G18" t="str">
        <f>+VLOOKUP($C18,ForecastImport!$B$15:$J$394,COLUMN()-3,FALSE)</f>
        <v>TD</v>
      </c>
      <c r="H18">
        <f>+VLOOKUP($C18,ForecastImport!$B$15:$J$394,COLUMN()-3,FALSE)</f>
        <v>0</v>
      </c>
      <c r="I18">
        <f>+VLOOKUP($C18,ForecastImport!$B$15:$J$394,COLUMN()-3,FALSE)</f>
        <v>25432532</v>
      </c>
      <c r="J18">
        <f>+VLOOKUP($C18,ForecastImport!$B$15:$J$394,COLUMN()-3,FALSE)</f>
        <v>0</v>
      </c>
      <c r="K18">
        <f>+VLOOKUP($C18,ForecastImport!$B$15:$J$394,COLUMN()-3,FALSE)</f>
        <v>0</v>
      </c>
      <c r="L18">
        <f>+VLOOKUP($C18,ForecastImport!$B$15:$J$394,COLUMN()-3,FALSE)</f>
        <v>25432532</v>
      </c>
    </row>
    <row r="19" spans="2:12">
      <c r="B19">
        <v>32</v>
      </c>
      <c r="C19" t="s">
        <v>133</v>
      </c>
      <c r="D19" s="1211" t="e">
        <f>'Sch 1- Rate Base '!E22:G22</f>
        <v>#VALUE!</v>
      </c>
      <c r="E19" s="1750" t="str">
        <f>+VLOOKUP($C19,ForecastImport!$B$15:$J$394,COLUMN()-3,FALSE)</f>
        <v>204-207</v>
      </c>
      <c r="F19">
        <f>+VLOOKUP($C19,ForecastImport!$B$15:$J$394,COLUMN()-3,FALSE)</f>
        <v>397</v>
      </c>
      <c r="G19" t="str">
        <f>+VLOOKUP($C19,ForecastImport!$B$15:$J$394,COLUMN()-3,FALSE)</f>
        <v>PTD</v>
      </c>
      <c r="H19">
        <f>+VLOOKUP($C19,ForecastImport!$B$15:$J$394,COLUMN()-3,FALSE)</f>
        <v>0</v>
      </c>
      <c r="I19">
        <f>+VLOOKUP($C19,ForecastImport!$B$15:$J$394,COLUMN()-3,FALSE)</f>
        <v>42279271</v>
      </c>
      <c r="J19">
        <f>+VLOOKUP($C19,ForecastImport!$B$15:$J$394,COLUMN()-3,FALSE)</f>
        <v>13434695.760551672</v>
      </c>
      <c r="K19">
        <f>+VLOOKUP($C19,ForecastImport!$B$15:$J$394,COLUMN()-3,FALSE)</f>
        <v>0</v>
      </c>
      <c r="L19">
        <f>+VLOOKUP($C19,ForecastImport!$B$15:$J$394,COLUMN()-3,FALSE)</f>
        <v>28844575.239448324</v>
      </c>
    </row>
    <row r="20" spans="2:12">
      <c r="B20">
        <v>33</v>
      </c>
      <c r="C20" t="s">
        <v>134</v>
      </c>
      <c r="D20" s="1211" t="e">
        <f>'Sch 1- Rate Base '!E23:G23</f>
        <v>#VALUE!</v>
      </c>
      <c r="E20" s="1750" t="str">
        <f>+VLOOKUP($C20,ForecastImport!$B$15:$J$394,COLUMN()-3,FALSE)</f>
        <v>204-207</v>
      </c>
      <c r="F20">
        <f>+VLOOKUP($C20,ForecastImport!$B$15:$J$394,COLUMN()-3,FALSE)</f>
        <v>398</v>
      </c>
      <c r="G20" t="str">
        <f>+VLOOKUP($C20,ForecastImport!$B$15:$J$394,COLUMN()-3,FALSE)</f>
        <v>PTD</v>
      </c>
      <c r="H20">
        <f>+VLOOKUP($C20,ForecastImport!$B$15:$J$394,COLUMN()-3,FALSE)</f>
        <v>0</v>
      </c>
      <c r="I20">
        <f>+VLOOKUP($C20,ForecastImport!$B$15:$J$394,COLUMN()-3,FALSE)</f>
        <v>258773</v>
      </c>
      <c r="J20">
        <f>+VLOOKUP($C20,ForecastImport!$B$15:$J$394,COLUMN()-3,FALSE)</f>
        <v>82227.920297992794</v>
      </c>
      <c r="K20">
        <f>+VLOOKUP($C20,ForecastImport!$B$15:$J$394,COLUMN()-3,FALSE)</f>
        <v>0</v>
      </c>
      <c r="L20">
        <f>+VLOOKUP($C20,ForecastImport!$B$15:$J$394,COLUMN()-3,FALSE)</f>
        <v>176545.07970200721</v>
      </c>
    </row>
    <row r="21" spans="2:12">
      <c r="B21">
        <v>34</v>
      </c>
      <c r="C21" t="s">
        <v>256</v>
      </c>
      <c r="D21" s="1211" t="e">
        <f>'Sch 1- Rate Base '!E24:G24</f>
        <v>#VALUE!</v>
      </c>
      <c r="E21" s="1750" t="str">
        <f>+VLOOKUP($C21,ForecastImport!$B$15:$J$394,COLUMN()-3,FALSE)</f>
        <v>204-207</v>
      </c>
      <c r="F21">
        <f>+VLOOKUP($C21,ForecastImport!$B$15:$J$394,COLUMN()-3,FALSE)</f>
        <v>399</v>
      </c>
      <c r="G21" t="str">
        <f>+VLOOKUP($C21,ForecastImport!$B$15:$J$394,COLUMN()-3,FALSE)</f>
        <v>DIRECT</v>
      </c>
      <c r="H21" t="str">
        <f>+VLOOKUP($C21,ForecastImport!$B$15:$J$394,COLUMN()-3,FALSE)</f>
        <v>PTD</v>
      </c>
      <c r="I21">
        <f>+VLOOKUP($C21,ForecastImport!$B$15:$J$394,COLUMN()-3,FALSE)</f>
        <v>0</v>
      </c>
      <c r="J21">
        <f>+VLOOKUP($C21,ForecastImport!$B$15:$J$394,COLUMN()-3,FALSE)</f>
        <v>0</v>
      </c>
      <c r="K21">
        <f>+VLOOKUP($C21,ForecastImport!$B$15:$J$394,COLUMN()-3,FALSE)</f>
        <v>0</v>
      </c>
      <c r="L21">
        <f>+VLOOKUP($C21,ForecastImport!$B$15:$J$394,COLUMN()-3,FALSE)</f>
        <v>0</v>
      </c>
    </row>
    <row r="22" spans="2:12">
      <c r="B22">
        <v>35</v>
      </c>
      <c r="C22" t="s">
        <v>446</v>
      </c>
      <c r="D22" s="1211" t="e">
        <f>'Sch 1- Rate Base '!E25:G25</f>
        <v>#VALUE!</v>
      </c>
      <c r="E22" s="1750" t="str">
        <f>+VLOOKUP($C22,ForecastImport!$B$15:$J$394,COLUMN()-3,FALSE)</f>
        <v>204-207</v>
      </c>
      <c r="F22">
        <f>+VLOOKUP($C22,ForecastImport!$B$15:$J$394,COLUMN()-3,FALSE)</f>
        <v>399.1</v>
      </c>
      <c r="G22" t="str">
        <f>+VLOOKUP($C22,ForecastImport!$B$15:$J$394,COLUMN()-3,FALSE)</f>
        <v>PTD</v>
      </c>
      <c r="H22">
        <f>+VLOOKUP($C22,ForecastImport!$B$15:$J$394,COLUMN()-3,FALSE)</f>
        <v>0</v>
      </c>
      <c r="I22">
        <f>+VLOOKUP($C22,ForecastImport!$B$15:$J$394,COLUMN()-3,FALSE)</f>
        <v>0</v>
      </c>
      <c r="J22">
        <f>+VLOOKUP($C22,ForecastImport!$B$15:$J$394,COLUMN()-3,FALSE)</f>
        <v>0</v>
      </c>
      <c r="K22">
        <f>+VLOOKUP($C22,ForecastImport!$B$15:$J$394,COLUMN()-3,FALSE)</f>
        <v>0</v>
      </c>
      <c r="L22">
        <f>+VLOOKUP($C22,ForecastImport!$B$15:$J$394,COLUMN()-3,FALSE)</f>
        <v>0</v>
      </c>
    </row>
    <row r="23" spans="2:12">
      <c r="B23">
        <v>44</v>
      </c>
      <c r="C23" t="s">
        <v>88</v>
      </c>
      <c r="D23" s="1211" t="e">
        <f>'Sch 1- Rate Base '!E26:G26</f>
        <v>#VALUE!</v>
      </c>
      <c r="E23">
        <f>+VLOOKUP($C23,ForecastImport!$B$15:$J$394,COLUMN()-3,FALSE)</f>
        <v>219</v>
      </c>
      <c r="F23">
        <f>+VLOOKUP($C23,ForecastImport!$B$15:$J$394,COLUMN()-3,FALSE)</f>
        <v>108</v>
      </c>
      <c r="G23" t="str">
        <f>+VLOOKUP($C23,ForecastImport!$B$15:$J$394,COLUMN()-3,FALSE)</f>
        <v>PROD</v>
      </c>
      <c r="H23">
        <f>+VLOOKUP($C23,ForecastImport!$B$15:$J$394,COLUMN()-3,FALSE)</f>
        <v>0</v>
      </c>
      <c r="I23">
        <f>+VLOOKUP($C23,ForecastImport!$B$15:$J$394,COLUMN()-3,FALSE)</f>
        <v>394650809</v>
      </c>
      <c r="J23">
        <f>+VLOOKUP($C23,ForecastImport!$B$15:$J$394,COLUMN()-3,FALSE)</f>
        <v>394650809</v>
      </c>
      <c r="K23">
        <f>+VLOOKUP($C23,ForecastImport!$B$15:$J$394,COLUMN()-3,FALSE)</f>
        <v>0</v>
      </c>
      <c r="L23">
        <f>+VLOOKUP($C23,ForecastImport!$B$15:$J$394,COLUMN()-3,FALSE)</f>
        <v>0</v>
      </c>
    </row>
    <row r="24" spans="2:12">
      <c r="B24">
        <v>45</v>
      </c>
      <c r="C24" t="s">
        <v>89</v>
      </c>
      <c r="D24" s="1211" t="e">
        <f>'Sch 1- Rate Base '!E27:G27</f>
        <v>#VALUE!</v>
      </c>
      <c r="E24">
        <f>+VLOOKUP($C24,ForecastImport!$B$15:$J$394,COLUMN()-3,FALSE)</f>
        <v>219</v>
      </c>
      <c r="F24">
        <f>+VLOOKUP($C24,ForecastImport!$B$15:$J$394,COLUMN()-3,FALSE)</f>
        <v>108</v>
      </c>
      <c r="G24" t="str">
        <f>+VLOOKUP($C24,ForecastImport!$B$15:$J$394,COLUMN()-3,FALSE)</f>
        <v>PROD</v>
      </c>
      <c r="H24">
        <f>+VLOOKUP($C24,ForecastImport!$B$15:$J$394,COLUMN()-3,FALSE)</f>
        <v>0</v>
      </c>
      <c r="I24">
        <f>+VLOOKUP($C24,ForecastImport!$B$15:$J$394,COLUMN()-3,FALSE)</f>
        <v>0</v>
      </c>
      <c r="J24">
        <f>+VLOOKUP($C24,ForecastImport!$B$15:$J$394,COLUMN()-3,FALSE)</f>
        <v>0</v>
      </c>
      <c r="K24">
        <f>+VLOOKUP($C24,ForecastImport!$B$15:$J$394,COLUMN()-3,FALSE)</f>
        <v>0</v>
      </c>
      <c r="L24">
        <f>+VLOOKUP($C24,ForecastImport!$B$15:$J$394,COLUMN()-3,FALSE)</f>
        <v>0</v>
      </c>
    </row>
    <row r="25" spans="2:12">
      <c r="B25">
        <v>46</v>
      </c>
      <c r="C25" t="s">
        <v>326</v>
      </c>
      <c r="D25" s="1211" t="e">
        <f>'Sch 1- Rate Base '!E28:G28</f>
        <v>#VALUE!</v>
      </c>
      <c r="E25">
        <f>+VLOOKUP($C25,ForecastImport!$B$15:$J$394,COLUMN()-3,FALSE)</f>
        <v>219</v>
      </c>
      <c r="F25">
        <f>+VLOOKUP($C25,ForecastImport!$B$15:$J$394,COLUMN()-3,FALSE)</f>
        <v>108</v>
      </c>
      <c r="G25" t="str">
        <f>+VLOOKUP($C25,ForecastImport!$B$15:$J$394,COLUMN()-3,FALSE)</f>
        <v>PROD</v>
      </c>
      <c r="H25">
        <f>+VLOOKUP($C25,ForecastImport!$B$15:$J$394,COLUMN()-3,FALSE)</f>
        <v>0</v>
      </c>
      <c r="I25">
        <f>+VLOOKUP($C25,ForecastImport!$B$15:$J$394,COLUMN()-3,FALSE)</f>
        <v>202979974</v>
      </c>
      <c r="J25">
        <f>+VLOOKUP($C25,ForecastImport!$B$15:$J$394,COLUMN()-3,FALSE)</f>
        <v>202979974</v>
      </c>
      <c r="K25">
        <f>+VLOOKUP($C25,ForecastImport!$B$15:$J$394,COLUMN()-3,FALSE)</f>
        <v>0</v>
      </c>
      <c r="L25">
        <f>+VLOOKUP($C25,ForecastImport!$B$15:$J$394,COLUMN()-3,FALSE)</f>
        <v>0</v>
      </c>
    </row>
    <row r="26" spans="2:12">
      <c r="B26">
        <v>47</v>
      </c>
      <c r="C26" t="s">
        <v>137</v>
      </c>
      <c r="D26" s="1211" t="e">
        <f>'Sch 1- Rate Base '!E29:G29</f>
        <v>#VALUE!</v>
      </c>
      <c r="E26">
        <f>+VLOOKUP($C26,ForecastImport!$B$15:$J$394,COLUMN()-3,FALSE)</f>
        <v>219</v>
      </c>
      <c r="F26">
        <f>+VLOOKUP($C26,ForecastImport!$B$15:$J$394,COLUMN()-3,FALSE)</f>
        <v>108</v>
      </c>
      <c r="G26" t="str">
        <f>+VLOOKUP($C26,ForecastImport!$B$15:$J$394,COLUMN()-3,FALSE)</f>
        <v>PROD</v>
      </c>
      <c r="H26">
        <f>+VLOOKUP($C26,ForecastImport!$B$15:$J$394,COLUMN()-3,FALSE)</f>
        <v>0</v>
      </c>
      <c r="I26">
        <f>+VLOOKUP($C26,ForecastImport!$B$15:$J$394,COLUMN()-3,FALSE)</f>
        <v>177969738</v>
      </c>
      <c r="J26">
        <f>+VLOOKUP($C26,ForecastImport!$B$15:$J$394,COLUMN()-3,FALSE)</f>
        <v>177969738</v>
      </c>
      <c r="K26">
        <f>+VLOOKUP($C26,ForecastImport!$B$15:$J$394,COLUMN()-3,FALSE)</f>
        <v>0</v>
      </c>
      <c r="L26">
        <f>+VLOOKUP($C26,ForecastImport!$B$15:$J$394,COLUMN()-3,FALSE)</f>
        <v>0</v>
      </c>
    </row>
    <row r="27" spans="2:12">
      <c r="B27">
        <v>48</v>
      </c>
      <c r="C27" t="s">
        <v>143</v>
      </c>
      <c r="D27" s="1211" t="e">
        <f>'Sch 1- Rate Base '!E30:G30</f>
        <v>#VALUE!</v>
      </c>
      <c r="E27">
        <f>+VLOOKUP($C27,ForecastImport!$B$15:$J$394,COLUMN()-3,FALSE)</f>
        <v>219</v>
      </c>
      <c r="F27">
        <f>+VLOOKUP($C27,ForecastImport!$B$15:$J$394,COLUMN()-3,FALSE)</f>
        <v>108</v>
      </c>
      <c r="G27" t="str">
        <f>+VLOOKUP($C27,ForecastImport!$B$15:$J$394,COLUMN()-3,FALSE)</f>
        <v>TRANS</v>
      </c>
      <c r="H27">
        <f>+VLOOKUP($C27,ForecastImport!$B$15:$J$394,COLUMN()-3,FALSE)</f>
        <v>0</v>
      </c>
      <c r="I27">
        <f>+VLOOKUP($C27,ForecastImport!$B$15:$J$394,COLUMN()-3,FALSE)</f>
        <v>285851148</v>
      </c>
      <c r="J27">
        <f>+VLOOKUP($C27,ForecastImport!$B$15:$J$394,COLUMN()-3,FALSE)</f>
        <v>0</v>
      </c>
      <c r="K27">
        <f>+VLOOKUP($C27,ForecastImport!$B$15:$J$394,COLUMN()-3,FALSE)</f>
        <v>0</v>
      </c>
      <c r="L27">
        <f>+VLOOKUP($C27,ForecastImport!$B$15:$J$394,COLUMN()-3,FALSE)</f>
        <v>285851148</v>
      </c>
    </row>
    <row r="28" spans="2:12">
      <c r="B28">
        <v>49</v>
      </c>
      <c r="C28" t="s">
        <v>140</v>
      </c>
      <c r="D28" s="1211" t="e">
        <f>'Sch 1- Rate Base '!E31:G31</f>
        <v>#VALUE!</v>
      </c>
      <c r="E28" s="1750" t="str">
        <f>+VLOOKUP($C28,ForecastImport!$B$15:$J$394,COLUMN()-3,FALSE)</f>
        <v>204-207</v>
      </c>
      <c r="F28" s="1750" t="str">
        <f>+VLOOKUP($C28,ForecastImport!$B$15:$J$394,COLUMN()-3,FALSE)</f>
        <v>360-374</v>
      </c>
      <c r="G28" t="str">
        <f>+VLOOKUP($C28,ForecastImport!$B$15:$J$394,COLUMN()-3,FALSE)</f>
        <v>DIST</v>
      </c>
      <c r="H28">
        <f>+VLOOKUP($C28,ForecastImport!$B$15:$J$394,COLUMN()-3,FALSE)</f>
        <v>0</v>
      </c>
      <c r="I28">
        <f>+VLOOKUP($C28,ForecastImport!$B$15:$J$394,COLUMN()-3,FALSE)</f>
        <v>2407306658</v>
      </c>
      <c r="J28">
        <f>+VLOOKUP($C28,ForecastImport!$B$15:$J$394,COLUMN()-3,FALSE)</f>
        <v>0</v>
      </c>
      <c r="K28">
        <f>+VLOOKUP($C28,ForecastImport!$B$15:$J$394,COLUMN()-3,FALSE)</f>
        <v>0</v>
      </c>
      <c r="L28">
        <f>+VLOOKUP($C28,ForecastImport!$B$15:$J$394,COLUMN()-3,FALSE)</f>
        <v>2407306658</v>
      </c>
    </row>
    <row r="29" spans="2:12">
      <c r="B29">
        <v>50</v>
      </c>
      <c r="C29" t="s">
        <v>92</v>
      </c>
      <c r="D29" s="1211" t="e">
        <f>'Sch 1- Rate Base '!E32:G32</f>
        <v>#VALUE!</v>
      </c>
      <c r="E29">
        <f>+VLOOKUP($C29,ForecastImport!$B$15:$J$394,COLUMN()-3,FALSE)</f>
        <v>219</v>
      </c>
      <c r="F29">
        <f>+VLOOKUP($C29,ForecastImport!$B$15:$J$394,COLUMN()-3,FALSE)</f>
        <v>108</v>
      </c>
      <c r="G29" t="str">
        <f>+VLOOKUP($C29,ForecastImport!$B$15:$J$394,COLUMN()-3,FALSE)</f>
        <v>GP</v>
      </c>
      <c r="H29">
        <f>+VLOOKUP($C29,ForecastImport!$B$15:$J$394,COLUMN()-3,FALSE)</f>
        <v>0</v>
      </c>
      <c r="I29">
        <f>+VLOOKUP($C29,ForecastImport!$B$15:$J$394,COLUMN()-3,FALSE)</f>
        <v>78045959</v>
      </c>
      <c r="J29">
        <f>+VLOOKUP($C29,ForecastImport!$B$15:$J$394,COLUMN()-3,FALSE)</f>
        <v>12022265.525896648</v>
      </c>
      <c r="K29">
        <f>+VLOOKUP($C29,ForecastImport!$B$15:$J$394,COLUMN()-3,FALSE)</f>
        <v>0</v>
      </c>
      <c r="L29">
        <f>+VLOOKUP($C29,ForecastImport!$B$15:$J$394,COLUMN()-3,FALSE)</f>
        <v>66023693.474103346</v>
      </c>
    </row>
    <row r="30" spans="2:12">
      <c r="B30">
        <v>51</v>
      </c>
      <c r="C30" t="s">
        <v>373</v>
      </c>
      <c r="D30" s="1211" t="e">
        <f>'Sch 1- Rate Base '!E33:G33</f>
        <v>#VALUE!</v>
      </c>
      <c r="E30">
        <f>+VLOOKUP($C30,ForecastImport!$B$15:$J$394,COLUMN()-3,FALSE)</f>
        <v>219</v>
      </c>
      <c r="F30">
        <f>+VLOOKUP($C30,ForecastImport!$B$15:$J$394,COLUMN()-3,FALSE)</f>
        <v>111</v>
      </c>
      <c r="G30" t="str">
        <f>+VLOOKUP($C30,ForecastImport!$B$15:$J$394,COLUMN()-3,FALSE)</f>
        <v>DIST</v>
      </c>
      <c r="H30" t="str">
        <f>+VLOOKUP($C30,ForecastImport!$B$15:$J$394,COLUMN()-3,FALSE)</f>
        <v xml:space="preserve"> </v>
      </c>
      <c r="I30">
        <f>+VLOOKUP($C30,ForecastImport!$B$15:$J$394,COLUMN()-3,FALSE)</f>
        <v>0</v>
      </c>
      <c r="J30">
        <f>+VLOOKUP($C30,ForecastImport!$B$15:$J$394,COLUMN()-3,FALSE)</f>
        <v>0</v>
      </c>
      <c r="K30">
        <f>+VLOOKUP($C30,ForecastImport!$B$15:$J$394,COLUMN()-3,FALSE)</f>
        <v>0</v>
      </c>
      <c r="L30">
        <f>+VLOOKUP($C30,ForecastImport!$B$15:$J$394,COLUMN()-3,FALSE)</f>
        <v>0</v>
      </c>
    </row>
    <row r="31" spans="2:12">
      <c r="B31">
        <v>52</v>
      </c>
      <c r="C31" t="s">
        <v>374</v>
      </c>
      <c r="D31" s="1211" t="e">
        <f>'Sch 1- Rate Base '!E34:G34</f>
        <v>#VALUE!</v>
      </c>
      <c r="E31">
        <f>+VLOOKUP($C31,ForecastImport!$B$15:$J$394,COLUMN()-3,FALSE)</f>
        <v>219</v>
      </c>
      <c r="F31">
        <f>+VLOOKUP($C31,ForecastImport!$B$15:$J$394,COLUMN()-3,FALSE)</f>
        <v>111</v>
      </c>
      <c r="G31" t="str">
        <f>+VLOOKUP($C31,ForecastImport!$B$15:$J$394,COLUMN()-3,FALSE)</f>
        <v>DIRECT</v>
      </c>
      <c r="H31" t="str">
        <f>+VLOOKUP($C31,ForecastImport!$B$15:$J$394,COLUMN()-3,FALSE)</f>
        <v>PTD</v>
      </c>
      <c r="I31">
        <f>+VLOOKUP($C31,ForecastImport!$B$15:$J$394,COLUMN()-3,FALSE)</f>
        <v>9306035.6400000025</v>
      </c>
      <c r="J31">
        <f>+VLOOKUP($C31,ForecastImport!$B$15:$J$394,COLUMN()-3,FALSE)</f>
        <v>8402719.4400000013</v>
      </c>
      <c r="K31">
        <f>+VLOOKUP($C31,ForecastImport!$B$15:$J$394,COLUMN()-3,FALSE)</f>
        <v>0</v>
      </c>
      <c r="L31">
        <f>+VLOOKUP($C31,ForecastImport!$B$15:$J$394,COLUMN()-3,FALSE)</f>
        <v>903316.2</v>
      </c>
    </row>
    <row r="32" spans="2:12">
      <c r="B32">
        <v>53</v>
      </c>
      <c r="C32" t="s">
        <v>403</v>
      </c>
      <c r="D32" s="1211" t="e">
        <f>'Sch 1- Rate Base '!E35:G35</f>
        <v>#VALUE!</v>
      </c>
      <c r="E32">
        <f>+VLOOKUP($C32,ForecastImport!$B$15:$J$394,COLUMN()-3,FALSE)</f>
        <v>219</v>
      </c>
      <c r="F32">
        <f>+VLOOKUP($C32,ForecastImport!$B$15:$J$394,COLUMN()-3,FALSE)</f>
        <v>111</v>
      </c>
      <c r="G32" t="str">
        <f>+VLOOKUP($C32,ForecastImport!$B$15:$J$394,COLUMN()-3,FALSE)</f>
        <v>DIRECT</v>
      </c>
      <c r="H32" t="str">
        <f>+VLOOKUP($C32,ForecastImport!$B$15:$J$394,COLUMN()-3,FALSE)</f>
        <v>DIST</v>
      </c>
      <c r="I32">
        <f>+VLOOKUP($C32,ForecastImport!$B$15:$J$394,COLUMN()-3,FALSE)</f>
        <v>8218633.7199999997</v>
      </c>
      <c r="J32">
        <f>+VLOOKUP($C32,ForecastImport!$B$15:$J$394,COLUMN()-3,FALSE)</f>
        <v>4395779.3655016273</v>
      </c>
      <c r="K32">
        <f>+VLOOKUP($C32,ForecastImport!$B$15:$J$394,COLUMN()-3,FALSE)</f>
        <v>0</v>
      </c>
      <c r="L32">
        <f>+VLOOKUP($C32,ForecastImport!$B$15:$J$394,COLUMN()-3,FALSE)</f>
        <v>3822854.3512011645</v>
      </c>
    </row>
    <row r="33" spans="2:12">
      <c r="B33">
        <v>54</v>
      </c>
      <c r="C33" t="s">
        <v>253</v>
      </c>
      <c r="D33" s="1211" t="e">
        <f>'Sch 1- Rate Base '!E36:G36</f>
        <v>#VALUE!</v>
      </c>
      <c r="E33">
        <f>+VLOOKUP($C33,ForecastImport!$B$15:$J$394,COLUMN()-3,FALSE)</f>
        <v>219</v>
      </c>
      <c r="F33">
        <f>+VLOOKUP($C33,ForecastImport!$B$15:$J$394,COLUMN()-3,FALSE)</f>
        <v>108</v>
      </c>
      <c r="G33" t="str">
        <f>+VLOOKUP($C33,ForecastImport!$B$15:$J$394,COLUMN()-3,FALSE)</f>
        <v>PROD</v>
      </c>
      <c r="H33">
        <f>+VLOOKUP($C33,ForecastImport!$B$15:$J$394,COLUMN()-3,FALSE)</f>
        <v>0</v>
      </c>
      <c r="I33">
        <f>+VLOOKUP($C33,ForecastImport!$B$15:$J$394,COLUMN()-3,FALSE)</f>
        <v>0</v>
      </c>
      <c r="J33">
        <f>+VLOOKUP($C33,ForecastImport!$B$15:$J$394,COLUMN()-3,FALSE)</f>
        <v>0</v>
      </c>
      <c r="K33">
        <f>+VLOOKUP($C33,ForecastImport!$B$15:$J$394,COLUMN()-3,FALSE)</f>
        <v>0</v>
      </c>
      <c r="L33">
        <f>+VLOOKUP($C33,ForecastImport!$B$15:$J$394,COLUMN()-3,FALSE)</f>
        <v>0</v>
      </c>
    </row>
    <row r="34" spans="2:12">
      <c r="B34">
        <v>55</v>
      </c>
      <c r="C34" t="s">
        <v>28</v>
      </c>
      <c r="D34" s="1211" t="e">
        <f>'Sch 1- Rate Base '!E37:G37</f>
        <v>#VALUE!</v>
      </c>
      <c r="E34">
        <f>+VLOOKUP($C34,ForecastImport!$B$15:$J$394,COLUMN()-3,FALSE)</f>
        <v>219</v>
      </c>
      <c r="F34">
        <f>+VLOOKUP($C34,ForecastImport!$B$15:$J$394,COLUMN()-3,FALSE)</f>
        <v>111</v>
      </c>
      <c r="G34" t="str">
        <f>+VLOOKUP($C34,ForecastImport!$B$15:$J$394,COLUMN()-3,FALSE)</f>
        <v>DIST</v>
      </c>
      <c r="H34">
        <f>+VLOOKUP($C34,ForecastImport!$B$15:$J$394,COLUMN()-3,FALSE)</f>
        <v>0</v>
      </c>
      <c r="I34">
        <f>+VLOOKUP($C34,ForecastImport!$B$15:$J$394,COLUMN()-3,FALSE)</f>
        <v>0</v>
      </c>
      <c r="J34">
        <f>+VLOOKUP($C34,ForecastImport!$B$15:$J$394,COLUMN()-3,FALSE)</f>
        <v>0</v>
      </c>
      <c r="K34">
        <f>+VLOOKUP($C34,ForecastImport!$B$15:$J$394,COLUMN()-3,FALSE)</f>
        <v>0</v>
      </c>
      <c r="L34">
        <f>+VLOOKUP($C34,ForecastImport!$B$15:$J$394,COLUMN()-3,FALSE)</f>
        <v>0</v>
      </c>
    </row>
    <row r="35" spans="2:12">
      <c r="B35">
        <v>56</v>
      </c>
      <c r="C35" t="s">
        <v>29</v>
      </c>
      <c r="D35" s="1211" t="e">
        <f>'Sch 1- Rate Base '!E38:G38</f>
        <v>#VALUE!</v>
      </c>
      <c r="E35">
        <f>+VLOOKUP($C35,ForecastImport!$B$15:$J$394,COLUMN()-3,FALSE)</f>
        <v>219</v>
      </c>
      <c r="F35">
        <f>+VLOOKUP($C35,ForecastImport!$B$15:$J$394,COLUMN()-3,FALSE)</f>
        <v>108</v>
      </c>
      <c r="G35" t="str">
        <f>+VLOOKUP($C35,ForecastImport!$B$15:$J$394,COLUMN()-3,FALSE)</f>
        <v>DIRECT</v>
      </c>
      <c r="H35" t="str">
        <f>+VLOOKUP($C35,ForecastImport!$B$15:$J$394,COLUMN()-3,FALSE)</f>
        <v>PTD</v>
      </c>
      <c r="I35">
        <f>+VLOOKUP($C35,ForecastImport!$B$15:$J$394,COLUMN()-3,FALSE)</f>
        <v>0</v>
      </c>
      <c r="J35">
        <f>+VLOOKUP($C35,ForecastImport!$B$15:$J$394,COLUMN()-3,FALSE)</f>
        <v>0</v>
      </c>
      <c r="K35">
        <f>+VLOOKUP($C35,ForecastImport!$B$15:$J$394,COLUMN()-3,FALSE)</f>
        <v>0</v>
      </c>
      <c r="L35">
        <f>+VLOOKUP($C35,ForecastImport!$B$15:$J$394,COLUMN()-3,FALSE)</f>
        <v>0</v>
      </c>
    </row>
    <row r="36" spans="2:12">
      <c r="B36">
        <v>57</v>
      </c>
      <c r="C36" t="s">
        <v>162</v>
      </c>
      <c r="D36" s="1211" t="e">
        <f>'Sch 1- Rate Base '!E39:G39</f>
        <v>#VALUE!</v>
      </c>
      <c r="E36" s="1750" t="str">
        <f>+VLOOKUP($C36,ForecastImport!$B$15:$J$394,COLUMN()-3,FALSE)</f>
        <v>200-201</v>
      </c>
      <c r="F36">
        <f>+VLOOKUP($C36,ForecastImport!$B$15:$J$394,COLUMN()-3,FALSE)</f>
        <v>108</v>
      </c>
      <c r="G36" t="str">
        <f>+VLOOKUP($C36,ForecastImport!$B$15:$J$394,COLUMN()-3,FALSE)</f>
        <v>DIRECT</v>
      </c>
      <c r="H36" t="str">
        <f>+VLOOKUP($C36,ForecastImport!$B$15:$J$394,COLUMN()-3,FALSE)</f>
        <v>DIST</v>
      </c>
      <c r="I36">
        <f>+VLOOKUP($C36,ForecastImport!$B$15:$J$394,COLUMN()-3,FALSE)</f>
        <v>0</v>
      </c>
      <c r="J36">
        <f>+VLOOKUP($C36,ForecastImport!$B$15:$J$394,COLUMN()-3,FALSE)</f>
        <v>0</v>
      </c>
      <c r="K36">
        <f>+VLOOKUP($C36,ForecastImport!$B$15:$J$394,COLUMN()-3,FALSE)</f>
        <v>0</v>
      </c>
      <c r="L36">
        <f>+VLOOKUP($C36,ForecastImport!$B$15:$J$394,COLUMN()-3,FALSE)</f>
        <v>0</v>
      </c>
    </row>
    <row r="37" spans="2:12">
      <c r="B37">
        <v>58</v>
      </c>
      <c r="C37" t="s">
        <v>404</v>
      </c>
      <c r="D37" s="1211" t="e">
        <f>'Sch 1- Rate Base '!E40:G40</f>
        <v>#VALUE!</v>
      </c>
      <c r="E37" s="1750" t="str">
        <f>+VLOOKUP($C37,ForecastImport!$B$15:$J$394,COLUMN()-3,FALSE)</f>
        <v>200-201</v>
      </c>
      <c r="F37">
        <f>+VLOOKUP($C37,ForecastImport!$B$15:$J$394,COLUMN()-3,FALSE)</f>
        <v>108</v>
      </c>
      <c r="G37" t="str">
        <f>+VLOOKUP($C37,ForecastImport!$B$15:$J$394,COLUMN()-3,FALSE)</f>
        <v>DIRECT</v>
      </c>
      <c r="H37" t="str">
        <f>+VLOOKUP($C37,ForecastImport!$B$15:$J$394,COLUMN()-3,FALSE)</f>
        <v>PTD</v>
      </c>
      <c r="I37">
        <f>+VLOOKUP($C37,ForecastImport!$B$15:$J$394,COLUMN()-3,FALSE)</f>
        <v>219309854</v>
      </c>
      <c r="J37">
        <f>+VLOOKUP($C37,ForecastImport!$B$15:$J$394,COLUMN()-3,FALSE)</f>
        <v>61406759.120000005</v>
      </c>
      <c r="K37">
        <f>+VLOOKUP($C37,ForecastImport!$B$15:$J$394,COLUMN()-3,FALSE)</f>
        <v>0</v>
      </c>
      <c r="L37">
        <f>+VLOOKUP($C37,ForecastImport!$B$15:$J$394,COLUMN()-3,FALSE)</f>
        <v>157903094.88</v>
      </c>
    </row>
    <row r="38" spans="2:12">
      <c r="B38">
        <v>59</v>
      </c>
      <c r="C38" t="s">
        <v>405</v>
      </c>
      <c r="D38" s="1211" t="e">
        <f>'Sch 1- Rate Base '!E41:G41</f>
        <v>#VALUE!</v>
      </c>
      <c r="E38" s="1750" t="str">
        <f>+VLOOKUP($C38,ForecastImport!$B$15:$J$394,COLUMN()-3,FALSE)</f>
        <v>200-201</v>
      </c>
      <c r="F38">
        <f>+VLOOKUP($C38,ForecastImport!$B$15:$J$394,COLUMN()-3,FALSE)</f>
        <v>108</v>
      </c>
      <c r="G38" t="str">
        <f>+VLOOKUP($C38,ForecastImport!$B$15:$J$394,COLUMN()-3,FALSE)</f>
        <v>DIRECT</v>
      </c>
      <c r="H38" t="str">
        <f>+VLOOKUP($C38,ForecastImport!$B$15:$J$394,COLUMN()-3,FALSE)</f>
        <v>DIST</v>
      </c>
      <c r="I38">
        <f>+VLOOKUP($C38,ForecastImport!$B$15:$J$394,COLUMN()-3,FALSE)</f>
        <v>0</v>
      </c>
      <c r="J38">
        <f>+VLOOKUP($C38,ForecastImport!$B$15:$J$394,COLUMN()-3,FALSE)</f>
        <v>0</v>
      </c>
      <c r="K38">
        <f>+VLOOKUP($C38,ForecastImport!$B$15:$J$394,COLUMN()-3,FALSE)</f>
        <v>0</v>
      </c>
      <c r="L38">
        <f>+VLOOKUP($C38,ForecastImport!$B$15:$J$394,COLUMN()-3,FALSE)</f>
        <v>0</v>
      </c>
    </row>
    <row r="39" spans="2:12">
      <c r="B39">
        <v>60</v>
      </c>
      <c r="C39" t="s">
        <v>551</v>
      </c>
      <c r="D39" s="1211" t="e">
        <f>'Sch 1- Rate Base '!E42:G42</f>
        <v>#VALUE!</v>
      </c>
      <c r="E39" s="1750" t="str">
        <f>+VLOOKUP($C39,ForecastImport!$B$15:$J$394,COLUMN()-3,FALSE)</f>
        <v>200-201</v>
      </c>
      <c r="F39">
        <f>+VLOOKUP($C39,ForecastImport!$B$15:$J$394,COLUMN()-3,FALSE)</f>
        <v>115</v>
      </c>
      <c r="G39" t="str">
        <f>+VLOOKUP($C39,ForecastImport!$B$15:$J$394,COLUMN()-3,FALSE)</f>
        <v>DIRECT</v>
      </c>
      <c r="H39" t="str">
        <f>+VLOOKUP($C39,ForecastImport!$B$15:$J$394,COLUMN()-3,FALSE)</f>
        <v>DIST</v>
      </c>
      <c r="I39">
        <f>+VLOOKUP($C39,ForecastImport!$B$15:$J$394,COLUMN()-3,FALSE)</f>
        <v>0</v>
      </c>
      <c r="J39">
        <f>+VLOOKUP($C39,ForecastImport!$B$15:$J$394,COLUMN()-3,FALSE)</f>
        <v>0</v>
      </c>
      <c r="K39">
        <f>+VLOOKUP($C39,ForecastImport!$B$15:$J$394,COLUMN()-3,FALSE)</f>
        <v>0</v>
      </c>
      <c r="L39">
        <f>+VLOOKUP($C39,ForecastImport!$B$15:$J$394,COLUMN()-3,FALSE)</f>
        <v>0</v>
      </c>
    </row>
    <row r="40" spans="2:12">
      <c r="B40">
        <v>71</v>
      </c>
      <c r="C40" t="s">
        <v>144</v>
      </c>
      <c r="D40" s="1211" t="e">
        <f>'Sch 1- Rate Base '!E43:G43</f>
        <v>#VALUE!</v>
      </c>
      <c r="E40" s="1750">
        <v>0</v>
      </c>
      <c r="F40">
        <f>+VLOOKUP($C40,ForecastImport!$B$15:$J$394,COLUMN()-3,FALSE)</f>
        <v>0</v>
      </c>
      <c r="G40">
        <f>+VLOOKUP($C40,ForecastImport!$B$15:$J$394,COLUMN()-3,FALSE)</f>
        <v>0</v>
      </c>
      <c r="H40">
        <f>+VLOOKUP($C40,ForecastImport!$B$15:$J$394,COLUMN()-3,FALSE)</f>
        <v>0</v>
      </c>
      <c r="I40">
        <f>+VLOOKUP($C40,ForecastImport!$B$15:$J$394,COLUMN()-3,FALSE)</f>
        <v>41593656.978750005</v>
      </c>
      <c r="J40">
        <f>+VLOOKUP($C40,ForecastImport!$B$15:$J$394,COLUMN()-3,FALSE)</f>
        <v>16843399.343093246</v>
      </c>
      <c r="K40">
        <f>+VLOOKUP($C40,ForecastImport!$B$15:$J$394,COLUMN()-3,FALSE)</f>
        <v>0</v>
      </c>
      <c r="L40">
        <f>+VLOOKUP($C40,ForecastImport!$B$15:$J$394,COLUMN()-3,FALSE)</f>
        <v>24750257.635620713</v>
      </c>
    </row>
    <row r="41" spans="2:12">
      <c r="B41">
        <v>72</v>
      </c>
      <c r="C41" t="s">
        <v>756</v>
      </c>
      <c r="D41" s="1211" t="e">
        <f>'Sch 1- Rate Base '!E44:G44</f>
        <v>#VALUE!</v>
      </c>
      <c r="E41" s="1750">
        <f>+VLOOKUP($C41,ForecastImport!$B$15:$J$394,COLUMN()-3,FALSE)</f>
        <v>0</v>
      </c>
      <c r="F41">
        <f>+VLOOKUP($C41,ForecastImport!$B$15:$J$394,COLUMN()-3,FALSE)</f>
        <v>0</v>
      </c>
      <c r="G41">
        <f>+VLOOKUP($C41,ForecastImport!$B$15:$J$394,COLUMN()-3,FALSE)</f>
        <v>0</v>
      </c>
      <c r="H41">
        <f>+VLOOKUP($C41,ForecastImport!$B$15:$J$394,COLUMN()-3,FALSE)</f>
        <v>0</v>
      </c>
      <c r="I41">
        <f>+VLOOKUP($C41,ForecastImport!$B$15:$J$394,COLUMN()-3,FALSE)</f>
        <v>29805671</v>
      </c>
      <c r="J41">
        <f>+VLOOKUP($C41,ForecastImport!$B$15:$J$394,COLUMN()-3,FALSE)</f>
        <v>29805671</v>
      </c>
      <c r="K41">
        <f>+VLOOKUP($C41,ForecastImport!$B$15:$J$394,COLUMN()-3,FALSE)</f>
        <v>0</v>
      </c>
      <c r="L41">
        <f>+VLOOKUP($C41,ForecastImport!$B$15:$J$394,COLUMN()-3,FALSE)</f>
        <v>0</v>
      </c>
    </row>
    <row r="42" spans="2:12">
      <c r="B42">
        <v>74</v>
      </c>
      <c r="C42" t="s">
        <v>437</v>
      </c>
      <c r="D42" s="1211" t="e">
        <f>'Sch 1- Rate Base '!E45:G45</f>
        <v>#VALUE!</v>
      </c>
      <c r="E42" s="1750" t="str">
        <f>+VLOOKUP($C42,ForecastImport!$B$15:$J$394,COLUMN()-3,FALSE)</f>
        <v>200-201</v>
      </c>
      <c r="F42">
        <f>+VLOOKUP($C42,ForecastImport!$B$15:$J$394,COLUMN()-3,FALSE)</f>
        <v>105</v>
      </c>
      <c r="G42" t="str">
        <f>+VLOOKUP($C42,ForecastImport!$B$15:$J$394,COLUMN()-3,FALSE)</f>
        <v>DIST</v>
      </c>
      <c r="H42">
        <f>+VLOOKUP($C42,ForecastImport!$B$15:$J$394,COLUMN()-3,FALSE)</f>
        <v>0</v>
      </c>
      <c r="I42">
        <f>+VLOOKUP($C42,ForecastImport!$B$15:$J$394,COLUMN()-3,FALSE)</f>
        <v>2928319</v>
      </c>
      <c r="J42">
        <f>+VLOOKUP($C42,ForecastImport!$B$15:$J$394,COLUMN()-3,FALSE)</f>
        <v>0</v>
      </c>
      <c r="K42">
        <f>+VLOOKUP($C42,ForecastImport!$B$15:$J$394,COLUMN()-3,FALSE)</f>
        <v>0</v>
      </c>
      <c r="L42">
        <f>+VLOOKUP($C42,ForecastImport!$B$15:$J$394,COLUMN()-3,FALSE)</f>
        <v>2928319</v>
      </c>
    </row>
    <row r="43" spans="2:12">
      <c r="B43">
        <v>75</v>
      </c>
      <c r="C43" t="s">
        <v>77</v>
      </c>
      <c r="D43" s="1211" t="e">
        <f>'Sch 1- Rate Base '!E46:G46</f>
        <v>#VALUE!</v>
      </c>
      <c r="E43" s="1750" t="str">
        <f>+VLOOKUP($C43,ForecastImport!$B$15:$J$394,COLUMN()-3,FALSE)</f>
        <v>200-201</v>
      </c>
      <c r="F43">
        <f>+VLOOKUP($C43,ForecastImport!$B$15:$J$394,COLUMN()-3,FALSE)</f>
        <v>106</v>
      </c>
      <c r="G43" t="str">
        <f>+VLOOKUP($C43,ForecastImport!$B$15:$J$394,COLUMN()-3,FALSE)</f>
        <v>PTD</v>
      </c>
      <c r="H43">
        <f>+VLOOKUP($C43,ForecastImport!$B$15:$J$394,COLUMN()-3,FALSE)</f>
        <v>0</v>
      </c>
      <c r="I43">
        <f>+VLOOKUP($C43,ForecastImport!$B$15:$J$394,COLUMN()-3,FALSE)</f>
        <v>0</v>
      </c>
      <c r="J43">
        <f>+VLOOKUP($C43,ForecastImport!$B$15:$J$394,COLUMN()-3,FALSE)</f>
        <v>0</v>
      </c>
      <c r="K43">
        <f>+VLOOKUP($C43,ForecastImport!$B$15:$J$394,COLUMN()-3,FALSE)</f>
        <v>0</v>
      </c>
      <c r="L43">
        <f>+VLOOKUP($C43,ForecastImport!$B$15:$J$394,COLUMN()-3,FALSE)</f>
        <v>0</v>
      </c>
    </row>
    <row r="44" spans="2:12">
      <c r="B44">
        <v>76</v>
      </c>
      <c r="C44" t="s">
        <v>480</v>
      </c>
      <c r="D44" s="1211" t="e">
        <f>'Sch 1- Rate Base '!E47:G47</f>
        <v>#VALUE!</v>
      </c>
      <c r="E44" s="1750" t="str">
        <f>+VLOOKUP($C44,ForecastImport!$B$15:$J$394,COLUMN()-3,FALSE)</f>
        <v>320-323</v>
      </c>
      <c r="F44" s="1750" t="str">
        <f>+VLOOKUP($C44,ForecastImport!$B$15:$J$394,COLUMN()-3,FALSE)</f>
        <v>120.1-120.6</v>
      </c>
      <c r="G44" t="str">
        <f>+VLOOKUP($C44,ForecastImport!$B$15:$J$394,COLUMN()-3,FALSE)</f>
        <v>PROD</v>
      </c>
      <c r="H44">
        <f>+VLOOKUP($C44,ForecastImport!$B$15:$J$394,COLUMN()-3,FALSE)</f>
        <v>0</v>
      </c>
      <c r="I44">
        <f>+VLOOKUP($C44,ForecastImport!$B$15:$J$394,COLUMN()-3,FALSE)</f>
        <v>0</v>
      </c>
      <c r="J44">
        <f>+VLOOKUP($C44,ForecastImport!$B$15:$J$394,COLUMN()-3,FALSE)</f>
        <v>0</v>
      </c>
      <c r="K44">
        <f>+VLOOKUP($C44,ForecastImport!$B$15:$J$394,COLUMN()-3,FALSE)</f>
        <v>0</v>
      </c>
      <c r="L44">
        <f>+VLOOKUP($C44,ForecastImport!$B$15:$J$394,COLUMN()-3,FALSE)</f>
        <v>0</v>
      </c>
    </row>
    <row r="45" spans="2:12">
      <c r="B45">
        <v>77</v>
      </c>
      <c r="C45" t="s">
        <v>80</v>
      </c>
      <c r="D45" s="1211" t="e">
        <f>'Sch 1- Rate Base '!E48:G48</f>
        <v>#VALUE!</v>
      </c>
      <c r="E45" s="1750" t="str">
        <f>+VLOOKUP($C45,ForecastImport!$B$15:$J$394,COLUMN()-3,FALSE)</f>
        <v>200-201</v>
      </c>
      <c r="F45" s="1750" t="str">
        <f>+VLOOKUP($C45,ForecastImport!$B$15:$J$394,COLUMN()-3,FALSE)</f>
        <v>107 &amp; 120.1</v>
      </c>
      <c r="G45" t="str">
        <f>+VLOOKUP($C45,ForecastImport!$B$15:$J$394,COLUMN()-3,FALSE)</f>
        <v>DIST</v>
      </c>
      <c r="H45">
        <f>+VLOOKUP($C45,ForecastImport!$B$15:$J$394,COLUMN()-3,FALSE)</f>
        <v>0</v>
      </c>
      <c r="I45">
        <f>+VLOOKUP($C45,ForecastImport!$B$15:$J$394,COLUMN()-3,FALSE)</f>
        <v>132548007</v>
      </c>
      <c r="J45">
        <f>+VLOOKUP($C45,ForecastImport!$B$15:$J$394,COLUMN()-3,FALSE)</f>
        <v>0</v>
      </c>
      <c r="K45">
        <f>+VLOOKUP($C45,ForecastImport!$B$15:$J$394,COLUMN()-3,FALSE)</f>
        <v>0</v>
      </c>
      <c r="L45">
        <f>+VLOOKUP($C45,ForecastImport!$B$15:$J$394,COLUMN()-3,FALSE)</f>
        <v>132548007</v>
      </c>
    </row>
    <row r="46" spans="2:12">
      <c r="B46">
        <v>78</v>
      </c>
      <c r="C46" t="s">
        <v>224</v>
      </c>
      <c r="D46" s="1211" t="e">
        <f>'Sch 1- Rate Base '!E49:G49</f>
        <v>#VALUE!</v>
      </c>
      <c r="E46" s="1750">
        <f>+VLOOKUP($C46,ForecastImport!$B$15:$J$394,COLUMN()-3,FALSE)</f>
        <v>356</v>
      </c>
      <c r="F46">
        <f>+VLOOKUP($C46,ForecastImport!$B$15:$J$394,COLUMN()-3,FALSE)</f>
        <v>0</v>
      </c>
      <c r="G46" t="str">
        <f>+VLOOKUP($C46,ForecastImport!$B$15:$J$394,COLUMN()-3,FALSE)</f>
        <v>DIRECT</v>
      </c>
      <c r="H46">
        <f>+VLOOKUP($C46,ForecastImport!$B$15:$J$394,COLUMN()-3,FALSE)</f>
        <v>0</v>
      </c>
      <c r="I46">
        <f>+VLOOKUP($C46,ForecastImport!$B$15:$J$394,COLUMN()-3,FALSE)</f>
        <v>527520424</v>
      </c>
      <c r="J46">
        <f>+VLOOKUP($C46,ForecastImport!$B$15:$J$394,COLUMN()-3,FALSE)</f>
        <v>95603687.228371158</v>
      </c>
      <c r="K46">
        <f>+VLOOKUP($C46,ForecastImport!$B$15:$J$394,COLUMN()-3,FALSE)</f>
        <v>0</v>
      </c>
      <c r="L46">
        <f>+VLOOKUP($C46,ForecastImport!$B$15:$J$394,COLUMN()-3,FALSE)</f>
        <v>431916736.77162886</v>
      </c>
    </row>
    <row r="47" spans="2:12">
      <c r="B47">
        <v>79</v>
      </c>
      <c r="C47" t="s">
        <v>71</v>
      </c>
      <c r="D47" s="1211" t="e">
        <f>'Sch 1- Rate Base '!E50:G50</f>
        <v>#VALUE!</v>
      </c>
      <c r="E47" s="1750" t="str">
        <f>+VLOOKUP($C47,ForecastImport!$B$15:$J$394,COLUMN()-3,FALSE)</f>
        <v>200-201</v>
      </c>
      <c r="F47">
        <f>+VLOOKUP($C47,ForecastImport!$B$15:$J$394,COLUMN()-3,FALSE)</f>
        <v>114</v>
      </c>
      <c r="G47" t="str">
        <f>+VLOOKUP($C47,ForecastImport!$B$15:$J$394,COLUMN()-3,FALSE)</f>
        <v>DIRECT</v>
      </c>
      <c r="H47" t="str">
        <f>+VLOOKUP($C47,ForecastImport!$B$15:$J$394,COLUMN()-3,FALSE)</f>
        <v>DIST</v>
      </c>
      <c r="I47">
        <f>+VLOOKUP($C47,ForecastImport!$B$15:$J$394,COLUMN()-3,FALSE)</f>
        <v>256800</v>
      </c>
      <c r="J47">
        <f>+VLOOKUP($C47,ForecastImport!$B$15:$J$394,COLUMN()-3,FALSE)</f>
        <v>0</v>
      </c>
      <c r="K47">
        <f>+VLOOKUP($C47,ForecastImport!$B$15:$J$394,COLUMN()-3,FALSE)</f>
        <v>0</v>
      </c>
      <c r="L47">
        <f>+VLOOKUP($C47,ForecastImport!$B$15:$J$394,COLUMN()-3,FALSE)</f>
        <v>256800</v>
      </c>
    </row>
    <row r="48" spans="2:12">
      <c r="B48">
        <v>82</v>
      </c>
      <c r="C48" t="s">
        <v>448</v>
      </c>
      <c r="D48" s="1211" t="e">
        <f>'Sch 1- Rate Base '!E51:G51</f>
        <v>#VALUE!</v>
      </c>
      <c r="E48" s="1750" t="str">
        <f>+VLOOKUP($C48,ForecastImport!$B$15:$J$394,COLUMN()-3,FALSE)</f>
        <v>110-111</v>
      </c>
      <c r="F48">
        <f>+VLOOKUP($C48,ForecastImport!$B$15:$J$394,COLUMN()-3,FALSE)</f>
        <v>123</v>
      </c>
      <c r="G48" t="str">
        <f>+VLOOKUP($C48,ForecastImport!$B$15:$J$394,COLUMN()-3,FALSE)</f>
        <v>DIRECT</v>
      </c>
      <c r="H48" t="str">
        <f>+VLOOKUP($C48,ForecastImport!$B$15:$J$394,COLUMN()-3,FALSE)</f>
        <v>DIST</v>
      </c>
      <c r="I48">
        <f>+VLOOKUP($C48,ForecastImport!$B$15:$J$394,COLUMN()-3,FALSE)</f>
        <v>11547000</v>
      </c>
      <c r="J48">
        <f>+VLOOKUP($C48,ForecastImport!$B$15:$J$394,COLUMN()-3,FALSE)</f>
        <v>0</v>
      </c>
      <c r="K48">
        <f>+VLOOKUP($C48,ForecastImport!$B$15:$J$394,COLUMN()-3,FALSE)</f>
        <v>0</v>
      </c>
      <c r="L48">
        <f>+VLOOKUP($C48,ForecastImport!$B$15:$J$394,COLUMN()-3,FALSE)</f>
        <v>11547000</v>
      </c>
    </row>
    <row r="49" spans="2:12">
      <c r="B49">
        <v>83</v>
      </c>
      <c r="C49" t="s">
        <v>481</v>
      </c>
      <c r="D49" s="1211" t="e">
        <f>'Sch 1- Rate Base '!E52:G52</f>
        <v>#VALUE!</v>
      </c>
      <c r="E49" s="1750" t="str">
        <f>+VLOOKUP($C49,ForecastImport!$B$15:$J$394,COLUMN()-3,FALSE)</f>
        <v>110-111</v>
      </c>
      <c r="F49">
        <f>+VLOOKUP($C49,ForecastImport!$B$15:$J$394,COLUMN()-3,FALSE)</f>
        <v>124</v>
      </c>
      <c r="G49" t="str">
        <f>+VLOOKUP($C49,ForecastImport!$B$15:$J$394,COLUMN()-3,FALSE)</f>
        <v>DIST</v>
      </c>
      <c r="H49">
        <f>+VLOOKUP($C49,ForecastImport!$B$15:$J$394,COLUMN()-3,FALSE)</f>
        <v>0</v>
      </c>
      <c r="I49">
        <f>+VLOOKUP($C49,ForecastImport!$B$15:$J$394,COLUMN()-3,FALSE)</f>
        <v>14093.53</v>
      </c>
      <c r="J49">
        <f>+VLOOKUP($C49,ForecastImport!$B$15:$J$394,COLUMN()-3,FALSE)</f>
        <v>0</v>
      </c>
      <c r="K49">
        <f>+VLOOKUP($C49,ForecastImport!$B$15:$J$394,COLUMN()-3,FALSE)</f>
        <v>0</v>
      </c>
      <c r="L49">
        <f>+VLOOKUP($C49,ForecastImport!$B$15:$J$394,COLUMN()-3,FALSE)</f>
        <v>14093.53</v>
      </c>
    </row>
    <row r="50" spans="2:12">
      <c r="B50">
        <v>84</v>
      </c>
      <c r="C50" t="s">
        <v>6</v>
      </c>
      <c r="D50" s="1211" t="e">
        <f>'Sch 1- Rate Base '!E53:G53</f>
        <v>#VALUE!</v>
      </c>
      <c r="E50" s="1750" t="str">
        <f>+VLOOKUP($C50,ForecastImport!$B$15:$J$394,COLUMN()-3,FALSE)</f>
        <v>110-111</v>
      </c>
      <c r="F50">
        <f>+VLOOKUP($C50,ForecastImport!$B$15:$J$394,COLUMN()-3,FALSE)</f>
        <v>175</v>
      </c>
      <c r="G50" t="str">
        <f>+VLOOKUP($C50,ForecastImport!$B$15:$J$394,COLUMN()-3,FALSE)</f>
        <v>DIST</v>
      </c>
      <c r="H50">
        <f>+VLOOKUP($C50,ForecastImport!$B$15:$J$394,COLUMN()-3,FALSE)</f>
        <v>0</v>
      </c>
      <c r="I50">
        <f>+VLOOKUP($C50,ForecastImport!$B$15:$J$394,COLUMN()-3,FALSE)</f>
        <v>0</v>
      </c>
      <c r="J50">
        <f>+VLOOKUP($C50,ForecastImport!$B$15:$J$394,COLUMN()-3,FALSE)</f>
        <v>0</v>
      </c>
      <c r="K50">
        <f>+VLOOKUP($C50,ForecastImport!$B$15:$J$394,COLUMN()-3,FALSE)</f>
        <v>0</v>
      </c>
      <c r="L50">
        <f>+VLOOKUP($C50,ForecastImport!$B$15:$J$394,COLUMN()-3,FALSE)</f>
        <v>0</v>
      </c>
    </row>
    <row r="51" spans="2:12">
      <c r="B51">
        <v>85</v>
      </c>
      <c r="C51" t="s">
        <v>375</v>
      </c>
      <c r="D51" s="1211" t="e">
        <f>'Sch 1- Rate Base '!E54:G54</f>
        <v>#VALUE!</v>
      </c>
      <c r="E51" s="1750" t="str">
        <f>+VLOOKUP($C51,ForecastImport!$B$15:$J$394,COLUMN()-3,FALSE)</f>
        <v>110-111</v>
      </c>
      <c r="F51">
        <f>+VLOOKUP($C51,ForecastImport!$B$15:$J$394,COLUMN()-3,FALSE)</f>
        <v>176</v>
      </c>
      <c r="G51" t="str">
        <f>+VLOOKUP($C51,ForecastImport!$B$15:$J$394,COLUMN()-3,FALSE)</f>
        <v>DIST</v>
      </c>
      <c r="H51">
        <f>+VLOOKUP($C51,ForecastImport!$B$15:$J$394,COLUMN()-3,FALSE)</f>
        <v>0</v>
      </c>
      <c r="I51">
        <f>+VLOOKUP($C51,ForecastImport!$B$15:$J$394,COLUMN()-3,FALSE)</f>
        <v>0</v>
      </c>
      <c r="J51">
        <f>+VLOOKUP($C51,ForecastImport!$B$15:$J$394,COLUMN()-3,FALSE)</f>
        <v>0</v>
      </c>
      <c r="K51">
        <f>+VLOOKUP($C51,ForecastImport!$B$15:$J$394,COLUMN()-3,FALSE)</f>
        <v>0</v>
      </c>
      <c r="L51">
        <f>+VLOOKUP($C51,ForecastImport!$B$15:$J$394,COLUMN()-3,FALSE)</f>
        <v>0</v>
      </c>
    </row>
    <row r="52" spans="2:12">
      <c r="B52">
        <v>88</v>
      </c>
      <c r="C52" t="s">
        <v>440</v>
      </c>
      <c r="D52" s="1211" t="e">
        <f>'Sch 1- Rate Base '!E55:G55</f>
        <v>#VALUE!</v>
      </c>
      <c r="E52" s="1750" t="str">
        <f>+VLOOKUP($C52,ForecastImport!$B$15:$J$394,COLUMN()-3,FALSE)</f>
        <v>110-111</v>
      </c>
      <c r="F52">
        <f>+VLOOKUP($C52,ForecastImport!$B$15:$J$394,COLUMN()-3,FALSE)</f>
        <v>151</v>
      </c>
      <c r="G52" t="str">
        <f>+VLOOKUP($C52,ForecastImport!$B$15:$J$394,COLUMN()-3,FALSE)</f>
        <v>PROD</v>
      </c>
      <c r="H52">
        <f>+VLOOKUP($C52,ForecastImport!$B$15:$J$394,COLUMN()-3,FALSE)</f>
        <v>0</v>
      </c>
      <c r="I52">
        <f>+VLOOKUP($C52,ForecastImport!$B$15:$J$394,COLUMN()-3,FALSE)</f>
        <v>4683150.17</v>
      </c>
      <c r="J52">
        <f>+VLOOKUP($C52,ForecastImport!$B$15:$J$394,COLUMN()-3,FALSE)</f>
        <v>4683150.17</v>
      </c>
      <c r="K52">
        <f>+VLOOKUP($C52,ForecastImport!$B$15:$J$394,COLUMN()-3,FALSE)</f>
        <v>0</v>
      </c>
      <c r="L52">
        <f>+VLOOKUP($C52,ForecastImport!$B$15:$J$394,COLUMN()-3,FALSE)</f>
        <v>0</v>
      </c>
    </row>
    <row r="53" spans="2:12">
      <c r="B53">
        <v>89</v>
      </c>
      <c r="C53" t="s">
        <v>7</v>
      </c>
      <c r="D53" s="1211" t="e">
        <f>'Sch 1- Rate Base '!E56:G56</f>
        <v>#VALUE!</v>
      </c>
      <c r="E53" s="1750" t="str">
        <f>+VLOOKUP($C53,ForecastImport!$B$15:$J$394,COLUMN()-3,FALSE)</f>
        <v>110-111</v>
      </c>
      <c r="F53">
        <f>+VLOOKUP($C53,ForecastImport!$B$15:$J$394,COLUMN()-3,FALSE)</f>
        <v>152</v>
      </c>
      <c r="G53" t="str">
        <f>+VLOOKUP($C53,ForecastImport!$B$15:$J$394,COLUMN()-3,FALSE)</f>
        <v>PROD</v>
      </c>
      <c r="H53">
        <f>+VLOOKUP($C53,ForecastImport!$B$15:$J$394,COLUMN()-3,FALSE)</f>
        <v>0</v>
      </c>
      <c r="I53">
        <f>+VLOOKUP($C53,ForecastImport!$B$15:$J$394,COLUMN()-3,FALSE)</f>
        <v>0</v>
      </c>
      <c r="J53">
        <f>+VLOOKUP($C53,ForecastImport!$B$15:$J$394,COLUMN()-3,FALSE)</f>
        <v>0</v>
      </c>
      <c r="K53">
        <f>+VLOOKUP($C53,ForecastImport!$B$15:$J$394,COLUMN()-3,FALSE)</f>
        <v>0</v>
      </c>
      <c r="L53">
        <f>+VLOOKUP($C53,ForecastImport!$B$15:$J$394,COLUMN()-3,FALSE)</f>
        <v>0</v>
      </c>
    </row>
    <row r="54" spans="2:12">
      <c r="B54">
        <v>90</v>
      </c>
      <c r="C54" t="s">
        <v>79</v>
      </c>
      <c r="D54" s="1211" t="e">
        <f>'Sch 1- Rate Base '!E57:G57</f>
        <v>#VALUE!</v>
      </c>
      <c r="E54" s="1750" t="str">
        <f>+VLOOKUP($C54,ForecastImport!$B$15:$J$394,COLUMN()-3,FALSE)</f>
        <v>110-111</v>
      </c>
      <c r="F54">
        <f>+VLOOKUP($C54,ForecastImport!$B$15:$J$394,COLUMN()-3,FALSE)</f>
        <v>154</v>
      </c>
      <c r="G54" t="str">
        <f>+VLOOKUP($C54,ForecastImport!$B$15:$J$394,COLUMN()-3,FALSE)</f>
        <v>PTD</v>
      </c>
      <c r="H54">
        <f>+VLOOKUP($C54,ForecastImport!$B$15:$J$394,COLUMN()-3,FALSE)</f>
        <v>0</v>
      </c>
      <c r="I54">
        <f>+VLOOKUP($C54,ForecastImport!$B$15:$J$394,COLUMN()-3,FALSE)</f>
        <v>79492527.939999998</v>
      </c>
      <c r="J54">
        <f>+VLOOKUP($C54,ForecastImport!$B$15:$J$394,COLUMN()-3,FALSE)</f>
        <v>25259610.746624589</v>
      </c>
      <c r="K54">
        <f>+VLOOKUP($C54,ForecastImport!$B$15:$J$394,COLUMN()-3,FALSE)</f>
        <v>0</v>
      </c>
      <c r="L54">
        <f>+VLOOKUP($C54,ForecastImport!$B$15:$J$394,COLUMN()-3,FALSE)</f>
        <v>54232917.193375401</v>
      </c>
    </row>
    <row r="55" spans="2:12">
      <c r="B55">
        <v>91</v>
      </c>
      <c r="C55" t="s">
        <v>355</v>
      </c>
      <c r="D55" s="1211" t="e">
        <f>'Sch 1- Rate Base '!E58:G58</f>
        <v>#VALUE!</v>
      </c>
      <c r="E55" s="1750" t="str">
        <f>+VLOOKUP($C55,ForecastImport!$B$15:$J$394,COLUMN()-3,FALSE)</f>
        <v>110-111</v>
      </c>
      <c r="F55">
        <f>+VLOOKUP($C55,ForecastImport!$B$15:$J$394,COLUMN()-3,FALSE)</f>
        <v>155</v>
      </c>
      <c r="G55" t="str">
        <f>+VLOOKUP($C55,ForecastImport!$B$15:$J$394,COLUMN()-3,FALSE)</f>
        <v>DIST</v>
      </c>
      <c r="H55">
        <f>+VLOOKUP($C55,ForecastImport!$B$15:$J$394,COLUMN()-3,FALSE)</f>
        <v>0</v>
      </c>
      <c r="I55">
        <f>+VLOOKUP($C55,ForecastImport!$B$15:$J$394,COLUMN()-3,FALSE)</f>
        <v>0</v>
      </c>
      <c r="J55">
        <f>+VLOOKUP($C55,ForecastImport!$B$15:$J$394,COLUMN()-3,FALSE)</f>
        <v>0</v>
      </c>
      <c r="K55">
        <f>+VLOOKUP($C55,ForecastImport!$B$15:$J$394,COLUMN()-3,FALSE)</f>
        <v>0</v>
      </c>
      <c r="L55">
        <f>+VLOOKUP($C55,ForecastImport!$B$15:$J$394,COLUMN()-3,FALSE)</f>
        <v>0</v>
      </c>
    </row>
    <row r="56" spans="2:12">
      <c r="B56">
        <v>92</v>
      </c>
      <c r="C56" t="s">
        <v>356</v>
      </c>
      <c r="D56" s="1211" t="e">
        <f>'Sch 1- Rate Base '!E59:G59</f>
        <v>#VALUE!</v>
      </c>
      <c r="E56" s="1750" t="str">
        <f>+VLOOKUP($C56,ForecastImport!$B$15:$J$394,COLUMN()-3,FALSE)</f>
        <v>110-111</v>
      </c>
      <c r="F56">
        <f>+VLOOKUP($C56,ForecastImport!$B$15:$J$394,COLUMN()-3,FALSE)</f>
        <v>156</v>
      </c>
      <c r="G56" t="str">
        <f>+VLOOKUP($C56,ForecastImport!$B$15:$J$394,COLUMN()-3,FALSE)</f>
        <v>DIST</v>
      </c>
      <c r="H56">
        <f>+VLOOKUP($C56,ForecastImport!$B$15:$J$394,COLUMN()-3,FALSE)</f>
        <v>0</v>
      </c>
      <c r="I56">
        <f>+VLOOKUP($C56,ForecastImport!$B$15:$J$394,COLUMN()-3,FALSE)</f>
        <v>0</v>
      </c>
      <c r="J56">
        <f>+VLOOKUP($C56,ForecastImport!$B$15:$J$394,COLUMN()-3,FALSE)</f>
        <v>0</v>
      </c>
      <c r="K56">
        <f>+VLOOKUP($C56,ForecastImport!$B$15:$J$394,COLUMN()-3,FALSE)</f>
        <v>0</v>
      </c>
      <c r="L56">
        <f>+VLOOKUP($C56,ForecastImport!$B$15:$J$394,COLUMN()-3,FALSE)</f>
        <v>0</v>
      </c>
    </row>
    <row r="57" spans="2:12">
      <c r="B57">
        <v>93</v>
      </c>
      <c r="C57" t="s">
        <v>357</v>
      </c>
      <c r="D57" s="1211" t="e">
        <f>'Sch 1- Rate Base '!E60:G60</f>
        <v>#VALUE!</v>
      </c>
      <c r="E57" s="1750" t="str">
        <f>+VLOOKUP($C57,ForecastImport!$B$15:$J$394,COLUMN()-3,FALSE)</f>
        <v>110-111</v>
      </c>
      <c r="F57">
        <f>+VLOOKUP($C57,ForecastImport!$B$15:$J$394,COLUMN()-3,FALSE)</f>
        <v>158.1</v>
      </c>
      <c r="G57" t="str">
        <f>+VLOOKUP($C57,ForecastImport!$B$15:$J$394,COLUMN()-3,FALSE)</f>
        <v>PROD</v>
      </c>
      <c r="H57">
        <f>+VLOOKUP($C57,ForecastImport!$B$15:$J$394,COLUMN()-3,FALSE)</f>
        <v>0</v>
      </c>
      <c r="I57">
        <f>+VLOOKUP($C57,ForecastImport!$B$15:$J$394,COLUMN()-3,FALSE)</f>
        <v>30071678.350000001</v>
      </c>
      <c r="J57">
        <f>+VLOOKUP($C57,ForecastImport!$B$15:$J$394,COLUMN()-3,FALSE)</f>
        <v>30071678.350000001</v>
      </c>
      <c r="K57">
        <f>+VLOOKUP($C57,ForecastImport!$B$15:$J$394,COLUMN()-3,FALSE)</f>
        <v>0</v>
      </c>
      <c r="L57">
        <f>+VLOOKUP($C57,ForecastImport!$B$15:$J$394,COLUMN()-3,FALSE)</f>
        <v>0</v>
      </c>
    </row>
    <row r="58" spans="2:12">
      <c r="B58">
        <v>94</v>
      </c>
      <c r="C58" t="s">
        <v>178</v>
      </c>
      <c r="D58" s="1211" t="e">
        <f>'Sch 1- Rate Base '!E61:G61</f>
        <v>#VALUE!</v>
      </c>
      <c r="E58" s="1750" t="str">
        <f>+VLOOKUP($C58,ForecastImport!$B$15:$J$394,COLUMN()-3,FALSE)</f>
        <v>110-111</v>
      </c>
      <c r="F58">
        <f>+VLOOKUP($C58,ForecastImport!$B$15:$J$394,COLUMN()-3,FALSE)</f>
        <v>158.19999999999999</v>
      </c>
      <c r="G58" t="str">
        <f>+VLOOKUP($C58,ForecastImport!$B$15:$J$394,COLUMN()-3,FALSE)</f>
        <v>PROD</v>
      </c>
      <c r="H58">
        <f>+VLOOKUP($C58,ForecastImport!$B$15:$J$394,COLUMN()-3,FALSE)</f>
        <v>0</v>
      </c>
      <c r="I58">
        <f>+VLOOKUP($C58,ForecastImport!$B$15:$J$394,COLUMN()-3,FALSE)</f>
        <v>0</v>
      </c>
      <c r="J58">
        <f>+VLOOKUP($C58,ForecastImport!$B$15:$J$394,COLUMN()-3,FALSE)</f>
        <v>0</v>
      </c>
      <c r="K58">
        <f>+VLOOKUP($C58,ForecastImport!$B$15:$J$394,COLUMN()-3,FALSE)</f>
        <v>0</v>
      </c>
      <c r="L58">
        <f>+VLOOKUP($C58,ForecastImport!$B$15:$J$394,COLUMN()-3,FALSE)</f>
        <v>0</v>
      </c>
    </row>
    <row r="59" spans="2:12">
      <c r="B59">
        <v>95</v>
      </c>
      <c r="C59" t="s">
        <v>55</v>
      </c>
      <c r="D59" s="1211" t="e">
        <f>'Sch 1- Rate Base '!E62:G62</f>
        <v>#VALUE!</v>
      </c>
      <c r="E59" s="1750" t="str">
        <f>+VLOOKUP($C59,ForecastImport!$B$15:$J$394,COLUMN()-3,FALSE)</f>
        <v>110-111</v>
      </c>
      <c r="F59">
        <f>+VLOOKUP($C59,ForecastImport!$B$15:$J$394,COLUMN()-3,FALSE)</f>
        <v>163</v>
      </c>
      <c r="G59" t="str">
        <f>+VLOOKUP($C59,ForecastImport!$B$15:$J$394,COLUMN()-3,FALSE)</f>
        <v>PTD</v>
      </c>
      <c r="H59">
        <f>+VLOOKUP($C59,ForecastImport!$B$15:$J$394,COLUMN()-3,FALSE)</f>
        <v>0</v>
      </c>
      <c r="I59">
        <f>+VLOOKUP($C59,ForecastImport!$B$15:$J$394,COLUMN()-3,FALSE)</f>
        <v>0</v>
      </c>
      <c r="J59">
        <f>+VLOOKUP($C59,ForecastImport!$B$15:$J$394,COLUMN()-3,FALSE)</f>
        <v>0</v>
      </c>
      <c r="K59">
        <f>+VLOOKUP($C59,ForecastImport!$B$15:$J$394,COLUMN()-3,FALSE)</f>
        <v>0</v>
      </c>
      <c r="L59">
        <f>+VLOOKUP($C59,ForecastImport!$B$15:$J$394,COLUMN()-3,FALSE)</f>
        <v>0</v>
      </c>
    </row>
    <row r="60" spans="2:12">
      <c r="B60">
        <v>96</v>
      </c>
      <c r="C60" t="s">
        <v>8</v>
      </c>
      <c r="D60" s="1211" t="e">
        <f>'Sch 1- Rate Base '!E63:G63</f>
        <v>#VALUE!</v>
      </c>
      <c r="E60" s="1750" t="str">
        <f>+VLOOKUP($C60,ForecastImport!$B$15:$J$394,COLUMN()-3,FALSE)</f>
        <v>110-111</v>
      </c>
      <c r="F60">
        <f>+VLOOKUP($C60,ForecastImport!$B$15:$J$394,COLUMN()-3,FALSE)</f>
        <v>165</v>
      </c>
      <c r="G60" t="str">
        <f>+VLOOKUP($C60,ForecastImport!$B$15:$J$394,COLUMN()-3,FALSE)</f>
        <v>PTD</v>
      </c>
      <c r="H60">
        <f>+VLOOKUP($C60,ForecastImport!$B$15:$J$394,COLUMN()-3,FALSE)</f>
        <v>0</v>
      </c>
      <c r="I60">
        <f>+VLOOKUP($C60,ForecastImport!$B$15:$J$394,COLUMN()-3,FALSE)</f>
        <v>50221551.920000002</v>
      </c>
      <c r="J60">
        <f>+VLOOKUP($C60,ForecastImport!$B$15:$J$394,COLUMN()-3,FALSE)</f>
        <v>15958441.446825081</v>
      </c>
      <c r="K60">
        <f>+VLOOKUP($C60,ForecastImport!$B$15:$J$394,COLUMN()-3,FALSE)</f>
        <v>0</v>
      </c>
      <c r="L60">
        <f>+VLOOKUP($C60,ForecastImport!$B$15:$J$394,COLUMN()-3,FALSE)</f>
        <v>34263110.473174915</v>
      </c>
    </row>
    <row r="61" spans="2:12">
      <c r="B61">
        <v>97</v>
      </c>
      <c r="C61" t="s">
        <v>9</v>
      </c>
      <c r="D61" s="1211" t="e">
        <f>'Sch 1- Rate Base '!E64:G64</f>
        <v>#VALUE!</v>
      </c>
      <c r="E61" s="1750" t="str">
        <f>+VLOOKUP($C61,ForecastImport!$B$15:$J$394,COLUMN()-3,FALSE)</f>
        <v>110-111</v>
      </c>
      <c r="F61">
        <f>+VLOOKUP($C61,ForecastImport!$B$15:$J$394,COLUMN()-3,FALSE)</f>
        <v>175</v>
      </c>
      <c r="G61" t="str">
        <f>+VLOOKUP($C61,ForecastImport!$B$15:$J$394,COLUMN()-3,FALSE)</f>
        <v>DIST</v>
      </c>
      <c r="H61">
        <f>+VLOOKUP($C61,ForecastImport!$B$15:$J$394,COLUMN()-3,FALSE)</f>
        <v>0</v>
      </c>
      <c r="I61">
        <f>+VLOOKUP($C61,ForecastImport!$B$15:$J$394,COLUMN()-3,FALSE)</f>
        <v>11821032.84</v>
      </c>
      <c r="J61">
        <f>+VLOOKUP($C61,ForecastImport!$B$15:$J$394,COLUMN()-3,FALSE)</f>
        <v>0</v>
      </c>
      <c r="K61">
        <f>+VLOOKUP($C61,ForecastImport!$B$15:$J$394,COLUMN()-3,FALSE)</f>
        <v>0</v>
      </c>
      <c r="L61">
        <f>+VLOOKUP($C61,ForecastImport!$B$15:$J$394,COLUMN()-3,FALSE)</f>
        <v>11821032.84</v>
      </c>
    </row>
    <row r="62" spans="2:12">
      <c r="B62">
        <v>98</v>
      </c>
      <c r="C62" t="s">
        <v>626</v>
      </c>
      <c r="D62" s="1211" t="e">
        <f>'Sch 1- Rate Base '!E65:G65</f>
        <v>#VALUE!</v>
      </c>
      <c r="E62" s="1750" t="str">
        <f>+VLOOKUP($C62,ForecastImport!$B$15:$J$394,COLUMN()-3,FALSE)</f>
        <v>110-111</v>
      </c>
      <c r="F62">
        <f>+VLOOKUP($C62,ForecastImport!$B$15:$J$394,COLUMN()-3,FALSE)</f>
        <v>175</v>
      </c>
      <c r="G62" t="str">
        <f>+VLOOKUP($C62,ForecastImport!$B$15:$J$394,COLUMN()-3,FALSE)</f>
        <v>DIST</v>
      </c>
      <c r="H62">
        <f>+VLOOKUP($C62,ForecastImport!$B$15:$J$394,COLUMN()-3,FALSE)</f>
        <v>0</v>
      </c>
      <c r="I62">
        <f>+VLOOKUP($C62,ForecastImport!$B$15:$J$394,COLUMN()-3,FALSE)</f>
        <v>0</v>
      </c>
      <c r="J62">
        <f>+VLOOKUP($C62,ForecastImport!$B$15:$J$394,COLUMN()-3,FALSE)</f>
        <v>0</v>
      </c>
      <c r="K62">
        <f>+VLOOKUP($C62,ForecastImport!$B$15:$J$394,COLUMN()-3,FALSE)</f>
        <v>0</v>
      </c>
      <c r="L62">
        <f>+VLOOKUP($C62,ForecastImport!$B$15:$J$394,COLUMN()-3,FALSE)</f>
        <v>0</v>
      </c>
    </row>
    <row r="63" spans="2:12">
      <c r="B63">
        <v>99</v>
      </c>
      <c r="C63" t="s">
        <v>334</v>
      </c>
      <c r="D63" s="1211" t="e">
        <f>'Sch 1- Rate Base '!E66:G66</f>
        <v>#VALUE!</v>
      </c>
      <c r="E63" s="1750" t="str">
        <f>+VLOOKUP($C63,ForecastImport!$B$15:$J$394,COLUMN()-3,FALSE)</f>
        <v>110-111</v>
      </c>
      <c r="F63">
        <f>+VLOOKUP($C63,ForecastImport!$B$15:$J$394,COLUMN()-3,FALSE)</f>
        <v>176</v>
      </c>
      <c r="G63" t="str">
        <f>+VLOOKUP($C63,ForecastImport!$B$15:$J$394,COLUMN()-3,FALSE)</f>
        <v>DIST</v>
      </c>
      <c r="H63">
        <f>+VLOOKUP($C63,ForecastImport!$B$15:$J$394,COLUMN()-3,FALSE)</f>
        <v>0</v>
      </c>
      <c r="I63">
        <f>+VLOOKUP($C63,ForecastImport!$B$15:$J$394,COLUMN()-3,FALSE)</f>
        <v>0</v>
      </c>
      <c r="J63">
        <f>+VLOOKUP($C63,ForecastImport!$B$15:$J$394,COLUMN()-3,FALSE)</f>
        <v>0</v>
      </c>
      <c r="K63">
        <f>+VLOOKUP($C63,ForecastImport!$B$15:$J$394,COLUMN()-3,FALSE)</f>
        <v>0</v>
      </c>
      <c r="L63">
        <f>+VLOOKUP($C63,ForecastImport!$B$15:$J$394,COLUMN()-3,FALSE)</f>
        <v>0</v>
      </c>
    </row>
    <row r="64" spans="2:12">
      <c r="B64">
        <v>100</v>
      </c>
      <c r="C64" t="s">
        <v>627</v>
      </c>
      <c r="D64" s="1211" t="e">
        <f>'Sch 1- Rate Base '!E67:G67</f>
        <v>#VALUE!</v>
      </c>
      <c r="E64" s="1750" t="str">
        <f>+VLOOKUP($C64,ForecastImport!$B$15:$J$394,COLUMN()-3,FALSE)</f>
        <v>110-111</v>
      </c>
      <c r="F64">
        <f>+VLOOKUP($C64,ForecastImport!$B$15:$J$394,COLUMN()-3,FALSE)</f>
        <v>176</v>
      </c>
      <c r="G64" t="str">
        <f>+VLOOKUP($C64,ForecastImport!$B$15:$J$394,COLUMN()-3,FALSE)</f>
        <v>DIST</v>
      </c>
      <c r="H64">
        <f>+VLOOKUP($C64,ForecastImport!$B$15:$J$394,COLUMN()-3,FALSE)</f>
        <v>0</v>
      </c>
      <c r="I64">
        <f>+VLOOKUP($C64,ForecastImport!$B$15:$J$394,COLUMN()-3,FALSE)</f>
        <v>0</v>
      </c>
      <c r="J64">
        <f>+VLOOKUP($C64,ForecastImport!$B$15:$J$394,COLUMN()-3,FALSE)</f>
        <v>0</v>
      </c>
      <c r="K64">
        <f>+VLOOKUP($C64,ForecastImport!$B$15:$J$394,COLUMN()-3,FALSE)</f>
        <v>0</v>
      </c>
      <c r="L64">
        <f>+VLOOKUP($C64,ForecastImport!$B$15:$J$394,COLUMN()-3,FALSE)</f>
        <v>0</v>
      </c>
    </row>
    <row r="65" spans="2:12">
      <c r="B65">
        <v>103</v>
      </c>
      <c r="C65" t="s">
        <v>10</v>
      </c>
      <c r="D65" s="1211" t="e">
        <f>'Sch 1- Rate Base '!E68:G68</f>
        <v>#VALUE!</v>
      </c>
      <c r="E65" s="1750" t="str">
        <f>+VLOOKUP($C65,ForecastImport!$B$15:$J$394,COLUMN()-3,FALSE)</f>
        <v>110-111</v>
      </c>
      <c r="F65">
        <f>+VLOOKUP($C65,ForecastImport!$B$15:$J$394,COLUMN()-3,FALSE)</f>
        <v>181</v>
      </c>
      <c r="G65" t="str">
        <f>+VLOOKUP($C65,ForecastImport!$B$15:$J$394,COLUMN()-3,FALSE)</f>
        <v>PTDG</v>
      </c>
      <c r="H65">
        <f>+VLOOKUP($C65,ForecastImport!$B$15:$J$394,COLUMN()-3,FALSE)</f>
        <v>0</v>
      </c>
      <c r="I65">
        <f>+VLOOKUP($C65,ForecastImport!$B$15:$J$394,COLUMN()-3,FALSE)</f>
        <v>21586300.960000001</v>
      </c>
      <c r="J65">
        <f>+VLOOKUP($C65,ForecastImport!$B$15:$J$394,COLUMN()-3,FALSE)</f>
        <v>6869251.0323689282</v>
      </c>
      <c r="K65">
        <f>+VLOOKUP($C65,ForecastImport!$B$15:$J$394,COLUMN()-3,FALSE)</f>
        <v>0</v>
      </c>
      <c r="L65">
        <f>+VLOOKUP($C65,ForecastImport!$B$15:$J$394,COLUMN()-3,FALSE)</f>
        <v>14717049.925413068</v>
      </c>
    </row>
    <row r="66" spans="2:12">
      <c r="B66">
        <v>104</v>
      </c>
      <c r="C66" t="s">
        <v>11</v>
      </c>
      <c r="D66" s="1211" t="e">
        <f>'Sch 1- Rate Base '!E69:G69</f>
        <v>#VALUE!</v>
      </c>
      <c r="E66" s="1750" t="str">
        <f>+VLOOKUP($C66,ForecastImport!$B$15:$J$394,COLUMN()-3,FALSE)</f>
        <v>110-111</v>
      </c>
      <c r="F66">
        <f>+VLOOKUP($C66,ForecastImport!$B$15:$J$394,COLUMN()-3,FALSE)</f>
        <v>182.1</v>
      </c>
      <c r="G66" t="str">
        <f>+VLOOKUP($C66,ForecastImport!$B$15:$J$394,COLUMN()-3,FALSE)</f>
        <v>DIRECT</v>
      </c>
      <c r="H66" t="str">
        <f>+VLOOKUP($C66,ForecastImport!$B$15:$J$394,COLUMN()-3,FALSE)</f>
        <v>DIST</v>
      </c>
      <c r="I66">
        <f>+VLOOKUP($C66,ForecastImport!$B$15:$J$394,COLUMN()-3,FALSE)</f>
        <v>0</v>
      </c>
      <c r="J66">
        <f>+VLOOKUP($C66,ForecastImport!$B$15:$J$394,COLUMN()-3,FALSE)</f>
        <v>0</v>
      </c>
      <c r="K66">
        <f>+VLOOKUP($C66,ForecastImport!$B$15:$J$394,COLUMN()-3,FALSE)</f>
        <v>0</v>
      </c>
      <c r="L66">
        <f>+VLOOKUP($C66,ForecastImport!$B$15:$J$394,COLUMN()-3,FALSE)</f>
        <v>0</v>
      </c>
    </row>
    <row r="67" spans="2:12">
      <c r="B67">
        <v>105</v>
      </c>
      <c r="C67" t="s">
        <v>12</v>
      </c>
      <c r="D67" s="1211" t="e">
        <f>'Sch 1- Rate Base '!E70:G70</f>
        <v>#VALUE!</v>
      </c>
      <c r="E67" s="1750" t="str">
        <f>+VLOOKUP($C67,ForecastImport!$B$15:$J$394,COLUMN()-3,FALSE)</f>
        <v>110-111</v>
      </c>
      <c r="F67">
        <f>+VLOOKUP($C67,ForecastImport!$B$15:$J$394,COLUMN()-3,FALSE)</f>
        <v>182.2</v>
      </c>
      <c r="G67" t="str">
        <f>+VLOOKUP($C67,ForecastImport!$B$15:$J$394,COLUMN()-3,FALSE)</f>
        <v>DIRECT</v>
      </c>
      <c r="H67" t="str">
        <f>+VLOOKUP($C67,ForecastImport!$B$15:$J$394,COLUMN()-3,FALSE)</f>
        <v>DIST</v>
      </c>
      <c r="I67">
        <f>+VLOOKUP($C67,ForecastImport!$B$15:$J$394,COLUMN()-3,FALSE)</f>
        <v>0</v>
      </c>
      <c r="J67">
        <f>+VLOOKUP($C67,ForecastImport!$B$15:$J$394,COLUMN()-3,FALSE)</f>
        <v>0</v>
      </c>
      <c r="K67">
        <f>+VLOOKUP($C67,ForecastImport!$B$15:$J$394,COLUMN()-3,FALSE)</f>
        <v>0</v>
      </c>
      <c r="L67">
        <f>+VLOOKUP($C67,ForecastImport!$B$15:$J$394,COLUMN()-3,FALSE)</f>
        <v>0</v>
      </c>
    </row>
    <row r="68" spans="2:12">
      <c r="B68">
        <v>106</v>
      </c>
      <c r="C68" t="s">
        <v>13</v>
      </c>
      <c r="D68" s="1211" t="e">
        <f>'Sch 1- Rate Base '!E71:G71</f>
        <v>#VALUE!</v>
      </c>
      <c r="E68" s="1750" t="str">
        <f>+VLOOKUP($C68,ForecastImport!$B$15:$J$394,COLUMN()-3,FALSE)</f>
        <v>110-111</v>
      </c>
      <c r="F68">
        <f>+VLOOKUP($C68,ForecastImport!$B$15:$J$394,COLUMN()-3,FALSE)</f>
        <v>182.3</v>
      </c>
      <c r="G68" t="str">
        <f>+VLOOKUP($C68,ForecastImport!$B$15:$J$394,COLUMN()-3,FALSE)</f>
        <v>DIRECT</v>
      </c>
      <c r="H68" t="str">
        <f>+VLOOKUP($C68,ForecastImport!$B$15:$J$394,COLUMN()-3,FALSE)</f>
        <v>DIST</v>
      </c>
      <c r="I68">
        <f>+VLOOKUP($C68,ForecastImport!$B$15:$J$394,COLUMN()-3,FALSE)</f>
        <v>898192106.79999995</v>
      </c>
      <c r="J68">
        <f>+VLOOKUP($C68,ForecastImport!$B$15:$J$394,COLUMN()-3,FALSE)</f>
        <v>60503537</v>
      </c>
      <c r="K68">
        <f>+VLOOKUP($C68,ForecastImport!$B$15:$J$394,COLUMN()-3,FALSE)</f>
        <v>0</v>
      </c>
      <c r="L68">
        <f>+VLOOKUP($C68,ForecastImport!$B$15:$J$394,COLUMN()-3,FALSE)</f>
        <v>837688570</v>
      </c>
    </row>
    <row r="69" spans="2:12">
      <c r="B69">
        <v>107</v>
      </c>
      <c r="C69" t="s">
        <v>628</v>
      </c>
      <c r="D69" s="1211" t="e">
        <f>'Sch 1- Rate Base '!E72:G72</f>
        <v>#VALUE!</v>
      </c>
      <c r="E69" s="1750" t="str">
        <f>+VLOOKUP($C69,ForecastImport!$B$15:$J$394,COLUMN()-3,FALSE)</f>
        <v>110-111</v>
      </c>
      <c r="F69">
        <f>+VLOOKUP($C69,ForecastImport!$B$15:$J$394,COLUMN()-3,FALSE)</f>
        <v>183</v>
      </c>
      <c r="G69" t="str">
        <f>+VLOOKUP($C69,ForecastImport!$B$15:$J$394,COLUMN()-3,FALSE)</f>
        <v>DIST</v>
      </c>
      <c r="H69">
        <f>+VLOOKUP($C69,ForecastImport!$B$15:$J$394,COLUMN()-3,FALSE)</f>
        <v>0</v>
      </c>
      <c r="I69">
        <f>+VLOOKUP($C69,ForecastImport!$B$15:$J$394,COLUMN()-3,FALSE)</f>
        <v>0</v>
      </c>
      <c r="J69">
        <f>+VLOOKUP($C69,ForecastImport!$B$15:$J$394,COLUMN()-3,FALSE)</f>
        <v>0</v>
      </c>
      <c r="K69">
        <f>+VLOOKUP($C69,ForecastImport!$B$15:$J$394,COLUMN()-3,FALSE)</f>
        <v>0</v>
      </c>
      <c r="L69">
        <f>+VLOOKUP($C69,ForecastImport!$B$15:$J$394,COLUMN()-3,FALSE)</f>
        <v>0</v>
      </c>
    </row>
    <row r="70" spans="2:12">
      <c r="B70">
        <v>108</v>
      </c>
      <c r="C70" t="s">
        <v>14</v>
      </c>
      <c r="D70" s="1211" t="e">
        <f>'Sch 1- Rate Base '!E73:G73</f>
        <v>#VALUE!</v>
      </c>
      <c r="E70" s="1750" t="str">
        <f>+VLOOKUP($C70,ForecastImport!$B$15:$J$394,COLUMN()-3,FALSE)</f>
        <v>110-111</v>
      </c>
      <c r="F70">
        <f>+VLOOKUP($C70,ForecastImport!$B$15:$J$394,COLUMN()-3,FALSE)</f>
        <v>183.1</v>
      </c>
      <c r="G70" t="str">
        <f>+VLOOKUP($C70,ForecastImport!$B$15:$J$394,COLUMN()-3,FALSE)</f>
        <v>DIST</v>
      </c>
      <c r="H70">
        <f>+VLOOKUP($C70,ForecastImport!$B$15:$J$394,COLUMN()-3,FALSE)</f>
        <v>0</v>
      </c>
      <c r="I70">
        <f>+VLOOKUP($C70,ForecastImport!$B$15:$J$394,COLUMN()-3,FALSE)</f>
        <v>0</v>
      </c>
      <c r="J70">
        <f>+VLOOKUP($C70,ForecastImport!$B$15:$J$394,COLUMN()-3,FALSE)</f>
        <v>0</v>
      </c>
      <c r="K70">
        <f>+VLOOKUP($C70,ForecastImport!$B$15:$J$394,COLUMN()-3,FALSE)</f>
        <v>0</v>
      </c>
      <c r="L70">
        <f>+VLOOKUP($C70,ForecastImport!$B$15:$J$394,COLUMN()-3,FALSE)</f>
        <v>0</v>
      </c>
    </row>
    <row r="71" spans="2:12">
      <c r="B71">
        <v>109</v>
      </c>
      <c r="C71" t="s">
        <v>449</v>
      </c>
      <c r="D71" s="1211" t="e">
        <f>'Sch 1- Rate Base '!E74:G74</f>
        <v>#VALUE!</v>
      </c>
      <c r="E71" s="1750" t="str">
        <f>+VLOOKUP($C71,ForecastImport!$B$15:$J$394,COLUMN()-3,FALSE)</f>
        <v>110-111</v>
      </c>
      <c r="F71">
        <f>+VLOOKUP($C71,ForecastImport!$B$15:$J$394,COLUMN()-3,FALSE)</f>
        <v>183.2</v>
      </c>
      <c r="G71" t="str">
        <f>+VLOOKUP($C71,ForecastImport!$B$15:$J$394,COLUMN()-3,FALSE)</f>
        <v>DIST</v>
      </c>
      <c r="H71">
        <f>+VLOOKUP($C71,ForecastImport!$B$15:$J$394,COLUMN()-3,FALSE)</f>
        <v>0</v>
      </c>
      <c r="I71">
        <f>+VLOOKUP($C71,ForecastImport!$B$15:$J$394,COLUMN()-3,FALSE)</f>
        <v>0</v>
      </c>
      <c r="J71">
        <f>+VLOOKUP($C71,ForecastImport!$B$15:$J$394,COLUMN()-3,FALSE)</f>
        <v>0</v>
      </c>
      <c r="K71">
        <f>+VLOOKUP($C71,ForecastImport!$B$15:$J$394,COLUMN()-3,FALSE)</f>
        <v>0</v>
      </c>
      <c r="L71">
        <f>+VLOOKUP($C71,ForecastImport!$B$15:$J$394,COLUMN()-3,FALSE)</f>
        <v>0</v>
      </c>
    </row>
    <row r="72" spans="2:12">
      <c r="B72">
        <v>110</v>
      </c>
      <c r="C72" t="s">
        <v>15</v>
      </c>
      <c r="D72" s="1211" t="e">
        <f>'Sch 1- Rate Base '!E75:G75</f>
        <v>#VALUE!</v>
      </c>
      <c r="E72" s="1750" t="str">
        <f>+VLOOKUP($C72,ForecastImport!$B$15:$J$394,COLUMN()-3,FALSE)</f>
        <v>110-111</v>
      </c>
      <c r="F72">
        <f>+VLOOKUP($C72,ForecastImport!$B$15:$J$394,COLUMN()-3,FALSE)</f>
        <v>184</v>
      </c>
      <c r="G72" t="str">
        <f>+VLOOKUP($C72,ForecastImport!$B$15:$J$394,COLUMN()-3,FALSE)</f>
        <v>DIST</v>
      </c>
      <c r="H72">
        <f>+VLOOKUP($C72,ForecastImport!$B$15:$J$394,COLUMN()-3,FALSE)</f>
        <v>0</v>
      </c>
      <c r="I72">
        <f>+VLOOKUP($C72,ForecastImport!$B$15:$J$394,COLUMN()-3,FALSE)</f>
        <v>858506.23</v>
      </c>
      <c r="J72">
        <f>+VLOOKUP($C72,ForecastImport!$B$15:$J$394,COLUMN()-3,FALSE)</f>
        <v>0</v>
      </c>
      <c r="K72">
        <f>+VLOOKUP($C72,ForecastImport!$B$15:$J$394,COLUMN()-3,FALSE)</f>
        <v>0</v>
      </c>
      <c r="L72">
        <f>+VLOOKUP($C72,ForecastImport!$B$15:$J$394,COLUMN()-3,FALSE)</f>
        <v>858506.23</v>
      </c>
    </row>
    <row r="73" spans="2:12">
      <c r="B73">
        <v>111</v>
      </c>
      <c r="C73" t="s">
        <v>16</v>
      </c>
      <c r="D73" s="1211" t="e">
        <f>'Sch 1- Rate Base '!E76:G76</f>
        <v>#VALUE!</v>
      </c>
      <c r="E73" s="1750" t="str">
        <f>+VLOOKUP($C73,ForecastImport!$B$15:$J$394,COLUMN()-3,FALSE)</f>
        <v>110-111</v>
      </c>
      <c r="F73">
        <f>+VLOOKUP($C73,ForecastImport!$B$15:$J$394,COLUMN()-3,FALSE)</f>
        <v>185</v>
      </c>
      <c r="G73" t="str">
        <f>+VLOOKUP($C73,ForecastImport!$B$15:$J$394,COLUMN()-3,FALSE)</f>
        <v>PTDG</v>
      </c>
      <c r="H73">
        <f>+VLOOKUP($C73,ForecastImport!$B$15:$J$394,COLUMN()-3,FALSE)</f>
        <v>0</v>
      </c>
      <c r="I73">
        <f>+VLOOKUP($C73,ForecastImport!$B$15:$J$394,COLUMN()-3,FALSE)</f>
        <v>0</v>
      </c>
      <c r="J73">
        <f>+VLOOKUP($C73,ForecastImport!$B$15:$J$394,COLUMN()-3,FALSE)</f>
        <v>0</v>
      </c>
      <c r="K73">
        <f>+VLOOKUP($C73,ForecastImport!$B$15:$J$394,COLUMN()-3,FALSE)</f>
        <v>0</v>
      </c>
      <c r="L73">
        <f>+VLOOKUP($C73,ForecastImport!$B$15:$J$394,COLUMN()-3,FALSE)</f>
        <v>0</v>
      </c>
    </row>
    <row r="74" spans="2:12">
      <c r="B74">
        <v>112</v>
      </c>
      <c r="C74" t="s">
        <v>17</v>
      </c>
      <c r="D74" s="1211" t="e">
        <f>'Sch 1- Rate Base '!E77:G77</f>
        <v>#VALUE!</v>
      </c>
      <c r="E74" s="1750" t="str">
        <f>+VLOOKUP($C74,ForecastImport!$B$15:$J$394,COLUMN()-3,FALSE)</f>
        <v>110-111</v>
      </c>
      <c r="F74">
        <f>+VLOOKUP($C74,ForecastImport!$B$15:$J$394,COLUMN()-3,FALSE)</f>
        <v>186</v>
      </c>
      <c r="G74" t="str">
        <f>+VLOOKUP($C74,ForecastImport!$B$15:$J$394,COLUMN()-3,FALSE)</f>
        <v>DIRECT</v>
      </c>
      <c r="H74" t="str">
        <f>+VLOOKUP($C74,ForecastImport!$B$15:$J$394,COLUMN()-3,FALSE)</f>
        <v>DIST</v>
      </c>
      <c r="I74">
        <f>+VLOOKUP($C74,ForecastImport!$B$15:$J$394,COLUMN()-3,FALSE)</f>
        <v>87517903.719999999</v>
      </c>
      <c r="J74">
        <f>+VLOOKUP($C74,ForecastImport!$B$15:$J$394,COLUMN()-3,FALSE)</f>
        <v>744171.25</v>
      </c>
      <c r="K74">
        <f>+VLOOKUP($C74,ForecastImport!$B$15:$J$394,COLUMN()-3,FALSE)</f>
        <v>0</v>
      </c>
      <c r="L74">
        <f>+VLOOKUP($C74,ForecastImport!$B$15:$J$394,COLUMN()-3,FALSE)</f>
        <v>86773731.969999999</v>
      </c>
    </row>
    <row r="75" spans="2:12">
      <c r="B75">
        <v>113</v>
      </c>
      <c r="C75" t="s">
        <v>18</v>
      </c>
      <c r="D75" s="1211" t="e">
        <f>'Sch 1- Rate Base '!E78:G78</f>
        <v>#VALUE!</v>
      </c>
      <c r="E75" s="1750" t="str">
        <f>+VLOOKUP($C75,ForecastImport!$B$15:$J$394,COLUMN()-3,FALSE)</f>
        <v>110-111</v>
      </c>
      <c r="F75">
        <f>+VLOOKUP($C75,ForecastImport!$B$15:$J$394,COLUMN()-3,FALSE)</f>
        <v>187</v>
      </c>
      <c r="G75" t="str">
        <f>+VLOOKUP($C75,ForecastImport!$B$15:$J$394,COLUMN()-3,FALSE)</f>
        <v>DIRECT</v>
      </c>
      <c r="H75">
        <f>+VLOOKUP($C75,ForecastImport!$B$15:$J$394,COLUMN()-3,FALSE)</f>
        <v>0</v>
      </c>
      <c r="I75">
        <f>+VLOOKUP($C75,ForecastImport!$B$15:$J$394,COLUMN()-3,FALSE)</f>
        <v>0</v>
      </c>
      <c r="J75">
        <f>+VLOOKUP($C75,ForecastImport!$B$15:$J$394,COLUMN()-3,FALSE)</f>
        <v>0</v>
      </c>
      <c r="K75">
        <f>+VLOOKUP($C75,ForecastImport!$B$15:$J$394,COLUMN()-3,FALSE)</f>
        <v>0</v>
      </c>
      <c r="L75">
        <f>+VLOOKUP($C75,ForecastImport!$B$15:$J$394,COLUMN()-3,FALSE)</f>
        <v>0</v>
      </c>
    </row>
    <row r="76" spans="2:12">
      <c r="B76">
        <v>114</v>
      </c>
      <c r="C76" t="s">
        <v>19</v>
      </c>
      <c r="D76" s="1211" t="e">
        <f>'Sch 1- Rate Base '!E79:G79</f>
        <v>#VALUE!</v>
      </c>
      <c r="E76" s="1750" t="str">
        <f>+VLOOKUP($C76,ForecastImport!$B$15:$J$394,COLUMN()-3,FALSE)</f>
        <v>110-111</v>
      </c>
      <c r="F76">
        <f>+VLOOKUP($C76,ForecastImport!$B$15:$J$394,COLUMN()-3,FALSE)</f>
        <v>188</v>
      </c>
      <c r="G76" t="str">
        <f>+VLOOKUP($C76,ForecastImport!$B$15:$J$394,COLUMN()-3,FALSE)</f>
        <v>DIST</v>
      </c>
      <c r="H76">
        <f>+VLOOKUP($C76,ForecastImport!$B$15:$J$394,COLUMN()-3,FALSE)</f>
        <v>0</v>
      </c>
      <c r="I76">
        <f>+VLOOKUP($C76,ForecastImport!$B$15:$J$394,COLUMN()-3,FALSE)</f>
        <v>0</v>
      </c>
      <c r="J76">
        <f>+VLOOKUP($C76,ForecastImport!$B$15:$J$394,COLUMN()-3,FALSE)</f>
        <v>0</v>
      </c>
      <c r="K76">
        <f>+VLOOKUP($C76,ForecastImport!$B$15:$J$394,COLUMN()-3,FALSE)</f>
        <v>0</v>
      </c>
      <c r="L76">
        <f>+VLOOKUP($C76,ForecastImport!$B$15:$J$394,COLUMN()-3,FALSE)</f>
        <v>0</v>
      </c>
    </row>
    <row r="77" spans="2:12">
      <c r="B77">
        <v>115</v>
      </c>
      <c r="C77" t="s">
        <v>20</v>
      </c>
      <c r="D77" s="1211" t="e">
        <f>'Sch 1- Rate Base '!E80:G80</f>
        <v>#VALUE!</v>
      </c>
      <c r="E77" s="1750" t="str">
        <f>+VLOOKUP($C77,ForecastImport!$B$15:$J$394,COLUMN()-3,FALSE)</f>
        <v>110-111</v>
      </c>
      <c r="F77">
        <f>+VLOOKUP($C77,ForecastImport!$B$15:$J$394,COLUMN()-3,FALSE)</f>
        <v>189</v>
      </c>
      <c r="G77" t="str">
        <f>+VLOOKUP($C77,ForecastImport!$B$15:$J$394,COLUMN()-3,FALSE)</f>
        <v>PTDG</v>
      </c>
      <c r="H77">
        <f>+VLOOKUP($C77,ForecastImport!$B$15:$J$394,COLUMN()-3,FALSE)</f>
        <v>0</v>
      </c>
      <c r="I77">
        <f>+VLOOKUP($C77,ForecastImport!$B$15:$J$394,COLUMN()-3,FALSE)</f>
        <v>5701050.9199999999</v>
      </c>
      <c r="J77">
        <f>+VLOOKUP($C77,ForecastImport!$B$15:$J$394,COLUMN()-3,FALSE)</f>
        <v>1814203.8318823581</v>
      </c>
      <c r="K77">
        <f>+VLOOKUP($C77,ForecastImport!$B$15:$J$394,COLUMN()-3,FALSE)</f>
        <v>0</v>
      </c>
      <c r="L77">
        <f>+VLOOKUP($C77,ForecastImport!$B$15:$J$394,COLUMN()-3,FALSE)</f>
        <v>3886847.0875318553</v>
      </c>
    </row>
    <row r="78" spans="2:12">
      <c r="B78">
        <v>116</v>
      </c>
      <c r="C78" t="s">
        <v>21</v>
      </c>
      <c r="D78" s="1211" t="e">
        <f>'Sch 1- Rate Base '!E81:G81</f>
        <v>#VALUE!</v>
      </c>
      <c r="E78" s="1750" t="str">
        <f>+VLOOKUP($C78,ForecastImport!$B$15:$J$394,COLUMN()-3,FALSE)</f>
        <v>110-111</v>
      </c>
      <c r="F78">
        <f>+VLOOKUP($C78,ForecastImport!$B$15:$J$394,COLUMN()-3,FALSE)</f>
        <v>190</v>
      </c>
      <c r="G78" t="str">
        <f>+VLOOKUP($C78,ForecastImport!$B$15:$J$394,COLUMN()-3,FALSE)</f>
        <v>DIST</v>
      </c>
      <c r="H78">
        <f>+VLOOKUP($C78,ForecastImport!$B$15:$J$394,COLUMN()-3,FALSE)</f>
        <v>0</v>
      </c>
      <c r="I78">
        <f>+VLOOKUP($C78,ForecastImport!$B$15:$J$394,COLUMN()-3,FALSE)</f>
        <v>214152187.74000001</v>
      </c>
      <c r="J78">
        <f>+VLOOKUP($C78,ForecastImport!$B$15:$J$394,COLUMN()-3,FALSE)</f>
        <v>0</v>
      </c>
      <c r="K78">
        <f>+VLOOKUP($C78,ForecastImport!$B$15:$J$394,COLUMN()-3,FALSE)</f>
        <v>0</v>
      </c>
      <c r="L78">
        <f>+VLOOKUP($C78,ForecastImport!$B$15:$J$394,COLUMN()-3,FALSE)</f>
        <v>214152187.74000001</v>
      </c>
    </row>
    <row r="79" spans="2:12">
      <c r="B79">
        <v>122</v>
      </c>
      <c r="C79" t="s">
        <v>332</v>
      </c>
      <c r="D79" s="1211" t="e">
        <f>'Sch 1- Rate Base '!E82:G82</f>
        <v>#VALUE!</v>
      </c>
      <c r="E79" s="1750" t="str">
        <f>+VLOOKUP($C79,ForecastImport!$B$15:$J$394,COLUMN()-3,FALSE)</f>
        <v>112-113</v>
      </c>
      <c r="F79">
        <f>+VLOOKUP($C79,ForecastImport!$B$15:$J$394,COLUMN()-3,FALSE)</f>
        <v>175</v>
      </c>
      <c r="G79" t="str">
        <f>+VLOOKUP($C79,ForecastImport!$B$15:$J$394,COLUMN()-3,FALSE)</f>
        <v>DIST</v>
      </c>
      <c r="H79">
        <f>+VLOOKUP($C79,ForecastImport!$B$15:$J$394,COLUMN()-3,FALSE)</f>
        <v>0</v>
      </c>
      <c r="I79">
        <f>+VLOOKUP($C79,ForecastImport!$B$15:$J$394,COLUMN()-3,FALSE)</f>
        <v>35118959.25</v>
      </c>
      <c r="J79">
        <f>+VLOOKUP($C79,ForecastImport!$B$15:$J$394,COLUMN()-3,FALSE)</f>
        <v>0</v>
      </c>
      <c r="K79">
        <f>+VLOOKUP($C79,ForecastImport!$B$15:$J$394,COLUMN()-3,FALSE)</f>
        <v>0</v>
      </c>
      <c r="L79">
        <f>+VLOOKUP($C79,ForecastImport!$B$15:$J$394,COLUMN()-3,FALSE)</f>
        <v>35118959.25</v>
      </c>
    </row>
    <row r="80" spans="2:12">
      <c r="B80">
        <v>123</v>
      </c>
      <c r="C80" s="1211" t="s">
        <v>629</v>
      </c>
      <c r="D80" s="1211" t="e">
        <f>'Sch 1- Rate Base '!E83:G83</f>
        <v>#VALUE!</v>
      </c>
      <c r="E80" s="1750" t="str">
        <f>+VLOOKUP($C80,ForecastImport!$B$15:$J$394,COLUMN()-3,FALSE)</f>
        <v>112-113</v>
      </c>
      <c r="F80">
        <f>+VLOOKUP($C80,ForecastImport!$B$15:$J$394,COLUMN()-3,FALSE)</f>
        <v>175</v>
      </c>
      <c r="G80" t="str">
        <f>+VLOOKUP($C80,ForecastImport!$B$15:$J$394,COLUMN()-3,FALSE)</f>
        <v>DIST</v>
      </c>
      <c r="H80">
        <f>+VLOOKUP($C80,ForecastImport!$B$15:$J$394,COLUMN()-3,FALSE)</f>
        <v>0</v>
      </c>
      <c r="I80">
        <f>+VLOOKUP($C80,ForecastImport!$B$15:$J$394,COLUMN()-3,FALSE)</f>
        <v>17902180</v>
      </c>
      <c r="J80">
        <f>+VLOOKUP($C80,ForecastImport!$B$15:$J$394,COLUMN()-3,FALSE)</f>
        <v>0</v>
      </c>
      <c r="K80">
        <f>+VLOOKUP($C80,ForecastImport!$B$15:$J$394,COLUMN()-3,FALSE)</f>
        <v>0</v>
      </c>
      <c r="L80">
        <f>+VLOOKUP($C80,ForecastImport!$B$15:$J$394,COLUMN()-3,FALSE)</f>
        <v>17902180</v>
      </c>
    </row>
    <row r="81" spans="2:12">
      <c r="B81">
        <v>124</v>
      </c>
      <c r="C81" t="s">
        <v>333</v>
      </c>
      <c r="D81" s="1211" t="e">
        <f>'Sch 1- Rate Base '!E84:G84</f>
        <v>#VALUE!</v>
      </c>
      <c r="E81" s="1750" t="str">
        <f>+VLOOKUP($C81,ForecastImport!$B$15:$J$394,COLUMN()-3,FALSE)</f>
        <v>112-113</v>
      </c>
      <c r="F81">
        <f>+VLOOKUP($C81,ForecastImport!$B$15:$J$394,COLUMN()-3,FALSE)</f>
        <v>176</v>
      </c>
      <c r="G81" t="str">
        <f>+VLOOKUP($C81,ForecastImport!$B$15:$J$394,COLUMN()-3,FALSE)</f>
        <v>DIST</v>
      </c>
      <c r="H81">
        <f>+VLOOKUP($C81,ForecastImport!$B$15:$J$394,COLUMN()-3,FALSE)</f>
        <v>0</v>
      </c>
      <c r="I81">
        <f>+VLOOKUP($C81,ForecastImport!$B$15:$J$394,COLUMN()-3,FALSE)</f>
        <v>0</v>
      </c>
      <c r="J81">
        <f>+VLOOKUP($C81,ForecastImport!$B$15:$J$394,COLUMN()-3,FALSE)</f>
        <v>0</v>
      </c>
      <c r="K81">
        <f>+VLOOKUP($C81,ForecastImport!$B$15:$J$394,COLUMN()-3,FALSE)</f>
        <v>0</v>
      </c>
      <c r="L81">
        <f>+VLOOKUP($C81,ForecastImport!$B$15:$J$394,COLUMN()-3,FALSE)</f>
        <v>0</v>
      </c>
    </row>
    <row r="82" spans="2:12">
      <c r="B82">
        <v>125</v>
      </c>
      <c r="C82" s="1211" t="s">
        <v>630</v>
      </c>
      <c r="D82" s="1211" t="e">
        <f>'Sch 1- Rate Base '!E85:G85</f>
        <v>#VALUE!</v>
      </c>
      <c r="E82" s="1750" t="str">
        <f>+VLOOKUP($C82,ForecastImport!$B$15:$J$394,COLUMN()-3,FALSE)</f>
        <v>112-113</v>
      </c>
      <c r="F82">
        <f>+VLOOKUP($C82,ForecastImport!$B$15:$J$394,COLUMN()-3,FALSE)</f>
        <v>176</v>
      </c>
      <c r="G82" t="str">
        <f>+VLOOKUP($C82,ForecastImport!$B$15:$J$394,COLUMN()-3,FALSE)</f>
        <v>DIST</v>
      </c>
      <c r="H82">
        <f>+VLOOKUP($C82,ForecastImport!$B$15:$J$394,COLUMN()-3,FALSE)</f>
        <v>0</v>
      </c>
      <c r="I82">
        <f>+VLOOKUP($C82,ForecastImport!$B$15:$J$394,COLUMN()-3,FALSE)</f>
        <v>0</v>
      </c>
      <c r="J82">
        <f>+VLOOKUP($C82,ForecastImport!$B$15:$J$394,COLUMN()-3,FALSE)</f>
        <v>0</v>
      </c>
      <c r="K82">
        <f>+VLOOKUP($C82,ForecastImport!$B$15:$J$394,COLUMN()-3,FALSE)</f>
        <v>0</v>
      </c>
      <c r="L82">
        <f>+VLOOKUP($C82,ForecastImport!$B$15:$J$394,COLUMN()-3,FALSE)</f>
        <v>0</v>
      </c>
    </row>
    <row r="83" spans="2:12">
      <c r="B83">
        <v>126</v>
      </c>
      <c r="C83" t="s">
        <v>377</v>
      </c>
      <c r="D83" s="1211" t="e">
        <f>'Sch 1- Rate Base '!E86:G86</f>
        <v>#VALUE!</v>
      </c>
      <c r="E83" s="1750" t="str">
        <f>+VLOOKUP($C83,ForecastImport!$B$15:$J$394,COLUMN()-3,FALSE)</f>
        <v>112-113</v>
      </c>
      <c r="F83">
        <f>+VLOOKUP($C83,ForecastImport!$B$15:$J$394,COLUMN()-3,FALSE)</f>
        <v>244</v>
      </c>
      <c r="G83" t="str">
        <f>+VLOOKUP($C83,ForecastImport!$B$15:$J$394,COLUMN()-3,FALSE)</f>
        <v>DIST</v>
      </c>
      <c r="H83">
        <f>+VLOOKUP($C83,ForecastImport!$B$15:$J$394,COLUMN()-3,FALSE)</f>
        <v>0</v>
      </c>
      <c r="I83">
        <f>+VLOOKUP($C83,ForecastImport!$B$15:$J$394,COLUMN()-3,FALSE)</f>
        <v>0</v>
      </c>
      <c r="J83">
        <f>+VLOOKUP($C83,ForecastImport!$B$15:$J$394,COLUMN()-3,FALSE)</f>
        <v>0</v>
      </c>
      <c r="K83">
        <f>+VLOOKUP($C83,ForecastImport!$B$15:$J$394,COLUMN()-3,FALSE)</f>
        <v>0</v>
      </c>
      <c r="L83">
        <f>+VLOOKUP($C83,ForecastImport!$B$15:$J$394,COLUMN()-3,FALSE)</f>
        <v>0</v>
      </c>
    </row>
    <row r="84" spans="2:12">
      <c r="B84">
        <v>127</v>
      </c>
      <c r="C84" t="s">
        <v>378</v>
      </c>
      <c r="D84" s="1211" t="e">
        <f>'Sch 1- Rate Base '!E87:G87</f>
        <v>#VALUE!</v>
      </c>
      <c r="E84" s="1750" t="str">
        <f>+VLOOKUP($C84,ForecastImport!$B$15:$J$394,COLUMN()-3,FALSE)</f>
        <v>112-113</v>
      </c>
      <c r="F84">
        <f>+VLOOKUP($C84,ForecastImport!$B$15:$J$394,COLUMN()-3,FALSE)</f>
        <v>245</v>
      </c>
      <c r="G84" t="str">
        <f>+VLOOKUP($C84,ForecastImport!$B$15:$J$394,COLUMN()-3,FALSE)</f>
        <v>DIST</v>
      </c>
      <c r="H84">
        <f>+VLOOKUP($C84,ForecastImport!$B$15:$J$394,COLUMN()-3,FALSE)</f>
        <v>0</v>
      </c>
      <c r="I84">
        <f>+VLOOKUP($C84,ForecastImport!$B$15:$J$394,COLUMN()-3,FALSE)</f>
        <v>0</v>
      </c>
      <c r="J84">
        <f>+VLOOKUP($C84,ForecastImport!$B$15:$J$394,COLUMN()-3,FALSE)</f>
        <v>0</v>
      </c>
      <c r="K84">
        <f>+VLOOKUP($C84,ForecastImport!$B$15:$J$394,COLUMN()-3,FALSE)</f>
        <v>0</v>
      </c>
      <c r="L84">
        <f>+VLOOKUP($C84,ForecastImport!$B$15:$J$394,COLUMN()-3,FALSE)</f>
        <v>0</v>
      </c>
    </row>
    <row r="85" spans="2:12">
      <c r="B85">
        <v>128</v>
      </c>
      <c r="C85" t="s">
        <v>22</v>
      </c>
      <c r="D85" s="1211" t="e">
        <f>'Sch 1- Rate Base '!E88:G88</f>
        <v>#VALUE!</v>
      </c>
      <c r="E85" s="1750" t="str">
        <f>+VLOOKUP($C85,ForecastImport!$B$15:$J$394,COLUMN()-3,FALSE)</f>
        <v>112-113</v>
      </c>
      <c r="F85">
        <f>+VLOOKUP($C85,ForecastImport!$B$15:$J$394,COLUMN()-3,FALSE)</f>
        <v>252</v>
      </c>
      <c r="G85" t="str">
        <f>+VLOOKUP($C85,ForecastImport!$B$15:$J$394,COLUMN()-3,FALSE)</f>
        <v>DIST</v>
      </c>
      <c r="H85">
        <f>+VLOOKUP($C85,ForecastImport!$B$15:$J$394,COLUMN()-3,FALSE)</f>
        <v>0</v>
      </c>
      <c r="I85">
        <f>+VLOOKUP($C85,ForecastImport!$B$15:$J$394,COLUMN()-3,FALSE)</f>
        <v>4436512.88</v>
      </c>
      <c r="J85">
        <f>+VLOOKUP($C85,ForecastImport!$B$15:$J$394,COLUMN()-3,FALSE)</f>
        <v>0</v>
      </c>
      <c r="K85">
        <f>+VLOOKUP($C85,ForecastImport!$B$15:$J$394,COLUMN()-3,FALSE)</f>
        <v>0</v>
      </c>
      <c r="L85">
        <f>+VLOOKUP($C85,ForecastImport!$B$15:$J$394,COLUMN()-3,FALSE)</f>
        <v>4436512.88</v>
      </c>
    </row>
    <row r="86" spans="2:12">
      <c r="B86">
        <v>129</v>
      </c>
      <c r="C86" t="s">
        <v>25</v>
      </c>
      <c r="D86" s="1211" t="e">
        <f>'Sch 1- Rate Base '!E89:G89</f>
        <v>#VALUE!</v>
      </c>
      <c r="E86" s="1750" t="str">
        <f>+VLOOKUP($C86,ForecastImport!$B$15:$J$394,COLUMN()-3,FALSE)</f>
        <v>112-113</v>
      </c>
      <c r="F86">
        <f>+VLOOKUP($C86,ForecastImport!$B$15:$J$394,COLUMN()-3,FALSE)</f>
        <v>253</v>
      </c>
      <c r="G86" t="str">
        <f>+VLOOKUP($C86,ForecastImport!$B$15:$J$394,COLUMN()-3,FALSE)</f>
        <v>DIRECT</v>
      </c>
      <c r="H86" t="str">
        <f>+VLOOKUP($C86,ForecastImport!$B$15:$J$394,COLUMN()-3,FALSE)</f>
        <v>DIST</v>
      </c>
      <c r="I86">
        <f>+VLOOKUP($C86,ForecastImport!$B$15:$J$394,COLUMN()-3,FALSE)</f>
        <v>32918242.530000001</v>
      </c>
      <c r="J86">
        <f>+VLOOKUP($C86,ForecastImport!$B$15:$J$394,COLUMN()-3,FALSE)</f>
        <v>0</v>
      </c>
      <c r="K86">
        <f>+VLOOKUP($C86,ForecastImport!$B$15:$J$394,COLUMN()-3,FALSE)</f>
        <v>0</v>
      </c>
      <c r="L86">
        <f>+VLOOKUP($C86,ForecastImport!$B$15:$J$394,COLUMN()-3,FALSE)</f>
        <v>32918243</v>
      </c>
    </row>
    <row r="87" spans="2:12">
      <c r="B87">
        <v>130</v>
      </c>
      <c r="C87" t="s">
        <v>26</v>
      </c>
      <c r="D87" s="1211" t="e">
        <f>'Sch 1- Rate Base '!E90:G90</f>
        <v>#VALUE!</v>
      </c>
      <c r="E87" s="1750" t="str">
        <f>+VLOOKUP($C87,ForecastImport!$B$15:$J$394,COLUMN()-3,FALSE)</f>
        <v>112-113</v>
      </c>
      <c r="F87">
        <f>+VLOOKUP($C87,ForecastImport!$B$15:$J$394,COLUMN()-3,FALSE)</f>
        <v>254</v>
      </c>
      <c r="G87" t="str">
        <f>+VLOOKUP($C87,ForecastImport!$B$15:$J$394,COLUMN()-3,FALSE)</f>
        <v>DIRECT</v>
      </c>
      <c r="H87" t="str">
        <f>+VLOOKUP($C87,ForecastImport!$B$15:$J$394,COLUMN()-3,FALSE)</f>
        <v>DIST</v>
      </c>
      <c r="I87">
        <f>+VLOOKUP($C87,ForecastImport!$B$15:$J$394,COLUMN()-3,FALSE)</f>
        <v>479233915.16999996</v>
      </c>
      <c r="J87">
        <f>+VLOOKUP($C87,ForecastImport!$B$15:$J$394,COLUMN()-3,FALSE)</f>
        <v>440276</v>
      </c>
      <c r="K87">
        <f>+VLOOKUP($C87,ForecastImport!$B$15:$J$394,COLUMN()-3,FALSE)</f>
        <v>0</v>
      </c>
      <c r="L87">
        <f>+VLOOKUP($C87,ForecastImport!$B$15:$J$394,COLUMN()-3,FALSE)</f>
        <v>478793639</v>
      </c>
    </row>
    <row r="88" spans="2:12">
      <c r="B88">
        <v>131</v>
      </c>
      <c r="C88" t="s">
        <v>23</v>
      </c>
      <c r="D88" s="1211" t="e">
        <f>'Sch 1- Rate Base '!E91:G91</f>
        <v>#VALUE!</v>
      </c>
      <c r="E88" s="1750" t="str">
        <f>+VLOOKUP($C88,ForecastImport!$B$15:$J$394,COLUMN()-3,FALSE)</f>
        <v>112-113</v>
      </c>
      <c r="F88">
        <f>+VLOOKUP($C88,ForecastImport!$B$15:$J$394,COLUMN()-3,FALSE)</f>
        <v>255</v>
      </c>
      <c r="G88" t="str">
        <f>+VLOOKUP($C88,ForecastImport!$B$15:$J$394,COLUMN()-3,FALSE)</f>
        <v>DIST</v>
      </c>
      <c r="H88">
        <f>+VLOOKUP($C88,ForecastImport!$B$15:$J$394,COLUMN()-3,FALSE)</f>
        <v>0</v>
      </c>
      <c r="I88">
        <f>+VLOOKUP($C88,ForecastImport!$B$15:$J$394,COLUMN()-3,FALSE)</f>
        <v>28233162.039999999</v>
      </c>
      <c r="J88">
        <f>+VLOOKUP($C88,ForecastImport!$B$15:$J$394,COLUMN()-3,FALSE)</f>
        <v>0</v>
      </c>
      <c r="K88">
        <f>+VLOOKUP($C88,ForecastImport!$B$15:$J$394,COLUMN()-3,FALSE)</f>
        <v>0</v>
      </c>
      <c r="L88">
        <f>+VLOOKUP($C88,ForecastImport!$B$15:$J$394,COLUMN()-3,FALSE)</f>
        <v>28233162.039999999</v>
      </c>
    </row>
    <row r="89" spans="2:12">
      <c r="B89">
        <v>132</v>
      </c>
      <c r="C89" t="s">
        <v>24</v>
      </c>
      <c r="D89" s="1211" t="e">
        <f>'Sch 1- Rate Base '!E92:G92</f>
        <v>#VALUE!</v>
      </c>
      <c r="E89" s="1750" t="str">
        <f>+VLOOKUP($C89,ForecastImport!$B$15:$J$394,COLUMN()-3,FALSE)</f>
        <v>112-113</v>
      </c>
      <c r="F89">
        <f>+VLOOKUP($C89,ForecastImport!$B$15:$J$394,COLUMN()-3,FALSE)</f>
        <v>256</v>
      </c>
      <c r="G89" t="str">
        <f>+VLOOKUP($C89,ForecastImport!$B$15:$J$394,COLUMN()-3,FALSE)</f>
        <v>DIRECT</v>
      </c>
      <c r="H89">
        <f>+VLOOKUP($C89,ForecastImport!$B$15:$J$394,COLUMN()-3,FALSE)</f>
        <v>0</v>
      </c>
      <c r="I89">
        <f>+VLOOKUP($C89,ForecastImport!$B$15:$J$394,COLUMN()-3,FALSE)</f>
        <v>0</v>
      </c>
      <c r="J89">
        <f>+VLOOKUP($C89,ForecastImport!$B$15:$J$394,COLUMN()-3,FALSE)</f>
        <v>0</v>
      </c>
      <c r="K89">
        <f>+VLOOKUP($C89,ForecastImport!$B$15:$J$394,COLUMN()-3,FALSE)</f>
        <v>0</v>
      </c>
      <c r="L89">
        <f>+VLOOKUP($C89,ForecastImport!$B$15:$J$394,COLUMN()-3,FALSE)</f>
        <v>0</v>
      </c>
    </row>
    <row r="90" spans="2:12">
      <c r="B90">
        <v>133</v>
      </c>
      <c r="C90" t="s">
        <v>27</v>
      </c>
      <c r="D90" s="1211" t="e">
        <f>'Sch 1- Rate Base '!E93:G93</f>
        <v>#VALUE!</v>
      </c>
      <c r="E90" s="1750" t="str">
        <f>+VLOOKUP($C90,ForecastImport!$B$15:$J$394,COLUMN()-3,FALSE)</f>
        <v>112-113</v>
      </c>
      <c r="F90">
        <f>+VLOOKUP($C90,ForecastImport!$B$15:$J$394,COLUMN()-3,FALSE)</f>
        <v>257</v>
      </c>
      <c r="G90" t="str">
        <f>+VLOOKUP($C90,ForecastImport!$B$15:$J$394,COLUMN()-3,FALSE)</f>
        <v>PTDG</v>
      </c>
      <c r="H90">
        <f>+VLOOKUP($C90,ForecastImport!$B$15:$J$394,COLUMN()-3,FALSE)</f>
        <v>0</v>
      </c>
      <c r="I90">
        <f>+VLOOKUP($C90,ForecastImport!$B$15:$J$394,COLUMN()-3,FALSE)</f>
        <v>942383.92</v>
      </c>
      <c r="J90">
        <f>+VLOOKUP($C90,ForecastImport!$B$15:$J$394,COLUMN()-3,FALSE)</f>
        <v>299887.95798517752</v>
      </c>
      <c r="K90">
        <f>+VLOOKUP($C90,ForecastImport!$B$15:$J$394,COLUMN()-3,FALSE)</f>
        <v>0</v>
      </c>
      <c r="L90">
        <f>+VLOOKUP($C90,ForecastImport!$B$15:$J$394,COLUMN()-3,FALSE)</f>
        <v>642495.96191799198</v>
      </c>
    </row>
    <row r="91" spans="2:12">
      <c r="B91">
        <v>134</v>
      </c>
      <c r="C91" t="s">
        <v>31</v>
      </c>
      <c r="D91" s="1211" t="e">
        <f>'Sch 1- Rate Base '!E94:G94</f>
        <v>#VALUE!</v>
      </c>
      <c r="E91" s="1750" t="str">
        <f>+VLOOKUP($C91,ForecastImport!$B$15:$J$394,COLUMN()-3,FALSE)</f>
        <v>112-113</v>
      </c>
      <c r="F91">
        <f>+VLOOKUP($C91,ForecastImport!$B$15:$J$394,COLUMN()-3,FALSE)</f>
        <v>281</v>
      </c>
      <c r="G91" t="str">
        <f>+VLOOKUP($C91,ForecastImport!$B$15:$J$394,COLUMN()-3,FALSE)</f>
        <v>DIST</v>
      </c>
      <c r="H91">
        <f>+VLOOKUP($C91,ForecastImport!$B$15:$J$394,COLUMN()-3,FALSE)</f>
        <v>0</v>
      </c>
      <c r="I91">
        <f>+VLOOKUP($C91,ForecastImport!$B$15:$J$394,COLUMN()-3,FALSE)</f>
        <v>0</v>
      </c>
      <c r="J91">
        <f>+VLOOKUP($C91,ForecastImport!$B$15:$J$394,COLUMN()-3,FALSE)</f>
        <v>0</v>
      </c>
      <c r="K91">
        <f>+VLOOKUP($C91,ForecastImport!$B$15:$J$394,COLUMN()-3,FALSE)</f>
        <v>0</v>
      </c>
      <c r="L91">
        <f>+VLOOKUP($C91,ForecastImport!$B$15:$J$394,COLUMN()-3,FALSE)</f>
        <v>0</v>
      </c>
    </row>
    <row r="92" spans="2:12">
      <c r="B92">
        <v>135</v>
      </c>
      <c r="C92" t="s">
        <v>32</v>
      </c>
      <c r="D92" s="1211" t="e">
        <f>'Sch 1- Rate Base '!E95:G95</f>
        <v>#VALUE!</v>
      </c>
      <c r="E92" s="1750" t="str">
        <f>+VLOOKUP($C92,ForecastImport!$B$15:$J$394,COLUMN()-3,FALSE)</f>
        <v>112-113</v>
      </c>
      <c r="F92">
        <f>+VLOOKUP($C92,ForecastImport!$B$15:$J$394,COLUMN()-3,FALSE)</f>
        <v>282</v>
      </c>
      <c r="G92" t="str">
        <f>+VLOOKUP($C92,ForecastImport!$B$15:$J$394,COLUMN()-3,FALSE)</f>
        <v>DIST</v>
      </c>
      <c r="H92">
        <f>+VLOOKUP($C92,ForecastImport!$B$15:$J$394,COLUMN()-3,FALSE)</f>
        <v>0</v>
      </c>
      <c r="I92">
        <f>+VLOOKUP($C92,ForecastImport!$B$15:$J$394,COLUMN()-3,FALSE)</f>
        <v>653219869.71000004</v>
      </c>
      <c r="J92">
        <f>+VLOOKUP($C92,ForecastImport!$B$15:$J$394,COLUMN()-3,FALSE)</f>
        <v>0</v>
      </c>
      <c r="K92">
        <f>+VLOOKUP($C92,ForecastImport!$B$15:$J$394,COLUMN()-3,FALSE)</f>
        <v>0</v>
      </c>
      <c r="L92">
        <f>+VLOOKUP($C92,ForecastImport!$B$15:$J$394,COLUMN()-3,FALSE)</f>
        <v>653219869.71000004</v>
      </c>
    </row>
    <row r="93" spans="2:12">
      <c r="B93">
        <v>136</v>
      </c>
      <c r="C93" t="s">
        <v>33</v>
      </c>
      <c r="D93" s="1211" t="e">
        <f>'Sch 1- Rate Base '!E96:G96</f>
        <v>#VALUE!</v>
      </c>
      <c r="E93" s="1750" t="str">
        <f>+VLOOKUP($C93,ForecastImport!$B$15:$J$394,COLUMN()-3,FALSE)</f>
        <v>112-113</v>
      </c>
      <c r="F93">
        <f>+VLOOKUP($C93,ForecastImport!$B$15:$J$394,COLUMN()-3,FALSE)</f>
        <v>283</v>
      </c>
      <c r="G93" t="str">
        <f>+VLOOKUP($C93,ForecastImport!$B$15:$J$394,COLUMN()-3,FALSE)</f>
        <v>DIST</v>
      </c>
      <c r="H93">
        <f>+VLOOKUP($C93,ForecastImport!$B$15:$J$394,COLUMN()-3,FALSE)</f>
        <v>0</v>
      </c>
      <c r="I93">
        <f>+VLOOKUP($C93,ForecastImport!$B$15:$J$394,COLUMN()-3,FALSE)</f>
        <v>256710715.16</v>
      </c>
      <c r="J93">
        <f>+VLOOKUP($C93,ForecastImport!$B$15:$J$394,COLUMN()-3,FALSE)</f>
        <v>0</v>
      </c>
      <c r="K93">
        <f>+VLOOKUP($C93,ForecastImport!$B$15:$J$394,COLUMN()-3,FALSE)</f>
        <v>0</v>
      </c>
      <c r="L93">
        <f>+VLOOKUP($C93,ForecastImport!$B$15:$J$394,COLUMN()-3,FALSE)</f>
        <v>256710715.16</v>
      </c>
    </row>
    <row r="94" spans="2:12">
      <c r="B94">
        <v>145</v>
      </c>
      <c r="C94" t="s">
        <v>63</v>
      </c>
      <c r="D94" s="1211" t="e">
        <f>'Sch 1- Rate Base '!E97:G97</f>
        <v>#VALUE!</v>
      </c>
      <c r="E94" s="1750">
        <f>+VLOOKUP($C94,ForecastImport!$B$15:$J$394,COLUMN()-3,FALSE)</f>
        <v>0</v>
      </c>
      <c r="F94">
        <f>+VLOOKUP($C94,ForecastImport!$B$15:$J$394,COLUMN()-3,FALSE)</f>
        <v>0</v>
      </c>
      <c r="G94">
        <f>+VLOOKUP($C94,ForecastImport!$B$15:$J$394,COLUMN()-3,FALSE)</f>
        <v>0</v>
      </c>
      <c r="H94">
        <f>+VLOOKUP($C94,ForecastImport!$B$15:$J$394,COLUMN()-3,FALSE)</f>
        <v>0</v>
      </c>
      <c r="I94">
        <f>+VLOOKUP($C94,ForecastImport!$B$15:$J$394,COLUMN()-3,FALSE)</f>
        <v>8.3054675822784807E-2</v>
      </c>
      <c r="J94">
        <f>+VLOOKUP($C94,ForecastImport!$B$15:$J$394,COLUMN()-3,FALSE)</f>
        <v>8.3054675822784807E-2</v>
      </c>
      <c r="K94">
        <f>+VLOOKUP($C94,ForecastImport!$B$15:$J$394,COLUMN()-3,FALSE)</f>
        <v>8.3054675822784807E-2</v>
      </c>
      <c r="L94">
        <f>+VLOOKUP($C94,ForecastImport!$B$15:$J$394,COLUMN()-3,FALSE)</f>
        <v>8.3054675822784807E-2</v>
      </c>
    </row>
    <row r="95" spans="2:12">
      <c r="B95">
        <v>147</v>
      </c>
      <c r="C95" t="s">
        <v>141</v>
      </c>
      <c r="D95" s="1211" t="e">
        <f>'Sch 1- Rate Base '!E98:G98</f>
        <v>#VALUE!</v>
      </c>
      <c r="E95" s="1750">
        <f>+VLOOKUP($C95,ForecastImport!$B$15:$J$394,COLUMN()-3,FALSE)</f>
        <v>0</v>
      </c>
      <c r="F95">
        <f>+VLOOKUP($C95,ForecastImport!$B$15:$J$394,COLUMN()-3,FALSE)</f>
        <v>0</v>
      </c>
      <c r="G95">
        <f>+VLOOKUP($C95,ForecastImport!$B$15:$J$394,COLUMN()-3,FALSE)</f>
        <v>0</v>
      </c>
      <c r="H95">
        <f>+VLOOKUP($C95,ForecastImport!$B$15:$J$394,COLUMN()-3,FALSE)</f>
        <v>0</v>
      </c>
      <c r="I95">
        <f>+VLOOKUP($C95,ForecastImport!$B$15:$J$394,COLUMN()-3,FALSE)</f>
        <v>318560839.00773537</v>
      </c>
      <c r="J95">
        <f>+VLOOKUP($C95,ForecastImport!$B$15:$J$394,COLUMN()-3,FALSE)</f>
        <v>91289873.635046005</v>
      </c>
      <c r="K95">
        <f>+VLOOKUP($C95,ForecastImport!$B$15:$J$394,COLUMN()-3,FALSE)</f>
        <v>0</v>
      </c>
      <c r="L95">
        <f>+VLOOKUP($C95,ForecastImport!$B$15:$J$394,COLUMN()-3,FALSE)</f>
        <v>227270965.2772226</v>
      </c>
    </row>
    <row r="96" spans="2:12">
      <c r="B96">
        <v>150</v>
      </c>
      <c r="C96" t="s">
        <v>259</v>
      </c>
      <c r="D96" s="1211" t="e">
        <f>'Sch 1- Rate Base '!E99:G99</f>
        <v>#VALUE!</v>
      </c>
      <c r="E96" s="1750" t="str">
        <f>+VLOOKUP($C96,ForecastImport!$B$15:$J$394,COLUMN()-3,FALSE)</f>
        <v>320-323</v>
      </c>
      <c r="F96">
        <f>+VLOOKUP($C96,ForecastImport!$B$15:$J$394,COLUMN()-3,FALSE)</f>
        <v>501</v>
      </c>
      <c r="G96" t="str">
        <f>+VLOOKUP($C96,ForecastImport!$B$15:$J$394,COLUMN()-3,FALSE)</f>
        <v>PROD</v>
      </c>
      <c r="H96">
        <f>+VLOOKUP($C96,ForecastImport!$B$15:$J$394,COLUMN()-3,FALSE)</f>
        <v>0</v>
      </c>
      <c r="I96">
        <f>+VLOOKUP($C96,ForecastImport!$B$15:$J$394,COLUMN()-3,FALSE)</f>
        <v>46052299</v>
      </c>
      <c r="J96">
        <f>+VLOOKUP($C96,ForecastImport!$B$15:$J$394,COLUMN()-3,FALSE)</f>
        <v>46052299</v>
      </c>
      <c r="K96">
        <f>+VLOOKUP($C96,ForecastImport!$B$15:$J$394,COLUMN()-3,FALSE)</f>
        <v>0</v>
      </c>
      <c r="L96">
        <f>+VLOOKUP($C96,ForecastImport!$B$15:$J$394,COLUMN()-3,FALSE)</f>
        <v>0</v>
      </c>
    </row>
    <row r="97" spans="2:12">
      <c r="B97">
        <v>151</v>
      </c>
      <c r="C97" t="s">
        <v>260</v>
      </c>
      <c r="D97" s="1211" t="e">
        <f>'Sch 1- Rate Base '!E100:G100</f>
        <v>#VALUE!</v>
      </c>
      <c r="E97" s="1750" t="str">
        <f>+VLOOKUP($C97,ForecastImport!$B$15:$J$394,COLUMN()-3,FALSE)</f>
        <v>320-323</v>
      </c>
      <c r="F97" t="str">
        <f>+VLOOKUP($C97,ForecastImport!$B$15:$J$394,COLUMN()-3,FALSE)</f>
        <v>500-509</v>
      </c>
      <c r="G97" t="str">
        <f>+VLOOKUP($C97,ForecastImport!$B$15:$J$394,COLUMN()-3,FALSE)</f>
        <v>PROD</v>
      </c>
      <c r="H97">
        <f>+VLOOKUP($C97,ForecastImport!$B$15:$J$394,COLUMN()-3,FALSE)</f>
        <v>0</v>
      </c>
      <c r="I97">
        <f>+VLOOKUP($C97,ForecastImport!$B$15:$J$394,COLUMN()-3,FALSE)</f>
        <v>12263177</v>
      </c>
      <c r="J97">
        <f>+VLOOKUP($C97,ForecastImport!$B$15:$J$394,COLUMN()-3,FALSE)</f>
        <v>12263177</v>
      </c>
      <c r="K97">
        <f>+VLOOKUP($C97,ForecastImport!$B$15:$J$394,COLUMN()-3,FALSE)</f>
        <v>0</v>
      </c>
      <c r="L97">
        <f>+VLOOKUP($C97,ForecastImport!$B$15:$J$394,COLUMN()-3,FALSE)</f>
        <v>0</v>
      </c>
    </row>
    <row r="98" spans="2:12">
      <c r="B98">
        <v>152</v>
      </c>
      <c r="C98" t="s">
        <v>261</v>
      </c>
      <c r="D98" s="1211" t="e">
        <f>'Sch 1- Rate Base '!E101:G101</f>
        <v>#VALUE!</v>
      </c>
      <c r="E98" s="1750" t="str">
        <f>+VLOOKUP($C98,ForecastImport!$B$15:$J$394,COLUMN()-3,FALSE)</f>
        <v>320-323</v>
      </c>
      <c r="F98" t="str">
        <f>+VLOOKUP($C98,ForecastImport!$B$15:$J$394,COLUMN()-3,FALSE)</f>
        <v>510-515</v>
      </c>
      <c r="G98" t="str">
        <f>+VLOOKUP($C98,ForecastImport!$B$15:$J$394,COLUMN()-3,FALSE)</f>
        <v>PROD</v>
      </c>
      <c r="H98">
        <f>+VLOOKUP($C98,ForecastImport!$B$15:$J$394,COLUMN()-3,FALSE)</f>
        <v>0</v>
      </c>
      <c r="I98">
        <f>+VLOOKUP($C98,ForecastImport!$B$15:$J$394,COLUMN()-3,FALSE)</f>
        <v>10563065</v>
      </c>
      <c r="J98">
        <f>+VLOOKUP($C98,ForecastImport!$B$15:$J$394,COLUMN()-3,FALSE)</f>
        <v>10563065</v>
      </c>
      <c r="K98">
        <f>+VLOOKUP($C98,ForecastImport!$B$15:$J$394,COLUMN()-3,FALSE)</f>
        <v>0</v>
      </c>
      <c r="L98">
        <f>+VLOOKUP($C98,ForecastImport!$B$15:$J$394,COLUMN()-3,FALSE)</f>
        <v>0</v>
      </c>
    </row>
    <row r="99" spans="2:12">
      <c r="B99">
        <v>153</v>
      </c>
      <c r="C99" t="s">
        <v>85</v>
      </c>
      <c r="D99" s="1211" t="e">
        <f>'Sch 1- Rate Base '!E102:G102</f>
        <v>#VALUE!</v>
      </c>
      <c r="E99" s="1750" t="str">
        <f>+VLOOKUP($C99,ForecastImport!$B$15:$J$394,COLUMN()-3,FALSE)</f>
        <v>320-323</v>
      </c>
      <c r="F99">
        <f>+VLOOKUP($C99,ForecastImport!$B$15:$J$394,COLUMN()-3,FALSE)</f>
        <v>518</v>
      </c>
      <c r="G99" t="str">
        <f>+VLOOKUP($C99,ForecastImport!$B$15:$J$394,COLUMN()-3,FALSE)</f>
        <v>PROD</v>
      </c>
      <c r="H99">
        <f>+VLOOKUP($C99,ForecastImport!$B$15:$J$394,COLUMN()-3,FALSE)</f>
        <v>0</v>
      </c>
      <c r="I99">
        <f>+VLOOKUP($C99,ForecastImport!$B$15:$J$394,COLUMN()-3,FALSE)</f>
        <v>0</v>
      </c>
      <c r="J99">
        <f>+VLOOKUP($C99,ForecastImport!$B$15:$J$394,COLUMN()-3,FALSE)</f>
        <v>0</v>
      </c>
      <c r="K99">
        <f>+VLOOKUP($C99,ForecastImport!$B$15:$J$394,COLUMN()-3,FALSE)</f>
        <v>0</v>
      </c>
      <c r="L99">
        <f>+VLOOKUP($C99,ForecastImport!$B$15:$J$394,COLUMN()-3,FALSE)</f>
        <v>0</v>
      </c>
    </row>
    <row r="100" spans="2:12">
      <c r="B100">
        <v>154</v>
      </c>
      <c r="C100" t="s">
        <v>264</v>
      </c>
      <c r="D100" s="1211" t="e">
        <f>'Sch 1- Rate Base '!E103:G103</f>
        <v>#VALUE!</v>
      </c>
      <c r="E100" s="1750" t="str">
        <f>+VLOOKUP($C100,ForecastImport!$B$15:$J$394,COLUMN()-3,FALSE)</f>
        <v>320-323</v>
      </c>
      <c r="F100" s="1750" t="str">
        <f>+VLOOKUP($C100,ForecastImport!$B$15:$J$394,COLUMN()-3,FALSE)</f>
        <v>517-525</v>
      </c>
      <c r="G100" t="str">
        <f>+VLOOKUP($C100,ForecastImport!$B$15:$J$394,COLUMN()-3,FALSE)</f>
        <v>PROD</v>
      </c>
      <c r="H100">
        <f>+VLOOKUP($C100,ForecastImport!$B$15:$J$394,COLUMN()-3,FALSE)</f>
        <v>0</v>
      </c>
      <c r="I100">
        <f>+VLOOKUP($C100,ForecastImport!$B$15:$J$394,COLUMN()-3,FALSE)</f>
        <v>0</v>
      </c>
      <c r="J100">
        <f>+VLOOKUP($C100,ForecastImport!$B$15:$J$394,COLUMN()-3,FALSE)</f>
        <v>0</v>
      </c>
      <c r="K100">
        <f>+VLOOKUP($C100,ForecastImport!$B$15:$J$394,COLUMN()-3,FALSE)</f>
        <v>0</v>
      </c>
      <c r="L100">
        <f>+VLOOKUP($C100,ForecastImport!$B$15:$J$394,COLUMN()-3,FALSE)</f>
        <v>0</v>
      </c>
    </row>
    <row r="101" spans="2:12">
      <c r="B101">
        <v>155</v>
      </c>
      <c r="C101" t="s">
        <v>483</v>
      </c>
      <c r="D101" s="1211" t="e">
        <f>'Sch 1- Rate Base '!E104:G104</f>
        <v>#VALUE!</v>
      </c>
      <c r="E101" s="1750" t="str">
        <f>+VLOOKUP($C101,ForecastImport!$B$15:$J$394,COLUMN()-3,FALSE)</f>
        <v>320-323</v>
      </c>
      <c r="F101" s="1750" t="str">
        <f>+VLOOKUP($C101,ForecastImport!$B$15:$J$394,COLUMN()-3,FALSE)</f>
        <v>528-532</v>
      </c>
      <c r="G101" t="str">
        <f>+VLOOKUP($C101,ForecastImport!$B$15:$J$394,COLUMN()-3,FALSE)</f>
        <v>PROD</v>
      </c>
      <c r="H101">
        <f>+VLOOKUP($C101,ForecastImport!$B$15:$J$394,COLUMN()-3,FALSE)</f>
        <v>0</v>
      </c>
      <c r="I101">
        <f>+VLOOKUP($C101,ForecastImport!$B$15:$J$394,COLUMN()-3,FALSE)</f>
        <v>0</v>
      </c>
      <c r="J101">
        <f>+VLOOKUP($C101,ForecastImport!$B$15:$J$394,COLUMN()-3,FALSE)</f>
        <v>0</v>
      </c>
      <c r="K101">
        <f>+VLOOKUP($C101,ForecastImport!$B$15:$J$394,COLUMN()-3,FALSE)</f>
        <v>0</v>
      </c>
      <c r="L101">
        <f>+VLOOKUP($C101,ForecastImport!$B$15:$J$394,COLUMN()-3,FALSE)</f>
        <v>0</v>
      </c>
    </row>
    <row r="102" spans="2:12">
      <c r="B102">
        <v>156</v>
      </c>
      <c r="C102" t="s">
        <v>86</v>
      </c>
      <c r="D102" s="1211" t="e">
        <f>'Sch 1- Rate Base '!E105:G105</f>
        <v>#VALUE!</v>
      </c>
      <c r="E102" s="1750" t="str">
        <f>+VLOOKUP($C102,ForecastImport!$B$15:$J$394,COLUMN()-3,FALSE)</f>
        <v>320-323</v>
      </c>
      <c r="F102" s="1750" t="str">
        <f>+VLOOKUP($C102,ForecastImport!$B$15:$J$394,COLUMN()-3,FALSE)</f>
        <v>535-540.1</v>
      </c>
      <c r="G102" t="str">
        <f>+VLOOKUP($C102,ForecastImport!$B$15:$J$394,COLUMN()-3,FALSE)</f>
        <v>PROD</v>
      </c>
      <c r="H102">
        <f>+VLOOKUP($C102,ForecastImport!$B$15:$J$394,COLUMN()-3,FALSE)</f>
        <v>0</v>
      </c>
      <c r="I102">
        <f>+VLOOKUP($C102,ForecastImport!$B$15:$J$394,COLUMN()-3,FALSE)</f>
        <v>29951984</v>
      </c>
      <c r="J102">
        <f>+VLOOKUP($C102,ForecastImport!$B$15:$J$394,COLUMN()-3,FALSE)</f>
        <v>29951984</v>
      </c>
      <c r="K102">
        <f>+VLOOKUP($C102,ForecastImport!$B$15:$J$394,COLUMN()-3,FALSE)</f>
        <v>0</v>
      </c>
      <c r="L102">
        <f>+VLOOKUP($C102,ForecastImport!$B$15:$J$394,COLUMN()-3,FALSE)</f>
        <v>0</v>
      </c>
    </row>
    <row r="103" spans="2:12">
      <c r="B103">
        <v>157</v>
      </c>
      <c r="C103" t="s">
        <v>87</v>
      </c>
      <c r="D103" s="1211" t="e">
        <f>'Sch 1- Rate Base '!E106:G106</f>
        <v>#VALUE!</v>
      </c>
      <c r="E103" s="1750" t="str">
        <f>+VLOOKUP($C103,ForecastImport!$B$15:$J$394,COLUMN()-3,FALSE)</f>
        <v>320-323</v>
      </c>
      <c r="F103" s="1750" t="str">
        <f>+VLOOKUP($C103,ForecastImport!$B$15:$J$394,COLUMN()-3,FALSE)</f>
        <v>541-545.1</v>
      </c>
      <c r="G103" t="str">
        <f>+VLOOKUP($C103,ForecastImport!$B$15:$J$394,COLUMN()-3,FALSE)</f>
        <v>PROD</v>
      </c>
      <c r="H103">
        <f>+VLOOKUP($C103,ForecastImport!$B$15:$J$394,COLUMN()-3,FALSE)</f>
        <v>0</v>
      </c>
      <c r="I103">
        <f>+VLOOKUP($C103,ForecastImport!$B$15:$J$394,COLUMN()-3,FALSE)</f>
        <v>5501093</v>
      </c>
      <c r="J103">
        <f>+VLOOKUP($C103,ForecastImport!$B$15:$J$394,COLUMN()-3,FALSE)</f>
        <v>5501093</v>
      </c>
      <c r="K103">
        <f>+VLOOKUP($C103,ForecastImport!$B$15:$J$394,COLUMN()-3,FALSE)</f>
        <v>0</v>
      </c>
      <c r="L103">
        <f>+VLOOKUP($C103,ForecastImport!$B$15:$J$394,COLUMN()-3,FALSE)</f>
        <v>0</v>
      </c>
    </row>
    <row r="104" spans="2:12">
      <c r="B104">
        <v>158</v>
      </c>
      <c r="C104" t="s">
        <v>455</v>
      </c>
      <c r="D104" s="1211" t="e">
        <f>'Sch 1- Rate Base '!E107:G107</f>
        <v>#VALUE!</v>
      </c>
      <c r="E104" s="1750" t="str">
        <f>+VLOOKUP($C104,ForecastImport!$B$15:$J$394,COLUMN()-3,FALSE)</f>
        <v>320-323</v>
      </c>
      <c r="F104" s="1750">
        <f>+VLOOKUP($C104,ForecastImport!$B$15:$J$394,COLUMN()-3,FALSE)</f>
        <v>547</v>
      </c>
      <c r="G104" t="str">
        <f>+VLOOKUP($C104,ForecastImport!$B$15:$J$394,COLUMN()-3,FALSE)</f>
        <v>PROD</v>
      </c>
      <c r="H104">
        <f>+VLOOKUP($C104,ForecastImport!$B$15:$J$394,COLUMN()-3,FALSE)</f>
        <v>0</v>
      </c>
      <c r="I104">
        <f>+VLOOKUP($C104,ForecastImport!$B$15:$J$394,COLUMN()-3,FALSE)</f>
        <v>116227146</v>
      </c>
      <c r="J104">
        <f>+VLOOKUP($C104,ForecastImport!$B$15:$J$394,COLUMN()-3,FALSE)</f>
        <v>116227146</v>
      </c>
      <c r="K104">
        <f>+VLOOKUP($C104,ForecastImport!$B$15:$J$394,COLUMN()-3,FALSE)</f>
        <v>0</v>
      </c>
      <c r="L104">
        <f>+VLOOKUP($C104,ForecastImport!$B$15:$J$394,COLUMN()-3,FALSE)</f>
        <v>0</v>
      </c>
    </row>
    <row r="105" spans="2:12">
      <c r="B105">
        <v>159</v>
      </c>
      <c r="C105" t="s">
        <v>263</v>
      </c>
      <c r="D105" s="1211" t="e">
        <f>'Sch 1- Rate Base '!E108:G108</f>
        <v>#VALUE!</v>
      </c>
      <c r="E105" s="1750" t="str">
        <f>+VLOOKUP($C105,ForecastImport!$B$15:$J$394,COLUMN()-3,FALSE)</f>
        <v>320-323</v>
      </c>
      <c r="F105" s="1750" t="str">
        <f>+VLOOKUP($C105,ForecastImport!$B$15:$J$394,COLUMN()-3,FALSE)</f>
        <v>546-550.1</v>
      </c>
      <c r="G105" t="str">
        <f>+VLOOKUP($C105,ForecastImport!$B$15:$J$394,COLUMN()-3,FALSE)</f>
        <v>PROD</v>
      </c>
      <c r="H105">
        <f>+VLOOKUP($C105,ForecastImport!$B$15:$J$394,COLUMN()-3,FALSE)</f>
        <v>0</v>
      </c>
      <c r="I105">
        <f>+VLOOKUP($C105,ForecastImport!$B$15:$J$394,COLUMN()-3,FALSE)</f>
        <v>5842028</v>
      </c>
      <c r="J105">
        <f>+VLOOKUP($C105,ForecastImport!$B$15:$J$394,COLUMN()-3,FALSE)</f>
        <v>5842028</v>
      </c>
      <c r="K105">
        <f>+VLOOKUP($C105,ForecastImport!$B$15:$J$394,COLUMN()-3,FALSE)</f>
        <v>0</v>
      </c>
      <c r="L105">
        <f>+VLOOKUP($C105,ForecastImport!$B$15:$J$394,COLUMN()-3,FALSE)</f>
        <v>0</v>
      </c>
    </row>
    <row r="106" spans="2:12">
      <c r="B106">
        <v>160</v>
      </c>
      <c r="C106" t="s">
        <v>265</v>
      </c>
      <c r="D106" s="1211" t="e">
        <f>'Sch 1- Rate Base '!E109:G109</f>
        <v>#VALUE!</v>
      </c>
      <c r="E106" s="1750" t="str">
        <f>+VLOOKUP($C106,ForecastImport!$B$15:$J$394,COLUMN()-3,FALSE)</f>
        <v>320-323</v>
      </c>
      <c r="F106" s="1750" t="str">
        <f>+VLOOKUP($C106,ForecastImport!$B$15:$J$394,COLUMN()-3,FALSE)</f>
        <v>551-554.1</v>
      </c>
      <c r="G106" t="str">
        <f>+VLOOKUP($C106,ForecastImport!$B$15:$J$394,COLUMN()-3,FALSE)</f>
        <v>PROD</v>
      </c>
      <c r="H106">
        <f>+VLOOKUP($C106,ForecastImport!$B$15:$J$394,COLUMN()-3,FALSE)</f>
        <v>0</v>
      </c>
      <c r="I106">
        <f>+VLOOKUP($C106,ForecastImport!$B$15:$J$394,COLUMN()-3,FALSE)</f>
        <v>3782274</v>
      </c>
      <c r="J106">
        <f>+VLOOKUP($C106,ForecastImport!$B$15:$J$394,COLUMN()-3,FALSE)</f>
        <v>3782274</v>
      </c>
      <c r="K106">
        <f>+VLOOKUP($C106,ForecastImport!$B$15:$J$394,COLUMN()-3,FALSE)</f>
        <v>0</v>
      </c>
      <c r="L106">
        <f>+VLOOKUP($C106,ForecastImport!$B$15:$J$394,COLUMN()-3,FALSE)</f>
        <v>0</v>
      </c>
    </row>
    <row r="107" spans="2:12">
      <c r="B107">
        <v>161</v>
      </c>
      <c r="C107" t="s">
        <v>266</v>
      </c>
      <c r="D107" s="1211" t="e">
        <f>'Sch 1- Rate Base '!E110:G110</f>
        <v>#VALUE!</v>
      </c>
      <c r="E107" s="1750" t="str">
        <f>+VLOOKUP($C107,ForecastImport!$B$15:$J$394,COLUMN()-3,FALSE)</f>
        <v>320-323</v>
      </c>
      <c r="F107" s="1750">
        <f>+VLOOKUP($C107,ForecastImport!$B$15:$J$394,COLUMN()-3,FALSE)</f>
        <v>555</v>
      </c>
      <c r="G107" t="str">
        <f>+VLOOKUP($C107,ForecastImport!$B$15:$J$394,COLUMN()-3,FALSE)</f>
        <v>PROD</v>
      </c>
      <c r="H107">
        <f>+VLOOKUP($C107,ForecastImport!$B$15:$J$394,COLUMN()-3,FALSE)</f>
        <v>0</v>
      </c>
      <c r="I107">
        <f>+VLOOKUP($C107,ForecastImport!$B$15:$J$394,COLUMN()-3,FALSE)</f>
        <v>216427715</v>
      </c>
      <c r="J107">
        <f>+VLOOKUP($C107,ForecastImport!$B$15:$J$394,COLUMN()-3,FALSE)</f>
        <v>216427715</v>
      </c>
      <c r="K107">
        <f>+VLOOKUP($C107,ForecastImport!$B$15:$J$394,COLUMN()-3,FALSE)</f>
        <v>0</v>
      </c>
      <c r="L107">
        <f>+VLOOKUP($C107,ForecastImport!$B$15:$J$394,COLUMN()-3,FALSE)</f>
        <v>0</v>
      </c>
    </row>
    <row r="108" spans="2:12">
      <c r="B108">
        <v>162</v>
      </c>
      <c r="C108" t="s">
        <v>459</v>
      </c>
      <c r="D108" s="1211" t="e">
        <f>'Sch 1- Rate Base '!E111:G111</f>
        <v>#VALUE!</v>
      </c>
      <c r="E108" s="1750" t="str">
        <f>+VLOOKUP($C108,ForecastImport!$B$15:$J$394,COLUMN()-3,FALSE)</f>
        <v>320-323</v>
      </c>
      <c r="F108" s="1750">
        <f>+VLOOKUP($C108,ForecastImport!$B$15:$J$394,COLUMN()-3,FALSE)</f>
        <v>556</v>
      </c>
      <c r="G108" t="str">
        <f>+VLOOKUP($C108,ForecastImport!$B$15:$J$394,COLUMN()-3,FALSE)</f>
        <v>PROD</v>
      </c>
      <c r="H108">
        <f>+VLOOKUP($C108,ForecastImport!$B$15:$J$394,COLUMN()-3,FALSE)</f>
        <v>0</v>
      </c>
      <c r="I108">
        <f>+VLOOKUP($C108,ForecastImport!$B$15:$J$394,COLUMN()-3,FALSE)</f>
        <v>764664</v>
      </c>
      <c r="J108">
        <f>+VLOOKUP($C108,ForecastImport!$B$15:$J$394,COLUMN()-3,FALSE)</f>
        <v>764664</v>
      </c>
      <c r="K108">
        <f>+VLOOKUP($C108,ForecastImport!$B$15:$J$394,COLUMN()-3,FALSE)</f>
        <v>0</v>
      </c>
      <c r="L108">
        <f>+VLOOKUP($C108,ForecastImport!$B$15:$J$394,COLUMN()-3,FALSE)</f>
        <v>0</v>
      </c>
    </row>
    <row r="109" spans="2:12">
      <c r="B109">
        <v>163</v>
      </c>
      <c r="C109" t="s">
        <v>267</v>
      </c>
      <c r="D109" s="1211" t="e">
        <f>'Sch 1- Rate Base '!E112:G112</f>
        <v>#VALUE!</v>
      </c>
      <c r="E109" s="1750" t="str">
        <f>+VLOOKUP($C109,ForecastImport!$B$15:$J$394,COLUMN()-3,FALSE)</f>
        <v>320-323</v>
      </c>
      <c r="F109" s="1750">
        <f>+VLOOKUP($C109,ForecastImport!$B$15:$J$394,COLUMN()-3,FALSE)</f>
        <v>557</v>
      </c>
      <c r="G109" t="str">
        <f>+VLOOKUP($C109,ForecastImport!$B$15:$J$394,COLUMN()-3,FALSE)</f>
        <v>PROD</v>
      </c>
      <c r="H109">
        <f>+VLOOKUP($C109,ForecastImport!$B$15:$J$394,COLUMN()-3,FALSE)</f>
        <v>0</v>
      </c>
      <c r="I109">
        <f>+VLOOKUP($C109,ForecastImport!$B$15:$J$394,COLUMN()-3,FALSE)</f>
        <v>38247947</v>
      </c>
      <c r="J109">
        <f>+VLOOKUP($C109,ForecastImport!$B$15:$J$394,COLUMN()-3,FALSE)</f>
        <v>38247947</v>
      </c>
      <c r="K109">
        <f>+VLOOKUP($C109,ForecastImport!$B$15:$J$394,COLUMN()-3,FALSE)</f>
        <v>0</v>
      </c>
      <c r="L109">
        <f>+VLOOKUP($C109,ForecastImport!$B$15:$J$394,COLUMN()-3,FALSE)</f>
        <v>0</v>
      </c>
    </row>
    <row r="110" spans="2:12">
      <c r="B110">
        <v>164</v>
      </c>
      <c r="C110" t="s">
        <v>52</v>
      </c>
      <c r="D110" s="1211" t="e">
        <f>'Sch 1- Rate Base '!E113:G113</f>
        <v>#VALUE!</v>
      </c>
      <c r="E110" s="1750" t="str">
        <f>+VLOOKUP($C110,ForecastImport!$B$15:$J$394,COLUMN()-3,FALSE)</f>
        <v>326-327</v>
      </c>
      <c r="F110" s="1750">
        <f>+VLOOKUP($C110,ForecastImport!$B$15:$J$394,COLUMN()-3,FALSE)</f>
        <v>555</v>
      </c>
      <c r="G110" t="str">
        <f>+VLOOKUP($C110,ForecastImport!$B$15:$J$394,COLUMN()-3,FALSE)</f>
        <v>PROD</v>
      </c>
      <c r="H110">
        <f>+VLOOKUP($C110,ForecastImport!$B$15:$J$394,COLUMN()-3,FALSE)</f>
        <v>0</v>
      </c>
      <c r="I110">
        <f>+VLOOKUP($C110,ForecastImport!$B$15:$J$394,COLUMN()-3,FALSE)</f>
        <v>0</v>
      </c>
      <c r="J110">
        <f>+VLOOKUP($C110,ForecastImport!$B$15:$J$394,COLUMN()-3,FALSE)</f>
        <v>0</v>
      </c>
      <c r="K110">
        <f>+VLOOKUP($C110,ForecastImport!$B$15:$J$394,COLUMN()-3,FALSE)</f>
        <v>0</v>
      </c>
      <c r="L110">
        <f>+VLOOKUP($C110,ForecastImport!$B$15:$J$394,COLUMN()-3,FALSE)</f>
        <v>0</v>
      </c>
    </row>
    <row r="111" spans="2:12">
      <c r="B111">
        <v>165</v>
      </c>
      <c r="C111" t="s">
        <v>506</v>
      </c>
      <c r="D111" s="1211" t="e">
        <f>'Sch 1- Rate Base '!E114:G114</f>
        <v>#VALUE!</v>
      </c>
      <c r="E111" s="1750">
        <f>+VLOOKUP($C111,ForecastImport!$B$15:$J$394,COLUMN()-3,FALSE)</f>
        <v>0</v>
      </c>
      <c r="F111" s="1750">
        <f>+VLOOKUP($C111,ForecastImport!$B$15:$J$394,COLUMN()-3,FALSE)</f>
        <v>0</v>
      </c>
      <c r="G111" t="str">
        <f>+VLOOKUP($C111,ForecastImport!$B$15:$J$394,COLUMN()-3,FALSE)</f>
        <v>DIRECT</v>
      </c>
      <c r="H111" t="str">
        <f>+VLOOKUP($C111,ForecastImport!$B$15:$J$394,COLUMN()-3,FALSE)</f>
        <v>DIST</v>
      </c>
      <c r="I111">
        <f>+VLOOKUP($C111,ForecastImport!$B$15:$J$394,COLUMN()-3,FALSE)</f>
        <v>0</v>
      </c>
      <c r="J111">
        <f>+VLOOKUP($C111,ForecastImport!$B$15:$J$394,COLUMN()-3,FALSE)</f>
        <v>0</v>
      </c>
      <c r="K111">
        <f>+VLOOKUP($C111,ForecastImport!$B$15:$J$394,COLUMN()-3,FALSE)</f>
        <v>0</v>
      </c>
      <c r="L111">
        <f>+VLOOKUP($C111,ForecastImport!$B$15:$J$394,COLUMN()-3,FALSE)</f>
        <v>0</v>
      </c>
    </row>
    <row r="112" spans="2:12">
      <c r="B112">
        <v>169</v>
      </c>
      <c r="C112" t="s">
        <v>402</v>
      </c>
      <c r="D112" s="1211" t="e">
        <f>'Sch 1- Rate Base '!E115:G115</f>
        <v>#VALUE!</v>
      </c>
      <c r="E112" s="1750" t="str">
        <f>+VLOOKUP($C112,ForecastImport!$B$15:$J$394,COLUMN()-3,FALSE)</f>
        <v>320-323</v>
      </c>
      <c r="F112" s="1750" t="str">
        <f>+VLOOKUP($C112,ForecastImport!$B$15:$J$394,COLUMN()-3,FALSE)</f>
        <v>565</v>
      </c>
      <c r="G112" t="str">
        <f>+VLOOKUP($C112,ForecastImport!$B$15:$J$394,COLUMN()-3,FALSE)</f>
        <v>prod</v>
      </c>
      <c r="H112">
        <f>+VLOOKUP($C112,ForecastImport!$B$15:$J$394,COLUMN()-3,FALSE)</f>
        <v>0</v>
      </c>
      <c r="I112">
        <f>+VLOOKUP($C112,ForecastImport!$B$15:$J$394,COLUMN()-3,FALSE)</f>
        <v>19063436</v>
      </c>
      <c r="J112">
        <f>+VLOOKUP($C112,ForecastImport!$B$15:$J$394,COLUMN()-3,FALSE)</f>
        <v>19063436</v>
      </c>
      <c r="K112">
        <f>+VLOOKUP($C112,ForecastImport!$B$15:$J$394,COLUMN()-3,FALSE)</f>
        <v>0</v>
      </c>
      <c r="L112">
        <f>+VLOOKUP($C112,ForecastImport!$B$15:$J$394,COLUMN()-3,FALSE)</f>
        <v>0</v>
      </c>
    </row>
    <row r="113" spans="2:12">
      <c r="B113">
        <v>170</v>
      </c>
      <c r="C113" t="s">
        <v>465</v>
      </c>
      <c r="D113" s="1211" t="e">
        <f>'Sch 1- Rate Base '!E116:G116</f>
        <v>#VALUE!</v>
      </c>
      <c r="E113" s="1750" t="str">
        <f>+VLOOKUP($C113,ForecastImport!$B$15:$J$394,COLUMN()-3,FALSE)</f>
        <v>320-323</v>
      </c>
      <c r="F113" s="1750" t="str">
        <f>+VLOOKUP($C113,ForecastImport!$B$15:$J$394,COLUMN()-3,FALSE)</f>
        <v>560-567.1</v>
      </c>
      <c r="G113" t="str">
        <f>+VLOOKUP($C113,ForecastImport!$B$15:$J$394,COLUMN()-3,FALSE)</f>
        <v>TRANS</v>
      </c>
      <c r="H113">
        <f>+VLOOKUP($C113,ForecastImport!$B$15:$J$394,COLUMN()-3,FALSE)</f>
        <v>0</v>
      </c>
      <c r="I113">
        <f>+VLOOKUP($C113,ForecastImport!$B$15:$J$394,COLUMN()-3,FALSE)</f>
        <v>10227273</v>
      </c>
      <c r="J113">
        <f>+VLOOKUP($C113,ForecastImport!$B$15:$J$394,COLUMN()-3,FALSE)</f>
        <v>0</v>
      </c>
      <c r="K113">
        <f>+VLOOKUP($C113,ForecastImport!$B$15:$J$394,COLUMN()-3,FALSE)</f>
        <v>0</v>
      </c>
      <c r="L113">
        <f>+VLOOKUP($C113,ForecastImport!$B$15:$J$394,COLUMN()-3,FALSE)</f>
        <v>10227273</v>
      </c>
    </row>
    <row r="114" spans="2:12">
      <c r="B114">
        <v>171</v>
      </c>
      <c r="C114" t="s">
        <v>466</v>
      </c>
      <c r="D114" s="1211" t="e">
        <f>'Sch 1- Rate Base '!E117:G117</f>
        <v>#VALUE!</v>
      </c>
      <c r="E114" s="1750" t="str">
        <f>+VLOOKUP($C114,ForecastImport!$B$15:$J$394,COLUMN()-3,FALSE)</f>
        <v>320-323</v>
      </c>
      <c r="F114" s="1750" t="str">
        <f>+VLOOKUP($C114,ForecastImport!$B$15:$J$394,COLUMN()-3,FALSE)</f>
        <v>568-574</v>
      </c>
      <c r="G114" t="str">
        <f>+VLOOKUP($C114,ForecastImport!$B$15:$J$394,COLUMN()-3,FALSE)</f>
        <v>TRANS</v>
      </c>
      <c r="H114">
        <f>+VLOOKUP($C114,ForecastImport!$B$15:$J$394,COLUMN()-3,FALSE)</f>
        <v>0</v>
      </c>
      <c r="I114">
        <f>+VLOOKUP($C114,ForecastImport!$B$15:$J$394,COLUMN()-3,FALSE)</f>
        <v>4374909</v>
      </c>
      <c r="J114">
        <f>+VLOOKUP($C114,ForecastImport!$B$15:$J$394,COLUMN()-3,FALSE)</f>
        <v>0</v>
      </c>
      <c r="K114">
        <f>+VLOOKUP($C114,ForecastImport!$B$15:$J$394,COLUMN()-3,FALSE)</f>
        <v>0</v>
      </c>
      <c r="L114">
        <f>+VLOOKUP($C114,ForecastImport!$B$15:$J$394,COLUMN()-3,FALSE)</f>
        <v>4374909</v>
      </c>
    </row>
    <row r="115" spans="2:12">
      <c r="B115">
        <v>178</v>
      </c>
      <c r="C115" t="s">
        <v>468</v>
      </c>
      <c r="D115" s="1211" t="e">
        <f>'Sch 1- Rate Base '!E118:G118</f>
        <v>#VALUE!</v>
      </c>
      <c r="E115" s="1750" t="str">
        <f>+VLOOKUP($C115,ForecastImport!$B$15:$J$394,COLUMN()-3,FALSE)</f>
        <v>320-323</v>
      </c>
      <c r="F115" s="1750" t="str">
        <f>+VLOOKUP($C115,ForecastImport!$B$15:$J$394,COLUMN()-3,FALSE)</f>
        <v>901-905</v>
      </c>
      <c r="G115" t="str">
        <f>+VLOOKUP($C115,ForecastImport!$B$15:$J$394,COLUMN()-3,FALSE)</f>
        <v>DIST</v>
      </c>
      <c r="H115">
        <f>+VLOOKUP($C115,ForecastImport!$B$15:$J$394,COLUMN()-3,FALSE)</f>
        <v>0</v>
      </c>
      <c r="I115">
        <f>+VLOOKUP($C115,ForecastImport!$B$15:$J$394,COLUMN()-3,FALSE)</f>
        <v>10411205</v>
      </c>
      <c r="J115">
        <f>+VLOOKUP($C115,ForecastImport!$B$15:$J$394,COLUMN()-3,FALSE)</f>
        <v>0</v>
      </c>
      <c r="K115">
        <f>+VLOOKUP($C115,ForecastImport!$B$15:$J$394,COLUMN()-3,FALSE)</f>
        <v>0</v>
      </c>
      <c r="L115">
        <f>+VLOOKUP($C115,ForecastImport!$B$15:$J$394,COLUMN()-3,FALSE)</f>
        <v>10411205</v>
      </c>
    </row>
    <row r="116" spans="2:12">
      <c r="B116">
        <v>180</v>
      </c>
      <c r="C116" t="s">
        <v>631</v>
      </c>
      <c r="D116" s="1211" t="e">
        <f>'Sch 1- Rate Base '!E119:G119</f>
        <v>#VALUE!</v>
      </c>
      <c r="E116" s="1750" t="str">
        <f>+VLOOKUP($C116,ForecastImport!$B$15:$J$394,COLUMN()-3,FALSE)</f>
        <v>320-323</v>
      </c>
      <c r="F116" s="1750">
        <f>+VLOOKUP($C116,ForecastImport!$B$15:$J$394,COLUMN()-3,FALSE)</f>
        <v>908</v>
      </c>
      <c r="G116" t="str">
        <f>+VLOOKUP($C116,ForecastImport!$B$15:$J$394,COLUMN()-3,FALSE)</f>
        <v>Direct</v>
      </c>
      <c r="H116" t="str">
        <f>+VLOOKUP($C116,ForecastImport!$B$15:$J$394,COLUMN()-3,FALSE)</f>
        <v>DIRECT</v>
      </c>
      <c r="I116">
        <f>+VLOOKUP($C116,ForecastImport!$B$15:$J$394,COLUMN()-3,FALSE)</f>
        <v>31870071.329999998</v>
      </c>
      <c r="J116">
        <f>+VLOOKUP($C116,ForecastImport!$B$15:$J$394,COLUMN()-3,FALSE)</f>
        <v>0</v>
      </c>
      <c r="K116">
        <f>+VLOOKUP($C116,ForecastImport!$B$15:$J$394,COLUMN()-3,FALSE)</f>
        <v>0</v>
      </c>
      <c r="L116">
        <f>+VLOOKUP($C116,ForecastImport!$B$15:$J$394,COLUMN()-3,FALSE)</f>
        <v>31870071.329999998</v>
      </c>
    </row>
    <row r="117" spans="2:12">
      <c r="B117">
        <v>181</v>
      </c>
      <c r="C117" t="s">
        <v>841</v>
      </c>
      <c r="D117" s="1211" t="e">
        <f>'Sch 1- Rate Base '!E120:G120</f>
        <v>#VALUE!</v>
      </c>
      <c r="E117" s="1750" t="str">
        <f>+VLOOKUP($C117,ForecastImport!$B$15:$J$394,COLUMN()-3,FALSE)</f>
        <v>320-323</v>
      </c>
      <c r="F117" s="1750" t="str">
        <f>+VLOOKUP($C117,ForecastImport!$B$15:$J$394,COLUMN()-3,FALSE)</f>
        <v>906-907</v>
      </c>
      <c r="G117" t="str">
        <f>+VLOOKUP($C117,ForecastImport!$B$15:$J$394,COLUMN()-3,FALSE)</f>
        <v>DIST</v>
      </c>
      <c r="H117">
        <f>+VLOOKUP($C117,ForecastImport!$B$15:$J$394,COLUMN()-3,FALSE)</f>
        <v>0</v>
      </c>
      <c r="I117">
        <f>+VLOOKUP($C117,ForecastImport!$B$15:$J$394,COLUMN()-3,FALSE)</f>
        <v>0</v>
      </c>
      <c r="J117">
        <f>+VLOOKUP($C117,ForecastImport!$B$15:$J$394,COLUMN()-3,FALSE)</f>
        <v>0</v>
      </c>
      <c r="K117">
        <f>+VLOOKUP($C117,ForecastImport!$B$15:$J$394,COLUMN()-3,FALSE)</f>
        <v>0</v>
      </c>
      <c r="L117">
        <f>+VLOOKUP($C117,ForecastImport!$B$15:$J$394,COLUMN()-3,FALSE)</f>
        <v>0</v>
      </c>
    </row>
    <row r="118" spans="2:12">
      <c r="B118">
        <v>182</v>
      </c>
      <c r="C118" t="s">
        <v>400</v>
      </c>
      <c r="D118" s="1211" t="e">
        <f>'Sch 1- Rate Base '!E121:G121</f>
        <v>#VALUE!</v>
      </c>
      <c r="E118" s="1750" t="str">
        <f>+VLOOKUP($C118,ForecastImport!$B$15:$J$394,COLUMN()-3,FALSE)</f>
        <v>320-323</v>
      </c>
      <c r="F118" s="1750" t="str">
        <f>+VLOOKUP($C118,ForecastImport!$B$15:$J$394,COLUMN()-3,FALSE)</f>
        <v>911-917</v>
      </c>
      <c r="G118" t="str">
        <f>+VLOOKUP($C118,ForecastImport!$B$15:$J$394,COLUMN()-3,FALSE)</f>
        <v>DIST</v>
      </c>
      <c r="H118">
        <f>+VLOOKUP($C118,ForecastImport!$B$15:$J$394,COLUMN()-3,FALSE)</f>
        <v>0</v>
      </c>
      <c r="I118">
        <f>+VLOOKUP($C118,ForecastImport!$B$15:$J$394,COLUMN()-3,FALSE)</f>
        <v>43646</v>
      </c>
      <c r="J118">
        <f>+VLOOKUP($C118,ForecastImport!$B$15:$J$394,COLUMN()-3,FALSE)</f>
        <v>0</v>
      </c>
      <c r="K118">
        <f>+VLOOKUP($C118,ForecastImport!$B$15:$J$394,COLUMN()-3,FALSE)</f>
        <v>0</v>
      </c>
      <c r="L118">
        <f>+VLOOKUP($C118,ForecastImport!$B$15:$J$394,COLUMN()-3,FALSE)</f>
        <v>43646</v>
      </c>
    </row>
    <row r="119" spans="2:12">
      <c r="B119">
        <v>183</v>
      </c>
      <c r="C119" t="s">
        <v>842</v>
      </c>
      <c r="D119" s="1211" t="e">
        <f>'Sch 1- Rate Base '!E122:G122</f>
        <v>#VALUE!</v>
      </c>
      <c r="E119" s="1750" t="str">
        <f>+VLOOKUP($C119,ForecastImport!$B$15:$J$394,COLUMN()-3,FALSE)</f>
        <v>320-323</v>
      </c>
      <c r="F119" s="1750" t="str">
        <f>+VLOOKUP($C119,ForecastImport!$B$15:$J$394,COLUMN()-3,FALSE)</f>
        <v>909-910</v>
      </c>
      <c r="G119" t="str">
        <f>+VLOOKUP($C119,ForecastImport!$B$15:$J$394,COLUMN()-3,FALSE)</f>
        <v>DIST</v>
      </c>
      <c r="H119" t="str">
        <f>+VLOOKUP($C119,ForecastImport!$B$15:$J$394,COLUMN()-3,FALSE)</f>
        <v>DIRECT</v>
      </c>
      <c r="I119">
        <f>+VLOOKUP($C119,ForecastImport!$B$15:$J$394,COLUMN()-3,FALSE)</f>
        <v>1095949.52</v>
      </c>
      <c r="J119">
        <f>+VLOOKUP($C119,ForecastImport!$B$15:$J$394,COLUMN()-3,FALSE)</f>
        <v>0</v>
      </c>
      <c r="K119">
        <f>+VLOOKUP($C119,ForecastImport!$B$15:$J$394,COLUMN()-3,FALSE)</f>
        <v>0</v>
      </c>
      <c r="L119">
        <f>+VLOOKUP($C119,ForecastImport!$B$15:$J$394,COLUMN()-3,FALSE)</f>
        <v>1095949.52</v>
      </c>
    </row>
    <row r="120" spans="2:12">
      <c r="B120">
        <v>186</v>
      </c>
      <c r="C120" t="s">
        <v>163</v>
      </c>
      <c r="D120" s="1211" t="e">
        <f>'Sch 1- Rate Base '!E123:G123</f>
        <v>#VALUE!</v>
      </c>
      <c r="E120" s="1750" t="str">
        <f>+VLOOKUP($C120,ForecastImport!$B$15:$J$394,COLUMN()-3,FALSE)</f>
        <v>320-323</v>
      </c>
      <c r="F120">
        <f>+VLOOKUP($C120,ForecastImport!$B$15:$J$394,COLUMN()-3,FALSE)</f>
        <v>920</v>
      </c>
      <c r="G120" t="str">
        <f>+VLOOKUP($C120,ForecastImport!$B$15:$J$394,COLUMN()-3,FALSE)</f>
        <v>LABOR</v>
      </c>
      <c r="H120">
        <f>+VLOOKUP($C120,ForecastImport!$B$15:$J$394,COLUMN()-3,FALSE)</f>
        <v>0</v>
      </c>
      <c r="I120">
        <f>+VLOOKUP($C120,ForecastImport!$B$15:$J$394,COLUMN()-3,FALSE)</f>
        <v>32491999.100000001</v>
      </c>
      <c r="J120">
        <f>+VLOOKUP($C120,ForecastImport!$B$15:$J$394,COLUMN()-3,FALSE)</f>
        <v>11894366.986961963</v>
      </c>
      <c r="K120">
        <f>+VLOOKUP($C120,ForecastImport!$B$15:$J$394,COLUMN()-3,FALSE)</f>
        <v>0</v>
      </c>
      <c r="L120">
        <f>+VLOOKUP($C120,ForecastImport!$B$15:$J$394,COLUMN()-3,FALSE)</f>
        <v>20597632.113038037</v>
      </c>
    </row>
    <row r="121" spans="2:12">
      <c r="B121">
        <v>187</v>
      </c>
      <c r="C121" t="s">
        <v>164</v>
      </c>
      <c r="D121" s="1211" t="e">
        <f>'Sch 1- Rate Base '!E124:G124</f>
        <v>#VALUE!</v>
      </c>
      <c r="E121" s="1750" t="str">
        <f>+VLOOKUP($C121,ForecastImport!$B$15:$J$394,COLUMN()-3,FALSE)</f>
        <v>320-323</v>
      </c>
      <c r="F121">
        <f>+VLOOKUP($C121,ForecastImport!$B$15:$J$394,COLUMN()-3,FALSE)</f>
        <v>921</v>
      </c>
      <c r="G121" t="str">
        <f>+VLOOKUP($C121,ForecastImport!$B$15:$J$394,COLUMN()-3,FALSE)</f>
        <v>LABOR</v>
      </c>
      <c r="H121">
        <f>+VLOOKUP($C121,ForecastImport!$B$15:$J$394,COLUMN()-3,FALSE)</f>
        <v>0</v>
      </c>
      <c r="I121">
        <f>+VLOOKUP($C121,ForecastImport!$B$15:$J$394,COLUMN()-3,FALSE)</f>
        <v>3924957.88</v>
      </c>
      <c r="J121">
        <f>+VLOOKUP($C121,ForecastImport!$B$15:$J$394,COLUMN()-3,FALSE)</f>
        <v>1436811.8529551544</v>
      </c>
      <c r="K121">
        <f>+VLOOKUP($C121,ForecastImport!$B$15:$J$394,COLUMN()-3,FALSE)</f>
        <v>0</v>
      </c>
      <c r="L121">
        <f>+VLOOKUP($C121,ForecastImport!$B$15:$J$394,COLUMN()-3,FALSE)</f>
        <v>2488146.0270448453</v>
      </c>
    </row>
    <row r="122" spans="2:12">
      <c r="B122">
        <v>188</v>
      </c>
      <c r="C122" t="s">
        <v>165</v>
      </c>
      <c r="D122" s="1211" t="e">
        <f>'Sch 1- Rate Base '!E125:G125</f>
        <v>#VALUE!</v>
      </c>
      <c r="E122" s="1750" t="str">
        <f>+VLOOKUP($C122,ForecastImport!$B$15:$J$394,COLUMN()-3,FALSE)</f>
        <v>320-323</v>
      </c>
      <c r="F122">
        <f>+VLOOKUP($C122,ForecastImport!$B$15:$J$394,COLUMN()-3,FALSE)</f>
        <v>922</v>
      </c>
      <c r="G122" t="str">
        <f>+VLOOKUP($C122,ForecastImport!$B$15:$J$394,COLUMN()-3,FALSE)</f>
        <v>LABOR</v>
      </c>
      <c r="H122">
        <f>+VLOOKUP($C122,ForecastImport!$B$15:$J$394,COLUMN()-3,FALSE)</f>
        <v>0</v>
      </c>
      <c r="I122">
        <f>+VLOOKUP($C122,ForecastImport!$B$15:$J$394,COLUMN()-3,FALSE)</f>
        <v>114021.94</v>
      </c>
      <c r="J122">
        <f>+VLOOKUP($C122,ForecastImport!$B$15:$J$394,COLUMN()-3,FALSE)</f>
        <v>41740.084836003756</v>
      </c>
      <c r="K122">
        <f>+VLOOKUP($C122,ForecastImport!$B$15:$J$394,COLUMN()-3,FALSE)</f>
        <v>0</v>
      </c>
      <c r="L122">
        <f>+VLOOKUP($C122,ForecastImport!$B$15:$J$394,COLUMN()-3,FALSE)</f>
        <v>72281.855163996253</v>
      </c>
    </row>
    <row r="123" spans="2:12">
      <c r="B123">
        <v>189</v>
      </c>
      <c r="C123" t="s">
        <v>166</v>
      </c>
      <c r="D123" s="1211" t="e">
        <f>'Sch 1- Rate Base '!E126:G126</f>
        <v>#VALUE!</v>
      </c>
      <c r="E123" s="1750" t="str">
        <f>+VLOOKUP($C123,ForecastImport!$B$15:$J$394,COLUMN()-3,FALSE)</f>
        <v>320-323</v>
      </c>
      <c r="F123">
        <f>+VLOOKUP($C123,ForecastImport!$B$15:$J$394,COLUMN()-3,FALSE)</f>
        <v>923</v>
      </c>
      <c r="G123" t="str">
        <f>+VLOOKUP($C123,ForecastImport!$B$15:$J$394,COLUMN()-3,FALSE)</f>
        <v>LABOR</v>
      </c>
      <c r="H123">
        <f>+VLOOKUP($C123,ForecastImport!$B$15:$J$394,COLUMN()-3,FALSE)</f>
        <v>0</v>
      </c>
      <c r="I123">
        <f>+VLOOKUP($C123,ForecastImport!$B$15:$J$394,COLUMN()-3,FALSE)</f>
        <v>14933868.609999999</v>
      </c>
      <c r="J123">
        <f>+VLOOKUP($C123,ForecastImport!$B$15:$J$394,COLUMN()-3,FALSE)</f>
        <v>5466850.8772183098</v>
      </c>
      <c r="K123">
        <f>+VLOOKUP($C123,ForecastImport!$B$15:$J$394,COLUMN()-3,FALSE)</f>
        <v>0</v>
      </c>
      <c r="L123">
        <f>+VLOOKUP($C123,ForecastImport!$B$15:$J$394,COLUMN()-3,FALSE)</f>
        <v>9467017.7327816896</v>
      </c>
    </row>
    <row r="124" spans="2:12">
      <c r="B124">
        <v>190</v>
      </c>
      <c r="C124" t="s">
        <v>167</v>
      </c>
      <c r="D124" s="1211" t="e">
        <f>'Sch 1- Rate Base '!E127:G127</f>
        <v>#VALUE!</v>
      </c>
      <c r="E124" s="1750" t="str">
        <f>+VLOOKUP($C124,ForecastImport!$B$15:$J$394,COLUMN()-3,FALSE)</f>
        <v>320-323</v>
      </c>
      <c r="F124">
        <f>+VLOOKUP($C124,ForecastImport!$B$15:$J$394,COLUMN()-3,FALSE)</f>
        <v>924</v>
      </c>
      <c r="G124" t="str">
        <f>+VLOOKUP($C124,ForecastImport!$B$15:$J$394,COLUMN()-3,FALSE)</f>
        <v>PTDG</v>
      </c>
      <c r="H124">
        <f>+VLOOKUP($C124,ForecastImport!$B$15:$J$394,COLUMN()-3,FALSE)</f>
        <v>0</v>
      </c>
      <c r="I124">
        <f>+VLOOKUP($C124,ForecastImport!$B$15:$J$394,COLUMN()-3,FALSE)</f>
        <v>2806700.76</v>
      </c>
      <c r="J124">
        <f>+VLOOKUP($C124,ForecastImport!$B$15:$J$394,COLUMN()-3,FALSE)</f>
        <v>893155.9014630107</v>
      </c>
      <c r="K124">
        <f>+VLOOKUP($C124,ForecastImport!$B$15:$J$394,COLUMN()-3,FALSE)</f>
        <v>0</v>
      </c>
      <c r="L124">
        <f>+VLOOKUP($C124,ForecastImport!$B$15:$J$394,COLUMN()-3,FALSE)</f>
        <v>1913544.8582485989</v>
      </c>
    </row>
    <row r="125" spans="2:12">
      <c r="B125">
        <v>191</v>
      </c>
      <c r="C125" t="s">
        <v>469</v>
      </c>
      <c r="D125" s="1211" t="e">
        <f>'Sch 1- Rate Base '!E128:G128</f>
        <v>#VALUE!</v>
      </c>
      <c r="E125" s="1750" t="str">
        <f>+VLOOKUP($C125,ForecastImport!$B$15:$J$394,COLUMN()-3,FALSE)</f>
        <v>320-323</v>
      </c>
      <c r="F125">
        <f>+VLOOKUP($C125,ForecastImport!$B$15:$J$394,COLUMN()-3,FALSE)</f>
        <v>925</v>
      </c>
      <c r="G125" t="str">
        <f>+VLOOKUP($C125,ForecastImport!$B$15:$J$394,COLUMN()-3,FALSE)</f>
        <v>labor</v>
      </c>
      <c r="H125">
        <f>+VLOOKUP($C125,ForecastImport!$B$15:$J$394,COLUMN()-3,FALSE)</f>
        <v>0</v>
      </c>
      <c r="I125">
        <f>+VLOOKUP($C125,ForecastImport!$B$15:$J$394,COLUMN()-3,FALSE)</f>
        <v>10784298.52</v>
      </c>
      <c r="J125">
        <f>+VLOOKUP($C125,ForecastImport!$B$15:$J$394,COLUMN()-3,FALSE)</f>
        <v>3947815.0882329289</v>
      </c>
      <c r="K125">
        <f>+VLOOKUP($C125,ForecastImport!$B$15:$J$394,COLUMN()-3,FALSE)</f>
        <v>0</v>
      </c>
      <c r="L125">
        <f>+VLOOKUP($C125,ForecastImport!$B$15:$J$394,COLUMN()-3,FALSE)</f>
        <v>6836483.4317670707</v>
      </c>
    </row>
    <row r="126" spans="2:12">
      <c r="B126">
        <v>192</v>
      </c>
      <c r="C126" t="s">
        <v>470</v>
      </c>
      <c r="D126" s="1211" t="e">
        <f>'Sch 1- Rate Base '!E129:G129</f>
        <v>#VALUE!</v>
      </c>
      <c r="E126" s="1750" t="str">
        <f>+VLOOKUP($C126,ForecastImport!$B$15:$J$394,COLUMN()-3,FALSE)</f>
        <v>320-323</v>
      </c>
      <c r="F126">
        <f>+VLOOKUP($C126,ForecastImport!$B$15:$J$394,COLUMN()-3,FALSE)</f>
        <v>926</v>
      </c>
      <c r="G126" t="str">
        <f>+VLOOKUP($C126,ForecastImport!$B$15:$J$394,COLUMN()-3,FALSE)</f>
        <v>LABOR</v>
      </c>
      <c r="H126">
        <f>+VLOOKUP($C126,ForecastImport!$B$15:$J$394,COLUMN()-3,FALSE)</f>
        <v>0</v>
      </c>
      <c r="I126">
        <f>+VLOOKUP($C126,ForecastImport!$B$15:$J$394,COLUMN()-3,FALSE)</f>
        <v>28096653.760000002</v>
      </c>
      <c r="J126">
        <f>+VLOOKUP($C126,ForecastImport!$B$15:$J$394,COLUMN()-3,FALSE)</f>
        <v>10285360.094296098</v>
      </c>
      <c r="K126">
        <f>+VLOOKUP($C126,ForecastImport!$B$15:$J$394,COLUMN()-3,FALSE)</f>
        <v>0</v>
      </c>
      <c r="L126">
        <f>+VLOOKUP($C126,ForecastImport!$B$15:$J$394,COLUMN()-3,FALSE)</f>
        <v>17811293.665703904</v>
      </c>
    </row>
    <row r="127" spans="2:12">
      <c r="B127">
        <v>193</v>
      </c>
      <c r="C127" t="s">
        <v>471</v>
      </c>
      <c r="D127" s="1211" t="e">
        <f>'Sch 1- Rate Base '!E130:G130</f>
        <v>#VALUE!</v>
      </c>
      <c r="E127" s="1750" t="str">
        <f>+VLOOKUP($C127,ForecastImport!$B$15:$J$394,COLUMN()-3,FALSE)</f>
        <v>320-323</v>
      </c>
      <c r="F127">
        <f>+VLOOKUP($C127,ForecastImport!$B$15:$J$394,COLUMN()-3,FALSE)</f>
        <v>927</v>
      </c>
      <c r="G127" t="str">
        <f>+VLOOKUP($C127,ForecastImport!$B$15:$J$394,COLUMN()-3,FALSE)</f>
        <v>DIST</v>
      </c>
      <c r="H127">
        <f>+VLOOKUP($C127,ForecastImport!$B$15:$J$394,COLUMN()-3,FALSE)</f>
        <v>0</v>
      </c>
      <c r="I127">
        <f>+VLOOKUP($C127,ForecastImport!$B$15:$J$394,COLUMN()-3,FALSE)</f>
        <v>1200</v>
      </c>
      <c r="J127">
        <f>+VLOOKUP($C127,ForecastImport!$B$15:$J$394,COLUMN()-3,FALSE)</f>
        <v>0</v>
      </c>
      <c r="K127">
        <f>+VLOOKUP($C127,ForecastImport!$B$15:$J$394,COLUMN()-3,FALSE)</f>
        <v>0</v>
      </c>
      <c r="L127">
        <f>+VLOOKUP($C127,ForecastImport!$B$15:$J$394,COLUMN()-3,FALSE)</f>
        <v>1200</v>
      </c>
    </row>
    <row r="128" spans="2:12">
      <c r="B128">
        <v>194</v>
      </c>
      <c r="C128" t="s">
        <v>473</v>
      </c>
      <c r="D128" s="1211" t="e">
        <f>'Sch 1- Rate Base '!E131:G131</f>
        <v>#VALUE!</v>
      </c>
      <c r="E128" s="1750" t="str">
        <f>+VLOOKUP($C128,ForecastImport!$B$15:$J$394,COLUMN()-3,FALSE)</f>
        <v>320-323</v>
      </c>
      <c r="F128">
        <f>+VLOOKUP($C128,ForecastImport!$B$15:$J$394,COLUMN()-3,FALSE)</f>
        <v>928</v>
      </c>
      <c r="G128" t="str">
        <f>+VLOOKUP($C128,ForecastImport!$B$15:$J$394,COLUMN()-3,FALSE)</f>
        <v>DIST</v>
      </c>
      <c r="H128">
        <f>+VLOOKUP($C128,ForecastImport!$B$15:$J$394,COLUMN()-3,FALSE)</f>
        <v>0</v>
      </c>
      <c r="I128">
        <f>+VLOOKUP($C128,ForecastImport!$B$15:$J$394,COLUMN()-3,FALSE)</f>
        <v>8387545.0899999999</v>
      </c>
      <c r="J128">
        <f>+VLOOKUP($C128,ForecastImport!$B$15:$J$394,COLUMN()-3,FALSE)</f>
        <v>0</v>
      </c>
      <c r="K128">
        <f>+VLOOKUP($C128,ForecastImport!$B$15:$J$394,COLUMN()-3,FALSE)</f>
        <v>0</v>
      </c>
      <c r="L128">
        <f>+VLOOKUP($C128,ForecastImport!$B$15:$J$394,COLUMN()-3,FALSE)</f>
        <v>8387545.0899999999</v>
      </c>
    </row>
    <row r="129" spans="2:12">
      <c r="B129">
        <v>195</v>
      </c>
      <c r="C129" t="s">
        <v>168</v>
      </c>
      <c r="D129" s="1211" t="e">
        <f>'Sch 1- Rate Base '!E132:G132</f>
        <v>#VALUE!</v>
      </c>
      <c r="E129" s="1750" t="str">
        <f>+VLOOKUP($C129,ForecastImport!$B$15:$J$394,COLUMN()-3,FALSE)</f>
        <v>320-323</v>
      </c>
      <c r="F129">
        <f>+VLOOKUP($C129,ForecastImport!$B$15:$J$394,COLUMN()-3,FALSE)</f>
        <v>929</v>
      </c>
      <c r="G129" t="str">
        <f>+VLOOKUP($C129,ForecastImport!$B$15:$J$394,COLUMN()-3,FALSE)</f>
        <v>PTDG</v>
      </c>
      <c r="H129">
        <f>+VLOOKUP($C129,ForecastImport!$B$15:$J$394,COLUMN()-3,FALSE)</f>
        <v>0</v>
      </c>
      <c r="I129">
        <f>+VLOOKUP($C129,ForecastImport!$B$15:$J$394,COLUMN()-3,FALSE)</f>
        <v>0</v>
      </c>
      <c r="J129">
        <f>+VLOOKUP($C129,ForecastImport!$B$15:$J$394,COLUMN()-3,FALSE)</f>
        <v>0</v>
      </c>
      <c r="K129">
        <f>+VLOOKUP($C129,ForecastImport!$B$15:$J$394,COLUMN()-3,FALSE)</f>
        <v>0</v>
      </c>
      <c r="L129">
        <f>+VLOOKUP($C129,ForecastImport!$B$15:$J$394,COLUMN()-3,FALSE)</f>
        <v>0</v>
      </c>
    </row>
    <row r="130" spans="2:12">
      <c r="B130">
        <v>196</v>
      </c>
      <c r="C130" t="s">
        <v>169</v>
      </c>
      <c r="D130" s="1211" t="e">
        <f>'Sch 1- Rate Base '!E133:G133</f>
        <v>#VALUE!</v>
      </c>
      <c r="E130" s="1750" t="str">
        <f>+VLOOKUP($C130,ForecastImport!$B$15:$J$394,COLUMN()-3,FALSE)</f>
        <v>320-323</v>
      </c>
      <c r="F130">
        <f>+VLOOKUP($C130,ForecastImport!$B$15:$J$394,COLUMN()-3,FALSE)</f>
        <v>930.1</v>
      </c>
      <c r="G130" t="str">
        <f>+VLOOKUP($C130,ForecastImport!$B$15:$J$394,COLUMN()-3,FALSE)</f>
        <v>DIST</v>
      </c>
      <c r="H130" t="str">
        <f>+VLOOKUP($C130,ForecastImport!$B$15:$J$394,COLUMN()-3,FALSE)</f>
        <v>DIRECT</v>
      </c>
      <c r="I130">
        <f>+VLOOKUP($C130,ForecastImport!$B$15:$J$394,COLUMN()-3,FALSE)</f>
        <v>0</v>
      </c>
      <c r="J130">
        <f>+VLOOKUP($C130,ForecastImport!$B$15:$J$394,COLUMN()-3,FALSE)</f>
        <v>0</v>
      </c>
      <c r="K130">
        <f>+VLOOKUP($C130,ForecastImport!$B$15:$J$394,COLUMN()-3,FALSE)</f>
        <v>0</v>
      </c>
      <c r="L130">
        <f>+VLOOKUP($C130,ForecastImport!$B$15:$J$394,COLUMN()-3,FALSE)</f>
        <v>0</v>
      </c>
    </row>
    <row r="131" spans="2:12">
      <c r="B131">
        <v>197</v>
      </c>
      <c r="C131" t="s">
        <v>472</v>
      </c>
      <c r="D131" s="1211" t="e">
        <f>'Sch 1- Rate Base '!E134:G134</f>
        <v>#VALUE!</v>
      </c>
      <c r="E131" s="1750" t="str">
        <f>+VLOOKUP($C131,ForecastImport!$B$15:$J$394,COLUMN()-3,FALSE)</f>
        <v>320-323</v>
      </c>
      <c r="F131">
        <f>+VLOOKUP($C131,ForecastImport!$B$15:$J$394,COLUMN()-3,FALSE)</f>
        <v>930.2</v>
      </c>
      <c r="G131" t="str">
        <f>+VLOOKUP($C131,ForecastImport!$B$15:$J$394,COLUMN()-3,FALSE)</f>
        <v>DIST</v>
      </c>
      <c r="H131" t="str">
        <f>+VLOOKUP($C131,ForecastImport!$B$15:$J$394,COLUMN()-3,FALSE)</f>
        <v>DIRECT</v>
      </c>
      <c r="I131">
        <f>+VLOOKUP($C131,ForecastImport!$B$15:$J$394,COLUMN()-3,FALSE)</f>
        <v>5644866</v>
      </c>
      <c r="J131">
        <f>+VLOOKUP($C131,ForecastImport!$B$15:$J$394,COLUMN()-3,FALSE)</f>
        <v>0</v>
      </c>
      <c r="K131">
        <f>+VLOOKUP($C131,ForecastImport!$B$15:$J$394,COLUMN()-3,FALSE)</f>
        <v>0</v>
      </c>
      <c r="L131">
        <f>+VLOOKUP($C131,ForecastImport!$B$15:$J$394,COLUMN()-3,FALSE)</f>
        <v>5644866</v>
      </c>
    </row>
    <row r="132" spans="2:12">
      <c r="B132">
        <v>198</v>
      </c>
      <c r="C132" t="s">
        <v>496</v>
      </c>
      <c r="D132" s="1211" t="e">
        <f>'Sch 1- Rate Base '!E135:G135</f>
        <v>#VALUE!</v>
      </c>
      <c r="E132" s="1750" t="str">
        <f>+VLOOKUP($C132,ForecastImport!$B$15:$J$394,COLUMN()-3,FALSE)</f>
        <v>320-323</v>
      </c>
      <c r="F132">
        <f>+VLOOKUP($C132,ForecastImport!$B$15:$J$394,COLUMN()-3,FALSE)</f>
        <v>931</v>
      </c>
      <c r="G132" t="str">
        <f>+VLOOKUP($C132,ForecastImport!$B$15:$J$394,COLUMN()-3,FALSE)</f>
        <v>DIST</v>
      </c>
      <c r="H132">
        <f>+VLOOKUP($C132,ForecastImport!$B$15:$J$394,COLUMN()-3,FALSE)</f>
        <v>0</v>
      </c>
      <c r="I132">
        <f>+VLOOKUP($C132,ForecastImport!$B$15:$J$394,COLUMN()-3,FALSE)</f>
        <v>938930</v>
      </c>
      <c r="J132">
        <f>+VLOOKUP($C132,ForecastImport!$B$15:$J$394,COLUMN()-3,FALSE)</f>
        <v>0</v>
      </c>
      <c r="K132">
        <f>+VLOOKUP($C132,ForecastImport!$B$15:$J$394,COLUMN()-3,FALSE)</f>
        <v>0</v>
      </c>
      <c r="L132">
        <f>+VLOOKUP($C132,ForecastImport!$B$15:$J$394,COLUMN()-3,FALSE)</f>
        <v>938930</v>
      </c>
    </row>
    <row r="133" spans="2:12">
      <c r="B133">
        <v>199</v>
      </c>
      <c r="C133" t="s">
        <v>269</v>
      </c>
      <c r="D133" s="1211" t="e">
        <f>'Sch 1- Rate Base '!E136:G136</f>
        <v>#VALUE!</v>
      </c>
      <c r="E133" s="1750" t="str">
        <f>+VLOOKUP($C133,ForecastImport!$B$15:$J$394,COLUMN()-3,FALSE)</f>
        <v>320-324</v>
      </c>
      <c r="F133">
        <f>+VLOOKUP($C133,ForecastImport!$B$15:$J$394,COLUMN()-3,FALSE)</f>
        <v>933</v>
      </c>
      <c r="G133" t="str">
        <f>+VLOOKUP($C133,ForecastImport!$B$15:$J$394,COLUMN()-3,FALSE)</f>
        <v>DIST</v>
      </c>
      <c r="H133">
        <f>+VLOOKUP($C133,ForecastImport!$B$15:$J$394,COLUMN()-3,FALSE)</f>
        <v>0</v>
      </c>
      <c r="I133">
        <f>+VLOOKUP($C133,ForecastImport!$B$15:$J$394,COLUMN()-3,FALSE)</f>
        <v>0</v>
      </c>
      <c r="J133">
        <f>+VLOOKUP($C133,ForecastImport!$B$15:$J$394,COLUMN()-3,FALSE)</f>
        <v>0</v>
      </c>
      <c r="K133">
        <f>+VLOOKUP($C133,ForecastImport!$B$15:$J$394,COLUMN()-3,FALSE)</f>
        <v>0</v>
      </c>
      <c r="L133">
        <f>+VLOOKUP($C133,ForecastImport!$B$15:$J$394,COLUMN()-3,FALSE)</f>
        <v>0</v>
      </c>
    </row>
    <row r="134" spans="2:12">
      <c r="B134">
        <v>200</v>
      </c>
      <c r="C134" t="s">
        <v>94</v>
      </c>
      <c r="D134" s="1211" t="e">
        <f>'Sch 1- Rate Base '!E137:G137</f>
        <v>#VALUE!</v>
      </c>
      <c r="E134" s="1750" t="str">
        <f>+VLOOKUP($C134,ForecastImport!$B$15:$J$394,COLUMN()-3,FALSE)</f>
        <v>320-323</v>
      </c>
      <c r="F134">
        <f>+VLOOKUP($C134,ForecastImport!$B$15:$J$394,COLUMN()-3,FALSE)</f>
        <v>935</v>
      </c>
      <c r="G134" t="str">
        <f>+VLOOKUP($C134,ForecastImport!$B$15:$J$394,COLUMN()-3,FALSE)</f>
        <v>GPM</v>
      </c>
      <c r="H134">
        <f>+VLOOKUP($C134,ForecastImport!$B$15:$J$394,COLUMN()-3,FALSE)</f>
        <v>0</v>
      </c>
      <c r="I134">
        <f>+VLOOKUP($C134,ForecastImport!$B$15:$J$394,COLUMN()-3,FALSE)</f>
        <v>14630422</v>
      </c>
      <c r="J134">
        <f>+VLOOKUP($C134,ForecastImport!$B$15:$J$394,COLUMN()-3,FALSE)</f>
        <v>4690577.0284544546</v>
      </c>
      <c r="K134">
        <f>+VLOOKUP($C134,ForecastImport!$B$15:$J$394,COLUMN()-3,FALSE)</f>
        <v>0</v>
      </c>
      <c r="L134">
        <f>+VLOOKUP($C134,ForecastImport!$B$15:$J$394,COLUMN()-3,FALSE)</f>
        <v>9939844.9715455435</v>
      </c>
    </row>
    <row r="135" spans="2:12">
      <c r="B135">
        <v>207</v>
      </c>
      <c r="C135" t="s">
        <v>843</v>
      </c>
      <c r="D135" s="1211" t="e">
        <f>'Sch 1- Rate Base '!E138:G138</f>
        <v>#VALUE!</v>
      </c>
      <c r="E135" s="1750">
        <f>+VLOOKUP($C135,ForecastImport!$B$15:$J$394,COLUMN()-3,FALSE)</f>
        <v>336</v>
      </c>
      <c r="F135">
        <f>+VLOOKUP($C135,ForecastImport!$B$15:$J$394,COLUMN()-3,FALSE)</f>
        <v>404</v>
      </c>
      <c r="G135" t="str">
        <f>+VLOOKUP($C135,ForecastImport!$B$15:$J$394,COLUMN()-3,FALSE)</f>
        <v>DIST</v>
      </c>
      <c r="H135" t="str">
        <f>+VLOOKUP($C135,ForecastImport!$B$15:$J$394,COLUMN()-3,FALSE)</f>
        <v xml:space="preserve"> </v>
      </c>
      <c r="I135">
        <f>+VLOOKUP($C135,ForecastImport!$B$15:$J$394,COLUMN()-3,FALSE)</f>
        <v>0</v>
      </c>
      <c r="J135">
        <f>+VLOOKUP($C135,ForecastImport!$B$15:$J$394,COLUMN()-3,FALSE)</f>
        <v>0</v>
      </c>
      <c r="K135">
        <f>+VLOOKUP($C135,ForecastImport!$B$15:$J$394,COLUMN()-3,FALSE)</f>
        <v>0</v>
      </c>
      <c r="L135">
        <f>+VLOOKUP($C135,ForecastImport!$B$15:$J$394,COLUMN()-3,FALSE)</f>
        <v>0</v>
      </c>
    </row>
    <row r="136" spans="2:12">
      <c r="B136">
        <v>208</v>
      </c>
      <c r="C136" t="s">
        <v>844</v>
      </c>
      <c r="D136" s="1211" t="e">
        <f>'Sch 1- Rate Base '!E139:G139</f>
        <v>#VALUE!</v>
      </c>
      <c r="E136" s="1750">
        <f>+VLOOKUP($C136,ForecastImport!$B$15:$J$394,COLUMN()-3,FALSE)</f>
        <v>336</v>
      </c>
      <c r="F136">
        <f>+VLOOKUP($C136,ForecastImport!$B$15:$J$394,COLUMN()-3,FALSE)</f>
        <v>404</v>
      </c>
      <c r="G136" t="str">
        <f>+VLOOKUP($C136,ForecastImport!$B$15:$J$394,COLUMN()-3,FALSE)</f>
        <v>DIRECT</v>
      </c>
      <c r="H136" t="str">
        <f>+VLOOKUP($C136,ForecastImport!$B$15:$J$394,COLUMN()-3,FALSE)</f>
        <v>PTD</v>
      </c>
      <c r="I136">
        <f>+VLOOKUP($C136,ForecastImport!$B$15:$J$394,COLUMN()-3,FALSE)</f>
        <v>2226233</v>
      </c>
      <c r="J136">
        <f>+VLOOKUP($C136,ForecastImport!$B$15:$J$394,COLUMN()-3,FALSE)</f>
        <v>2010137.6126880527</v>
      </c>
      <c r="K136">
        <f>+VLOOKUP($C136,ForecastImport!$B$15:$J$394,COLUMN()-3,FALSE)</f>
        <v>0</v>
      </c>
      <c r="L136">
        <f>+VLOOKUP($C136,ForecastImport!$B$15:$J$394,COLUMN()-3,FALSE)</f>
        <v>216095.50131194707</v>
      </c>
    </row>
    <row r="137" spans="2:12">
      <c r="B137">
        <v>209</v>
      </c>
      <c r="C137" t="s">
        <v>845</v>
      </c>
      <c r="D137" s="1211" t="e">
        <f>'Sch 1- Rate Base '!E140:G140</f>
        <v>#VALUE!</v>
      </c>
      <c r="E137" s="1750">
        <f>+VLOOKUP($C137,ForecastImport!$B$15:$J$394,COLUMN()-3,FALSE)</f>
        <v>336</v>
      </c>
      <c r="F137">
        <f>+VLOOKUP($C137,ForecastImport!$B$15:$J$394,COLUMN()-3,FALSE)</f>
        <v>404</v>
      </c>
      <c r="G137" t="str">
        <f>+VLOOKUP($C137,ForecastImport!$B$15:$J$394,COLUMN()-3,FALSE)</f>
        <v>DIRECT</v>
      </c>
      <c r="H137" t="str">
        <f>+VLOOKUP($C137,ForecastImport!$B$15:$J$394,COLUMN()-3,FALSE)</f>
        <v>DIST</v>
      </c>
      <c r="I137">
        <f>+VLOOKUP($C137,ForecastImport!$B$15:$J$394,COLUMN()-3,FALSE)</f>
        <v>7624356</v>
      </c>
      <c r="J137">
        <f>+VLOOKUP($C137,ForecastImport!$B$15:$J$394,COLUMN()-3,FALSE)</f>
        <v>5568168.3742585769</v>
      </c>
      <c r="K137">
        <f>+VLOOKUP($C137,ForecastImport!$B$15:$J$394,COLUMN()-3,FALSE)</f>
        <v>0</v>
      </c>
      <c r="L137">
        <f>+VLOOKUP($C137,ForecastImport!$B$15:$J$394,COLUMN()-3,FALSE)</f>
        <v>2056187.510306925</v>
      </c>
    </row>
    <row r="138" spans="2:12">
      <c r="B138">
        <v>210</v>
      </c>
      <c r="C138" s="1211" t="s">
        <v>846</v>
      </c>
      <c r="D138" s="1211" t="e">
        <f>'Sch 1- Rate Base '!E141:G141</f>
        <v>#VALUE!</v>
      </c>
      <c r="E138" s="1750">
        <f>+VLOOKUP($C138,ForecastImport!$B$15:$J$394,COLUMN()-3,FALSE)</f>
        <v>336</v>
      </c>
      <c r="F138">
        <f>+VLOOKUP($C138,ForecastImport!$B$15:$J$394,COLUMN()-3,FALSE)</f>
        <v>403</v>
      </c>
      <c r="G138" t="str">
        <f>+VLOOKUP($C138,ForecastImport!$B$15:$J$394,COLUMN()-3,FALSE)</f>
        <v>PROD</v>
      </c>
      <c r="H138">
        <f>+VLOOKUP($C138,ForecastImport!$B$15:$J$394,COLUMN()-3,FALSE)</f>
        <v>0</v>
      </c>
      <c r="I138">
        <f>+VLOOKUP($C138,ForecastImport!$B$15:$J$394,COLUMN()-3,FALSE)</f>
        <v>17056563</v>
      </c>
      <c r="J138">
        <f>+VLOOKUP($C138,ForecastImport!$B$15:$J$394,COLUMN()-3,FALSE)</f>
        <v>17056563</v>
      </c>
      <c r="K138">
        <f>+VLOOKUP($C138,ForecastImport!$B$15:$J$394,COLUMN()-3,FALSE)</f>
        <v>0</v>
      </c>
      <c r="L138">
        <f>+VLOOKUP($C138,ForecastImport!$B$15:$J$394,COLUMN()-3,FALSE)</f>
        <v>0</v>
      </c>
    </row>
    <row r="139" spans="2:12">
      <c r="B139">
        <v>211</v>
      </c>
      <c r="C139" s="1211" t="s">
        <v>847</v>
      </c>
      <c r="D139" s="1211" t="e">
        <f>'Sch 1- Rate Base '!E142:G142</f>
        <v>#VALUE!</v>
      </c>
      <c r="E139" s="1750">
        <f>+VLOOKUP($C139,ForecastImport!$B$15:$J$394,COLUMN()-3,FALSE)</f>
        <v>336</v>
      </c>
      <c r="F139">
        <f>+VLOOKUP($C139,ForecastImport!$B$15:$J$394,COLUMN()-3,FALSE)</f>
        <v>403</v>
      </c>
      <c r="G139" t="str">
        <f>+VLOOKUP($C139,ForecastImport!$B$15:$J$394,COLUMN()-3,FALSE)</f>
        <v>PROD</v>
      </c>
      <c r="H139">
        <f>+VLOOKUP($C139,ForecastImport!$B$15:$J$394,COLUMN()-3,FALSE)</f>
        <v>0</v>
      </c>
      <c r="I139">
        <f>+VLOOKUP($C139,ForecastImport!$B$15:$J$394,COLUMN()-3,FALSE)</f>
        <v>0</v>
      </c>
      <c r="J139">
        <f>+VLOOKUP($C139,ForecastImport!$B$15:$J$394,COLUMN()-3,FALSE)</f>
        <v>0</v>
      </c>
      <c r="K139">
        <f>+VLOOKUP($C139,ForecastImport!$B$15:$J$394,COLUMN()-3,FALSE)</f>
        <v>0</v>
      </c>
      <c r="L139">
        <f>+VLOOKUP($C139,ForecastImport!$B$15:$J$394,COLUMN()-3,FALSE)</f>
        <v>0</v>
      </c>
    </row>
    <row r="140" spans="2:12">
      <c r="B140">
        <v>212</v>
      </c>
      <c r="C140" t="s">
        <v>434</v>
      </c>
      <c r="D140" s="1211" t="e">
        <f>'Sch 1- Rate Base '!E143:G143</f>
        <v>#VALUE!</v>
      </c>
      <c r="E140" s="1750">
        <f>+VLOOKUP($C140,ForecastImport!$B$15:$J$394,COLUMN()-3,FALSE)</f>
        <v>336</v>
      </c>
      <c r="F140">
        <f>+VLOOKUP($C140,ForecastImport!$B$15:$J$394,COLUMN()-3,FALSE)</f>
        <v>403</v>
      </c>
      <c r="G140" t="str">
        <f>+VLOOKUP($C140,ForecastImport!$B$15:$J$394,COLUMN()-3,FALSE)</f>
        <v>PROD</v>
      </c>
      <c r="H140">
        <f>+VLOOKUP($C140,ForecastImport!$B$15:$J$394,COLUMN()-3,FALSE)</f>
        <v>0</v>
      </c>
      <c r="I140">
        <f>+VLOOKUP($C140,ForecastImport!$B$15:$J$394,COLUMN()-3,FALSE)</f>
        <v>16632247</v>
      </c>
      <c r="J140">
        <f>+VLOOKUP($C140,ForecastImport!$B$15:$J$394,COLUMN()-3,FALSE)</f>
        <v>16632247</v>
      </c>
      <c r="K140">
        <f>+VLOOKUP($C140,ForecastImport!$B$15:$J$394,COLUMN()-3,FALSE)</f>
        <v>0</v>
      </c>
      <c r="L140">
        <f>+VLOOKUP($C140,ForecastImport!$B$15:$J$394,COLUMN()-3,FALSE)</f>
        <v>0</v>
      </c>
    </row>
    <row r="141" spans="2:12">
      <c r="B141">
        <v>213</v>
      </c>
      <c r="C141" t="s">
        <v>435</v>
      </c>
      <c r="D141" s="1211" t="e">
        <f>'Sch 1- Rate Base '!E144:G144</f>
        <v>#VALUE!</v>
      </c>
      <c r="E141" s="1750">
        <f>+VLOOKUP($C141,ForecastImport!$B$15:$J$394,COLUMN()-3,FALSE)</f>
        <v>336</v>
      </c>
      <c r="F141">
        <f>+VLOOKUP($C141,ForecastImport!$B$15:$J$394,COLUMN()-3,FALSE)</f>
        <v>403</v>
      </c>
      <c r="G141" t="str">
        <f>+VLOOKUP($C141,ForecastImport!$B$15:$J$394,COLUMN()-3,FALSE)</f>
        <v>PROD</v>
      </c>
      <c r="H141">
        <f>+VLOOKUP($C141,ForecastImport!$B$15:$J$394,COLUMN()-3,FALSE)</f>
        <v>0</v>
      </c>
      <c r="I141">
        <f>+VLOOKUP($C141,ForecastImport!$B$15:$J$394,COLUMN()-3,FALSE)</f>
        <v>0</v>
      </c>
      <c r="J141">
        <f>+VLOOKUP($C141,ForecastImport!$B$15:$J$394,COLUMN()-3,FALSE)</f>
        <v>0</v>
      </c>
      <c r="K141">
        <f>+VLOOKUP($C141,ForecastImport!$B$15:$J$394,COLUMN()-3,FALSE)</f>
        <v>0</v>
      </c>
      <c r="L141">
        <f>+VLOOKUP($C141,ForecastImport!$B$15:$J$394,COLUMN()-3,FALSE)</f>
        <v>0</v>
      </c>
    </row>
    <row r="142" spans="2:12">
      <c r="B142">
        <v>214</v>
      </c>
      <c r="C142" s="1211" t="s">
        <v>848</v>
      </c>
      <c r="D142" s="1211" t="e">
        <f>'Sch 1- Rate Base '!E145:G145</f>
        <v>#VALUE!</v>
      </c>
      <c r="E142" s="1750">
        <f>+VLOOKUP($C142,ForecastImport!$B$15:$J$394,COLUMN()-3,FALSE)</f>
        <v>336</v>
      </c>
      <c r="F142">
        <f>+VLOOKUP($C142,ForecastImport!$B$15:$J$394,COLUMN()-3,FALSE)</f>
        <v>403</v>
      </c>
      <c r="G142" t="str">
        <f>+VLOOKUP($C142,ForecastImport!$B$15:$J$394,COLUMN()-3,FALSE)</f>
        <v>PROD</v>
      </c>
      <c r="H142">
        <f>+VLOOKUP($C142,ForecastImport!$B$15:$J$394,COLUMN()-3,FALSE)</f>
        <v>0</v>
      </c>
      <c r="I142">
        <f>+VLOOKUP($C142,ForecastImport!$B$15:$J$394,COLUMN()-3,FALSE)</f>
        <v>11041726</v>
      </c>
      <c r="J142">
        <f>+VLOOKUP($C142,ForecastImport!$B$15:$J$394,COLUMN()-3,FALSE)</f>
        <v>11041726</v>
      </c>
      <c r="K142">
        <f>+VLOOKUP($C142,ForecastImport!$B$15:$J$394,COLUMN()-3,FALSE)</f>
        <v>0</v>
      </c>
      <c r="L142">
        <f>+VLOOKUP($C142,ForecastImport!$B$15:$J$394,COLUMN()-3,FALSE)</f>
        <v>0</v>
      </c>
    </row>
    <row r="143" spans="2:12">
      <c r="B143">
        <v>215</v>
      </c>
      <c r="C143" s="1211" t="s">
        <v>849</v>
      </c>
      <c r="D143" s="1211" t="e">
        <f>'Sch 1- Rate Base '!E146:G146</f>
        <v>#VALUE!</v>
      </c>
      <c r="E143" s="1750">
        <f>+VLOOKUP($C143,ForecastImport!$B$15:$J$394,COLUMN()-3,FALSE)</f>
        <v>336</v>
      </c>
      <c r="F143">
        <f>+VLOOKUP($C143,ForecastImport!$B$15:$J$394,COLUMN()-3,FALSE)</f>
        <v>403</v>
      </c>
      <c r="G143" t="str">
        <f>+VLOOKUP($C143,ForecastImport!$B$15:$J$394,COLUMN()-3,FALSE)</f>
        <v>TRANS</v>
      </c>
      <c r="H143">
        <f>+VLOOKUP($C143,ForecastImport!$B$15:$J$394,COLUMN()-3,FALSE)</f>
        <v>0</v>
      </c>
      <c r="I143">
        <f>+VLOOKUP($C143,ForecastImport!$B$15:$J$394,COLUMN()-3,FALSE)</f>
        <v>21064671</v>
      </c>
      <c r="J143">
        <f>+VLOOKUP($C143,ForecastImport!$B$15:$J$394,COLUMN()-3,FALSE)</f>
        <v>0</v>
      </c>
      <c r="K143">
        <f>+VLOOKUP($C143,ForecastImport!$B$15:$J$394,COLUMN()-3,FALSE)</f>
        <v>0</v>
      </c>
      <c r="L143">
        <f>+VLOOKUP($C143,ForecastImport!$B$15:$J$394,COLUMN()-3,FALSE)</f>
        <v>21064671</v>
      </c>
    </row>
    <row r="144" spans="2:12">
      <c r="B144">
        <v>216</v>
      </c>
      <c r="C144" s="1211" t="s">
        <v>850</v>
      </c>
      <c r="D144" s="1211" t="e">
        <f>'Sch 1- Rate Base '!E147:G147</f>
        <v>#VALUE!</v>
      </c>
      <c r="E144" s="1750">
        <f>+VLOOKUP($C144,ForecastImport!$B$15:$J$394,COLUMN()-3,FALSE)</f>
        <v>336</v>
      </c>
      <c r="F144">
        <f>+VLOOKUP($C144,ForecastImport!$B$15:$J$394,COLUMN()-3,FALSE)</f>
        <v>403</v>
      </c>
      <c r="G144" t="str">
        <f>+VLOOKUP($C144,ForecastImport!$B$15:$J$394,COLUMN()-3,FALSE)</f>
        <v>DIST</v>
      </c>
      <c r="H144">
        <f>+VLOOKUP($C144,ForecastImport!$B$15:$J$394,COLUMN()-3,FALSE)</f>
        <v>0</v>
      </c>
      <c r="I144">
        <f>+VLOOKUP($C144,ForecastImport!$B$15:$J$394,COLUMN()-3,FALSE)</f>
        <v>60509580</v>
      </c>
      <c r="J144">
        <f>+VLOOKUP($C144,ForecastImport!$B$15:$J$394,COLUMN()-3,FALSE)</f>
        <v>0</v>
      </c>
      <c r="K144">
        <f>+VLOOKUP($C144,ForecastImport!$B$15:$J$394,COLUMN()-3,FALSE)</f>
        <v>0</v>
      </c>
      <c r="L144">
        <f>+VLOOKUP($C144,ForecastImport!$B$15:$J$394,COLUMN()-3,FALSE)</f>
        <v>60509580</v>
      </c>
    </row>
    <row r="145" spans="2:12">
      <c r="B145">
        <v>217</v>
      </c>
      <c r="C145" s="1211" t="s">
        <v>851</v>
      </c>
      <c r="D145" s="1211" t="e">
        <f>'Sch 1- Rate Base '!E148:G148</f>
        <v>#VALUE!</v>
      </c>
      <c r="E145" s="1750">
        <f>+VLOOKUP($C145,ForecastImport!$B$15:$J$394,COLUMN()-3,FALSE)</f>
        <v>336</v>
      </c>
      <c r="F145">
        <f>+VLOOKUP($C145,ForecastImport!$B$15:$J$394,COLUMN()-3,FALSE)</f>
        <v>403</v>
      </c>
      <c r="G145" t="str">
        <f>+VLOOKUP($C145,ForecastImport!$B$15:$J$394,COLUMN()-3,FALSE)</f>
        <v>GP</v>
      </c>
      <c r="H145">
        <f>+VLOOKUP($C145,ForecastImport!$B$15:$J$394,COLUMN()-3,FALSE)</f>
        <v>0</v>
      </c>
      <c r="I145">
        <f>+VLOOKUP($C145,ForecastImport!$B$15:$J$394,COLUMN()-3,FALSE)</f>
        <v>5172455</v>
      </c>
      <c r="J145">
        <f>+VLOOKUP($C145,ForecastImport!$B$15:$J$394,COLUMN()-3,FALSE)</f>
        <v>796769.34241722547</v>
      </c>
      <c r="K145">
        <f>+VLOOKUP($C145,ForecastImport!$B$15:$J$394,COLUMN()-3,FALSE)</f>
        <v>0</v>
      </c>
      <c r="L145">
        <f>+VLOOKUP($C145,ForecastImport!$B$15:$J$394,COLUMN()-3,FALSE)</f>
        <v>4375685.6575827738</v>
      </c>
    </row>
    <row r="146" spans="2:12">
      <c r="B146">
        <v>219</v>
      </c>
      <c r="C146" t="s">
        <v>852</v>
      </c>
      <c r="D146" s="1211" t="e">
        <f>'Sch 1- Rate Base '!E149:G149</f>
        <v>#VALUE!</v>
      </c>
      <c r="E146" s="1750">
        <f>+VLOOKUP($C146,ForecastImport!$B$15:$J$394,COLUMN()-3,FALSE)</f>
        <v>336</v>
      </c>
      <c r="F146">
        <f>+VLOOKUP($C146,ForecastImport!$B$15:$J$394,COLUMN()-3,FALSE)</f>
        <v>403</v>
      </c>
      <c r="G146" t="str">
        <f>+VLOOKUP($C146,ForecastImport!$B$15:$J$394,COLUMN()-3,FALSE)</f>
        <v>DIRECT</v>
      </c>
      <c r="H146">
        <f>+VLOOKUP($C146,ForecastImport!$B$15:$J$394,COLUMN()-3,FALSE)</f>
        <v>0</v>
      </c>
      <c r="I146">
        <f>+VLOOKUP($C146,ForecastImport!$B$15:$J$394,COLUMN()-3,FALSE)</f>
        <v>18217879</v>
      </c>
      <c r="J146">
        <f>+VLOOKUP($C146,ForecastImport!$B$15:$J$394,COLUMN()-3,FALSE)</f>
        <v>5101006.12</v>
      </c>
      <c r="K146">
        <f>+VLOOKUP($C146,ForecastImport!$B$15:$J$394,COLUMN()-3,FALSE)</f>
        <v>0</v>
      </c>
      <c r="L146">
        <f>+VLOOKUP($C146,ForecastImport!$B$15:$J$394,COLUMN()-3,FALSE)</f>
        <v>13116872.879999999</v>
      </c>
    </row>
    <row r="147" spans="2:12">
      <c r="B147">
        <v>220</v>
      </c>
      <c r="C147" t="s">
        <v>853</v>
      </c>
      <c r="D147" s="1211" t="e">
        <f>'Sch 1- Rate Base '!E150:G150</f>
        <v>#VALUE!</v>
      </c>
      <c r="E147" s="1750">
        <f>+VLOOKUP($C147,ForecastImport!$B$15:$J$394,COLUMN()-3,FALSE)</f>
        <v>336</v>
      </c>
      <c r="F147">
        <f>+VLOOKUP($C147,ForecastImport!$B$15:$J$394,COLUMN()-3,FALSE)</f>
        <v>404</v>
      </c>
      <c r="G147" t="str">
        <f>+VLOOKUP($C147,ForecastImport!$B$15:$J$394,COLUMN()-3,FALSE)</f>
        <v>DIRECT</v>
      </c>
      <c r="H147">
        <f>+VLOOKUP($C147,ForecastImport!$B$15:$J$394,COLUMN()-3,FALSE)</f>
        <v>0</v>
      </c>
      <c r="I147">
        <f>+VLOOKUP($C147,ForecastImport!$B$15:$J$394,COLUMN()-3,FALSE)</f>
        <v>36465620</v>
      </c>
      <c r="J147">
        <f>+VLOOKUP($C147,ForecastImport!$B$15:$J$394,COLUMN()-3,FALSE)</f>
        <v>10210373.600000001</v>
      </c>
      <c r="K147">
        <f>+VLOOKUP($C147,ForecastImport!$B$15:$J$394,COLUMN()-3,FALSE)</f>
        <v>0</v>
      </c>
      <c r="L147">
        <f>+VLOOKUP($C147,ForecastImport!$B$15:$J$394,COLUMN()-3,FALSE)</f>
        <v>26255246.399999999</v>
      </c>
    </row>
    <row r="148" spans="2:12">
      <c r="B148">
        <v>220</v>
      </c>
      <c r="C148" t="s">
        <v>568</v>
      </c>
      <c r="D148" s="1211" t="e">
        <f>'Sch 1- Rate Base '!E151:G151</f>
        <v>#VALUE!</v>
      </c>
      <c r="E148" s="1750">
        <f>+VLOOKUP($C148,ForecastImport!$B$15:$J$394,COLUMN()-3,FALSE)</f>
        <v>336</v>
      </c>
      <c r="F148">
        <f>+VLOOKUP($C148,ForecastImport!$B$15:$J$394,COLUMN()-3,FALSE)</f>
        <v>403.1</v>
      </c>
      <c r="G148" t="str">
        <f>+VLOOKUP($C148,ForecastImport!$B$15:$J$394,COLUMN()-3,FALSE)</f>
        <v>DIRECT</v>
      </c>
      <c r="H148">
        <f>+VLOOKUP($C148,ForecastImport!$B$15:$J$394,COLUMN()-3,FALSE)</f>
        <v>0</v>
      </c>
      <c r="I148">
        <f>+VLOOKUP($C148,ForecastImport!$B$15:$J$394,COLUMN()-3,FALSE)</f>
        <v>0</v>
      </c>
      <c r="J148">
        <f>+VLOOKUP($C148,ForecastImport!$B$15:$J$394,COLUMN()-3,FALSE)</f>
        <v>0</v>
      </c>
      <c r="K148">
        <f>+VLOOKUP($C148,ForecastImport!$B$15:$J$394,COLUMN()-3,FALSE)</f>
        <v>0</v>
      </c>
      <c r="L148">
        <f>+VLOOKUP($C148,ForecastImport!$B$15:$J$394,COLUMN()-3,FALSE)</f>
        <v>0</v>
      </c>
    </row>
    <row r="149" spans="2:12">
      <c r="B149">
        <v>221</v>
      </c>
      <c r="C149" t="s">
        <v>569</v>
      </c>
      <c r="D149" s="1211" t="e">
        <f>'Sch 1- Rate Base '!E152:G152</f>
        <v>#VALUE!</v>
      </c>
      <c r="E149" s="1750">
        <f>+VLOOKUP($C149,ForecastImport!$B$15:$J$394,COLUMN()-3,FALSE)</f>
        <v>336</v>
      </c>
      <c r="F149">
        <f>+VLOOKUP($C149,ForecastImport!$B$15:$J$394,COLUMN()-3,FALSE)</f>
        <v>404</v>
      </c>
      <c r="G149" t="str">
        <f>+VLOOKUP($C149,ForecastImport!$B$15:$J$394,COLUMN()-3,FALSE)</f>
        <v>DIRECT</v>
      </c>
      <c r="H149">
        <f>+VLOOKUP($C149,ForecastImport!$B$15:$J$394,COLUMN()-3,FALSE)</f>
        <v>0</v>
      </c>
      <c r="I149">
        <f>+VLOOKUP($C149,ForecastImport!$B$15:$J$394,COLUMN()-3,FALSE)</f>
        <v>0</v>
      </c>
      <c r="J149">
        <f>+VLOOKUP($C149,ForecastImport!$B$15:$J$394,COLUMN()-3,FALSE)</f>
        <v>0</v>
      </c>
      <c r="K149">
        <f>+VLOOKUP($C149,ForecastImport!$B$15:$J$394,COLUMN()-3,FALSE)</f>
        <v>0</v>
      </c>
      <c r="L149">
        <f>+VLOOKUP($C149,ForecastImport!$B$15:$J$394,COLUMN()-3,FALSE)</f>
        <v>0</v>
      </c>
    </row>
    <row r="150" spans="2:12">
      <c r="B150">
        <v>222</v>
      </c>
      <c r="C150" t="s">
        <v>30</v>
      </c>
      <c r="D150" s="1211" t="e">
        <f>'Sch 1- Rate Base '!E153:G153</f>
        <v>#VALUE!</v>
      </c>
      <c r="E150" s="1750" t="str">
        <f>+VLOOKUP($C150,ForecastImport!$B$15:$J$394,COLUMN()-3,FALSE)</f>
        <v>200-201</v>
      </c>
      <c r="F150">
        <f>+VLOOKUP($C150,ForecastImport!$B$15:$J$394,COLUMN()-3,FALSE)</f>
        <v>406</v>
      </c>
      <c r="G150" t="str">
        <f>+VLOOKUP($C150,ForecastImport!$B$15:$J$394,COLUMN()-3,FALSE)</f>
        <v>DIRECT</v>
      </c>
      <c r="H150">
        <f>+VLOOKUP($C150,ForecastImport!$B$15:$J$394,COLUMN()-3,FALSE)</f>
        <v>0</v>
      </c>
      <c r="I150">
        <f>+VLOOKUP($C150,ForecastImport!$B$15:$J$394,COLUMN()-3,FALSE)</f>
        <v>0</v>
      </c>
      <c r="J150">
        <f>+VLOOKUP($C150,ForecastImport!$B$15:$J$394,COLUMN()-3,FALSE)</f>
        <v>0</v>
      </c>
      <c r="K150">
        <f>+VLOOKUP($C150,ForecastImport!$B$15:$J$394,COLUMN()-3,FALSE)</f>
        <v>0</v>
      </c>
      <c r="L150">
        <f>+VLOOKUP($C150,ForecastImport!$B$15:$J$394,COLUMN()-3,FALSE)</f>
        <v>0</v>
      </c>
    </row>
    <row r="151" spans="2:12">
      <c r="B151">
        <v>230</v>
      </c>
      <c r="C151" t="s">
        <v>35</v>
      </c>
      <c r="D151" s="1211" t="e">
        <f>'Sch 1- Rate Base '!E154:G154</f>
        <v>#VALUE!</v>
      </c>
      <c r="E151" s="1750" t="str">
        <f>+VLOOKUP($C151,ForecastImport!$B$15:$J$394,COLUMN()-3,FALSE)</f>
        <v>262-263</v>
      </c>
      <c r="F151">
        <f>+VLOOKUP($C151,ForecastImport!$B$15:$J$394,COLUMN()-3,FALSE)</f>
        <v>409.1</v>
      </c>
      <c r="G151" t="str">
        <f>+VLOOKUP($C151,ForecastImport!$B$15:$J$394,COLUMN()-3,FALSE)</f>
        <v>DIST</v>
      </c>
      <c r="H151">
        <f>+VLOOKUP($C151,ForecastImport!$B$15:$J$394,COLUMN()-3,FALSE)</f>
        <v>0</v>
      </c>
      <c r="I151">
        <f>+VLOOKUP($C151,ForecastImport!$B$15:$J$394,COLUMN()-3,FALSE)</f>
        <v>-2240752</v>
      </c>
      <c r="J151">
        <f>+VLOOKUP($C151,ForecastImport!$B$15:$J$394,COLUMN()-3,FALSE)</f>
        <v>0</v>
      </c>
      <c r="K151">
        <f>+VLOOKUP($C151,ForecastImport!$B$15:$J$394,COLUMN()-3,FALSE)</f>
        <v>0</v>
      </c>
      <c r="L151">
        <f>+VLOOKUP($C151,ForecastImport!$B$15:$J$394,COLUMN()-3,FALSE)</f>
        <v>-2240752</v>
      </c>
    </row>
    <row r="152" spans="2:12">
      <c r="B152">
        <v>231</v>
      </c>
      <c r="C152" t="s">
        <v>150</v>
      </c>
      <c r="D152" s="1211" t="e">
        <f>'Sch 1- Rate Base '!E155:G155</f>
        <v>#VALUE!</v>
      </c>
      <c r="E152" s="1750" t="str">
        <f>+VLOOKUP($C152,ForecastImport!$B$15:$J$394,COLUMN()-3,FALSE)</f>
        <v>262-263</v>
      </c>
      <c r="F152">
        <f>+VLOOKUP($C152,ForecastImport!$B$15:$J$394,COLUMN()-3,FALSE)</f>
        <v>408.1</v>
      </c>
      <c r="G152" t="str">
        <f>+VLOOKUP($C152,ForecastImport!$B$15:$J$394,COLUMN()-3,FALSE)</f>
        <v>LABOR</v>
      </c>
      <c r="H152">
        <f>+VLOOKUP($C152,ForecastImport!$B$15:$J$394,COLUMN()-3,FALSE)</f>
        <v>0</v>
      </c>
      <c r="I152">
        <f>+VLOOKUP($C152,ForecastImport!$B$15:$J$394,COLUMN()-3,FALSE)</f>
        <v>17254667</v>
      </c>
      <c r="J152">
        <f>+VLOOKUP($C152,ForecastImport!$B$15:$J$394,COLUMN()-3,FALSE)</f>
        <v>6316427.0349811129</v>
      </c>
      <c r="K152">
        <f>+VLOOKUP($C152,ForecastImport!$B$15:$J$394,COLUMN()-3,FALSE)</f>
        <v>0</v>
      </c>
      <c r="L152">
        <f>+VLOOKUP($C152,ForecastImport!$B$15:$J$394,COLUMN()-3,FALSE)</f>
        <v>10938239.965018887</v>
      </c>
    </row>
    <row r="153" spans="2:12">
      <c r="B153">
        <v>232</v>
      </c>
      <c r="C153" t="s">
        <v>151</v>
      </c>
      <c r="D153" s="1211" t="e">
        <f>'Sch 1- Rate Base '!E156:G156</f>
        <v>#VALUE!</v>
      </c>
      <c r="E153" s="1750" t="str">
        <f>+VLOOKUP($C153,ForecastImport!$B$15:$J$394,COLUMN()-3,FALSE)</f>
        <v>262-263</v>
      </c>
      <c r="F153">
        <f>+VLOOKUP($C153,ForecastImport!$B$15:$J$394,COLUMN()-3,FALSE)</f>
        <v>408.1</v>
      </c>
      <c r="G153" t="str">
        <f>+VLOOKUP($C153,ForecastImport!$B$15:$J$394,COLUMN()-3,FALSE)</f>
        <v>DIST</v>
      </c>
      <c r="H153">
        <f>+VLOOKUP($C153,ForecastImport!$B$15:$J$394,COLUMN()-3,FALSE)</f>
        <v>0</v>
      </c>
      <c r="I153">
        <f>+VLOOKUP($C153,ForecastImport!$B$15:$J$394,COLUMN()-3,FALSE)</f>
        <v>0</v>
      </c>
      <c r="J153">
        <f>+VLOOKUP($C153,ForecastImport!$B$15:$J$394,COLUMN()-3,FALSE)</f>
        <v>0</v>
      </c>
      <c r="K153">
        <f>+VLOOKUP($C153,ForecastImport!$B$15:$J$394,COLUMN()-3,FALSE)</f>
        <v>0</v>
      </c>
      <c r="L153">
        <f>+VLOOKUP($C153,ForecastImport!$B$15:$J$394,COLUMN()-3,FALSE)</f>
        <v>0</v>
      </c>
    </row>
    <row r="154" spans="2:12">
      <c r="B154">
        <v>236</v>
      </c>
      <c r="C154" t="s">
        <v>571</v>
      </c>
      <c r="D154" s="1211" t="e">
        <f>'Sch 1- Rate Base '!E157:G157</f>
        <v>#VALUE!</v>
      </c>
      <c r="E154" s="1750" t="str">
        <f>+VLOOKUP($C154,ForecastImport!$B$15:$J$394,COLUMN()-3,FALSE)</f>
        <v>262-263</v>
      </c>
      <c r="F154">
        <f>+VLOOKUP($C154,ForecastImport!$B$15:$J$394,COLUMN()-3,FALSE)</f>
        <v>408.1</v>
      </c>
      <c r="G154" t="str">
        <f>+VLOOKUP($C154,ForecastImport!$B$15:$J$394,COLUMN()-3,FALSE)</f>
        <v>PTDG</v>
      </c>
      <c r="H154">
        <f>+VLOOKUP($C154,ForecastImport!$B$15:$J$394,COLUMN()-3,FALSE)</f>
        <v>0</v>
      </c>
      <c r="I154">
        <f>+VLOOKUP($C154,ForecastImport!$B$15:$J$394,COLUMN()-3,FALSE)</f>
        <v>37863278</v>
      </c>
      <c r="J154">
        <f>+VLOOKUP($C154,ForecastImport!$B$15:$J$394,COLUMN()-3,FALSE)</f>
        <v>12048954.657508478</v>
      </c>
      <c r="K154">
        <f>+VLOOKUP($C154,ForecastImport!$B$15:$J$394,COLUMN()-3,FALSE)</f>
        <v>0</v>
      </c>
      <c r="L154">
        <f>+VLOOKUP($C154,ForecastImport!$B$15:$J$394,COLUMN()-3,FALSE)</f>
        <v>25814323.338601049</v>
      </c>
    </row>
    <row r="155" spans="2:12">
      <c r="B155">
        <v>237</v>
      </c>
      <c r="C155" t="s">
        <v>152</v>
      </c>
      <c r="D155" s="1211" t="e">
        <f>'Sch 1- Rate Base '!E158:G158</f>
        <v>#VALUE!</v>
      </c>
      <c r="E155" s="1750" t="str">
        <f>+VLOOKUP($C155,ForecastImport!$B$15:$J$394,COLUMN()-3,FALSE)</f>
        <v>262-263</v>
      </c>
      <c r="F155">
        <f>+VLOOKUP($C155,ForecastImport!$B$15:$J$394,COLUMN()-3,FALSE)</f>
        <v>408.1</v>
      </c>
      <c r="G155" t="str">
        <f>+VLOOKUP($C155,ForecastImport!$B$15:$J$394,COLUMN()-3,FALSE)</f>
        <v>LABOR</v>
      </c>
      <c r="H155">
        <f>+VLOOKUP($C155,ForecastImport!$B$15:$J$394,COLUMN()-3,FALSE)</f>
        <v>0</v>
      </c>
      <c r="I155">
        <f>+VLOOKUP($C155,ForecastImport!$B$15:$J$394,COLUMN()-3,FALSE)</f>
        <v>110882</v>
      </c>
      <c r="J155">
        <f>+VLOOKUP($C155,ForecastImport!$B$15:$J$394,COLUMN()-3,FALSE)</f>
        <v>40590.644982761813</v>
      </c>
      <c r="K155">
        <f>+VLOOKUP($C155,ForecastImport!$B$15:$J$394,COLUMN()-3,FALSE)</f>
        <v>0</v>
      </c>
      <c r="L155">
        <f>+VLOOKUP($C155,ForecastImport!$B$15:$J$394,COLUMN()-3,FALSE)</f>
        <v>70291.355017238195</v>
      </c>
    </row>
    <row r="156" spans="2:12">
      <c r="B156">
        <v>238</v>
      </c>
      <c r="C156" t="s">
        <v>572</v>
      </c>
      <c r="D156" s="1211" t="e">
        <f>'Sch 1- Rate Base '!E159:G159</f>
        <v>#VALUE!</v>
      </c>
      <c r="E156" s="1750" t="str">
        <f>+VLOOKUP($C156,ForecastImport!$B$15:$J$394,COLUMN()-3,FALSE)</f>
        <v>262-263</v>
      </c>
      <c r="F156">
        <f>+VLOOKUP($C156,ForecastImport!$B$15:$J$394,COLUMN()-3,FALSE)</f>
        <v>409.1</v>
      </c>
      <c r="G156" t="str">
        <f>+VLOOKUP($C156,ForecastImport!$B$15:$J$394,COLUMN()-3,FALSE)</f>
        <v>DIST</v>
      </c>
      <c r="H156">
        <f>+VLOOKUP($C156,ForecastImport!$B$15:$J$394,COLUMN()-3,FALSE)</f>
        <v>0</v>
      </c>
      <c r="I156">
        <f>+VLOOKUP($C156,ForecastImport!$B$15:$J$394,COLUMN()-3,FALSE)</f>
        <v>43491448</v>
      </c>
      <c r="J156">
        <f>+VLOOKUP($C156,ForecastImport!$B$15:$J$394,COLUMN()-3,FALSE)</f>
        <v>0</v>
      </c>
      <c r="K156">
        <f>+VLOOKUP($C156,ForecastImport!$B$15:$J$394,COLUMN()-3,FALSE)</f>
        <v>0</v>
      </c>
      <c r="L156">
        <f>+VLOOKUP($C156,ForecastImport!$B$15:$J$394,COLUMN()-3,FALSE)</f>
        <v>43491448</v>
      </c>
    </row>
    <row r="157" spans="2:12">
      <c r="B157">
        <v>239</v>
      </c>
      <c r="C157" t="s">
        <v>573</v>
      </c>
      <c r="D157" s="1211" t="e">
        <f>'Sch 1- Rate Base '!E160:G160</f>
        <v>#VALUE!</v>
      </c>
      <c r="E157" s="1750" t="str">
        <f>+VLOOKUP($C157,ForecastImport!$B$15:$J$394,COLUMN()-3,FALSE)</f>
        <v>262-263</v>
      </c>
      <c r="F157">
        <f>+VLOOKUP($C157,ForecastImport!$B$15:$J$394,COLUMN()-3,FALSE)</f>
        <v>408.1</v>
      </c>
      <c r="G157" t="str">
        <f>+VLOOKUP($C157,ForecastImport!$B$15:$J$394,COLUMN()-3,FALSE)</f>
        <v>DIST</v>
      </c>
      <c r="H157">
        <f>+VLOOKUP($C157,ForecastImport!$B$15:$J$394,COLUMN()-3,FALSE)</f>
        <v>0</v>
      </c>
      <c r="I157">
        <f>+VLOOKUP($C157,ForecastImport!$B$15:$J$394,COLUMN()-3,FALSE)</f>
        <v>5991378</v>
      </c>
      <c r="J157">
        <f>+VLOOKUP($C157,ForecastImport!$B$15:$J$394,COLUMN()-3,FALSE)</f>
        <v>0</v>
      </c>
      <c r="K157">
        <f>+VLOOKUP($C157,ForecastImport!$B$15:$J$394,COLUMN()-3,FALSE)</f>
        <v>0</v>
      </c>
      <c r="L157">
        <f>+VLOOKUP($C157,ForecastImport!$B$15:$J$394,COLUMN()-3,FALSE)</f>
        <v>5991378</v>
      </c>
    </row>
    <row r="158" spans="2:12">
      <c r="B158">
        <v>240</v>
      </c>
      <c r="C158" t="s">
        <v>153</v>
      </c>
      <c r="D158" s="1211" t="e">
        <f>'Sch 1- Rate Base '!E161:G161</f>
        <v>#VALUE!</v>
      </c>
      <c r="E158" s="1750" t="str">
        <f>+VLOOKUP($C158,ForecastImport!$B$15:$J$394,COLUMN()-3,FALSE)</f>
        <v>262-263</v>
      </c>
      <c r="F158">
        <f>+VLOOKUP($C158,ForecastImport!$B$15:$J$394,COLUMN()-3,FALSE)</f>
        <v>408.1</v>
      </c>
      <c r="G158" t="str">
        <f>+VLOOKUP($C158,ForecastImport!$B$15:$J$394,COLUMN()-3,FALSE)</f>
        <v>DIST</v>
      </c>
      <c r="H158">
        <f>+VLOOKUP($C158,ForecastImport!$B$15:$J$394,COLUMN()-3,FALSE)</f>
        <v>0</v>
      </c>
      <c r="I158">
        <f>+VLOOKUP($C158,ForecastImport!$B$15:$J$394,COLUMN()-3,FALSE)</f>
        <v>207</v>
      </c>
      <c r="J158">
        <f>+VLOOKUP($C158,ForecastImport!$B$15:$J$394,COLUMN()-3,FALSE)</f>
        <v>0</v>
      </c>
      <c r="K158">
        <f>+VLOOKUP($C158,ForecastImport!$B$15:$J$394,COLUMN()-3,FALSE)</f>
        <v>0</v>
      </c>
      <c r="L158">
        <f>+VLOOKUP($C158,ForecastImport!$B$15:$J$394,COLUMN()-3,FALSE)</f>
        <v>207</v>
      </c>
    </row>
    <row r="159" spans="2:12">
      <c r="B159">
        <v>241</v>
      </c>
      <c r="C159" t="s">
        <v>574</v>
      </c>
      <c r="D159" s="1211" t="e">
        <f>'Sch 1- Rate Base '!E162:G162</f>
        <v>#VALUE!</v>
      </c>
      <c r="E159" s="1750" t="str">
        <f>+VLOOKUP($C159,ForecastImport!$B$15:$J$394,COLUMN()-3,FALSE)</f>
        <v>262-263</v>
      </c>
      <c r="F159">
        <f>+VLOOKUP($C159,ForecastImport!$B$15:$J$394,COLUMN()-3,FALSE)</f>
        <v>408.1</v>
      </c>
      <c r="G159" t="str">
        <f>+VLOOKUP($C159,ForecastImport!$B$15:$J$394,COLUMN()-3,FALSE)</f>
        <v>DIST</v>
      </c>
      <c r="H159">
        <f>+VLOOKUP($C159,ForecastImport!$B$15:$J$394,COLUMN()-3,FALSE)</f>
        <v>0</v>
      </c>
      <c r="I159">
        <f>+VLOOKUP($C159,ForecastImport!$B$15:$J$394,COLUMN()-3,FALSE)</f>
        <v>29955625</v>
      </c>
      <c r="J159">
        <f>+VLOOKUP($C159,ForecastImport!$B$15:$J$394,COLUMN()-3,FALSE)</f>
        <v>0</v>
      </c>
      <c r="K159">
        <f>+VLOOKUP($C159,ForecastImport!$B$15:$J$394,COLUMN()-3,FALSE)</f>
        <v>0</v>
      </c>
      <c r="L159">
        <f>+VLOOKUP($C159,ForecastImport!$B$15:$J$394,COLUMN()-3,FALSE)</f>
        <v>29955625</v>
      </c>
    </row>
    <row r="160" spans="2:12">
      <c r="B160">
        <v>242</v>
      </c>
      <c r="C160" t="s">
        <v>107</v>
      </c>
      <c r="D160" s="1211" t="e">
        <f>'Sch 1- Rate Base '!E163:G163</f>
        <v>#VALUE!</v>
      </c>
      <c r="E160" s="1750" t="str">
        <f>+VLOOKUP($C160,ForecastImport!$B$15:$J$394,COLUMN()-3,FALSE)</f>
        <v>262-263</v>
      </c>
      <c r="F160">
        <f>+VLOOKUP($C160,ForecastImport!$B$15:$J$394,COLUMN()-3,FALSE)</f>
        <v>408.1</v>
      </c>
      <c r="G160" t="str">
        <f>+VLOOKUP($C160,ForecastImport!$B$15:$J$394,COLUMN()-3,FALSE)</f>
        <v>DIST</v>
      </c>
      <c r="H160">
        <f>+VLOOKUP($C160,ForecastImport!$B$15:$J$394,COLUMN()-3,FALSE)</f>
        <v>0</v>
      </c>
      <c r="I160">
        <f>+VLOOKUP($C160,ForecastImport!$B$15:$J$394,COLUMN()-3,FALSE)</f>
        <v>3348499</v>
      </c>
      <c r="J160">
        <f>+VLOOKUP($C160,ForecastImport!$B$15:$J$394,COLUMN()-3,FALSE)</f>
        <v>0</v>
      </c>
      <c r="K160">
        <f>+VLOOKUP($C160,ForecastImport!$B$15:$J$394,COLUMN()-3,FALSE)</f>
        <v>0</v>
      </c>
      <c r="L160">
        <f>+VLOOKUP($C160,ForecastImport!$B$15:$J$394,COLUMN()-3,FALSE)</f>
        <v>3348499</v>
      </c>
    </row>
    <row r="161" spans="2:12">
      <c r="B161">
        <v>250</v>
      </c>
      <c r="C161" t="s">
        <v>570</v>
      </c>
      <c r="D161" s="1211" t="e">
        <f>'Sch 1- Rate Base '!E164:G164</f>
        <v>#VALUE!</v>
      </c>
      <c r="E161" s="1750" t="str">
        <f>+VLOOKUP($C161,ForecastImport!$B$15:$J$394,COLUMN()-3,FALSE)</f>
        <v>114-117</v>
      </c>
      <c r="F161">
        <f>+VLOOKUP($C161,ForecastImport!$B$15:$J$394,COLUMN()-3,FALSE)</f>
        <v>407.4</v>
      </c>
      <c r="G161" t="str">
        <f>+VLOOKUP($C161,ForecastImport!$B$15:$J$394,COLUMN()-3,FALSE)</f>
        <v>DIRECT</v>
      </c>
      <c r="H161" t="str">
        <f>+VLOOKUP($C161,ForecastImport!$B$15:$J$394,COLUMN()-3,FALSE)</f>
        <v>PROD</v>
      </c>
      <c r="I161">
        <f>+VLOOKUP($C161,ForecastImport!$B$15:$J$394,COLUMN()-3,FALSE)</f>
        <v>43048247.780000001</v>
      </c>
      <c r="J161">
        <f>+VLOOKUP($C161,ForecastImport!$B$15:$J$394,COLUMN()-3,FALSE)</f>
        <v>6528962.2342846561</v>
      </c>
      <c r="K161">
        <f>+VLOOKUP($C161,ForecastImport!$B$15:$J$394,COLUMN()-3,FALSE)</f>
        <v>0</v>
      </c>
      <c r="L161">
        <f>+VLOOKUP($C161,ForecastImport!$B$15:$J$394,COLUMN()-3,FALSE)</f>
        <v>36519285.765715346</v>
      </c>
    </row>
    <row r="162" spans="2:12">
      <c r="B162">
        <v>251</v>
      </c>
      <c r="C162" s="1211" t="s">
        <v>633</v>
      </c>
      <c r="D162" s="1211" t="e">
        <f>'Sch 1- Rate Base '!E165:G165</f>
        <v>#VALUE!</v>
      </c>
      <c r="E162" s="1750" t="str">
        <f>+VLOOKUP($C162,ForecastImport!$B$15:$J$394,COLUMN()-3,FALSE)</f>
        <v>114-117</v>
      </c>
      <c r="F162">
        <f>+VLOOKUP($C162,ForecastImport!$B$15:$J$394,COLUMN()-3,FALSE)</f>
        <v>407.3</v>
      </c>
      <c r="G162" t="str">
        <f>+VLOOKUP($C162,ForecastImport!$B$15:$J$394,COLUMN()-3,FALSE)</f>
        <v>DIRECT</v>
      </c>
      <c r="H162" t="str">
        <f>+VLOOKUP($C162,ForecastImport!$B$15:$J$394,COLUMN()-3,FALSE)</f>
        <v>DIST</v>
      </c>
      <c r="I162">
        <f>+VLOOKUP($C162,ForecastImport!$B$15:$J$394,COLUMN()-3,FALSE)</f>
        <v>21751021.41</v>
      </c>
      <c r="J162">
        <f>+VLOOKUP($C162,ForecastImport!$B$15:$J$394,COLUMN()-3,FALSE)</f>
        <v>5597733.3811167059</v>
      </c>
      <c r="K162">
        <f>+VLOOKUP($C162,ForecastImport!$B$15:$J$394,COLUMN()-3,FALSE)</f>
        <v>0</v>
      </c>
      <c r="L162">
        <f>+VLOOKUP($C162,ForecastImport!$B$15:$J$394,COLUMN()-3,FALSE)</f>
        <v>11163861</v>
      </c>
    </row>
    <row r="163" spans="2:12">
      <c r="B163">
        <v>252</v>
      </c>
      <c r="C163" t="s">
        <v>393</v>
      </c>
      <c r="D163" s="1211" t="e">
        <f>'Sch 1- Rate Base '!E166:G166</f>
        <v>#VALUE!</v>
      </c>
      <c r="E163" s="1750" t="str">
        <f>+VLOOKUP($C163,ForecastImport!$B$15:$J$394,COLUMN()-3,FALSE)</f>
        <v>114-117</v>
      </c>
      <c r="F163">
        <f>+VLOOKUP($C163,ForecastImport!$B$15:$J$394,COLUMN()-3,FALSE)</f>
        <v>411.6</v>
      </c>
      <c r="G163" t="str">
        <f>+VLOOKUP($C163,ForecastImport!$B$15:$J$394,COLUMN()-3,FALSE)</f>
        <v>DIRECT</v>
      </c>
      <c r="H163" t="str">
        <f>+VLOOKUP($C163,ForecastImport!$B$15:$J$394,COLUMN()-3,FALSE)</f>
        <v>PROD</v>
      </c>
      <c r="I163">
        <f>+VLOOKUP($C163,ForecastImport!$B$15:$J$394,COLUMN()-3,FALSE)</f>
        <v>0</v>
      </c>
      <c r="J163">
        <f>+VLOOKUP($C163,ForecastImport!$B$15:$J$394,COLUMN()-3,FALSE)</f>
        <v>0</v>
      </c>
      <c r="K163">
        <f>+VLOOKUP($C163,ForecastImport!$B$15:$J$394,COLUMN()-3,FALSE)</f>
        <v>0</v>
      </c>
      <c r="L163">
        <f>+VLOOKUP($C163,ForecastImport!$B$15:$J$394,COLUMN()-3,FALSE)</f>
        <v>0</v>
      </c>
    </row>
    <row r="164" spans="2:12">
      <c r="B164">
        <v>253</v>
      </c>
      <c r="C164" s="1211" t="s">
        <v>634</v>
      </c>
      <c r="D164" s="1211" t="e">
        <f>'Sch 1- Rate Base '!E167:G167</f>
        <v>#VALUE!</v>
      </c>
      <c r="E164" s="1750" t="str">
        <f>+VLOOKUP($C164,ForecastImport!$B$15:$J$394,COLUMN()-3,FALSE)</f>
        <v>114-117</v>
      </c>
      <c r="F164" s="1750" t="str">
        <f>+VLOOKUP($C164,ForecastImport!$B$15:$J$394,COLUMN()-3,FALSE)</f>
        <v>411.7</v>
      </c>
      <c r="G164" t="str">
        <f>+VLOOKUP($C164,ForecastImport!$B$15:$J$394,COLUMN()-3,FALSE)</f>
        <v>DIRECT</v>
      </c>
      <c r="H164" t="str">
        <f>+VLOOKUP($C164,ForecastImport!$B$15:$J$394,COLUMN()-3,FALSE)</f>
        <v>DIST</v>
      </c>
      <c r="I164">
        <f>+VLOOKUP($C164,ForecastImport!$B$15:$J$394,COLUMN()-3,FALSE)</f>
        <v>0</v>
      </c>
      <c r="J164">
        <f>+VLOOKUP($C164,ForecastImport!$B$15:$J$394,COLUMN()-3,FALSE)</f>
        <v>0</v>
      </c>
      <c r="K164">
        <f>+VLOOKUP($C164,ForecastImport!$B$15:$J$394,COLUMN()-3,FALSE)</f>
        <v>0</v>
      </c>
      <c r="L164">
        <f>+VLOOKUP($C164,ForecastImport!$B$15:$J$394,COLUMN()-3,FALSE)</f>
        <v>0</v>
      </c>
    </row>
    <row r="165" spans="2:12">
      <c r="B165">
        <v>254</v>
      </c>
      <c r="C165" t="s">
        <v>394</v>
      </c>
      <c r="D165" s="1211" t="e">
        <f>'Sch 1- Rate Base '!E168:G168</f>
        <v>#VALUE!</v>
      </c>
      <c r="E165" s="1750" t="str">
        <f>+VLOOKUP($C165,ForecastImport!$B$15:$J$394,COLUMN()-3,FALSE)</f>
        <v>114-117</v>
      </c>
      <c r="F165" s="1750">
        <f>+VLOOKUP($C165,ForecastImport!$B$15:$J$394,COLUMN()-3,FALSE)</f>
        <v>411.8</v>
      </c>
      <c r="G165" t="str">
        <f>+VLOOKUP($C165,ForecastImport!$B$15:$J$394,COLUMN()-3,FALSE)</f>
        <v>PROD</v>
      </c>
      <c r="H165">
        <f>+VLOOKUP($C165,ForecastImport!$B$15:$J$394,COLUMN()-3,FALSE)</f>
        <v>0</v>
      </c>
      <c r="I165">
        <f>+VLOOKUP($C165,ForecastImport!$B$15:$J$394,COLUMN()-3,FALSE)</f>
        <v>0</v>
      </c>
      <c r="J165">
        <f>+VLOOKUP($C165,ForecastImport!$B$15:$J$394,COLUMN()-3,FALSE)</f>
        <v>0</v>
      </c>
      <c r="K165">
        <f>+VLOOKUP($C165,ForecastImport!$B$15:$J$394,COLUMN()-3,FALSE)</f>
        <v>0</v>
      </c>
      <c r="L165">
        <f>+VLOOKUP($C165,ForecastImport!$B$15:$J$394,COLUMN()-3,FALSE)</f>
        <v>0</v>
      </c>
    </row>
    <row r="166" spans="2:12">
      <c r="B166">
        <v>255</v>
      </c>
      <c r="C166" s="1211" t="s">
        <v>635</v>
      </c>
      <c r="D166" s="1211" t="e">
        <f>'Sch 1- Rate Base '!E169:G169</f>
        <v>#VALUE!</v>
      </c>
      <c r="E166" s="1750" t="str">
        <f>+VLOOKUP($C166,ForecastImport!$B$15:$J$394,COLUMN()-3,FALSE)</f>
        <v>114-117</v>
      </c>
      <c r="F166" s="1750">
        <f>+VLOOKUP($C166,ForecastImport!$B$15:$J$394,COLUMN()-3,FALSE)</f>
        <v>411.9</v>
      </c>
      <c r="G166" t="str">
        <f>+VLOOKUP($C166,ForecastImport!$B$15:$J$394,COLUMN()-3,FALSE)</f>
        <v>PROD</v>
      </c>
      <c r="H166">
        <f>+VLOOKUP($C166,ForecastImport!$B$15:$J$394,COLUMN()-3,FALSE)</f>
        <v>0</v>
      </c>
      <c r="I166">
        <f>+VLOOKUP($C166,ForecastImport!$B$15:$J$394,COLUMN()-3,FALSE)</f>
        <v>0</v>
      </c>
      <c r="J166">
        <f>+VLOOKUP($C166,ForecastImport!$B$15:$J$394,COLUMN()-3,FALSE)</f>
        <v>0</v>
      </c>
      <c r="K166">
        <f>+VLOOKUP($C166,ForecastImport!$B$15:$J$394,COLUMN()-3,FALSE)</f>
        <v>0</v>
      </c>
      <c r="L166">
        <f>+VLOOKUP($C166,ForecastImport!$B$15:$J$394,COLUMN()-3,FALSE)</f>
        <v>0</v>
      </c>
    </row>
    <row r="167" spans="2:12">
      <c r="B167">
        <v>256</v>
      </c>
      <c r="C167" t="s">
        <v>181</v>
      </c>
      <c r="D167" s="1211" t="e">
        <f>'Sch 1- Rate Base '!E170:G170</f>
        <v>#VALUE!</v>
      </c>
      <c r="E167" s="1750" t="str">
        <f>+VLOOKUP($C167,ForecastImport!$B$15:$J$394,COLUMN()-3,FALSE)</f>
        <v>114-117</v>
      </c>
      <c r="F167" s="1750">
        <f>+VLOOKUP($C167,ForecastImport!$B$15:$J$394,COLUMN()-3,FALSE)</f>
        <v>421</v>
      </c>
      <c r="G167" t="str">
        <f>+VLOOKUP($C167,ForecastImport!$B$15:$J$394,COLUMN()-3,FALSE)</f>
        <v>DIRECT</v>
      </c>
      <c r="H167" t="str">
        <f>+VLOOKUP($C167,ForecastImport!$B$15:$J$394,COLUMN()-3,FALSE)</f>
        <v>PROD</v>
      </c>
      <c r="I167">
        <f>+VLOOKUP($C167,ForecastImport!$B$15:$J$394,COLUMN()-3,FALSE)</f>
        <v>0</v>
      </c>
      <c r="J167">
        <f>+VLOOKUP($C167,ForecastImport!$B$15:$J$394,COLUMN()-3,FALSE)</f>
        <v>0</v>
      </c>
      <c r="K167">
        <f>+VLOOKUP($C167,ForecastImport!$B$15:$J$394,COLUMN()-3,FALSE)</f>
        <v>0</v>
      </c>
      <c r="L167">
        <f>+VLOOKUP($C167,ForecastImport!$B$15:$J$394,COLUMN()-3,FALSE)</f>
        <v>0</v>
      </c>
    </row>
    <row r="168" spans="2:12">
      <c r="B168">
        <v>260</v>
      </c>
      <c r="C168" t="s">
        <v>64</v>
      </c>
      <c r="D168" s="1211" t="e">
        <f>'Sch 1- Rate Base '!E171:G171</f>
        <v>#VALUE!</v>
      </c>
      <c r="E168" s="1750">
        <f>+VLOOKUP($C168,ForecastImport!$B$15:$J$394,COLUMN()-3,FALSE)</f>
        <v>310</v>
      </c>
      <c r="F168" s="1750">
        <f>+VLOOKUP($C168,ForecastImport!$B$15:$J$394,COLUMN()-3,FALSE)</f>
        <v>447</v>
      </c>
      <c r="G168" t="str">
        <f>+VLOOKUP($C168,ForecastImport!$B$15:$J$394,COLUMN()-3,FALSE)</f>
        <v>PROD</v>
      </c>
      <c r="H168">
        <f>+VLOOKUP($C168,ForecastImport!$B$15:$J$394,COLUMN()-3,FALSE)</f>
        <v>0</v>
      </c>
      <c r="I168">
        <f>+VLOOKUP($C168,ForecastImport!$B$15:$J$394,COLUMN()-3,FALSE)</f>
        <v>253658001</v>
      </c>
      <c r="J168">
        <f>+VLOOKUP($C168,ForecastImport!$B$15:$J$394,COLUMN()-3,FALSE)</f>
        <v>253658001</v>
      </c>
      <c r="K168">
        <f>+VLOOKUP($C168,ForecastImport!$B$15:$J$394,COLUMN()-3,FALSE)</f>
        <v>0</v>
      </c>
      <c r="L168">
        <f>+VLOOKUP($C168,ForecastImport!$B$15:$J$394,COLUMN()-3,FALSE)</f>
        <v>0</v>
      </c>
    </row>
    <row r="169" spans="2:12">
      <c r="B169">
        <v>264</v>
      </c>
      <c r="C169" t="s">
        <v>327</v>
      </c>
      <c r="D169" s="1211" t="e">
        <f>'Sch 1- Rate Base '!E172:G172</f>
        <v>#VALUE!</v>
      </c>
      <c r="E169" s="1750">
        <f>+VLOOKUP($C169,ForecastImport!$B$15:$J$394,COLUMN()-3,FALSE)</f>
        <v>300</v>
      </c>
      <c r="F169" s="1750">
        <f>+VLOOKUP($C169,ForecastImport!$B$15:$J$394,COLUMN()-3,FALSE)</f>
        <v>450</v>
      </c>
      <c r="G169" t="str">
        <f>+VLOOKUP($C169,ForecastImport!$B$15:$J$394,COLUMN()-3,FALSE)</f>
        <v>DIST</v>
      </c>
      <c r="H169">
        <f>+VLOOKUP($C169,ForecastImport!$B$15:$J$394,COLUMN()-3,FALSE)</f>
        <v>0</v>
      </c>
      <c r="I169">
        <f>+VLOOKUP($C169,ForecastImport!$B$15:$J$394,COLUMN()-3,FALSE)</f>
        <v>0</v>
      </c>
      <c r="J169">
        <f>+VLOOKUP($C169,ForecastImport!$B$15:$J$394,COLUMN()-3,FALSE)</f>
        <v>0</v>
      </c>
      <c r="K169">
        <f>+VLOOKUP($C169,ForecastImport!$B$15:$J$394,COLUMN()-3,FALSE)</f>
        <v>0</v>
      </c>
      <c r="L169">
        <f>+VLOOKUP($C169,ForecastImport!$B$15:$J$394,COLUMN()-3,FALSE)</f>
        <v>0</v>
      </c>
    </row>
    <row r="170" spans="2:12">
      <c r="B170">
        <v>265</v>
      </c>
      <c r="C170" t="s">
        <v>550</v>
      </c>
      <c r="D170" s="1211" t="e">
        <f>'Sch 1- Rate Base '!E173:G173</f>
        <v>#VALUE!</v>
      </c>
      <c r="E170" s="1750">
        <f>+VLOOKUP($C170,ForecastImport!$B$15:$J$394,COLUMN()-3,FALSE)</f>
        <v>300</v>
      </c>
      <c r="F170" s="1750" t="str">
        <f>+VLOOKUP($C170,ForecastImport!$B$15:$J$394,COLUMN()-3,FALSE)</f>
        <v>451</v>
      </c>
      <c r="G170" t="str">
        <f>+VLOOKUP($C170,ForecastImport!$B$15:$J$394,COLUMN()-3,FALSE)</f>
        <v>DIST</v>
      </c>
      <c r="H170">
        <f>+VLOOKUP($C170,ForecastImport!$B$15:$J$394,COLUMN()-3,FALSE)</f>
        <v>0</v>
      </c>
      <c r="I170">
        <f>+VLOOKUP($C170,ForecastImport!$B$15:$J$394,COLUMN()-3,FALSE)</f>
        <v>129396</v>
      </c>
      <c r="J170">
        <f>+VLOOKUP($C170,ForecastImport!$B$15:$J$394,COLUMN()-3,FALSE)</f>
        <v>0</v>
      </c>
      <c r="K170">
        <f>+VLOOKUP($C170,ForecastImport!$B$15:$J$394,COLUMN()-3,FALSE)</f>
        <v>0</v>
      </c>
      <c r="L170">
        <f>+VLOOKUP($C170,ForecastImport!$B$15:$J$394,COLUMN()-3,FALSE)</f>
        <v>129396</v>
      </c>
    </row>
    <row r="171" spans="2:12">
      <c r="B171">
        <v>266</v>
      </c>
      <c r="C171" t="s">
        <v>549</v>
      </c>
      <c r="D171" s="1211" t="e">
        <f>'Sch 1- Rate Base '!E174:G174</f>
        <v>#VALUE!</v>
      </c>
      <c r="E171" s="1750">
        <f>+VLOOKUP($C171,ForecastImport!$B$15:$J$394,COLUMN()-3,FALSE)</f>
        <v>300</v>
      </c>
      <c r="F171" s="1750" t="str">
        <f>+VLOOKUP($C171,ForecastImport!$B$15:$J$394,COLUMN()-3,FALSE)</f>
        <v>453</v>
      </c>
      <c r="G171" t="str">
        <f>+VLOOKUP($C171,ForecastImport!$B$15:$J$394,COLUMN()-3,FALSE)</f>
        <v>PROD</v>
      </c>
      <c r="H171">
        <f>+VLOOKUP($C171,ForecastImport!$B$15:$J$394,COLUMN()-3,FALSE)</f>
        <v>0</v>
      </c>
      <c r="I171">
        <f>+VLOOKUP($C171,ForecastImport!$B$15:$J$394,COLUMN()-3,FALSE)</f>
        <v>688332</v>
      </c>
      <c r="J171">
        <f>+VLOOKUP($C171,ForecastImport!$B$15:$J$394,COLUMN()-3,FALSE)</f>
        <v>688332</v>
      </c>
      <c r="K171">
        <f>+VLOOKUP($C171,ForecastImport!$B$15:$J$394,COLUMN()-3,FALSE)</f>
        <v>0</v>
      </c>
      <c r="L171">
        <f>+VLOOKUP($C171,ForecastImport!$B$15:$J$394,COLUMN()-3,FALSE)</f>
        <v>0</v>
      </c>
    </row>
    <row r="172" spans="2:12">
      <c r="B172">
        <v>267</v>
      </c>
      <c r="C172" t="s">
        <v>548</v>
      </c>
      <c r="D172" s="1211" t="e">
        <f>'Sch 1- Rate Base '!E175:G175</f>
        <v>#VALUE!</v>
      </c>
      <c r="E172" s="1750">
        <f>+VLOOKUP($C172,ForecastImport!$B$15:$J$394,COLUMN()-3,FALSE)</f>
        <v>300</v>
      </c>
      <c r="F172" s="1750" t="str">
        <f>+VLOOKUP($C172,ForecastImport!$B$15:$J$394,COLUMN()-3,FALSE)</f>
        <v>454</v>
      </c>
      <c r="G172" t="str">
        <f>+VLOOKUP($C172,ForecastImport!$B$15:$J$394,COLUMN()-3,FALSE)</f>
        <v>TD</v>
      </c>
      <c r="H172">
        <f>+VLOOKUP($C172,ForecastImport!$B$15:$J$394,COLUMN()-3,FALSE)</f>
        <v>0</v>
      </c>
      <c r="I172">
        <f>+VLOOKUP($C172,ForecastImport!$B$15:$J$394,COLUMN()-3,FALSE)</f>
        <v>7542853</v>
      </c>
      <c r="J172">
        <f>+VLOOKUP($C172,ForecastImport!$B$15:$J$394,COLUMN()-3,FALSE)</f>
        <v>0</v>
      </c>
      <c r="K172">
        <f>+VLOOKUP($C172,ForecastImport!$B$15:$J$394,COLUMN()-3,FALSE)</f>
        <v>0</v>
      </c>
      <c r="L172">
        <f>+VLOOKUP($C172,ForecastImport!$B$15:$J$394,COLUMN()-3,FALSE)</f>
        <v>7542853</v>
      </c>
    </row>
    <row r="173" spans="2:12">
      <c r="B173">
        <v>268</v>
      </c>
      <c r="C173" t="s">
        <v>329</v>
      </c>
      <c r="D173" s="1211" t="e">
        <f>'Sch 1- Rate Base '!E176:G176</f>
        <v>#VALUE!</v>
      </c>
      <c r="E173" s="1750">
        <f>+VLOOKUP($C173,ForecastImport!$B$15:$J$394,COLUMN()-3,FALSE)</f>
        <v>300</v>
      </c>
      <c r="F173" s="1750">
        <f>+VLOOKUP($C173,ForecastImport!$B$15:$J$394,COLUMN()-3,FALSE)</f>
        <v>455</v>
      </c>
      <c r="G173" t="str">
        <f>+VLOOKUP($C173,ForecastImport!$B$15:$J$394,COLUMN()-3,FALSE)</f>
        <v>DIST</v>
      </c>
      <c r="H173">
        <f>+VLOOKUP($C173,ForecastImport!$B$15:$J$394,COLUMN()-3,FALSE)</f>
        <v>0</v>
      </c>
      <c r="I173">
        <f>+VLOOKUP($C173,ForecastImport!$B$15:$J$394,COLUMN()-3,FALSE)</f>
        <v>0</v>
      </c>
      <c r="J173">
        <f>+VLOOKUP($C173,ForecastImport!$B$15:$J$394,COLUMN()-3,FALSE)</f>
        <v>0</v>
      </c>
      <c r="K173">
        <f>+VLOOKUP($C173,ForecastImport!$B$15:$J$394,COLUMN()-3,FALSE)</f>
        <v>0</v>
      </c>
      <c r="L173">
        <f>+VLOOKUP($C173,ForecastImport!$B$15:$J$394,COLUMN()-3,FALSE)</f>
        <v>0</v>
      </c>
    </row>
    <row r="174" spans="2:12">
      <c r="B174">
        <v>269</v>
      </c>
      <c r="C174" t="s">
        <v>328</v>
      </c>
      <c r="D174" s="1211" t="e">
        <f>'Sch 1- Rate Base '!E177:G177</f>
        <v>#VALUE!</v>
      </c>
      <c r="E174" s="1750">
        <f>+VLOOKUP($C174,ForecastImport!$B$15:$J$394,COLUMN()-3,FALSE)</f>
        <v>300</v>
      </c>
      <c r="F174" s="1750" t="str">
        <f>+VLOOKUP($C174,ForecastImport!$B$15:$J$394,COLUMN()-3,FALSE)</f>
        <v>456</v>
      </c>
      <c r="G174" t="str">
        <f>+VLOOKUP($C174,ForecastImport!$B$15:$J$394,COLUMN()-3,FALSE)</f>
        <v>DIRECT</v>
      </c>
      <c r="H174" t="str">
        <f>+VLOOKUP($C174,ForecastImport!$B$15:$J$394,COLUMN()-3,FALSE)</f>
        <v>PROD</v>
      </c>
      <c r="I174">
        <f>+VLOOKUP($C174,ForecastImport!$B$15:$J$394,COLUMN()-3,FALSE)</f>
        <v>2198927</v>
      </c>
      <c r="J174">
        <f>+VLOOKUP($C174,ForecastImport!$B$15:$J$394,COLUMN()-3,FALSE)</f>
        <v>-52738265.199999996</v>
      </c>
      <c r="K174">
        <f>+VLOOKUP($C174,ForecastImport!$B$15:$J$394,COLUMN()-3,FALSE)</f>
        <v>0</v>
      </c>
      <c r="L174">
        <f>+VLOOKUP($C174,ForecastImport!$B$15:$J$394,COLUMN()-3,FALSE)</f>
        <v>54937192.220000006</v>
      </c>
    </row>
    <row r="175" spans="2:12">
      <c r="B175">
        <v>270</v>
      </c>
      <c r="C175" t="s">
        <v>507</v>
      </c>
      <c r="D175" s="1211" t="e">
        <f>'Sch 1- Rate Base '!E178:G178</f>
        <v>#VALUE!</v>
      </c>
      <c r="E175" s="1750">
        <f>+VLOOKUP($C175,ForecastImport!$B$15:$J$394,COLUMN()-3,FALSE)</f>
        <v>330</v>
      </c>
      <c r="F175" s="1750">
        <f>+VLOOKUP($C175,ForecastImport!$B$15:$J$394,COLUMN()-3,FALSE)</f>
        <v>456.1</v>
      </c>
      <c r="G175" t="str">
        <f>+VLOOKUP($C175,ForecastImport!$B$15:$J$394,COLUMN()-3,FALSE)</f>
        <v>TRANS</v>
      </c>
      <c r="H175">
        <f>+VLOOKUP($C175,ForecastImport!$B$15:$J$394,COLUMN()-3,FALSE)</f>
        <v>0</v>
      </c>
      <c r="I175">
        <f>+VLOOKUP($C175,ForecastImport!$B$15:$J$394,COLUMN()-3,FALSE)</f>
        <v>30969981</v>
      </c>
      <c r="J175">
        <f>+VLOOKUP($C175,ForecastImport!$B$15:$J$394,COLUMN()-3,FALSE)</f>
        <v>0</v>
      </c>
      <c r="K175">
        <f>+VLOOKUP($C175,ForecastImport!$B$15:$J$394,COLUMN()-3,FALSE)</f>
        <v>0</v>
      </c>
      <c r="L175">
        <f>+VLOOKUP($C175,ForecastImport!$B$15:$J$394,COLUMN()-3,FALSE)</f>
        <v>30969981</v>
      </c>
    </row>
    <row r="176" spans="2:12">
      <c r="B176">
        <v>313</v>
      </c>
      <c r="C176" t="s">
        <v>857</v>
      </c>
      <c r="D176" s="1211" t="e">
        <f>'Sch 1- Rate Base '!E179:G179</f>
        <v>#VALUE!</v>
      </c>
      <c r="E176" s="1750">
        <f>+VLOOKUP($C176,ForecastImport!$B$15:$J$394,COLUMN()-3,FALSE)</f>
        <v>0</v>
      </c>
      <c r="F176">
        <f>+VLOOKUP($C176,ForecastImport!$B$15:$J$394,COLUMN()-3,FALSE)</f>
        <v>0</v>
      </c>
      <c r="G176" t="str">
        <f>+VLOOKUP($C176,ForecastImport!$B$15:$J$394,COLUMN()-3,FALSE)</f>
        <v>PROD</v>
      </c>
      <c r="H176">
        <f>+VLOOKUP($C176,ForecastImport!$B$15:$J$394,COLUMN()-3,FALSE)</f>
        <v>0</v>
      </c>
      <c r="I176">
        <f>+VLOOKUP($C176,ForecastImport!$B$15:$J$394,COLUMN()-3,FALSE)</f>
        <v>19893844</v>
      </c>
      <c r="J176">
        <f>+VLOOKUP($C176,ForecastImport!$B$15:$J$394,COLUMN()-3,FALSE)</f>
        <v>19893844</v>
      </c>
      <c r="K176">
        <f>+VLOOKUP($C176,ForecastImport!$B$15:$J$394,COLUMN()-3,FALSE)</f>
        <v>0</v>
      </c>
      <c r="L176">
        <f>+VLOOKUP($C176,ForecastImport!$B$15:$J$394,COLUMN()-3,FALSE)</f>
        <v>0</v>
      </c>
    </row>
    <row r="177" spans="2:15">
      <c r="B177">
        <v>314</v>
      </c>
      <c r="C177" t="s">
        <v>858</v>
      </c>
      <c r="D177" s="1211" t="e">
        <f>'Sch 1- Rate Base '!E180:G180</f>
        <v>#VALUE!</v>
      </c>
      <c r="E177" s="1750">
        <f>+VLOOKUP($C177,ForecastImport!$B$15:$J$394,COLUMN()-3,FALSE)</f>
        <v>0</v>
      </c>
      <c r="F177">
        <f>+VLOOKUP($C177,ForecastImport!$B$15:$J$394,COLUMN()-3,FALSE)</f>
        <v>0</v>
      </c>
      <c r="G177" t="str">
        <f>+VLOOKUP($C177,ForecastImport!$B$15:$J$394,COLUMN()-3,FALSE)</f>
        <v>TRANS</v>
      </c>
      <c r="H177">
        <f>+VLOOKUP($C177,ForecastImport!$B$15:$J$394,COLUMN()-3,FALSE)</f>
        <v>0</v>
      </c>
      <c r="I177">
        <f>+VLOOKUP($C177,ForecastImport!$B$15:$J$394,COLUMN()-3,FALSE)</f>
        <v>6611795</v>
      </c>
      <c r="J177">
        <f>+VLOOKUP($C177,ForecastImport!$B$15:$J$394,COLUMN()-3,FALSE)</f>
        <v>0</v>
      </c>
      <c r="K177">
        <f>+VLOOKUP($C177,ForecastImport!$B$15:$J$394,COLUMN()-3,FALSE)</f>
        <v>0</v>
      </c>
      <c r="L177">
        <f>+VLOOKUP($C177,ForecastImport!$B$15:$J$394,COLUMN()-3,FALSE)</f>
        <v>6611795</v>
      </c>
    </row>
    <row r="178" spans="2:15">
      <c r="B178">
        <v>315</v>
      </c>
      <c r="C178" t="s">
        <v>859</v>
      </c>
      <c r="D178" s="1211" t="e">
        <f>'Sch 1- Rate Base '!E181:G181</f>
        <v>#VALUE!</v>
      </c>
      <c r="E178" s="1750">
        <f>+VLOOKUP($C178,ForecastImport!$B$15:$J$394,COLUMN()-3,FALSE)</f>
        <v>0</v>
      </c>
      <c r="F178">
        <f>+VLOOKUP($C178,ForecastImport!$B$15:$J$394,COLUMN()-3,FALSE)</f>
        <v>0</v>
      </c>
      <c r="G178" t="str">
        <f>+VLOOKUP($C178,ForecastImport!$B$15:$J$394,COLUMN()-3,FALSE)</f>
        <v>DIST</v>
      </c>
      <c r="H178">
        <f>+VLOOKUP($C178,ForecastImport!$B$15:$J$394,COLUMN()-3,FALSE)</f>
        <v>0</v>
      </c>
      <c r="I178">
        <f>+VLOOKUP($C178,ForecastImport!$B$15:$J$394,COLUMN()-3,FALSE)</f>
        <v>17025418</v>
      </c>
      <c r="J178">
        <f>+VLOOKUP($C178,ForecastImport!$B$15:$J$394,COLUMN()-3,FALSE)</f>
        <v>0</v>
      </c>
      <c r="K178">
        <f>+VLOOKUP($C178,ForecastImport!$B$15:$J$394,COLUMN()-3,FALSE)</f>
        <v>0</v>
      </c>
      <c r="L178">
        <f>+VLOOKUP($C178,ForecastImport!$B$15:$J$394,COLUMN()-3,FALSE)</f>
        <v>17025418</v>
      </c>
    </row>
    <row r="179" spans="2:15">
      <c r="B179">
        <v>316</v>
      </c>
      <c r="C179" t="s">
        <v>860</v>
      </c>
      <c r="D179" s="1211" t="e">
        <f>'Sch 1- Rate Base '!E182:G182</f>
        <v>#VALUE!</v>
      </c>
      <c r="E179" s="1750">
        <f>+VLOOKUP($C179,ForecastImport!$B$15:$J$394,COLUMN()-3,FALSE)</f>
        <v>0</v>
      </c>
      <c r="F179">
        <f>+VLOOKUP($C179,ForecastImport!$B$15:$J$394,COLUMN()-3,FALSE)</f>
        <v>0</v>
      </c>
      <c r="G179" t="str">
        <f>+VLOOKUP($C179,ForecastImport!$B$15:$J$394,COLUMN()-3,FALSE)</f>
        <v>DIST</v>
      </c>
      <c r="H179">
        <f>+VLOOKUP($C179,ForecastImport!$B$15:$J$394,COLUMN()-3,FALSE)</f>
        <v>0</v>
      </c>
      <c r="I179">
        <f>+VLOOKUP($C179,ForecastImport!$B$15:$J$394,COLUMN()-3,FALSE)</f>
        <v>6507117</v>
      </c>
      <c r="J179">
        <f>+VLOOKUP($C179,ForecastImport!$B$15:$J$394,COLUMN()-3,FALSE)</f>
        <v>0</v>
      </c>
      <c r="K179">
        <f>+VLOOKUP($C179,ForecastImport!$B$15:$J$394,COLUMN()-3,FALSE)</f>
        <v>0</v>
      </c>
      <c r="L179">
        <f>+VLOOKUP($C179,ForecastImport!$B$15:$J$394,COLUMN()-3,FALSE)</f>
        <v>6507117</v>
      </c>
    </row>
    <row r="180" spans="2:15">
      <c r="B180">
        <v>317</v>
      </c>
      <c r="C180" t="s">
        <v>861</v>
      </c>
      <c r="D180" s="1211" t="e">
        <f>'Sch 1- Rate Base '!E183:G183</f>
        <v>#VALUE!</v>
      </c>
      <c r="E180" s="1750">
        <f>+VLOOKUP($C180,ForecastImport!$B$15:$J$394,COLUMN()-3,FALSE)</f>
        <v>0</v>
      </c>
      <c r="F180">
        <f>+VLOOKUP($C180,ForecastImport!$B$15:$J$394,COLUMN()-3,FALSE)</f>
        <v>0</v>
      </c>
      <c r="G180" t="str">
        <f>+VLOOKUP($C180,ForecastImport!$B$15:$J$394,COLUMN()-3,FALSE)</f>
        <v>DIST</v>
      </c>
      <c r="H180">
        <f>+VLOOKUP($C180,ForecastImport!$B$15:$J$394,COLUMN()-3,FALSE)</f>
        <v>0</v>
      </c>
      <c r="I180">
        <f>+VLOOKUP($C180,ForecastImport!$B$15:$J$394,COLUMN()-3,FALSE)</f>
        <v>422600</v>
      </c>
      <c r="J180">
        <f>+VLOOKUP($C180,ForecastImport!$B$15:$J$394,COLUMN()-3,FALSE)</f>
        <v>0</v>
      </c>
      <c r="K180">
        <f>+VLOOKUP($C180,ForecastImport!$B$15:$J$394,COLUMN()-3,FALSE)</f>
        <v>0</v>
      </c>
      <c r="L180">
        <f>+VLOOKUP($C180,ForecastImport!$B$15:$J$394,COLUMN()-3,FALSE)</f>
        <v>422600</v>
      </c>
    </row>
    <row r="181" spans="2:15">
      <c r="B181">
        <v>318</v>
      </c>
      <c r="C181" t="s">
        <v>862</v>
      </c>
      <c r="D181" s="1211" t="e">
        <f>'Sch 1- Rate Base '!E184:G184</f>
        <v>#VALUE!</v>
      </c>
      <c r="E181" s="1750">
        <f>+VLOOKUP($C181,ForecastImport!$B$15:$J$394,COLUMN()-3,FALSE)</f>
        <v>0</v>
      </c>
      <c r="F181">
        <f>+VLOOKUP($C181,ForecastImport!$B$15:$J$394,COLUMN()-3,FALSE)</f>
        <v>0</v>
      </c>
      <c r="G181" t="str">
        <f>+VLOOKUP($C181,ForecastImport!$B$15:$J$394,COLUMN()-3,FALSE)</f>
        <v>DIST</v>
      </c>
      <c r="H181">
        <f>+VLOOKUP($C181,ForecastImport!$B$15:$J$394,COLUMN()-3,FALSE)</f>
        <v>0</v>
      </c>
      <c r="I181">
        <f>+VLOOKUP($C181,ForecastImport!$B$15:$J$394,COLUMN()-3,FALSE)</f>
        <v>0</v>
      </c>
      <c r="J181">
        <f>+VLOOKUP($C181,ForecastImport!$B$15:$J$394,COLUMN()-3,FALSE)</f>
        <v>0</v>
      </c>
      <c r="K181">
        <f>+VLOOKUP($C181,ForecastImport!$B$15:$J$394,COLUMN()-3,FALSE)</f>
        <v>0</v>
      </c>
      <c r="L181">
        <f>+VLOOKUP($C181,ForecastImport!$B$15:$J$394,COLUMN()-3,FALSE)</f>
        <v>0</v>
      </c>
    </row>
    <row r="182" spans="2:15">
      <c r="B182">
        <v>319</v>
      </c>
      <c r="C182" t="s">
        <v>863</v>
      </c>
      <c r="D182" s="1211" t="e">
        <f>'Sch 1- Rate Base '!E185:G185</f>
        <v>#VALUE!</v>
      </c>
      <c r="E182" s="1750">
        <f>+VLOOKUP($C182,ForecastImport!$B$15:$J$394,COLUMN()-3,FALSE)</f>
        <v>0</v>
      </c>
      <c r="F182">
        <f>+VLOOKUP($C182,ForecastImport!$B$15:$J$394,COLUMN()-3,FALSE)</f>
        <v>0</v>
      </c>
      <c r="G182" t="str">
        <f>+VLOOKUP($C182,ForecastImport!$B$15:$J$394,COLUMN()-3,FALSE)</f>
        <v>PTD</v>
      </c>
      <c r="H182">
        <f>+VLOOKUP($C182,ForecastImport!$B$15:$J$394,COLUMN()-3,FALSE)</f>
        <v>0</v>
      </c>
      <c r="I182">
        <f>+VLOOKUP($C182,ForecastImport!$B$15:$J$394,COLUMN()-3,FALSE)</f>
        <v>29427473</v>
      </c>
      <c r="J182">
        <f>+VLOOKUP($C182,ForecastImport!$B$15:$J$394,COLUMN()-3,FALSE)</f>
        <v>9350897.9082645196</v>
      </c>
      <c r="K182">
        <f>+VLOOKUP($C182,ForecastImport!$B$15:$J$394,COLUMN()-3,FALSE)</f>
        <v>0</v>
      </c>
      <c r="L182">
        <f>+VLOOKUP($C182,ForecastImport!$B$15:$J$394,COLUMN()-3,FALSE)</f>
        <v>20076575.091735478</v>
      </c>
    </row>
    <row r="183" spans="2:15">
      <c r="B183">
        <v>297</v>
      </c>
      <c r="C183" t="s">
        <v>510</v>
      </c>
      <c r="D183" s="1211" t="e">
        <f>'Sch 1- Rate Base '!E186:G186</f>
        <v>#VALUE!</v>
      </c>
      <c r="E183" s="1750"/>
      <c r="M183">
        <f>+VLOOKUP($C183,ForecastImport!$B$15:$J$394,7,FALSE)</f>
        <v>518833566.11346018</v>
      </c>
    </row>
    <row r="184" spans="2:15">
      <c r="B184">
        <v>299</v>
      </c>
      <c r="C184" t="s">
        <v>512</v>
      </c>
      <c r="D184" s="1211" t="e">
        <f>'Sch 1- Rate Base '!E187:G187</f>
        <v>#VALUE!</v>
      </c>
      <c r="E184" s="1750"/>
      <c r="N184">
        <f>+VLOOKUP($C184,ForecastImport!$B$15:$J$394,7,FALSE)</f>
        <v>9605919.9144467302</v>
      </c>
    </row>
    <row r="185" spans="2:15">
      <c r="B185">
        <v>301</v>
      </c>
      <c r="C185" t="s">
        <v>322</v>
      </c>
      <c r="D185" s="1211" t="e">
        <f>'Sch 1- Rate Base '!E188:G188</f>
        <v>#VALUE!</v>
      </c>
      <c r="O185">
        <f>+VLOOKUP($C185,ForecastImport!$B$15:$J$394,7,FALSE)</f>
        <v>54.011856306772394</v>
      </c>
    </row>
  </sheetData>
  <pageMargins left="0.7" right="0.7" top="0.75" bottom="0.75" header="0.3" footer="0.3"/>
  <customProperties>
    <customPr name="xxe4aP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xxe4awand xmlns="http://www.excel4apps.com"><![CDATA[rO0ABXoAAAEPCMCtii8CSgICAh4AAERjb20uZXhjZWw0YXBwcy53YW5kLm9yYWNs
ZS5nbHdhbmQuY2FsY3VsYXRpb25zLmdldGJhbGFuY2UuR2V0QmFsYW5jZQIBAEFb
QXZpc3RhIENvcnBfQXBwZW5kaXhfMV8yMDI2LTIwMjhfRlAueGxzeF0zYi4xIE90
aGVyIEV4cC4gU3VwcG9ydAICAAEwAgMABjIwMjMxMgIEAANZVEQCBQADVVNEAgYA
BVRvdGFsAgcAAUECCAAAAgkAAzAwMQIKAAU0MDc0JQILAAJFRAIMAAElAg0AAkRM
AggCCAIIAggCCAIIAggCCAIIAggCCAIIAggCCAIIAggCCAIYAgMCDnNyAg8AFGph
dmEubWF0aC5CaWdEZWNpbWFsVMcVV/mBKE8DAAJJAhAABXNjYWxlTAIRAAZpbnRW
YWx0ABZMamF2YS9tYXRoL0JpZ0ludGVnZXI7eHICEgAQamF2YS5sYW5nLk51bWJl
coaslR0LlOCLAgAAeHAAAAACc3ICEwAUamF2YS5tYXRoLkJpZ0ludGVnZXKM/J8f
qTv7HQMABkkCFAAIYml0Q291bnRJAhUACWJpdExlbmd0aEkCFgATZmlyc3ROb256
ZXJvQnl0ZU51bUkCFwAMbG93ZXN0U2V0Qml0SQIYAAZzaWdudW1bAhkACW1hZ25p
dHVkZXQAAltCeHEAfgAC///////////////+/////v////91cgIaAAJbQqzzF/gG
CFTgAgAAeHAAAAAE+SjbwXh4d0UCHgACAQICAgMCBAIFAgYCBwIIAgkCCgIMAgwC
DQIIAggCCAIIAggCCAIIAggCCAIIAggCCAIIAggCCAIIAggCGAIDAhtzcQB+AAAAAAACc3EAfgAE///////////////+/////v////91cQB+AAcAAAAFAl9mR1J4eA==]]></xxe4awand>
</file>

<file path=customXml/itemProps1.xml><?xml version="1.0" encoding="utf-8"?>
<ds:datastoreItem xmlns:ds="http://schemas.openxmlformats.org/officeDocument/2006/customXml" ds:itemID="{68A2F158-F1CC-4A21-8E96-8B973A87B88C}">
  <ds:schemaRefs>
    <ds:schemaRef ds:uri="http://www.excel4apps.com"/>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74</vt:i4>
      </vt:variant>
      <vt:variant>
        <vt:lpstr>Named Ranges</vt:lpstr>
      </vt:variant>
      <vt:variant>
        <vt:i4>27</vt:i4>
      </vt:variant>
    </vt:vector>
  </HeadingPairs>
  <TitlesOfParts>
    <vt:vector size="101" baseType="lpstr">
      <vt:lpstr>Revisions_2026-28</vt:lpstr>
      <vt:lpstr>TOC</vt:lpstr>
      <vt:lpstr>Sch 1- Rate Base </vt:lpstr>
      <vt:lpstr>1.1 Intangible Assets Summary</vt:lpstr>
      <vt:lpstr>1.1a Intangible Detail</vt:lpstr>
      <vt:lpstr>1.1b Intangible Soft. 303100</vt:lpstr>
      <vt:lpstr>Intangible Reserve 1.1c</vt:lpstr>
      <vt:lpstr>1.3 Common Plt Summary</vt:lpstr>
      <vt:lpstr>1.3a Common Plant</vt:lpstr>
      <vt:lpstr>1.3b Common Plt Acc. Depr</vt:lpstr>
      <vt:lpstr>1.3c Common Amort Exp</vt:lpstr>
      <vt:lpstr>1.4 Reg Assets</vt:lpstr>
      <vt:lpstr>1.5 Misc. Def. Debits</vt:lpstr>
      <vt:lpstr>1.6 Misc. Def. Credits</vt:lpstr>
      <vt:lpstr>1.7 Reg Liabilities</vt:lpstr>
      <vt:lpstr>Sch 1A - Cash Working Capital</vt:lpstr>
      <vt:lpstr>Sch 2 -Rate of Return</vt:lpstr>
      <vt:lpstr>2.1 Authorized ROR</vt:lpstr>
      <vt:lpstr>Sch 3 - Expenses</vt:lpstr>
      <vt:lpstr>3.1 908 Detail</vt:lpstr>
      <vt:lpstr>3.2 557 Detail</vt:lpstr>
      <vt:lpstr>Sch 3A - Taxes</vt:lpstr>
      <vt:lpstr>3B.2 Revenue</vt:lpstr>
      <vt:lpstr>3b.1 Other Exp. Support</vt:lpstr>
      <vt:lpstr>4.1 NLSL SUMMARY - Lg WA 1</vt:lpstr>
      <vt:lpstr>SUMMARY - Lg ID 1</vt:lpstr>
      <vt:lpstr>A-RHWM_Ratios</vt:lpstr>
      <vt:lpstr>Sch 3B - Other Items</vt:lpstr>
      <vt:lpstr>Sch 4 - Average System Cost</vt:lpstr>
      <vt:lpstr>4.2 Dist Losses</vt:lpstr>
      <vt:lpstr>3-YEAR PP &amp; OSS Worksheet</vt:lpstr>
      <vt:lpstr>Load Forecast</vt:lpstr>
      <vt:lpstr>Distribution Loss Calc</vt:lpstr>
      <vt:lpstr>Salaries</vt:lpstr>
      <vt:lpstr>Ratios</vt:lpstr>
      <vt:lpstr>New Resources - Individual</vt:lpstr>
      <vt:lpstr>New Resources - Group</vt:lpstr>
      <vt:lpstr>Materiality - Individual</vt:lpstr>
      <vt:lpstr>Materiality -  Group</vt:lpstr>
      <vt:lpstr>NLSL_Base_New-Calc</vt:lpstr>
      <vt:lpstr>Wind_Resources_Costs</vt:lpstr>
      <vt:lpstr>Above-RHWM_Base_Calc</vt:lpstr>
      <vt:lpstr>Tiered Rates</vt:lpstr>
      <vt:lpstr>110-111</vt:lpstr>
      <vt:lpstr>112-113</vt:lpstr>
      <vt:lpstr>FERC 114-117</vt:lpstr>
      <vt:lpstr>200-201</vt:lpstr>
      <vt:lpstr>202-203</vt:lpstr>
      <vt:lpstr>204-207</vt:lpstr>
      <vt:lpstr>219</vt:lpstr>
      <vt:lpstr>219-1</vt:lpstr>
      <vt:lpstr>232</vt:lpstr>
      <vt:lpstr>233</vt:lpstr>
      <vt:lpstr>233-1</vt:lpstr>
      <vt:lpstr>256-257</vt:lpstr>
      <vt:lpstr>262-263</vt:lpstr>
      <vt:lpstr>269</vt:lpstr>
      <vt:lpstr>278</vt:lpstr>
      <vt:lpstr>FERC 300b Op Revenues</vt:lpstr>
      <vt:lpstr>300b-1</vt:lpstr>
      <vt:lpstr>310-311</vt:lpstr>
      <vt:lpstr>310-311 Pivot</vt:lpstr>
      <vt:lpstr>320-323</vt:lpstr>
      <vt:lpstr>326-327</vt:lpstr>
      <vt:lpstr>326-327 Pivot</vt:lpstr>
      <vt:lpstr>326-327-1</vt:lpstr>
      <vt:lpstr>336</vt:lpstr>
      <vt:lpstr>354</vt:lpstr>
      <vt:lpstr>FERC 401a Elec Energy Acct</vt:lpstr>
      <vt:lpstr>401a-1</vt:lpstr>
      <vt:lpstr>402</vt:lpstr>
      <vt:lpstr>Export</vt:lpstr>
      <vt:lpstr>ForecastImport</vt:lpstr>
      <vt:lpstr>DataImport</vt:lpstr>
      <vt:lpstr>DIST</vt:lpstr>
      <vt:lpstr>'3-YEAR PP &amp; OSS Worksheet'!Print_Area</vt:lpstr>
      <vt:lpstr>'Above-RHWM_Base_Calc'!Print_Area</vt:lpstr>
      <vt:lpstr>'A-RHWM_Ratios'!Print_Area</vt:lpstr>
      <vt:lpstr>'Load Forecast'!Print_Area</vt:lpstr>
      <vt:lpstr>'New Resources - Group'!Print_Area</vt:lpstr>
      <vt:lpstr>'New Resources - Individual'!Print_Area</vt:lpstr>
      <vt:lpstr>'NLSL_Base_New-Calc'!Print_Area</vt:lpstr>
      <vt:lpstr>Ratios!Print_Area</vt:lpstr>
      <vt:lpstr>Salaries!Print_Area</vt:lpstr>
      <vt:lpstr>'Sch 1- Rate Base '!Print_Area</vt:lpstr>
      <vt:lpstr>'Sch 2 -Rate of Return'!Print_Area</vt:lpstr>
      <vt:lpstr>'Sch 3 - Expenses'!Print_Area</vt:lpstr>
      <vt:lpstr>'Sch 3A - Taxes'!Print_Area</vt:lpstr>
      <vt:lpstr>'Sch 3B - Other Items'!Print_Area</vt:lpstr>
      <vt:lpstr>'Sch 4 - Average System Cost'!Print_Area</vt:lpstr>
      <vt:lpstr>'A-RHWM_Ratios'!Print_Titles</vt:lpstr>
      <vt:lpstr>Ratios!Print_Titles</vt:lpstr>
      <vt:lpstr>'Sch 1- Rate Base '!Print_Titles</vt:lpstr>
      <vt:lpstr>'Sch 2 -Rate of Return'!Print_Titles</vt:lpstr>
      <vt:lpstr>'Sch 3 - Expenses'!Print_Titles</vt:lpstr>
      <vt:lpstr>'Sch 3A - Taxes'!Print_Titles</vt:lpstr>
      <vt:lpstr>'Sch 4 - Average System Cost'!Print_Titles</vt:lpstr>
      <vt:lpstr>PROD</vt:lpstr>
      <vt:lpstr>PTD</vt:lpstr>
      <vt:lpstr>'A-RHWM_Ratios'!Ratio</vt:lpstr>
      <vt:lpstr>Ratio</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 Amended Appendix 1</dc:title>
  <dc:subject>Average System Cost Methodology</dc:subject>
  <dc:creator>Bonneville Power Administration</dc:creator>
  <dc:description>FY 2020-2021 ASC Review Process</dc:description>
  <cp:lastModifiedBy>Edwards,Michael D (BPA) - PSRF-6</cp:lastModifiedBy>
  <cp:lastPrinted>2022-04-07T16:57:44Z</cp:lastPrinted>
  <dcterms:created xsi:type="dcterms:W3CDTF">2002-12-16T15:40:56Z</dcterms:created>
  <dcterms:modified xsi:type="dcterms:W3CDTF">2025-11-07T17:44:18Z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tility">
    <vt:lpwstr>PGE</vt:lpwstr>
  </property>
  <property fmtid="{D5CDD505-2E9C-101B-9397-08002B2CF9AE}" pid="3" name="Fiscal Year">
    <vt:lpwstr>FY 10-11</vt:lpwstr>
  </property>
  <property fmtid="{D5CDD505-2E9C-101B-9397-08002B2CF9AE}" pid="4" name="ContentType">
    <vt:lpwstr>Document</vt:lpwstr>
  </property>
</Properties>
</file>